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ustomProperty4.bin" ContentType="application/vnd.openxmlformats-officedocument.spreadsheetml.customProperty"/>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2.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drawings/drawing3.xml" ContentType="application/vnd.openxmlformats-officedocument.drawing+xml"/>
  <Override PartName="/xl/customProperty10.bin" ContentType="application/vnd.openxmlformats-officedocument.spreadsheetml.customProperty"/>
  <Override PartName="/xl/drawings/drawing4.xml" ContentType="application/vnd.openxmlformats-officedocument.drawing+xml"/>
  <Override PartName="/xl/customProperty11.bin" ContentType="application/vnd.openxmlformats-officedocument.spreadsheetml.customProperty"/>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ustomProperty12.bin" ContentType="application/vnd.openxmlformats-officedocument.spreadsheetml.customProperty"/>
  <Override PartName="/xl/drawings/drawing6.xml" ContentType="application/vnd.openxmlformats-officedocument.drawing+xml"/>
  <Override PartName="/xl/customProperty13.bin" ContentType="application/vnd.openxmlformats-officedocument.spreadsheetml.customProperty"/>
  <Override PartName="/xl/drawings/drawing7.xml" ContentType="application/vnd.openxmlformats-officedocument.drawing+xml"/>
  <Override PartName="/xl/customProperty14.bin" ContentType="application/vnd.openxmlformats-officedocument.spreadsheetml.customProperty"/>
  <Override PartName="/xl/drawings/drawing8.xml" ContentType="application/vnd.openxmlformats-officedocument.drawing+xml"/>
  <Override PartName="/xl/customProperty15.bin" ContentType="application/vnd.openxmlformats-officedocument.spreadsheetml.customProperty"/>
  <Override PartName="/xl/drawings/drawing9.xml" ContentType="application/vnd.openxmlformats-officedocument.drawing+xml"/>
  <Override PartName="/xl/customProperty16.bin" ContentType="application/vnd.openxmlformats-officedocument.spreadsheetml.customProperty"/>
  <Override PartName="/xl/drawings/drawing10.xml" ContentType="application/vnd.openxmlformats-officedocument.drawing+xml"/>
  <Override PartName="/xl/customProperty17.bin" ContentType="application/vnd.openxmlformats-officedocument.spreadsheetml.customProperty"/>
  <Override PartName="/xl/drawings/drawing11.xml" ContentType="application/vnd.openxmlformats-officedocument.drawing+xml"/>
  <Override PartName="/xl/customProperty18.bin" ContentType="application/vnd.openxmlformats-officedocument.spreadsheetml.customProperty"/>
  <Override PartName="/xl/drawings/drawing12.xml" ContentType="application/vnd.openxmlformats-officedocument.drawing+xml"/>
  <Override PartName="/xl/customProperty19.bin" ContentType="application/vnd.openxmlformats-officedocument.spreadsheetml.customProperty"/>
  <Override PartName="/xl/drawings/drawing13.xml" ContentType="application/vnd.openxmlformats-officedocument.drawing+xml"/>
  <Override PartName="/xl/customProperty20.bin" ContentType="application/vnd.openxmlformats-officedocument.spreadsheetml.customProperty"/>
  <Override PartName="/xl/drawings/drawing14.xml" ContentType="application/vnd.openxmlformats-officedocument.drawing+xml"/>
  <Override PartName="/xl/customProperty21.bin" ContentType="application/vnd.openxmlformats-officedocument.spreadsheetml.customProperty"/>
  <Override PartName="/xl/drawings/drawing15.xml" ContentType="application/vnd.openxmlformats-officedocument.drawing+xml"/>
  <Override PartName="/xl/customProperty22.bin" ContentType="application/vnd.openxmlformats-officedocument.spreadsheetml.customProperty"/>
  <Override PartName="/xl/drawings/drawing16.xml" ContentType="application/vnd.openxmlformats-officedocument.drawing+xml"/>
  <Override PartName="/xl/customProperty23.bin" ContentType="application/vnd.openxmlformats-officedocument.spreadsheetml.customProperty"/>
  <Override PartName="/xl/drawings/drawing17.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ustomProperty24.bin" ContentType="application/vnd.openxmlformats-officedocument.spreadsheetml.customProperty"/>
  <Override PartName="/xl/drawings/drawing18.xml" ContentType="application/vnd.openxmlformats-officedocument.drawing+xml"/>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never" codeName="ThisWorkbook" defaultThemeVersion="124226"/>
  <mc:AlternateContent xmlns:mc="http://schemas.openxmlformats.org/markup-compatibility/2006">
    <mc:Choice Requires="x15">
      <x15ac:absPath xmlns:x15ac="http://schemas.microsoft.com/office/spreadsheetml/2010/11/ac" url="https://myhydro.torontohydro.com/divisions/regulatorylegal/2025RateApp/Exhibits/2026 CIR Update/Evidence/3 - Rates and DVA/Sch.01 - Rate Model/"/>
    </mc:Choice>
  </mc:AlternateContent>
  <xr:revisionPtr revIDLastSave="0" documentId="13_ncr:1_{463BECDA-7F57-45C7-BF43-21F17B8419C7}" xr6:coauthVersionLast="47" xr6:coauthVersionMax="47" xr10:uidLastSave="{00000000-0000-0000-0000-000000000000}"/>
  <bookViews>
    <workbookView xWindow="28680" yWindow="-285" windowWidth="29040" windowHeight="15840" tabRatio="858" firstSheet="1" activeTab="1" xr2:uid="{00000000-000D-0000-FFFF-FFFF00000000}"/>
  </bookViews>
  <sheets>
    <sheet name="Instructions" sheetId="103" state="hidden" r:id="rId1"/>
    <sheet name="Summary of Changes" sheetId="107" r:id="rId2"/>
    <sheet name="1. Information Sheet" sheetId="1" r:id="rId3"/>
    <sheet name="Sheet1" sheetId="58" state="hidden" r:id="rId4"/>
    <sheet name="Rate Zones" sheetId="106" state="hidden" r:id="rId5"/>
    <sheet name="Database" sheetId="48" state="hidden" r:id="rId6"/>
    <sheet name="3. Continuity Schedule" sheetId="74" r:id="rId7"/>
    <sheet name="2016 List" sheetId="47" state="hidden" r:id="rId8"/>
    <sheet name="4. Billing Det. for Def-Var" sheetId="13" r:id="rId9"/>
    <sheet name="5. Allocating Def-Var Balances" sheetId="76" r:id="rId10"/>
    <sheet name="6. Class A Consumption Data" sheetId="84" r:id="rId11"/>
    <sheet name="6.1a GA Allocation" sheetId="89" r:id="rId12"/>
    <sheet name="6.1 GA" sheetId="78" r:id="rId13"/>
    <sheet name="6.2a CBR B_Allocation" sheetId="90" r:id="rId14"/>
    <sheet name="6.2 CBR B" sheetId="85" r:id="rId15"/>
    <sheet name="7. Calculation of Def-Var RR" sheetId="15" r:id="rId16"/>
    <sheet name="10. RTSR Current Rates" sheetId="33" r:id="rId17"/>
    <sheet name="11. RTSR - UTRs &amp; Sub-Tx" sheetId="77" r:id="rId18"/>
    <sheet name="12. RTSR - Historical Wholesale" sheetId="36" r:id="rId19"/>
    <sheet name="13. RTSR - Current Wholesale" sheetId="37" r:id="rId20"/>
    <sheet name="14. RTSR - Forecast Wholesale" sheetId="38" r:id="rId21"/>
    <sheet name="15. RTSR Rates to Forecast" sheetId="39" r:id="rId22"/>
    <sheet name="16.1 LV Expense" sheetId="104" state="hidden" r:id="rId23"/>
    <sheet name="16.2 LV Service Rate" sheetId="105" state="hidden" r:id="rId24"/>
    <sheet name="Rate Rider Database" sheetId="100" state="hidden" r:id="rId25"/>
    <sheet name="22. Base Distribution Rates" sheetId="108" r:id="rId26"/>
    <sheet name="2 1 5 TotalConsumptionData_Dist" sheetId="64" state="hidden" r:id="rId27"/>
    <sheet name="212_Total_Connection_RollUp" sheetId="81" state="hidden" r:id="rId28"/>
    <sheet name="2.1.7 Filing" sheetId="80" state="hidden" r:id="rId29"/>
    <sheet name="20. HIDDEN" sheetId="62" state="hidden" r:id="rId30"/>
    <sheet name="20. Bill Impacts hidden" sheetId="57" state="hidden" r:id="rId31"/>
    <sheet name="lists" sheetId="7" state="hidden" r:id="rId32"/>
    <sheet name="Sheet2" sheetId="63" state="hidden" r:id="rId33"/>
    <sheet name="Sheet3" sheetId="82"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xlnm._FilterDatabase" localSheetId="26" hidden="1">'2 1 5 TotalConsumptionData_Dist'!$A$4:$S$542</definedName>
    <definedName name="_xlnm._FilterDatabase" localSheetId="28" hidden="1">'2.1.7 Filing'!$A$4:$K$4959</definedName>
    <definedName name="_xlnm._FilterDatabase" localSheetId="7" hidden="1">'2016 List'!$AA:$AA</definedName>
    <definedName name="_xlnm._FilterDatabase" localSheetId="27" hidden="1">'212_Total_Connection_RollUp'!$A$4:$D$502</definedName>
    <definedName name="_xlnm._FilterDatabase" localSheetId="5" hidden="1">Database!$A$1:$AE$14161</definedName>
    <definedName name="_xlnm._FilterDatabase" localSheetId="31" hidden="1">lists!$I$1:$I$123</definedName>
    <definedName name="_xlnm._FilterDatabase" localSheetId="32" hidden="1">Sheet2!#REF!</definedName>
    <definedName name="Alectra_SA">'2016 List'!$C$2:$C$6</definedName>
    <definedName name="BI_LDCLIST" localSheetId="29">'[1]3. Rate Class Selection'!$B$19:$B$21</definedName>
    <definedName name="BI_LDCLIST" localSheetId="6">#REF!</definedName>
    <definedName name="BI_LDCLIST" localSheetId="12">#REF!</definedName>
    <definedName name="BI_LDCLIST">#REF!</definedName>
    <definedName name="BI_SS" localSheetId="30">'20. Bill Impacts hidden'!$A$2:$L$52</definedName>
    <definedName name="BI_SS" localSheetId="29">'20. HIDDEN'!$A$2:$N$55</definedName>
    <definedName name="BridgeYear" localSheetId="29">'[2]LDC Info'!$E$26</definedName>
    <definedName name="BridgeYear">'[3]LDC Info'!$E$26</definedName>
    <definedName name="contactf" localSheetId="22">#REF!</definedName>
    <definedName name="contactf" localSheetId="23">#REF!</definedName>
    <definedName name="contactf" localSheetId="30">#REF!</definedName>
    <definedName name="contactf" localSheetId="29">#REF!</definedName>
    <definedName name="contactf" localSheetId="6">#REF!</definedName>
    <definedName name="contactf" localSheetId="12">#REF!</definedName>
    <definedName name="contactf">#REF!</definedName>
    <definedName name="COS_RES_CUSTOMERS" localSheetId="17">'[4]16. Rev2Cost_GDPIPI'!$F$12</definedName>
    <definedName name="COS_RES_CUSTOMERS" localSheetId="22">'16.1 LV Expense'!#REF!</definedName>
    <definedName name="COS_RES_CUSTOMERS" localSheetId="23">'16.2 LV Service Rate'!#REF!</definedName>
    <definedName name="COS_RES_CUSTOMERS" localSheetId="6">'[5]15. Rev2Cost_GDPIPI'!$F$12</definedName>
    <definedName name="COS_RES_CUSTOMERS" localSheetId="9">'[6]16. Rev2Cost_GDPIPI'!$F$12</definedName>
    <definedName name="COS_RES_CUSTOMERS" localSheetId="12">'[7]15. Rev2Cost_GDPIPI'!$F$12</definedName>
    <definedName name="COS_RES_CUSTOMERS">#REF!</definedName>
    <definedName name="COS_RES_KWH" localSheetId="17">'[4]16. Rev2Cost_GDPIPI'!$F$13</definedName>
    <definedName name="COS_RES_KWH" localSheetId="22">'16.1 LV Expense'!#REF!</definedName>
    <definedName name="COS_RES_KWH" localSheetId="23">'16.2 LV Service Rate'!#REF!</definedName>
    <definedName name="COS_RES_KWH" localSheetId="6">'[5]15. Rev2Cost_GDPIPI'!$F$13</definedName>
    <definedName name="COS_RES_KWH" localSheetId="9">'[6]16. Rev2Cost_GDPIPI'!$F$13</definedName>
    <definedName name="COS_RES_KWH" localSheetId="12">'[7]15. Rev2Cost_GDPIPI'!$F$13</definedName>
    <definedName name="COS_RES_KWH">#REF!</definedName>
    <definedName name="Cust3a">'6. Class A Consumption Data'!$C$25</definedName>
    <definedName name="Cust3b">'6. Class A Consumption Data'!$C$487</definedName>
    <definedName name="CustomerAdministration" localSheetId="29">[2]lists!$Z$1:$Z$36</definedName>
    <definedName name="CustomerAdministration" localSheetId="11">[8]lists!#REF!</definedName>
    <definedName name="CustomerAdministration" localSheetId="13">[8]lists!#REF!</definedName>
    <definedName name="CustomerAdministration">lists!#REF!</definedName>
    <definedName name="DesRange">'16.1 LV Expense'!#REF!</definedName>
    <definedName name="DRC" localSheetId="11">'[8]17. Regulatory Charges'!$D$29</definedName>
    <definedName name="DRC" localSheetId="13">'[8]17. Regulatory Charges'!$D$29</definedName>
    <definedName name="DRC">#REF!</definedName>
    <definedName name="DRP">#REF!</definedName>
    <definedName name="EBNUMBER" localSheetId="29">'[2]LDC Info'!$E$16</definedName>
    <definedName name="EBNUMBER">'[3]LDC Info'!$E$16</definedName>
    <definedName name="Elexicon_SA">'2016 List'!$C$12:$C$13</definedName>
    <definedName name="Energy_SA">'2016 List'!$C$18:$C$19</definedName>
    <definedName name="EnergyPlus_SA">'2016 List'!$C$18:$C$19</definedName>
    <definedName name="Enova_SA">'2016 List'!$C$36:$C$37</definedName>
    <definedName name="Entegrus_SA" localSheetId="6">'[5]2016 List'!$C$5:$C$8</definedName>
    <definedName name="Entegrus_SA" localSheetId="9">'[6]2016 List'!$C$5:$C$8</definedName>
    <definedName name="Entegrus_SA" localSheetId="12">'[7]2016 List'!$C$5:$C$8</definedName>
    <definedName name="Entegrus_SA" localSheetId="11">'[8]2016 List'!$C$6:$C$8</definedName>
    <definedName name="Entegrus_SA" localSheetId="13">'[8]2016 List'!$C$6:$C$8</definedName>
    <definedName name="Entegrus_SA">'2016 List'!$C$26:$C$27</definedName>
    <definedName name="ERTH_SA">'2016 List'!$C$9:$C$10</definedName>
    <definedName name="_xlnm.Extract" localSheetId="7">'2016 List'!$X$1</definedName>
    <definedName name="_xlnm.Extract" localSheetId="31">lists!#REF!</definedName>
    <definedName name="fed_sb">#REF!</definedName>
    <definedName name="fedtax">#REF!</definedName>
    <definedName name="fifteen" localSheetId="5">Database!#REF!</definedName>
    <definedName name="Fixed_Charges">lists!$I$1:$I$220</definedName>
    <definedName name="forecast_wholesale_lineplus" localSheetId="6">'[5]13. RTSR - Forecast Wholesale'!$P$113</definedName>
    <definedName name="forecast_wholesale_lineplus" localSheetId="12">'[7]13. RTSR - Forecast Wholesale'!$P$113</definedName>
    <definedName name="forecast_wholesale_lineplus" localSheetId="11">'[8]14. RTSR - Forecast Wholesale'!$P$113</definedName>
    <definedName name="forecast_wholesale_lineplus" localSheetId="13">'[8]14. RTSR - Forecast Wholesale'!$P$113</definedName>
    <definedName name="forecast_wholesale_lineplus">'14. RTSR - Forecast Wholesale'!$P$113</definedName>
    <definedName name="forecast_wholesale_network" localSheetId="6">'[5]13. RTSR - Forecast Wholesale'!$F$109</definedName>
    <definedName name="forecast_wholesale_network" localSheetId="12">'[7]13. RTSR - Forecast Wholesale'!$F$109</definedName>
    <definedName name="forecast_wholesale_network" localSheetId="11">'[8]14. RTSR - Forecast Wholesale'!$F$109</definedName>
    <definedName name="forecast_wholesale_network" localSheetId="13">'[8]14. RTSR - Forecast Wholesale'!$F$109</definedName>
    <definedName name="forecast_wholesale_network">'14. RTSR - Forecast Wholesale'!$F$109</definedName>
    <definedName name="G1LD" localSheetId="13">'[8]6. Class A Consumption Data'!$C$14</definedName>
    <definedName name="G1LD">'6. Class A Consumption Data'!$C$14</definedName>
    <definedName name="G1LDCBR" localSheetId="13">'6. Class A Consumption Data'!$C$17</definedName>
    <definedName name="G1LDCBR">'6. Class A Consumption Data'!$C$17</definedName>
    <definedName name="Grandbridge_SA">'2016 List'!$C$16:$C$17</definedName>
    <definedName name="Group1Desposing" localSheetId="11">'[8]4. Billing Det. for Def-Var'!#REF!</definedName>
    <definedName name="Group1Desposing" localSheetId="13">'[8]4. Billing Det. for Def-Var'!#REF!</definedName>
    <definedName name="Group1Desposing">'4. Billing Det. for Def-Var'!#REF!</definedName>
    <definedName name="histdate">[9]Financials!$E$76</definedName>
    <definedName name="HydroOne_SA">'2016 List'!$C$20:$C$24</definedName>
    <definedName name="Incr2000" localSheetId="22">#REF!</definedName>
    <definedName name="Incr2000" localSheetId="23">#REF!</definedName>
    <definedName name="Incr2000" localSheetId="30">#REF!</definedName>
    <definedName name="Incr2000" localSheetId="29">#REF!</definedName>
    <definedName name="Incr2000" localSheetId="6">#REF!</definedName>
    <definedName name="Incr2000" localSheetId="12">#REF!</definedName>
    <definedName name="Incr2000">#REF!</definedName>
    <definedName name="Lakeland_SA" localSheetId="6">'[5]2016 List'!$C$10:$C$11</definedName>
    <definedName name="Lakeland_SA" localSheetId="9">'[6]2016 List'!$C$10:$C$11</definedName>
    <definedName name="Lakeland_SA" localSheetId="12">'[7]2016 List'!$C$10:$C$11</definedName>
    <definedName name="Lakeland_SA" localSheetId="11">'[8]2016 List'!$C$13:$C$14</definedName>
    <definedName name="Lakeland_SA" localSheetId="13">'[8]2016 List'!$C$13:$C$14</definedName>
    <definedName name="Lakeland_SA">'2016 List'!$C$16:$C$17</definedName>
    <definedName name="LDC_LIST" localSheetId="29">[10]lists!$AM$1:$AM$80</definedName>
    <definedName name="LDC_LIST">lists!$AA$1:$AA$88</definedName>
    <definedName name="LDCLIST" localSheetId="29">'[2]LDC Info'!$AA$3:$AA$99</definedName>
    <definedName name="LDCList" localSheetId="11">OFFSET('[8]2016 List'!$A$1,0,0,COUNTA('[8]2016 List'!$A:$A),1)</definedName>
    <definedName name="LDCList" localSheetId="13">OFFSET('[8]2016 List'!$A$1,0,0,COUNTA('[8]2016 List'!$A:$A),1)</definedName>
    <definedName name="LDCList">OFFSET('2016 List'!$A$1,0,0,COUNTA('2016 List'!$A:$A),1)</definedName>
    <definedName name="LDCNAME1">'1. Information Sheet'!$F$14</definedName>
    <definedName name="LDCNAMES">lists!$Z$1:$Z$78</definedName>
    <definedName name="LIMIT" localSheetId="22">#REF!</definedName>
    <definedName name="LIMIT" localSheetId="23">#REF!</definedName>
    <definedName name="LIMIT" localSheetId="30">#REF!</definedName>
    <definedName name="LIMIT" localSheetId="29">#REF!</definedName>
    <definedName name="LIMIT" localSheetId="6">#REF!</definedName>
    <definedName name="LIMIT" localSheetId="12">#REF!</definedName>
    <definedName name="LIMIT">#REF!</definedName>
    <definedName name="listdata" localSheetId="11">'[8]4. Billing Det. for Def-Var'!#REF!</definedName>
    <definedName name="listdata" localSheetId="13">'[8]4. Billing Det. for Def-Var'!#REF!</definedName>
    <definedName name="listdata">'4. Billing Det. for Def-Var'!$A$17:$A$24</definedName>
    <definedName name="LossFactors" localSheetId="29">[2]lists!$L$2:$L$15</definedName>
    <definedName name="LossFactors" localSheetId="11">[8]lists!$L$2:$L$15</definedName>
    <definedName name="LossFactors" localSheetId="13">[8]lists!$L$2:$L$15</definedName>
    <definedName name="LossFactors">lists!$L$2:$L$15</definedName>
    <definedName name="man_beg_bud" localSheetId="22">#REF!</definedName>
    <definedName name="man_beg_bud" localSheetId="23">#REF!</definedName>
    <definedName name="man_beg_bud" localSheetId="30">#REF!</definedName>
    <definedName name="man_beg_bud" localSheetId="29">#REF!</definedName>
    <definedName name="man_beg_bud" localSheetId="6">#REF!</definedName>
    <definedName name="man_beg_bud" localSheetId="12">#REF!</definedName>
    <definedName name="man_beg_bud">#REF!</definedName>
    <definedName name="man_end_bud" localSheetId="22">#REF!</definedName>
    <definedName name="man_end_bud" localSheetId="23">#REF!</definedName>
    <definedName name="man_end_bud" localSheetId="30">#REF!</definedName>
    <definedName name="man_end_bud" localSheetId="29">#REF!</definedName>
    <definedName name="man_end_bud" localSheetId="6">#REF!</definedName>
    <definedName name="man_end_bud" localSheetId="12">#REF!</definedName>
    <definedName name="man_end_bud">#REF!</definedName>
    <definedName name="man12ACT" localSheetId="22">#REF!</definedName>
    <definedName name="man12ACT" localSheetId="23">#REF!</definedName>
    <definedName name="man12ACT" localSheetId="30">#REF!</definedName>
    <definedName name="man12ACT" localSheetId="29">#REF!</definedName>
    <definedName name="man12ACT" localSheetId="6">#REF!</definedName>
    <definedName name="man12ACT" localSheetId="12">#REF!</definedName>
    <definedName name="man12ACT">#REF!</definedName>
    <definedName name="MANBUD" localSheetId="22">#REF!</definedName>
    <definedName name="MANBUD" localSheetId="23">#REF!</definedName>
    <definedName name="MANBUD" localSheetId="30">#REF!</definedName>
    <definedName name="MANBUD" localSheetId="29">#REF!</definedName>
    <definedName name="MANBUD" localSheetId="6">#REF!</definedName>
    <definedName name="MANBUD" localSheetId="12">#REF!</definedName>
    <definedName name="MANBUD">#REF!</definedName>
    <definedName name="manCYACT" localSheetId="22">#REF!</definedName>
    <definedName name="manCYACT" localSheetId="23">#REF!</definedName>
    <definedName name="manCYACT" localSheetId="30">#REF!</definedName>
    <definedName name="manCYACT" localSheetId="29">#REF!</definedName>
    <definedName name="manCYACT" localSheetId="6">#REF!</definedName>
    <definedName name="manCYACT" localSheetId="12">#REF!</definedName>
    <definedName name="manCYACT">#REF!</definedName>
    <definedName name="manCYBUD" localSheetId="22">#REF!</definedName>
    <definedName name="manCYBUD" localSheetId="23">#REF!</definedName>
    <definedName name="manCYBUD" localSheetId="30">#REF!</definedName>
    <definedName name="manCYBUD" localSheetId="29">#REF!</definedName>
    <definedName name="manCYBUD" localSheetId="6">#REF!</definedName>
    <definedName name="manCYBUD" localSheetId="12">#REF!</definedName>
    <definedName name="manCYBUD">#REF!</definedName>
    <definedName name="manCYF" localSheetId="22">#REF!</definedName>
    <definedName name="manCYF" localSheetId="23">#REF!</definedName>
    <definedName name="manCYF" localSheetId="30">#REF!</definedName>
    <definedName name="manCYF" localSheetId="29">#REF!</definedName>
    <definedName name="manCYF" localSheetId="6">#REF!</definedName>
    <definedName name="manCYF" localSheetId="12">#REF!</definedName>
    <definedName name="manCYF">#REF!</definedName>
    <definedName name="MANEND" localSheetId="22">#REF!</definedName>
    <definedName name="MANEND" localSheetId="23">#REF!</definedName>
    <definedName name="MANEND" localSheetId="30">#REF!</definedName>
    <definedName name="MANEND" localSheetId="29">#REF!</definedName>
    <definedName name="MANEND" localSheetId="6">#REF!</definedName>
    <definedName name="MANEND" localSheetId="12">#REF!</definedName>
    <definedName name="MANEND">#REF!</definedName>
    <definedName name="manNYbud" localSheetId="22">#REF!</definedName>
    <definedName name="manNYbud" localSheetId="23">#REF!</definedName>
    <definedName name="manNYbud" localSheetId="30">#REF!</definedName>
    <definedName name="manNYbud" localSheetId="29">#REF!</definedName>
    <definedName name="manNYbud" localSheetId="6">#REF!</definedName>
    <definedName name="manNYbud" localSheetId="12">#REF!</definedName>
    <definedName name="manNYbud">#REF!</definedName>
    <definedName name="manpower_costs" localSheetId="22">#REF!</definedName>
    <definedName name="manpower_costs" localSheetId="23">#REF!</definedName>
    <definedName name="manpower_costs" localSheetId="30">#REF!</definedName>
    <definedName name="manpower_costs" localSheetId="29">#REF!</definedName>
    <definedName name="manpower_costs" localSheetId="6">#REF!</definedName>
    <definedName name="manpower_costs" localSheetId="12">#REF!</definedName>
    <definedName name="manpower_costs">#REF!</definedName>
    <definedName name="manPYACT" localSheetId="22">#REF!</definedName>
    <definedName name="manPYACT" localSheetId="23">#REF!</definedName>
    <definedName name="manPYACT" localSheetId="30">#REF!</definedName>
    <definedName name="manPYACT" localSheetId="29">#REF!</definedName>
    <definedName name="manPYACT" localSheetId="6">#REF!</definedName>
    <definedName name="manPYACT" localSheetId="12">#REF!</definedName>
    <definedName name="manPYACT">#REF!</definedName>
    <definedName name="MANSTART" localSheetId="22">#REF!</definedName>
    <definedName name="MANSTART" localSheetId="23">#REF!</definedName>
    <definedName name="MANSTART" localSheetId="30">#REF!</definedName>
    <definedName name="MANSTART" localSheetId="29">#REF!</definedName>
    <definedName name="MANSTART" localSheetId="6">#REF!</definedName>
    <definedName name="MANSTART" localSheetId="12">#REF!</definedName>
    <definedName name="MANSTART">#REF!</definedName>
    <definedName name="mat_beg_bud" localSheetId="22">#REF!</definedName>
    <definedName name="mat_beg_bud" localSheetId="23">#REF!</definedName>
    <definedName name="mat_beg_bud" localSheetId="30">#REF!</definedName>
    <definedName name="mat_beg_bud" localSheetId="29">#REF!</definedName>
    <definedName name="mat_beg_bud" localSheetId="6">#REF!</definedName>
    <definedName name="mat_beg_bud" localSheetId="12">#REF!</definedName>
    <definedName name="mat_beg_bud">#REF!</definedName>
    <definedName name="mat_end_bud" localSheetId="22">#REF!</definedName>
    <definedName name="mat_end_bud" localSheetId="23">#REF!</definedName>
    <definedName name="mat_end_bud" localSheetId="30">#REF!</definedName>
    <definedName name="mat_end_bud" localSheetId="29">#REF!</definedName>
    <definedName name="mat_end_bud" localSheetId="6">#REF!</definedName>
    <definedName name="mat_end_bud" localSheetId="12">#REF!</definedName>
    <definedName name="mat_end_bud">#REF!</definedName>
    <definedName name="mat12ACT" localSheetId="22">#REF!</definedName>
    <definedName name="mat12ACT" localSheetId="23">#REF!</definedName>
    <definedName name="mat12ACT" localSheetId="30">#REF!</definedName>
    <definedName name="mat12ACT" localSheetId="29">#REF!</definedName>
    <definedName name="mat12ACT" localSheetId="6">#REF!</definedName>
    <definedName name="mat12ACT" localSheetId="12">#REF!</definedName>
    <definedName name="mat12ACT">#REF!</definedName>
    <definedName name="MATBUD" localSheetId="22">#REF!</definedName>
    <definedName name="MATBUD" localSheetId="23">#REF!</definedName>
    <definedName name="MATBUD" localSheetId="30">#REF!</definedName>
    <definedName name="MATBUD" localSheetId="29">#REF!</definedName>
    <definedName name="MATBUD" localSheetId="6">#REF!</definedName>
    <definedName name="MATBUD" localSheetId="12">#REF!</definedName>
    <definedName name="MATBUD">#REF!</definedName>
    <definedName name="matCYACT" localSheetId="22">#REF!</definedName>
    <definedName name="matCYACT" localSheetId="23">#REF!</definedName>
    <definedName name="matCYACT" localSheetId="30">#REF!</definedName>
    <definedName name="matCYACT" localSheetId="29">#REF!</definedName>
    <definedName name="matCYACT" localSheetId="6">#REF!</definedName>
    <definedName name="matCYACT" localSheetId="12">#REF!</definedName>
    <definedName name="matCYACT">#REF!</definedName>
    <definedName name="matCYBUD" localSheetId="22">#REF!</definedName>
    <definedName name="matCYBUD" localSheetId="23">#REF!</definedName>
    <definedName name="matCYBUD" localSheetId="30">#REF!</definedName>
    <definedName name="matCYBUD" localSheetId="29">#REF!</definedName>
    <definedName name="matCYBUD" localSheetId="6">#REF!</definedName>
    <definedName name="matCYBUD" localSheetId="12">#REF!</definedName>
    <definedName name="matCYBUD">#REF!</definedName>
    <definedName name="matCYF" localSheetId="22">#REF!</definedName>
    <definedName name="matCYF" localSheetId="23">#REF!</definedName>
    <definedName name="matCYF" localSheetId="30">#REF!</definedName>
    <definedName name="matCYF" localSheetId="29">#REF!</definedName>
    <definedName name="matCYF" localSheetId="6">#REF!</definedName>
    <definedName name="matCYF" localSheetId="12">#REF!</definedName>
    <definedName name="matCYF">#REF!</definedName>
    <definedName name="MATEND" localSheetId="22">#REF!</definedName>
    <definedName name="MATEND" localSheetId="23">#REF!</definedName>
    <definedName name="MATEND" localSheetId="30">#REF!</definedName>
    <definedName name="MATEND" localSheetId="29">#REF!</definedName>
    <definedName name="MATEND" localSheetId="6">#REF!</definedName>
    <definedName name="MATEND" localSheetId="12">#REF!</definedName>
    <definedName name="MATEND">#REF!</definedName>
    <definedName name="material_costs" localSheetId="22">#REF!</definedName>
    <definedName name="material_costs" localSheetId="23">#REF!</definedName>
    <definedName name="material_costs" localSheetId="30">#REF!</definedName>
    <definedName name="material_costs" localSheetId="29">#REF!</definedName>
    <definedName name="material_costs" localSheetId="6">#REF!</definedName>
    <definedName name="material_costs" localSheetId="12">#REF!</definedName>
    <definedName name="material_costs">#REF!</definedName>
    <definedName name="matNYbud" localSheetId="22">#REF!</definedName>
    <definedName name="matNYbud" localSheetId="23">#REF!</definedName>
    <definedName name="matNYbud" localSheetId="30">#REF!</definedName>
    <definedName name="matNYbud" localSheetId="29">#REF!</definedName>
    <definedName name="matNYbud" localSheetId="6">#REF!</definedName>
    <definedName name="matNYbud" localSheetId="12">#REF!</definedName>
    <definedName name="matNYbud">#REF!</definedName>
    <definedName name="matPYACT" localSheetId="22">#REF!</definedName>
    <definedName name="matPYACT" localSheetId="23">#REF!</definedName>
    <definedName name="matPYACT" localSheetId="30">#REF!</definedName>
    <definedName name="matPYACT" localSheetId="29">#REF!</definedName>
    <definedName name="matPYACT" localSheetId="6">#REF!</definedName>
    <definedName name="matPYACT" localSheetId="12">#REF!</definedName>
    <definedName name="matPYACT">#REF!</definedName>
    <definedName name="MATSTART" localSheetId="22">#REF!</definedName>
    <definedName name="MATSTART" localSheetId="23">#REF!</definedName>
    <definedName name="MATSTART" localSheetId="30">#REF!</definedName>
    <definedName name="MATSTART" localSheetId="29">#REF!</definedName>
    <definedName name="MATSTART" localSheetId="6">#REF!</definedName>
    <definedName name="MATSTART" localSheetId="12">#REF!</definedName>
    <definedName name="MATSTART">#REF!</definedName>
    <definedName name="maxtax">#REF!</definedName>
    <definedName name="MidPeak" localSheetId="11">'[8]17. Regulatory Charges'!$D$24</definedName>
    <definedName name="MidPeak" localSheetId="13">'[8]17. Regulatory Charges'!$D$24</definedName>
    <definedName name="MidPeak">#REF!</definedName>
    <definedName name="MidPeakPer">#REF!</definedName>
    <definedName name="Newmarket_SA">'2016 List'!$C$29:$C$30</definedName>
    <definedName name="NonPayment" localSheetId="29">[2]lists!$AA$1:$AA$71</definedName>
    <definedName name="NonPayment" localSheetId="11">[8]lists!$O$1:$O$71</definedName>
    <definedName name="NonPayment" localSheetId="13">[8]lists!$O$1:$O$71</definedName>
    <definedName name="NonPayment">lists!$O$1:$O$71</definedName>
    <definedName name="North_Bay_SA">'2016 List'!$C$39:$C$40</definedName>
    <definedName name="OER">#REF!</definedName>
    <definedName name="OffPeak" localSheetId="11">'[8]17. Regulatory Charges'!$D$23</definedName>
    <definedName name="OffPeak" localSheetId="13">'[8]17. Regulatory Charges'!$D$23</definedName>
    <definedName name="OffPeak">#REF!</definedName>
    <definedName name="OffPeakPer">#REF!</definedName>
    <definedName name="OnPeak" localSheetId="11">'[8]17. Regulatory Charges'!$D$25</definedName>
    <definedName name="OnPeak" localSheetId="13">'[8]17. Regulatory Charges'!$D$25</definedName>
    <definedName name="OnPeak">#REF!</definedName>
    <definedName name="OnPeakPer">#REF!</definedName>
    <definedName name="ontario_sb">#REF!</definedName>
    <definedName name="ontariotax">#REF!</definedName>
    <definedName name="oth_beg_bud" localSheetId="22">#REF!</definedName>
    <definedName name="oth_beg_bud" localSheetId="23">#REF!</definedName>
    <definedName name="oth_beg_bud" localSheetId="30">#REF!</definedName>
    <definedName name="oth_beg_bud" localSheetId="29">#REF!</definedName>
    <definedName name="oth_beg_bud" localSheetId="6">#REF!</definedName>
    <definedName name="oth_beg_bud" localSheetId="12">#REF!</definedName>
    <definedName name="oth_beg_bud">#REF!</definedName>
    <definedName name="oth_end_bud" localSheetId="22">#REF!</definedName>
    <definedName name="oth_end_bud" localSheetId="23">#REF!</definedName>
    <definedName name="oth_end_bud" localSheetId="30">#REF!</definedName>
    <definedName name="oth_end_bud" localSheetId="29">#REF!</definedName>
    <definedName name="oth_end_bud" localSheetId="6">#REF!</definedName>
    <definedName name="oth_end_bud" localSheetId="12">#REF!</definedName>
    <definedName name="oth_end_bud">#REF!</definedName>
    <definedName name="oth12ACT" localSheetId="22">#REF!</definedName>
    <definedName name="oth12ACT" localSheetId="23">#REF!</definedName>
    <definedName name="oth12ACT" localSheetId="30">#REF!</definedName>
    <definedName name="oth12ACT" localSheetId="29">#REF!</definedName>
    <definedName name="oth12ACT" localSheetId="6">#REF!</definedName>
    <definedName name="oth12ACT" localSheetId="12">#REF!</definedName>
    <definedName name="oth12ACT">#REF!</definedName>
    <definedName name="othCYACT" localSheetId="22">#REF!</definedName>
    <definedName name="othCYACT" localSheetId="23">#REF!</definedName>
    <definedName name="othCYACT" localSheetId="30">#REF!</definedName>
    <definedName name="othCYACT" localSheetId="29">#REF!</definedName>
    <definedName name="othCYACT" localSheetId="6">#REF!</definedName>
    <definedName name="othCYACT" localSheetId="12">#REF!</definedName>
    <definedName name="othCYACT">#REF!</definedName>
    <definedName name="othCYBUD" localSheetId="22">#REF!</definedName>
    <definedName name="othCYBUD" localSheetId="23">#REF!</definedName>
    <definedName name="othCYBUD" localSheetId="30">#REF!</definedName>
    <definedName name="othCYBUD" localSheetId="29">#REF!</definedName>
    <definedName name="othCYBUD" localSheetId="6">#REF!</definedName>
    <definedName name="othCYBUD" localSheetId="12">#REF!</definedName>
    <definedName name="othCYBUD">#REF!</definedName>
    <definedName name="othCYF" localSheetId="22">#REF!</definedName>
    <definedName name="othCYF" localSheetId="23">#REF!</definedName>
    <definedName name="othCYF" localSheetId="30">#REF!</definedName>
    <definedName name="othCYF" localSheetId="29">#REF!</definedName>
    <definedName name="othCYF" localSheetId="6">#REF!</definedName>
    <definedName name="othCYF" localSheetId="12">#REF!</definedName>
    <definedName name="othCYF">#REF!</definedName>
    <definedName name="OTHEND" localSheetId="22">#REF!</definedName>
    <definedName name="OTHEND" localSheetId="23">#REF!</definedName>
    <definedName name="OTHEND" localSheetId="30">#REF!</definedName>
    <definedName name="OTHEND" localSheetId="29">#REF!</definedName>
    <definedName name="OTHEND" localSheetId="6">#REF!</definedName>
    <definedName name="OTHEND" localSheetId="12">#REF!</definedName>
    <definedName name="OTHEND">#REF!</definedName>
    <definedName name="other_costs" localSheetId="22">#REF!</definedName>
    <definedName name="other_costs" localSheetId="23">#REF!</definedName>
    <definedName name="other_costs" localSheetId="30">#REF!</definedName>
    <definedName name="other_costs" localSheetId="29">#REF!</definedName>
    <definedName name="other_costs" localSheetId="6">#REF!</definedName>
    <definedName name="other_costs" localSheetId="12">#REF!</definedName>
    <definedName name="other_costs">#REF!</definedName>
    <definedName name="OTHERBUD" localSheetId="22">#REF!</definedName>
    <definedName name="OTHERBUD" localSheetId="23">#REF!</definedName>
    <definedName name="OTHERBUD" localSheetId="30">#REF!</definedName>
    <definedName name="OTHERBUD" localSheetId="29">#REF!</definedName>
    <definedName name="OTHERBUD" localSheetId="6">#REF!</definedName>
    <definedName name="OTHERBUD" localSheetId="12">#REF!</definedName>
    <definedName name="OTHERBUD">#REF!</definedName>
    <definedName name="othNYbud" localSheetId="22">#REF!</definedName>
    <definedName name="othNYbud" localSheetId="23">#REF!</definedName>
    <definedName name="othNYbud" localSheetId="30">#REF!</definedName>
    <definedName name="othNYbud" localSheetId="29">#REF!</definedName>
    <definedName name="othNYbud" localSheetId="6">#REF!</definedName>
    <definedName name="othNYbud" localSheetId="12">#REF!</definedName>
    <definedName name="othNYbud">#REF!</definedName>
    <definedName name="othPYACT" localSheetId="22">#REF!</definedName>
    <definedName name="othPYACT" localSheetId="23">#REF!</definedName>
    <definedName name="othPYACT" localSheetId="30">#REF!</definedName>
    <definedName name="othPYACT" localSheetId="29">#REF!</definedName>
    <definedName name="othPYACT" localSheetId="6">#REF!</definedName>
    <definedName name="othPYACT" localSheetId="12">#REF!</definedName>
    <definedName name="othPYACT">#REF!</definedName>
    <definedName name="OTHSTART" localSheetId="22">#REF!</definedName>
    <definedName name="OTHSTART" localSheetId="23">#REF!</definedName>
    <definedName name="OTHSTART" localSheetId="30">#REF!</definedName>
    <definedName name="OTHSTART" localSheetId="29">#REF!</definedName>
    <definedName name="OTHSTART" localSheetId="6">#REF!</definedName>
    <definedName name="OTHSTART" localSheetId="12">#REF!</definedName>
    <definedName name="OTHSTART">#REF!</definedName>
    <definedName name="passwordlist">'2016 List'!$A$1:$B$66</definedName>
    <definedName name="_xlnm.Print_Area" localSheetId="2">'1. Information Sheet'!$A$1:$X$68</definedName>
    <definedName name="_xlnm.Print_Area" localSheetId="18">'12. RTSR - Historical Wholesale'!$A$1:$P$112</definedName>
    <definedName name="_xlnm.Print_Area" localSheetId="19">'13. RTSR - Current Wholesale'!$A$1:$P$113</definedName>
    <definedName name="_xlnm.Print_Area" localSheetId="20">'14. RTSR - Forecast Wholesale'!$A$1:$P$114</definedName>
    <definedName name="_xlnm.Print_Area" localSheetId="22">'16.1 LV Expense'!$A$1:$J$10</definedName>
    <definedName name="_xlnm.Print_Area" localSheetId="23">'16.2 LV Service Rate'!$A$1:$J$10</definedName>
    <definedName name="_xlnm.Print_Area" localSheetId="30">'20. Bill Impacts hidden'!#REF!</definedName>
    <definedName name="_xlnm.Print_Area" localSheetId="29">'20. HIDDEN'!#REF!</definedName>
    <definedName name="_xlnm.Print_Area" localSheetId="6">'3. Continuity Schedule'!$A$1:$BA$6</definedName>
    <definedName name="_xlnm.Print_Area" localSheetId="8">'4. Billing Det. for Def-Var'!$A$1:$X$38</definedName>
    <definedName name="_xlnm.Print_Area" localSheetId="9">'5. Allocating Def-Var Balances'!$A$1:$N$15</definedName>
    <definedName name="_xlnm.Print_Area" localSheetId="15">'7. Calculation of Def-Var RR'!$A$1:$K$16</definedName>
    <definedName name="print_end" localSheetId="22">#REF!</definedName>
    <definedName name="print_end" localSheetId="23">#REF!</definedName>
    <definedName name="print_end" localSheetId="30">#REF!</definedName>
    <definedName name="print_end" localSheetId="29">#REF!</definedName>
    <definedName name="print_end" localSheetId="6">#REF!</definedName>
    <definedName name="print_end" localSheetId="12">#REF!</definedName>
    <definedName name="print_end">#REF!</definedName>
    <definedName name="_xlnm.Print_Titles" localSheetId="18">'12. RTSR - Historical Wholesale'!$1:$15</definedName>
    <definedName name="_xlnm.Print_Titles" localSheetId="19">'13. RTSR - Current Wholesale'!$1:$15</definedName>
    <definedName name="_xlnm.Print_Titles" localSheetId="20">'14. RTSR - Forecast Wholesale'!$1:$15</definedName>
    <definedName name="_xlnm.Print_Titles" localSheetId="6">'3. Continuity Schedule'!$C:$D,'3. Continuity Schedule'!#REF!</definedName>
    <definedName name="Rate_Class">lists!$A$1:$A$104</definedName>
    <definedName name="RATE_CLASSES" localSheetId="6">[11]lists!$A$1:$A$104</definedName>
    <definedName name="RATE_CLASSES" localSheetId="12">[12]lists!$A$1:$A$104</definedName>
    <definedName name="RATE_CLASSES" localSheetId="11">[13]lists!$A$1:$A$104</definedName>
    <definedName name="RATE_CLASSES" localSheetId="13">[13]lists!$A$1:$A$104</definedName>
    <definedName name="RATE_CLASSES">[2]lists!$A$1:$A$104</definedName>
    <definedName name="ratebase" localSheetId="17">'[4]8. STS - Tax Change'!$N$19</definedName>
    <definedName name="ratebase" localSheetId="6">'[5]7. STS - Tax Change'!$N$19</definedName>
    <definedName name="ratebase" localSheetId="9">'[6]8. STS - Tax Change'!$N$19</definedName>
    <definedName name="ratebase" localSheetId="12">'[7]7. STS - Tax Change'!$N$19</definedName>
    <definedName name="ratebase" localSheetId="11">'[8]8. STS - Tax Change'!$N$19</definedName>
    <definedName name="ratebase" localSheetId="13">'[8]8. STS - Tax Change'!$N$19</definedName>
    <definedName name="ratebase">#REF!</definedName>
    <definedName name="ratedescription" localSheetId="29">[14]hidden1!$D$1:$D$122</definedName>
    <definedName name="ratedescription">[15]hidden1!$D$1:$D$122</definedName>
    <definedName name="RateRiderName">OFFSET('Rate Rider Database'!$C$1,1,0,COUNTA('Rate Rider Database'!$C:$C)-1,1)</definedName>
    <definedName name="RebaseYear" localSheetId="29">'[2]LDC Info'!$E$28</definedName>
    <definedName name="RebaseYear">'[3]LDC Info'!$E$28</definedName>
    <definedName name="SALBENF" localSheetId="22">#REF!</definedName>
    <definedName name="SALBENF" localSheetId="23">#REF!</definedName>
    <definedName name="SALBENF" localSheetId="30">#REF!</definedName>
    <definedName name="SALBENF" localSheetId="29">#REF!</definedName>
    <definedName name="SALBENF" localSheetId="6">#REF!</definedName>
    <definedName name="SALBENF" localSheetId="12">#REF!</definedName>
    <definedName name="SALBENF">#REF!</definedName>
    <definedName name="salreg" localSheetId="22">#REF!</definedName>
    <definedName name="salreg" localSheetId="23">#REF!</definedName>
    <definedName name="salreg" localSheetId="30">#REF!</definedName>
    <definedName name="salreg" localSheetId="29">#REF!</definedName>
    <definedName name="salreg" localSheetId="6">#REF!</definedName>
    <definedName name="salreg" localSheetId="12">#REF!</definedName>
    <definedName name="salreg">#REF!</definedName>
    <definedName name="SALREGF" localSheetId="22">#REF!</definedName>
    <definedName name="SALREGF" localSheetId="23">#REF!</definedName>
    <definedName name="SALREGF" localSheetId="30">#REF!</definedName>
    <definedName name="SALREGF" localSheetId="29">#REF!</definedName>
    <definedName name="SALREGF" localSheetId="6">#REF!</definedName>
    <definedName name="SALREGF" localSheetId="12">#REF!</definedName>
    <definedName name="SALREGF">#REF!</definedName>
    <definedName name="ServiceTerr">'1. Information Sheet'!$F$16</definedName>
    <definedName name="SME">#REF!</definedName>
    <definedName name="SpRange">'16.1 LV Expense'!#REF!</definedName>
    <definedName name="ss">'2016 List'!$C$10:$C$13</definedName>
    <definedName name="StartEnd" localSheetId="17">'[4]2016 Database'!#REF!</definedName>
    <definedName name="StartEnd" localSheetId="6">'[5]2015 Database'!#REF!</definedName>
    <definedName name="StartEnd" localSheetId="9">'[6]2016 Database'!#REF!</definedName>
    <definedName name="StartEnd" localSheetId="12">'[16]2016 Database'!#REF!</definedName>
    <definedName name="StartEnd" localSheetId="11">[8]Database!#REF!</definedName>
    <definedName name="StartEnd" localSheetId="13">[8]Database!#REF!</definedName>
    <definedName name="StartEnd">Database!#REF!</definedName>
    <definedName name="Synergy_SA">'2016 List'!$C$33:$C$34</definedName>
    <definedName name="taxableincome">#REF!</definedName>
    <definedName name="TEMPA" localSheetId="22">#REF!</definedName>
    <definedName name="TEMPA" localSheetId="23">#REF!</definedName>
    <definedName name="TEMPA" localSheetId="30">#REF!</definedName>
    <definedName name="TEMPA" localSheetId="29">#REF!</definedName>
    <definedName name="TEMPA" localSheetId="6">#REF!</definedName>
    <definedName name="TEMPA" localSheetId="12">#REF!</definedName>
    <definedName name="TEMPA">#REF!</definedName>
    <definedName name="TestYear" localSheetId="29">'[2]LDC Info'!$E$24</definedName>
    <definedName name="TestYear">'[3]LDC Info'!$E$24</definedName>
    <definedName name="Total_Current_Wholesale_Line">'13. RTSR - Current Wholesale'!$J$109</definedName>
    <definedName name="Total_Current_Wholesale_Lineplus" localSheetId="6">'[5]12. RTSR - Current Wholesale'!$P$113</definedName>
    <definedName name="Total_Current_Wholesale_Lineplus" localSheetId="12">'[7]12. RTSR - Current Wholesale'!$P$113</definedName>
    <definedName name="Total_Current_Wholesale_Lineplus" localSheetId="11">'[8]13. RTSR - Current Wholesale'!$P$113</definedName>
    <definedName name="Total_Current_Wholesale_Lineplus" localSheetId="13">'[8]13. RTSR - Current Wholesale'!$P$113</definedName>
    <definedName name="Total_Current_Wholesale_Lineplus">'13. RTSR - Current Wholesale'!$P$113</definedName>
    <definedName name="total_current_wholesale_network" localSheetId="6">'[5]12. RTSR - Current Wholesale'!$F$109</definedName>
    <definedName name="total_current_wholesale_network" localSheetId="12">'[7]12. RTSR - Current Wholesale'!$F$109</definedName>
    <definedName name="total_current_wholesale_network" localSheetId="11">'[8]13. RTSR - Current Wholesale'!$F$109</definedName>
    <definedName name="total_current_wholesale_network" localSheetId="13">'[8]13. RTSR - Current Wholesale'!$F$109</definedName>
    <definedName name="total_current_wholesale_network">'13. RTSR - Current Wholesale'!$F$109</definedName>
    <definedName name="total_dept" localSheetId="22">#REF!</definedName>
    <definedName name="total_dept" localSheetId="23">#REF!</definedName>
    <definedName name="total_dept" localSheetId="30">#REF!</definedName>
    <definedName name="total_dept" localSheetId="29">#REF!</definedName>
    <definedName name="total_dept" localSheetId="6">#REF!</definedName>
    <definedName name="total_dept" localSheetId="12">#REF!</definedName>
    <definedName name="total_dept">#REF!</definedName>
    <definedName name="total_manpower" localSheetId="22">#REF!</definedName>
    <definedName name="total_manpower" localSheetId="23">#REF!</definedName>
    <definedName name="total_manpower" localSheetId="30">#REF!</definedName>
    <definedName name="total_manpower" localSheetId="29">#REF!</definedName>
    <definedName name="total_manpower" localSheetId="6">#REF!</definedName>
    <definedName name="total_manpower" localSheetId="12">#REF!</definedName>
    <definedName name="total_manpower">#REF!</definedName>
    <definedName name="total_material" localSheetId="22">#REF!</definedName>
    <definedName name="total_material" localSheetId="23">#REF!</definedName>
    <definedName name="total_material" localSheetId="30">#REF!</definedName>
    <definedName name="total_material" localSheetId="29">#REF!</definedName>
    <definedName name="total_material" localSheetId="6">#REF!</definedName>
    <definedName name="total_material" localSheetId="12">#REF!</definedName>
    <definedName name="total_material">#REF!</definedName>
    <definedName name="total_other" localSheetId="22">#REF!</definedName>
    <definedName name="total_other" localSheetId="23">#REF!</definedName>
    <definedName name="total_other" localSheetId="30">#REF!</definedName>
    <definedName name="total_other" localSheetId="29">#REF!</definedName>
    <definedName name="total_other" localSheetId="6">#REF!</definedName>
    <definedName name="total_other" localSheetId="12">#REF!</definedName>
    <definedName name="total_other">#REF!</definedName>
    <definedName name="total_transportation" localSheetId="22">#REF!</definedName>
    <definedName name="total_transportation" localSheetId="23">#REF!</definedName>
    <definedName name="total_transportation" localSheetId="30">#REF!</definedName>
    <definedName name="total_transportation" localSheetId="29">#REF!</definedName>
    <definedName name="total_transportation" localSheetId="6">#REF!</definedName>
    <definedName name="total_transportation" localSheetId="12">#REF!</definedName>
    <definedName name="total_transportation">#REF!</definedName>
    <definedName name="TRANBUD" localSheetId="22">#REF!</definedName>
    <definedName name="TRANBUD" localSheetId="23">#REF!</definedName>
    <definedName name="TRANBUD" localSheetId="30">#REF!</definedName>
    <definedName name="TRANBUD" localSheetId="29">#REF!</definedName>
    <definedName name="TRANBUD" localSheetId="6">#REF!</definedName>
    <definedName name="TRANBUD" localSheetId="12">#REF!</definedName>
    <definedName name="TRANBUD">#REF!</definedName>
    <definedName name="TranCust">'6. Class A Consumption Data'!$C$19</definedName>
    <definedName name="TranCustb">'6. Class A Consumption Data'!$C$21</definedName>
    <definedName name="TRANEND" localSheetId="22">#REF!</definedName>
    <definedName name="TRANEND" localSheetId="23">#REF!</definedName>
    <definedName name="TRANEND" localSheetId="30">#REF!</definedName>
    <definedName name="TRANEND" localSheetId="29">#REF!</definedName>
    <definedName name="TRANEND" localSheetId="6">#REF!</definedName>
    <definedName name="TRANEND" localSheetId="12">#REF!</definedName>
    <definedName name="TRANEND">#REF!</definedName>
    <definedName name="TransCust">'6. Class A Consumption Data'!$C$19</definedName>
    <definedName name="transportation_costs" localSheetId="22">#REF!</definedName>
    <definedName name="transportation_costs" localSheetId="23">#REF!</definedName>
    <definedName name="transportation_costs" localSheetId="30">#REF!</definedName>
    <definedName name="transportation_costs" localSheetId="29">#REF!</definedName>
    <definedName name="transportation_costs" localSheetId="6">#REF!</definedName>
    <definedName name="transportation_costs" localSheetId="12">#REF!</definedName>
    <definedName name="transportation_costs">#REF!</definedName>
    <definedName name="TRANSTART" localSheetId="22">#REF!</definedName>
    <definedName name="TRANSTART" localSheetId="23">#REF!</definedName>
    <definedName name="TRANSTART" localSheetId="30">#REF!</definedName>
    <definedName name="TRANSTART" localSheetId="29">#REF!</definedName>
    <definedName name="TRANSTART" localSheetId="6">#REF!</definedName>
    <definedName name="TRANSTART" localSheetId="12">#REF!</definedName>
    <definedName name="TRANSTART">#REF!</definedName>
    <definedName name="trn_beg_bud" localSheetId="22">#REF!</definedName>
    <definedName name="trn_beg_bud" localSheetId="23">#REF!</definedName>
    <definedName name="trn_beg_bud" localSheetId="30">#REF!</definedName>
    <definedName name="trn_beg_bud" localSheetId="29">#REF!</definedName>
    <definedName name="trn_beg_bud" localSheetId="6">#REF!</definedName>
    <definedName name="trn_beg_bud" localSheetId="12">#REF!</definedName>
    <definedName name="trn_beg_bud">#REF!</definedName>
    <definedName name="trn_end_bud" localSheetId="22">#REF!</definedName>
    <definedName name="trn_end_bud" localSheetId="23">#REF!</definedName>
    <definedName name="trn_end_bud" localSheetId="30">#REF!</definedName>
    <definedName name="trn_end_bud" localSheetId="29">#REF!</definedName>
    <definedName name="trn_end_bud" localSheetId="6">#REF!</definedName>
    <definedName name="trn_end_bud" localSheetId="12">#REF!</definedName>
    <definedName name="trn_end_bud">#REF!</definedName>
    <definedName name="trn12ACT" localSheetId="22">#REF!</definedName>
    <definedName name="trn12ACT" localSheetId="23">#REF!</definedName>
    <definedName name="trn12ACT" localSheetId="30">#REF!</definedName>
    <definedName name="trn12ACT" localSheetId="29">#REF!</definedName>
    <definedName name="trn12ACT" localSheetId="6">#REF!</definedName>
    <definedName name="trn12ACT" localSheetId="12">#REF!</definedName>
    <definedName name="trn12ACT">#REF!</definedName>
    <definedName name="trnCYACT" localSheetId="22">#REF!</definedName>
    <definedName name="trnCYACT" localSheetId="23">#REF!</definedName>
    <definedName name="trnCYACT" localSheetId="30">#REF!</definedName>
    <definedName name="trnCYACT" localSheetId="29">#REF!</definedName>
    <definedName name="trnCYACT" localSheetId="6">#REF!</definedName>
    <definedName name="trnCYACT" localSheetId="12">#REF!</definedName>
    <definedName name="trnCYACT">#REF!</definedName>
    <definedName name="trnCYBUD" localSheetId="22">#REF!</definedName>
    <definedName name="trnCYBUD" localSheetId="23">#REF!</definedName>
    <definedName name="trnCYBUD" localSheetId="30">#REF!</definedName>
    <definedName name="trnCYBUD" localSheetId="29">#REF!</definedName>
    <definedName name="trnCYBUD" localSheetId="6">#REF!</definedName>
    <definedName name="trnCYBUD" localSheetId="12">#REF!</definedName>
    <definedName name="trnCYBUD">#REF!</definedName>
    <definedName name="trnCYF" localSheetId="22">#REF!</definedName>
    <definedName name="trnCYF" localSheetId="23">#REF!</definedName>
    <definedName name="trnCYF" localSheetId="30">#REF!</definedName>
    <definedName name="trnCYF" localSheetId="29">#REF!</definedName>
    <definedName name="trnCYF" localSheetId="6">#REF!</definedName>
    <definedName name="trnCYF" localSheetId="12">#REF!</definedName>
    <definedName name="trnCYF">#REF!</definedName>
    <definedName name="trnNYbud" localSheetId="22">#REF!</definedName>
    <definedName name="trnNYbud" localSheetId="23">#REF!</definedName>
    <definedName name="trnNYbud" localSheetId="30">#REF!</definedName>
    <definedName name="trnNYbud" localSheetId="29">#REF!</definedName>
    <definedName name="trnNYbud" localSheetId="6">#REF!</definedName>
    <definedName name="trnNYbud" localSheetId="12">#REF!</definedName>
    <definedName name="trnNYbud">#REF!</definedName>
    <definedName name="trnPYACT" localSheetId="22">#REF!</definedName>
    <definedName name="trnPYACT" localSheetId="23">#REF!</definedName>
    <definedName name="trnPYACT" localSheetId="30">#REF!</definedName>
    <definedName name="trnPYACT" localSheetId="29">#REF!</definedName>
    <definedName name="trnPYACT" localSheetId="6">#REF!</definedName>
    <definedName name="trnPYACT" localSheetId="12">#REF!</definedName>
    <definedName name="trnPYACT">#REF!</definedName>
    <definedName name="Units" localSheetId="29">[2]lists!$N$2:$N$5</definedName>
    <definedName name="units" localSheetId="6">[15]hidden1!$J$3:$J$8</definedName>
    <definedName name="Units">lists!$N$2:$N$5</definedName>
    <definedName name="Units1" localSheetId="11">[8]lists!#REF!</definedName>
    <definedName name="Units1" localSheetId="13">[8]lists!#REF!</definedName>
    <definedName name="Units1">lists!#REF!</definedName>
    <definedName name="Units2" localSheetId="11">[8]lists!#REF!</definedName>
    <definedName name="Units2" localSheetId="13">[8]lists!#REF!</definedName>
    <definedName name="Units2">lists!#REF!</definedName>
    <definedName name="Utility">[9]Financials!$A$1</definedName>
    <definedName name="utitliy1">[17]Financials!$A$1</definedName>
    <definedName name="WAGBENF" localSheetId="22">#REF!</definedName>
    <definedName name="WAGBENF" localSheetId="23">#REF!</definedName>
    <definedName name="WAGBENF" localSheetId="30">#REF!</definedName>
    <definedName name="WAGBENF" localSheetId="29">#REF!</definedName>
    <definedName name="WAGBENF" localSheetId="6">#REF!</definedName>
    <definedName name="WAGBENF" localSheetId="12">#REF!</definedName>
    <definedName name="WAGBENF">#REF!</definedName>
    <definedName name="wagdob" localSheetId="22">#REF!</definedName>
    <definedName name="wagdob" localSheetId="23">#REF!</definedName>
    <definedName name="wagdob" localSheetId="30">#REF!</definedName>
    <definedName name="wagdob" localSheetId="29">#REF!</definedName>
    <definedName name="wagdob" localSheetId="6">#REF!</definedName>
    <definedName name="wagdob" localSheetId="12">#REF!</definedName>
    <definedName name="wagdob">#REF!</definedName>
    <definedName name="wagdobf" localSheetId="22">#REF!</definedName>
    <definedName name="wagdobf" localSheetId="23">#REF!</definedName>
    <definedName name="wagdobf" localSheetId="30">#REF!</definedName>
    <definedName name="wagdobf" localSheetId="29">#REF!</definedName>
    <definedName name="wagdobf" localSheetId="6">#REF!</definedName>
    <definedName name="wagdobf" localSheetId="12">#REF!</definedName>
    <definedName name="wagdobf">#REF!</definedName>
    <definedName name="wagreg" localSheetId="22">#REF!</definedName>
    <definedName name="wagreg" localSheetId="23">#REF!</definedName>
    <definedName name="wagreg" localSheetId="30">#REF!</definedName>
    <definedName name="wagreg" localSheetId="29">#REF!</definedName>
    <definedName name="wagreg" localSheetId="6">#REF!</definedName>
    <definedName name="wagreg" localSheetId="12">#REF!</definedName>
    <definedName name="wagreg">#REF!</definedName>
    <definedName name="wagregf" localSheetId="22">#REF!</definedName>
    <definedName name="wagregf" localSheetId="23">#REF!</definedName>
    <definedName name="wagregf" localSheetId="30">#REF!</definedName>
    <definedName name="wagregf" localSheetId="29">#REF!</definedName>
    <definedName name="wagregf" localSheetId="6">#REF!</definedName>
    <definedName name="wagregf" localSheetId="12">#REF!</definedName>
    <definedName name="wagregf">#REF!</definedName>
    <definedName name="YRS_LEFT" localSheetId="17">'[4]16. Rev2Cost_GDPIPI'!$F$14</definedName>
    <definedName name="YRS_LEFT" localSheetId="22">'16.1 LV Expense'!#REF!</definedName>
    <definedName name="YRS_LEFT" localSheetId="23">'16.2 LV Service Rate'!#REF!</definedName>
    <definedName name="YRS_LEFT" localSheetId="6">'[5]15. Rev2Cost_GDPIPI'!$F$14</definedName>
    <definedName name="YRS_LEFT" localSheetId="9">'[6]16. Rev2Cost_GDPIPI'!$F$14</definedName>
    <definedName name="YRS_LEFT" localSheetId="12">'[7]15. Rev2Cost_GDPIPI'!$F$14</definedName>
    <definedName name="YRS_LEFT">#REF!</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4" i="108" l="1"/>
  <c r="T24" i="108"/>
  <c r="B25" i="107"/>
  <c r="B16" i="107"/>
  <c r="B17" i="107"/>
  <c r="B18" i="107" s="1"/>
  <c r="B19" i="107" s="1"/>
  <c r="B20" i="107" s="1"/>
  <c r="B21" i="107" s="1"/>
  <c r="B22" i="107" s="1"/>
  <c r="B23" i="107" s="1"/>
  <c r="B24" i="107" s="1"/>
  <c r="B6" i="107"/>
  <c r="B7" i="107" s="1"/>
  <c r="B8" i="107" s="1"/>
  <c r="B9" i="107" s="1"/>
  <c r="B10" i="107" s="1"/>
  <c r="B11" i="107" s="1"/>
  <c r="B12" i="107" s="1"/>
  <c r="B13" i="107" s="1"/>
  <c r="B14" i="107" s="1"/>
  <c r="B15" i="107" s="1"/>
  <c r="W25" i="85"/>
  <c r="W24" i="85"/>
  <c r="W23" i="85"/>
  <c r="W22" i="85"/>
  <c r="W21" i="85"/>
  <c r="W20" i="85"/>
  <c r="W19" i="85"/>
  <c r="W18" i="85"/>
  <c r="W17" i="85"/>
  <c r="E27" i="108" l="1"/>
  <c r="D27" i="108"/>
  <c r="C27" i="108"/>
  <c r="M26" i="108"/>
  <c r="J26" i="108"/>
  <c r="K25" i="108"/>
  <c r="J25" i="108"/>
  <c r="M25" i="108"/>
  <c r="M24" i="108"/>
  <c r="K24" i="108"/>
  <c r="J24" i="108"/>
  <c r="AD23" i="108"/>
  <c r="AD27" i="108"/>
  <c r="L23" i="108"/>
  <c r="K23" i="108"/>
  <c r="J23" i="108"/>
  <c r="M23" i="108"/>
  <c r="AL22" i="108"/>
  <c r="AD22" i="108"/>
  <c r="L22" i="108"/>
  <c r="K22" i="108"/>
  <c r="J22" i="108"/>
  <c r="M22" i="108"/>
  <c r="AL21" i="108"/>
  <c r="AD21" i="108"/>
  <c r="L21" i="108"/>
  <c r="L27" i="108"/>
  <c r="K21" i="108"/>
  <c r="K27" i="108"/>
  <c r="J21" i="108"/>
  <c r="M21" i="108"/>
  <c r="K20" i="108"/>
  <c r="J20" i="108"/>
  <c r="M20" i="108"/>
  <c r="J19" i="108"/>
  <c r="M19" i="108"/>
  <c r="J18" i="108"/>
  <c r="J27" i="108"/>
  <c r="AD17" i="108"/>
  <c r="AC17" i="108"/>
  <c r="AB17" i="108"/>
  <c r="T17" i="108"/>
  <c r="U17" i="108"/>
  <c r="AG16" i="108"/>
  <c r="Q16" i="108"/>
  <c r="J16" i="108"/>
  <c r="B10" i="108"/>
  <c r="G16" i="108"/>
  <c r="C16" i="108"/>
  <c r="J12" i="108"/>
  <c r="B9" i="108"/>
  <c r="D8" i="108"/>
  <c r="D9" i="108"/>
  <c r="D12" i="108" s="1"/>
  <c r="B7" i="108"/>
  <c r="AL27" i="108"/>
  <c r="AL23" i="108"/>
  <c r="M18" i="108"/>
  <c r="M27" i="108"/>
  <c r="D10" i="108"/>
  <c r="D11" i="108"/>
  <c r="D20" i="89"/>
  <c r="B5" i="107"/>
  <c r="C29" i="13"/>
  <c r="C28" i="13"/>
  <c r="BI48" i="74"/>
  <c r="BF48" i="74"/>
  <c r="BA48" i="74"/>
  <c r="AZ48" i="74"/>
  <c r="AP48" i="74"/>
  <c r="AJ48" i="74"/>
  <c r="AB48" i="74"/>
  <c r="Z48" i="74"/>
  <c r="R48" i="74"/>
  <c r="L48" i="74"/>
  <c r="J48" i="74"/>
  <c r="E48" i="74"/>
  <c r="AN47" i="74"/>
  <c r="AR47" i="74"/>
  <c r="AX47" i="74"/>
  <c r="BB47" i="74"/>
  <c r="BH47" i="74"/>
  <c r="BL47" i="74"/>
  <c r="BP47" i="74"/>
  <c r="BS47" i="74"/>
  <c r="AI47" i="74"/>
  <c r="AM47" i="74"/>
  <c r="AS47" i="74"/>
  <c r="AW47" i="74"/>
  <c r="BC47" i="74"/>
  <c r="BG47" i="74"/>
  <c r="BO47" i="74"/>
  <c r="BT47" i="74"/>
  <c r="AH46" i="74"/>
  <c r="AN46" i="74"/>
  <c r="AR46" i="74"/>
  <c r="AX46" i="74"/>
  <c r="BB46" i="74"/>
  <c r="BH46" i="74"/>
  <c r="BL46" i="74"/>
  <c r="BP46" i="74"/>
  <c r="BS46" i="74"/>
  <c r="AD46" i="74"/>
  <c r="AC46" i="74"/>
  <c r="AI46" i="74"/>
  <c r="AM46" i="74"/>
  <c r="AS46" i="74"/>
  <c r="AW46" i="74"/>
  <c r="BC46" i="74"/>
  <c r="BG46" i="74"/>
  <c r="BO46" i="74"/>
  <c r="BT46" i="74"/>
  <c r="X46" i="74"/>
  <c r="S46" i="74"/>
  <c r="Y46" i="74"/>
  <c r="BR45" i="74"/>
  <c r="BQ45" i="74"/>
  <c r="BJ45" i="74"/>
  <c r="BI45" i="74"/>
  <c r="BA45" i="74"/>
  <c r="AQ45" i="74"/>
  <c r="AL45" i="74"/>
  <c r="AK45" i="74"/>
  <c r="U45" i="74"/>
  <c r="M45" i="74"/>
  <c r="F45" i="74"/>
  <c r="E45" i="74"/>
  <c r="BR44" i="74"/>
  <c r="BQ44" i="74"/>
  <c r="BM44" i="74"/>
  <c r="BK44" i="74"/>
  <c r="BJ44" i="74"/>
  <c r="BI44" i="74"/>
  <c r="BF44" i="74"/>
  <c r="BE44" i="74"/>
  <c r="BD44" i="74"/>
  <c r="BA44" i="74"/>
  <c r="AZ44" i="74"/>
  <c r="AY44" i="74"/>
  <c r="AV44" i="74"/>
  <c r="AU44" i="74"/>
  <c r="AT44" i="74"/>
  <c r="AT45" i="74"/>
  <c r="AQ44" i="74"/>
  <c r="AP44" i="74"/>
  <c r="AO44" i="74"/>
  <c r="AL44" i="74"/>
  <c r="AK44" i="74"/>
  <c r="AJ44" i="74"/>
  <c r="AG44" i="74"/>
  <c r="AF44" i="74"/>
  <c r="AE44" i="74"/>
  <c r="AB44" i="74"/>
  <c r="AA44" i="74"/>
  <c r="Z44" i="74"/>
  <c r="W44" i="74"/>
  <c r="V44" i="74"/>
  <c r="V45" i="74"/>
  <c r="U44" i="74"/>
  <c r="R44" i="74"/>
  <c r="Q44" i="74"/>
  <c r="P44" i="74"/>
  <c r="M44" i="74"/>
  <c r="L44" i="74"/>
  <c r="K44" i="74"/>
  <c r="J44" i="74"/>
  <c r="H44" i="74"/>
  <c r="G44" i="74"/>
  <c r="F44" i="74"/>
  <c r="E44" i="74"/>
  <c r="BR43" i="74"/>
  <c r="BQ43" i="74"/>
  <c r="BN43" i="74"/>
  <c r="BM43" i="74"/>
  <c r="BK43" i="74"/>
  <c r="BK45" i="74"/>
  <c r="BJ43" i="74"/>
  <c r="BI43" i="74"/>
  <c r="BF43" i="74"/>
  <c r="BF45" i="74"/>
  <c r="BE43" i="74"/>
  <c r="BE45" i="74"/>
  <c r="BD43" i="74"/>
  <c r="BA43" i="74"/>
  <c r="AZ43" i="74"/>
  <c r="AZ45" i="74"/>
  <c r="AY43" i="74"/>
  <c r="AY45" i="74"/>
  <c r="AV43" i="74"/>
  <c r="AU43" i="74"/>
  <c r="AU45" i="74"/>
  <c r="AT43" i="74"/>
  <c r="AQ43" i="74"/>
  <c r="AP43" i="74"/>
  <c r="AP45" i="74"/>
  <c r="AO43" i="74"/>
  <c r="AO45" i="74"/>
  <c r="AL43" i="74"/>
  <c r="AK43" i="74"/>
  <c r="AJ43" i="74"/>
  <c r="AJ45" i="74"/>
  <c r="AG43" i="74"/>
  <c r="AF43" i="74"/>
  <c r="AE43" i="74"/>
  <c r="AE45" i="74"/>
  <c r="AB43" i="74"/>
  <c r="AB45" i="74"/>
  <c r="AA43" i="74"/>
  <c r="AA45" i="74"/>
  <c r="Z43" i="74"/>
  <c r="Z45" i="74"/>
  <c r="W43" i="74"/>
  <c r="W45" i="74"/>
  <c r="V43" i="74"/>
  <c r="U43" i="74"/>
  <c r="S43" i="74"/>
  <c r="R43" i="74"/>
  <c r="R45" i="74"/>
  <c r="Q43" i="74"/>
  <c r="P43" i="74"/>
  <c r="M43" i="74"/>
  <c r="L43" i="74"/>
  <c r="L45" i="74"/>
  <c r="K43" i="74"/>
  <c r="K45" i="74"/>
  <c r="J43" i="74"/>
  <c r="J45" i="74"/>
  <c r="I43" i="74"/>
  <c r="H43" i="74"/>
  <c r="H45" i="74"/>
  <c r="G43" i="74"/>
  <c r="G45" i="74"/>
  <c r="F43" i="74"/>
  <c r="E43" i="74"/>
  <c r="BR41" i="74"/>
  <c r="BR48" i="74"/>
  <c r="BQ41" i="74"/>
  <c r="BM41" i="74"/>
  <c r="BM48" i="74"/>
  <c r="BK41" i="74"/>
  <c r="BJ41" i="74"/>
  <c r="BJ48" i="74"/>
  <c r="BI41" i="74"/>
  <c r="BI40" i="74"/>
  <c r="BF41" i="74"/>
  <c r="BE41" i="74"/>
  <c r="BE48" i="74"/>
  <c r="BD41" i="74"/>
  <c r="BA41" i="74"/>
  <c r="BA40" i="74"/>
  <c r="AZ41" i="74"/>
  <c r="AY41" i="74"/>
  <c r="AY48" i="74"/>
  <c r="AV41" i="74"/>
  <c r="AU41" i="74"/>
  <c r="AT41" i="74"/>
  <c r="AT48" i="74"/>
  <c r="AQ41" i="74"/>
  <c r="AQ48" i="74"/>
  <c r="AP41" i="74"/>
  <c r="AO41" i="74"/>
  <c r="AO48" i="74"/>
  <c r="AL41" i="74"/>
  <c r="AL48" i="74"/>
  <c r="AK41" i="74"/>
  <c r="AK40" i="74"/>
  <c r="AJ41" i="74"/>
  <c r="AG41" i="74"/>
  <c r="AG48" i="74"/>
  <c r="AF41" i="74"/>
  <c r="AE41" i="74"/>
  <c r="AB41" i="74"/>
  <c r="AA41" i="74"/>
  <c r="AA48" i="74"/>
  <c r="Z41" i="74"/>
  <c r="W41" i="74"/>
  <c r="V41" i="74"/>
  <c r="V48" i="74"/>
  <c r="U41" i="74"/>
  <c r="U40" i="74"/>
  <c r="R41" i="74"/>
  <c r="Q41" i="74"/>
  <c r="Q48" i="74"/>
  <c r="P41" i="74"/>
  <c r="M41" i="74"/>
  <c r="L41" i="74"/>
  <c r="K41" i="74"/>
  <c r="K48" i="74"/>
  <c r="J41" i="74"/>
  <c r="H41" i="74"/>
  <c r="G41" i="74"/>
  <c r="F41" i="74"/>
  <c r="F48" i="74"/>
  <c r="E41" i="74"/>
  <c r="E40" i="74"/>
  <c r="BR40" i="74"/>
  <c r="BM40" i="74"/>
  <c r="BJ40" i="74"/>
  <c r="BF40" i="74"/>
  <c r="BE40" i="74"/>
  <c r="AZ40" i="74"/>
  <c r="AY40" i="74"/>
  <c r="AT40" i="74"/>
  <c r="AQ40" i="74"/>
  <c r="AP40" i="74"/>
  <c r="AO40" i="74"/>
  <c r="AL40" i="74"/>
  <c r="AJ40" i="74"/>
  <c r="AG40" i="74"/>
  <c r="AB40" i="74"/>
  <c r="AA40" i="74"/>
  <c r="Z40" i="74"/>
  <c r="V40" i="74"/>
  <c r="R40" i="74"/>
  <c r="Q40" i="74"/>
  <c r="L40" i="74"/>
  <c r="K40" i="74"/>
  <c r="J40" i="74"/>
  <c r="F40" i="74"/>
  <c r="BR39" i="74"/>
  <c r="BQ39" i="74"/>
  <c r="BN39" i="74"/>
  <c r="BM39" i="74"/>
  <c r="BK39" i="74"/>
  <c r="BJ39" i="74"/>
  <c r="BI39" i="74"/>
  <c r="BF39" i="74"/>
  <c r="BE39" i="74"/>
  <c r="BD39" i="74"/>
  <c r="BA39" i="74"/>
  <c r="AZ39" i="74"/>
  <c r="AY39" i="74"/>
  <c r="AV39" i="74"/>
  <c r="AU39" i="74"/>
  <c r="AT39" i="74"/>
  <c r="AQ39" i="74"/>
  <c r="AP39" i="74"/>
  <c r="AO39" i="74"/>
  <c r="AL39" i="74"/>
  <c r="AK39" i="74"/>
  <c r="AJ39" i="74"/>
  <c r="AG39" i="74"/>
  <c r="AF39" i="74"/>
  <c r="AE39" i="74"/>
  <c r="AB39" i="74"/>
  <c r="AA39" i="74"/>
  <c r="Z39" i="74"/>
  <c r="W39" i="74"/>
  <c r="V39" i="74"/>
  <c r="U39" i="74"/>
  <c r="R39" i="74"/>
  <c r="Q39" i="74"/>
  <c r="P39" i="74"/>
  <c r="O39" i="74"/>
  <c r="M39" i="74"/>
  <c r="L39" i="74"/>
  <c r="K39" i="74"/>
  <c r="J39" i="74"/>
  <c r="H39" i="74"/>
  <c r="G39" i="74"/>
  <c r="F39" i="74"/>
  <c r="E39" i="74"/>
  <c r="BT37" i="74"/>
  <c r="T37" i="74"/>
  <c r="X37" i="74"/>
  <c r="AD37" i="74"/>
  <c r="AH37" i="74"/>
  <c r="AN37" i="74"/>
  <c r="AR37" i="74"/>
  <c r="AX37" i="74"/>
  <c r="BB37" i="74"/>
  <c r="BH37" i="74"/>
  <c r="BL37" i="74"/>
  <c r="BP37" i="74"/>
  <c r="BS37" i="74"/>
  <c r="O37" i="74"/>
  <c r="S37" i="74"/>
  <c r="Y37" i="74"/>
  <c r="AC37" i="74"/>
  <c r="AI37" i="74"/>
  <c r="AM37" i="74"/>
  <c r="AS37" i="74"/>
  <c r="AW37" i="74"/>
  <c r="BC37" i="74"/>
  <c r="BG37" i="74"/>
  <c r="BO37" i="74"/>
  <c r="N37" i="74"/>
  <c r="I37" i="74"/>
  <c r="BT36" i="74"/>
  <c r="AN36" i="74"/>
  <c r="AR36" i="74"/>
  <c r="AX36" i="74"/>
  <c r="BB36" i="74"/>
  <c r="BH36" i="74"/>
  <c r="BL36" i="74"/>
  <c r="BP36" i="74"/>
  <c r="BS36" i="74"/>
  <c r="T36" i="74"/>
  <c r="X36" i="74"/>
  <c r="AD36" i="74"/>
  <c r="AH36" i="74"/>
  <c r="S36" i="74"/>
  <c r="Y36" i="74"/>
  <c r="AC36" i="74"/>
  <c r="AI36" i="74"/>
  <c r="AM36" i="74"/>
  <c r="AS36" i="74"/>
  <c r="AW36" i="74"/>
  <c r="BC36" i="74"/>
  <c r="BG36" i="74"/>
  <c r="BO36" i="74"/>
  <c r="O36" i="74"/>
  <c r="N36" i="74"/>
  <c r="I36" i="74"/>
  <c r="BT35" i="74"/>
  <c r="AR35" i="74"/>
  <c r="AX35" i="74"/>
  <c r="BB35" i="74"/>
  <c r="BH35" i="74"/>
  <c r="BL35" i="74"/>
  <c r="BP35" i="74"/>
  <c r="BS35" i="74"/>
  <c r="N35" i="74"/>
  <c r="T35" i="74"/>
  <c r="X35" i="74"/>
  <c r="AD35" i="74"/>
  <c r="AH35" i="74"/>
  <c r="AN35" i="74"/>
  <c r="I35" i="74"/>
  <c r="O35" i="74"/>
  <c r="S35" i="74"/>
  <c r="Y35" i="74"/>
  <c r="AC35" i="74"/>
  <c r="AI35" i="74"/>
  <c r="AM35" i="74"/>
  <c r="AS35" i="74"/>
  <c r="AW35" i="74"/>
  <c r="BC35" i="74"/>
  <c r="BG35" i="74"/>
  <c r="BO35" i="74"/>
  <c r="AR34" i="74"/>
  <c r="AX34" i="74"/>
  <c r="BB34" i="74"/>
  <c r="BH34" i="74"/>
  <c r="BL34" i="74"/>
  <c r="BP34" i="74"/>
  <c r="BS34" i="74"/>
  <c r="O34" i="74"/>
  <c r="S34" i="74"/>
  <c r="Y34" i="74"/>
  <c r="AC34" i="74"/>
  <c r="AI34" i="74"/>
  <c r="AM34" i="74"/>
  <c r="AS34" i="74"/>
  <c r="AW34" i="74"/>
  <c r="BC34" i="74"/>
  <c r="BG34" i="74"/>
  <c r="BO34" i="74"/>
  <c r="BT34" i="74"/>
  <c r="N34" i="74"/>
  <c r="T34" i="74"/>
  <c r="X34" i="74"/>
  <c r="AD34" i="74"/>
  <c r="AH34" i="74"/>
  <c r="AN34" i="74"/>
  <c r="I34" i="74"/>
  <c r="BT33" i="74"/>
  <c r="AC33" i="74"/>
  <c r="AI33" i="74"/>
  <c r="AM33" i="74"/>
  <c r="AS33" i="74"/>
  <c r="AW33" i="74"/>
  <c r="BC33" i="74"/>
  <c r="BG33" i="74"/>
  <c r="BO33" i="74"/>
  <c r="O33" i="74"/>
  <c r="S33" i="74"/>
  <c r="Y33" i="74"/>
  <c r="N33" i="74"/>
  <c r="T33" i="74"/>
  <c r="X33" i="74"/>
  <c r="AD33" i="74"/>
  <c r="AH33" i="74"/>
  <c r="AN33" i="74"/>
  <c r="AR33" i="74"/>
  <c r="AX33" i="74"/>
  <c r="BB33" i="74"/>
  <c r="BH33" i="74"/>
  <c r="BL33" i="74"/>
  <c r="BP33" i="74"/>
  <c r="BS33" i="74"/>
  <c r="I33" i="74"/>
  <c r="BO32" i="74"/>
  <c r="AN32" i="74"/>
  <c r="AR32" i="74"/>
  <c r="AX32" i="74"/>
  <c r="BB32" i="74"/>
  <c r="BH32" i="74"/>
  <c r="BL32" i="74"/>
  <c r="BP32" i="74"/>
  <c r="BS32" i="74"/>
  <c r="T32" i="74"/>
  <c r="X32" i="74"/>
  <c r="AD32" i="74"/>
  <c r="AH32" i="74"/>
  <c r="S32" i="74"/>
  <c r="Y32" i="74"/>
  <c r="AC32" i="74"/>
  <c r="AI32" i="74"/>
  <c r="AM32" i="74"/>
  <c r="AS32" i="74"/>
  <c r="AW32" i="74"/>
  <c r="BC32" i="74"/>
  <c r="BG32" i="74"/>
  <c r="O32" i="74"/>
  <c r="N32" i="74"/>
  <c r="I32" i="74"/>
  <c r="BT31" i="74"/>
  <c r="BG31" i="74"/>
  <c r="BO31" i="74"/>
  <c r="AD31" i="74"/>
  <c r="AH31" i="74"/>
  <c r="AN31" i="74"/>
  <c r="AR31" i="74"/>
  <c r="AX31" i="74"/>
  <c r="BB31" i="74"/>
  <c r="BH31" i="74"/>
  <c r="BL31" i="74"/>
  <c r="BP31" i="74"/>
  <c r="BS31" i="74"/>
  <c r="X31" i="74"/>
  <c r="N31" i="74"/>
  <c r="T31" i="74"/>
  <c r="I31" i="74"/>
  <c r="O31" i="74"/>
  <c r="S31" i="74"/>
  <c r="Y31" i="74"/>
  <c r="AC31" i="74"/>
  <c r="AI31" i="74"/>
  <c r="AM31" i="74"/>
  <c r="AS31" i="74"/>
  <c r="AW31" i="74"/>
  <c r="BC31" i="74"/>
  <c r="BT30" i="74"/>
  <c r="AW30" i="74"/>
  <c r="BC30" i="74"/>
  <c r="BG30" i="74"/>
  <c r="BO30" i="74"/>
  <c r="X30" i="74"/>
  <c r="AD30" i="74"/>
  <c r="AH30" i="74"/>
  <c r="AN30" i="74"/>
  <c r="AR30" i="74"/>
  <c r="AX30" i="74"/>
  <c r="BB30" i="74"/>
  <c r="BH30" i="74"/>
  <c r="BL30" i="74"/>
  <c r="BP30" i="74"/>
  <c r="BS30" i="74"/>
  <c r="S30" i="74"/>
  <c r="Y30" i="74"/>
  <c r="AC30" i="74"/>
  <c r="AI30" i="74"/>
  <c r="AM30" i="74"/>
  <c r="AS30" i="74"/>
  <c r="O30" i="74"/>
  <c r="N30" i="74"/>
  <c r="T30" i="74"/>
  <c r="I30" i="74"/>
  <c r="S29" i="74"/>
  <c r="O29" i="74"/>
  <c r="N29" i="74"/>
  <c r="I29" i="74"/>
  <c r="I39" i="74"/>
  <c r="T28" i="74"/>
  <c r="X28" i="74"/>
  <c r="AD28" i="74"/>
  <c r="AH28" i="74"/>
  <c r="AN28" i="74"/>
  <c r="AR28" i="74"/>
  <c r="AX28" i="74"/>
  <c r="BB28" i="74"/>
  <c r="BH28" i="74"/>
  <c r="BL28" i="74"/>
  <c r="BP28" i="74"/>
  <c r="BS28" i="74"/>
  <c r="S28" i="74"/>
  <c r="Y28" i="74"/>
  <c r="AC28" i="74"/>
  <c r="AI28" i="74"/>
  <c r="AM28" i="74"/>
  <c r="AS28" i="74"/>
  <c r="AW28" i="74"/>
  <c r="BC28" i="74"/>
  <c r="BG28" i="74"/>
  <c r="BO28" i="74"/>
  <c r="BT28" i="74"/>
  <c r="O28" i="74"/>
  <c r="N28" i="74"/>
  <c r="I28" i="74"/>
  <c r="AH27" i="74"/>
  <c r="AN27" i="74"/>
  <c r="AR27" i="74"/>
  <c r="AX27" i="74"/>
  <c r="BB27" i="74"/>
  <c r="BH27" i="74"/>
  <c r="BL27" i="74"/>
  <c r="BP27" i="74"/>
  <c r="BS27" i="74"/>
  <c r="N27" i="74"/>
  <c r="T27" i="74"/>
  <c r="X27" i="74"/>
  <c r="AD27" i="74"/>
  <c r="I27" i="74"/>
  <c r="O27" i="74"/>
  <c r="S27" i="74"/>
  <c r="Y27" i="74"/>
  <c r="AC27" i="74"/>
  <c r="AI27" i="74"/>
  <c r="AM27" i="74"/>
  <c r="AS27" i="74"/>
  <c r="AW27" i="74"/>
  <c r="BC27" i="74"/>
  <c r="BG27" i="74"/>
  <c r="BO27" i="74"/>
  <c r="N26" i="74"/>
  <c r="T26" i="74"/>
  <c r="X26" i="74"/>
  <c r="AD26" i="74"/>
  <c r="AH26" i="74"/>
  <c r="AN26" i="74"/>
  <c r="AR26" i="74"/>
  <c r="AX26" i="74"/>
  <c r="BB26" i="74"/>
  <c r="BH26" i="74"/>
  <c r="BL26" i="74"/>
  <c r="BP26" i="74"/>
  <c r="BS26" i="74"/>
  <c r="I26" i="74"/>
  <c r="O26" i="74"/>
  <c r="S26" i="74"/>
  <c r="Y26" i="74"/>
  <c r="AC26" i="74"/>
  <c r="AI26" i="74"/>
  <c r="AM26" i="74"/>
  <c r="AS26" i="74"/>
  <c r="AW26" i="74"/>
  <c r="BC26" i="74"/>
  <c r="BG26" i="74"/>
  <c r="BO26" i="74"/>
  <c r="BT26" i="74"/>
  <c r="X25" i="74"/>
  <c r="AD25" i="74"/>
  <c r="AH25" i="74"/>
  <c r="AN25" i="74"/>
  <c r="AR25" i="74"/>
  <c r="AX25" i="74"/>
  <c r="BB25" i="74"/>
  <c r="BH25" i="74"/>
  <c r="BL25" i="74"/>
  <c r="BP25" i="74"/>
  <c r="BS25" i="74"/>
  <c r="O25" i="74"/>
  <c r="S25" i="74"/>
  <c r="Y25" i="74"/>
  <c r="AC25" i="74"/>
  <c r="AI25" i="74"/>
  <c r="AM25" i="74"/>
  <c r="AS25" i="74"/>
  <c r="AW25" i="74"/>
  <c r="BC25" i="74"/>
  <c r="BG25" i="74"/>
  <c r="BO25" i="74"/>
  <c r="BT25" i="74"/>
  <c r="N25" i="74"/>
  <c r="T25" i="74"/>
  <c r="I25" i="74"/>
  <c r="BT24" i="74"/>
  <c r="BP24" i="74"/>
  <c r="BS24" i="74"/>
  <c r="AR24" i="74"/>
  <c r="AX24" i="74"/>
  <c r="BB24" i="74"/>
  <c r="BH24" i="74"/>
  <c r="BL24" i="74"/>
  <c r="X24" i="74"/>
  <c r="AD24" i="74"/>
  <c r="AH24" i="74"/>
  <c r="AN24" i="74"/>
  <c r="T24" i="74"/>
  <c r="O24" i="74"/>
  <c r="S24" i="74"/>
  <c r="Y24" i="74"/>
  <c r="AC24" i="74"/>
  <c r="AI24" i="74"/>
  <c r="AM24" i="74"/>
  <c r="AS24" i="74"/>
  <c r="AW24" i="74"/>
  <c r="BC24" i="74"/>
  <c r="BG24" i="74"/>
  <c r="BO24" i="74"/>
  <c r="N24" i="74"/>
  <c r="I24" i="74"/>
  <c r="BN23" i="74"/>
  <c r="AD23" i="74"/>
  <c r="AH23" i="74"/>
  <c r="AN23" i="74"/>
  <c r="AR23" i="74"/>
  <c r="AX23" i="74"/>
  <c r="BB23" i="74"/>
  <c r="BH23" i="74"/>
  <c r="BL23" i="74"/>
  <c r="BP23" i="74"/>
  <c r="BS23" i="74"/>
  <c r="Y23" i="74"/>
  <c r="AC23" i="74"/>
  <c r="AI23" i="74"/>
  <c r="AM23" i="74"/>
  <c r="AS23" i="74"/>
  <c r="AW23" i="74"/>
  <c r="BC23" i="74"/>
  <c r="BG23" i="74"/>
  <c r="BO23" i="74"/>
  <c r="BT23" i="74"/>
  <c r="N23" i="74"/>
  <c r="T23" i="74"/>
  <c r="X23" i="74"/>
  <c r="I23" i="74"/>
  <c r="O23" i="74"/>
  <c r="S23" i="74"/>
  <c r="AI22" i="74"/>
  <c r="AM22" i="74"/>
  <c r="AS22" i="74"/>
  <c r="AW22" i="74"/>
  <c r="BC22" i="74"/>
  <c r="BG22" i="74"/>
  <c r="BO22" i="74"/>
  <c r="O22" i="74"/>
  <c r="S22" i="74"/>
  <c r="Y22" i="74"/>
  <c r="AC22" i="74"/>
  <c r="N22" i="74"/>
  <c r="T22" i="74"/>
  <c r="X22" i="74"/>
  <c r="AD22" i="74"/>
  <c r="AH22" i="74"/>
  <c r="AN22" i="74"/>
  <c r="AR22" i="74"/>
  <c r="AX22" i="74"/>
  <c r="BB22" i="74"/>
  <c r="BH22" i="74"/>
  <c r="BL22" i="74"/>
  <c r="BP22" i="74"/>
  <c r="BS22" i="74"/>
  <c r="I22" i="74"/>
  <c r="T21" i="74"/>
  <c r="O21" i="74"/>
  <c r="N21" i="74"/>
  <c r="I21" i="74"/>
  <c r="Q17" i="74"/>
  <c r="P17" i="74"/>
  <c r="O17" i="74"/>
  <c r="N17" i="74"/>
  <c r="M17" i="74"/>
  <c r="L17" i="74"/>
  <c r="K17" i="74"/>
  <c r="J17" i="74"/>
  <c r="I17" i="74"/>
  <c r="H17" i="74"/>
  <c r="G17" i="74"/>
  <c r="F17" i="74"/>
  <c r="E17" i="74"/>
  <c r="O16" i="74"/>
  <c r="BT22" i="74"/>
  <c r="BT27" i="74"/>
  <c r="O41" i="74"/>
  <c r="S21" i="74"/>
  <c r="W40" i="74"/>
  <c r="W48" i="74"/>
  <c r="BQ40" i="74"/>
  <c r="BQ48" i="74"/>
  <c r="T41" i="74"/>
  <c r="X21" i="74"/>
  <c r="BT32" i="74"/>
  <c r="BD48" i="74"/>
  <c r="BD40" i="74"/>
  <c r="M40" i="74"/>
  <c r="M48" i="74"/>
  <c r="V17" i="74"/>
  <c r="T17" i="74"/>
  <c r="U17" i="74"/>
  <c r="S17" i="74"/>
  <c r="R17" i="74"/>
  <c r="W17" i="74"/>
  <c r="Y16" i="74"/>
  <c r="X17" i="74"/>
  <c r="N43" i="74"/>
  <c r="N45" i="74"/>
  <c r="N39" i="74"/>
  <c r="P48" i="74"/>
  <c r="P40" i="74"/>
  <c r="AU40" i="74"/>
  <c r="AU48" i="74"/>
  <c r="AF45" i="74"/>
  <c r="N44" i="74"/>
  <c r="O43" i="74"/>
  <c r="O44" i="74"/>
  <c r="G40" i="74"/>
  <c r="G48" i="74"/>
  <c r="AV48" i="74"/>
  <c r="AV40" i="74"/>
  <c r="AG45" i="74"/>
  <c r="BD45" i="74"/>
  <c r="BM45" i="74"/>
  <c r="AK48" i="74"/>
  <c r="S39" i="74"/>
  <c r="S44" i="74"/>
  <c r="S45" i="74"/>
  <c r="Y29" i="74"/>
  <c r="BN45" i="74"/>
  <c r="I41" i="74"/>
  <c r="T29" i="74"/>
  <c r="AE40" i="74"/>
  <c r="AE48" i="74"/>
  <c r="BK40" i="74"/>
  <c r="BK48" i="74"/>
  <c r="P45" i="74"/>
  <c r="I44" i="74"/>
  <c r="I45" i="74"/>
  <c r="U48" i="74"/>
  <c r="H48" i="74"/>
  <c r="H40" i="74"/>
  <c r="N41" i="74"/>
  <c r="BN41" i="74"/>
  <c r="BN44" i="74"/>
  <c r="AF48" i="74"/>
  <c r="AF40" i="74"/>
  <c r="Q45" i="74"/>
  <c r="AV45" i="74"/>
  <c r="I48" i="74"/>
  <c r="I40" i="74"/>
  <c r="Y39" i="74"/>
  <c r="Y43" i="74"/>
  <c r="AC29" i="74"/>
  <c r="S41" i="74"/>
  <c r="Y21" i="74"/>
  <c r="O40" i="74"/>
  <c r="O48" i="74"/>
  <c r="AD17" i="74"/>
  <c r="AC17" i="74"/>
  <c r="AB17" i="74"/>
  <c r="AA17" i="74"/>
  <c r="AH17" i="74"/>
  <c r="Z17" i="74"/>
  <c r="AF17" i="74"/>
  <c r="AI16" i="74"/>
  <c r="AE17" i="74"/>
  <c r="Y17" i="74"/>
  <c r="AG17" i="74"/>
  <c r="BN40" i="74"/>
  <c r="BN48" i="74"/>
  <c r="N40" i="74"/>
  <c r="N48" i="74"/>
  <c r="AD21" i="74"/>
  <c r="X41" i="74"/>
  <c r="O45" i="74"/>
  <c r="T40" i="74"/>
  <c r="T48" i="74"/>
  <c r="T44" i="74"/>
  <c r="T39" i="74"/>
  <c r="X29" i="74"/>
  <c r="T43" i="74"/>
  <c r="Y41" i="74"/>
  <c r="AC21" i="74"/>
  <c r="S48" i="74"/>
  <c r="S40" i="74"/>
  <c r="AC43" i="74"/>
  <c r="AC44" i="74"/>
  <c r="AC39" i="74"/>
  <c r="AI29" i="74"/>
  <c r="Y44" i="74"/>
  <c r="Y45" i="74"/>
  <c r="X48" i="74"/>
  <c r="X40" i="74"/>
  <c r="T45" i="74"/>
  <c r="AD41" i="74"/>
  <c r="AH21" i="74"/>
  <c r="AL17" i="74"/>
  <c r="AR17" i="74"/>
  <c r="AJ17" i="74"/>
  <c r="AK17" i="74"/>
  <c r="AQ17" i="74"/>
  <c r="AI17" i="74"/>
  <c r="AP17" i="74"/>
  <c r="AS16" i="74"/>
  <c r="AO17" i="74"/>
  <c r="AN17" i="74"/>
  <c r="AM17" i="74"/>
  <c r="AD29" i="74"/>
  <c r="X43" i="74"/>
  <c r="X44" i="74"/>
  <c r="X39" i="74"/>
  <c r="AD40" i="74"/>
  <c r="AD48" i="74"/>
  <c r="BB17" i="74"/>
  <c r="AT17" i="74"/>
  <c r="BA17" i="74"/>
  <c r="AS17" i="74"/>
  <c r="AZ17" i="74"/>
  <c r="AY17" i="74"/>
  <c r="BC16" i="74"/>
  <c r="AX17" i="74"/>
  <c r="AU17" i="74"/>
  <c r="AW17" i="74"/>
  <c r="AV17" i="74"/>
  <c r="AH41" i="74"/>
  <c r="AN21" i="74"/>
  <c r="AC45" i="74"/>
  <c r="X45" i="74"/>
  <c r="AD43" i="74"/>
  <c r="AD39" i="74"/>
  <c r="AD44" i="74"/>
  <c r="AH29" i="74"/>
  <c r="AC41" i="74"/>
  <c r="AI21" i="74"/>
  <c r="Y48" i="74"/>
  <c r="Y40" i="74"/>
  <c r="AI39" i="74"/>
  <c r="AI43" i="74"/>
  <c r="AM29" i="74"/>
  <c r="AC40" i="74"/>
  <c r="AC48" i="74"/>
  <c r="AR21" i="74"/>
  <c r="AI41" i="74"/>
  <c r="AM21" i="74"/>
  <c r="AH40" i="74"/>
  <c r="AH48" i="74"/>
  <c r="AM43" i="74"/>
  <c r="AS29" i="74"/>
  <c r="AM39" i="74"/>
  <c r="AH39" i="74"/>
  <c r="AH44" i="74"/>
  <c r="AH43" i="74"/>
  <c r="AH45" i="74"/>
  <c r="AN29" i="74"/>
  <c r="AI44" i="74"/>
  <c r="AI45" i="74"/>
  <c r="AD45" i="74"/>
  <c r="BJ17" i="74"/>
  <c r="BM16" i="74"/>
  <c r="BI17" i="74"/>
  <c r="BH17" i="74"/>
  <c r="BG17" i="74"/>
  <c r="BF17" i="74"/>
  <c r="BL17" i="74"/>
  <c r="BC17" i="74"/>
  <c r="BK17" i="74"/>
  <c r="BE17" i="74"/>
  <c r="BD17" i="74"/>
  <c r="AM41" i="74"/>
  <c r="AS21" i="74"/>
  <c r="AN43" i="74"/>
  <c r="AN44" i="74"/>
  <c r="AN39" i="74"/>
  <c r="AR29" i="74"/>
  <c r="BP17" i="74"/>
  <c r="BO17" i="74"/>
  <c r="BN17" i="74"/>
  <c r="BM17" i="74"/>
  <c r="AI48" i="74"/>
  <c r="AI40" i="74"/>
  <c r="AX21" i="74"/>
  <c r="AM44" i="74"/>
  <c r="AM45" i="74"/>
  <c r="AN41" i="74"/>
  <c r="AS43" i="74"/>
  <c r="AS44" i="74"/>
  <c r="AW29" i="74"/>
  <c r="AS39" i="74"/>
  <c r="AR44" i="74"/>
  <c r="AX29" i="74"/>
  <c r="AR39" i="74"/>
  <c r="AR43" i="74"/>
  <c r="AR45" i="74"/>
  <c r="AN45" i="74"/>
  <c r="AN48" i="74"/>
  <c r="AN40" i="74"/>
  <c r="AW21" i="74"/>
  <c r="AS41" i="74"/>
  <c r="AX41" i="74"/>
  <c r="BB21" i="74"/>
  <c r="AR41" i="74"/>
  <c r="AW39" i="74"/>
  <c r="AW43" i="74"/>
  <c r="BC29" i="74"/>
  <c r="AS45" i="74"/>
  <c r="AM40" i="74"/>
  <c r="AM48" i="74"/>
  <c r="BC43" i="74"/>
  <c r="BC39" i="74"/>
  <c r="BG29" i="74"/>
  <c r="AW41" i="74"/>
  <c r="BC21" i="74"/>
  <c r="AW44" i="74"/>
  <c r="AW45" i="74"/>
  <c r="AR48" i="74"/>
  <c r="AR40" i="74"/>
  <c r="BB41" i="74"/>
  <c r="BH21" i="74"/>
  <c r="AX40" i="74"/>
  <c r="AX48" i="74"/>
  <c r="AX39" i="74"/>
  <c r="AX44" i="74"/>
  <c r="AX43" i="74"/>
  <c r="BB29" i="74"/>
  <c r="AS40" i="74"/>
  <c r="AS48" i="74"/>
  <c r="BG21" i="74"/>
  <c r="BC41" i="74"/>
  <c r="BG39" i="74"/>
  <c r="BG44" i="74"/>
  <c r="BO29" i="74"/>
  <c r="BG43" i="74"/>
  <c r="BG45" i="74"/>
  <c r="AW48" i="74"/>
  <c r="AW40" i="74"/>
  <c r="BH41" i="74"/>
  <c r="BL21" i="74"/>
  <c r="BB40" i="74"/>
  <c r="BB48" i="74"/>
  <c r="BC44" i="74"/>
  <c r="BC45" i="74"/>
  <c r="BB43" i="74"/>
  <c r="BB45" i="74"/>
  <c r="BB39" i="74"/>
  <c r="BH29" i="74"/>
  <c r="BB44" i="74"/>
  <c r="AX45" i="74"/>
  <c r="BO39" i="74"/>
  <c r="BO43" i="74"/>
  <c r="BP21" i="74"/>
  <c r="BH48" i="74"/>
  <c r="BH40" i="74"/>
  <c r="BC40" i="74"/>
  <c r="BC48" i="74"/>
  <c r="BH44" i="74"/>
  <c r="BH39" i="74"/>
  <c r="BL29" i="74"/>
  <c r="BH43" i="74"/>
  <c r="BH45" i="74"/>
  <c r="BG41" i="74"/>
  <c r="BO21" i="74"/>
  <c r="BO41" i="74"/>
  <c r="BT21" i="74"/>
  <c r="BL43" i="74"/>
  <c r="BP29" i="74"/>
  <c r="BL44" i="74"/>
  <c r="BL39" i="74"/>
  <c r="BG48" i="74"/>
  <c r="BG40" i="74"/>
  <c r="BS21" i="74"/>
  <c r="BL41" i="74"/>
  <c r="BO44" i="74"/>
  <c r="BO45" i="74"/>
  <c r="BP44" i="74"/>
  <c r="BS29" i="74"/>
  <c r="BP39" i="74"/>
  <c r="BP43" i="74"/>
  <c r="BP45" i="74"/>
  <c r="BT29" i="74"/>
  <c r="BL48" i="74"/>
  <c r="BL40" i="74"/>
  <c r="BL45" i="74"/>
  <c r="BP41" i="74"/>
  <c r="BO48" i="74"/>
  <c r="BO40" i="74"/>
  <c r="BT40" i="74"/>
  <c r="BT39" i="74"/>
  <c r="BT41" i="74"/>
  <c r="BT48" i="74"/>
  <c r="BP48" i="74"/>
  <c r="BP40" i="74"/>
  <c r="BS43" i="74"/>
  <c r="BS44" i="74"/>
  <c r="BS39" i="74"/>
  <c r="BS41" i="74"/>
  <c r="BS40" i="74"/>
  <c r="BS48" i="74"/>
  <c r="BS45" i="74"/>
  <c r="F60" i="39"/>
  <c r="F61" i="39"/>
  <c r="F62" i="39"/>
  <c r="F63" i="39"/>
  <c r="F64" i="39"/>
  <c r="F65" i="39"/>
  <c r="F66" i="39"/>
  <c r="F67" i="39"/>
  <c r="F68" i="39"/>
  <c r="F59" i="39"/>
  <c r="E67" i="39"/>
  <c r="E61" i="39"/>
  <c r="E60" i="39"/>
  <c r="E59" i="39"/>
  <c r="E53" i="39"/>
  <c r="F45" i="39"/>
  <c r="F46" i="39"/>
  <c r="F47" i="39"/>
  <c r="F49" i="39"/>
  <c r="F50" i="39"/>
  <c r="F51" i="39"/>
  <c r="F52" i="39"/>
  <c r="F53" i="39"/>
  <c r="F54" i="39"/>
  <c r="F48" i="39"/>
  <c r="E46" i="39"/>
  <c r="E47" i="39"/>
  <c r="E45" i="39"/>
  <c r="G40" i="39"/>
  <c r="G38" i="39"/>
  <c r="G37" i="39"/>
  <c r="G36" i="39"/>
  <c r="G35" i="39"/>
  <c r="G34" i="39"/>
  <c r="F40" i="39"/>
  <c r="F38" i="39"/>
  <c r="F37" i="39"/>
  <c r="F36" i="39"/>
  <c r="F35" i="39"/>
  <c r="F34" i="39"/>
  <c r="E39" i="39"/>
  <c r="E33" i="39"/>
  <c r="E32" i="39"/>
  <c r="E31" i="39"/>
  <c r="H18" i="39"/>
  <c r="H19" i="39"/>
  <c r="H20" i="39"/>
  <c r="H21" i="39"/>
  <c r="H22" i="39"/>
  <c r="H23" i="39"/>
  <c r="H24" i="39"/>
  <c r="H25" i="39"/>
  <c r="H26" i="39"/>
  <c r="H17" i="39"/>
  <c r="G26" i="39"/>
  <c r="G25" i="39"/>
  <c r="G24" i="39"/>
  <c r="G23" i="39"/>
  <c r="G22" i="39"/>
  <c r="G21" i="39"/>
  <c r="G20" i="39"/>
  <c r="F26" i="39"/>
  <c r="F24" i="39"/>
  <c r="F23" i="39"/>
  <c r="F22" i="39"/>
  <c r="F21" i="39"/>
  <c r="F20" i="39"/>
  <c r="E25" i="39"/>
  <c r="E19" i="39"/>
  <c r="E18" i="39"/>
  <c r="E17" i="39"/>
  <c r="P110" i="36"/>
  <c r="N97" i="36"/>
  <c r="N105" i="36"/>
  <c r="N106" i="36"/>
  <c r="M26" i="36"/>
  <c r="M27" i="36"/>
  <c r="I21" i="36"/>
  <c r="I27" i="36"/>
  <c r="H101" i="36"/>
  <c r="H106" i="36"/>
  <c r="E21" i="36"/>
  <c r="E23" i="36"/>
  <c r="F103" i="36"/>
  <c r="F104" i="36"/>
  <c r="F105" i="36"/>
  <c r="D103" i="36"/>
  <c r="D29" i="38"/>
  <c r="F29" i="38" s="1"/>
  <c r="F105" i="38" s="1"/>
  <c r="E30" i="36"/>
  <c r="E19" i="36"/>
  <c r="L74" i="77"/>
  <c r="I74" i="77"/>
  <c r="P111" i="37"/>
  <c r="F36" i="33"/>
  <c r="F35" i="33"/>
  <c r="E36" i="33"/>
  <c r="E35" i="33"/>
  <c r="E34" i="33"/>
  <c r="E33" i="33"/>
  <c r="F32" i="33"/>
  <c r="E32" i="33"/>
  <c r="F31" i="33"/>
  <c r="E31" i="33"/>
  <c r="F30" i="33"/>
  <c r="E30" i="33"/>
  <c r="E28" i="33"/>
  <c r="F28" i="33"/>
  <c r="F27" i="33"/>
  <c r="E27" i="33"/>
  <c r="F26" i="33"/>
  <c r="F24" i="33"/>
  <c r="F23" i="33"/>
  <c r="E26" i="33"/>
  <c r="E24" i="33"/>
  <c r="E23" i="33"/>
  <c r="E22" i="33"/>
  <c r="E21" i="33"/>
  <c r="E20" i="33"/>
  <c r="E19" i="33"/>
  <c r="E18" i="33"/>
  <c r="E17" i="33"/>
  <c r="K24" i="15"/>
  <c r="K22" i="15"/>
  <c r="K21" i="15"/>
  <c r="K20" i="15"/>
  <c r="K23" i="15"/>
  <c r="K19" i="15"/>
  <c r="K18" i="15"/>
  <c r="K17" i="15"/>
  <c r="H18" i="15"/>
  <c r="J18" i="15" s="1"/>
  <c r="N18" i="15" s="1"/>
  <c r="H19" i="15"/>
  <c r="H21" i="15"/>
  <c r="J21" i="15"/>
  <c r="N21" i="15"/>
  <c r="H23" i="15"/>
  <c r="J23" i="15"/>
  <c r="H24" i="15"/>
  <c r="H17" i="15"/>
  <c r="F24" i="15"/>
  <c r="F23" i="15"/>
  <c r="F22" i="15"/>
  <c r="F21" i="15"/>
  <c r="F20" i="15"/>
  <c r="F19" i="15"/>
  <c r="F18" i="15"/>
  <c r="F17" i="15"/>
  <c r="E24" i="15"/>
  <c r="E23" i="15"/>
  <c r="E22" i="15"/>
  <c r="E21" i="15"/>
  <c r="E20" i="15"/>
  <c r="E19" i="15"/>
  <c r="E18" i="15"/>
  <c r="E17" i="15"/>
  <c r="D24" i="15"/>
  <c r="D23" i="15"/>
  <c r="D22" i="15"/>
  <c r="D21" i="15"/>
  <c r="D20" i="15"/>
  <c r="D19" i="15"/>
  <c r="D18" i="15"/>
  <c r="D17" i="15"/>
  <c r="C24" i="15"/>
  <c r="C23" i="15"/>
  <c r="C22" i="15"/>
  <c r="C21" i="15"/>
  <c r="C20" i="15"/>
  <c r="C19" i="15"/>
  <c r="C18" i="15"/>
  <c r="C17" i="15"/>
  <c r="K18" i="85"/>
  <c r="J18" i="85"/>
  <c r="H18" i="85" a="1"/>
  <c r="H18" i="85"/>
  <c r="G18" i="85" a="1"/>
  <c r="G18" i="85"/>
  <c r="F18" i="85" a="1"/>
  <c r="F18" i="85"/>
  <c r="E18" i="85" a="1"/>
  <c r="E18" i="85"/>
  <c r="D25" i="85"/>
  <c r="C25" i="85"/>
  <c r="D18" i="85"/>
  <c r="D19" i="85"/>
  <c r="D20" i="85"/>
  <c r="D21" i="85"/>
  <c r="D22" i="85"/>
  <c r="D23" i="85"/>
  <c r="D24" i="85"/>
  <c r="D17" i="85"/>
  <c r="C18" i="85"/>
  <c r="C19" i="85"/>
  <c r="C20" i="85"/>
  <c r="C21" i="85"/>
  <c r="C22" i="85"/>
  <c r="C23" i="85"/>
  <c r="C24" i="85"/>
  <c r="C17" i="85"/>
  <c r="D20" i="90"/>
  <c r="D19" i="90"/>
  <c r="E18" i="78" a="1"/>
  <c r="E18" i="78"/>
  <c r="I18" i="78"/>
  <c r="G18" i="78" a="1"/>
  <c r="G18" i="78"/>
  <c r="J17" i="78"/>
  <c r="C25" i="78"/>
  <c r="C24" i="78"/>
  <c r="C23" i="78"/>
  <c r="C22" i="78"/>
  <c r="C21" i="78"/>
  <c r="C20" i="78"/>
  <c r="C19" i="78"/>
  <c r="C18" i="78"/>
  <c r="C17" i="78"/>
  <c r="D19" i="89"/>
  <c r="C19" i="89"/>
  <c r="C20" i="89"/>
  <c r="C23" i="89"/>
  <c r="C21" i="89"/>
  <c r="S18" i="76"/>
  <c r="S19" i="76"/>
  <c r="S20" i="76"/>
  <c r="S21" i="76"/>
  <c r="S22" i="76"/>
  <c r="S23" i="76"/>
  <c r="S24" i="76"/>
  <c r="S17" i="76"/>
  <c r="Q18" i="76"/>
  <c r="Q19" i="76"/>
  <c r="Q20" i="76"/>
  <c r="Q21" i="76"/>
  <c r="Q22" i="76"/>
  <c r="Q23" i="76"/>
  <c r="Q24" i="76"/>
  <c r="Q17" i="76"/>
  <c r="N18" i="76"/>
  <c r="N19" i="76"/>
  <c r="N20" i="76"/>
  <c r="N21" i="76"/>
  <c r="N22" i="76"/>
  <c r="N23" i="76"/>
  <c r="N24" i="76"/>
  <c r="N17" i="76"/>
  <c r="M18" i="76"/>
  <c r="M19" i="76"/>
  <c r="M20" i="76"/>
  <c r="M21" i="76"/>
  <c r="M22" i="76"/>
  <c r="M23" i="76"/>
  <c r="M24" i="76"/>
  <c r="M17" i="76"/>
  <c r="L18" i="76"/>
  <c r="L19" i="76"/>
  <c r="L20" i="76"/>
  <c r="L21" i="76"/>
  <c r="L22" i="76"/>
  <c r="L23" i="76"/>
  <c r="L24" i="76"/>
  <c r="L17" i="76"/>
  <c r="I18" i="76"/>
  <c r="I19" i="76"/>
  <c r="I20" i="76"/>
  <c r="H20" i="15"/>
  <c r="I21" i="76"/>
  <c r="I22" i="76"/>
  <c r="H22" i="15"/>
  <c r="I23" i="76"/>
  <c r="I24" i="76"/>
  <c r="I17" i="76"/>
  <c r="H18" i="76"/>
  <c r="G18" i="15" s="1"/>
  <c r="I18" i="15" s="1"/>
  <c r="M18" i="15" s="1"/>
  <c r="H20" i="76"/>
  <c r="H21" i="76"/>
  <c r="H22" i="76"/>
  <c r="H23" i="76"/>
  <c r="H24" i="76"/>
  <c r="G18" i="76"/>
  <c r="G19" i="76"/>
  <c r="G20" i="76"/>
  <c r="G21" i="76"/>
  <c r="G21" i="15"/>
  <c r="I21" i="15"/>
  <c r="M21" i="15"/>
  <c r="G22" i="76"/>
  <c r="G23" i="76"/>
  <c r="G23" i="15"/>
  <c r="I23" i="15"/>
  <c r="G24" i="76"/>
  <c r="G17" i="76"/>
  <c r="F18" i="76"/>
  <c r="F19" i="76"/>
  <c r="F20" i="76"/>
  <c r="F21" i="76"/>
  <c r="F22" i="76"/>
  <c r="F23" i="76"/>
  <c r="F24" i="76"/>
  <c r="F17" i="76"/>
  <c r="E18" i="76"/>
  <c r="E19" i="76"/>
  <c r="H19" i="76" s="1"/>
  <c r="G19" i="15" s="1"/>
  <c r="I19" i="15" s="1"/>
  <c r="M19" i="15" s="1"/>
  <c r="E17" i="76"/>
  <c r="H17" i="76" s="1"/>
  <c r="G17" i="15" s="1"/>
  <c r="I17" i="15" s="1"/>
  <c r="M17" i="15" s="1"/>
  <c r="C18" i="76"/>
  <c r="C19" i="76"/>
  <c r="C20" i="76"/>
  <c r="C21" i="76"/>
  <c r="C22" i="76"/>
  <c r="C23" i="76"/>
  <c r="C24" i="76"/>
  <c r="C17" i="76"/>
  <c r="O17" i="13"/>
  <c r="M17" i="13"/>
  <c r="J18" i="13"/>
  <c r="I18" i="13"/>
  <c r="G19" i="13"/>
  <c r="M28" i="36"/>
  <c r="M21" i="36"/>
  <c r="E22" i="36"/>
  <c r="E26" i="36"/>
  <c r="E25" i="36"/>
  <c r="I26" i="36"/>
  <c r="J20" i="15"/>
  <c r="N20" i="15"/>
  <c r="G20" i="15"/>
  <c r="I20" i="15"/>
  <c r="M20" i="15"/>
  <c r="G22" i="15"/>
  <c r="I22" i="15"/>
  <c r="M22" i="15"/>
  <c r="J22" i="15"/>
  <c r="N22" i="15"/>
  <c r="G24" i="15"/>
  <c r="I24" i="15"/>
  <c r="M24" i="15"/>
  <c r="J24" i="15"/>
  <c r="N24" i="15"/>
  <c r="J17" i="15"/>
  <c r="N17" i="15" s="1"/>
  <c r="J19" i="15"/>
  <c r="N19" i="15" s="1"/>
  <c r="I18" i="85"/>
  <c r="N23" i="15"/>
  <c r="M23" i="15"/>
  <c r="W26" i="76"/>
  <c r="V26" i="76"/>
  <c r="U26" i="76"/>
  <c r="T26" i="76"/>
  <c r="S26" i="76"/>
  <c r="R26" i="76"/>
  <c r="Q26" i="76"/>
  <c r="P26" i="76"/>
  <c r="O26" i="76"/>
  <c r="N26" i="76"/>
  <c r="M26" i="76"/>
  <c r="L26" i="76"/>
  <c r="K26" i="76"/>
  <c r="J26" i="76"/>
  <c r="I26" i="76"/>
  <c r="G26" i="76"/>
  <c r="F26" i="76"/>
  <c r="D26" i="76"/>
  <c r="C26" i="76"/>
  <c r="F24" i="85" a="1"/>
  <c r="F24" i="85"/>
  <c r="F23" i="85" a="1"/>
  <c r="F23" i="85"/>
  <c r="F22" i="85" a="1"/>
  <c r="F22" i="85"/>
  <c r="F21" i="85" a="1"/>
  <c r="F21" i="85"/>
  <c r="F20" i="85" a="1"/>
  <c r="F20" i="85"/>
  <c r="F19" i="85" a="1"/>
  <c r="F19" i="85"/>
  <c r="F17" i="85" a="1"/>
  <c r="F17" i="85"/>
  <c r="E24" i="85" a="1"/>
  <c r="E24" i="85"/>
  <c r="E23" i="85" a="1"/>
  <c r="E23" i="85"/>
  <c r="E22" i="85" a="1"/>
  <c r="E22" i="85"/>
  <c r="E21" i="85" a="1"/>
  <c r="E21" i="85"/>
  <c r="E20" i="85" a="1"/>
  <c r="E20" i="85"/>
  <c r="E19" i="85" a="1"/>
  <c r="E19" i="85"/>
  <c r="E17" i="85" a="1"/>
  <c r="E17" i="85"/>
  <c r="H24" i="85" a="1"/>
  <c r="H24" i="85"/>
  <c r="H23" i="85" a="1"/>
  <c r="H23" i="85"/>
  <c r="H22" i="85" a="1"/>
  <c r="H22" i="85"/>
  <c r="H21" i="85" a="1"/>
  <c r="H21" i="85"/>
  <c r="H20" i="85" a="1"/>
  <c r="H20" i="85"/>
  <c r="H19" i="85" a="1"/>
  <c r="H19" i="85"/>
  <c r="H17" i="85" a="1"/>
  <c r="H17" i="85"/>
  <c r="G24" i="85" a="1"/>
  <c r="G24" i="85"/>
  <c r="G23" i="85" a="1"/>
  <c r="G23" i="85"/>
  <c r="G22" i="85" a="1"/>
  <c r="G22" i="85"/>
  <c r="G21" i="85" a="1"/>
  <c r="G21" i="85"/>
  <c r="G20" i="85" a="1"/>
  <c r="G20" i="85"/>
  <c r="G19" i="85" a="1"/>
  <c r="G19" i="85"/>
  <c r="G17" i="85" a="1"/>
  <c r="G17" i="85"/>
  <c r="G39" i="39"/>
  <c r="G33" i="39"/>
  <c r="G32" i="39"/>
  <c r="G31" i="39"/>
  <c r="G19" i="39"/>
  <c r="G18" i="39"/>
  <c r="G17" i="39"/>
  <c r="H18" i="33"/>
  <c r="D30" i="33"/>
  <c r="D29" i="33"/>
  <c r="D26" i="33"/>
  <c r="D25" i="33"/>
  <c r="H34" i="33"/>
  <c r="H33" i="33"/>
  <c r="H20" i="33"/>
  <c r="H19" i="33"/>
  <c r="H17" i="33"/>
  <c r="J25" i="78"/>
  <c r="J24" i="78"/>
  <c r="J23" i="78"/>
  <c r="J22" i="78"/>
  <c r="J21" i="78"/>
  <c r="J20" i="78"/>
  <c r="J19" i="78"/>
  <c r="H25" i="78"/>
  <c r="F25" i="78"/>
  <c r="E24" i="78" a="1"/>
  <c r="E24" i="78"/>
  <c r="I24" i="78"/>
  <c r="E23" i="78" a="1"/>
  <c r="E23" i="78"/>
  <c r="I23" i="78"/>
  <c r="E22" i="78" a="1"/>
  <c r="E22" i="78"/>
  <c r="I22" i="78"/>
  <c r="E21" i="78" a="1"/>
  <c r="E21" i="78"/>
  <c r="I21" i="78"/>
  <c r="E20" i="78" a="1"/>
  <c r="E20" i="78"/>
  <c r="I20" i="78"/>
  <c r="E19" i="78" a="1"/>
  <c r="E19" i="78"/>
  <c r="I19" i="78"/>
  <c r="E17" i="78" a="1"/>
  <c r="E17" i="78"/>
  <c r="I17" i="78"/>
  <c r="G24" i="78" a="1"/>
  <c r="G24" i="78"/>
  <c r="G23" i="78" a="1"/>
  <c r="G23" i="78"/>
  <c r="G22" i="78" a="1"/>
  <c r="G22" i="78"/>
  <c r="G21" i="78" a="1"/>
  <c r="G21" i="78"/>
  <c r="G20" i="78" a="1"/>
  <c r="G20" i="78"/>
  <c r="G19" i="78" a="1"/>
  <c r="G19" i="78"/>
  <c r="G17" i="78" a="1"/>
  <c r="G17" i="78"/>
  <c r="G25" i="78"/>
  <c r="C27" i="89"/>
  <c r="H183" i="89" a="1"/>
  <c r="H183" i="89"/>
  <c r="G183" i="89" a="1"/>
  <c r="G183" i="89"/>
  <c r="F183" i="89" a="1"/>
  <c r="F183" i="89"/>
  <c r="E183" i="89" a="1"/>
  <c r="E183" i="89"/>
  <c r="H182" i="89" a="1"/>
  <c r="H182" i="89"/>
  <c r="G182" i="89" a="1"/>
  <c r="G182" i="89"/>
  <c r="F182" i="89" a="1"/>
  <c r="F182" i="89"/>
  <c r="E182" i="89" a="1"/>
  <c r="E182" i="89"/>
  <c r="H181" i="89" a="1"/>
  <c r="H181" i="89"/>
  <c r="G181" i="89" a="1"/>
  <c r="G181" i="89"/>
  <c r="F181" i="89" a="1"/>
  <c r="F181" i="89"/>
  <c r="E181" i="89" a="1"/>
  <c r="E181" i="89"/>
  <c r="H180" i="89" a="1"/>
  <c r="H180" i="89"/>
  <c r="G180" i="89" a="1"/>
  <c r="G180" i="89"/>
  <c r="F180" i="89" a="1"/>
  <c r="F180" i="89"/>
  <c r="E180" i="89" a="1"/>
  <c r="E180" i="89"/>
  <c r="H179" i="89" a="1"/>
  <c r="H179" i="89"/>
  <c r="G179" i="89" a="1"/>
  <c r="G179" i="89"/>
  <c r="F179" i="89" a="1"/>
  <c r="F179" i="89"/>
  <c r="E179" i="89" a="1"/>
  <c r="E179" i="89"/>
  <c r="H178" i="89" a="1"/>
  <c r="H178" i="89"/>
  <c r="G178" i="89" a="1"/>
  <c r="G178" i="89"/>
  <c r="F178" i="89" a="1"/>
  <c r="F178" i="89"/>
  <c r="E178" i="89" a="1"/>
  <c r="E178" i="89"/>
  <c r="H177" i="89" a="1"/>
  <c r="H177" i="89"/>
  <c r="G177" i="89" a="1"/>
  <c r="G177" i="89"/>
  <c r="F177" i="89" a="1"/>
  <c r="F177" i="89"/>
  <c r="E177" i="89" a="1"/>
  <c r="E177" i="89"/>
  <c r="H176" i="89" a="1"/>
  <c r="H176" i="89"/>
  <c r="G176" i="89" a="1"/>
  <c r="G176" i="89"/>
  <c r="F176" i="89" a="1"/>
  <c r="F176" i="89"/>
  <c r="E176" i="89" a="1"/>
  <c r="E176" i="89"/>
  <c r="H175" i="89" a="1"/>
  <c r="H175" i="89"/>
  <c r="G175" i="89" a="1"/>
  <c r="G175" i="89"/>
  <c r="F175" i="89" a="1"/>
  <c r="F175" i="89"/>
  <c r="E175" i="89" a="1"/>
  <c r="E175" i="89"/>
  <c r="H174" i="89" a="1"/>
  <c r="H174" i="89"/>
  <c r="G174" i="89" a="1"/>
  <c r="G174" i="89"/>
  <c r="F174" i="89" a="1"/>
  <c r="F174" i="89"/>
  <c r="E174" i="89" a="1"/>
  <c r="E174" i="89"/>
  <c r="H173" i="89" a="1"/>
  <c r="H173" i="89"/>
  <c r="G173" i="89" a="1"/>
  <c r="G173" i="89"/>
  <c r="F173" i="89" a="1"/>
  <c r="F173" i="89"/>
  <c r="E173" i="89" a="1"/>
  <c r="E173" i="89"/>
  <c r="H172" i="89" a="1"/>
  <c r="H172" i="89"/>
  <c r="G172" i="89" a="1"/>
  <c r="G172" i="89"/>
  <c r="F172" i="89" a="1"/>
  <c r="F172" i="89"/>
  <c r="E172" i="89" a="1"/>
  <c r="E172" i="89"/>
  <c r="H171" i="89" a="1"/>
  <c r="H171" i="89"/>
  <c r="G171" i="89" a="1"/>
  <c r="G171" i="89"/>
  <c r="F171" i="89" a="1"/>
  <c r="F171" i="89"/>
  <c r="E171" i="89" a="1"/>
  <c r="E171" i="89"/>
  <c r="H170" i="89" a="1"/>
  <c r="H170" i="89"/>
  <c r="G170" i="89" a="1"/>
  <c r="G170" i="89"/>
  <c r="F170" i="89" a="1"/>
  <c r="F170" i="89"/>
  <c r="E170" i="89" a="1"/>
  <c r="E170" i="89"/>
  <c r="H169" i="89" a="1"/>
  <c r="H169" i="89"/>
  <c r="G169" i="89" a="1"/>
  <c r="G169" i="89"/>
  <c r="F169" i="89" a="1"/>
  <c r="F169" i="89"/>
  <c r="E169" i="89" a="1"/>
  <c r="E169" i="89"/>
  <c r="H168" i="89" a="1"/>
  <c r="H168" i="89"/>
  <c r="G168" i="89" a="1"/>
  <c r="G168" i="89"/>
  <c r="F168" i="89" a="1"/>
  <c r="F168" i="89"/>
  <c r="E168" i="89" a="1"/>
  <c r="E168" i="89"/>
  <c r="H167" i="89" a="1"/>
  <c r="H167" i="89"/>
  <c r="G167" i="89" a="1"/>
  <c r="G167" i="89"/>
  <c r="F167" i="89" a="1"/>
  <c r="F167" i="89"/>
  <c r="E167" i="89" a="1"/>
  <c r="E167" i="89"/>
  <c r="H166" i="89" a="1"/>
  <c r="H166" i="89"/>
  <c r="G166" i="89" a="1"/>
  <c r="G166" i="89"/>
  <c r="F166" i="89" a="1"/>
  <c r="F166" i="89"/>
  <c r="E166" i="89" a="1"/>
  <c r="E166" i="89"/>
  <c r="H165" i="89" a="1"/>
  <c r="H165" i="89"/>
  <c r="G165" i="89" a="1"/>
  <c r="G165" i="89"/>
  <c r="F165" i="89" a="1"/>
  <c r="F165" i="89"/>
  <c r="E165" i="89" a="1"/>
  <c r="E165" i="89"/>
  <c r="H164" i="89" a="1"/>
  <c r="H164" i="89"/>
  <c r="G164" i="89" a="1"/>
  <c r="G164" i="89"/>
  <c r="F164" i="89" a="1"/>
  <c r="F164" i="89"/>
  <c r="E164" i="89" a="1"/>
  <c r="E164" i="89"/>
  <c r="H163" i="89" a="1"/>
  <c r="H163" i="89"/>
  <c r="G163" i="89" a="1"/>
  <c r="G163" i="89"/>
  <c r="F163" i="89" a="1"/>
  <c r="F163" i="89"/>
  <c r="E163" i="89" a="1"/>
  <c r="E163" i="89"/>
  <c r="H162" i="89" a="1"/>
  <c r="H162" i="89"/>
  <c r="G162" i="89" a="1"/>
  <c r="G162" i="89"/>
  <c r="F162" i="89" a="1"/>
  <c r="F162" i="89"/>
  <c r="E162" i="89" a="1"/>
  <c r="E162" i="89"/>
  <c r="H161" i="89" a="1"/>
  <c r="H161" i="89"/>
  <c r="G161" i="89" a="1"/>
  <c r="G161" i="89"/>
  <c r="F161" i="89" a="1"/>
  <c r="F161" i="89"/>
  <c r="E161" i="89" a="1"/>
  <c r="E161" i="89"/>
  <c r="H160" i="89" a="1"/>
  <c r="H160" i="89"/>
  <c r="G160" i="89" a="1"/>
  <c r="G160" i="89"/>
  <c r="F160" i="89" a="1"/>
  <c r="F160" i="89"/>
  <c r="E160" i="89" a="1"/>
  <c r="E160" i="89"/>
  <c r="H159" i="89" a="1"/>
  <c r="H159" i="89"/>
  <c r="G159" i="89" a="1"/>
  <c r="G159" i="89"/>
  <c r="F159" i="89" a="1"/>
  <c r="F159" i="89"/>
  <c r="E159" i="89" a="1"/>
  <c r="E159" i="89"/>
  <c r="H158" i="89" a="1"/>
  <c r="H158" i="89"/>
  <c r="G158" i="89" a="1"/>
  <c r="G158" i="89"/>
  <c r="F158" i="89" a="1"/>
  <c r="F158" i="89"/>
  <c r="E158" i="89" a="1"/>
  <c r="E158" i="89"/>
  <c r="H157" i="89" a="1"/>
  <c r="H157" i="89"/>
  <c r="G157" i="89" a="1"/>
  <c r="G157" i="89"/>
  <c r="F157" i="89" a="1"/>
  <c r="F157" i="89"/>
  <c r="E157" i="89" a="1"/>
  <c r="E157" i="89"/>
  <c r="H156" i="89" a="1"/>
  <c r="H156" i="89"/>
  <c r="G156" i="89" a="1"/>
  <c r="G156" i="89"/>
  <c r="F156" i="89" a="1"/>
  <c r="F156" i="89"/>
  <c r="E156" i="89" a="1"/>
  <c r="E156" i="89"/>
  <c r="H155" i="89" a="1"/>
  <c r="H155" i="89"/>
  <c r="G155" i="89" a="1"/>
  <c r="G155" i="89"/>
  <c r="F155" i="89" a="1"/>
  <c r="F155" i="89"/>
  <c r="E155" i="89" a="1"/>
  <c r="E155" i="89"/>
  <c r="H154" i="89" a="1"/>
  <c r="H154" i="89"/>
  <c r="G154" i="89" a="1"/>
  <c r="G154" i="89"/>
  <c r="F154" i="89" a="1"/>
  <c r="F154" i="89"/>
  <c r="E154" i="89" a="1"/>
  <c r="E154" i="89"/>
  <c r="H153" i="89" a="1"/>
  <c r="H153" i="89"/>
  <c r="G153" i="89" a="1"/>
  <c r="G153" i="89"/>
  <c r="F153" i="89" a="1"/>
  <c r="F153" i="89"/>
  <c r="E153" i="89" a="1"/>
  <c r="E153" i="89"/>
  <c r="H152" i="89" a="1"/>
  <c r="H152" i="89"/>
  <c r="G152" i="89" a="1"/>
  <c r="G152" i="89"/>
  <c r="F152" i="89" a="1"/>
  <c r="F152" i="89"/>
  <c r="E152" i="89" a="1"/>
  <c r="E152" i="89"/>
  <c r="H151" i="89" a="1"/>
  <c r="H151" i="89"/>
  <c r="G151" i="89" a="1"/>
  <c r="G151" i="89"/>
  <c r="F151" i="89" a="1"/>
  <c r="F151" i="89"/>
  <c r="E151" i="89" a="1"/>
  <c r="E151" i="89"/>
  <c r="H150" i="89" a="1"/>
  <c r="H150" i="89"/>
  <c r="G150" i="89" a="1"/>
  <c r="G150" i="89"/>
  <c r="F150" i="89" a="1"/>
  <c r="F150" i="89"/>
  <c r="E150" i="89" a="1"/>
  <c r="E150" i="89"/>
  <c r="H149" i="89" a="1"/>
  <c r="H149" i="89"/>
  <c r="G149" i="89" a="1"/>
  <c r="G149" i="89"/>
  <c r="F149" i="89" a="1"/>
  <c r="F149" i="89"/>
  <c r="E149" i="89" a="1"/>
  <c r="E149" i="89"/>
  <c r="H148" i="89" a="1"/>
  <c r="H148" i="89"/>
  <c r="G148" i="89" a="1"/>
  <c r="G148" i="89"/>
  <c r="F148" i="89" a="1"/>
  <c r="F148" i="89"/>
  <c r="E148" i="89" a="1"/>
  <c r="E148" i="89"/>
  <c r="H147" i="89" a="1"/>
  <c r="H147" i="89"/>
  <c r="G147" i="89" a="1"/>
  <c r="G147" i="89"/>
  <c r="F147" i="89" a="1"/>
  <c r="F147" i="89"/>
  <c r="E147" i="89" a="1"/>
  <c r="E147" i="89"/>
  <c r="H146" i="89" a="1"/>
  <c r="H146" i="89"/>
  <c r="G146" i="89" a="1"/>
  <c r="G146" i="89"/>
  <c r="F146" i="89" a="1"/>
  <c r="F146" i="89"/>
  <c r="E146" i="89" a="1"/>
  <c r="E146" i="89"/>
  <c r="H145" i="89" a="1"/>
  <c r="H145" i="89"/>
  <c r="G145" i="89" a="1"/>
  <c r="G145" i="89"/>
  <c r="F145" i="89" a="1"/>
  <c r="F145" i="89"/>
  <c r="E145" i="89" a="1"/>
  <c r="E145" i="89"/>
  <c r="H144" i="89" a="1"/>
  <c r="H144" i="89"/>
  <c r="G144" i="89" a="1"/>
  <c r="G144" i="89"/>
  <c r="F144" i="89" a="1"/>
  <c r="F144" i="89"/>
  <c r="E144" i="89" a="1"/>
  <c r="E144" i="89"/>
  <c r="H143" i="89" a="1"/>
  <c r="H143" i="89"/>
  <c r="G143" i="89" a="1"/>
  <c r="G143" i="89"/>
  <c r="F143" i="89" a="1"/>
  <c r="F143" i="89"/>
  <c r="E143" i="89" a="1"/>
  <c r="E143" i="89"/>
  <c r="H142" i="89" a="1"/>
  <c r="H142" i="89"/>
  <c r="G142" i="89" a="1"/>
  <c r="G142" i="89"/>
  <c r="F142" i="89" a="1"/>
  <c r="F142" i="89"/>
  <c r="E142" i="89" a="1"/>
  <c r="E142" i="89"/>
  <c r="H141" i="89" a="1"/>
  <c r="H141" i="89"/>
  <c r="G141" i="89" a="1"/>
  <c r="G141" i="89"/>
  <c r="F141" i="89" a="1"/>
  <c r="F141" i="89"/>
  <c r="E141" i="89" a="1"/>
  <c r="E141" i="89"/>
  <c r="H140" i="89" a="1"/>
  <c r="H140" i="89"/>
  <c r="G140" i="89" a="1"/>
  <c r="G140" i="89"/>
  <c r="F140" i="89" a="1"/>
  <c r="F140" i="89"/>
  <c r="E140" i="89" a="1"/>
  <c r="E140" i="89"/>
  <c r="H139" i="89" a="1"/>
  <c r="H139" i="89"/>
  <c r="G139" i="89" a="1"/>
  <c r="G139" i="89"/>
  <c r="F139" i="89" a="1"/>
  <c r="F139" i="89"/>
  <c r="E139" i="89" a="1"/>
  <c r="E139" i="89"/>
  <c r="H138" i="89" a="1"/>
  <c r="H138" i="89"/>
  <c r="G138" i="89" a="1"/>
  <c r="G138" i="89"/>
  <c r="F138" i="89" a="1"/>
  <c r="F138" i="89"/>
  <c r="E138" i="89" a="1"/>
  <c r="E138" i="89"/>
  <c r="H137" i="89" a="1"/>
  <c r="H137" i="89"/>
  <c r="G137" i="89" a="1"/>
  <c r="G137" i="89"/>
  <c r="F137" i="89" a="1"/>
  <c r="F137" i="89"/>
  <c r="E137" i="89" a="1"/>
  <c r="E137" i="89"/>
  <c r="H136" i="89" a="1"/>
  <c r="H136" i="89"/>
  <c r="G136" i="89" a="1"/>
  <c r="G136" i="89"/>
  <c r="F136" i="89" a="1"/>
  <c r="F136" i="89"/>
  <c r="E136" i="89" a="1"/>
  <c r="E136" i="89"/>
  <c r="H135" i="89" a="1"/>
  <c r="H135" i="89"/>
  <c r="G135" i="89" a="1"/>
  <c r="G135" i="89"/>
  <c r="F135" i="89" a="1"/>
  <c r="F135" i="89"/>
  <c r="E135" i="89" a="1"/>
  <c r="E135" i="89"/>
  <c r="H134" i="89" a="1"/>
  <c r="H134" i="89"/>
  <c r="G134" i="89" a="1"/>
  <c r="G134" i="89"/>
  <c r="F134" i="89" a="1"/>
  <c r="F134" i="89"/>
  <c r="E134" i="89" a="1"/>
  <c r="E134" i="89"/>
  <c r="H133" i="89" a="1"/>
  <c r="H133" i="89"/>
  <c r="G133" i="89" a="1"/>
  <c r="G133" i="89"/>
  <c r="F133" i="89" a="1"/>
  <c r="F133" i="89"/>
  <c r="E133" i="89" a="1"/>
  <c r="E133" i="89"/>
  <c r="H132" i="89" a="1"/>
  <c r="H132" i="89"/>
  <c r="G132" i="89" a="1"/>
  <c r="G132" i="89"/>
  <c r="F132" i="89" a="1"/>
  <c r="F132" i="89"/>
  <c r="E132" i="89" a="1"/>
  <c r="E132" i="89"/>
  <c r="H131" i="89" a="1"/>
  <c r="H131" i="89"/>
  <c r="G131" i="89" a="1"/>
  <c r="G131" i="89"/>
  <c r="F131" i="89" a="1"/>
  <c r="F131" i="89"/>
  <c r="E131" i="89" a="1"/>
  <c r="E131" i="89"/>
  <c r="H130" i="89" a="1"/>
  <c r="H130" i="89"/>
  <c r="G130" i="89" a="1"/>
  <c r="G130" i="89"/>
  <c r="F130" i="89" a="1"/>
  <c r="F130" i="89"/>
  <c r="E130" i="89" a="1"/>
  <c r="E130" i="89"/>
  <c r="H129" i="89" a="1"/>
  <c r="H129" i="89"/>
  <c r="G129" i="89" a="1"/>
  <c r="G129" i="89"/>
  <c r="F129" i="89" a="1"/>
  <c r="F129" i="89"/>
  <c r="E129" i="89" a="1"/>
  <c r="E129" i="89"/>
  <c r="H128" i="89" a="1"/>
  <c r="H128" i="89"/>
  <c r="G128" i="89" a="1"/>
  <c r="G128" i="89"/>
  <c r="F128" i="89" a="1"/>
  <c r="F128" i="89"/>
  <c r="E128" i="89" a="1"/>
  <c r="E128" i="89"/>
  <c r="H127" i="89" a="1"/>
  <c r="H127" i="89"/>
  <c r="G127" i="89" a="1"/>
  <c r="G127" i="89"/>
  <c r="F127" i="89" a="1"/>
  <c r="F127" i="89"/>
  <c r="E127" i="89" a="1"/>
  <c r="E127" i="89"/>
  <c r="H126" i="89" a="1"/>
  <c r="H126" i="89"/>
  <c r="G126" i="89" a="1"/>
  <c r="G126" i="89"/>
  <c r="F126" i="89" a="1"/>
  <c r="F126" i="89"/>
  <c r="E126" i="89" a="1"/>
  <c r="E126" i="89"/>
  <c r="H125" i="89" a="1"/>
  <c r="H125" i="89"/>
  <c r="G125" i="89" a="1"/>
  <c r="G125" i="89"/>
  <c r="F125" i="89" a="1"/>
  <c r="F125" i="89"/>
  <c r="E125" i="89" a="1"/>
  <c r="E125" i="89"/>
  <c r="H124" i="89" a="1"/>
  <c r="H124" i="89"/>
  <c r="G124" i="89" a="1"/>
  <c r="G124" i="89"/>
  <c r="F124" i="89" a="1"/>
  <c r="F124" i="89"/>
  <c r="E124" i="89" a="1"/>
  <c r="E124" i="89"/>
  <c r="H123" i="89" a="1"/>
  <c r="H123" i="89"/>
  <c r="G123" i="89" a="1"/>
  <c r="G123" i="89"/>
  <c r="F123" i="89" a="1"/>
  <c r="F123" i="89"/>
  <c r="E123" i="89" a="1"/>
  <c r="E123" i="89"/>
  <c r="H122" i="89" a="1"/>
  <c r="H122" i="89"/>
  <c r="G122" i="89" a="1"/>
  <c r="G122" i="89"/>
  <c r="F122" i="89" a="1"/>
  <c r="F122" i="89"/>
  <c r="E122" i="89" a="1"/>
  <c r="E122" i="89"/>
  <c r="H121" i="89" a="1"/>
  <c r="H121" i="89"/>
  <c r="G121" i="89" a="1"/>
  <c r="G121" i="89"/>
  <c r="F121" i="89" a="1"/>
  <c r="F121" i="89"/>
  <c r="E121" i="89" a="1"/>
  <c r="E121" i="89"/>
  <c r="H120" i="89" a="1"/>
  <c r="H120" i="89"/>
  <c r="G120" i="89" a="1"/>
  <c r="G120" i="89"/>
  <c r="F120" i="89" a="1"/>
  <c r="F120" i="89"/>
  <c r="E120" i="89" a="1"/>
  <c r="E120" i="89"/>
  <c r="H119" i="89" a="1"/>
  <c r="H119" i="89"/>
  <c r="G119" i="89" a="1"/>
  <c r="G119" i="89"/>
  <c r="F119" i="89" a="1"/>
  <c r="F119" i="89"/>
  <c r="E119" i="89" a="1"/>
  <c r="E119" i="89"/>
  <c r="H118" i="89" a="1"/>
  <c r="H118" i="89"/>
  <c r="G118" i="89" a="1"/>
  <c r="G118" i="89"/>
  <c r="F118" i="89" a="1"/>
  <c r="F118" i="89"/>
  <c r="E118" i="89" a="1"/>
  <c r="E118" i="89"/>
  <c r="H117" i="89" a="1"/>
  <c r="H117" i="89"/>
  <c r="G117" i="89" a="1"/>
  <c r="G117" i="89"/>
  <c r="F117" i="89" a="1"/>
  <c r="F117" i="89"/>
  <c r="E117" i="89" a="1"/>
  <c r="E117" i="89"/>
  <c r="H116" i="89" a="1"/>
  <c r="H116" i="89"/>
  <c r="G116" i="89" a="1"/>
  <c r="G116" i="89"/>
  <c r="F116" i="89" a="1"/>
  <c r="F116" i="89"/>
  <c r="E116" i="89" a="1"/>
  <c r="E116" i="89"/>
  <c r="H115" i="89" a="1"/>
  <c r="H115" i="89"/>
  <c r="G115" i="89" a="1"/>
  <c r="G115" i="89"/>
  <c r="F115" i="89" a="1"/>
  <c r="F115" i="89"/>
  <c r="E115" i="89" a="1"/>
  <c r="E115" i="89"/>
  <c r="H114" i="89" a="1"/>
  <c r="H114" i="89"/>
  <c r="G114" i="89" a="1"/>
  <c r="G114" i="89"/>
  <c r="F114" i="89" a="1"/>
  <c r="F114" i="89"/>
  <c r="E114" i="89" a="1"/>
  <c r="E114" i="89"/>
  <c r="H113" i="89" a="1"/>
  <c r="H113" i="89"/>
  <c r="G113" i="89" a="1"/>
  <c r="G113" i="89"/>
  <c r="F113" i="89" a="1"/>
  <c r="F113" i="89"/>
  <c r="E113" i="89" a="1"/>
  <c r="E113" i="89"/>
  <c r="H112" i="89" a="1"/>
  <c r="H112" i="89"/>
  <c r="G112" i="89" a="1"/>
  <c r="G112" i="89"/>
  <c r="F112" i="89" a="1"/>
  <c r="F112" i="89"/>
  <c r="E112" i="89" a="1"/>
  <c r="E112" i="89"/>
  <c r="H111" i="89" a="1"/>
  <c r="H111" i="89"/>
  <c r="G111" i="89" a="1"/>
  <c r="G111" i="89"/>
  <c r="F111" i="89" a="1"/>
  <c r="F111" i="89"/>
  <c r="E111" i="89" a="1"/>
  <c r="E111" i="89"/>
  <c r="H110" i="89" a="1"/>
  <c r="H110" i="89"/>
  <c r="G110" i="89" a="1"/>
  <c r="G110" i="89"/>
  <c r="F110" i="89" a="1"/>
  <c r="F110" i="89"/>
  <c r="E110" i="89" a="1"/>
  <c r="E110" i="89"/>
  <c r="H109" i="89" a="1"/>
  <c r="H109" i="89"/>
  <c r="G109" i="89" a="1"/>
  <c r="G109" i="89"/>
  <c r="F109" i="89" a="1"/>
  <c r="F109" i="89"/>
  <c r="E109" i="89" a="1"/>
  <c r="E109" i="89"/>
  <c r="H108" i="89" a="1"/>
  <c r="H108" i="89"/>
  <c r="G108" i="89" a="1"/>
  <c r="G108" i="89"/>
  <c r="F108" i="89" a="1"/>
  <c r="F108" i="89"/>
  <c r="E108" i="89" a="1"/>
  <c r="E108" i="89"/>
  <c r="H107" i="89" a="1"/>
  <c r="H107" i="89"/>
  <c r="G107" i="89" a="1"/>
  <c r="G107" i="89"/>
  <c r="F107" i="89" a="1"/>
  <c r="F107" i="89"/>
  <c r="E107" i="89" a="1"/>
  <c r="E107" i="89"/>
  <c r="H106" i="89" a="1"/>
  <c r="H106" i="89"/>
  <c r="G106" i="89" a="1"/>
  <c r="G106" i="89"/>
  <c r="F106" i="89" a="1"/>
  <c r="F106" i="89"/>
  <c r="E106" i="89" a="1"/>
  <c r="E106" i="89"/>
  <c r="H105" i="89" a="1"/>
  <c r="H105" i="89"/>
  <c r="G105" i="89" a="1"/>
  <c r="G105" i="89"/>
  <c r="F105" i="89" a="1"/>
  <c r="F105" i="89"/>
  <c r="E105" i="89" a="1"/>
  <c r="E105" i="89"/>
  <c r="H104" i="89" a="1"/>
  <c r="H104" i="89"/>
  <c r="G104" i="89" a="1"/>
  <c r="G104" i="89"/>
  <c r="F104" i="89" a="1"/>
  <c r="F104" i="89"/>
  <c r="E104" i="89" a="1"/>
  <c r="E104" i="89"/>
  <c r="H103" i="89" a="1"/>
  <c r="H103" i="89"/>
  <c r="G103" i="89" a="1"/>
  <c r="G103" i="89"/>
  <c r="F103" i="89" a="1"/>
  <c r="F103" i="89"/>
  <c r="E103" i="89" a="1"/>
  <c r="E103" i="89"/>
  <c r="H102" i="89" a="1"/>
  <c r="H102" i="89"/>
  <c r="G102" i="89" a="1"/>
  <c r="G102" i="89"/>
  <c r="F102" i="89" a="1"/>
  <c r="F102" i="89"/>
  <c r="E102" i="89" a="1"/>
  <c r="E102" i="89"/>
  <c r="H101" i="89" a="1"/>
  <c r="H101" i="89"/>
  <c r="G101" i="89" a="1"/>
  <c r="G101" i="89"/>
  <c r="F101" i="89" a="1"/>
  <c r="F101" i="89"/>
  <c r="E101" i="89" a="1"/>
  <c r="E101" i="89"/>
  <c r="H100" i="89" a="1"/>
  <c r="H100" i="89"/>
  <c r="G100" i="89" a="1"/>
  <c r="G100" i="89"/>
  <c r="F100" i="89" a="1"/>
  <c r="F100" i="89"/>
  <c r="E100" i="89" a="1"/>
  <c r="E100" i="89"/>
  <c r="H99" i="89" a="1"/>
  <c r="H99" i="89"/>
  <c r="G99" i="89" a="1"/>
  <c r="G99" i="89"/>
  <c r="F99" i="89" a="1"/>
  <c r="F99" i="89"/>
  <c r="E99" i="89" a="1"/>
  <c r="E99" i="89"/>
  <c r="H98" i="89" a="1"/>
  <c r="H98" i="89"/>
  <c r="G98" i="89" a="1"/>
  <c r="G98" i="89"/>
  <c r="F98" i="89" a="1"/>
  <c r="F98" i="89"/>
  <c r="E98" i="89" a="1"/>
  <c r="E98" i="89"/>
  <c r="H97" i="89" a="1"/>
  <c r="H97" i="89"/>
  <c r="G97" i="89" a="1"/>
  <c r="G97" i="89"/>
  <c r="F97" i="89" a="1"/>
  <c r="F97" i="89"/>
  <c r="E97" i="89" a="1"/>
  <c r="E97" i="89"/>
  <c r="H96" i="89" a="1"/>
  <c r="H96" i="89"/>
  <c r="G96" i="89" a="1"/>
  <c r="G96" i="89"/>
  <c r="F96" i="89" a="1"/>
  <c r="F96" i="89"/>
  <c r="E96" i="89" a="1"/>
  <c r="E96" i="89"/>
  <c r="H95" i="89" a="1"/>
  <c r="H95" i="89"/>
  <c r="G95" i="89" a="1"/>
  <c r="G95" i="89"/>
  <c r="F95" i="89" a="1"/>
  <c r="F95" i="89"/>
  <c r="E95" i="89" a="1"/>
  <c r="E95" i="89"/>
  <c r="H94" i="89" a="1"/>
  <c r="H94" i="89"/>
  <c r="G94" i="89" a="1"/>
  <c r="G94" i="89"/>
  <c r="F94" i="89" a="1"/>
  <c r="F94" i="89"/>
  <c r="E94" i="89" a="1"/>
  <c r="E94" i="89"/>
  <c r="H93" i="89" a="1"/>
  <c r="H93" i="89"/>
  <c r="G93" i="89" a="1"/>
  <c r="G93" i="89"/>
  <c r="F93" i="89" a="1"/>
  <c r="F93" i="89"/>
  <c r="E93" i="89" a="1"/>
  <c r="E93" i="89"/>
  <c r="H92" i="89" a="1"/>
  <c r="H92" i="89"/>
  <c r="G92" i="89" a="1"/>
  <c r="G92" i="89"/>
  <c r="F92" i="89" a="1"/>
  <c r="F92" i="89"/>
  <c r="E92" i="89" a="1"/>
  <c r="E92" i="89"/>
  <c r="H91" i="89" a="1"/>
  <c r="H91" i="89"/>
  <c r="G91" i="89" a="1"/>
  <c r="G91" i="89"/>
  <c r="F91" i="89" a="1"/>
  <c r="F91" i="89"/>
  <c r="E91" i="89" a="1"/>
  <c r="E91" i="89"/>
  <c r="H90" i="89" a="1"/>
  <c r="H90" i="89"/>
  <c r="G90" i="89" a="1"/>
  <c r="G90" i="89"/>
  <c r="F90" i="89" a="1"/>
  <c r="F90" i="89"/>
  <c r="E90" i="89" a="1"/>
  <c r="E90" i="89"/>
  <c r="H89" i="89" a="1"/>
  <c r="H89" i="89"/>
  <c r="G89" i="89" a="1"/>
  <c r="G89" i="89"/>
  <c r="F89" i="89" a="1"/>
  <c r="F89" i="89"/>
  <c r="E89" i="89" a="1"/>
  <c r="E89" i="89"/>
  <c r="H88" i="89" a="1"/>
  <c r="H88" i="89"/>
  <c r="G88" i="89" a="1"/>
  <c r="G88" i="89"/>
  <c r="F88" i="89" a="1"/>
  <c r="F88" i="89"/>
  <c r="E88" i="89" a="1"/>
  <c r="E88" i="89"/>
  <c r="H87" i="89" a="1"/>
  <c r="H87" i="89"/>
  <c r="G87" i="89" a="1"/>
  <c r="G87" i="89"/>
  <c r="F87" i="89" a="1"/>
  <c r="F87" i="89"/>
  <c r="E87" i="89" a="1"/>
  <c r="E87" i="89"/>
  <c r="H86" i="89" a="1"/>
  <c r="H86" i="89"/>
  <c r="G86" i="89" a="1"/>
  <c r="G86" i="89"/>
  <c r="F86" i="89" a="1"/>
  <c r="F86" i="89"/>
  <c r="E86" i="89" a="1"/>
  <c r="E86" i="89"/>
  <c r="H85" i="89" a="1"/>
  <c r="H85" i="89"/>
  <c r="G85" i="89" a="1"/>
  <c r="G85" i="89"/>
  <c r="F85" i="89" a="1"/>
  <c r="F85" i="89"/>
  <c r="E85" i="89" a="1"/>
  <c r="E85" i="89"/>
  <c r="H84" i="89" a="1"/>
  <c r="H84" i="89"/>
  <c r="G84" i="89" a="1"/>
  <c r="G84" i="89"/>
  <c r="F84" i="89" a="1"/>
  <c r="F84" i="89"/>
  <c r="E84" i="89" a="1"/>
  <c r="E84" i="89"/>
  <c r="H83" i="89" a="1"/>
  <c r="H83" i="89"/>
  <c r="G83" i="89" a="1"/>
  <c r="G83" i="89"/>
  <c r="F83" i="89" a="1"/>
  <c r="F83" i="89"/>
  <c r="E83" i="89" a="1"/>
  <c r="E83" i="89"/>
  <c r="H82" i="89" a="1"/>
  <c r="H82" i="89"/>
  <c r="G82" i="89" a="1"/>
  <c r="G82" i="89"/>
  <c r="F82" i="89" a="1"/>
  <c r="F82" i="89"/>
  <c r="E82" i="89" a="1"/>
  <c r="E82" i="89"/>
  <c r="H81" i="89" a="1"/>
  <c r="H81" i="89"/>
  <c r="G81" i="89" a="1"/>
  <c r="G81" i="89"/>
  <c r="F81" i="89" a="1"/>
  <c r="F81" i="89"/>
  <c r="E81" i="89" a="1"/>
  <c r="E81" i="89"/>
  <c r="H80" i="89" a="1"/>
  <c r="H80" i="89"/>
  <c r="G80" i="89" a="1"/>
  <c r="G80" i="89"/>
  <c r="F80" i="89" a="1"/>
  <c r="F80" i="89"/>
  <c r="E80" i="89" a="1"/>
  <c r="E80" i="89"/>
  <c r="H79" i="89" a="1"/>
  <c r="H79" i="89"/>
  <c r="G79" i="89" a="1"/>
  <c r="G79" i="89"/>
  <c r="F79" i="89" a="1"/>
  <c r="F79" i="89"/>
  <c r="E79" i="89" a="1"/>
  <c r="E79" i="89"/>
  <c r="H78" i="89" a="1"/>
  <c r="H78" i="89"/>
  <c r="G78" i="89" a="1"/>
  <c r="G78" i="89"/>
  <c r="F78" i="89" a="1"/>
  <c r="F78" i="89"/>
  <c r="E78" i="89" a="1"/>
  <c r="E78" i="89"/>
  <c r="H77" i="89" a="1"/>
  <c r="H77" i="89"/>
  <c r="G77" i="89" a="1"/>
  <c r="G77" i="89"/>
  <c r="F77" i="89" a="1"/>
  <c r="F77" i="89"/>
  <c r="E77" i="89" a="1"/>
  <c r="E77" i="89"/>
  <c r="H76" i="89" a="1"/>
  <c r="H76" i="89"/>
  <c r="G76" i="89" a="1"/>
  <c r="G76" i="89"/>
  <c r="F76" i="89" a="1"/>
  <c r="F76" i="89"/>
  <c r="E76" i="89" a="1"/>
  <c r="E76" i="89"/>
  <c r="H75" i="89" a="1"/>
  <c r="H75" i="89"/>
  <c r="G75" i="89" a="1"/>
  <c r="G75" i="89"/>
  <c r="F75" i="89" a="1"/>
  <c r="F75" i="89"/>
  <c r="E75" i="89" a="1"/>
  <c r="E75" i="89"/>
  <c r="H74" i="89" a="1"/>
  <c r="H74" i="89"/>
  <c r="G74" i="89" a="1"/>
  <c r="G74" i="89"/>
  <c r="F74" i="89" a="1"/>
  <c r="F74" i="89"/>
  <c r="E74" i="89" a="1"/>
  <c r="E74" i="89"/>
  <c r="H73" i="89" a="1"/>
  <c r="H73" i="89"/>
  <c r="G73" i="89" a="1"/>
  <c r="G73" i="89"/>
  <c r="F73" i="89" a="1"/>
  <c r="F73" i="89"/>
  <c r="E73" i="89" a="1"/>
  <c r="E73" i="89"/>
  <c r="H72" i="89" a="1"/>
  <c r="H72" i="89"/>
  <c r="G72" i="89" a="1"/>
  <c r="G72" i="89"/>
  <c r="F72" i="89" a="1"/>
  <c r="F72" i="89"/>
  <c r="E72" i="89" a="1"/>
  <c r="E72" i="89"/>
  <c r="H71" i="89" a="1"/>
  <c r="H71" i="89"/>
  <c r="G71" i="89" a="1"/>
  <c r="G71" i="89"/>
  <c r="F71" i="89" a="1"/>
  <c r="F71" i="89"/>
  <c r="E71" i="89" a="1"/>
  <c r="E71" i="89"/>
  <c r="H70" i="89" a="1"/>
  <c r="H70" i="89"/>
  <c r="G70" i="89" a="1"/>
  <c r="G70" i="89"/>
  <c r="F70" i="89" a="1"/>
  <c r="F70" i="89"/>
  <c r="E70" i="89" a="1"/>
  <c r="E70" i="89"/>
  <c r="H69" i="89" a="1"/>
  <c r="H69" i="89"/>
  <c r="G69" i="89" a="1"/>
  <c r="G69" i="89"/>
  <c r="F69" i="89" a="1"/>
  <c r="F69" i="89"/>
  <c r="E69" i="89" a="1"/>
  <c r="E69" i="89"/>
  <c r="H68" i="89" a="1"/>
  <c r="H68" i="89"/>
  <c r="G68" i="89" a="1"/>
  <c r="G68" i="89"/>
  <c r="F68" i="89" a="1"/>
  <c r="F68" i="89"/>
  <c r="E68" i="89" a="1"/>
  <c r="E68" i="89"/>
  <c r="H67" i="89" a="1"/>
  <c r="H67" i="89"/>
  <c r="G67" i="89" a="1"/>
  <c r="G67" i="89"/>
  <c r="F67" i="89" a="1"/>
  <c r="F67" i="89"/>
  <c r="E67" i="89" a="1"/>
  <c r="E67" i="89"/>
  <c r="H66" i="89" a="1"/>
  <c r="H66" i="89"/>
  <c r="G66" i="89" a="1"/>
  <c r="G66" i="89"/>
  <c r="F66" i="89" a="1"/>
  <c r="F66" i="89"/>
  <c r="E66" i="89" a="1"/>
  <c r="E66" i="89"/>
  <c r="H65" i="89" a="1"/>
  <c r="H65" i="89"/>
  <c r="G65" i="89" a="1"/>
  <c r="G65" i="89"/>
  <c r="F65" i="89" a="1"/>
  <c r="F65" i="89"/>
  <c r="E65" i="89" a="1"/>
  <c r="E65" i="89"/>
  <c r="H64" i="89" a="1"/>
  <c r="H64" i="89"/>
  <c r="G64" i="89" a="1"/>
  <c r="G64" i="89"/>
  <c r="F64" i="89" a="1"/>
  <c r="F64" i="89"/>
  <c r="E64" i="89" a="1"/>
  <c r="E64" i="89"/>
  <c r="H63" i="89" a="1"/>
  <c r="H63" i="89"/>
  <c r="G63" i="89" a="1"/>
  <c r="G63" i="89"/>
  <c r="F63" i="89" a="1"/>
  <c r="F63" i="89"/>
  <c r="E63" i="89" a="1"/>
  <c r="E63" i="89"/>
  <c r="H62" i="89" a="1"/>
  <c r="H62" i="89"/>
  <c r="G62" i="89" a="1"/>
  <c r="G62" i="89"/>
  <c r="F62" i="89" a="1"/>
  <c r="F62" i="89"/>
  <c r="E62" i="89" a="1"/>
  <c r="E62" i="89"/>
  <c r="H61" i="89" a="1"/>
  <c r="H61" i="89"/>
  <c r="G61" i="89" a="1"/>
  <c r="G61" i="89"/>
  <c r="F61" i="89" a="1"/>
  <c r="F61" i="89"/>
  <c r="E61" i="89" a="1"/>
  <c r="E61" i="89"/>
  <c r="H60" i="89" a="1"/>
  <c r="H60" i="89"/>
  <c r="G60" i="89" a="1"/>
  <c r="G60" i="89"/>
  <c r="F60" i="89" a="1"/>
  <c r="F60" i="89"/>
  <c r="E60" i="89" a="1"/>
  <c r="E60" i="89"/>
  <c r="H59" i="89" a="1"/>
  <c r="H59" i="89"/>
  <c r="G59" i="89" a="1"/>
  <c r="G59" i="89"/>
  <c r="F59" i="89" a="1"/>
  <c r="F59" i="89"/>
  <c r="E59" i="89" a="1"/>
  <c r="E59" i="89"/>
  <c r="H58" i="89" a="1"/>
  <c r="H58" i="89"/>
  <c r="G58" i="89" a="1"/>
  <c r="G58" i="89"/>
  <c r="F58" i="89" a="1"/>
  <c r="F58" i="89"/>
  <c r="E58" i="89" a="1"/>
  <c r="E58" i="89"/>
  <c r="H57" i="89" a="1"/>
  <c r="H57" i="89"/>
  <c r="G57" i="89" a="1"/>
  <c r="G57" i="89"/>
  <c r="F57" i="89" a="1"/>
  <c r="F57" i="89"/>
  <c r="E57" i="89" a="1"/>
  <c r="E57" i="89"/>
  <c r="H56" i="89" a="1"/>
  <c r="H56" i="89"/>
  <c r="G56" i="89" a="1"/>
  <c r="G56" i="89"/>
  <c r="F56" i="89" a="1"/>
  <c r="F56" i="89"/>
  <c r="E56" i="89" a="1"/>
  <c r="E56" i="89"/>
  <c r="H55" i="89" a="1"/>
  <c r="H55" i="89"/>
  <c r="G55" i="89" a="1"/>
  <c r="G55" i="89"/>
  <c r="F55" i="89" a="1"/>
  <c r="F55" i="89"/>
  <c r="E55" i="89" a="1"/>
  <c r="E55" i="89"/>
  <c r="H54" i="89" a="1"/>
  <c r="H54" i="89"/>
  <c r="G54" i="89" a="1"/>
  <c r="G54" i="89"/>
  <c r="F54" i="89" a="1"/>
  <c r="F54" i="89"/>
  <c r="E54" i="89" a="1"/>
  <c r="E54" i="89"/>
  <c r="H53" i="89" a="1"/>
  <c r="H53" i="89"/>
  <c r="G53" i="89" a="1"/>
  <c r="G53" i="89"/>
  <c r="F53" i="89" a="1"/>
  <c r="F53" i="89"/>
  <c r="E53" i="89" a="1"/>
  <c r="E53" i="89"/>
  <c r="H52" i="89" a="1"/>
  <c r="H52" i="89"/>
  <c r="G52" i="89" a="1"/>
  <c r="G52" i="89"/>
  <c r="F52" i="89" a="1"/>
  <c r="F52" i="89"/>
  <c r="E52" i="89" a="1"/>
  <c r="E52" i="89"/>
  <c r="H51" i="89" a="1"/>
  <c r="H51" i="89"/>
  <c r="G51" i="89" a="1"/>
  <c r="G51" i="89"/>
  <c r="F51" i="89" a="1"/>
  <c r="F51" i="89"/>
  <c r="E51" i="89" a="1"/>
  <c r="E51" i="89"/>
  <c r="H50" i="89" a="1"/>
  <c r="H50" i="89"/>
  <c r="G50" i="89" a="1"/>
  <c r="G50" i="89"/>
  <c r="F50" i="89" a="1"/>
  <c r="F50" i="89"/>
  <c r="E50" i="89" a="1"/>
  <c r="E50" i="89"/>
  <c r="H49" i="89" a="1"/>
  <c r="H49" i="89"/>
  <c r="G49" i="89" a="1"/>
  <c r="G49" i="89"/>
  <c r="F49" i="89" a="1"/>
  <c r="F49" i="89"/>
  <c r="E49" i="89" a="1"/>
  <c r="E49" i="89"/>
  <c r="H48" i="89" a="1"/>
  <c r="H48" i="89"/>
  <c r="G48" i="89" a="1"/>
  <c r="G48" i="89"/>
  <c r="F48" i="89" a="1"/>
  <c r="F48" i="89"/>
  <c r="E48" i="89" a="1"/>
  <c r="E48" i="89"/>
  <c r="H47" i="89" a="1"/>
  <c r="H47" i="89"/>
  <c r="G47" i="89" a="1"/>
  <c r="G47" i="89"/>
  <c r="F47" i="89" a="1"/>
  <c r="F47" i="89"/>
  <c r="E47" i="89" a="1"/>
  <c r="E47" i="89"/>
  <c r="H46" i="89" a="1"/>
  <c r="H46" i="89"/>
  <c r="G46" i="89" a="1"/>
  <c r="G46" i="89"/>
  <c r="F46" i="89" a="1"/>
  <c r="F46" i="89"/>
  <c r="E46" i="89" a="1"/>
  <c r="E46" i="89"/>
  <c r="H45" i="89" a="1"/>
  <c r="H45" i="89"/>
  <c r="G45" i="89" a="1"/>
  <c r="G45" i="89"/>
  <c r="F45" i="89" a="1"/>
  <c r="F45" i="89"/>
  <c r="E45" i="89" a="1"/>
  <c r="E45" i="89"/>
  <c r="H44" i="89" a="1"/>
  <c r="H44" i="89"/>
  <c r="G44" i="89" a="1"/>
  <c r="G44" i="89"/>
  <c r="F44" i="89" a="1"/>
  <c r="F44" i="89"/>
  <c r="E44" i="89" a="1"/>
  <c r="E44" i="89"/>
  <c r="H43" i="89" a="1"/>
  <c r="H43" i="89"/>
  <c r="G43" i="89" a="1"/>
  <c r="G43" i="89"/>
  <c r="F43" i="89" a="1"/>
  <c r="F43" i="89"/>
  <c r="E43" i="89" a="1"/>
  <c r="E43" i="89"/>
  <c r="H42" i="89" a="1"/>
  <c r="H42" i="89"/>
  <c r="G42" i="89" a="1"/>
  <c r="G42" i="89"/>
  <c r="F42" i="89" a="1"/>
  <c r="F42" i="89"/>
  <c r="E42" i="89" a="1"/>
  <c r="E42" i="89"/>
  <c r="H41" i="89" a="1"/>
  <c r="H41" i="89"/>
  <c r="G41" i="89" a="1"/>
  <c r="G41" i="89"/>
  <c r="F41" i="89" a="1"/>
  <c r="F41" i="89"/>
  <c r="E41" i="89" a="1"/>
  <c r="E41" i="89"/>
  <c r="D41" i="89" a="1"/>
  <c r="D41" i="89"/>
  <c r="H40" i="89" a="1"/>
  <c r="H40" i="89"/>
  <c r="G40" i="89" a="1"/>
  <c r="G40" i="89"/>
  <c r="F40" i="89" a="1"/>
  <c r="F40" i="89"/>
  <c r="E40" i="89" a="1"/>
  <c r="E40" i="89"/>
  <c r="D40" i="89" a="1"/>
  <c r="D40" i="89"/>
  <c r="H39" i="89" a="1"/>
  <c r="H39" i="89"/>
  <c r="G39" i="89" a="1"/>
  <c r="G39" i="89"/>
  <c r="F39" i="89" a="1"/>
  <c r="F39" i="89"/>
  <c r="E39" i="89" a="1"/>
  <c r="E39" i="89"/>
  <c r="D39" i="89" a="1"/>
  <c r="D39" i="89"/>
  <c r="H38" i="89" a="1"/>
  <c r="H38" i="89"/>
  <c r="G38" i="89" a="1"/>
  <c r="G38" i="89"/>
  <c r="F38" i="89" a="1"/>
  <c r="F38" i="89"/>
  <c r="E38" i="89" a="1"/>
  <c r="E38" i="89"/>
  <c r="D38" i="89" a="1"/>
  <c r="D38" i="89"/>
  <c r="H37" i="89" a="1"/>
  <c r="H37" i="89"/>
  <c r="G37" i="89" a="1"/>
  <c r="G37" i="89"/>
  <c r="F37" i="89" a="1"/>
  <c r="F37" i="89"/>
  <c r="E37" i="89" a="1"/>
  <c r="E37" i="89"/>
  <c r="D37" i="89" a="1"/>
  <c r="D37" i="89"/>
  <c r="H36" i="89" a="1"/>
  <c r="H36" i="89"/>
  <c r="G36" i="89" a="1"/>
  <c r="G36" i="89"/>
  <c r="F36" i="89" a="1"/>
  <c r="F36" i="89"/>
  <c r="E36" i="89" a="1"/>
  <c r="E36" i="89"/>
  <c r="D36" i="89" a="1"/>
  <c r="D36" i="89"/>
  <c r="H35" i="89" a="1"/>
  <c r="H35" i="89"/>
  <c r="G35" i="89" a="1"/>
  <c r="G35" i="89"/>
  <c r="F35" i="89" a="1"/>
  <c r="F35" i="89"/>
  <c r="E35" i="89" a="1"/>
  <c r="E35" i="89"/>
  <c r="D35" i="89" a="1"/>
  <c r="D35" i="89"/>
  <c r="H34" i="89" a="1"/>
  <c r="H34" i="89"/>
  <c r="G34" i="89" a="1"/>
  <c r="G34" i="89"/>
  <c r="F34" i="89" a="1"/>
  <c r="F34" i="89"/>
  <c r="E34" i="89" a="1"/>
  <c r="E34" i="89"/>
  <c r="D34" i="89" a="1"/>
  <c r="D34" i="89"/>
  <c r="R1" i="13"/>
  <c r="J24" i="13"/>
  <c r="I24" i="13"/>
  <c r="J23" i="13"/>
  <c r="I23" i="13"/>
  <c r="J22" i="13"/>
  <c r="I22" i="13"/>
  <c r="J21" i="13"/>
  <c r="I21" i="13"/>
  <c r="J20" i="13"/>
  <c r="I20" i="13"/>
  <c r="J19" i="13"/>
  <c r="I19" i="13"/>
  <c r="J17" i="13"/>
  <c r="I17" i="13"/>
  <c r="T25" i="13"/>
  <c r="S25" i="13"/>
  <c r="R25" i="13"/>
  <c r="R26" i="13"/>
  <c r="Q25" i="13"/>
  <c r="Q26" i="13"/>
  <c r="P25" i="13"/>
  <c r="P26" i="13"/>
  <c r="O25" i="13"/>
  <c r="O26" i="13"/>
  <c r="N25" i="13"/>
  <c r="N26" i="13"/>
  <c r="M25" i="13"/>
  <c r="M26" i="13"/>
  <c r="L25" i="13"/>
  <c r="L26" i="13"/>
  <c r="K25" i="13"/>
  <c r="H25" i="13"/>
  <c r="G25" i="13"/>
  <c r="F25" i="13"/>
  <c r="E25" i="13"/>
  <c r="D25" i="13"/>
  <c r="C25" i="13"/>
  <c r="C30" i="13"/>
  <c r="BV40" i="74"/>
  <c r="BV41" i="74"/>
  <c r="BV45" i="74"/>
  <c r="BV39" i="74"/>
  <c r="H31" i="39"/>
  <c r="H37" i="39"/>
  <c r="H38" i="39"/>
  <c r="H35" i="39"/>
  <c r="H34" i="39"/>
  <c r="H40" i="39"/>
  <c r="H36" i="39"/>
  <c r="H32" i="39"/>
  <c r="H33" i="39"/>
  <c r="H39" i="39"/>
  <c r="I25" i="78"/>
  <c r="K18" i="78"/>
  <c r="E25" i="78"/>
  <c r="J25" i="13"/>
  <c r="I25" i="13"/>
  <c r="J24" i="85"/>
  <c r="J23" i="85"/>
  <c r="J22" i="85"/>
  <c r="J21" i="85"/>
  <c r="J20" i="85"/>
  <c r="J19" i="85"/>
  <c r="F25" i="85"/>
  <c r="I24" i="85"/>
  <c r="I23" i="85"/>
  <c r="I22" i="85"/>
  <c r="I21" i="85"/>
  <c r="I20" i="85"/>
  <c r="I19" i="85"/>
  <c r="E25" i="85"/>
  <c r="H25" i="85"/>
  <c r="J17" i="85"/>
  <c r="G25" i="85"/>
  <c r="I17" i="85"/>
  <c r="H21" i="33"/>
  <c r="H22" i="33"/>
  <c r="B72" i="36"/>
  <c r="B53" i="36"/>
  <c r="J25" i="85"/>
  <c r="K17" i="78"/>
  <c r="K21" i="78"/>
  <c r="K22" i="78"/>
  <c r="K23" i="78"/>
  <c r="K24" i="78"/>
  <c r="K20" i="78"/>
  <c r="K19" i="78"/>
  <c r="I25" i="85"/>
  <c r="K17" i="85"/>
  <c r="K25" i="78"/>
  <c r="K24" i="85"/>
  <c r="K23" i="85"/>
  <c r="K22" i="85"/>
  <c r="K21" i="85"/>
  <c r="K20" i="85"/>
  <c r="K19" i="85"/>
  <c r="K25" i="85"/>
  <c r="BV48" i="74"/>
  <c r="L73" i="77"/>
  <c r="I73" i="77"/>
  <c r="E73" i="77"/>
  <c r="L59" i="77"/>
  <c r="I59" i="77"/>
  <c r="E59" i="77"/>
  <c r="L44" i="77"/>
  <c r="I44" i="77"/>
  <c r="E44" i="77"/>
  <c r="M26" i="37"/>
  <c r="I26" i="37"/>
  <c r="E26" i="37"/>
  <c r="I43" i="62"/>
  <c r="I48" i="62"/>
  <c r="I53" i="62"/>
  <c r="F53" i="62"/>
  <c r="F48" i="62"/>
  <c r="F43" i="62"/>
  <c r="L26" i="77"/>
  <c r="L24" i="77"/>
  <c r="L22" i="77"/>
  <c r="I56" i="77"/>
  <c r="I53" i="1"/>
  <c r="S53" i="1"/>
  <c r="J54" i="1"/>
  <c r="F19" i="62"/>
  <c r="D15" i="15"/>
  <c r="BW47" i="74"/>
  <c r="BX47" i="74"/>
  <c r="G1" i="100"/>
  <c r="C8" i="100"/>
  <c r="J37" i="62"/>
  <c r="J36" i="62"/>
  <c r="J35" i="62"/>
  <c r="G37" i="62"/>
  <c r="G36" i="62"/>
  <c r="G35" i="62"/>
  <c r="C23" i="100"/>
  <c r="C21" i="100"/>
  <c r="C7" i="100"/>
  <c r="C11" i="100"/>
  <c r="C22" i="100"/>
  <c r="C6" i="100"/>
  <c r="C5" i="100"/>
  <c r="C12" i="100"/>
  <c r="C4" i="100"/>
  <c r="C18" i="100"/>
  <c r="C10" i="100"/>
  <c r="C3" i="100"/>
  <c r="C25" i="100"/>
  <c r="C17" i="100"/>
  <c r="C9" i="100"/>
  <c r="C15" i="100"/>
  <c r="C14" i="100"/>
  <c r="C13" i="100"/>
  <c r="C20" i="100"/>
  <c r="C19" i="100"/>
  <c r="C2" i="100"/>
  <c r="C24" i="100"/>
  <c r="C16" i="100"/>
  <c r="M77" i="37"/>
  <c r="I77" i="37"/>
  <c r="E77" i="37"/>
  <c r="M58" i="37"/>
  <c r="I58" i="37"/>
  <c r="E58" i="37"/>
  <c r="M20" i="37"/>
  <c r="I20" i="37"/>
  <c r="E20" i="37"/>
  <c r="M39" i="37"/>
  <c r="I39" i="37"/>
  <c r="L39" i="77"/>
  <c r="L37" i="77"/>
  <c r="L35" i="77"/>
  <c r="E39" i="37"/>
  <c r="L56" i="77"/>
  <c r="H56" i="77"/>
  <c r="I71" i="77"/>
  <c r="C183" i="90"/>
  <c r="C182" i="90"/>
  <c r="C181" i="90"/>
  <c r="C180" i="90"/>
  <c r="C179" i="90"/>
  <c r="C178" i="90"/>
  <c r="C177" i="90"/>
  <c r="C176" i="90"/>
  <c r="C175" i="90"/>
  <c r="C174" i="90"/>
  <c r="C173" i="90"/>
  <c r="C172" i="90"/>
  <c r="C171" i="90"/>
  <c r="C170" i="90"/>
  <c r="C169" i="90"/>
  <c r="C168" i="90"/>
  <c r="C167" i="90"/>
  <c r="C166" i="90"/>
  <c r="C165" i="90"/>
  <c r="C164" i="90"/>
  <c r="C163" i="90"/>
  <c r="C162" i="90"/>
  <c r="C161" i="90"/>
  <c r="C160" i="90"/>
  <c r="C159" i="90"/>
  <c r="C158" i="90"/>
  <c r="C157" i="90"/>
  <c r="C156" i="90"/>
  <c r="C155" i="90"/>
  <c r="C154" i="90"/>
  <c r="C153" i="90"/>
  <c r="C152" i="90"/>
  <c r="C151" i="90"/>
  <c r="C150" i="90"/>
  <c r="C149" i="90"/>
  <c r="C148" i="90"/>
  <c r="C147" i="90"/>
  <c r="C146" i="90"/>
  <c r="C145" i="90"/>
  <c r="C144" i="90"/>
  <c r="C143" i="90"/>
  <c r="C142" i="90"/>
  <c r="C141" i="90"/>
  <c r="C140" i="90"/>
  <c r="C139" i="90"/>
  <c r="C138" i="90"/>
  <c r="C137" i="90"/>
  <c r="C136" i="90"/>
  <c r="C135" i="90"/>
  <c r="C134" i="90"/>
  <c r="C133" i="90"/>
  <c r="C132" i="90"/>
  <c r="C131" i="90"/>
  <c r="C130" i="90"/>
  <c r="C129" i="90"/>
  <c r="C128" i="90"/>
  <c r="C127" i="90"/>
  <c r="C126" i="90"/>
  <c r="C125" i="90"/>
  <c r="C124" i="90"/>
  <c r="C123" i="90"/>
  <c r="C122" i="90"/>
  <c r="C121" i="90"/>
  <c r="C120" i="90"/>
  <c r="C119" i="90"/>
  <c r="C118" i="90"/>
  <c r="C117" i="90"/>
  <c r="C116" i="90"/>
  <c r="C115" i="90"/>
  <c r="C114" i="90"/>
  <c r="C113" i="90"/>
  <c r="C112" i="90"/>
  <c r="C111" i="90"/>
  <c r="C110" i="90"/>
  <c r="C109" i="90"/>
  <c r="C108" i="90"/>
  <c r="C107" i="90"/>
  <c r="C106" i="90"/>
  <c r="C105" i="90"/>
  <c r="C104" i="90"/>
  <c r="C103" i="90"/>
  <c r="C102" i="90"/>
  <c r="C101" i="90"/>
  <c r="C100" i="90"/>
  <c r="C99" i="90"/>
  <c r="C98" i="90"/>
  <c r="C97" i="90"/>
  <c r="C96" i="90"/>
  <c r="C95" i="90"/>
  <c r="C94" i="90"/>
  <c r="C93" i="90"/>
  <c r="C92" i="90"/>
  <c r="C91" i="90"/>
  <c r="C90" i="90"/>
  <c r="C89" i="90"/>
  <c r="C88" i="90"/>
  <c r="C87" i="90"/>
  <c r="C86" i="90"/>
  <c r="C85" i="90"/>
  <c r="C84" i="90"/>
  <c r="C83" i="90"/>
  <c r="C82" i="90"/>
  <c r="C81" i="90"/>
  <c r="C80" i="90"/>
  <c r="C79" i="90"/>
  <c r="C78" i="90"/>
  <c r="C77" i="90"/>
  <c r="C76" i="90"/>
  <c r="C75" i="90"/>
  <c r="C74" i="90"/>
  <c r="C73" i="90"/>
  <c r="C72" i="90"/>
  <c r="C71" i="90"/>
  <c r="C70" i="90"/>
  <c r="C69" i="90"/>
  <c r="C68" i="90"/>
  <c r="C67" i="90"/>
  <c r="C66" i="90"/>
  <c r="C65" i="90"/>
  <c r="C64" i="90"/>
  <c r="C63" i="90"/>
  <c r="C62" i="90"/>
  <c r="C61" i="90"/>
  <c r="C60" i="90"/>
  <c r="C59" i="90"/>
  <c r="C58" i="90"/>
  <c r="C57" i="90"/>
  <c r="C56" i="90"/>
  <c r="C55" i="90"/>
  <c r="C54" i="90"/>
  <c r="C53" i="90"/>
  <c r="C52" i="90"/>
  <c r="C51" i="90"/>
  <c r="C50" i="90"/>
  <c r="C49" i="90"/>
  <c r="C48" i="90"/>
  <c r="C47" i="90"/>
  <c r="C46" i="90"/>
  <c r="C45" i="90"/>
  <c r="C44" i="90"/>
  <c r="C43" i="90"/>
  <c r="C42" i="90"/>
  <c r="C41" i="90"/>
  <c r="C40" i="90"/>
  <c r="C39" i="90"/>
  <c r="C38" i="90"/>
  <c r="C37" i="90"/>
  <c r="C36" i="90"/>
  <c r="C35" i="90"/>
  <c r="C34" i="90"/>
  <c r="H183" i="90" a="1"/>
  <c r="H183" i="90"/>
  <c r="H182" i="90" a="1"/>
  <c r="H182" i="90"/>
  <c r="H181" i="90" a="1"/>
  <c r="H181" i="90"/>
  <c r="H180" i="90" a="1"/>
  <c r="H180" i="90"/>
  <c r="H179" i="90" a="1"/>
  <c r="H179" i="90"/>
  <c r="H178" i="90" a="1"/>
  <c r="H178" i="90"/>
  <c r="H177" i="90" a="1"/>
  <c r="H177" i="90"/>
  <c r="H176" i="90" a="1"/>
  <c r="H176" i="90"/>
  <c r="H175" i="90" a="1"/>
  <c r="H175" i="90"/>
  <c r="H174" i="90" a="1"/>
  <c r="H174" i="90"/>
  <c r="H173" i="90" a="1"/>
  <c r="H173" i="90"/>
  <c r="H172" i="90" a="1"/>
  <c r="H172" i="90"/>
  <c r="H171" i="90" a="1"/>
  <c r="H171" i="90"/>
  <c r="H170" i="90" a="1"/>
  <c r="H170" i="90"/>
  <c r="H169" i="90" a="1"/>
  <c r="H169" i="90"/>
  <c r="H168" i="90" a="1"/>
  <c r="H168" i="90"/>
  <c r="H167" i="90" a="1"/>
  <c r="H167" i="90"/>
  <c r="H166" i="90" a="1"/>
  <c r="H166" i="90"/>
  <c r="H165" i="90" a="1"/>
  <c r="H165" i="90"/>
  <c r="H164" i="90" a="1"/>
  <c r="H164" i="90"/>
  <c r="H163" i="90" a="1"/>
  <c r="H163" i="90"/>
  <c r="H162" i="90" a="1"/>
  <c r="H162" i="90"/>
  <c r="H161" i="90" a="1"/>
  <c r="H161" i="90"/>
  <c r="H160" i="90" a="1"/>
  <c r="H160" i="90"/>
  <c r="H159" i="90" a="1"/>
  <c r="H159" i="90"/>
  <c r="H158" i="90" a="1"/>
  <c r="H158" i="90"/>
  <c r="H157" i="90" a="1"/>
  <c r="H157" i="90"/>
  <c r="H156" i="90" a="1"/>
  <c r="H156" i="90"/>
  <c r="H155" i="90" a="1"/>
  <c r="H155" i="90"/>
  <c r="H154" i="90" a="1"/>
  <c r="H154" i="90"/>
  <c r="H153" i="90" a="1"/>
  <c r="H153" i="90"/>
  <c r="H152" i="90" a="1"/>
  <c r="H152" i="90"/>
  <c r="H151" i="90" a="1"/>
  <c r="H151" i="90"/>
  <c r="H150" i="90" a="1"/>
  <c r="H150" i="90"/>
  <c r="H149" i="90" a="1"/>
  <c r="H149" i="90"/>
  <c r="H148" i="90" a="1"/>
  <c r="H148" i="90"/>
  <c r="H147" i="90" a="1"/>
  <c r="H147" i="90"/>
  <c r="H146" i="90" a="1"/>
  <c r="H146" i="90"/>
  <c r="H145" i="90" a="1"/>
  <c r="H145" i="90"/>
  <c r="H144" i="90" a="1"/>
  <c r="H144" i="90"/>
  <c r="H143" i="90" a="1"/>
  <c r="H143" i="90"/>
  <c r="H142" i="90" a="1"/>
  <c r="H142" i="90"/>
  <c r="H141" i="90" a="1"/>
  <c r="H141" i="90"/>
  <c r="H140" i="90" a="1"/>
  <c r="H140" i="90"/>
  <c r="H139" i="90" a="1"/>
  <c r="H139" i="90"/>
  <c r="H138" i="90" a="1"/>
  <c r="H138" i="90"/>
  <c r="H137" i="90" a="1"/>
  <c r="H137" i="90"/>
  <c r="H136" i="90" a="1"/>
  <c r="H136" i="90"/>
  <c r="H135" i="90" a="1"/>
  <c r="H135" i="90"/>
  <c r="H134" i="90" a="1"/>
  <c r="H134" i="90"/>
  <c r="H133" i="90" a="1"/>
  <c r="H133" i="90"/>
  <c r="H132" i="90" a="1"/>
  <c r="H132" i="90"/>
  <c r="H131" i="90" a="1"/>
  <c r="H131" i="90"/>
  <c r="H130" i="90" a="1"/>
  <c r="H130" i="90"/>
  <c r="H129" i="90" a="1"/>
  <c r="H129" i="90"/>
  <c r="H128" i="90" a="1"/>
  <c r="H128" i="90"/>
  <c r="H127" i="90" a="1"/>
  <c r="H127" i="90"/>
  <c r="H126" i="90" a="1"/>
  <c r="H126" i="90"/>
  <c r="H125" i="90" a="1"/>
  <c r="H125" i="90"/>
  <c r="H124" i="90" a="1"/>
  <c r="H124" i="90"/>
  <c r="H123" i="90" a="1"/>
  <c r="H123" i="90"/>
  <c r="H122" i="90" a="1"/>
  <c r="H122" i="90"/>
  <c r="H121" i="90" a="1"/>
  <c r="H121" i="90"/>
  <c r="H120" i="90" a="1"/>
  <c r="H120" i="90"/>
  <c r="H119" i="90" a="1"/>
  <c r="H119" i="90"/>
  <c r="H118" i="90" a="1"/>
  <c r="H118" i="90"/>
  <c r="H117" i="90" a="1"/>
  <c r="H117" i="90"/>
  <c r="H116" i="90" a="1"/>
  <c r="H116" i="90"/>
  <c r="H115" i="90" a="1"/>
  <c r="H115" i="90"/>
  <c r="H114" i="90" a="1"/>
  <c r="H114" i="90"/>
  <c r="H113" i="90" a="1"/>
  <c r="H113" i="90"/>
  <c r="H112" i="90" a="1"/>
  <c r="H112" i="90"/>
  <c r="H111" i="90" a="1"/>
  <c r="H111" i="90"/>
  <c r="H110" i="90" a="1"/>
  <c r="H110" i="90"/>
  <c r="H109" i="90" a="1"/>
  <c r="H109" i="90"/>
  <c r="H108" i="90" a="1"/>
  <c r="H108" i="90"/>
  <c r="H107" i="90" a="1"/>
  <c r="H107" i="90"/>
  <c r="H106" i="90" a="1"/>
  <c r="H106" i="90"/>
  <c r="H105" i="90" a="1"/>
  <c r="H105" i="90"/>
  <c r="H104" i="90" a="1"/>
  <c r="H104" i="90"/>
  <c r="H103" i="90" a="1"/>
  <c r="H103" i="90"/>
  <c r="H102" i="90" a="1"/>
  <c r="H102" i="90"/>
  <c r="H101" i="90" a="1"/>
  <c r="H101" i="90"/>
  <c r="H100" i="90" a="1"/>
  <c r="H100" i="90"/>
  <c r="H99" i="90" a="1"/>
  <c r="H99" i="90"/>
  <c r="H98" i="90" a="1"/>
  <c r="H98" i="90"/>
  <c r="H97" i="90" a="1"/>
  <c r="H97" i="90"/>
  <c r="H96" i="90" a="1"/>
  <c r="H96" i="90"/>
  <c r="H95" i="90" a="1"/>
  <c r="H95" i="90"/>
  <c r="H94" i="90" a="1"/>
  <c r="H94" i="90"/>
  <c r="H93" i="90" a="1"/>
  <c r="H93" i="90"/>
  <c r="H92" i="90" a="1"/>
  <c r="H92" i="90"/>
  <c r="H91" i="90" a="1"/>
  <c r="H91" i="90"/>
  <c r="H90" i="90" a="1"/>
  <c r="H90" i="90"/>
  <c r="H89" i="90" a="1"/>
  <c r="H89" i="90"/>
  <c r="H88" i="90" a="1"/>
  <c r="H88" i="90"/>
  <c r="H87" i="90" a="1"/>
  <c r="H87" i="90"/>
  <c r="H86" i="90" a="1"/>
  <c r="H86" i="90"/>
  <c r="H85" i="90" a="1"/>
  <c r="H85" i="90"/>
  <c r="H84" i="90" a="1"/>
  <c r="H84" i="90"/>
  <c r="H83" i="90" a="1"/>
  <c r="H83" i="90"/>
  <c r="H82" i="90" a="1"/>
  <c r="H82" i="90"/>
  <c r="H81" i="90" a="1"/>
  <c r="H81" i="90"/>
  <c r="H80" i="90" a="1"/>
  <c r="H80" i="90"/>
  <c r="H79" i="90" a="1"/>
  <c r="H79" i="90"/>
  <c r="H78" i="90" a="1"/>
  <c r="H78" i="90"/>
  <c r="H77" i="90" a="1"/>
  <c r="H77" i="90"/>
  <c r="H76" i="90" a="1"/>
  <c r="H76" i="90"/>
  <c r="H75" i="90" a="1"/>
  <c r="H75" i="90"/>
  <c r="H74" i="90" a="1"/>
  <c r="H74" i="90"/>
  <c r="H73" i="90" a="1"/>
  <c r="H73" i="90"/>
  <c r="H72" i="90" a="1"/>
  <c r="H72" i="90"/>
  <c r="H71" i="90" a="1"/>
  <c r="H71" i="90"/>
  <c r="H70" i="90" a="1"/>
  <c r="H70" i="90"/>
  <c r="H69" i="90" a="1"/>
  <c r="H69" i="90"/>
  <c r="H68" i="90" a="1"/>
  <c r="H68" i="90"/>
  <c r="H67" i="90" a="1"/>
  <c r="H67" i="90"/>
  <c r="H66" i="90" a="1"/>
  <c r="H66" i="90"/>
  <c r="H65" i="90" a="1"/>
  <c r="H65" i="90"/>
  <c r="H64" i="90" a="1"/>
  <c r="H64" i="90"/>
  <c r="H63" i="90" a="1"/>
  <c r="H63" i="90"/>
  <c r="H62" i="90" a="1"/>
  <c r="H62" i="90"/>
  <c r="H61" i="90" a="1"/>
  <c r="H61" i="90"/>
  <c r="H60" i="90" a="1"/>
  <c r="H60" i="90"/>
  <c r="H59" i="90" a="1"/>
  <c r="H59" i="90"/>
  <c r="H58" i="90" a="1"/>
  <c r="H58" i="90"/>
  <c r="H57" i="90" a="1"/>
  <c r="H57" i="90"/>
  <c r="H56" i="90" a="1"/>
  <c r="H56" i="90"/>
  <c r="H55" i="90" a="1"/>
  <c r="H55" i="90"/>
  <c r="H54" i="90" a="1"/>
  <c r="H54" i="90"/>
  <c r="H53" i="90" a="1"/>
  <c r="H53" i="90"/>
  <c r="H52" i="90" a="1"/>
  <c r="H52" i="90"/>
  <c r="H51" i="90" a="1"/>
  <c r="H51" i="90"/>
  <c r="H50" i="90" a="1"/>
  <c r="H50" i="90"/>
  <c r="H49" i="90" a="1"/>
  <c r="H49" i="90"/>
  <c r="H48" i="90" a="1"/>
  <c r="H48" i="90"/>
  <c r="H47" i="90" a="1"/>
  <c r="H47" i="90"/>
  <c r="H46" i="90" a="1"/>
  <c r="H46" i="90"/>
  <c r="H45" i="90" a="1"/>
  <c r="H45" i="90"/>
  <c r="H44" i="90" a="1"/>
  <c r="H44" i="90"/>
  <c r="H43" i="90" a="1"/>
  <c r="H43" i="90"/>
  <c r="H42" i="90" a="1"/>
  <c r="H42" i="90"/>
  <c r="H41" i="90" a="1"/>
  <c r="H41" i="90"/>
  <c r="H40" i="90" a="1"/>
  <c r="H40" i="90"/>
  <c r="H39" i="90" a="1"/>
  <c r="H39" i="90"/>
  <c r="H38" i="90" a="1"/>
  <c r="H38" i="90"/>
  <c r="H37" i="90" a="1"/>
  <c r="H37" i="90"/>
  <c r="H36" i="90" a="1"/>
  <c r="H36" i="90"/>
  <c r="H35" i="90" a="1"/>
  <c r="H35" i="90"/>
  <c r="H34" i="90" a="1"/>
  <c r="H34" i="90"/>
  <c r="C20" i="90"/>
  <c r="C19" i="90"/>
  <c r="E18" i="90"/>
  <c r="F18" i="90"/>
  <c r="G18" i="90"/>
  <c r="H18" i="90"/>
  <c r="E18" i="89"/>
  <c r="F18" i="89"/>
  <c r="G18" i="89"/>
  <c r="H18" i="89"/>
  <c r="B478" i="84"/>
  <c r="B477" i="84"/>
  <c r="B475" i="84"/>
  <c r="B474" i="84"/>
  <c r="B472" i="84"/>
  <c r="B471" i="84"/>
  <c r="B469" i="84"/>
  <c r="B468" i="84"/>
  <c r="B466" i="84"/>
  <c r="B465" i="84"/>
  <c r="B463" i="84"/>
  <c r="B462" i="84"/>
  <c r="B460" i="84"/>
  <c r="B459" i="84"/>
  <c r="B457" i="84"/>
  <c r="B456" i="84"/>
  <c r="B454" i="84"/>
  <c r="B453" i="84"/>
  <c r="B451" i="84"/>
  <c r="B450" i="84"/>
  <c r="B448" i="84"/>
  <c r="B447" i="84"/>
  <c r="B445" i="84"/>
  <c r="B444" i="84"/>
  <c r="B442" i="84"/>
  <c r="B441" i="84"/>
  <c r="B439" i="84"/>
  <c r="B438" i="84"/>
  <c r="B436" i="84"/>
  <c r="B435" i="84"/>
  <c r="B433" i="84"/>
  <c r="B432" i="84"/>
  <c r="B430" i="84"/>
  <c r="B429" i="84"/>
  <c r="B427" i="84"/>
  <c r="B426" i="84"/>
  <c r="B424" i="84"/>
  <c r="B423" i="84"/>
  <c r="B421" i="84"/>
  <c r="B420" i="84"/>
  <c r="B418" i="84"/>
  <c r="B417" i="84"/>
  <c r="B415" i="84"/>
  <c r="B414" i="84"/>
  <c r="B412" i="84"/>
  <c r="B411" i="84"/>
  <c r="B409" i="84"/>
  <c r="B408" i="84"/>
  <c r="B406" i="84"/>
  <c r="B405" i="84"/>
  <c r="B403" i="84"/>
  <c r="B402" i="84"/>
  <c r="B400" i="84"/>
  <c r="B399" i="84"/>
  <c r="B397" i="84"/>
  <c r="B396" i="84"/>
  <c r="B394" i="84"/>
  <c r="B393" i="84"/>
  <c r="B391" i="84"/>
  <c r="B390" i="84"/>
  <c r="B388" i="84"/>
  <c r="B387" i="84"/>
  <c r="B385" i="84"/>
  <c r="B384" i="84"/>
  <c r="B382" i="84"/>
  <c r="B381" i="84"/>
  <c r="B379" i="84"/>
  <c r="B378" i="84"/>
  <c r="B376" i="84"/>
  <c r="B375" i="84"/>
  <c r="B373" i="84"/>
  <c r="B372" i="84"/>
  <c r="B370" i="84"/>
  <c r="B369" i="84"/>
  <c r="B367" i="84"/>
  <c r="B366" i="84"/>
  <c r="B364" i="84"/>
  <c r="B363" i="84"/>
  <c r="B361" i="84"/>
  <c r="B360" i="84"/>
  <c r="B358" i="84"/>
  <c r="B357" i="84"/>
  <c r="B355" i="84"/>
  <c r="B354" i="84"/>
  <c r="B352" i="84"/>
  <c r="B351" i="84"/>
  <c r="B349" i="84"/>
  <c r="B348" i="84"/>
  <c r="B346" i="84"/>
  <c r="B345" i="84"/>
  <c r="B343" i="84"/>
  <c r="B342" i="84"/>
  <c r="B340" i="84"/>
  <c r="B339" i="84"/>
  <c r="B337" i="84"/>
  <c r="B336" i="84"/>
  <c r="B334" i="84"/>
  <c r="B333" i="84"/>
  <c r="B331" i="84"/>
  <c r="B330" i="84"/>
  <c r="B328" i="84"/>
  <c r="B327" i="84"/>
  <c r="B325" i="84"/>
  <c r="B324" i="84"/>
  <c r="B322" i="84"/>
  <c r="B321" i="84"/>
  <c r="B319" i="84"/>
  <c r="B318" i="84"/>
  <c r="B316" i="84"/>
  <c r="B315" i="84"/>
  <c r="B313" i="84"/>
  <c r="B312" i="84"/>
  <c r="B310" i="84"/>
  <c r="B309" i="84"/>
  <c r="B307" i="84"/>
  <c r="B306" i="84"/>
  <c r="B304" i="84"/>
  <c r="B303" i="84"/>
  <c r="B301" i="84"/>
  <c r="B300" i="84"/>
  <c r="B298" i="84"/>
  <c r="B297" i="84"/>
  <c r="B295" i="84"/>
  <c r="B294" i="84"/>
  <c r="B292" i="84"/>
  <c r="B291" i="84"/>
  <c r="B289" i="84"/>
  <c r="B288" i="84"/>
  <c r="B286" i="84"/>
  <c r="B285" i="84"/>
  <c r="B283" i="84"/>
  <c r="B282" i="84"/>
  <c r="B280" i="84"/>
  <c r="B279" i="84"/>
  <c r="B277" i="84"/>
  <c r="B276" i="84"/>
  <c r="B274" i="84"/>
  <c r="B273" i="84"/>
  <c r="B271" i="84"/>
  <c r="B270" i="84"/>
  <c r="B268" i="84"/>
  <c r="B267" i="84"/>
  <c r="B265" i="84"/>
  <c r="B264" i="84"/>
  <c r="B262" i="84"/>
  <c r="B261" i="84"/>
  <c r="B259" i="84"/>
  <c r="B258" i="84"/>
  <c r="B256" i="84"/>
  <c r="B255" i="84"/>
  <c r="B253" i="84"/>
  <c r="B252" i="84"/>
  <c r="B250" i="84"/>
  <c r="B249" i="84"/>
  <c r="B247" i="84"/>
  <c r="B246" i="84"/>
  <c r="B244" i="84"/>
  <c r="B243" i="84"/>
  <c r="B241" i="84"/>
  <c r="B240" i="84"/>
  <c r="B238" i="84"/>
  <c r="B237" i="84"/>
  <c r="B235" i="84"/>
  <c r="B234" i="84"/>
  <c r="B232" i="84"/>
  <c r="B231" i="84"/>
  <c r="B229" i="84"/>
  <c r="B228" i="84"/>
  <c r="B226" i="84"/>
  <c r="B225" i="84"/>
  <c r="B223" i="84"/>
  <c r="B222" i="84"/>
  <c r="B220" i="84"/>
  <c r="B219" i="84"/>
  <c r="B217" i="84"/>
  <c r="B216" i="84"/>
  <c r="B214" i="84"/>
  <c r="B213" i="84"/>
  <c r="B211" i="84"/>
  <c r="B210" i="84"/>
  <c r="B208" i="84"/>
  <c r="B207" i="84"/>
  <c r="B205" i="84"/>
  <c r="B204" i="84"/>
  <c r="B202" i="84"/>
  <c r="B201" i="84"/>
  <c r="B199" i="84"/>
  <c r="B198" i="84"/>
  <c r="B196" i="84"/>
  <c r="B195" i="84"/>
  <c r="B193" i="84"/>
  <c r="B192" i="84"/>
  <c r="B190" i="84"/>
  <c r="B189" i="84"/>
  <c r="B187" i="84"/>
  <c r="B186" i="84"/>
  <c r="B184" i="84"/>
  <c r="B183" i="84"/>
  <c r="B181" i="84"/>
  <c r="B180" i="84"/>
  <c r="B178" i="84"/>
  <c r="B177" i="84"/>
  <c r="B175" i="84"/>
  <c r="B174" i="84"/>
  <c r="B172" i="84"/>
  <c r="B171" i="84"/>
  <c r="B169" i="84"/>
  <c r="B168" i="84"/>
  <c r="B166" i="84"/>
  <c r="B165" i="84"/>
  <c r="B163" i="84"/>
  <c r="B162" i="84"/>
  <c r="B160" i="84"/>
  <c r="B159" i="84"/>
  <c r="B157" i="84"/>
  <c r="B156" i="84"/>
  <c r="B154" i="84"/>
  <c r="B153" i="84"/>
  <c r="B151" i="84"/>
  <c r="B150" i="84"/>
  <c r="B148" i="84"/>
  <c r="B147" i="84"/>
  <c r="B145" i="84"/>
  <c r="B144" i="84"/>
  <c r="B142" i="84"/>
  <c r="B141" i="84"/>
  <c r="B139" i="84"/>
  <c r="B138" i="84"/>
  <c r="B136" i="84"/>
  <c r="B135" i="84"/>
  <c r="B133" i="84"/>
  <c r="B132" i="84"/>
  <c r="B130" i="84"/>
  <c r="B129" i="84"/>
  <c r="B127" i="84"/>
  <c r="B126" i="84"/>
  <c r="B124" i="84"/>
  <c r="B123" i="84"/>
  <c r="B121" i="84"/>
  <c r="B120" i="84"/>
  <c r="B118" i="84"/>
  <c r="B117" i="84"/>
  <c r="B115" i="84"/>
  <c r="B114" i="84"/>
  <c r="B112" i="84"/>
  <c r="B111" i="84"/>
  <c r="B109" i="84"/>
  <c r="B108" i="84"/>
  <c r="B106" i="84"/>
  <c r="B105" i="84"/>
  <c r="B103" i="84"/>
  <c r="B102" i="84"/>
  <c r="B100" i="84"/>
  <c r="B99" i="84"/>
  <c r="B97" i="84"/>
  <c r="B96" i="84"/>
  <c r="B94" i="84"/>
  <c r="B93" i="84"/>
  <c r="B91" i="84"/>
  <c r="B90" i="84"/>
  <c r="B88" i="84"/>
  <c r="B87" i="84"/>
  <c r="B85" i="84"/>
  <c r="B84" i="84"/>
  <c r="B82" i="84"/>
  <c r="B81" i="84"/>
  <c r="B79" i="84"/>
  <c r="B78" i="84"/>
  <c r="B76" i="84"/>
  <c r="B75" i="84"/>
  <c r="B73" i="84"/>
  <c r="B72" i="84"/>
  <c r="B70" i="84"/>
  <c r="B69" i="84"/>
  <c r="B67" i="84"/>
  <c r="B66" i="84"/>
  <c r="B64" i="84"/>
  <c r="B63" i="84"/>
  <c r="B61" i="84"/>
  <c r="B60" i="84"/>
  <c r="B58" i="84"/>
  <c r="B57" i="84"/>
  <c r="B55" i="84"/>
  <c r="B54" i="84"/>
  <c r="B52" i="84"/>
  <c r="B51" i="84"/>
  <c r="B49" i="84"/>
  <c r="B48" i="84"/>
  <c r="B46" i="84"/>
  <c r="B45" i="84"/>
  <c r="B43" i="84"/>
  <c r="B42" i="84"/>
  <c r="B40" i="84"/>
  <c r="B39" i="84"/>
  <c r="B37" i="84"/>
  <c r="B36" i="84"/>
  <c r="B34" i="84"/>
  <c r="B33" i="84"/>
  <c r="B31" i="84"/>
  <c r="B30" i="84"/>
  <c r="F491" i="84"/>
  <c r="H491" i="84"/>
  <c r="J491" i="84"/>
  <c r="L491" i="84"/>
  <c r="N491" i="84"/>
  <c r="B13" i="85"/>
  <c r="C17" i="84"/>
  <c r="AB478" i="84"/>
  <c r="AB477" i="84"/>
  <c r="AA478" i="84"/>
  <c r="AA477" i="84"/>
  <c r="A478" i="84"/>
  <c r="A477" i="84"/>
  <c r="AB475" i="84"/>
  <c r="AB474" i="84"/>
  <c r="AA475" i="84"/>
  <c r="AA474" i="84"/>
  <c r="A475" i="84"/>
  <c r="A474" i="84"/>
  <c r="AB472" i="84"/>
  <c r="AB471" i="84"/>
  <c r="AA472" i="84"/>
  <c r="AA471" i="84"/>
  <c r="A472" i="84"/>
  <c r="A471" i="84"/>
  <c r="AB468" i="84"/>
  <c r="AB469" i="84"/>
  <c r="AA469" i="84"/>
  <c r="AA468" i="84"/>
  <c r="A469" i="84"/>
  <c r="A468" i="84"/>
  <c r="AB466" i="84"/>
  <c r="AB465" i="84"/>
  <c r="AA466" i="84"/>
  <c r="AA465" i="84"/>
  <c r="A466" i="84"/>
  <c r="A465" i="84"/>
  <c r="AB463" i="84"/>
  <c r="AB462" i="84"/>
  <c r="AA463" i="84"/>
  <c r="AA462" i="84"/>
  <c r="A463" i="84"/>
  <c r="A462" i="84"/>
  <c r="AB460" i="84"/>
  <c r="AB459" i="84"/>
  <c r="AA460" i="84"/>
  <c r="AA459" i="84"/>
  <c r="A460" i="84"/>
  <c r="A459" i="84"/>
  <c r="AB457" i="84"/>
  <c r="AB456" i="84"/>
  <c r="AA457" i="84"/>
  <c r="AA456" i="84"/>
  <c r="A457" i="84"/>
  <c r="A456" i="84"/>
  <c r="AB454" i="84"/>
  <c r="AB453" i="84"/>
  <c r="AA454" i="84"/>
  <c r="AA453" i="84"/>
  <c r="A454" i="84"/>
  <c r="A453" i="84"/>
  <c r="AB451" i="84"/>
  <c r="AB450" i="84"/>
  <c r="AA451" i="84"/>
  <c r="AA450" i="84"/>
  <c r="A451" i="84"/>
  <c r="A450" i="84"/>
  <c r="AB448" i="84"/>
  <c r="AB447" i="84"/>
  <c r="AA448" i="84"/>
  <c r="AA447" i="84"/>
  <c r="A448" i="84"/>
  <c r="A447" i="84"/>
  <c r="AB445" i="84"/>
  <c r="AB444" i="84"/>
  <c r="AA445" i="84"/>
  <c r="AA444" i="84"/>
  <c r="A445" i="84"/>
  <c r="A444" i="84"/>
  <c r="AB442" i="84"/>
  <c r="AB441" i="84"/>
  <c r="AA442" i="84"/>
  <c r="AA441" i="84"/>
  <c r="A442" i="84"/>
  <c r="A441" i="84"/>
  <c r="AB439" i="84"/>
  <c r="AB438" i="84"/>
  <c r="AA439" i="84"/>
  <c r="AA438" i="84"/>
  <c r="A439" i="84"/>
  <c r="A438" i="84"/>
  <c r="AB436" i="84"/>
  <c r="AB435" i="84"/>
  <c r="AA436" i="84"/>
  <c r="AA435" i="84"/>
  <c r="A436" i="84"/>
  <c r="A435" i="84"/>
  <c r="AB433" i="84"/>
  <c r="AB432" i="84"/>
  <c r="AA433" i="84"/>
  <c r="AA432" i="84"/>
  <c r="A433" i="84"/>
  <c r="A432" i="84"/>
  <c r="AB430" i="84"/>
  <c r="AB429" i="84"/>
  <c r="AA430" i="84"/>
  <c r="AA429" i="84"/>
  <c r="A430" i="84"/>
  <c r="A429" i="84"/>
  <c r="AB427" i="84"/>
  <c r="AB426" i="84"/>
  <c r="AA427" i="84"/>
  <c r="AA426" i="84"/>
  <c r="A427" i="84"/>
  <c r="A426" i="84"/>
  <c r="AB424" i="84"/>
  <c r="AB423" i="84"/>
  <c r="AA424" i="84"/>
  <c r="AA423" i="84"/>
  <c r="A424" i="84"/>
  <c r="A423" i="84"/>
  <c r="AB421" i="84"/>
  <c r="AB420" i="84"/>
  <c r="AA421" i="84"/>
  <c r="AA420" i="84"/>
  <c r="A421" i="84"/>
  <c r="A420" i="84"/>
  <c r="AB418" i="84"/>
  <c r="AB417" i="84"/>
  <c r="AA418" i="84"/>
  <c r="AA417" i="84"/>
  <c r="A418" i="84"/>
  <c r="A417" i="84"/>
  <c r="AB415" i="84"/>
  <c r="AB414" i="84"/>
  <c r="AA415" i="84"/>
  <c r="AA414" i="84"/>
  <c r="A415" i="84"/>
  <c r="A414" i="84"/>
  <c r="AB412" i="84"/>
  <c r="AB411" i="84"/>
  <c r="AA412" i="84"/>
  <c r="AA411" i="84"/>
  <c r="A412" i="84"/>
  <c r="A411" i="84"/>
  <c r="AB409" i="84"/>
  <c r="AB408" i="84"/>
  <c r="AA409" i="84"/>
  <c r="AA408" i="84"/>
  <c r="A409" i="84"/>
  <c r="A408" i="84"/>
  <c r="AB406" i="84"/>
  <c r="AB405" i="84"/>
  <c r="AA406" i="84"/>
  <c r="AA405" i="84"/>
  <c r="A406" i="84"/>
  <c r="A405" i="84"/>
  <c r="AB403" i="84"/>
  <c r="AB402" i="84"/>
  <c r="AA403" i="84"/>
  <c r="AA402" i="84"/>
  <c r="A403" i="84"/>
  <c r="A402" i="84"/>
  <c r="AB400" i="84"/>
  <c r="AB399" i="84"/>
  <c r="AA400" i="84"/>
  <c r="AA399" i="84"/>
  <c r="A400" i="84"/>
  <c r="A399" i="84"/>
  <c r="AB397" i="84"/>
  <c r="AB396" i="84"/>
  <c r="AA397" i="84"/>
  <c r="AA396" i="84"/>
  <c r="A397" i="84"/>
  <c r="A396" i="84"/>
  <c r="AB394" i="84"/>
  <c r="AB393" i="84"/>
  <c r="AA394" i="84"/>
  <c r="AA393" i="84"/>
  <c r="A394" i="84"/>
  <c r="A393" i="84"/>
  <c r="AB391" i="84"/>
  <c r="AB390" i="84"/>
  <c r="AA391" i="84"/>
  <c r="AA390" i="84"/>
  <c r="A391" i="84"/>
  <c r="A390" i="84"/>
  <c r="AB388" i="84"/>
  <c r="AB387" i="84"/>
  <c r="AA388" i="84"/>
  <c r="AA387" i="84"/>
  <c r="A388" i="84"/>
  <c r="A387" i="84"/>
  <c r="AB385" i="84"/>
  <c r="AB384" i="84"/>
  <c r="AA385" i="84"/>
  <c r="AA384" i="84"/>
  <c r="A385" i="84"/>
  <c r="A384" i="84"/>
  <c r="AB382" i="84"/>
  <c r="AB381" i="84"/>
  <c r="AA382" i="84"/>
  <c r="AA381" i="84"/>
  <c r="A382" i="84"/>
  <c r="A381" i="84"/>
  <c r="AB379" i="84"/>
  <c r="AB378" i="84"/>
  <c r="AA379" i="84"/>
  <c r="AA378" i="84"/>
  <c r="A379" i="84"/>
  <c r="A378" i="84"/>
  <c r="AB376" i="84"/>
  <c r="AB375" i="84"/>
  <c r="AA376" i="84"/>
  <c r="AA375" i="84"/>
  <c r="A376" i="84"/>
  <c r="A375" i="84"/>
  <c r="AB373" i="84"/>
  <c r="AB372" i="84"/>
  <c r="AA373" i="84"/>
  <c r="AA372" i="84"/>
  <c r="A373" i="84"/>
  <c r="A372" i="84"/>
  <c r="AB370" i="84"/>
  <c r="AB369" i="84"/>
  <c r="AA370" i="84"/>
  <c r="AA369" i="84"/>
  <c r="A370" i="84"/>
  <c r="A369" i="84"/>
  <c r="AB367" i="84"/>
  <c r="AB366" i="84"/>
  <c r="AA367" i="84"/>
  <c r="AA366" i="84"/>
  <c r="A367" i="84"/>
  <c r="A366" i="84"/>
  <c r="AB364" i="84"/>
  <c r="AB363" i="84"/>
  <c r="AA364" i="84"/>
  <c r="AA363" i="84"/>
  <c r="A364" i="84"/>
  <c r="A363" i="84"/>
  <c r="AB361" i="84"/>
  <c r="AB360" i="84"/>
  <c r="AA361" i="84"/>
  <c r="AA360" i="84"/>
  <c r="A361" i="84"/>
  <c r="A360" i="84"/>
  <c r="AB358" i="84"/>
  <c r="AB357" i="84"/>
  <c r="AA358" i="84"/>
  <c r="AA357" i="84"/>
  <c r="A358" i="84"/>
  <c r="A357" i="84"/>
  <c r="AB355" i="84"/>
  <c r="AB354" i="84"/>
  <c r="AA355" i="84"/>
  <c r="AA354" i="84"/>
  <c r="A355" i="84"/>
  <c r="A354" i="84"/>
  <c r="AB352" i="84"/>
  <c r="AB351" i="84"/>
  <c r="AA352" i="84"/>
  <c r="AA351" i="84"/>
  <c r="A352" i="84"/>
  <c r="A351" i="84"/>
  <c r="AB349" i="84"/>
  <c r="AB348" i="84"/>
  <c r="AA349" i="84"/>
  <c r="AA348" i="84"/>
  <c r="A349" i="84"/>
  <c r="A348" i="84"/>
  <c r="AB346" i="84"/>
  <c r="AB345" i="84"/>
  <c r="AA346" i="84"/>
  <c r="AA345" i="84"/>
  <c r="A346" i="84"/>
  <c r="A345" i="84"/>
  <c r="AB343" i="84"/>
  <c r="AB342" i="84"/>
  <c r="AA343" i="84"/>
  <c r="AA342" i="84"/>
  <c r="A343" i="84"/>
  <c r="A342" i="84"/>
  <c r="AB340" i="84"/>
  <c r="AB339" i="84"/>
  <c r="AA340" i="84"/>
  <c r="AA339" i="84"/>
  <c r="A340" i="84"/>
  <c r="A339" i="84"/>
  <c r="AB337" i="84"/>
  <c r="AB336" i="84"/>
  <c r="AA337" i="84"/>
  <c r="AA336" i="84"/>
  <c r="A337" i="84"/>
  <c r="A336" i="84"/>
  <c r="AB334" i="84"/>
  <c r="AB333" i="84"/>
  <c r="AA334" i="84"/>
  <c r="AA333" i="84"/>
  <c r="A334" i="84"/>
  <c r="A333" i="84"/>
  <c r="AB331" i="84"/>
  <c r="AB330" i="84"/>
  <c r="AA331" i="84"/>
  <c r="AA330" i="84"/>
  <c r="A331" i="84"/>
  <c r="A330" i="84"/>
  <c r="AB328" i="84"/>
  <c r="AB327" i="84"/>
  <c r="AA328" i="84"/>
  <c r="AA327" i="84"/>
  <c r="A328" i="84"/>
  <c r="A327" i="84"/>
  <c r="AB325" i="84"/>
  <c r="AB324" i="84"/>
  <c r="AA325" i="84"/>
  <c r="AA324" i="84"/>
  <c r="A325" i="84"/>
  <c r="A324" i="84"/>
  <c r="AB322" i="84"/>
  <c r="AB321" i="84"/>
  <c r="AA322" i="84"/>
  <c r="AA321" i="84"/>
  <c r="A322" i="84"/>
  <c r="A321" i="84"/>
  <c r="AB319" i="84"/>
  <c r="AB318" i="84"/>
  <c r="AA319" i="84"/>
  <c r="AA318" i="84"/>
  <c r="A319" i="84"/>
  <c r="A318" i="84"/>
  <c r="AB316" i="84"/>
  <c r="AB315" i="84"/>
  <c r="AA316" i="84"/>
  <c r="AA315" i="84"/>
  <c r="A316" i="84"/>
  <c r="A315" i="84"/>
  <c r="AB313" i="84"/>
  <c r="AB312" i="84"/>
  <c r="AA313" i="84"/>
  <c r="AA312" i="84"/>
  <c r="A313" i="84"/>
  <c r="A312" i="84"/>
  <c r="AB310" i="84"/>
  <c r="AB309" i="84"/>
  <c r="AA310" i="84"/>
  <c r="AA309" i="84"/>
  <c r="A310" i="84"/>
  <c r="A309" i="84"/>
  <c r="AB307" i="84"/>
  <c r="AB306" i="84"/>
  <c r="AA307" i="84"/>
  <c r="AA306" i="84"/>
  <c r="A307" i="84"/>
  <c r="A306" i="84"/>
  <c r="AB304" i="84"/>
  <c r="AB303" i="84"/>
  <c r="AA304" i="84"/>
  <c r="AA303" i="84"/>
  <c r="A304" i="84"/>
  <c r="A303" i="84"/>
  <c r="AB301" i="84"/>
  <c r="AB300" i="84"/>
  <c r="AA301" i="84"/>
  <c r="AA300" i="84"/>
  <c r="A301" i="84"/>
  <c r="A300" i="84"/>
  <c r="AB298" i="84"/>
  <c r="AB297" i="84"/>
  <c r="AA298" i="84"/>
  <c r="AA297" i="84"/>
  <c r="A298" i="84"/>
  <c r="A297" i="84"/>
  <c r="AB295" i="84"/>
  <c r="AB294" i="84"/>
  <c r="AA295" i="84"/>
  <c r="AA294" i="84"/>
  <c r="A295" i="84"/>
  <c r="A294" i="84"/>
  <c r="AB292" i="84"/>
  <c r="AB291" i="84"/>
  <c r="AA292" i="84"/>
  <c r="AA291" i="84"/>
  <c r="A292" i="84"/>
  <c r="A291" i="84"/>
  <c r="AB289" i="84"/>
  <c r="AB288" i="84"/>
  <c r="AA289" i="84"/>
  <c r="AA288" i="84"/>
  <c r="A289" i="84"/>
  <c r="A288" i="84"/>
  <c r="AB286" i="84"/>
  <c r="AB285" i="84"/>
  <c r="AA286" i="84"/>
  <c r="AA285" i="84"/>
  <c r="A286" i="84"/>
  <c r="A285" i="84"/>
  <c r="AB283" i="84"/>
  <c r="AB282" i="84"/>
  <c r="AA283" i="84"/>
  <c r="AA282" i="84"/>
  <c r="A283" i="84"/>
  <c r="A282" i="84"/>
  <c r="AB280" i="84"/>
  <c r="AB279" i="84"/>
  <c r="AA280" i="84"/>
  <c r="AA279" i="84"/>
  <c r="A280" i="84"/>
  <c r="A279" i="84"/>
  <c r="AB277" i="84"/>
  <c r="AB276" i="84"/>
  <c r="AA277" i="84"/>
  <c r="AA276" i="84"/>
  <c r="A277" i="84"/>
  <c r="A276" i="84"/>
  <c r="AB274" i="84"/>
  <c r="AB273" i="84"/>
  <c r="AA274" i="84"/>
  <c r="AA273" i="84"/>
  <c r="A274" i="84"/>
  <c r="A273" i="84"/>
  <c r="AB271" i="84"/>
  <c r="AB270" i="84"/>
  <c r="AA271" i="84"/>
  <c r="AA270" i="84"/>
  <c r="A271" i="84"/>
  <c r="A270" i="84"/>
  <c r="AB268" i="84"/>
  <c r="AB267" i="84"/>
  <c r="AA268" i="84"/>
  <c r="AA267" i="84"/>
  <c r="A268" i="84"/>
  <c r="A267" i="84"/>
  <c r="AB265" i="84"/>
  <c r="AB264" i="84"/>
  <c r="AA265" i="84"/>
  <c r="AA264" i="84"/>
  <c r="A265" i="84"/>
  <c r="A264" i="84"/>
  <c r="AB262" i="84"/>
  <c r="AB261" i="84"/>
  <c r="AA262" i="84"/>
  <c r="AA261" i="84"/>
  <c r="A262" i="84"/>
  <c r="A261" i="84"/>
  <c r="AB259" i="84"/>
  <c r="AB258" i="84"/>
  <c r="AA259" i="84"/>
  <c r="AA258" i="84"/>
  <c r="A259" i="84"/>
  <c r="A258" i="84"/>
  <c r="AB256" i="84"/>
  <c r="AB255" i="84"/>
  <c r="AA256" i="84"/>
  <c r="AA255" i="84"/>
  <c r="A256" i="84"/>
  <c r="A255" i="84"/>
  <c r="AB253" i="84"/>
  <c r="AB252" i="84"/>
  <c r="AA253" i="84"/>
  <c r="AA252" i="84"/>
  <c r="A253" i="84"/>
  <c r="A252" i="84"/>
  <c r="AB250" i="84"/>
  <c r="AB249" i="84"/>
  <c r="AA250" i="84"/>
  <c r="AA249" i="84"/>
  <c r="A250" i="84"/>
  <c r="A249" i="84"/>
  <c r="AB247" i="84"/>
  <c r="AB246" i="84"/>
  <c r="AA247" i="84"/>
  <c r="AA246" i="84"/>
  <c r="A247" i="84"/>
  <c r="A246" i="84"/>
  <c r="AB244" i="84"/>
  <c r="AB243" i="84"/>
  <c r="AA244" i="84"/>
  <c r="AA243" i="84"/>
  <c r="A244" i="84"/>
  <c r="A243" i="84"/>
  <c r="AB241" i="84"/>
  <c r="AB240" i="84"/>
  <c r="AA241" i="84"/>
  <c r="AA240" i="84"/>
  <c r="A241" i="84"/>
  <c r="A240" i="84"/>
  <c r="AB238" i="84"/>
  <c r="AB237" i="84"/>
  <c r="AA238" i="84"/>
  <c r="AA237" i="84"/>
  <c r="A238" i="84"/>
  <c r="A237" i="84"/>
  <c r="AB235" i="84"/>
  <c r="AB234" i="84"/>
  <c r="AA235" i="84"/>
  <c r="AA234" i="84"/>
  <c r="A235" i="84"/>
  <c r="A234" i="84"/>
  <c r="AB232" i="84"/>
  <c r="AB231" i="84"/>
  <c r="AA232" i="84"/>
  <c r="AA231" i="84"/>
  <c r="A232" i="84"/>
  <c r="A231" i="84"/>
  <c r="AB229" i="84"/>
  <c r="AB228" i="84"/>
  <c r="AA229" i="84"/>
  <c r="AA228" i="84"/>
  <c r="A229" i="84"/>
  <c r="A228" i="84"/>
  <c r="AB226" i="84"/>
  <c r="AB225" i="84"/>
  <c r="AA226" i="84"/>
  <c r="AA225" i="84"/>
  <c r="A226" i="84"/>
  <c r="A225" i="84"/>
  <c r="AB223" i="84"/>
  <c r="AB222" i="84"/>
  <c r="AA223" i="84"/>
  <c r="AA222" i="84"/>
  <c r="A223" i="84"/>
  <c r="A222" i="84"/>
  <c r="AB220" i="84"/>
  <c r="AB219" i="84"/>
  <c r="AA220" i="84"/>
  <c r="AA219" i="84"/>
  <c r="A220" i="84"/>
  <c r="A219" i="84"/>
  <c r="AB217" i="84"/>
  <c r="AB216" i="84"/>
  <c r="AA217" i="84"/>
  <c r="AA216" i="84"/>
  <c r="A217" i="84"/>
  <c r="A216" i="84"/>
  <c r="AB214" i="84"/>
  <c r="AB213" i="84"/>
  <c r="AA214" i="84"/>
  <c r="AA213" i="84"/>
  <c r="A214" i="84"/>
  <c r="A213" i="84"/>
  <c r="AB211" i="84"/>
  <c r="AB210" i="84"/>
  <c r="AA211" i="84"/>
  <c r="AA210" i="84"/>
  <c r="A211" i="84"/>
  <c r="A210" i="84"/>
  <c r="AB208" i="84"/>
  <c r="AB207" i="84"/>
  <c r="AA208" i="84"/>
  <c r="AA207" i="84"/>
  <c r="A208" i="84"/>
  <c r="A207" i="84"/>
  <c r="AB205" i="84"/>
  <c r="AB204" i="84"/>
  <c r="AA205" i="84"/>
  <c r="AA204" i="84"/>
  <c r="A205" i="84"/>
  <c r="A204" i="84"/>
  <c r="AB202" i="84"/>
  <c r="AB201" i="84"/>
  <c r="AA202" i="84"/>
  <c r="AA201" i="84"/>
  <c r="A202" i="84"/>
  <c r="A201" i="84"/>
  <c r="AB199" i="84"/>
  <c r="AB198" i="84"/>
  <c r="AA199" i="84"/>
  <c r="AA198" i="84"/>
  <c r="A199" i="84"/>
  <c r="A198" i="84"/>
  <c r="AB196" i="84"/>
  <c r="AB195" i="84"/>
  <c r="AA196" i="84"/>
  <c r="AA195" i="84"/>
  <c r="A196" i="84"/>
  <c r="A195" i="84"/>
  <c r="AB193" i="84"/>
  <c r="AB192" i="84"/>
  <c r="AA193" i="84"/>
  <c r="AA192" i="84"/>
  <c r="A193" i="84"/>
  <c r="A192" i="84"/>
  <c r="AB190" i="84"/>
  <c r="AB189" i="84"/>
  <c r="AA190" i="84"/>
  <c r="AA189" i="84"/>
  <c r="A190" i="84"/>
  <c r="A189" i="84"/>
  <c r="AB187" i="84"/>
  <c r="AB186" i="84"/>
  <c r="AA187" i="84"/>
  <c r="AA186" i="84"/>
  <c r="A187" i="84"/>
  <c r="A186" i="84"/>
  <c r="AB184" i="84"/>
  <c r="AB183" i="84"/>
  <c r="AA184" i="84"/>
  <c r="AA183" i="84"/>
  <c r="A184" i="84"/>
  <c r="A183" i="84"/>
  <c r="AB180" i="84"/>
  <c r="AB181" i="84"/>
  <c r="AA181" i="84"/>
  <c r="AA180" i="84"/>
  <c r="A181" i="84"/>
  <c r="A180" i="84"/>
  <c r="AB178" i="84"/>
  <c r="AB177" i="84"/>
  <c r="AA178" i="84"/>
  <c r="AA177" i="84"/>
  <c r="A178" i="84"/>
  <c r="A177" i="84"/>
  <c r="AB175" i="84"/>
  <c r="AB174" i="84"/>
  <c r="AA175" i="84"/>
  <c r="AA174" i="84"/>
  <c r="A175" i="84"/>
  <c r="A174" i="84"/>
  <c r="AB172" i="84"/>
  <c r="AB171" i="84"/>
  <c r="AA172" i="84"/>
  <c r="AA171" i="84"/>
  <c r="A172" i="84"/>
  <c r="A171" i="84"/>
  <c r="AB169" i="84"/>
  <c r="AB168" i="84"/>
  <c r="AA169" i="84"/>
  <c r="AA168" i="84"/>
  <c r="A169" i="84"/>
  <c r="A168" i="84"/>
  <c r="AB166" i="84"/>
  <c r="AB165" i="84"/>
  <c r="AA166" i="84"/>
  <c r="AA165" i="84"/>
  <c r="A166" i="84"/>
  <c r="A165" i="84"/>
  <c r="AB163" i="84"/>
  <c r="AB162" i="84"/>
  <c r="AA163" i="84"/>
  <c r="AA162" i="84"/>
  <c r="A163" i="84"/>
  <c r="A162" i="84"/>
  <c r="AB160" i="84"/>
  <c r="AB159" i="84"/>
  <c r="AA160" i="84"/>
  <c r="AA159" i="84"/>
  <c r="A160" i="84"/>
  <c r="A159" i="84"/>
  <c r="AB157" i="84"/>
  <c r="AB156" i="84"/>
  <c r="AA157" i="84"/>
  <c r="AA156" i="84"/>
  <c r="A157" i="84"/>
  <c r="A156" i="84"/>
  <c r="AB154" i="84"/>
  <c r="AB153" i="84"/>
  <c r="AA154" i="84"/>
  <c r="AA153" i="84"/>
  <c r="A154" i="84"/>
  <c r="A153" i="84"/>
  <c r="AB151" i="84"/>
  <c r="AB150" i="84"/>
  <c r="AA151" i="84"/>
  <c r="AA150" i="84"/>
  <c r="A151" i="84"/>
  <c r="A150" i="84"/>
  <c r="AB148" i="84"/>
  <c r="AB147" i="84"/>
  <c r="AA148" i="84"/>
  <c r="AA147" i="84"/>
  <c r="A148" i="84"/>
  <c r="A147" i="84"/>
  <c r="AB145" i="84"/>
  <c r="AB144" i="84"/>
  <c r="AA145" i="84"/>
  <c r="AA144" i="84"/>
  <c r="A145" i="84"/>
  <c r="A144" i="84"/>
  <c r="AB142" i="84"/>
  <c r="AB141" i="84"/>
  <c r="AA142" i="84"/>
  <c r="AA141" i="84"/>
  <c r="A142" i="84"/>
  <c r="A141" i="84"/>
  <c r="AB139" i="84"/>
  <c r="AB138" i="84"/>
  <c r="AA139" i="84"/>
  <c r="AA138" i="84"/>
  <c r="A139" i="84"/>
  <c r="A138" i="84"/>
  <c r="AB136" i="84"/>
  <c r="AB135" i="84"/>
  <c r="AA136" i="84"/>
  <c r="AA135" i="84"/>
  <c r="A136" i="84"/>
  <c r="A135" i="84"/>
  <c r="AB133" i="84"/>
  <c r="AB132" i="84"/>
  <c r="AA133" i="84"/>
  <c r="AA132" i="84"/>
  <c r="A133" i="84"/>
  <c r="A132" i="84"/>
  <c r="AB130" i="84"/>
  <c r="AB129" i="84"/>
  <c r="AA130" i="84"/>
  <c r="AA129" i="84"/>
  <c r="A130" i="84"/>
  <c r="A129" i="84"/>
  <c r="AB127" i="84"/>
  <c r="AB126" i="84"/>
  <c r="AA127" i="84"/>
  <c r="AA126" i="84"/>
  <c r="A127" i="84"/>
  <c r="A126" i="84"/>
  <c r="AB124" i="84"/>
  <c r="AB123" i="84"/>
  <c r="AA124" i="84"/>
  <c r="AA123" i="84"/>
  <c r="A124" i="84"/>
  <c r="A123" i="84"/>
  <c r="AB121" i="84"/>
  <c r="AB120" i="84"/>
  <c r="AA121" i="84"/>
  <c r="AA120" i="84"/>
  <c r="A121" i="84"/>
  <c r="A120" i="84"/>
  <c r="AB118" i="84"/>
  <c r="AB117" i="84"/>
  <c r="AA118" i="84"/>
  <c r="AA117" i="84"/>
  <c r="A118" i="84"/>
  <c r="A117" i="84"/>
  <c r="AB115" i="84"/>
  <c r="AB114" i="84"/>
  <c r="AA115" i="84"/>
  <c r="AA114" i="84"/>
  <c r="A115" i="84"/>
  <c r="A114" i="84"/>
  <c r="AB112" i="84"/>
  <c r="AB111" i="84"/>
  <c r="AA112" i="84"/>
  <c r="AA111" i="84"/>
  <c r="A112" i="84"/>
  <c r="A111" i="84"/>
  <c r="AB109" i="84"/>
  <c r="AB108" i="84"/>
  <c r="AA109" i="84"/>
  <c r="AA108" i="84"/>
  <c r="A109" i="84"/>
  <c r="A108" i="84"/>
  <c r="AB106" i="84"/>
  <c r="AB105" i="84"/>
  <c r="AA106" i="84"/>
  <c r="AA105" i="84"/>
  <c r="A106" i="84"/>
  <c r="A105" i="84"/>
  <c r="AB103" i="84"/>
  <c r="AB102" i="84"/>
  <c r="AA103" i="84"/>
  <c r="AA102" i="84"/>
  <c r="A103" i="84"/>
  <c r="A102" i="84"/>
  <c r="AB100" i="84"/>
  <c r="AB99" i="84"/>
  <c r="AA100" i="84"/>
  <c r="AA99" i="84"/>
  <c r="A100" i="84"/>
  <c r="A99" i="84"/>
  <c r="AB97" i="84"/>
  <c r="AB96" i="84"/>
  <c r="AA97" i="84"/>
  <c r="AA96" i="84"/>
  <c r="A97" i="84"/>
  <c r="A96" i="84"/>
  <c r="AB94" i="84"/>
  <c r="AB93" i="84"/>
  <c r="AA94" i="84"/>
  <c r="AA93" i="84"/>
  <c r="A94" i="84"/>
  <c r="A93" i="84"/>
  <c r="AB91" i="84"/>
  <c r="AB90" i="84"/>
  <c r="AA91" i="84"/>
  <c r="AA90" i="84"/>
  <c r="A91" i="84"/>
  <c r="A90" i="84"/>
  <c r="AB88" i="84"/>
  <c r="AB87" i="84"/>
  <c r="AA88" i="84"/>
  <c r="AA87" i="84"/>
  <c r="A88" i="84"/>
  <c r="A87" i="84"/>
  <c r="AB85" i="84"/>
  <c r="AB84" i="84"/>
  <c r="AA85" i="84"/>
  <c r="AA84" i="84"/>
  <c r="A85" i="84"/>
  <c r="A84" i="84"/>
  <c r="AB82" i="84"/>
  <c r="AB81" i="84"/>
  <c r="AA82" i="84"/>
  <c r="AA81" i="84"/>
  <c r="A82" i="84"/>
  <c r="A81" i="84"/>
  <c r="AB79" i="84"/>
  <c r="AB78" i="84"/>
  <c r="AA79" i="84"/>
  <c r="AA78" i="84"/>
  <c r="A79" i="84"/>
  <c r="A78" i="84"/>
  <c r="AB76" i="84"/>
  <c r="AB75" i="84"/>
  <c r="AA76" i="84"/>
  <c r="AA75" i="84"/>
  <c r="A76" i="84"/>
  <c r="A75" i="84"/>
  <c r="AB73" i="84"/>
  <c r="AB72" i="84"/>
  <c r="AA73" i="84"/>
  <c r="AA72" i="84"/>
  <c r="A73" i="84"/>
  <c r="A72" i="84"/>
  <c r="AB70" i="84"/>
  <c r="AB69" i="84"/>
  <c r="AA70" i="84"/>
  <c r="AA69" i="84"/>
  <c r="A70" i="84"/>
  <c r="A69" i="84"/>
  <c r="AB67" i="84"/>
  <c r="AB66" i="84"/>
  <c r="AA67" i="84"/>
  <c r="AA66" i="84"/>
  <c r="A67" i="84"/>
  <c r="A66" i="84"/>
  <c r="AB64" i="84"/>
  <c r="AB63" i="84"/>
  <c r="AA64" i="84"/>
  <c r="AA63" i="84"/>
  <c r="A64" i="84"/>
  <c r="A63" i="84"/>
  <c r="AB61" i="84"/>
  <c r="AB60" i="84"/>
  <c r="AA61" i="84"/>
  <c r="AA60" i="84"/>
  <c r="A61" i="84"/>
  <c r="A60" i="84"/>
  <c r="AB58" i="84"/>
  <c r="AB57" i="84"/>
  <c r="AA58" i="84"/>
  <c r="AA57" i="84"/>
  <c r="A58" i="84"/>
  <c r="A57" i="84"/>
  <c r="AB55" i="84"/>
  <c r="AB54" i="84"/>
  <c r="AA55" i="84"/>
  <c r="AA54" i="84"/>
  <c r="A55" i="84"/>
  <c r="A54" i="84"/>
  <c r="AB52" i="84"/>
  <c r="AB51" i="84"/>
  <c r="AA52" i="84"/>
  <c r="AA51" i="84"/>
  <c r="A52" i="84"/>
  <c r="A51" i="84"/>
  <c r="AB49" i="84"/>
  <c r="AB48" i="84"/>
  <c r="AA49" i="84"/>
  <c r="AA48" i="84"/>
  <c r="A49" i="84"/>
  <c r="A48" i="84"/>
  <c r="AB46" i="84"/>
  <c r="AB45" i="84"/>
  <c r="AA46" i="84"/>
  <c r="AA45" i="84"/>
  <c r="A46" i="84"/>
  <c r="A45" i="84"/>
  <c r="AB42" i="84"/>
  <c r="AB43" i="84"/>
  <c r="AA43" i="84"/>
  <c r="AA42" i="84"/>
  <c r="A43" i="84"/>
  <c r="A42" i="84"/>
  <c r="AB40" i="84"/>
  <c r="AB39" i="84"/>
  <c r="AA40" i="84"/>
  <c r="AA39" i="84"/>
  <c r="A40" i="84"/>
  <c r="A39" i="84"/>
  <c r="AB37" i="84"/>
  <c r="AB36" i="84"/>
  <c r="AA37" i="84"/>
  <c r="AA36" i="84"/>
  <c r="A37" i="84"/>
  <c r="A36" i="84"/>
  <c r="AB34" i="84"/>
  <c r="AB33" i="84"/>
  <c r="AA34" i="84"/>
  <c r="AA33" i="84"/>
  <c r="A34" i="84"/>
  <c r="A33" i="84"/>
  <c r="AB31" i="84"/>
  <c r="AA31" i="84"/>
  <c r="AA30" i="84"/>
  <c r="A31" i="84"/>
  <c r="A30" i="84"/>
  <c r="AB30" i="84"/>
  <c r="K53" i="62"/>
  <c r="H53" i="62"/>
  <c r="K48" i="62"/>
  <c r="H48" i="62"/>
  <c r="K43" i="62"/>
  <c r="L43" i="62" s="1"/>
  <c r="H43" i="62"/>
  <c r="M40" i="37"/>
  <c r="M41" i="37"/>
  <c r="M42" i="37"/>
  <c r="M43" i="37"/>
  <c r="M44" i="37"/>
  <c r="M45" i="37"/>
  <c r="I40" i="37"/>
  <c r="I41" i="37"/>
  <c r="I42" i="37"/>
  <c r="I43" i="37"/>
  <c r="I44" i="37"/>
  <c r="I45" i="37"/>
  <c r="E40" i="37"/>
  <c r="E41" i="37"/>
  <c r="E42" i="37"/>
  <c r="E43" i="37"/>
  <c r="E44" i="37"/>
  <c r="E45" i="37"/>
  <c r="M21" i="37"/>
  <c r="M22" i="37"/>
  <c r="M23" i="37"/>
  <c r="M24" i="37"/>
  <c r="M25" i="37"/>
  <c r="M27" i="37"/>
  <c r="M28" i="37"/>
  <c r="M29" i="37"/>
  <c r="M30" i="37"/>
  <c r="M31" i="37"/>
  <c r="H184" i="89"/>
  <c r="G184" i="89"/>
  <c r="L41" i="77"/>
  <c r="H184" i="90"/>
  <c r="H23" i="90"/>
  <c r="A53" i="1"/>
  <c r="C14" i="84"/>
  <c r="H21" i="90" a="1"/>
  <c r="H21" i="90"/>
  <c r="G21" i="90" a="1"/>
  <c r="G21" i="90"/>
  <c r="F21" i="90" a="1"/>
  <c r="F21" i="90"/>
  <c r="E21" i="90" a="1"/>
  <c r="E21" i="90"/>
  <c r="D21" i="90" a="1"/>
  <c r="D21" i="90"/>
  <c r="H21" i="89" a="1"/>
  <c r="H21" i="89"/>
  <c r="G21" i="89" a="1"/>
  <c r="G21" i="89"/>
  <c r="F21" i="89" a="1"/>
  <c r="F21" i="89"/>
  <c r="E21" i="89" a="1"/>
  <c r="E21" i="89"/>
  <c r="D21" i="89" a="1"/>
  <c r="D21" i="89"/>
  <c r="C21" i="90"/>
  <c r="B2" i="13"/>
  <c r="I33" i="62"/>
  <c r="I32" i="62"/>
  <c r="I31" i="62"/>
  <c r="C32" i="89"/>
  <c r="F33" i="62"/>
  <c r="F32" i="62"/>
  <c r="F31" i="62"/>
  <c r="G184" i="90"/>
  <c r="G23" i="90"/>
  <c r="B16" i="90"/>
  <c r="BX38" i="74"/>
  <c r="H25" i="62"/>
  <c r="F184" i="90"/>
  <c r="F23" i="90"/>
  <c r="J14" i="62"/>
  <c r="G14" i="62"/>
  <c r="J15" i="62"/>
  <c r="G15" i="62"/>
  <c r="K25" i="62"/>
  <c r="L25" i="62"/>
  <c r="M25" i="62"/>
  <c r="D14" i="15"/>
  <c r="I24" i="62"/>
  <c r="F24" i="62"/>
  <c r="H24" i="62" s="1"/>
  <c r="E184" i="89"/>
  <c r="E23" i="89"/>
  <c r="G23" i="89"/>
  <c r="H23" i="89"/>
  <c r="F184" i="89"/>
  <c r="F23" i="89"/>
  <c r="D184" i="89"/>
  <c r="D23" i="89"/>
  <c r="C184" i="89"/>
  <c r="I124" i="89"/>
  <c r="I42" i="89"/>
  <c r="I91" i="89"/>
  <c r="I115" i="89"/>
  <c r="I49" i="89"/>
  <c r="I75" i="89"/>
  <c r="I130" i="89"/>
  <c r="I144" i="89"/>
  <c r="I180" i="89"/>
  <c r="I51" i="89"/>
  <c r="I134" i="89"/>
  <c r="I147" i="89"/>
  <c r="I87" i="89"/>
  <c r="I77" i="89"/>
  <c r="I117" i="89"/>
  <c r="I162" i="89"/>
  <c r="I142" i="89"/>
  <c r="I172" i="89"/>
  <c r="I88" i="89"/>
  <c r="I105" i="89"/>
  <c r="I140" i="89"/>
  <c r="I92" i="89"/>
  <c r="I94" i="89"/>
  <c r="I123" i="89"/>
  <c r="I160" i="89"/>
  <c r="I55" i="89"/>
  <c r="I83" i="89"/>
  <c r="I125" i="89"/>
  <c r="I171" i="89"/>
  <c r="I99" i="89"/>
  <c r="I138" i="89"/>
  <c r="I136" i="89"/>
  <c r="I164" i="89"/>
  <c r="I133" i="89"/>
  <c r="I35" i="89"/>
  <c r="I53" i="89"/>
  <c r="I177" i="89"/>
  <c r="I120" i="89"/>
  <c r="I61" i="89"/>
  <c r="I137" i="89"/>
  <c r="I145" i="89"/>
  <c r="I98" i="89"/>
  <c r="I96" i="89"/>
  <c r="I141" i="89"/>
  <c r="I152" i="89"/>
  <c r="I112" i="89"/>
  <c r="I107" i="89"/>
  <c r="I155" i="89"/>
  <c r="I114" i="89"/>
  <c r="I151" i="89"/>
  <c r="I50" i="89"/>
  <c r="I79" i="89"/>
  <c r="I74" i="89"/>
  <c r="I39" i="89"/>
  <c r="I68" i="89"/>
  <c r="I84" i="89"/>
  <c r="I64" i="89"/>
  <c r="I80" i="89"/>
  <c r="I103" i="89"/>
  <c r="I118" i="89"/>
  <c r="I104" i="89"/>
  <c r="I34" i="89"/>
  <c r="I54" i="89"/>
  <c r="I47" i="89"/>
  <c r="I36" i="89"/>
  <c r="I82" i="89"/>
  <c r="I57" i="89"/>
  <c r="I73" i="89"/>
  <c r="I41" i="89"/>
  <c r="I70" i="89"/>
  <c r="I86" i="89"/>
  <c r="I109" i="89"/>
  <c r="I116" i="89"/>
  <c r="I119" i="89"/>
  <c r="I97" i="89"/>
  <c r="I106" i="89"/>
  <c r="I135" i="89"/>
  <c r="I149" i="89"/>
  <c r="I150" i="89"/>
  <c r="I182" i="89"/>
  <c r="I165" i="89"/>
  <c r="I170" i="89"/>
  <c r="I181" i="89"/>
  <c r="I46" i="89"/>
  <c r="I56" i="89"/>
  <c r="I63" i="89"/>
  <c r="I38" i="89"/>
  <c r="I58" i="89"/>
  <c r="I89" i="89"/>
  <c r="I60" i="89"/>
  <c r="I76" i="89"/>
  <c r="I45" i="89"/>
  <c r="I72" i="89"/>
  <c r="I110" i="89"/>
  <c r="I108" i="89"/>
  <c r="I121" i="89"/>
  <c r="I101" i="89"/>
  <c r="I113" i="89"/>
  <c r="I139" i="89"/>
  <c r="I153" i="89"/>
  <c r="I157" i="89"/>
  <c r="I158" i="89"/>
  <c r="I169" i="89"/>
  <c r="I174" i="89"/>
  <c r="I154" i="89"/>
  <c r="I183" i="89"/>
  <c r="I48" i="89"/>
  <c r="I62" i="89"/>
  <c r="I71" i="89"/>
  <c r="I40" i="89"/>
  <c r="I66" i="89"/>
  <c r="I65" i="89"/>
  <c r="I81" i="89"/>
  <c r="I52" i="89"/>
  <c r="I78" i="89"/>
  <c r="I100" i="89"/>
  <c r="I111" i="89"/>
  <c r="I93" i="89"/>
  <c r="I102" i="89"/>
  <c r="I127" i="89"/>
  <c r="I143" i="89"/>
  <c r="I146" i="89"/>
  <c r="I173" i="89"/>
  <c r="I159" i="89"/>
  <c r="I175" i="89"/>
  <c r="I176" i="89"/>
  <c r="I44" i="89"/>
  <c r="I95" i="89"/>
  <c r="I131" i="89"/>
  <c r="I148" i="89"/>
  <c r="I163" i="89"/>
  <c r="I178" i="89"/>
  <c r="I167" i="89"/>
  <c r="I166" i="89"/>
  <c r="I67" i="89"/>
  <c r="I126" i="89"/>
  <c r="I179" i="89"/>
  <c r="I43" i="89"/>
  <c r="I90" i="89"/>
  <c r="I128" i="89"/>
  <c r="I168" i="89"/>
  <c r="I122" i="89"/>
  <c r="I69" i="89"/>
  <c r="I132" i="89"/>
  <c r="I59" i="89"/>
  <c r="I37" i="89"/>
  <c r="I129" i="89"/>
  <c r="I161" i="89"/>
  <c r="I85" i="89"/>
  <c r="I156" i="89"/>
  <c r="I184" i="89"/>
  <c r="E184" i="90"/>
  <c r="E23" i="90"/>
  <c r="B16" i="89"/>
  <c r="D184" i="90"/>
  <c r="D23" i="90"/>
  <c r="C23" i="90"/>
  <c r="D495" i="84"/>
  <c r="D497" i="84"/>
  <c r="D499" i="84"/>
  <c r="D501" i="84"/>
  <c r="D503" i="84"/>
  <c r="D505" i="84"/>
  <c r="D507" i="84"/>
  <c r="D509" i="84"/>
  <c r="D511" i="84"/>
  <c r="D513" i="84"/>
  <c r="D515" i="84"/>
  <c r="D517" i="84"/>
  <c r="D519" i="84"/>
  <c r="D521" i="84"/>
  <c r="D523" i="84"/>
  <c r="D525" i="84"/>
  <c r="D527" i="84"/>
  <c r="D529" i="84"/>
  <c r="D531" i="84"/>
  <c r="D533" i="84"/>
  <c r="D535" i="84"/>
  <c r="D537" i="84"/>
  <c r="D539" i="84"/>
  <c r="D541" i="84"/>
  <c r="D543" i="84"/>
  <c r="D545" i="84"/>
  <c r="D547" i="84"/>
  <c r="D549" i="84"/>
  <c r="D551" i="84"/>
  <c r="D553" i="84"/>
  <c r="D555" i="84"/>
  <c r="D557" i="84"/>
  <c r="D559" i="84"/>
  <c r="D561" i="84"/>
  <c r="D563" i="84"/>
  <c r="D565" i="84"/>
  <c r="D567" i="84"/>
  <c r="D569" i="84"/>
  <c r="D571" i="84"/>
  <c r="D573" i="84"/>
  <c r="D575" i="84"/>
  <c r="D577" i="84"/>
  <c r="D579" i="84"/>
  <c r="D581" i="84"/>
  <c r="D583" i="84"/>
  <c r="D585" i="84"/>
  <c r="D587" i="84"/>
  <c r="D589" i="84"/>
  <c r="D591" i="84"/>
  <c r="D593" i="84"/>
  <c r="D595" i="84"/>
  <c r="D597" i="84"/>
  <c r="D599" i="84"/>
  <c r="D601" i="84"/>
  <c r="D603" i="84"/>
  <c r="D605" i="84"/>
  <c r="D607" i="84"/>
  <c r="D609" i="84"/>
  <c r="D611" i="84"/>
  <c r="D613" i="84"/>
  <c r="D615" i="84"/>
  <c r="D617" i="84"/>
  <c r="D619" i="84"/>
  <c r="D621" i="84"/>
  <c r="D623" i="84"/>
  <c r="D625" i="84"/>
  <c r="D627" i="84"/>
  <c r="D629" i="84"/>
  <c r="D631" i="84"/>
  <c r="D633" i="84"/>
  <c r="D635" i="84"/>
  <c r="D637" i="84"/>
  <c r="D639" i="84"/>
  <c r="D641" i="84"/>
  <c r="D643" i="84"/>
  <c r="D645" i="84"/>
  <c r="D647" i="84"/>
  <c r="D649" i="84"/>
  <c r="D651" i="84"/>
  <c r="D653" i="84"/>
  <c r="D655" i="84"/>
  <c r="D657" i="84"/>
  <c r="D659" i="84"/>
  <c r="D661" i="84"/>
  <c r="D663" i="84"/>
  <c r="D665" i="84"/>
  <c r="D667" i="84"/>
  <c r="D669" i="84"/>
  <c r="D671" i="84"/>
  <c r="D673" i="84"/>
  <c r="D675" i="84"/>
  <c r="D677" i="84"/>
  <c r="D679" i="84"/>
  <c r="D681" i="84"/>
  <c r="D683" i="84"/>
  <c r="D685" i="84"/>
  <c r="D687" i="84"/>
  <c r="D689" i="84"/>
  <c r="D691" i="84"/>
  <c r="D693" i="84"/>
  <c r="D695" i="84"/>
  <c r="D697" i="84"/>
  <c r="D699" i="84"/>
  <c r="D701" i="84"/>
  <c r="D703" i="84"/>
  <c r="D705" i="84"/>
  <c r="D707" i="84"/>
  <c r="D709" i="84"/>
  <c r="D711" i="84"/>
  <c r="D713" i="84"/>
  <c r="D715" i="84"/>
  <c r="D717" i="84"/>
  <c r="D719" i="84"/>
  <c r="D721" i="84"/>
  <c r="D723" i="84"/>
  <c r="D725" i="84"/>
  <c r="D727" i="84"/>
  <c r="D729" i="84"/>
  <c r="D731" i="84"/>
  <c r="D733" i="84"/>
  <c r="D735" i="84"/>
  <c r="D737" i="84"/>
  <c r="D739" i="84"/>
  <c r="D741" i="84"/>
  <c r="D743" i="84"/>
  <c r="D745" i="84"/>
  <c r="D747" i="84"/>
  <c r="D749" i="84"/>
  <c r="D751" i="84"/>
  <c r="D753" i="84"/>
  <c r="D755" i="84"/>
  <c r="D757" i="84"/>
  <c r="D759" i="84"/>
  <c r="D761" i="84"/>
  <c r="D763" i="84"/>
  <c r="D765" i="84"/>
  <c r="D767" i="84"/>
  <c r="D769" i="84"/>
  <c r="D771" i="84"/>
  <c r="D773" i="84"/>
  <c r="D775" i="84"/>
  <c r="D777" i="84"/>
  <c r="D779" i="84"/>
  <c r="D781" i="84"/>
  <c r="D783" i="84"/>
  <c r="D785" i="84"/>
  <c r="D787" i="84"/>
  <c r="D789" i="84"/>
  <c r="D791" i="84"/>
  <c r="J26" i="62"/>
  <c r="K26" i="62"/>
  <c r="G26" i="62"/>
  <c r="H26" i="62"/>
  <c r="J21" i="62"/>
  <c r="K21" i="62"/>
  <c r="G21" i="62"/>
  <c r="H21" i="62"/>
  <c r="G22" i="62"/>
  <c r="H22" i="62"/>
  <c r="D34" i="84"/>
  <c r="D37" i="84"/>
  <c r="D40" i="84"/>
  <c r="D43" i="84"/>
  <c r="D46" i="84"/>
  <c r="D49" i="84"/>
  <c r="D52" i="84"/>
  <c r="D55" i="84"/>
  <c r="D58" i="84"/>
  <c r="D61" i="84"/>
  <c r="D64" i="84"/>
  <c r="D67" i="84"/>
  <c r="D70" i="84"/>
  <c r="D73" i="84"/>
  <c r="D76" i="84"/>
  <c r="D79" i="84"/>
  <c r="D82" i="84"/>
  <c r="D85" i="84"/>
  <c r="D88" i="84"/>
  <c r="D91" i="84"/>
  <c r="D94" i="84"/>
  <c r="D97" i="84"/>
  <c r="D100" i="84"/>
  <c r="D103" i="84"/>
  <c r="D106" i="84"/>
  <c r="D109" i="84"/>
  <c r="D112" i="84"/>
  <c r="D115" i="84"/>
  <c r="D118" i="84"/>
  <c r="D121" i="84"/>
  <c r="D124" i="84"/>
  <c r="D127" i="84"/>
  <c r="D130" i="84"/>
  <c r="D133" i="84"/>
  <c r="D136" i="84"/>
  <c r="D139" i="84"/>
  <c r="D142" i="84"/>
  <c r="D145" i="84"/>
  <c r="D148" i="84"/>
  <c r="D151" i="84"/>
  <c r="D154" i="84"/>
  <c r="D157" i="84"/>
  <c r="D160" i="84"/>
  <c r="D163" i="84"/>
  <c r="D166" i="84"/>
  <c r="D169" i="84"/>
  <c r="D172" i="84"/>
  <c r="D175" i="84"/>
  <c r="D178" i="84"/>
  <c r="D181" i="84"/>
  <c r="D184" i="84"/>
  <c r="D187" i="84"/>
  <c r="D190" i="84"/>
  <c r="D193" i="84"/>
  <c r="D196" i="84"/>
  <c r="D199" i="84"/>
  <c r="D202" i="84"/>
  <c r="D205" i="84"/>
  <c r="D208" i="84"/>
  <c r="D211" i="84"/>
  <c r="D214" i="84"/>
  <c r="D217" i="84"/>
  <c r="D220" i="84"/>
  <c r="D223" i="84"/>
  <c r="D226" i="84"/>
  <c r="D229" i="84"/>
  <c r="D232" i="84"/>
  <c r="D235" i="84"/>
  <c r="D238" i="84"/>
  <c r="D241" i="84"/>
  <c r="D244" i="84"/>
  <c r="D247" i="84"/>
  <c r="D250" i="84"/>
  <c r="D253" i="84"/>
  <c r="D256" i="84"/>
  <c r="D259" i="84"/>
  <c r="D262" i="84"/>
  <c r="D265" i="84"/>
  <c r="D268" i="84"/>
  <c r="D271" i="84"/>
  <c r="D274" i="84"/>
  <c r="D277" i="84"/>
  <c r="D280" i="84"/>
  <c r="D283" i="84"/>
  <c r="D286" i="84"/>
  <c r="D289" i="84"/>
  <c r="D292" i="84"/>
  <c r="D295" i="84"/>
  <c r="D298" i="84"/>
  <c r="D301" i="84"/>
  <c r="D304" i="84"/>
  <c r="D307" i="84"/>
  <c r="D310" i="84"/>
  <c r="D313" i="84"/>
  <c r="D316" i="84"/>
  <c r="D319" i="84"/>
  <c r="D322" i="84"/>
  <c r="D325" i="84"/>
  <c r="D328" i="84"/>
  <c r="D331" i="84"/>
  <c r="D334" i="84"/>
  <c r="D337" i="84"/>
  <c r="D340" i="84"/>
  <c r="D343" i="84"/>
  <c r="D346" i="84"/>
  <c r="D349" i="84"/>
  <c r="D352" i="84"/>
  <c r="D355" i="84"/>
  <c r="D358" i="84"/>
  <c r="D361" i="84"/>
  <c r="D364" i="84"/>
  <c r="D367" i="84"/>
  <c r="D370" i="84"/>
  <c r="D373" i="84"/>
  <c r="D376" i="84"/>
  <c r="D379" i="84"/>
  <c r="D382" i="84"/>
  <c r="D385" i="84"/>
  <c r="D388" i="84"/>
  <c r="D391" i="84"/>
  <c r="D394" i="84"/>
  <c r="D397" i="84"/>
  <c r="D400" i="84"/>
  <c r="D403" i="84"/>
  <c r="D406" i="84"/>
  <c r="D409" i="84"/>
  <c r="D412" i="84"/>
  <c r="D415" i="84"/>
  <c r="D418" i="84"/>
  <c r="D421" i="84"/>
  <c r="D424" i="84"/>
  <c r="D427" i="84"/>
  <c r="D430" i="84"/>
  <c r="D433" i="84"/>
  <c r="D436" i="84"/>
  <c r="D439" i="84"/>
  <c r="D442" i="84"/>
  <c r="D445" i="84"/>
  <c r="D448" i="84"/>
  <c r="D451" i="84"/>
  <c r="D454" i="84"/>
  <c r="D457" i="84"/>
  <c r="D460" i="84"/>
  <c r="D463" i="84"/>
  <c r="D466" i="84"/>
  <c r="D469" i="84"/>
  <c r="D472" i="84"/>
  <c r="D475" i="84"/>
  <c r="D478" i="84"/>
  <c r="L26" i="62"/>
  <c r="M26" i="62"/>
  <c r="L21" i="62"/>
  <c r="M21" i="62"/>
  <c r="D31" i="84"/>
  <c r="D493" i="84"/>
  <c r="H22" i="90"/>
  <c r="E22" i="90"/>
  <c r="G22" i="90"/>
  <c r="F22" i="90"/>
  <c r="G22" i="89"/>
  <c r="H22" i="89"/>
  <c r="F22" i="89"/>
  <c r="E22" i="89"/>
  <c r="L13" i="78"/>
  <c r="BW36" i="74"/>
  <c r="BX36" i="74"/>
  <c r="D22" i="90"/>
  <c r="C22" i="90"/>
  <c r="D22" i="89"/>
  <c r="C22" i="89"/>
  <c r="I37" i="62"/>
  <c r="I36" i="62"/>
  <c r="I35" i="62"/>
  <c r="C24" i="89"/>
  <c r="F36" i="62"/>
  <c r="F37" i="62"/>
  <c r="H37" i="62" s="1"/>
  <c r="F35" i="62"/>
  <c r="H35" i="62" s="1"/>
  <c r="L35" i="62" s="1"/>
  <c r="M35" i="62" s="1"/>
  <c r="J16" i="62"/>
  <c r="J12" i="62"/>
  <c r="G20" i="62"/>
  <c r="P39" i="36"/>
  <c r="P40" i="36"/>
  <c r="P41" i="36"/>
  <c r="P42" i="36"/>
  <c r="P43" i="36"/>
  <c r="P44" i="36"/>
  <c r="P45" i="36"/>
  <c r="P46" i="36"/>
  <c r="P47" i="36"/>
  <c r="P48" i="36"/>
  <c r="P49" i="36"/>
  <c r="P38" i="36"/>
  <c r="J22" i="62"/>
  <c r="K22" i="62"/>
  <c r="L22" i="62"/>
  <c r="M22" i="62"/>
  <c r="E71" i="77"/>
  <c r="H71" i="77"/>
  <c r="L71" i="77"/>
  <c r="E56" i="77"/>
  <c r="M77" i="38"/>
  <c r="I77" i="38"/>
  <c r="E77" i="38"/>
  <c r="E58" i="38"/>
  <c r="M58" i="38"/>
  <c r="I58" i="38"/>
  <c r="P111" i="38"/>
  <c r="M39" i="38"/>
  <c r="I39" i="38"/>
  <c r="E39" i="38"/>
  <c r="M20" i="38"/>
  <c r="I20" i="38"/>
  <c r="E20" i="38"/>
  <c r="BW46" i="74"/>
  <c r="BW26" i="74"/>
  <c r="BW30" i="74"/>
  <c r="BX30" i="74"/>
  <c r="BW34" i="74"/>
  <c r="BX34" i="74"/>
  <c r="BW27" i="74"/>
  <c r="BX27" i="74"/>
  <c r="BW35" i="74"/>
  <c r="BX35" i="74"/>
  <c r="BW28" i="74"/>
  <c r="BX28" i="74"/>
  <c r="BW32" i="74"/>
  <c r="BX32" i="74"/>
  <c r="BW37" i="74"/>
  <c r="BX37" i="74"/>
  <c r="BW25" i="74"/>
  <c r="BX25" i="74"/>
  <c r="BW33" i="74"/>
  <c r="BX33" i="74"/>
  <c r="BX46" i="74"/>
  <c r="BX26" i="74"/>
  <c r="C27" i="90"/>
  <c r="BW23" i="74"/>
  <c r="BX23" i="74"/>
  <c r="BW22" i="74"/>
  <c r="BX22" i="74"/>
  <c r="BW24" i="74"/>
  <c r="BX24" i="74"/>
  <c r="BW31" i="74"/>
  <c r="BX31" i="74"/>
  <c r="BW21" i="74"/>
  <c r="BX21" i="74"/>
  <c r="BW39" i="74"/>
  <c r="BW29" i="74"/>
  <c r="BX29" i="74"/>
  <c r="BW40" i="74"/>
  <c r="C28" i="89"/>
  <c r="C29" i="89"/>
  <c r="BW41" i="74"/>
  <c r="BW48" i="74"/>
  <c r="L21" i="78"/>
  <c r="M21" i="78"/>
  <c r="L20" i="78"/>
  <c r="M20" i="78"/>
  <c r="L19" i="78"/>
  <c r="M19" i="78"/>
  <c r="L18" i="78"/>
  <c r="M18" i="78"/>
  <c r="L24" i="78"/>
  <c r="M24" i="78"/>
  <c r="L23" i="78"/>
  <c r="M23" i="78"/>
  <c r="L22" i="78"/>
  <c r="M22" i="78"/>
  <c r="L17" i="78"/>
  <c r="J131" i="89"/>
  <c r="K131" i="89"/>
  <c r="J153" i="89"/>
  <c r="K153" i="89"/>
  <c r="J134" i="89"/>
  <c r="K134" i="89"/>
  <c r="J123" i="89"/>
  <c r="K123" i="89"/>
  <c r="J129" i="89"/>
  <c r="K129" i="89"/>
  <c r="J178" i="89"/>
  <c r="K178" i="89"/>
  <c r="J96" i="89"/>
  <c r="K96" i="89"/>
  <c r="J71" i="89"/>
  <c r="K71" i="89"/>
  <c r="J152" i="89"/>
  <c r="K152" i="89"/>
  <c r="J142" i="89"/>
  <c r="K142" i="89"/>
  <c r="J176" i="89"/>
  <c r="K176" i="89"/>
  <c r="J126" i="89"/>
  <c r="K126" i="89"/>
  <c r="J85" i="89"/>
  <c r="K85" i="89"/>
  <c r="J156" i="89"/>
  <c r="K156" i="89"/>
  <c r="J36" i="89"/>
  <c r="K36" i="89"/>
  <c r="J53" i="89"/>
  <c r="K53" i="89"/>
  <c r="J93" i="89"/>
  <c r="K93" i="89"/>
  <c r="J103" i="89"/>
  <c r="K103" i="89"/>
  <c r="J35" i="89"/>
  <c r="K35" i="89"/>
  <c r="J39" i="89"/>
  <c r="K39" i="89"/>
  <c r="J181" i="89"/>
  <c r="K181" i="89"/>
  <c r="J122" i="89"/>
  <c r="K122" i="89"/>
  <c r="J91" i="89"/>
  <c r="K91" i="89"/>
  <c r="J151" i="89"/>
  <c r="K151" i="89"/>
  <c r="J147" i="89"/>
  <c r="K147" i="89"/>
  <c r="J69" i="89"/>
  <c r="K69" i="89"/>
  <c r="J58" i="89"/>
  <c r="K58" i="89"/>
  <c r="J128" i="89"/>
  <c r="K128" i="89"/>
  <c r="J62" i="89"/>
  <c r="K62" i="89"/>
  <c r="J108" i="89"/>
  <c r="K108" i="89"/>
  <c r="J83" i="89"/>
  <c r="K83" i="89"/>
  <c r="J160" i="89"/>
  <c r="K160" i="89"/>
  <c r="J64" i="89"/>
  <c r="K64" i="89"/>
  <c r="J38" i="89"/>
  <c r="K38" i="89"/>
  <c r="J74" i="89"/>
  <c r="K74" i="89"/>
  <c r="J116" i="89"/>
  <c r="K116" i="89"/>
  <c r="J107" i="89"/>
  <c r="K107" i="89"/>
  <c r="J87" i="89"/>
  <c r="K87" i="89"/>
  <c r="J164" i="89"/>
  <c r="K164" i="89"/>
  <c r="J145" i="89"/>
  <c r="K145" i="89"/>
  <c r="J117" i="89"/>
  <c r="K117" i="89"/>
  <c r="J182" i="89"/>
  <c r="K182" i="89"/>
  <c r="J90" i="89"/>
  <c r="K90" i="89"/>
  <c r="J183" i="89"/>
  <c r="K183" i="89"/>
  <c r="J133" i="89"/>
  <c r="K133" i="89"/>
  <c r="J98" i="89"/>
  <c r="K98" i="89"/>
  <c r="J173" i="89"/>
  <c r="K173" i="89"/>
  <c r="J52" i="89"/>
  <c r="K52" i="89"/>
  <c r="J46" i="89"/>
  <c r="K46" i="89"/>
  <c r="J148" i="89"/>
  <c r="K148" i="89"/>
  <c r="J37" i="89"/>
  <c r="K37" i="89"/>
  <c r="J66" i="89"/>
  <c r="K66" i="89"/>
  <c r="J118" i="89"/>
  <c r="K118" i="89"/>
  <c r="J94" i="89"/>
  <c r="K94" i="89"/>
  <c r="J144" i="89"/>
  <c r="K144" i="89"/>
  <c r="J106" i="89"/>
  <c r="K106" i="89"/>
  <c r="J138" i="89"/>
  <c r="K138" i="89"/>
  <c r="J136" i="89"/>
  <c r="K136" i="89"/>
  <c r="J48" i="89"/>
  <c r="K48" i="89"/>
  <c r="J84" i="89"/>
  <c r="K84" i="89"/>
  <c r="J44" i="89"/>
  <c r="K44" i="89"/>
  <c r="J65" i="89"/>
  <c r="K65" i="89"/>
  <c r="J40" i="89"/>
  <c r="K40" i="89"/>
  <c r="J86" i="89"/>
  <c r="K86" i="89"/>
  <c r="J157" i="89"/>
  <c r="K157" i="89"/>
  <c r="J102" i="89"/>
  <c r="K102" i="89"/>
  <c r="J110" i="89"/>
  <c r="K110" i="89"/>
  <c r="J115" i="89"/>
  <c r="K115" i="89"/>
  <c r="J42" i="89"/>
  <c r="K42" i="89"/>
  <c r="J54" i="89"/>
  <c r="K54" i="89"/>
  <c r="J119" i="89"/>
  <c r="K119" i="89"/>
  <c r="J57" i="89"/>
  <c r="K57" i="89"/>
  <c r="J139" i="89"/>
  <c r="K139" i="89"/>
  <c r="J159" i="89"/>
  <c r="K159" i="89"/>
  <c r="J166" i="89"/>
  <c r="K166" i="89"/>
  <c r="J68" i="89"/>
  <c r="K68" i="89"/>
  <c r="J49" i="89"/>
  <c r="K49" i="89"/>
  <c r="J50" i="89"/>
  <c r="K50" i="89"/>
  <c r="J105" i="89"/>
  <c r="K105" i="89"/>
  <c r="J111" i="89"/>
  <c r="K111" i="89"/>
  <c r="J73" i="89"/>
  <c r="K73" i="89"/>
  <c r="J55" i="89"/>
  <c r="K55" i="89"/>
  <c r="J171" i="89"/>
  <c r="K171" i="89"/>
  <c r="J158" i="89"/>
  <c r="K158" i="89"/>
  <c r="J101" i="89"/>
  <c r="K101" i="89"/>
  <c r="J149" i="89"/>
  <c r="K149" i="89"/>
  <c r="J78" i="89"/>
  <c r="K78" i="89"/>
  <c r="J80" i="89"/>
  <c r="K80" i="89"/>
  <c r="J82" i="89"/>
  <c r="K82" i="89"/>
  <c r="J34" i="89"/>
  <c r="J177" i="89"/>
  <c r="K177" i="89"/>
  <c r="J109" i="89"/>
  <c r="K109" i="89"/>
  <c r="J179" i="89"/>
  <c r="K179" i="89"/>
  <c r="J95" i="89"/>
  <c r="K95" i="89"/>
  <c r="J150" i="89"/>
  <c r="K150" i="89"/>
  <c r="J155" i="89"/>
  <c r="K155" i="89"/>
  <c r="J130" i="89"/>
  <c r="K130" i="89"/>
  <c r="J169" i="89"/>
  <c r="K169" i="89"/>
  <c r="J56" i="89"/>
  <c r="K56" i="89"/>
  <c r="J127" i="89"/>
  <c r="K127" i="89"/>
  <c r="J100" i="89"/>
  <c r="K100" i="89"/>
  <c r="J99" i="89"/>
  <c r="K99" i="89"/>
  <c r="J43" i="89"/>
  <c r="K43" i="89"/>
  <c r="J75" i="89"/>
  <c r="K75" i="89"/>
  <c r="J113" i="89"/>
  <c r="K113" i="89"/>
  <c r="J165" i="89"/>
  <c r="K165" i="89"/>
  <c r="J174" i="89"/>
  <c r="K174" i="89"/>
  <c r="J89" i="89"/>
  <c r="K89" i="89"/>
  <c r="J76" i="89"/>
  <c r="K76" i="89"/>
  <c r="J132" i="89"/>
  <c r="K132" i="89"/>
  <c r="J61" i="89"/>
  <c r="K61" i="89"/>
  <c r="J63" i="89"/>
  <c r="K63" i="89"/>
  <c r="J154" i="89"/>
  <c r="K154" i="89"/>
  <c r="J143" i="89"/>
  <c r="K143" i="89"/>
  <c r="J172" i="89"/>
  <c r="K172" i="89"/>
  <c r="J146" i="89"/>
  <c r="K146" i="89"/>
  <c r="J137" i="89"/>
  <c r="K137" i="89"/>
  <c r="J88" i="89"/>
  <c r="K88" i="89"/>
  <c r="J59" i="89"/>
  <c r="K59" i="89"/>
  <c r="J114" i="89"/>
  <c r="K114" i="89"/>
  <c r="J97" i="89"/>
  <c r="K97" i="89"/>
  <c r="J180" i="89"/>
  <c r="K180" i="89"/>
  <c r="J135" i="89"/>
  <c r="K135" i="89"/>
  <c r="J162" i="89"/>
  <c r="K162" i="89"/>
  <c r="J124" i="89"/>
  <c r="K124" i="89"/>
  <c r="J120" i="89"/>
  <c r="K120" i="89"/>
  <c r="J140" i="89"/>
  <c r="K140" i="89"/>
  <c r="J51" i="89"/>
  <c r="K51" i="89"/>
  <c r="J112" i="89"/>
  <c r="K112" i="89"/>
  <c r="J47" i="89"/>
  <c r="K47" i="89"/>
  <c r="J67" i="89"/>
  <c r="K67" i="89"/>
  <c r="J77" i="89"/>
  <c r="K77" i="89"/>
  <c r="J92" i="89"/>
  <c r="K92" i="89"/>
  <c r="J170" i="89"/>
  <c r="K170" i="89"/>
  <c r="J167" i="89"/>
  <c r="K167" i="89"/>
  <c r="J175" i="89"/>
  <c r="K175" i="89"/>
  <c r="J79" i="89"/>
  <c r="K79" i="89"/>
  <c r="J168" i="89"/>
  <c r="K168" i="89"/>
  <c r="J45" i="89"/>
  <c r="K45" i="89"/>
  <c r="J163" i="89"/>
  <c r="K163" i="89"/>
  <c r="J121" i="89"/>
  <c r="K121" i="89"/>
  <c r="J161" i="89"/>
  <c r="K161" i="89"/>
  <c r="J60" i="89"/>
  <c r="K60" i="89"/>
  <c r="J125" i="89"/>
  <c r="K125" i="89"/>
  <c r="J72" i="89"/>
  <c r="K72" i="89"/>
  <c r="J81" i="89"/>
  <c r="K81" i="89"/>
  <c r="J70" i="89"/>
  <c r="K70" i="89"/>
  <c r="J141" i="89"/>
  <c r="K141" i="89"/>
  <c r="J41" i="89"/>
  <c r="K41" i="89"/>
  <c r="J104" i="89"/>
  <c r="K104" i="89"/>
  <c r="D58" i="38"/>
  <c r="M17" i="78"/>
  <c r="L25" i="78"/>
  <c r="J184" i="89"/>
  <c r="K34" i="89"/>
  <c r="L106" i="36"/>
  <c r="F106" i="36"/>
  <c r="D106" i="36"/>
  <c r="E106" i="36" s="1"/>
  <c r="L105" i="36"/>
  <c r="H105" i="36"/>
  <c r="D105" i="36"/>
  <c r="N104" i="36"/>
  <c r="M104" i="36" s="1"/>
  <c r="L104" i="36"/>
  <c r="H104" i="36"/>
  <c r="D104" i="36"/>
  <c r="E104" i="36" s="1"/>
  <c r="N103" i="36"/>
  <c r="P103" i="36" s="1"/>
  <c r="J103" i="36"/>
  <c r="H103" i="36"/>
  <c r="N102" i="36"/>
  <c r="J102" i="36"/>
  <c r="P102" i="36" s="1"/>
  <c r="H102" i="36"/>
  <c r="F102" i="36"/>
  <c r="D102" i="36"/>
  <c r="N101" i="36"/>
  <c r="J101" i="36"/>
  <c r="F101" i="36"/>
  <c r="D101" i="36"/>
  <c r="E101" i="36" s="1"/>
  <c r="N100" i="36"/>
  <c r="L100" i="36"/>
  <c r="J100" i="36"/>
  <c r="F100" i="36"/>
  <c r="D100" i="36"/>
  <c r="E100" i="36" s="1"/>
  <c r="L99" i="36"/>
  <c r="F99" i="36"/>
  <c r="D99" i="36"/>
  <c r="L98" i="36"/>
  <c r="H98" i="36"/>
  <c r="F98" i="36"/>
  <c r="D98" i="36"/>
  <c r="L97" i="36"/>
  <c r="H97" i="36"/>
  <c r="F97" i="36"/>
  <c r="D97" i="36"/>
  <c r="N96" i="36"/>
  <c r="H96" i="36"/>
  <c r="D96" i="36"/>
  <c r="L95" i="36"/>
  <c r="J95" i="36"/>
  <c r="F95" i="36"/>
  <c r="I103" i="36"/>
  <c r="E98" i="36"/>
  <c r="P101" i="36"/>
  <c r="E99" i="36"/>
  <c r="D40" i="37"/>
  <c r="D41" i="37"/>
  <c r="D42" i="37"/>
  <c r="D43" i="37"/>
  <c r="D44" i="37"/>
  <c r="D45" i="37"/>
  <c r="D46" i="37"/>
  <c r="D47" i="37"/>
  <c r="D48" i="37"/>
  <c r="D49" i="37"/>
  <c r="D50" i="37"/>
  <c r="O2" i="62"/>
  <c r="I38" i="62"/>
  <c r="J17" i="62"/>
  <c r="J13" i="62"/>
  <c r="G17" i="62"/>
  <c r="G13" i="62"/>
  <c r="I39" i="62"/>
  <c r="I19" i="62"/>
  <c r="N2" i="63"/>
  <c r="N3" i="63"/>
  <c r="N4" i="63"/>
  <c r="N5" i="63"/>
  <c r="N6" i="63"/>
  <c r="N7" i="63"/>
  <c r="N8" i="63"/>
  <c r="N9" i="63"/>
  <c r="N10" i="63"/>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1" i="63"/>
  <c r="J39" i="62"/>
  <c r="G39" i="62"/>
  <c r="J38" i="62"/>
  <c r="K38" i="62"/>
  <c r="G38" i="62"/>
  <c r="H38" i="62"/>
  <c r="K37" i="62"/>
  <c r="L37" i="62" s="1"/>
  <c r="M37" i="62" s="1"/>
  <c r="K36" i="62"/>
  <c r="H36" i="62"/>
  <c r="K35" i="62"/>
  <c r="K33" i="62"/>
  <c r="H33" i="62"/>
  <c r="J32" i="62"/>
  <c r="K32" i="62"/>
  <c r="G32" i="62"/>
  <c r="H32" i="62" s="1"/>
  <c r="L32" i="62" s="1"/>
  <c r="M32" i="62" s="1"/>
  <c r="J31" i="62"/>
  <c r="K31" i="62"/>
  <c r="G31" i="62"/>
  <c r="H31" i="62"/>
  <c r="H41" i="62" s="1"/>
  <c r="J29" i="62"/>
  <c r="K29" i="62"/>
  <c r="G29" i="62"/>
  <c r="H29" i="62"/>
  <c r="J28" i="62"/>
  <c r="K28" i="62"/>
  <c r="G28" i="62"/>
  <c r="H28" i="62"/>
  <c r="K24" i="62"/>
  <c r="J19" i="62"/>
  <c r="K19" i="62" s="1"/>
  <c r="L19" i="62" s="1"/>
  <c r="M19" i="62" s="1"/>
  <c r="J23" i="62"/>
  <c r="K23" i="62"/>
  <c r="G23" i="62"/>
  <c r="H23" i="62"/>
  <c r="J20" i="62"/>
  <c r="K20" i="62"/>
  <c r="H20" i="62"/>
  <c r="K17" i="62"/>
  <c r="H17" i="62"/>
  <c r="K16" i="62"/>
  <c r="H16" i="62"/>
  <c r="K13" i="62"/>
  <c r="H13" i="62"/>
  <c r="K12" i="62"/>
  <c r="H12" i="62"/>
  <c r="H15" i="62"/>
  <c r="A12" i="62"/>
  <c r="A13" i="62"/>
  <c r="A14" i="62"/>
  <c r="A15" i="62"/>
  <c r="A16" i="62"/>
  <c r="A17" i="62"/>
  <c r="A18" i="62"/>
  <c r="A19" i="62"/>
  <c r="A20" i="62"/>
  <c r="A21" i="62"/>
  <c r="A22" i="62"/>
  <c r="A23" i="62"/>
  <c r="A24" i="62"/>
  <c r="A25" i="62"/>
  <c r="A26" i="62"/>
  <c r="A27" i="62"/>
  <c r="A28" i="62"/>
  <c r="A29" i="62"/>
  <c r="A30" i="62"/>
  <c r="A31" i="62"/>
  <c r="A32" i="62"/>
  <c r="A33" i="62"/>
  <c r="A34" i="62"/>
  <c r="A35" i="62"/>
  <c r="A36" i="62"/>
  <c r="A37" i="62"/>
  <c r="A38" i="62"/>
  <c r="A39" i="62"/>
  <c r="A40" i="62"/>
  <c r="A41" i="62"/>
  <c r="A42" i="62"/>
  <c r="A43" i="62"/>
  <c r="A44" i="62"/>
  <c r="A45" i="62"/>
  <c r="A46" i="62"/>
  <c r="A47" i="62"/>
  <c r="A48" i="62"/>
  <c r="A49" i="62"/>
  <c r="A50" i="62"/>
  <c r="A51" i="62"/>
  <c r="A52" i="62"/>
  <c r="A53" i="62"/>
  <c r="A54" i="62"/>
  <c r="A55" i="62"/>
  <c r="K15" i="62"/>
  <c r="L15" i="62" s="1"/>
  <c r="M15" i="62" s="1"/>
  <c r="H39" i="62"/>
  <c r="K39" i="62"/>
  <c r="L23" i="62"/>
  <c r="M23" i="62"/>
  <c r="L33" i="62"/>
  <c r="M33" i="62"/>
  <c r="L12" i="62"/>
  <c r="M12" i="62"/>
  <c r="L13" i="62"/>
  <c r="M13" i="62"/>
  <c r="G19" i="62"/>
  <c r="H19" i="62"/>
  <c r="H18" i="62"/>
  <c r="M18" i="62" s="1"/>
  <c r="L36" i="62"/>
  <c r="M36" i="62" s="1"/>
  <c r="L16" i="62"/>
  <c r="M16" i="62"/>
  <c r="L29" i="62"/>
  <c r="M29" i="62"/>
  <c r="N29" i="62"/>
  <c r="L20" i="62"/>
  <c r="M20" i="62"/>
  <c r="L28" i="62"/>
  <c r="M28" i="62"/>
  <c r="N28" i="62"/>
  <c r="L17" i="62"/>
  <c r="M17" i="62"/>
  <c r="L38" i="62"/>
  <c r="M38" i="62"/>
  <c r="L31" i="62"/>
  <c r="M31" i="62" s="1"/>
  <c r="K46" i="62"/>
  <c r="K49" i="62" s="1"/>
  <c r="L39" i="62"/>
  <c r="M39" i="62"/>
  <c r="K51" i="62"/>
  <c r="K41" i="62"/>
  <c r="K42" i="62"/>
  <c r="K44" i="62" s="1"/>
  <c r="K47" i="62"/>
  <c r="K28" i="57"/>
  <c r="L28" i="57"/>
  <c r="K29" i="57"/>
  <c r="L29" i="57"/>
  <c r="K30" i="57"/>
  <c r="L30" i="57"/>
  <c r="K31" i="57"/>
  <c r="L31" i="57"/>
  <c r="J23" i="57"/>
  <c r="J17" i="57"/>
  <c r="J15" i="57"/>
  <c r="H36" i="57"/>
  <c r="H20" i="57"/>
  <c r="E36" i="57"/>
  <c r="E20" i="57"/>
  <c r="I20" i="57"/>
  <c r="F20" i="57"/>
  <c r="I36" i="57"/>
  <c r="I35" i="57"/>
  <c r="J35" i="57"/>
  <c r="I34" i="57"/>
  <c r="J34" i="57"/>
  <c r="I33" i="57"/>
  <c r="J33" i="57"/>
  <c r="I32" i="57"/>
  <c r="J32" i="57"/>
  <c r="I31" i="57"/>
  <c r="I29" i="57"/>
  <c r="I28" i="57"/>
  <c r="F36" i="57"/>
  <c r="F35" i="57"/>
  <c r="G35" i="57"/>
  <c r="F34" i="57"/>
  <c r="G34" i="57"/>
  <c r="F33" i="57"/>
  <c r="G33" i="57"/>
  <c r="F32" i="57"/>
  <c r="G32" i="57"/>
  <c r="F31" i="57"/>
  <c r="F29" i="57"/>
  <c r="F28" i="57"/>
  <c r="G23" i="57"/>
  <c r="G17" i="57"/>
  <c r="G15" i="57"/>
  <c r="I26" i="57"/>
  <c r="J26" i="57"/>
  <c r="I25" i="57"/>
  <c r="J25" i="57"/>
  <c r="F26" i="57"/>
  <c r="G26" i="57"/>
  <c r="F25" i="57"/>
  <c r="G25" i="57"/>
  <c r="I16" i="57"/>
  <c r="I18" i="57"/>
  <c r="J18" i="57"/>
  <c r="F16" i="57"/>
  <c r="G16" i="57"/>
  <c r="J36" i="57"/>
  <c r="G20" i="57"/>
  <c r="K35" i="57"/>
  <c r="L35" i="57"/>
  <c r="K15" i="57"/>
  <c r="L15" i="57"/>
  <c r="K25" i="57"/>
  <c r="L25" i="57"/>
  <c r="G36" i="57"/>
  <c r="K36" i="57"/>
  <c r="L36" i="57"/>
  <c r="K32" i="57"/>
  <c r="L32" i="57"/>
  <c r="K23" i="57"/>
  <c r="L23" i="57"/>
  <c r="K26" i="57"/>
  <c r="L26" i="57"/>
  <c r="K33" i="57"/>
  <c r="L33" i="57"/>
  <c r="K34" i="57"/>
  <c r="L34" i="57"/>
  <c r="J16" i="57"/>
  <c r="K16" i="57"/>
  <c r="L16" i="57"/>
  <c r="J20" i="57"/>
  <c r="K17" i="57"/>
  <c r="L17" i="57"/>
  <c r="F22" i="57"/>
  <c r="G22" i="57"/>
  <c r="F18" i="57"/>
  <c r="G18" i="57"/>
  <c r="G19" i="57"/>
  <c r="I21" i="57"/>
  <c r="J21" i="57"/>
  <c r="I22" i="57"/>
  <c r="J22" i="57"/>
  <c r="F21" i="57"/>
  <c r="G21" i="57"/>
  <c r="K20" i="57"/>
  <c r="L20" i="57"/>
  <c r="G24" i="57"/>
  <c r="G27" i="57"/>
  <c r="G38" i="57"/>
  <c r="G39" i="57"/>
  <c r="G40" i="57"/>
  <c r="K21" i="57"/>
  <c r="L21" i="57"/>
  <c r="J19" i="57"/>
  <c r="J24" i="57"/>
  <c r="J27" i="57"/>
  <c r="J48" i="57"/>
  <c r="K22" i="57"/>
  <c r="L22" i="57"/>
  <c r="K18" i="57"/>
  <c r="L18" i="57"/>
  <c r="G43" i="57"/>
  <c r="G44" i="57"/>
  <c r="G45" i="57"/>
  <c r="G46" i="57"/>
  <c r="G48" i="57"/>
  <c r="G49" i="57"/>
  <c r="G50" i="57"/>
  <c r="G51" i="57"/>
  <c r="K19" i="57"/>
  <c r="K24" i="57"/>
  <c r="K27" i="57"/>
  <c r="J49" i="57"/>
  <c r="J38" i="57"/>
  <c r="J43" i="57"/>
  <c r="G41" i="57"/>
  <c r="K48" i="57"/>
  <c r="L48" i="57"/>
  <c r="J39" i="57"/>
  <c r="K38" i="57"/>
  <c r="L38" i="57"/>
  <c r="J50" i="57"/>
  <c r="K49" i="57"/>
  <c r="L49" i="57"/>
  <c r="J44" i="57"/>
  <c r="K43" i="57"/>
  <c r="L43" i="57"/>
  <c r="K50" i="57"/>
  <c r="L50" i="57"/>
  <c r="J45" i="57"/>
  <c r="K44" i="57"/>
  <c r="L44" i="57"/>
  <c r="J40" i="57"/>
  <c r="K39" i="57"/>
  <c r="L39" i="57"/>
  <c r="A12" i="57"/>
  <c r="A13" i="57"/>
  <c r="A14" i="57"/>
  <c r="A15" i="57"/>
  <c r="A16" i="57"/>
  <c r="A17" i="57"/>
  <c r="A18" i="57"/>
  <c r="A19" i="57"/>
  <c r="A20" i="57"/>
  <c r="A21" i="57"/>
  <c r="A22" i="57"/>
  <c r="A23" i="57"/>
  <c r="A24" i="57"/>
  <c r="A25" i="57"/>
  <c r="A26" i="57"/>
  <c r="A27" i="57"/>
  <c r="A28" i="57"/>
  <c r="A29" i="57"/>
  <c r="A30" i="57"/>
  <c r="A31" i="57"/>
  <c r="A32" i="57"/>
  <c r="A33" i="57"/>
  <c r="A34" i="57"/>
  <c r="K45" i="57"/>
  <c r="L45" i="57"/>
  <c r="K40" i="57"/>
  <c r="L40" i="57"/>
  <c r="J51" i="57"/>
  <c r="K51" i="57"/>
  <c r="L51" i="57"/>
  <c r="A35" i="57"/>
  <c r="A36" i="57"/>
  <c r="A37" i="57"/>
  <c r="A38" i="57"/>
  <c r="A39" i="57"/>
  <c r="A40" i="57"/>
  <c r="A41" i="57"/>
  <c r="A42" i="57"/>
  <c r="A43" i="57"/>
  <c r="A44" i="57"/>
  <c r="A45" i="57"/>
  <c r="A46" i="57"/>
  <c r="A47" i="57"/>
  <c r="A48" i="57"/>
  <c r="A49" i="57"/>
  <c r="A50" i="57"/>
  <c r="A51" i="57"/>
  <c r="A52" i="57"/>
  <c r="J41" i="57"/>
  <c r="K41" i="57"/>
  <c r="L41" i="57"/>
  <c r="J46" i="57"/>
  <c r="K46" i="57"/>
  <c r="L46" i="57"/>
  <c r="D13" i="15"/>
  <c r="H20" i="38"/>
  <c r="J20" i="38" s="1"/>
  <c r="I21" i="38"/>
  <c r="H39" i="38"/>
  <c r="L20" i="38"/>
  <c r="L39" i="38"/>
  <c r="H21" i="38"/>
  <c r="H40" i="38"/>
  <c r="L40" i="38"/>
  <c r="H22" i="38"/>
  <c r="H41" i="38"/>
  <c r="L22" i="38"/>
  <c r="L41" i="38"/>
  <c r="H42" i="38"/>
  <c r="L23" i="38"/>
  <c r="N23" i="38" s="1"/>
  <c r="N99" i="38" s="1"/>
  <c r="L42" i="38"/>
  <c r="H24" i="38"/>
  <c r="H43" i="38"/>
  <c r="L24" i="38"/>
  <c r="L43" i="38"/>
  <c r="H44" i="38"/>
  <c r="L25" i="38"/>
  <c r="N25" i="38" s="1"/>
  <c r="N101" i="38" s="1"/>
  <c r="L44" i="38"/>
  <c r="H45" i="38"/>
  <c r="L45" i="38"/>
  <c r="H27" i="38"/>
  <c r="H46" i="38"/>
  <c r="L46" i="38"/>
  <c r="H28" i="38"/>
  <c r="H47" i="38"/>
  <c r="L47" i="38"/>
  <c r="H29" i="38"/>
  <c r="H48" i="38"/>
  <c r="L29" i="38"/>
  <c r="L105" i="38" s="1"/>
  <c r="L48" i="38"/>
  <c r="H30" i="38"/>
  <c r="H106" i="38" s="1"/>
  <c r="H49" i="38"/>
  <c r="L30" i="38"/>
  <c r="L49" i="38"/>
  <c r="H50" i="38"/>
  <c r="L31" i="38"/>
  <c r="L50" i="38"/>
  <c r="D20" i="38"/>
  <c r="D39" i="38"/>
  <c r="D21" i="38"/>
  <c r="D40" i="38"/>
  <c r="D22" i="38"/>
  <c r="D41" i="38"/>
  <c r="D23" i="38"/>
  <c r="F23" i="38" s="1"/>
  <c r="F99" i="38" s="1"/>
  <c r="D42" i="38"/>
  <c r="D24" i="38"/>
  <c r="D43" i="38"/>
  <c r="D44" i="38"/>
  <c r="D26" i="38"/>
  <c r="D45" i="38"/>
  <c r="D27" i="38"/>
  <c r="D46" i="38"/>
  <c r="D47" i="38"/>
  <c r="D48" i="38"/>
  <c r="D49" i="38"/>
  <c r="D50" i="38"/>
  <c r="H20" i="37"/>
  <c r="H39" i="37"/>
  <c r="H58" i="37"/>
  <c r="I59" i="37"/>
  <c r="H77" i="37"/>
  <c r="I78" i="37"/>
  <c r="I79" i="37"/>
  <c r="L20" i="37"/>
  <c r="N20" i="37" s="1"/>
  <c r="L39" i="37"/>
  <c r="L58" i="37"/>
  <c r="M59" i="37"/>
  <c r="M60" i="37"/>
  <c r="M61" i="37"/>
  <c r="L77" i="37"/>
  <c r="M78" i="37"/>
  <c r="M79" i="37"/>
  <c r="M80" i="37"/>
  <c r="M81" i="37"/>
  <c r="H21" i="37"/>
  <c r="H40" i="37"/>
  <c r="H59" i="37"/>
  <c r="H78" i="37"/>
  <c r="L40" i="37"/>
  <c r="L59" i="37"/>
  <c r="L78" i="37"/>
  <c r="H22" i="37"/>
  <c r="H41" i="37"/>
  <c r="H60" i="37"/>
  <c r="H79" i="37"/>
  <c r="L22" i="37"/>
  <c r="L41" i="37"/>
  <c r="L60" i="37"/>
  <c r="L79" i="37"/>
  <c r="H42" i="37"/>
  <c r="H61" i="37"/>
  <c r="H80" i="37"/>
  <c r="L23" i="37"/>
  <c r="L99" i="37" s="1"/>
  <c r="L42" i="37"/>
  <c r="L61" i="37"/>
  <c r="L80" i="37"/>
  <c r="H43" i="37"/>
  <c r="H62" i="37"/>
  <c r="H81" i="37"/>
  <c r="L24" i="37"/>
  <c r="L100" i="37" s="1"/>
  <c r="L43" i="37"/>
  <c r="L62" i="37"/>
  <c r="L81" i="37"/>
  <c r="H44" i="37"/>
  <c r="H63" i="37"/>
  <c r="H82" i="37"/>
  <c r="L25" i="37"/>
  <c r="L44" i="37"/>
  <c r="L63" i="37"/>
  <c r="L82" i="37"/>
  <c r="H45" i="37"/>
  <c r="H64" i="37"/>
  <c r="H83" i="37"/>
  <c r="L45" i="37"/>
  <c r="L64" i="37"/>
  <c r="L83" i="37"/>
  <c r="H27" i="37"/>
  <c r="H46" i="37"/>
  <c r="H65" i="37"/>
  <c r="H84" i="37"/>
  <c r="L46" i="37"/>
  <c r="L65" i="37"/>
  <c r="L84" i="37"/>
  <c r="H28" i="37"/>
  <c r="H47" i="37"/>
  <c r="H66" i="37"/>
  <c r="H85" i="37"/>
  <c r="L47" i="37"/>
  <c r="L66" i="37"/>
  <c r="L85" i="37"/>
  <c r="H29" i="37"/>
  <c r="H48" i="37"/>
  <c r="H67" i="37"/>
  <c r="H86" i="37"/>
  <c r="L29" i="37"/>
  <c r="L105" i="37" s="1"/>
  <c r="L48" i="37"/>
  <c r="L67" i="37"/>
  <c r="L86" i="37"/>
  <c r="H30" i="37"/>
  <c r="H49" i="37"/>
  <c r="H68" i="37"/>
  <c r="H87" i="37"/>
  <c r="L30" i="37"/>
  <c r="L106" i="37" s="1"/>
  <c r="L49" i="37"/>
  <c r="L68" i="37"/>
  <c r="L87" i="37"/>
  <c r="H50" i="37"/>
  <c r="H69" i="37"/>
  <c r="H88" i="37"/>
  <c r="L31" i="37"/>
  <c r="L50" i="37"/>
  <c r="L69" i="37"/>
  <c r="L88" i="37"/>
  <c r="E21" i="37"/>
  <c r="E22" i="37"/>
  <c r="E23" i="37"/>
  <c r="E24" i="37"/>
  <c r="E25" i="37"/>
  <c r="E27" i="37"/>
  <c r="E28" i="37"/>
  <c r="E29" i="37"/>
  <c r="E30" i="37"/>
  <c r="E31" i="37"/>
  <c r="D39" i="37"/>
  <c r="F39" i="37"/>
  <c r="E46" i="37"/>
  <c r="E47" i="37"/>
  <c r="E48" i="37"/>
  <c r="E49" i="37"/>
  <c r="E50" i="37"/>
  <c r="D58" i="37"/>
  <c r="D77" i="37"/>
  <c r="F77" i="37"/>
  <c r="E78" i="37"/>
  <c r="E79" i="37"/>
  <c r="D21" i="37"/>
  <c r="D59" i="37"/>
  <c r="D78" i="37"/>
  <c r="D22" i="37"/>
  <c r="D60" i="37"/>
  <c r="D79" i="37"/>
  <c r="D23" i="37"/>
  <c r="D61" i="37"/>
  <c r="D80" i="37"/>
  <c r="D24" i="37"/>
  <c r="D62" i="37"/>
  <c r="D81" i="37"/>
  <c r="D63" i="37"/>
  <c r="D82" i="37"/>
  <c r="D26" i="37"/>
  <c r="D64" i="37"/>
  <c r="D83" i="37"/>
  <c r="D27" i="37"/>
  <c r="D65" i="37"/>
  <c r="D84" i="37"/>
  <c r="D28" i="37"/>
  <c r="D104" i="37" s="1"/>
  <c r="D66" i="37"/>
  <c r="D85" i="37"/>
  <c r="D29" i="37"/>
  <c r="F29" i="37" s="1"/>
  <c r="F105" i="37" s="1"/>
  <c r="D67" i="37"/>
  <c r="D86" i="37"/>
  <c r="D68" i="37"/>
  <c r="D87" i="37"/>
  <c r="D31" i="37"/>
  <c r="D107" i="37" s="1"/>
  <c r="D69" i="37"/>
  <c r="D88" i="37"/>
  <c r="L88" i="38"/>
  <c r="H88" i="38"/>
  <c r="D88" i="38"/>
  <c r="L87" i="38"/>
  <c r="H87" i="38"/>
  <c r="D87" i="38"/>
  <c r="L86" i="38"/>
  <c r="H86" i="38"/>
  <c r="D86" i="38"/>
  <c r="L85" i="38"/>
  <c r="H85" i="38"/>
  <c r="D85" i="38"/>
  <c r="L84" i="38"/>
  <c r="H84" i="38"/>
  <c r="D84" i="38"/>
  <c r="L83" i="38"/>
  <c r="H83" i="38"/>
  <c r="D83" i="38"/>
  <c r="L82" i="38"/>
  <c r="H82" i="38"/>
  <c r="D82" i="38"/>
  <c r="L81" i="38"/>
  <c r="H81" i="38"/>
  <c r="D81" i="38"/>
  <c r="L80" i="38"/>
  <c r="H80" i="38"/>
  <c r="D80" i="38"/>
  <c r="L79" i="38"/>
  <c r="H79" i="38"/>
  <c r="D79" i="38"/>
  <c r="L78" i="38"/>
  <c r="H78" i="38"/>
  <c r="D78" i="38"/>
  <c r="M78" i="38"/>
  <c r="L77" i="38"/>
  <c r="I78" i="38"/>
  <c r="J78" i="38"/>
  <c r="H77" i="38"/>
  <c r="D77" i="38"/>
  <c r="F77" i="38"/>
  <c r="B73" i="38"/>
  <c r="L69" i="38"/>
  <c r="H69" i="38"/>
  <c r="D69" i="38"/>
  <c r="L68" i="38"/>
  <c r="H68" i="38"/>
  <c r="D68" i="38"/>
  <c r="L67" i="38"/>
  <c r="H67" i="38"/>
  <c r="D67" i="38"/>
  <c r="L66" i="38"/>
  <c r="H66" i="38"/>
  <c r="D66" i="38"/>
  <c r="L65" i="38"/>
  <c r="H65" i="38"/>
  <c r="D65" i="38"/>
  <c r="L64" i="38"/>
  <c r="H64" i="38"/>
  <c r="D64" i="38"/>
  <c r="L63" i="38"/>
  <c r="H63" i="38"/>
  <c r="D63" i="38"/>
  <c r="L62" i="38"/>
  <c r="H62" i="38"/>
  <c r="D62" i="38"/>
  <c r="L61" i="38"/>
  <c r="H61" i="38"/>
  <c r="D61" i="38"/>
  <c r="L60" i="38"/>
  <c r="H60" i="38"/>
  <c r="D60" i="38"/>
  <c r="L59" i="38"/>
  <c r="H59" i="38"/>
  <c r="D59" i="38"/>
  <c r="M59" i="38"/>
  <c r="M60" i="38"/>
  <c r="M61" i="38"/>
  <c r="L58" i="38"/>
  <c r="I59" i="38"/>
  <c r="H58" i="38"/>
  <c r="E59" i="38"/>
  <c r="B54" i="38"/>
  <c r="B73" i="37"/>
  <c r="B54" i="37"/>
  <c r="N89" i="36"/>
  <c r="L89" i="36"/>
  <c r="M89" i="36"/>
  <c r="J89" i="36"/>
  <c r="H89" i="36"/>
  <c r="I89" i="36"/>
  <c r="F89" i="36"/>
  <c r="D89" i="36"/>
  <c r="P87" i="36"/>
  <c r="M87" i="36"/>
  <c r="I87" i="36"/>
  <c r="E87" i="36"/>
  <c r="P86" i="36"/>
  <c r="M86" i="36"/>
  <c r="I86" i="36"/>
  <c r="E86" i="36"/>
  <c r="P85" i="36"/>
  <c r="M85" i="36"/>
  <c r="I85" i="36"/>
  <c r="E85" i="36"/>
  <c r="P84" i="36"/>
  <c r="M84" i="36"/>
  <c r="I84" i="36"/>
  <c r="E84" i="36"/>
  <c r="P83" i="36"/>
  <c r="M83" i="36"/>
  <c r="I83" i="36"/>
  <c r="E83" i="36"/>
  <c r="P82" i="36"/>
  <c r="M82" i="36"/>
  <c r="I82" i="36"/>
  <c r="E82" i="36"/>
  <c r="P81" i="36"/>
  <c r="M81" i="36"/>
  <c r="I81" i="36"/>
  <c r="E81" i="36"/>
  <c r="P80" i="36"/>
  <c r="M80" i="36"/>
  <c r="I80" i="36"/>
  <c r="E80" i="36"/>
  <c r="P79" i="36"/>
  <c r="M79" i="36"/>
  <c r="I79" i="36"/>
  <c r="E79" i="36"/>
  <c r="P78" i="36"/>
  <c r="M78" i="36"/>
  <c r="I78" i="36"/>
  <c r="E78" i="36"/>
  <c r="P77" i="36"/>
  <c r="M77" i="36"/>
  <c r="I77" i="36"/>
  <c r="E77" i="36"/>
  <c r="P76" i="36"/>
  <c r="M76" i="36"/>
  <c r="I76" i="36"/>
  <c r="E76" i="36"/>
  <c r="N70" i="36"/>
  <c r="L70" i="36"/>
  <c r="M70" i="36"/>
  <c r="J70" i="36"/>
  <c r="H70" i="36"/>
  <c r="F70" i="36"/>
  <c r="D70" i="36"/>
  <c r="E70" i="36"/>
  <c r="P68" i="36"/>
  <c r="M68" i="36"/>
  <c r="I68" i="36"/>
  <c r="E68" i="36"/>
  <c r="P67" i="36"/>
  <c r="M67" i="36"/>
  <c r="I67" i="36"/>
  <c r="E67" i="36"/>
  <c r="P66" i="36"/>
  <c r="M66" i="36"/>
  <c r="I66" i="36"/>
  <c r="E66" i="36"/>
  <c r="P65" i="36"/>
  <c r="M65" i="36"/>
  <c r="I65" i="36"/>
  <c r="E65" i="36"/>
  <c r="P64" i="36"/>
  <c r="M64" i="36"/>
  <c r="I64" i="36"/>
  <c r="E64" i="36"/>
  <c r="P63" i="36"/>
  <c r="M63" i="36"/>
  <c r="I63" i="36"/>
  <c r="E63" i="36"/>
  <c r="P62" i="36"/>
  <c r="M62" i="36"/>
  <c r="I62" i="36"/>
  <c r="E62" i="36"/>
  <c r="P61" i="36"/>
  <c r="M61" i="36"/>
  <c r="I61" i="36"/>
  <c r="E61" i="36"/>
  <c r="P60" i="36"/>
  <c r="M60" i="36"/>
  <c r="I60" i="36"/>
  <c r="E60" i="36"/>
  <c r="P59" i="36"/>
  <c r="M59" i="36"/>
  <c r="I59" i="36"/>
  <c r="E59" i="36"/>
  <c r="P58" i="36"/>
  <c r="M58" i="36"/>
  <c r="I58" i="36"/>
  <c r="E58" i="36"/>
  <c r="P57" i="36"/>
  <c r="P70" i="36"/>
  <c r="M57" i="36"/>
  <c r="I57" i="36"/>
  <c r="E57" i="36"/>
  <c r="N51" i="36"/>
  <c r="L51" i="36"/>
  <c r="J51" i="36"/>
  <c r="H51" i="36"/>
  <c r="F51" i="36"/>
  <c r="D51" i="36"/>
  <c r="H32" i="36"/>
  <c r="P27" i="36"/>
  <c r="P26" i="36"/>
  <c r="P25" i="36"/>
  <c r="P20" i="36"/>
  <c r="AM17" i="7"/>
  <c r="AM15" i="7"/>
  <c r="AN15" i="7"/>
  <c r="AK15" i="7"/>
  <c r="AK16" i="7"/>
  <c r="AP14" i="7"/>
  <c r="AP8" i="7"/>
  <c r="AK9" i="7"/>
  <c r="AK10" i="7"/>
  <c r="AK11" i="7"/>
  <c r="AK6" i="7"/>
  <c r="AK3" i="7"/>
  <c r="AK4" i="7"/>
  <c r="AK2" i="7"/>
  <c r="AM6" i="7"/>
  <c r="AM4" i="7"/>
  <c r="AL4" i="7"/>
  <c r="AM3" i="7"/>
  <c r="AM2" i="7"/>
  <c r="AM11" i="7"/>
  <c r="AM9" i="7"/>
  <c r="AN9" i="7"/>
  <c r="AL6" i="7"/>
  <c r="AL3" i="7"/>
  <c r="AL2" i="7"/>
  <c r="C1" i="7"/>
  <c r="E78" i="38"/>
  <c r="E79" i="38"/>
  <c r="AN16" i="7"/>
  <c r="AN17" i="7"/>
  <c r="E59" i="37"/>
  <c r="E60" i="37"/>
  <c r="E40" i="38"/>
  <c r="N77" i="38"/>
  <c r="N39" i="37"/>
  <c r="M21" i="38"/>
  <c r="N77" i="37"/>
  <c r="N80" i="37"/>
  <c r="J78" i="37"/>
  <c r="H52" i="38"/>
  <c r="P89" i="36"/>
  <c r="L52" i="38"/>
  <c r="D98" i="37"/>
  <c r="J79" i="37"/>
  <c r="N81" i="37"/>
  <c r="I51" i="36"/>
  <c r="I79" i="38"/>
  <c r="I80" i="38"/>
  <c r="J80" i="38"/>
  <c r="N59" i="38"/>
  <c r="N78" i="37"/>
  <c r="N79" i="37"/>
  <c r="J77" i="38"/>
  <c r="P77" i="38"/>
  <c r="F58" i="37"/>
  <c r="L101" i="37"/>
  <c r="J58" i="37"/>
  <c r="J58" i="38"/>
  <c r="L90" i="38"/>
  <c r="M90" i="38"/>
  <c r="H97" i="37"/>
  <c r="H104" i="37"/>
  <c r="H98" i="37"/>
  <c r="L52" i="37"/>
  <c r="AN4" i="7"/>
  <c r="AP4" i="7"/>
  <c r="AQ4" i="7"/>
  <c r="E21" i="38"/>
  <c r="F21" i="38"/>
  <c r="F41" i="37"/>
  <c r="L96" i="37"/>
  <c r="AN6" i="7"/>
  <c r="N40" i="37"/>
  <c r="F40" i="38"/>
  <c r="M40" i="38"/>
  <c r="N40" i="38"/>
  <c r="N39" i="38"/>
  <c r="F40" i="37"/>
  <c r="F42" i="37"/>
  <c r="P51" i="36"/>
  <c r="J39" i="38"/>
  <c r="E51" i="36"/>
  <c r="D105" i="37"/>
  <c r="E105" i="37" s="1"/>
  <c r="I70" i="36"/>
  <c r="F78" i="37"/>
  <c r="E89" i="36"/>
  <c r="M82" i="37"/>
  <c r="N82" i="37"/>
  <c r="D100" i="37"/>
  <c r="J77" i="37"/>
  <c r="P77" i="37"/>
  <c r="J39" i="37"/>
  <c r="P39" i="37"/>
  <c r="F39" i="38"/>
  <c r="AP15" i="7"/>
  <c r="AQ15" i="7"/>
  <c r="AK12" i="7"/>
  <c r="M51" i="36"/>
  <c r="H71" i="37"/>
  <c r="L90" i="37"/>
  <c r="M90" i="37"/>
  <c r="D52" i="38"/>
  <c r="F58" i="38"/>
  <c r="L71" i="38"/>
  <c r="M71" i="38"/>
  <c r="AK17" i="7"/>
  <c r="AK18" i="7"/>
  <c r="AP16" i="7"/>
  <c r="AQ16" i="7"/>
  <c r="AN10" i="7"/>
  <c r="AP10" i="7"/>
  <c r="AQ10" i="7"/>
  <c r="AP9" i="7"/>
  <c r="AQ9" i="7"/>
  <c r="D52" i="37"/>
  <c r="H52" i="37"/>
  <c r="AN2" i="7"/>
  <c r="AP2" i="7"/>
  <c r="AQ2" i="7"/>
  <c r="F43" i="37"/>
  <c r="J40" i="37"/>
  <c r="J41" i="37"/>
  <c r="N78" i="38"/>
  <c r="P78" i="38"/>
  <c r="M79" i="38"/>
  <c r="I60" i="37"/>
  <c r="J59" i="37"/>
  <c r="AN3" i="7"/>
  <c r="AP3" i="7"/>
  <c r="AQ3" i="7"/>
  <c r="N59" i="37"/>
  <c r="M22" i="38"/>
  <c r="M23" i="38"/>
  <c r="H90" i="38"/>
  <c r="N60" i="38"/>
  <c r="H105" i="37"/>
  <c r="N58" i="37"/>
  <c r="AP17" i="7"/>
  <c r="AQ17" i="7"/>
  <c r="AN18" i="7"/>
  <c r="AP18" i="7"/>
  <c r="AQ18" i="7"/>
  <c r="E80" i="37"/>
  <c r="F79" i="37"/>
  <c r="I80" i="37"/>
  <c r="N61" i="38"/>
  <c r="M62" i="38"/>
  <c r="N62" i="38"/>
  <c r="AP6" i="7"/>
  <c r="AQ6" i="7"/>
  <c r="F59" i="37"/>
  <c r="AK5" i="7"/>
  <c r="D71" i="37"/>
  <c r="D90" i="37"/>
  <c r="H90" i="37"/>
  <c r="L106" i="38"/>
  <c r="D71" i="38"/>
  <c r="N58" i="38"/>
  <c r="H71" i="38"/>
  <c r="D103" i="37"/>
  <c r="H103" i="37"/>
  <c r="D90" i="38"/>
  <c r="H106" i="37"/>
  <c r="E80" i="38"/>
  <c r="F79" i="38"/>
  <c r="N61" i="37"/>
  <c r="M62" i="37"/>
  <c r="E61" i="37"/>
  <c r="F60" i="37"/>
  <c r="N60" i="37"/>
  <c r="E41" i="38"/>
  <c r="F78" i="38"/>
  <c r="L71" i="37"/>
  <c r="M71" i="37"/>
  <c r="H105" i="38"/>
  <c r="H103" i="38"/>
  <c r="H100" i="38"/>
  <c r="I40" i="38"/>
  <c r="I21" i="37"/>
  <c r="D102" i="38"/>
  <c r="D100" i="38"/>
  <c r="D98" i="38"/>
  <c r="L100" i="38"/>
  <c r="L99" i="38"/>
  <c r="M99" i="38" s="1"/>
  <c r="L98" i="38"/>
  <c r="H97" i="38"/>
  <c r="D105" i="38"/>
  <c r="E105" i="38" s="1"/>
  <c r="D97" i="38"/>
  <c r="E97" i="38" s="1"/>
  <c r="I60" i="38"/>
  <c r="J59" i="38"/>
  <c r="F59" i="38"/>
  <c r="E60" i="38"/>
  <c r="I22" i="38"/>
  <c r="J21" i="38"/>
  <c r="I22" i="37"/>
  <c r="I23" i="37"/>
  <c r="I24" i="37"/>
  <c r="I25" i="37"/>
  <c r="I27" i="37"/>
  <c r="I28" i="37"/>
  <c r="I29" i="37"/>
  <c r="I30" i="37"/>
  <c r="I31" i="37"/>
  <c r="P40" i="37"/>
  <c r="P78" i="37"/>
  <c r="I81" i="38"/>
  <c r="I82" i="38"/>
  <c r="P58" i="38"/>
  <c r="P79" i="37"/>
  <c r="M41" i="38"/>
  <c r="N41" i="38"/>
  <c r="J79" i="38"/>
  <c r="P39" i="38"/>
  <c r="P58" i="37"/>
  <c r="E22" i="38"/>
  <c r="E23" i="38"/>
  <c r="N23" i="37"/>
  <c r="M63" i="38"/>
  <c r="N63" i="38"/>
  <c r="F97" i="38"/>
  <c r="F44" i="37"/>
  <c r="N22" i="38"/>
  <c r="AN5" i="7"/>
  <c r="AP5" i="7"/>
  <c r="AQ5" i="7"/>
  <c r="AN11" i="7"/>
  <c r="AP11" i="7"/>
  <c r="AQ11" i="7"/>
  <c r="M83" i="37"/>
  <c r="N41" i="37"/>
  <c r="M46" i="37"/>
  <c r="M47" i="37"/>
  <c r="M48" i="37"/>
  <c r="M49" i="37"/>
  <c r="M50" i="37"/>
  <c r="I61" i="37"/>
  <c r="J60" i="37"/>
  <c r="P60" i="37"/>
  <c r="M80" i="38"/>
  <c r="N79" i="38"/>
  <c r="P59" i="37"/>
  <c r="M24" i="38"/>
  <c r="I81" i="37"/>
  <c r="J80" i="37"/>
  <c r="P80" i="37"/>
  <c r="F45" i="37"/>
  <c r="E81" i="37"/>
  <c r="F80" i="37"/>
  <c r="J21" i="37"/>
  <c r="I41" i="38"/>
  <c r="J40" i="38"/>
  <c r="J97" i="38"/>
  <c r="I97" i="38" s="1"/>
  <c r="N62" i="37"/>
  <c r="M63" i="37"/>
  <c r="E81" i="38"/>
  <c r="F80" i="38"/>
  <c r="F41" i="38"/>
  <c r="E42" i="38"/>
  <c r="J22" i="37"/>
  <c r="E62" i="37"/>
  <c r="F61" i="37"/>
  <c r="F22" i="37"/>
  <c r="F98" i="37" s="1"/>
  <c r="N24" i="37"/>
  <c r="N100" i="37" s="1"/>
  <c r="M100" i="37" s="1"/>
  <c r="I61" i="38"/>
  <c r="J60" i="38"/>
  <c r="P60" i="38"/>
  <c r="P59" i="38"/>
  <c r="F60" i="38"/>
  <c r="E61" i="38"/>
  <c r="I23" i="38"/>
  <c r="J81" i="38"/>
  <c r="P79" i="38"/>
  <c r="M42" i="38"/>
  <c r="F22" i="38"/>
  <c r="F98" i="38" s="1"/>
  <c r="J42" i="37"/>
  <c r="I46" i="37"/>
  <c r="I47" i="37"/>
  <c r="I48" i="37"/>
  <c r="I49" i="37"/>
  <c r="I50" i="37"/>
  <c r="M64" i="38"/>
  <c r="M65" i="38"/>
  <c r="E24" i="38"/>
  <c r="P41" i="37"/>
  <c r="J97" i="37"/>
  <c r="AN12" i="7"/>
  <c r="AP12" i="7"/>
  <c r="AQ12" i="7"/>
  <c r="N83" i="37"/>
  <c r="M84" i="37"/>
  <c r="N98" i="38"/>
  <c r="M98" i="38" s="1"/>
  <c r="M81" i="38"/>
  <c r="N80" i="38"/>
  <c r="P80" i="38"/>
  <c r="I62" i="37"/>
  <c r="J61" i="37"/>
  <c r="P61" i="37"/>
  <c r="N42" i="37"/>
  <c r="M25" i="38"/>
  <c r="N24" i="38"/>
  <c r="N100" i="38" s="1"/>
  <c r="F46" i="37"/>
  <c r="J81" i="37"/>
  <c r="P81" i="37"/>
  <c r="I82" i="37"/>
  <c r="F81" i="37"/>
  <c r="E82" i="37"/>
  <c r="J82" i="38"/>
  <c r="I83" i="38"/>
  <c r="N25" i="37"/>
  <c r="N101" i="37" s="1"/>
  <c r="F42" i="38"/>
  <c r="E43" i="38"/>
  <c r="P40" i="38"/>
  <c r="J41" i="38"/>
  <c r="P41" i="38"/>
  <c r="I42" i="38"/>
  <c r="E63" i="37"/>
  <c r="F62" i="37"/>
  <c r="F81" i="38"/>
  <c r="E82" i="38"/>
  <c r="M64" i="37"/>
  <c r="N63" i="37"/>
  <c r="I62" i="38"/>
  <c r="J61" i="38"/>
  <c r="P61" i="38"/>
  <c r="F61" i="38"/>
  <c r="E62" i="38"/>
  <c r="I24" i="38"/>
  <c r="M43" i="38"/>
  <c r="N42" i="38"/>
  <c r="N64" i="38"/>
  <c r="F24" i="38"/>
  <c r="F100" i="38" s="1"/>
  <c r="E25" i="38"/>
  <c r="I97" i="37"/>
  <c r="J43" i="37"/>
  <c r="M85" i="37"/>
  <c r="N84" i="37"/>
  <c r="J62" i="37"/>
  <c r="P62" i="37"/>
  <c r="I63" i="37"/>
  <c r="N81" i="38"/>
  <c r="P81" i="38"/>
  <c r="M82" i="38"/>
  <c r="N43" i="37"/>
  <c r="P42" i="37"/>
  <c r="N99" i="37"/>
  <c r="M99" i="37" s="1"/>
  <c r="I84" i="38"/>
  <c r="J83" i="38"/>
  <c r="F47" i="37"/>
  <c r="E83" i="37"/>
  <c r="F82" i="37"/>
  <c r="I83" i="37"/>
  <c r="J82" i="37"/>
  <c r="P82" i="37"/>
  <c r="M26" i="38"/>
  <c r="F63" i="37"/>
  <c r="E64" i="37"/>
  <c r="F24" i="37"/>
  <c r="F100" i="37" s="1"/>
  <c r="E100" i="37" s="1"/>
  <c r="E44" i="38"/>
  <c r="F43" i="38"/>
  <c r="I43" i="38"/>
  <c r="J42" i="38"/>
  <c r="M65" i="37"/>
  <c r="N64" i="37"/>
  <c r="F82" i="38"/>
  <c r="E83" i="38"/>
  <c r="N65" i="38"/>
  <c r="M66" i="38"/>
  <c r="J62" i="38"/>
  <c r="P62" i="38"/>
  <c r="I63" i="38"/>
  <c r="F62" i="38"/>
  <c r="E63" i="38"/>
  <c r="I25" i="38"/>
  <c r="J24" i="38"/>
  <c r="J100" i="38" s="1"/>
  <c r="P42" i="38"/>
  <c r="N43" i="38"/>
  <c r="M44" i="38"/>
  <c r="E26" i="38"/>
  <c r="J44" i="37"/>
  <c r="M86" i="37"/>
  <c r="N85" i="37"/>
  <c r="N82" i="38"/>
  <c r="P82" i="38"/>
  <c r="M83" i="38"/>
  <c r="N44" i="37"/>
  <c r="J63" i="37"/>
  <c r="P63" i="37"/>
  <c r="I64" i="37"/>
  <c r="P43" i="37"/>
  <c r="I85" i="38"/>
  <c r="J84" i="38"/>
  <c r="M27" i="38"/>
  <c r="J83" i="37"/>
  <c r="P83" i="37"/>
  <c r="I84" i="37"/>
  <c r="F48" i="37"/>
  <c r="F83" i="37"/>
  <c r="E84" i="37"/>
  <c r="N66" i="38"/>
  <c r="M67" i="38"/>
  <c r="I44" i="38"/>
  <c r="J43" i="38"/>
  <c r="F44" i="38"/>
  <c r="E45" i="38"/>
  <c r="F64" i="37"/>
  <c r="E65" i="37"/>
  <c r="E84" i="38"/>
  <c r="F83" i="38"/>
  <c r="M66" i="37"/>
  <c r="N65" i="37"/>
  <c r="J63" i="38"/>
  <c r="P63" i="38"/>
  <c r="I64" i="38"/>
  <c r="F63" i="38"/>
  <c r="E64" i="38"/>
  <c r="I26" i="38"/>
  <c r="N44" i="38"/>
  <c r="M45" i="38"/>
  <c r="E27" i="38"/>
  <c r="F26" i="38"/>
  <c r="F102" i="38" s="1"/>
  <c r="J45" i="37"/>
  <c r="N86" i="37"/>
  <c r="M87" i="37"/>
  <c r="N45" i="37"/>
  <c r="P44" i="37"/>
  <c r="M84" i="38"/>
  <c r="N83" i="38"/>
  <c r="P83" i="38"/>
  <c r="J64" i="37"/>
  <c r="I65" i="37"/>
  <c r="M28" i="38"/>
  <c r="E85" i="37"/>
  <c r="F84" i="37"/>
  <c r="J84" i="37"/>
  <c r="P84" i="37"/>
  <c r="I85" i="37"/>
  <c r="I86" i="38"/>
  <c r="J85" i="38"/>
  <c r="F49" i="37"/>
  <c r="F50" i="37"/>
  <c r="F84" i="38"/>
  <c r="E85" i="38"/>
  <c r="I45" i="38"/>
  <c r="J44" i="38"/>
  <c r="J27" i="37"/>
  <c r="J103" i="37" s="1"/>
  <c r="I103" i="37" s="1"/>
  <c r="F65" i="37"/>
  <c r="E66" i="37"/>
  <c r="E46" i="38"/>
  <c r="F45" i="38"/>
  <c r="N67" i="38"/>
  <c r="M68" i="38"/>
  <c r="M67" i="37"/>
  <c r="N66" i="37"/>
  <c r="P43" i="38"/>
  <c r="J64" i="38"/>
  <c r="I65" i="38"/>
  <c r="E65" i="38"/>
  <c r="F64" i="38"/>
  <c r="I27" i="38"/>
  <c r="P44" i="38"/>
  <c r="N45" i="38"/>
  <c r="M46" i="38"/>
  <c r="E28" i="38"/>
  <c r="J46" i="37"/>
  <c r="N87" i="37"/>
  <c r="M88" i="37"/>
  <c r="N88" i="37"/>
  <c r="N84" i="38"/>
  <c r="P84" i="38"/>
  <c r="M85" i="38"/>
  <c r="N46" i="37"/>
  <c r="P64" i="37"/>
  <c r="F52" i="37"/>
  <c r="E52" i="37"/>
  <c r="J65" i="37"/>
  <c r="P65" i="37"/>
  <c r="I66" i="37"/>
  <c r="P45" i="37"/>
  <c r="J86" i="38"/>
  <c r="I87" i="38"/>
  <c r="F85" i="37"/>
  <c r="E86" i="37"/>
  <c r="I86" i="37"/>
  <c r="J85" i="37"/>
  <c r="P85" i="37"/>
  <c r="M29" i="38"/>
  <c r="N29" i="37"/>
  <c r="N105" i="37" s="1"/>
  <c r="N68" i="38"/>
  <c r="M69" i="38"/>
  <c r="N69" i="38"/>
  <c r="E47" i="38"/>
  <c r="F46" i="38"/>
  <c r="F27" i="37"/>
  <c r="F103" i="37" s="1"/>
  <c r="E103" i="37" s="1"/>
  <c r="I46" i="38"/>
  <c r="J45" i="38"/>
  <c r="M68" i="37"/>
  <c r="N67" i="37"/>
  <c r="F66" i="37"/>
  <c r="E67" i="37"/>
  <c r="J28" i="37"/>
  <c r="E86" i="38"/>
  <c r="F85" i="38"/>
  <c r="I66" i="38"/>
  <c r="J65" i="38"/>
  <c r="P65" i="38"/>
  <c r="P64" i="38"/>
  <c r="F65" i="38"/>
  <c r="E66" i="38"/>
  <c r="J27" i="38"/>
  <c r="I28" i="38"/>
  <c r="M47" i="38"/>
  <c r="N46" i="38"/>
  <c r="E29" i="38"/>
  <c r="J47" i="37"/>
  <c r="N90" i="37"/>
  <c r="P46" i="37"/>
  <c r="J66" i="37"/>
  <c r="P66" i="37"/>
  <c r="I67" i="37"/>
  <c r="N47" i="37"/>
  <c r="M86" i="38"/>
  <c r="N85" i="38"/>
  <c r="P85" i="38"/>
  <c r="N71" i="38"/>
  <c r="N29" i="38"/>
  <c r="M30" i="38"/>
  <c r="J86" i="37"/>
  <c r="P86" i="37"/>
  <c r="I87" i="37"/>
  <c r="E87" i="37"/>
  <c r="F86" i="37"/>
  <c r="I88" i="38"/>
  <c r="J88" i="38"/>
  <c r="J87" i="38"/>
  <c r="F28" i="37"/>
  <c r="F104" i="37" s="1"/>
  <c r="E87" i="38"/>
  <c r="F86" i="38"/>
  <c r="N68" i="37"/>
  <c r="M69" i="37"/>
  <c r="N69" i="37"/>
  <c r="N30" i="37"/>
  <c r="N106" i="37" s="1"/>
  <c r="F67" i="37"/>
  <c r="E68" i="37"/>
  <c r="P45" i="38"/>
  <c r="E48" i="38"/>
  <c r="F47" i="38"/>
  <c r="J29" i="37"/>
  <c r="J105" i="37" s="1"/>
  <c r="P105" i="37" s="1"/>
  <c r="J46" i="38"/>
  <c r="I47" i="38"/>
  <c r="I67" i="38"/>
  <c r="J66" i="38"/>
  <c r="P66" i="38"/>
  <c r="E67" i="38"/>
  <c r="F66" i="38"/>
  <c r="I29" i="38"/>
  <c r="P46" i="38"/>
  <c r="N47" i="38"/>
  <c r="M48" i="38"/>
  <c r="E30" i="38"/>
  <c r="J48" i="37"/>
  <c r="P47" i="37"/>
  <c r="N48" i="37"/>
  <c r="M87" i="38"/>
  <c r="N86" i="38"/>
  <c r="P86" i="38"/>
  <c r="J67" i="37"/>
  <c r="P67" i="37"/>
  <c r="I68" i="37"/>
  <c r="J87" i="37"/>
  <c r="I88" i="37"/>
  <c r="J88" i="37"/>
  <c r="P88" i="37"/>
  <c r="N30" i="38"/>
  <c r="N106" i="38" s="1"/>
  <c r="M31" i="38"/>
  <c r="J90" i="38"/>
  <c r="I90" i="38"/>
  <c r="E88" i="37"/>
  <c r="F88" i="37"/>
  <c r="F87" i="37"/>
  <c r="F68" i="37"/>
  <c r="E69" i="37"/>
  <c r="F69" i="37"/>
  <c r="E49" i="38"/>
  <c r="F48" i="38"/>
  <c r="J30" i="37"/>
  <c r="J47" i="38"/>
  <c r="I48" i="38"/>
  <c r="N71" i="37"/>
  <c r="F87" i="38"/>
  <c r="E88" i="38"/>
  <c r="F88" i="38"/>
  <c r="I68" i="38"/>
  <c r="J67" i="38"/>
  <c r="P67" i="38"/>
  <c r="E68" i="38"/>
  <c r="F67" i="38"/>
  <c r="J29" i="38"/>
  <c r="I30" i="38"/>
  <c r="P47" i="38"/>
  <c r="N48" i="38"/>
  <c r="M49" i="38"/>
  <c r="E31" i="38"/>
  <c r="J49" i="37"/>
  <c r="J50" i="37"/>
  <c r="F90" i="37"/>
  <c r="E90" i="37"/>
  <c r="N50" i="37"/>
  <c r="N49" i="37"/>
  <c r="M88" i="38"/>
  <c r="N88" i="38"/>
  <c r="P88" i="38"/>
  <c r="N87" i="38"/>
  <c r="P48" i="37"/>
  <c r="F71" i="37"/>
  <c r="E71" i="37"/>
  <c r="J68" i="37"/>
  <c r="P68" i="37"/>
  <c r="I69" i="37"/>
  <c r="J69" i="37"/>
  <c r="P69" i="37"/>
  <c r="P87" i="37"/>
  <c r="P90" i="37"/>
  <c r="J90" i="37"/>
  <c r="I90" i="37"/>
  <c r="F90" i="38"/>
  <c r="E90" i="38"/>
  <c r="I49" i="38"/>
  <c r="J48" i="38"/>
  <c r="F49" i="38"/>
  <c r="E50" i="38"/>
  <c r="F50" i="38"/>
  <c r="P30" i="37"/>
  <c r="I69" i="38"/>
  <c r="J69" i="38"/>
  <c r="J68" i="38"/>
  <c r="P68" i="38"/>
  <c r="F68" i="38"/>
  <c r="E69" i="38"/>
  <c r="F69" i="38"/>
  <c r="J30" i="38"/>
  <c r="P30" i="38" s="1"/>
  <c r="I31" i="38"/>
  <c r="P48" i="38"/>
  <c r="M50" i="38"/>
  <c r="N50" i="38"/>
  <c r="N49" i="38"/>
  <c r="J52" i="37"/>
  <c r="I52" i="37"/>
  <c r="J106" i="37"/>
  <c r="I106" i="37" s="1"/>
  <c r="P71" i="37"/>
  <c r="P49" i="37"/>
  <c r="N52" i="37"/>
  <c r="M52" i="37"/>
  <c r="N90" i="38"/>
  <c r="P87" i="38"/>
  <c r="P90" i="38"/>
  <c r="J71" i="37"/>
  <c r="I71" i="37"/>
  <c r="P50" i="37"/>
  <c r="F71" i="38"/>
  <c r="E71" i="38"/>
  <c r="J49" i="38"/>
  <c r="I50" i="38"/>
  <c r="J50" i="38"/>
  <c r="J105" i="38"/>
  <c r="I105" i="38" s="1"/>
  <c r="F52" i="38"/>
  <c r="E52" i="38"/>
  <c r="P69" i="38"/>
  <c r="P71" i="38"/>
  <c r="J71" i="38"/>
  <c r="I71" i="38"/>
  <c r="N52" i="38"/>
  <c r="M52" i="38"/>
  <c r="P49" i="38"/>
  <c r="P52" i="37"/>
  <c r="P50" i="38"/>
  <c r="J52" i="38"/>
  <c r="I52" i="38"/>
  <c r="M106" i="38"/>
  <c r="P52" i="38"/>
  <c r="K52" i="62"/>
  <c r="K54" i="62"/>
  <c r="C32" i="90"/>
  <c r="C184" i="90"/>
  <c r="I138" i="90"/>
  <c r="I66" i="90"/>
  <c r="I63" i="90"/>
  <c r="I150" i="90"/>
  <c r="I74" i="90"/>
  <c r="I98" i="90"/>
  <c r="I44" i="90"/>
  <c r="I85" i="90"/>
  <c r="I57" i="90"/>
  <c r="I99" i="90"/>
  <c r="I105" i="90"/>
  <c r="I58" i="90"/>
  <c r="I128" i="90"/>
  <c r="I82" i="90"/>
  <c r="I48" i="90"/>
  <c r="I80" i="90"/>
  <c r="I110" i="90"/>
  <c r="I171" i="90"/>
  <c r="I90" i="90"/>
  <c r="I139" i="90"/>
  <c r="I179" i="90"/>
  <c r="I175" i="90"/>
  <c r="I55" i="90"/>
  <c r="I111" i="90"/>
  <c r="I120" i="90"/>
  <c r="I113" i="90"/>
  <c r="I136" i="90"/>
  <c r="I156" i="90"/>
  <c r="I161" i="90"/>
  <c r="I122" i="90"/>
  <c r="I92" i="90"/>
  <c r="I176" i="90"/>
  <c r="I36" i="90"/>
  <c r="I97" i="90"/>
  <c r="I124" i="90"/>
  <c r="I126" i="90"/>
  <c r="I71" i="90"/>
  <c r="I169" i="90"/>
  <c r="I134" i="90"/>
  <c r="I50" i="90"/>
  <c r="I76" i="90"/>
  <c r="I68" i="90"/>
  <c r="I127" i="90"/>
  <c r="I56" i="90"/>
  <c r="I89" i="90"/>
  <c r="I141" i="90"/>
  <c r="I154" i="90"/>
  <c r="I114" i="90"/>
  <c r="I47" i="90"/>
  <c r="I40" i="90"/>
  <c r="I146" i="90"/>
  <c r="I84" i="90"/>
  <c r="I137" i="90"/>
  <c r="I165" i="90"/>
  <c r="I125" i="90"/>
  <c r="I153" i="90"/>
  <c r="I152" i="90"/>
  <c r="I129" i="90"/>
  <c r="I166" i="90"/>
  <c r="I53" i="90"/>
  <c r="I88" i="90"/>
  <c r="I149" i="90"/>
  <c r="I131" i="90"/>
  <c r="I77" i="90"/>
  <c r="I100" i="90"/>
  <c r="I159" i="90"/>
  <c r="I72" i="90"/>
  <c r="I177" i="90"/>
  <c r="I70" i="90"/>
  <c r="I143" i="90"/>
  <c r="I91" i="90"/>
  <c r="I42" i="90"/>
  <c r="I35" i="90"/>
  <c r="I123" i="90"/>
  <c r="I52" i="90"/>
  <c r="I144" i="90"/>
  <c r="I69" i="90"/>
  <c r="I115" i="90"/>
  <c r="I168" i="90"/>
  <c r="I96" i="90"/>
  <c r="I178" i="90"/>
  <c r="I65" i="90"/>
  <c r="I147" i="90"/>
  <c r="I121" i="90"/>
  <c r="I170" i="90"/>
  <c r="I51" i="90"/>
  <c r="I182" i="90"/>
  <c r="I75" i="90"/>
  <c r="I94" i="90"/>
  <c r="I135" i="90"/>
  <c r="I112" i="90"/>
  <c r="I81" i="90"/>
  <c r="I93" i="90"/>
  <c r="I46" i="90"/>
  <c r="I41" i="90"/>
  <c r="I45" i="90"/>
  <c r="I118" i="90"/>
  <c r="I180" i="90"/>
  <c r="I102" i="90"/>
  <c r="I163" i="90"/>
  <c r="I104" i="90"/>
  <c r="I67" i="90"/>
  <c r="I157" i="90"/>
  <c r="I183" i="90"/>
  <c r="I87" i="90"/>
  <c r="I54" i="90"/>
  <c r="I117" i="90"/>
  <c r="I64" i="90"/>
  <c r="I174" i="90"/>
  <c r="I151" i="90"/>
  <c r="I162" i="90"/>
  <c r="I34" i="90"/>
  <c r="I101" i="90"/>
  <c r="I140" i="90"/>
  <c r="I86" i="90"/>
  <c r="I108" i="90"/>
  <c r="I164" i="90"/>
  <c r="I172" i="90"/>
  <c r="I39" i="90"/>
  <c r="I59" i="90"/>
  <c r="I43" i="90"/>
  <c r="I145" i="90"/>
  <c r="I167" i="90"/>
  <c r="I173" i="90"/>
  <c r="I95" i="90"/>
  <c r="I106" i="90"/>
  <c r="I119" i="90"/>
  <c r="I160" i="90"/>
  <c r="I103" i="90"/>
  <c r="I155" i="90"/>
  <c r="I133" i="90"/>
  <c r="I148" i="90"/>
  <c r="I142" i="90"/>
  <c r="I62" i="90"/>
  <c r="I79" i="90"/>
  <c r="I73" i="90"/>
  <c r="I158" i="90"/>
  <c r="I61" i="90"/>
  <c r="I37" i="90"/>
  <c r="I49" i="90"/>
  <c r="I78" i="90"/>
  <c r="I83" i="90"/>
  <c r="I116" i="90"/>
  <c r="I130" i="90"/>
  <c r="I107" i="90"/>
  <c r="I109" i="90"/>
  <c r="I38" i="90"/>
  <c r="I132" i="90"/>
  <c r="I60" i="90"/>
  <c r="I181" i="90"/>
  <c r="I184" i="90"/>
  <c r="C24" i="90"/>
  <c r="C28" i="90"/>
  <c r="J45" i="90"/>
  <c r="K45" i="90"/>
  <c r="L45" i="90"/>
  <c r="J95" i="90"/>
  <c r="K95" i="90"/>
  <c r="L95" i="90"/>
  <c r="J69" i="90"/>
  <c r="K69" i="90"/>
  <c r="L69" i="90"/>
  <c r="J178" i="90"/>
  <c r="K178" i="90"/>
  <c r="L178" i="90"/>
  <c r="J77" i="90"/>
  <c r="K77" i="90"/>
  <c r="L77" i="90"/>
  <c r="J180" i="90"/>
  <c r="K180" i="90"/>
  <c r="L180" i="90"/>
  <c r="J91" i="90"/>
  <c r="K91" i="90"/>
  <c r="L91" i="90"/>
  <c r="J75" i="90"/>
  <c r="K75" i="90"/>
  <c r="L75" i="90"/>
  <c r="J142" i="90"/>
  <c r="K142" i="90"/>
  <c r="L142" i="90"/>
  <c r="J42" i="90"/>
  <c r="K42" i="90"/>
  <c r="L42" i="90"/>
  <c r="J169" i="90"/>
  <c r="K169" i="90"/>
  <c r="L169" i="90"/>
  <c r="J67" i="90"/>
  <c r="K67" i="90"/>
  <c r="L67" i="90"/>
  <c r="J105" i="90"/>
  <c r="K105" i="90"/>
  <c r="L105" i="90"/>
  <c r="J52" i="90"/>
  <c r="K52" i="90"/>
  <c r="L52" i="90"/>
  <c r="J37" i="90"/>
  <c r="K37" i="90"/>
  <c r="J163" i="90"/>
  <c r="K163" i="90"/>
  <c r="L163" i="90"/>
  <c r="J122" i="90"/>
  <c r="K122" i="90"/>
  <c r="L122" i="90"/>
  <c r="J46" i="90"/>
  <c r="K46" i="90"/>
  <c r="L46" i="90"/>
  <c r="J63" i="90"/>
  <c r="K63" i="90"/>
  <c r="L63" i="90"/>
  <c r="J72" i="90"/>
  <c r="K72" i="90"/>
  <c r="L72" i="90"/>
  <c r="J133" i="90"/>
  <c r="K133" i="90"/>
  <c r="L133" i="90"/>
  <c r="J96" i="90"/>
  <c r="K96" i="90"/>
  <c r="L96" i="90"/>
  <c r="J103" i="90"/>
  <c r="K103" i="90"/>
  <c r="L103" i="90"/>
  <c r="J40" i="90"/>
  <c r="K40" i="90"/>
  <c r="J55" i="90"/>
  <c r="K55" i="90"/>
  <c r="L55" i="90"/>
  <c r="J150" i="90"/>
  <c r="K150" i="90"/>
  <c r="L150" i="90"/>
  <c r="J71" i="90"/>
  <c r="K71" i="90"/>
  <c r="L71" i="90"/>
  <c r="J57" i="90"/>
  <c r="K57" i="90"/>
  <c r="L57" i="90"/>
  <c r="J35" i="90"/>
  <c r="K35" i="90"/>
  <c r="L35" i="90"/>
  <c r="J158" i="90"/>
  <c r="K158" i="90"/>
  <c r="L158" i="90"/>
  <c r="J121" i="90"/>
  <c r="K121" i="90"/>
  <c r="L121" i="90"/>
  <c r="J68" i="90"/>
  <c r="K68" i="90"/>
  <c r="L68" i="90"/>
  <c r="J54" i="90"/>
  <c r="K54" i="90"/>
  <c r="L54" i="90"/>
  <c r="J48" i="90"/>
  <c r="K48" i="90"/>
  <c r="L48" i="90"/>
  <c r="J168" i="90"/>
  <c r="K168" i="90"/>
  <c r="L168" i="90"/>
  <c r="J116" i="90"/>
  <c r="K116" i="90"/>
  <c r="L116" i="90"/>
  <c r="J34" i="90"/>
  <c r="K34" i="90"/>
  <c r="J181" i="90"/>
  <c r="K181" i="90"/>
  <c r="L181" i="90"/>
  <c r="J41" i="90"/>
  <c r="K41" i="90"/>
  <c r="L41" i="90"/>
  <c r="J130" i="90"/>
  <c r="K130" i="90"/>
  <c r="L130" i="90"/>
  <c r="J84" i="90"/>
  <c r="K84" i="90"/>
  <c r="L84" i="90"/>
  <c r="C29" i="90"/>
  <c r="J101" i="90"/>
  <c r="K101" i="90"/>
  <c r="L101" i="90"/>
  <c r="J66" i="90"/>
  <c r="K66" i="90"/>
  <c r="L66" i="90"/>
  <c r="J53" i="90"/>
  <c r="K53" i="90"/>
  <c r="L53" i="90"/>
  <c r="J157" i="90"/>
  <c r="K157" i="90"/>
  <c r="L157" i="90"/>
  <c r="J179" i="90"/>
  <c r="K179" i="90"/>
  <c r="L179" i="90"/>
  <c r="J60" i="90"/>
  <c r="K60" i="90"/>
  <c r="L60" i="90"/>
  <c r="J108" i="90"/>
  <c r="K108" i="90"/>
  <c r="L108" i="90"/>
  <c r="J165" i="90"/>
  <c r="K165" i="90"/>
  <c r="L165" i="90"/>
  <c r="J61" i="90"/>
  <c r="K61" i="90"/>
  <c r="L61" i="90"/>
  <c r="J136" i="90"/>
  <c r="K136" i="90"/>
  <c r="L136" i="90"/>
  <c r="J112" i="90"/>
  <c r="K112" i="90"/>
  <c r="L112" i="90"/>
  <c r="J85" i="90"/>
  <c r="K85" i="90"/>
  <c r="L85" i="90"/>
  <c r="J148" i="90"/>
  <c r="K148" i="90"/>
  <c r="L148" i="90"/>
  <c r="J141" i="90"/>
  <c r="K141" i="90"/>
  <c r="L141" i="90"/>
  <c r="J140" i="90"/>
  <c r="K140" i="90"/>
  <c r="L140" i="90"/>
  <c r="J90" i="90"/>
  <c r="K90" i="90"/>
  <c r="L90" i="90"/>
  <c r="J147" i="90"/>
  <c r="K147" i="90"/>
  <c r="L147" i="90"/>
  <c r="J38" i="90"/>
  <c r="K38" i="90"/>
  <c r="J110" i="90"/>
  <c r="K110" i="90"/>
  <c r="L110" i="90"/>
  <c r="J145" i="90"/>
  <c r="K145" i="90"/>
  <c r="L145" i="90"/>
  <c r="J65" i="90"/>
  <c r="K65" i="90"/>
  <c r="L65" i="90"/>
  <c r="J125" i="90"/>
  <c r="K125" i="90"/>
  <c r="L125" i="90"/>
  <c r="J114" i="90"/>
  <c r="K114" i="90"/>
  <c r="L114" i="90"/>
  <c r="J137" i="90"/>
  <c r="K137" i="90"/>
  <c r="L137" i="90"/>
  <c r="J120" i="90"/>
  <c r="K120" i="90"/>
  <c r="L120" i="90"/>
  <c r="J94" i="90"/>
  <c r="K94" i="90"/>
  <c r="L94" i="90"/>
  <c r="J151" i="90"/>
  <c r="K151" i="90"/>
  <c r="L151" i="90"/>
  <c r="J160" i="90"/>
  <c r="K160" i="90"/>
  <c r="L160" i="90"/>
  <c r="J129" i="90"/>
  <c r="K129" i="90"/>
  <c r="L129" i="90"/>
  <c r="J92" i="90"/>
  <c r="K92" i="90"/>
  <c r="L92" i="90"/>
  <c r="J58" i="90"/>
  <c r="K58" i="90"/>
  <c r="L58" i="90"/>
  <c r="J89" i="90"/>
  <c r="K89" i="90"/>
  <c r="L89" i="90"/>
  <c r="J172" i="90"/>
  <c r="K172" i="90"/>
  <c r="L172" i="90"/>
  <c r="J138" i="90"/>
  <c r="K138" i="90"/>
  <c r="L138" i="90"/>
  <c r="J107" i="90"/>
  <c r="K107" i="90"/>
  <c r="L107" i="90"/>
  <c r="J97" i="90"/>
  <c r="K97" i="90"/>
  <c r="L97" i="90"/>
  <c r="J44" i="90"/>
  <c r="K44" i="90"/>
  <c r="L44" i="90"/>
  <c r="J79" i="90"/>
  <c r="K79" i="90"/>
  <c r="L79" i="90"/>
  <c r="J70" i="90"/>
  <c r="K70" i="90"/>
  <c r="L70" i="90"/>
  <c r="J155" i="90"/>
  <c r="K155" i="90"/>
  <c r="L155" i="90"/>
  <c r="J98" i="90"/>
  <c r="K98" i="90"/>
  <c r="L98" i="90"/>
  <c r="J143" i="90"/>
  <c r="K143" i="90"/>
  <c r="L143" i="90"/>
  <c r="J144" i="90"/>
  <c r="K144" i="90"/>
  <c r="L144" i="90"/>
  <c r="J127" i="90"/>
  <c r="K127" i="90"/>
  <c r="L127" i="90"/>
  <c r="J117" i="90"/>
  <c r="K117" i="90"/>
  <c r="L117" i="90"/>
  <c r="J111" i="90"/>
  <c r="K111" i="90"/>
  <c r="L111" i="90"/>
  <c r="J49" i="90"/>
  <c r="K49" i="90"/>
  <c r="L49" i="90"/>
  <c r="J149" i="90"/>
  <c r="K149" i="90"/>
  <c r="L149" i="90"/>
  <c r="J126" i="90"/>
  <c r="K126" i="90"/>
  <c r="L126" i="90"/>
  <c r="J124" i="90"/>
  <c r="K124" i="90"/>
  <c r="L124" i="90"/>
  <c r="J102" i="90"/>
  <c r="K102" i="90"/>
  <c r="L102" i="90"/>
  <c r="J80" i="90"/>
  <c r="K80" i="90"/>
  <c r="L80" i="90"/>
  <c r="J47" i="90"/>
  <c r="K47" i="90"/>
  <c r="L47" i="90"/>
  <c r="J64" i="90"/>
  <c r="K64" i="90"/>
  <c r="L64" i="90"/>
  <c r="J106" i="90"/>
  <c r="K106" i="90"/>
  <c r="L106" i="90"/>
  <c r="J182" i="90"/>
  <c r="K182" i="90"/>
  <c r="L182" i="90"/>
  <c r="J173" i="90"/>
  <c r="K173" i="90"/>
  <c r="L173" i="90"/>
  <c r="J170" i="90"/>
  <c r="K170" i="90"/>
  <c r="L170" i="90"/>
  <c r="J76" i="90"/>
  <c r="K76" i="90"/>
  <c r="L76" i="90"/>
  <c r="J87" i="90"/>
  <c r="K87" i="90"/>
  <c r="L87" i="90"/>
  <c r="J62" i="90"/>
  <c r="K62" i="90"/>
  <c r="L62" i="90"/>
  <c r="J99" i="90"/>
  <c r="K99" i="90"/>
  <c r="L99" i="90"/>
  <c r="J123" i="90"/>
  <c r="K123" i="90"/>
  <c r="L123" i="90"/>
  <c r="J81" i="90"/>
  <c r="K81" i="90"/>
  <c r="L81" i="90"/>
  <c r="J154" i="90"/>
  <c r="K154" i="90"/>
  <c r="L154" i="90"/>
  <c r="J162" i="90"/>
  <c r="K162" i="90"/>
  <c r="L162" i="90"/>
  <c r="J176" i="90"/>
  <c r="K176" i="90"/>
  <c r="L176" i="90"/>
  <c r="J135" i="90"/>
  <c r="K135" i="90"/>
  <c r="L135" i="90"/>
  <c r="J131" i="90"/>
  <c r="K131" i="90"/>
  <c r="L131" i="90"/>
  <c r="J177" i="90"/>
  <c r="K177" i="90"/>
  <c r="L177" i="90"/>
  <c r="J88" i="90"/>
  <c r="K88" i="90"/>
  <c r="L88" i="90"/>
  <c r="J128" i="90"/>
  <c r="K128" i="90"/>
  <c r="L128" i="90"/>
  <c r="J36" i="90"/>
  <c r="K36" i="90"/>
  <c r="J109" i="90"/>
  <c r="K109" i="90"/>
  <c r="L109" i="90"/>
  <c r="J159" i="90"/>
  <c r="K159" i="90"/>
  <c r="L159" i="90"/>
  <c r="J134" i="90"/>
  <c r="K134" i="90"/>
  <c r="L134" i="90"/>
  <c r="J139" i="90"/>
  <c r="K139" i="90"/>
  <c r="L139" i="90"/>
  <c r="J104" i="90"/>
  <c r="K104" i="90"/>
  <c r="L104" i="90"/>
  <c r="J156" i="90"/>
  <c r="K156" i="90"/>
  <c r="L156" i="90"/>
  <c r="J175" i="90"/>
  <c r="K175" i="90"/>
  <c r="L175" i="90"/>
  <c r="J51" i="90"/>
  <c r="K51" i="90"/>
  <c r="L51" i="90"/>
  <c r="J73" i="90"/>
  <c r="K73" i="90"/>
  <c r="L73" i="90"/>
  <c r="J166" i="90"/>
  <c r="K166" i="90"/>
  <c r="L166" i="90"/>
  <c r="J167" i="90"/>
  <c r="K167" i="90"/>
  <c r="L167" i="90"/>
  <c r="J153" i="90"/>
  <c r="K153" i="90"/>
  <c r="L153" i="90"/>
  <c r="J82" i="90"/>
  <c r="K82" i="90"/>
  <c r="L82" i="90"/>
  <c r="J115" i="90"/>
  <c r="K115" i="90"/>
  <c r="L115" i="90"/>
  <c r="J183" i="90"/>
  <c r="K183" i="90"/>
  <c r="L183" i="90"/>
  <c r="J146" i="90"/>
  <c r="K146" i="90"/>
  <c r="L146" i="90"/>
  <c r="J86" i="90"/>
  <c r="K86" i="90"/>
  <c r="L86" i="90"/>
  <c r="J50" i="90"/>
  <c r="K50" i="90"/>
  <c r="L50" i="90"/>
  <c r="J118" i="90"/>
  <c r="K118" i="90"/>
  <c r="L118" i="90"/>
  <c r="J171" i="90"/>
  <c r="K171" i="90"/>
  <c r="L171" i="90"/>
  <c r="J59" i="90"/>
  <c r="K59" i="90"/>
  <c r="L59" i="90"/>
  <c r="J39" i="90"/>
  <c r="K39" i="90"/>
  <c r="J74" i="90"/>
  <c r="K74" i="90"/>
  <c r="L74" i="90"/>
  <c r="J164" i="90"/>
  <c r="K164" i="90"/>
  <c r="L164" i="90"/>
  <c r="J152" i="90"/>
  <c r="K152" i="90"/>
  <c r="L152" i="90"/>
  <c r="J43" i="90"/>
  <c r="K43" i="90"/>
  <c r="L43" i="90"/>
  <c r="J56" i="90"/>
  <c r="K56" i="90"/>
  <c r="L56" i="90"/>
  <c r="J113" i="90"/>
  <c r="K113" i="90"/>
  <c r="L113" i="90"/>
  <c r="J132" i="90"/>
  <c r="K132" i="90"/>
  <c r="L132" i="90"/>
  <c r="J119" i="90"/>
  <c r="K119" i="90"/>
  <c r="L119" i="90"/>
  <c r="J93" i="90"/>
  <c r="K93" i="90"/>
  <c r="L93" i="90"/>
  <c r="J83" i="90"/>
  <c r="K83" i="90"/>
  <c r="L83" i="90"/>
  <c r="J100" i="90"/>
  <c r="K100" i="90"/>
  <c r="L100" i="90"/>
  <c r="J78" i="90"/>
  <c r="K78" i="90"/>
  <c r="L78" i="90"/>
  <c r="J161" i="90"/>
  <c r="K161" i="90"/>
  <c r="L161" i="90"/>
  <c r="J174" i="90"/>
  <c r="K174" i="90"/>
  <c r="L174" i="90"/>
  <c r="L22" i="85"/>
  <c r="M22" i="85"/>
  <c r="L23" i="85"/>
  <c r="M23" i="85"/>
  <c r="L24" i="85"/>
  <c r="M24" i="85"/>
  <c r="L17" i="85"/>
  <c r="L18" i="85"/>
  <c r="M18" i="85"/>
  <c r="L19" i="85"/>
  <c r="M19" i="85"/>
  <c r="L20" i="85"/>
  <c r="M20" i="85"/>
  <c r="L21" i="85"/>
  <c r="M21" i="85"/>
  <c r="J184" i="90"/>
  <c r="K184" i="90"/>
  <c r="G70" i="104"/>
  <c r="M17" i="85"/>
  <c r="L25" i="85"/>
  <c r="L24" i="62" l="1"/>
  <c r="M24" i="62" s="1"/>
  <c r="H42" i="62"/>
  <c r="L41" i="62"/>
  <c r="M41" i="62"/>
  <c r="H44" i="62"/>
  <c r="M44" i="62" s="1"/>
  <c r="H27" i="62"/>
  <c r="H46" i="62"/>
  <c r="H51" i="62"/>
  <c r="K18" i="62"/>
  <c r="R23" i="108"/>
  <c r="Q21" i="108"/>
  <c r="T21" i="108" s="1"/>
  <c r="O26" i="108"/>
  <c r="Q24" i="108"/>
  <c r="O20" i="108"/>
  <c r="O18" i="108"/>
  <c r="Q19" i="108"/>
  <c r="T19" i="108" s="1"/>
  <c r="Z19" i="108" s="1"/>
  <c r="AB19" i="108" s="1"/>
  <c r="R25" i="108"/>
  <c r="O22" i="108"/>
  <c r="Q23" i="108"/>
  <c r="T23" i="108" s="1"/>
  <c r="Q22" i="108"/>
  <c r="T22" i="108" s="1"/>
  <c r="O25" i="108"/>
  <c r="O24" i="108"/>
  <c r="R22" i="108"/>
  <c r="R21" i="108"/>
  <c r="O21" i="108"/>
  <c r="Q26" i="108"/>
  <c r="R20" i="108"/>
  <c r="Q18" i="108"/>
  <c r="T18" i="108" s="1"/>
  <c r="Z18" i="108" s="1"/>
  <c r="AB18" i="108" s="1"/>
  <c r="Q20" i="108"/>
  <c r="T20" i="108" s="1"/>
  <c r="O23" i="108"/>
  <c r="R24" i="108"/>
  <c r="Q25" i="108"/>
  <c r="O19" i="108"/>
  <c r="E102" i="38"/>
  <c r="I102" i="36"/>
  <c r="P106" i="37"/>
  <c r="E98" i="37"/>
  <c r="E103" i="36"/>
  <c r="P29" i="37"/>
  <c r="I100" i="38"/>
  <c r="M105" i="37"/>
  <c r="M101" i="37"/>
  <c r="M100" i="38"/>
  <c r="I101" i="36"/>
  <c r="M106" i="36"/>
  <c r="E102" i="36"/>
  <c r="E27" i="36"/>
  <c r="M105" i="36"/>
  <c r="M97" i="36"/>
  <c r="E26" i="76"/>
  <c r="H26" i="76"/>
  <c r="N25" i="15"/>
  <c r="M25" i="15"/>
  <c r="O25" i="15" s="1"/>
  <c r="P23" i="36"/>
  <c r="J99" i="36"/>
  <c r="P29" i="38"/>
  <c r="N105" i="38"/>
  <c r="F27" i="38"/>
  <c r="F103" i="38" s="1"/>
  <c r="D103" i="38"/>
  <c r="E103" i="38" s="1"/>
  <c r="P30" i="36"/>
  <c r="J106" i="36"/>
  <c r="P106" i="36" s="1"/>
  <c r="I30" i="36"/>
  <c r="P22" i="36"/>
  <c r="J98" i="36"/>
  <c r="L28" i="38"/>
  <c r="L103" i="36"/>
  <c r="M103" i="36" s="1"/>
  <c r="L28" i="37"/>
  <c r="N32" i="36"/>
  <c r="N95" i="36"/>
  <c r="P19" i="36"/>
  <c r="M23" i="36"/>
  <c r="N99" i="36"/>
  <c r="M99" i="36" s="1"/>
  <c r="L107" i="38"/>
  <c r="N31" i="38"/>
  <c r="N107" i="38" s="1"/>
  <c r="M24" i="36"/>
  <c r="P24" i="36"/>
  <c r="E98" i="38"/>
  <c r="J20" i="37"/>
  <c r="H96" i="37"/>
  <c r="M19" i="36"/>
  <c r="D99" i="38"/>
  <c r="E99" i="38" s="1"/>
  <c r="E100" i="38"/>
  <c r="N96" i="37"/>
  <c r="J106" i="38"/>
  <c r="P100" i="38"/>
  <c r="I106" i="36"/>
  <c r="J98" i="37"/>
  <c r="P100" i="36"/>
  <c r="M100" i="36"/>
  <c r="L96" i="36"/>
  <c r="M96" i="36" s="1"/>
  <c r="M20" i="36"/>
  <c r="L21" i="38"/>
  <c r="L21" i="37"/>
  <c r="L32" i="36"/>
  <c r="D102" i="37"/>
  <c r="F26" i="37"/>
  <c r="F102" i="37" s="1"/>
  <c r="D99" i="37"/>
  <c r="F23" i="37"/>
  <c r="F99" i="37" s="1"/>
  <c r="N31" i="37"/>
  <c r="N107" i="37" s="1"/>
  <c r="L107" i="37"/>
  <c r="M107" i="37" s="1"/>
  <c r="I105" i="37"/>
  <c r="J32" i="36"/>
  <c r="I32" i="36" s="1"/>
  <c r="H98" i="38"/>
  <c r="J22" i="38"/>
  <c r="J96" i="38"/>
  <c r="M96" i="37"/>
  <c r="P24" i="38"/>
  <c r="L98" i="37"/>
  <c r="N22" i="37"/>
  <c r="N98" i="37" s="1"/>
  <c r="D31" i="38"/>
  <c r="H26" i="38"/>
  <c r="L102" i="36"/>
  <c r="M102" i="36" s="1"/>
  <c r="D30" i="38"/>
  <c r="D30" i="37"/>
  <c r="F32" i="36"/>
  <c r="E20" i="36"/>
  <c r="H25" i="37"/>
  <c r="H100" i="36"/>
  <c r="I100" i="36" s="1"/>
  <c r="H25" i="38"/>
  <c r="J104" i="36"/>
  <c r="I28" i="36"/>
  <c r="I20" i="36"/>
  <c r="J96" i="36"/>
  <c r="L26" i="38"/>
  <c r="L101" i="36"/>
  <c r="M101" i="36" s="1"/>
  <c r="M25" i="36"/>
  <c r="L101" i="38"/>
  <c r="M101" i="38" s="1"/>
  <c r="J28" i="38"/>
  <c r="H104" i="38"/>
  <c r="F96" i="36"/>
  <c r="F108" i="36" s="1"/>
  <c r="I24" i="36"/>
  <c r="E28" i="36"/>
  <c r="D20" i="37"/>
  <c r="D32" i="36"/>
  <c r="E32" i="36" s="1"/>
  <c r="D95" i="36"/>
  <c r="I19" i="36"/>
  <c r="H95" i="36"/>
  <c r="I23" i="36"/>
  <c r="H99" i="36"/>
  <c r="I99" i="36" s="1"/>
  <c r="H24" i="37"/>
  <c r="M29" i="36"/>
  <c r="E29" i="36"/>
  <c r="D25" i="38"/>
  <c r="E24" i="36"/>
  <c r="D25" i="37"/>
  <c r="H31" i="37"/>
  <c r="H31" i="38"/>
  <c r="I22" i="36"/>
  <c r="H23" i="37"/>
  <c r="H23" i="38"/>
  <c r="H33" i="38" s="1"/>
  <c r="E104" i="37"/>
  <c r="H96" i="38"/>
  <c r="H26" i="37"/>
  <c r="I25" i="36"/>
  <c r="J105" i="36"/>
  <c r="P29" i="36"/>
  <c r="J97" i="36"/>
  <c r="P97" i="36" s="1"/>
  <c r="P21" i="36"/>
  <c r="M22" i="36"/>
  <c r="N98" i="36"/>
  <c r="M98" i="36" s="1"/>
  <c r="J104" i="37"/>
  <c r="I104" i="37"/>
  <c r="D97" i="37"/>
  <c r="E97" i="37" s="1"/>
  <c r="F21" i="37"/>
  <c r="F97" i="37" s="1"/>
  <c r="D96" i="38"/>
  <c r="D33" i="38"/>
  <c r="F20" i="38"/>
  <c r="L27" i="38"/>
  <c r="M30" i="36"/>
  <c r="F31" i="37"/>
  <c r="F107" i="37" s="1"/>
  <c r="E107" i="37" s="1"/>
  <c r="E105" i="36"/>
  <c r="P28" i="36"/>
  <c r="M106" i="37"/>
  <c r="L27" i="37"/>
  <c r="L26" i="37"/>
  <c r="D28" i="38"/>
  <c r="N20" i="38"/>
  <c r="P20" i="38" s="1"/>
  <c r="L96" i="38"/>
  <c r="E97" i="36"/>
  <c r="I29" i="36"/>
  <c r="J103" i="38"/>
  <c r="AC19" i="108" l="1"/>
  <c r="M42" i="62"/>
  <c r="L42" i="62"/>
  <c r="H47" i="62"/>
  <c r="L46" i="62"/>
  <c r="H49" i="62"/>
  <c r="M46" i="62"/>
  <c r="H30" i="62"/>
  <c r="M30" i="62" s="1"/>
  <c r="M27" i="62"/>
  <c r="L44" i="62"/>
  <c r="K27" i="62"/>
  <c r="L18" i="62"/>
  <c r="M51" i="62"/>
  <c r="H54" i="62"/>
  <c r="L51" i="62"/>
  <c r="H52" i="62"/>
  <c r="AG19" i="108"/>
  <c r="AJ19" i="108" s="1"/>
  <c r="AM19" i="108" s="1"/>
  <c r="AE19" i="108"/>
  <c r="E96" i="36"/>
  <c r="O27" i="108"/>
  <c r="AC18" i="108"/>
  <c r="AE18" i="108" s="1"/>
  <c r="Y20" i="108"/>
  <c r="X20" i="108"/>
  <c r="Z20" i="108" s="1"/>
  <c r="AB20" i="108" s="1"/>
  <c r="Y24" i="108"/>
  <c r="X24" i="108"/>
  <c r="AB24" i="108" s="1"/>
  <c r="AC24" i="108" s="1"/>
  <c r="AH24" i="108" s="1"/>
  <c r="AK24" i="108" s="1"/>
  <c r="AG18" i="108"/>
  <c r="AJ18" i="108" s="1"/>
  <c r="Y22" i="108"/>
  <c r="X22" i="108"/>
  <c r="Z22" i="108" s="1"/>
  <c r="AB22" i="108" s="1"/>
  <c r="Y23" i="108"/>
  <c r="X23" i="108"/>
  <c r="Z23" i="108" s="1"/>
  <c r="AB23" i="108" s="1"/>
  <c r="AC23" i="108" s="1"/>
  <c r="AH23" i="108" s="1"/>
  <c r="AK23" i="108" s="1"/>
  <c r="X21" i="108"/>
  <c r="Z21" i="108" s="1"/>
  <c r="AB21" i="108" s="1"/>
  <c r="Y21" i="108"/>
  <c r="T25" i="108"/>
  <c r="H108" i="36"/>
  <c r="I95" i="36"/>
  <c r="P28" i="38"/>
  <c r="J104" i="38"/>
  <c r="I104" i="36"/>
  <c r="P104" i="36"/>
  <c r="N21" i="38"/>
  <c r="L97" i="38"/>
  <c r="L33" i="38"/>
  <c r="L108" i="36"/>
  <c r="N28" i="37"/>
  <c r="L104" i="37"/>
  <c r="F25" i="38"/>
  <c r="F101" i="38" s="1"/>
  <c r="D101" i="38"/>
  <c r="E95" i="36"/>
  <c r="D108" i="36"/>
  <c r="E108" i="36" s="1"/>
  <c r="H101" i="38"/>
  <c r="J25" i="38"/>
  <c r="J26" i="38"/>
  <c r="H102" i="38"/>
  <c r="I97" i="36"/>
  <c r="M107" i="38"/>
  <c r="D101" i="37"/>
  <c r="F25" i="37"/>
  <c r="F101" i="37" s="1"/>
  <c r="L97" i="37"/>
  <c r="N21" i="37"/>
  <c r="F31" i="38"/>
  <c r="F107" i="38" s="1"/>
  <c r="D107" i="38"/>
  <c r="P106" i="38"/>
  <c r="I106" i="38"/>
  <c r="J98" i="38"/>
  <c r="P98" i="38" s="1"/>
  <c r="P22" i="38"/>
  <c r="J96" i="37"/>
  <c r="P20" i="37"/>
  <c r="P105" i="38"/>
  <c r="M105" i="38"/>
  <c r="N33" i="38"/>
  <c r="N96" i="38"/>
  <c r="P96" i="38" s="1"/>
  <c r="H99" i="37"/>
  <c r="J23" i="37"/>
  <c r="J33" i="37" s="1"/>
  <c r="D96" i="37"/>
  <c r="F20" i="37"/>
  <c r="D33" i="37"/>
  <c r="J25" i="37"/>
  <c r="H101" i="37"/>
  <c r="I105" i="36"/>
  <c r="P105" i="36"/>
  <c r="J24" i="37"/>
  <c r="H100" i="37"/>
  <c r="N26" i="38"/>
  <c r="N102" i="38" s="1"/>
  <c r="L102" i="38"/>
  <c r="M102" i="38" s="1"/>
  <c r="M98" i="37"/>
  <c r="I98" i="38"/>
  <c r="H33" i="37"/>
  <c r="L104" i="38"/>
  <c r="N28" i="38"/>
  <c r="N104" i="38" s="1"/>
  <c r="F28" i="38"/>
  <c r="F104" i="38" s="1"/>
  <c r="D104" i="38"/>
  <c r="J31" i="38"/>
  <c r="H107" i="38"/>
  <c r="I96" i="36"/>
  <c r="J108" i="36"/>
  <c r="P96" i="36"/>
  <c r="L33" i="37"/>
  <c r="E102" i="37"/>
  <c r="P98" i="37"/>
  <c r="I98" i="37"/>
  <c r="P32" i="36"/>
  <c r="P99" i="36"/>
  <c r="I103" i="38"/>
  <c r="I96" i="38"/>
  <c r="D106" i="38"/>
  <c r="F30" i="38"/>
  <c r="F106" i="38" s="1"/>
  <c r="H99" i="38"/>
  <c r="H109" i="38" s="1"/>
  <c r="J23" i="38"/>
  <c r="J33" i="38" s="1"/>
  <c r="I33" i="38" s="1"/>
  <c r="E99" i="37"/>
  <c r="P98" i="36"/>
  <c r="I98" i="36"/>
  <c r="L102" i="37"/>
  <c r="N26" i="37"/>
  <c r="N102" i="37" s="1"/>
  <c r="N27" i="38"/>
  <c r="L103" i="38"/>
  <c r="N27" i="37"/>
  <c r="L103" i="37"/>
  <c r="F96" i="38"/>
  <c r="E96" i="38" s="1"/>
  <c r="J26" i="37"/>
  <c r="H102" i="37"/>
  <c r="H107" i="37"/>
  <c r="J31" i="37"/>
  <c r="D106" i="37"/>
  <c r="F30" i="37"/>
  <c r="F106" i="37" s="1"/>
  <c r="M32" i="36"/>
  <c r="P22" i="37"/>
  <c r="N108" i="36"/>
  <c r="P95" i="36"/>
  <c r="M95" i="36"/>
  <c r="M47" i="62" l="1"/>
  <c r="L47" i="62"/>
  <c r="M52" i="62"/>
  <c r="L52" i="62"/>
  <c r="M49" i="62"/>
  <c r="L49" i="62"/>
  <c r="L54" i="62"/>
  <c r="M54" i="62"/>
  <c r="L27" i="62"/>
  <c r="K30" i="62"/>
  <c r="L30" i="62" s="1"/>
  <c r="X25" i="108"/>
  <c r="Z25" i="108" s="1"/>
  <c r="Y25" i="108"/>
  <c r="P104" i="38"/>
  <c r="AG21" i="108"/>
  <c r="AJ21" i="108" s="1"/>
  <c r="AM21" i="108" s="1"/>
  <c r="AE21" i="108"/>
  <c r="AE24" i="108"/>
  <c r="AG24" i="108"/>
  <c r="AJ24" i="108" s="1"/>
  <c r="AM24" i="108" s="1"/>
  <c r="AC21" i="108"/>
  <c r="AH21" i="108" s="1"/>
  <c r="AK21" i="108" s="1"/>
  <c r="AE23" i="108"/>
  <c r="AG23" i="108"/>
  <c r="AJ23" i="108" s="1"/>
  <c r="AM23" i="108" s="1"/>
  <c r="D109" i="38"/>
  <c r="M33" i="38"/>
  <c r="AG22" i="108"/>
  <c r="AJ22" i="108" s="1"/>
  <c r="AE22" i="108"/>
  <c r="AG20" i="108"/>
  <c r="AJ20" i="108" s="1"/>
  <c r="M104" i="38"/>
  <c r="E106" i="37"/>
  <c r="M102" i="37"/>
  <c r="AC22" i="108"/>
  <c r="AH22" i="108" s="1"/>
  <c r="AK22" i="108" s="1"/>
  <c r="AM18" i="108"/>
  <c r="AC20" i="108"/>
  <c r="AH20" i="108" s="1"/>
  <c r="AK20" i="108" s="1"/>
  <c r="J100" i="37"/>
  <c r="P100" i="37" s="1"/>
  <c r="P24" i="37"/>
  <c r="P96" i="37"/>
  <c r="N97" i="37"/>
  <c r="P21" i="37"/>
  <c r="N33" i="37"/>
  <c r="M33" i="37" s="1"/>
  <c r="J101" i="38"/>
  <c r="P101" i="38" s="1"/>
  <c r="P25" i="38"/>
  <c r="N104" i="37"/>
  <c r="P104" i="37" s="1"/>
  <c r="P28" i="37"/>
  <c r="F109" i="38"/>
  <c r="E109" i="38" s="1"/>
  <c r="M96" i="38"/>
  <c r="I33" i="37"/>
  <c r="L109" i="37"/>
  <c r="I101" i="38"/>
  <c r="M108" i="36"/>
  <c r="D109" i="37"/>
  <c r="J102" i="38"/>
  <c r="P102" i="38" s="1"/>
  <c r="P26" i="38"/>
  <c r="P23" i="37"/>
  <c r="J99" i="37"/>
  <c r="P99" i="37" s="1"/>
  <c r="M97" i="38"/>
  <c r="P23" i="38"/>
  <c r="J99" i="38"/>
  <c r="P99" i="38" s="1"/>
  <c r="H109" i="37"/>
  <c r="E106" i="38"/>
  <c r="E104" i="38"/>
  <c r="J101" i="37"/>
  <c r="P101" i="37" s="1"/>
  <c r="P25" i="37"/>
  <c r="E101" i="38"/>
  <c r="N97" i="38"/>
  <c r="P97" i="38" s="1"/>
  <c r="P21" i="38"/>
  <c r="I108" i="36"/>
  <c r="M104" i="37"/>
  <c r="F33" i="38"/>
  <c r="E33" i="38" s="1"/>
  <c r="N103" i="37"/>
  <c r="P103" i="37" s="1"/>
  <c r="P27" i="37"/>
  <c r="J107" i="38"/>
  <c r="P107" i="38" s="1"/>
  <c r="P31" i="38"/>
  <c r="E101" i="37"/>
  <c r="I100" i="37"/>
  <c r="I99" i="38"/>
  <c r="L109" i="38"/>
  <c r="P31" i="37"/>
  <c r="J107" i="37"/>
  <c r="P107" i="37" s="1"/>
  <c r="I96" i="37"/>
  <c r="P108" i="36"/>
  <c r="P112" i="36" s="1"/>
  <c r="N103" i="38"/>
  <c r="P103" i="38" s="1"/>
  <c r="P27" i="38"/>
  <c r="P26" i="37"/>
  <c r="J102" i="37"/>
  <c r="P102" i="37" s="1"/>
  <c r="F96" i="37"/>
  <c r="F109" i="37" s="1"/>
  <c r="F33" i="37"/>
  <c r="E33" i="37" s="1"/>
  <c r="E107" i="38"/>
  <c r="I102" i="38"/>
  <c r="I104" i="38"/>
  <c r="AM22" i="108" l="1"/>
  <c r="P33" i="37"/>
  <c r="I101" i="37"/>
  <c r="I102" i="37"/>
  <c r="M103" i="37"/>
  <c r="E109" i="37"/>
  <c r="AM20" i="108"/>
  <c r="AB25" i="108"/>
  <c r="AB26" i="108"/>
  <c r="P109" i="38"/>
  <c r="P113" i="38" s="1"/>
  <c r="N109" i="38"/>
  <c r="AE20" i="108"/>
  <c r="P97" i="37"/>
  <c r="N109" i="37"/>
  <c r="P109" i="37"/>
  <c r="P113" i="37" s="1"/>
  <c r="E96" i="37"/>
  <c r="J109" i="37"/>
  <c r="I109" i="37" s="1"/>
  <c r="I107" i="38"/>
  <c r="M109" i="38"/>
  <c r="I21" i="39"/>
  <c r="J21" i="39" s="1"/>
  <c r="D49" i="39" s="1"/>
  <c r="G49" i="39" s="1"/>
  <c r="H49" i="39" s="1"/>
  <c r="I49" i="39" s="1"/>
  <c r="J49" i="39" s="1"/>
  <c r="I19" i="39"/>
  <c r="J19" i="39" s="1"/>
  <c r="D47" i="39" s="1"/>
  <c r="G47" i="39" s="1"/>
  <c r="I18" i="39"/>
  <c r="J18" i="39" s="1"/>
  <c r="D46" i="39" s="1"/>
  <c r="G46" i="39" s="1"/>
  <c r="I26" i="39"/>
  <c r="J26" i="39" s="1"/>
  <c r="D54" i="39" s="1"/>
  <c r="G54" i="39" s="1"/>
  <c r="I23" i="39"/>
  <c r="J23" i="39" s="1"/>
  <c r="D51" i="39" s="1"/>
  <c r="G51" i="39" s="1"/>
  <c r="I17" i="39"/>
  <c r="J17" i="39" s="1"/>
  <c r="D45" i="39" s="1"/>
  <c r="G45" i="39" s="1"/>
  <c r="I24" i="39"/>
  <c r="J24" i="39" s="1"/>
  <c r="D52" i="39" s="1"/>
  <c r="G52" i="39" s="1"/>
  <c r="I25" i="39"/>
  <c r="J25" i="39" s="1"/>
  <c r="D53" i="39" s="1"/>
  <c r="G53" i="39" s="1"/>
  <c r="I20" i="39"/>
  <c r="J20" i="39" s="1"/>
  <c r="D48" i="39" s="1"/>
  <c r="G48" i="39" s="1"/>
  <c r="I22" i="39"/>
  <c r="J22" i="39" s="1"/>
  <c r="D50" i="39" s="1"/>
  <c r="G50" i="39" s="1"/>
  <c r="M109" i="37"/>
  <c r="J109" i="38"/>
  <c r="I109" i="38" s="1"/>
  <c r="P33" i="38"/>
  <c r="M103" i="38"/>
  <c r="M97" i="37"/>
  <c r="I107" i="37"/>
  <c r="I99" i="37"/>
  <c r="H45" i="39" l="1"/>
  <c r="I45" i="39" s="1"/>
  <c r="J45" i="39" s="1"/>
  <c r="H48" i="39"/>
  <c r="I48" i="39" s="1"/>
  <c r="J48" i="39" s="1"/>
  <c r="AE26" i="108"/>
  <c r="AG26" i="108"/>
  <c r="AJ26" i="108" s="1"/>
  <c r="AM26" i="108" s="1"/>
  <c r="AG25" i="108"/>
  <c r="AJ25" i="108" s="1"/>
  <c r="AC25" i="108"/>
  <c r="AE25" i="108" s="1"/>
  <c r="AB27" i="108"/>
  <c r="H53" i="39"/>
  <c r="I53" i="39" s="1"/>
  <c r="J53" i="39" s="1"/>
  <c r="H52" i="39"/>
  <c r="I52" i="39" s="1"/>
  <c r="J52" i="39" s="1"/>
  <c r="H51" i="39"/>
  <c r="I51" i="39" s="1"/>
  <c r="J51" i="39" s="1"/>
  <c r="H54" i="39"/>
  <c r="I54" i="39" s="1"/>
  <c r="J54" i="39" s="1"/>
  <c r="I40" i="39"/>
  <c r="J40" i="39" s="1"/>
  <c r="D68" i="39" s="1"/>
  <c r="G68" i="39" s="1"/>
  <c r="I38" i="39"/>
  <c r="J38" i="39" s="1"/>
  <c r="D66" i="39" s="1"/>
  <c r="G66" i="39" s="1"/>
  <c r="I36" i="39"/>
  <c r="J36" i="39" s="1"/>
  <c r="D64" i="39" s="1"/>
  <c r="G64" i="39" s="1"/>
  <c r="I34" i="39"/>
  <c r="J34" i="39" s="1"/>
  <c r="D62" i="39" s="1"/>
  <c r="G62" i="39" s="1"/>
  <c r="I32" i="39"/>
  <c r="J32" i="39" s="1"/>
  <c r="D60" i="39" s="1"/>
  <c r="G60" i="39" s="1"/>
  <c r="I37" i="39"/>
  <c r="J37" i="39" s="1"/>
  <c r="D65" i="39" s="1"/>
  <c r="G65" i="39" s="1"/>
  <c r="I33" i="39"/>
  <c r="J33" i="39" s="1"/>
  <c r="D61" i="39" s="1"/>
  <c r="G61" i="39" s="1"/>
  <c r="I31" i="39"/>
  <c r="J31" i="39" s="1"/>
  <c r="D59" i="39" s="1"/>
  <c r="G59" i="39" s="1"/>
  <c r="I35" i="39"/>
  <c r="J35" i="39" s="1"/>
  <c r="D63" i="39" s="1"/>
  <c r="G63" i="39" s="1"/>
  <c r="I39" i="39"/>
  <c r="J39" i="39" s="1"/>
  <c r="D67" i="39" s="1"/>
  <c r="G67" i="39" s="1"/>
  <c r="H46" i="39"/>
  <c r="I46" i="39" s="1"/>
  <c r="J46" i="39" s="1"/>
  <c r="H50" i="39"/>
  <c r="I50" i="39" s="1"/>
  <c r="J50" i="39" s="1"/>
  <c r="H47" i="39"/>
  <c r="I47" i="39" s="1"/>
  <c r="J47" i="39" s="1"/>
  <c r="AE27" i="108" l="1"/>
  <c r="AH25" i="108"/>
  <c r="AK25" i="108" s="1"/>
  <c r="AK27" i="108" s="1"/>
  <c r="AC27" i="108"/>
  <c r="AJ27" i="108"/>
  <c r="H62" i="39"/>
  <c r="I62" i="39" s="1"/>
  <c r="J62" i="39" s="1"/>
  <c r="H66" i="39"/>
  <c r="I66" i="39" s="1"/>
  <c r="J66" i="39" s="1"/>
  <c r="H68" i="39"/>
  <c r="I68" i="39" s="1"/>
  <c r="J68" i="39" s="1"/>
  <c r="H59" i="39"/>
  <c r="I59" i="39" s="1"/>
  <c r="J59" i="39" s="1"/>
  <c r="H61" i="39"/>
  <c r="I61" i="39" s="1"/>
  <c r="J61" i="39" s="1"/>
  <c r="H64" i="39"/>
  <c r="I64" i="39" s="1"/>
  <c r="J64" i="39" s="1"/>
  <c r="H63" i="39"/>
  <c r="I63" i="39" s="1"/>
  <c r="J63" i="39" s="1"/>
  <c r="H65" i="39"/>
  <c r="I65" i="39" s="1"/>
  <c r="J65" i="39" s="1"/>
  <c r="H67" i="39"/>
  <c r="I67" i="39" s="1"/>
  <c r="J67" i="39" s="1"/>
  <c r="H60" i="39"/>
  <c r="I60" i="39" s="1"/>
  <c r="J60" i="39" s="1"/>
  <c r="AM25" i="108" l="1"/>
  <c r="AM27" i="108" s="1"/>
  <c r="AM28" i="10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tc={23081D54-F35D-4DA8-8F68-E23FB185E1C7}</author>
  </authors>
  <commentList>
    <comment ref="B1" authorId="0" shapeId="0" xr:uid="{23081D54-F35D-4DA8-8F68-E23FB185E1C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VALUES FROM THIS COLUMN SHOULD BE REMOVED AFTER TESTING</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<sst xmlns="http://schemas.openxmlformats.org/spreadsheetml/2006/main" count="91298" uniqueCount="9832">
  <si>
    <t>Instructions for Tabs 1, 3 to 7</t>
  </si>
  <si>
    <t>Summary of Changes from the Prior Year</t>
  </si>
  <si>
    <t>In the tab 3 Group 1 continuity schedule, the rows for the totals are revised to show total of Group 1 accounts and total claim amount only.</t>
  </si>
  <si>
    <t>Detailed Instructions for Each Tab</t>
  </si>
  <si>
    <t>Tab</t>
  </si>
  <si>
    <t>Tab Details</t>
  </si>
  <si>
    <t xml:space="preserve">Step </t>
  </si>
  <si>
    <t>Details</t>
  </si>
  <si>
    <t>1 - Information Sheet</t>
  </si>
  <si>
    <t xml:space="preserve">This tab shows some information pertaining to the utility and the application. </t>
  </si>
  <si>
    <t>Complete the information sheet.</t>
  </si>
  <si>
    <r>
      <rPr>
        <sz val="11"/>
        <color theme="1"/>
        <rFont val="Calibri"/>
        <family val="2"/>
        <scheme val="minor"/>
      </rPr>
      <t xml:space="preserve">a) </t>
    </r>
    <r>
      <rPr>
        <u/>
        <sz val="11"/>
        <color theme="1"/>
        <rFont val="Calibri"/>
        <family val="2"/>
        <scheme val="minor"/>
      </rPr>
      <t>Questions 2 to 4</t>
    </r>
  </si>
  <si>
    <t>Responses to questions 2 to 4 will open the DVA continuity schedule in tab 3 to the appropriate year that DVA balances should first be inputted.</t>
  </si>
  <si>
    <t>The continuity schedule will open starting from the year balances were last approved for disposition, unless the last approved dipsosition was on an interim basis and there are changes to those balances. If that is the case, the continuity schedule will open from the year of last approved disposition on a final basis. A distributor must also provide an explanation for the change in the previously approved balance.</t>
  </si>
  <si>
    <r>
      <t xml:space="preserve">b) </t>
    </r>
    <r>
      <rPr>
        <u/>
        <sz val="11"/>
        <color theme="1"/>
        <rFont val="Calibri"/>
        <family val="2"/>
        <scheme val="minor"/>
      </rPr>
      <t>Questions 5 and 6</t>
    </r>
  </si>
  <si>
    <t>If the response to question 5 (GA) or 6 (CBR Class B) is yes, tab 6 relating to Class A customers' consumption will be generated.</t>
  </si>
  <si>
    <t>If the response to question 6 is yes, then  tab 6.2  will also be generated. This tab will allocate and dispose the balance in Account 1580, sub-account CBR Class B  through a separate rate rider using information inputted in tab 6, unless a rate rider is not produced.</t>
  </si>
  <si>
    <t>If the response to question 6 is no, then the balance in the Account 1580, sub-account CBR Class B will be allocated and disposed with Account 1580 WMS, as part of the general DVA rate rider</t>
  </si>
  <si>
    <t>3 - Continuity Schedule</t>
  </si>
  <si>
    <t>This tab is the continuity schedule that shows  all the accounts and the accumulation of the balances a utility has.</t>
  </si>
  <si>
    <t>Complete the DVA continuity schedule.</t>
  </si>
  <si>
    <r>
      <t xml:space="preserve">a) </t>
    </r>
    <r>
      <rPr>
        <u/>
        <sz val="11"/>
        <color theme="1"/>
        <rFont val="Calibri"/>
        <family val="2"/>
        <scheme val="minor"/>
      </rPr>
      <t>For all Group 1 accounts, except Account 1595:</t>
    </r>
    <r>
      <rPr>
        <sz val="11"/>
        <color theme="1"/>
        <rFont val="Calibri"/>
        <family val="2"/>
        <scheme val="minor"/>
      </rPr>
      <t xml:space="preserve">
The continuity schedule will open from the year the GL balance was last disposed.  Start inputting the approved ending balances in the Adjustments column of that year.
</t>
    </r>
    <r>
      <rPr>
        <i/>
        <sz val="11"/>
        <color theme="1"/>
        <rFont val="Calibri"/>
        <family val="2"/>
        <scheme val="minor"/>
      </rPr>
      <t>For example, if in the 2022 rate application, DVA balances as at December 13, 2020 were approved for disposition, the continuity schedule will commence from 2020.  Start by inputting the approved closing 2020 balances in the Adjustments column under 2020.</t>
    </r>
  </si>
  <si>
    <r>
      <t>b)</t>
    </r>
    <r>
      <rPr>
        <u/>
        <sz val="11"/>
        <color theme="1"/>
        <rFont val="Calibri"/>
        <family val="2"/>
        <scheme val="minor"/>
      </rPr>
      <t xml:space="preserve"> For all Account 1595 sub-accounts: </t>
    </r>
    <r>
      <rPr>
        <sz val="11"/>
        <color theme="1"/>
        <rFont val="Calibri"/>
        <family val="2"/>
        <scheme val="minor"/>
      </rPr>
      <t xml:space="preserve">
Complete the DVA continuity schedule for each Account 1595 vintage year that has a GL balance as at December 31, 2021, regardless of whether the account is being requested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1"/>
        <color theme="1"/>
        <rFont val="Calibri"/>
        <family val="2"/>
        <scheme val="minor"/>
      </rPr>
      <t>For example, Account 1595 (2017) would accumulate a balance starting in 2017, when the relevant balances approved for disposition were first transferred into Account 1595 (2017). Input the amount approved for disposition in the OEB Approved Disposition column.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</si>
  <si>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t>Review any balance variance between the DVA continuity schedule and the RRR in column BW.  Provide an explanation, if necessary.</t>
  </si>
  <si>
    <t>4 - Billing Determinant</t>
  </si>
  <si>
    <t>This tab shows the billing determinants that will be used to allocate account balances and calculate rate riders.</t>
  </si>
  <si>
    <t>Confirm the accuracy of the RRR data used to populate the tab.</t>
  </si>
  <si>
    <t>Review the disposition threshold calculation. Select whether disposition is being requested or not in the drop down box.</t>
  </si>
  <si>
    <t>6 - Class A Data Consumption</t>
  </si>
  <si>
    <t>This tab is to be completed if there were any Class A customers at any point during the period the GA balance or CBR Class B accumulated. The data on this tab is used for the purposes of determining the GA rate rider, CBR Class B rate rider (if applicable), as well as customer specific GA and CBR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</si>
  <si>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</si>
  <si>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</si>
  <si>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</si>
  <si>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This data will also be used in the calculation of billing determinants for GA and CBR Class B balances, as applicable.
Note that each transition customer identified in tab 6, table 3a will be assigned a customer number and the number will correspond to the same transition customer populated in tabs 6.1a and 6.2a.  
Also note that the transition customers identified for the GA may be different than those for CBR Class B. This would depend on the period in which the GA and CBR Class B balances accumulated. </t>
  </si>
  <si>
    <t>Under #3b, enter the number of rate classes in which there were full year Class A customers during the period the Account 1589 GA balance  or Account 1580 CBR Class B balance accumulated. A table will be generated based on the number of rate classes. 
Complete the table accordingly for each rate class identified (i.e. total Class A consumption in the rate class identified for each year). This data will be used in the calculation of billing determinants for GA and CBR Class B, as applicable.</t>
  </si>
  <si>
    <t>6.1a - GA Allocation</t>
  </si>
  <si>
    <t xml:space="preserve">This tab allocates the GA balance to each transition customer for the period in which these customers were Class B customers and contributed to the GA balance (i.e. former Class B customers but are now Class A customers and former Class A customers who are now Class B customers). </t>
  </si>
  <si>
    <t>This tab is generated when the utility indicates that they had transition customers in tab 6, #2a during the period the Account 1589 GA balance accumulated.</t>
  </si>
  <si>
    <r>
      <t>In row 20, enter the Non-RPP consumption</t>
    </r>
    <r>
      <rPr>
        <sz val="11"/>
        <rFont val="Calibri"/>
        <family val="2"/>
        <scheme val="minor"/>
      </rPr>
      <t xml:space="preserve"> less </t>
    </r>
    <r>
      <rPr>
        <sz val="11"/>
        <color theme="1"/>
        <rFont val="Calibri"/>
        <family val="2"/>
        <scheme val="minor"/>
      </rPr>
      <t>WMP consumption.</t>
    </r>
  </si>
  <si>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6.1.</t>
  </si>
  <si>
    <t>6.1 - GA</t>
  </si>
  <si>
    <t>This tab calculates the GA rate rider to be applied to all non-RPP Class B customers (except for the transition customers allocated a customer specific balance in tab 6.1a).</t>
  </si>
  <si>
    <t>Enter the proposed rate rider recovery period if different than the default 12 month period. The rest of the information in the tab is auto-populated and the GA rate riders are calculated accordingly based on whether there were any transition customers during the period that the GA balance accumulated.</t>
  </si>
  <si>
    <t>6.2a - CBR_B Allocation</t>
  </si>
  <si>
    <t xml:space="preserve">This tab allocates the CBR Class B balance to each transition customer for the period in which these customers were Class B customers and contributed to the CBR Class B balance (i.e. former Class B customers but are now Class A customers and former Class A customers who are now Class B). </t>
  </si>
  <si>
    <t>This tab is generated when the utility indicates that they had transition customers in tab 6, #2b during the period where the CBR Class B balance accumulated.</t>
  </si>
  <si>
    <t>In row 19, enter the total Class B consumption less WMP consumption.</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</si>
  <si>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t>
  </si>
  <si>
    <t xml:space="preserve">6.2 - CBR </t>
  </si>
  <si>
    <t>This tab calculates the CBR Class B rate rider if there were Class A customers  at any point during the period that the CBR Class B balance accumulated.</t>
  </si>
  <si>
    <t>This tab is generated when the response to question 6 in tab 1 is "yes", indicating that they had Class A customers during the period that Account 1580, sub-account CBR Class B balance accumulated.</t>
  </si>
  <si>
    <t>No input is required in this tab. The information in the tab is auto-populated and the CBR Class B rate riders are calculated accordingly. 
If a rate rider is not produced, the entire Account 1580 CBR Class B balance, including the amount allocated to transition customers will be transferred to Account 1580 WMS, to be disposed through the general Group 1 DVA rate rider.</t>
  </si>
  <si>
    <t>5 - Allocating Def-Var Balances</t>
  </si>
  <si>
    <t>This tab allocates the Group 1 balances, except GA and CBR Class B (if Class A customers exist).</t>
  </si>
  <si>
    <t>Review the allocated balances to ensure the allocation is appropriate. Note that the final allocation for Account 1580, sub-account CBR Class B is calculated after the completion of tabs 6 to 6.2a.</t>
  </si>
  <si>
    <t>7 - Calculation of Def-Var RR</t>
  </si>
  <si>
    <t>This tab calculates the Group 1 rate riders, except for GA and CBR Class B (if Class A customers exist)</t>
  </si>
  <si>
    <t>Enter the proposed rate rider recovery period if different than the default 12 month period. The rest of the information in the tab is auto-populated and the rate riders are calculated accordingly .</t>
  </si>
  <si>
    <t>a</t>
  </si>
  <si>
    <t>Version</t>
  </si>
  <si>
    <t xml:space="preserve">Utility Name   </t>
  </si>
  <si>
    <t>Service Territory</t>
  </si>
  <si>
    <t>Assigned EB Number</t>
  </si>
  <si>
    <t>Name of Contact and Title</t>
  </si>
  <si>
    <t xml:space="preserve">Phone Number   </t>
  </si>
  <si>
    <t xml:space="preserve">Email Address   </t>
  </si>
  <si>
    <t xml:space="preserve">Rate Effective Date  </t>
  </si>
  <si>
    <t>Rate-Setting Method</t>
  </si>
  <si>
    <t>1. Select the last Cost of Service rebasing year.</t>
  </si>
  <si>
    <t xml:space="preserve">To determine the first year the continuity schedules in tab 3 will be generated for input, answer the following questions:
For all the the responses below, when selecting a year, select the year relating to the account balance. For example, if the 2021 balances that were reviewed in the 2023 rate application were to be selected, select 2021.
</t>
  </si>
  <si>
    <t>2. For Accounts 1588 and 1589, please indicate the year of the account balances that the accounts were last disposed on a final basis for information purposes.</t>
  </si>
  <si>
    <t xml:space="preserve">
Determine whether scenario a or b below applies, then select the appropriate year. 
a) If the account balances were last approved on a final basis, select the year of the year-end balances that were last approved for disposition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</si>
  <si>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</si>
  <si>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ii) there are changes to the previously approved interim balances, select the year of the year-end balances that were last approved for disposition on a final basis.</t>
  </si>
  <si>
    <t>3. For the remaining Group 1 DVAs, please indicate the year of the account balances that were last disposed on a final basis</t>
  </si>
  <si>
    <t xml:space="preserve">Determine whether scenario a or b below applies, then select the appropriate year. </t>
  </si>
  <si>
    <t xml:space="preserve">a) If the account balances were last approved on a final basis, select the year of the year-end balances that the balance was were last approved on a final basis. </t>
  </si>
  <si>
    <t xml:space="preserve">b) If the accounts were last approved on an interim basis, and </t>
  </si>
  <si>
    <t>i) there are no changes to the previously approved interim balances, select the year of the year-end balances that were last approved for diposition on an interim basis.</t>
  </si>
  <si>
    <t>ii) If there are changes to the previously approved interim balances, select the year of the year-end balances that were last approved for disposition on a final basis.</t>
  </si>
  <si>
    <t>4. Select the earliest vintage year in which there is a balance in Account 1595.</t>
  </si>
  <si>
    <t>(e.g. If 2017 is the earliest vintage year in which there is a balance in a 1595 sub-account, select 2017.)</t>
  </si>
  <si>
    <t>5. Did you have any Class A customers at any point during the period that the Account 1589 balance accumulated (i.e. from the year the balance selected in #2 above to the year requested for disposition)?</t>
  </si>
  <si>
    <t>6. Did you have any Class A customers at any point during the period where the balance in Account 1580, Sub-account CBR Class B accumulated (i.e. from the year selected in #3 above to the year requested for disposition)?</t>
  </si>
  <si>
    <t>8. Have you transitioned to fully fixed rates?</t>
  </si>
  <si>
    <t>9. Do you want to update your low voltage service rate?</t>
  </si>
  <si>
    <t>Legend</t>
  </si>
  <si>
    <t>Pale green cells represent input cells.</t>
  </si>
  <si>
    <t>Pale blue cells represent drop-down lists.  The applicant should select the appropriate item from the drop-down list.</t>
  </si>
  <si>
    <t>Red cells represent flags to identify either non-matching values or incorrect user selections.</t>
  </si>
  <si>
    <t>Pale grey cells represent auto-populated RRR data.</t>
  </si>
  <si>
    <t xml:space="preserve">White cells contain fixed values, automatically generated values or formulae. </t>
  </si>
  <si>
    <t>1. Information Sheet</t>
  </si>
  <si>
    <t>Sheet1</t>
  </si>
  <si>
    <t>X</t>
  </si>
  <si>
    <t>2. Current Tariff Schedule</t>
  </si>
  <si>
    <t>2016 List</t>
  </si>
  <si>
    <t>Instructions for Tabs 3 to 7</t>
  </si>
  <si>
    <t>3. Continuity Schedule</t>
  </si>
  <si>
    <t>4. Billing Det. for Def-Var</t>
  </si>
  <si>
    <t>5. Allocating Def-Var Balances</t>
  </si>
  <si>
    <t>6. Class A Consumption Data</t>
  </si>
  <si>
    <t>6.1 GA</t>
  </si>
  <si>
    <t>6.1a GA Allocation</t>
  </si>
  <si>
    <t>6.2 CBR B</t>
  </si>
  <si>
    <t>6.2a CBR B_Allocation</t>
  </si>
  <si>
    <t>7. Calculation of Def-Var RR</t>
  </si>
  <si>
    <t>8. STS - Tax Change</t>
  </si>
  <si>
    <t>9. Shared Tax - Rate Rider</t>
  </si>
  <si>
    <t>10. RTSR Current Rates</t>
  </si>
  <si>
    <t>11. RTSR - UTRs &amp; Sub-Tx</t>
  </si>
  <si>
    <t>12. RTSR - Historical Wholesale</t>
  </si>
  <si>
    <t>13. RTSR - Current Wholesale</t>
  </si>
  <si>
    <t>14. RTSR - Forecast Wholesale</t>
  </si>
  <si>
    <t>15. RTSR Rates to Forecast</t>
  </si>
  <si>
    <t>17. Rev2Cost_GDPIPI</t>
  </si>
  <si>
    <t>18. Regulatory Charges</t>
  </si>
  <si>
    <t>19. Additional Rates</t>
  </si>
  <si>
    <t>20. Final Tariff Schedule</t>
  </si>
  <si>
    <t>21. Bill Impacts</t>
  </si>
  <si>
    <t>20. HIDDEN</t>
  </si>
  <si>
    <t>20. Bill Impacts hidden</t>
  </si>
  <si>
    <t>2.1.7 Filing</t>
  </si>
  <si>
    <t>2 1 5 TotalConsumptionData_Dist</t>
  </si>
  <si>
    <t>212_Total_Connection_RollUp</t>
  </si>
  <si>
    <t>2016 Database</t>
  </si>
  <si>
    <t>lists</t>
  </si>
  <si>
    <t>Sheet2</t>
  </si>
  <si>
    <t>No</t>
  </si>
  <si>
    <t>Please complete the following continuity schedule for the following Deferral/Variance Accounts.  Enter information into green cells only. Please see instructions tab for detailed instructions on how to complete tabs 3 to 7. Column BV has been prepopulated from the latest 2.1.7 RRR filing.
Please refer to the footnotes for further instructions.</t>
  </si>
  <si>
    <r>
      <t>2.1.7 RRR</t>
    </r>
    <r>
      <rPr>
        <vertAlign val="superscript"/>
        <sz val="22"/>
        <rFont val="Book Antiqua"/>
        <family val="1"/>
      </rPr>
      <t>5</t>
    </r>
  </si>
  <si>
    <t>Account Descriptions</t>
  </si>
  <si>
    <t>Account Number</t>
  </si>
  <si>
    <t>Total Interest</t>
  </si>
  <si>
    <t>Total Claim</t>
  </si>
  <si>
    <t>Account Disposition: Yes/No?</t>
  </si>
  <si>
    <t>Claim before Forecasted Transactions</t>
  </si>
  <si>
    <t>Group 1 Accounts</t>
  </si>
  <si>
    <t>LV Variance Account</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</si>
  <si>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</si>
  <si>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</si>
  <si>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</si>
  <si>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</si>
  <si>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RSVA - Retail Transmission Network Charge</t>
  </si>
  <si>
    <t>RSVA - Retail Transmission Connection Charge</t>
  </si>
  <si>
    <r>
      <t>RSVA - Power</t>
    </r>
    <r>
      <rPr>
        <vertAlign val="superscript"/>
        <sz val="11"/>
        <rFont val="Arial"/>
        <family val="2"/>
      </rPr>
      <t>4</t>
    </r>
  </si>
  <si>
    <t>Yes</t>
  </si>
  <si>
    <r>
      <t>RSVA - Global Adjustment</t>
    </r>
    <r>
      <rPr>
        <vertAlign val="superscript"/>
        <sz val="11"/>
        <rFont val="Arial"/>
        <family val="2"/>
      </rPr>
      <t>4</t>
    </r>
  </si>
  <si>
    <r>
      <t>Disposition and Recovery/Refund of Regulatory Balances (2009)</t>
    </r>
    <r>
      <rPr>
        <vertAlign val="superscript"/>
        <sz val="11"/>
        <rFont val="Arial"/>
        <family val="2"/>
      </rPr>
      <t>3</t>
    </r>
  </si>
  <si>
    <r>
      <t>Disposition and Recovery/Refund of Regulatory Balances (2020)</t>
    </r>
    <r>
      <rPr>
        <vertAlign val="superscript"/>
        <sz val="11"/>
        <rFont val="Arial"/>
        <family val="2"/>
      </rPr>
      <t>3</t>
    </r>
  </si>
  <si>
    <r>
      <t>Disposition and Recovery/Refund of Regulatory Balances (2021)</t>
    </r>
    <r>
      <rPr>
        <vertAlign val="superscript"/>
        <sz val="11"/>
        <rFont val="Arial"/>
        <family val="2"/>
      </rPr>
      <t>3</t>
    </r>
  </si>
  <si>
    <r>
      <t>Disposition and Recovery/Refund of Regulatory Balances (2022)</t>
    </r>
    <r>
      <rPr>
        <vertAlign val="superscript"/>
        <sz val="11"/>
        <rFont val="Arial"/>
        <family val="2"/>
      </rPr>
      <t>3</t>
    </r>
  </si>
  <si>
    <r>
      <t>Disposition and Recovery/Refund of Regulatory Balances (2023)</t>
    </r>
    <r>
      <rPr>
        <vertAlign val="superscript"/>
        <sz val="11"/>
        <rFont val="Arial"/>
        <family val="2"/>
      </rPr>
      <t>3</t>
    </r>
  </si>
  <si>
    <t>RSVA - Global Adjustment requested for disposition</t>
  </si>
  <si>
    <t>Total Group 1 Balance excluding Account 1589 - Global Adjustment requested for disposition</t>
  </si>
  <si>
    <t>Total Group 1 Balance requested for disposition</t>
  </si>
  <si>
    <t>RSVA - Global Adjustment</t>
  </si>
  <si>
    <t>Total Group 1 Balance excluding Account 1589 - Global Adjustment</t>
  </si>
  <si>
    <t>Total Group 1 Balance</t>
  </si>
  <si>
    <t>LRAM Variance Account (only input amounts if applying for disposition of this account)</t>
  </si>
  <si>
    <r>
      <t>Impacts Arising from the COVID-19 Emergency, Sub-account Forgone Revenues from Postponing Rate Implementation</t>
    </r>
    <r>
      <rPr>
        <b/>
        <vertAlign val="superscript"/>
        <sz val="11"/>
        <color rgb="FF0000FF"/>
        <rFont val="Arial"/>
        <family val="2"/>
      </rPr>
      <t>6</t>
    </r>
  </si>
  <si>
    <t>For all OEB-Approved dispositions, please ensure that the disposition amount has the same sign (e.g: debit balances are to have a positive figure and credit balance are to have a negative figure) as per the related OEB decision.</t>
  </si>
  <si>
    <t>Please provide explanations for the nature of the adjustments.  If the adjustment relates to previously OEB-Approved disposed balances, please provide amounts for adjustments and include supporting documentations.</t>
  </si>
  <si>
    <t>1) If the LDC's rate year begins on January 1, 2025, the projected interest is recorded from January 1, 2024 to December 31, 2024 on the December 31, 2023 balances adjusted to remove balances approved for disposition in the 2024 rate decision. 
2) If the LDC's rate year begins on May 1, 2025, the projected interest is recorded from January 1, 2024 to April 30, 2025 on the December 31, 2023 balances adjusted to remove balances approved for disposition in the 2024 rate decision.</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</si>
  <si>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 1595 (2021), (2022), (2023) will not be eligible for disposition in the 2024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</si>
  <si>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</si>
  <si>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</si>
  <si>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Alectra Utilities Corporation</t>
  </si>
  <si>
    <t>HHPNS717</t>
  </si>
  <si>
    <t/>
  </si>
  <si>
    <t>RESIDENTIAL SERVICE CLASSIFICATION</t>
  </si>
  <si>
    <t>Algoma Power Inc.</t>
  </si>
  <si>
    <t>WKBSV849</t>
  </si>
  <si>
    <t>Brampton Rate Zone</t>
  </si>
  <si>
    <t>GENERAL SERVICE LESS THAN 50 KW SERVICE CLASSIFICATION</t>
  </si>
  <si>
    <t>Retail Transmission Rate - Line and Transformation Connection Service Rate</t>
  </si>
  <si>
    <t>Atikokan Hydro Inc.</t>
  </si>
  <si>
    <t>NJYBW716</t>
  </si>
  <si>
    <t>Enersource Rate Zone</t>
  </si>
  <si>
    <t>GENERAL SERVICE 50 TO 499 KW SERVICE CLASSIFICATION</t>
  </si>
  <si>
    <t>Retail Transmission Rate - Line and Transformation Connection Service Rate - &lt; 1,000 kW</t>
  </si>
  <si>
    <t>Bluewater Power Distribution Corporation</t>
  </si>
  <si>
    <t>GQQHM388</t>
  </si>
  <si>
    <t>Horizon Utilities Rate Zone</t>
  </si>
  <si>
    <t>GENERAL SERVICE 500 TO 4,999 KW SERVICE CLASSIFICATION</t>
  </si>
  <si>
    <t>Retail Transmission Rate - Line and Transformation Connection Service Rate - Interval Metered</t>
  </si>
  <si>
    <t>GrandBridge Energy Inc.</t>
  </si>
  <si>
    <t>SFXZP935</t>
  </si>
  <si>
    <t>PowerStream Rate Zone</t>
  </si>
  <si>
    <t>LARGE USE SERVICE CLASSIFICATION</t>
  </si>
  <si>
    <t>Retail Transmission Rate - Line and Transformation Connection Service Rate - Interval Metered (1,000 to 4,999 kW)</t>
  </si>
  <si>
    <t>Burlington Hydro Inc.</t>
  </si>
  <si>
    <t>OARZC118</t>
  </si>
  <si>
    <t>Guelph Rate Zone</t>
  </si>
  <si>
    <t>UNMETERED SCATTERED LOAD SERVICE CLASSIFICATION</t>
  </si>
  <si>
    <t>Retail Transmission Rate - Line and Transformation Connection Service Rate - Interval Metered &lt; 1,000 kW</t>
  </si>
  <si>
    <t>Canadian Niagara Power Inc.</t>
  </si>
  <si>
    <t>HJHBH994</t>
  </si>
  <si>
    <t>SENTINEL LIGHTING SERVICE CLASSIFICATION</t>
  </si>
  <si>
    <t>Retail Transmission Rate - Line and Transformation Connection Service Rate - Interval Metered &gt; 1,000 kW</t>
  </si>
  <si>
    <t>Centre Wellington Hydro Ltd.</t>
  </si>
  <si>
    <t>KQEEH473</t>
  </si>
  <si>
    <t>STREET LIGHTING SERVICE CLASSIFICATION</t>
  </si>
  <si>
    <t>Retail Transmission Rate - Line Connection Service Rate</t>
  </si>
  <si>
    <t>Chapleau Public Utilities Corporation</t>
  </si>
  <si>
    <t>CPEFQ593</t>
  </si>
  <si>
    <t>Goderich Rate Zone</t>
  </si>
  <si>
    <t>microFIT SERVICE CLASSIFICATION</t>
  </si>
  <si>
    <t>Retail Transmission Rate - Transformation Connection Service Rate</t>
  </si>
  <si>
    <t>Cooperative Hydro Embrun Inc.</t>
  </si>
  <si>
    <t>QXHJU641</t>
  </si>
  <si>
    <t>Main Rate Zone</t>
  </si>
  <si>
    <t>E.L.K. Energy Inc.</t>
  </si>
  <si>
    <t>AVXSO594</t>
  </si>
  <si>
    <t>Elexicon Energy Inc.</t>
  </si>
  <si>
    <t>JMNNR431</t>
  </si>
  <si>
    <t>Whitby Rate Zone</t>
  </si>
  <si>
    <t>Enova Power Corp.</t>
  </si>
  <si>
    <t>TXKTT167</t>
  </si>
  <si>
    <t>Veridian Rate Zone</t>
  </si>
  <si>
    <t>Entegrus Powerlines Inc.</t>
  </si>
  <si>
    <t>YEOQG654</t>
  </si>
  <si>
    <t>ENWIN Utilities Ltd.</t>
  </si>
  <si>
    <t>PTLUC812</t>
  </si>
  <si>
    <t>EPCOR Electricity Distribution Ontario Inc.</t>
  </si>
  <si>
    <t>ADICB565</t>
  </si>
  <si>
    <t>Brantford Power Rate Zone</t>
  </si>
  <si>
    <t>ERTH Power Corporation</t>
  </si>
  <si>
    <t>LRECV427</t>
  </si>
  <si>
    <t>Energy+ Rate Zone</t>
  </si>
  <si>
    <t>Espanola Regional Hydro Distribution Corporation</t>
  </si>
  <si>
    <t>KTCNY552</t>
  </si>
  <si>
    <t>Essex Powerlines Corporation</t>
  </si>
  <si>
    <t>YEPCI143</t>
  </si>
  <si>
    <t>Festival Hydro Inc.</t>
  </si>
  <si>
    <t>GRHTW113</t>
  </si>
  <si>
    <t>Former Orillia Power Distribution Corporation Service Area</t>
  </si>
  <si>
    <t>Fort Frances Power Corporation</t>
  </si>
  <si>
    <t>GMGHU415</t>
  </si>
  <si>
    <t>Former Peterborough Distribution Inc. Service Area</t>
  </si>
  <si>
    <t>Greater Sudbury Hydro Inc.</t>
  </si>
  <si>
    <t>YTPWF351</t>
  </si>
  <si>
    <t>Former Haldimand County Hydro Inc. Service Area</t>
  </si>
  <si>
    <t>Retail Transmission Rate - Network Service Rate</t>
  </si>
  <si>
    <t>Grimsby Power Incorporated</t>
  </si>
  <si>
    <t>YCYKQ642</t>
  </si>
  <si>
    <t>Former Norfolk Power Distribution Inc. Service Area</t>
  </si>
  <si>
    <t>Retail Transmission Rate - Network Service Rate - &lt; 1,000 kW</t>
  </si>
  <si>
    <t>Halton Hills Hydro Inc.</t>
  </si>
  <si>
    <t>ADZFM459</t>
  </si>
  <si>
    <t>Former Woodstock Hydro Services Inc. Service Area</t>
  </si>
  <si>
    <t>Retail Transmission Rate - Network Service Rate - Interval Metered</t>
  </si>
  <si>
    <t>Hearst Power Distribution Co. Ltd.</t>
  </si>
  <si>
    <t>RVWKN794</t>
  </si>
  <si>
    <t>Retail Transmission Rate - Network Service Rate - Interval Metered (1,000 to 4,999 kW)</t>
  </si>
  <si>
    <t>Hydro 2000 Inc.</t>
  </si>
  <si>
    <t>KESKM585</t>
  </si>
  <si>
    <t>For Former St. Thomas Energy Rate Zone</t>
  </si>
  <si>
    <t>Retail Transmission Rate - Network Service Rate - Interval Metered &lt; 1,000 kW</t>
  </si>
  <si>
    <t>Hydro Hawkesbury Inc.</t>
  </si>
  <si>
    <t>MQFNL784</t>
  </si>
  <si>
    <t>For Entegrus-Main Rate Zone</t>
  </si>
  <si>
    <t>Hydro One Networks Inc.</t>
  </si>
  <si>
    <t>FNDHH648</t>
  </si>
  <si>
    <t>Retail Transmission Rate - Network Service Rate - Interval Metered &gt; 1,000 kW</t>
  </si>
  <si>
    <t>Hydro Ottawa Limited</t>
  </si>
  <si>
    <t>PTREM828</t>
  </si>
  <si>
    <t>InnPower Corporation</t>
  </si>
  <si>
    <t>UBBYF452</t>
  </si>
  <si>
    <t>Kingston Hydro Corporation</t>
  </si>
  <si>
    <t>NSBED625</t>
  </si>
  <si>
    <t>Lakefront Utilities Inc.</t>
  </si>
  <si>
    <t>ZHKLA874</t>
  </si>
  <si>
    <t>Lakeland Power Distribution Ltd.</t>
  </si>
  <si>
    <t>YLJHT264</t>
  </si>
  <si>
    <t>London Hydro Inc.</t>
  </si>
  <si>
    <t>YLCEC559</t>
  </si>
  <si>
    <t>Milton Hydro Distribution Inc.</t>
  </si>
  <si>
    <t>NHKJF259</t>
  </si>
  <si>
    <t>Newmarket-Tay Power Distribution Ltd.</t>
  </si>
  <si>
    <t>SLRXO177</t>
  </si>
  <si>
    <t>Kitchener-Wilmot Hydro Rate Zone</t>
  </si>
  <si>
    <t>Niagara Peninsula Energy Inc.</t>
  </si>
  <si>
    <t>UIFEM157</t>
  </si>
  <si>
    <t>Waterloo North Rate Zone</t>
  </si>
  <si>
    <t>Niagara-on-the-Lake Hydro Inc.</t>
  </si>
  <si>
    <t>RUZIU984</t>
  </si>
  <si>
    <t>North Bay Hydro Distribution Limited</t>
  </si>
  <si>
    <t>KSUYD122</t>
  </si>
  <si>
    <t>Northern Ontario Wires Inc.</t>
  </si>
  <si>
    <t>QHCKN852</t>
  </si>
  <si>
    <t>Oakville Hydro Electricity Distribution Inc.</t>
  </si>
  <si>
    <t>FUIJX538</t>
  </si>
  <si>
    <t>Orangeville Hydro Limited</t>
  </si>
  <si>
    <t>PWKJP953</t>
  </si>
  <si>
    <t>Oshawa PUC Networks Inc.</t>
  </si>
  <si>
    <t>TVKSH414</t>
  </si>
  <si>
    <t>Ottawa River Power Corporation</t>
  </si>
  <si>
    <t>DUISI693</t>
  </si>
  <si>
    <t>PUC Distribution Inc.</t>
  </si>
  <si>
    <t>GTLBW445</t>
  </si>
  <si>
    <t>Renfrew Hydro Inc.</t>
  </si>
  <si>
    <t>XCFPH269</t>
  </si>
  <si>
    <t>Rideau St. Lawrence Distribution Inc.</t>
  </si>
  <si>
    <t>MLWYG784</t>
  </si>
  <si>
    <t>Sioux Lookout Hydro Inc.</t>
  </si>
  <si>
    <t>QDKIF127</t>
  </si>
  <si>
    <t>Synergy North Corporation</t>
  </si>
  <si>
    <t>AMZEN437</t>
  </si>
  <si>
    <t>Tillsonburg Hydro Inc.</t>
  </si>
  <si>
    <t>ACEVX242</t>
  </si>
  <si>
    <t>Toronto Hydro-Electric System Limited</t>
  </si>
  <si>
    <t>DSPWZ318</t>
  </si>
  <si>
    <t>Wasaga Distribution Inc.</t>
  </si>
  <si>
    <t>OLIUU862</t>
  </si>
  <si>
    <t>Welland Hydro-Electric System Corp.</t>
  </si>
  <si>
    <t>ZYZFO848</t>
  </si>
  <si>
    <t>Wellington North Power Inc.</t>
  </si>
  <si>
    <t>ASEGZ471</t>
  </si>
  <si>
    <t>Westario Power Inc.</t>
  </si>
  <si>
    <t>IOKHC383</t>
  </si>
  <si>
    <t>YES</t>
  </si>
  <si>
    <t xml:space="preserve">Data on this worksheet has been populated using your most recent RRR filing.
</t>
  </si>
  <si>
    <t>If you have identified any issues, please contact the OEB.</t>
  </si>
  <si>
    <t>Have you confirmed the accuracy of the data below?</t>
  </si>
  <si>
    <t xml:space="preserve">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t>
  </si>
  <si>
    <t xml:space="preserve">Please contact the OEB to make adjustments to the IRM rate generator for this situation.  
</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</si>
  <si>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</si>
  <si>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</si>
  <si>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0"/>
        <color rgb="FFFF0000"/>
        <rFont val="Arial"/>
        <family val="2"/>
      </rPr>
      <t>kWh</t>
    </r>
    <r>
      <rPr>
        <b/>
        <sz val="10"/>
        <rFont val="Arial"/>
        <family val="2"/>
      </rPr>
      <t xml:space="preserve"> for Non-RPP Customers (excluding WMP)</t>
    </r>
  </si>
  <si>
    <r>
      <t xml:space="preserve">Metered </t>
    </r>
    <r>
      <rPr>
        <b/>
        <sz val="10"/>
        <color rgb="FFFF0000"/>
        <rFont val="Arial"/>
        <family val="2"/>
      </rPr>
      <t>kW</t>
    </r>
    <r>
      <rPr>
        <b/>
        <sz val="10"/>
        <rFont val="Arial"/>
        <family val="2"/>
      </rPr>
      <t xml:space="preserve"> for Non-RPP Customers (excluding WMP)</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</si>
  <si>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</si>
  <si>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</si>
  <si>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r>
      <t xml:space="preserve">Total Metered </t>
    </r>
    <r>
      <rPr>
        <b/>
        <sz val="10"/>
        <color rgb="FFFF0000"/>
        <rFont val="Arial"/>
        <family val="2"/>
      </rPr>
      <t xml:space="preserve">kWh </t>
    </r>
    <r>
      <rPr>
        <b/>
        <sz val="10"/>
        <rFont val="Arial"/>
        <family val="2"/>
      </rPr>
      <t xml:space="preserve">less WMP consumption
</t>
    </r>
    <r>
      <rPr>
        <b/>
        <i/>
        <sz val="10"/>
        <rFont val="Arial"/>
        <family val="2"/>
      </rPr>
      <t>(if applicable)</t>
    </r>
  </si>
  <si>
    <r>
      <t xml:space="preserve">Total Metered </t>
    </r>
    <r>
      <rPr>
        <b/>
        <sz val="10"/>
        <color rgb="FFFF0000"/>
        <rFont val="Arial"/>
        <family val="2"/>
      </rPr>
      <t xml:space="preserve">kW </t>
    </r>
    <r>
      <rPr>
        <b/>
        <sz val="10"/>
        <rFont val="Arial"/>
        <family val="2"/>
      </rPr>
      <t xml:space="preserve">less WMP consumption 
</t>
    </r>
    <r>
      <rPr>
        <b/>
        <i/>
        <sz val="10"/>
        <rFont val="Arial"/>
        <family val="2"/>
      </rPr>
      <t>(if applicable)</t>
    </r>
  </si>
  <si>
    <r>
      <t xml:space="preserve">Account 1509 Allocation
</t>
    </r>
    <r>
      <rPr>
        <b/>
        <sz val="10"/>
        <color rgb="FFFF0000"/>
        <rFont val="Arial"/>
        <family val="2"/>
      </rPr>
      <t xml:space="preserve"> ($ distribution revenue from last COS)</t>
    </r>
  </si>
  <si>
    <r>
      <t xml:space="preserve">1595 Recovery Proportion (2020) </t>
    </r>
    <r>
      <rPr>
        <b/>
        <vertAlign val="superscript"/>
        <sz val="10"/>
        <rFont val="Arial"/>
        <family val="2"/>
      </rPr>
      <t>1</t>
    </r>
  </si>
  <si>
    <r>
      <t xml:space="preserve">1595 Recovery Proportion (2021) </t>
    </r>
    <r>
      <rPr>
        <b/>
        <vertAlign val="superscript"/>
        <sz val="10"/>
        <rFont val="Arial"/>
        <family val="2"/>
      </rPr>
      <t>1</t>
    </r>
  </si>
  <si>
    <r>
      <t xml:space="preserve">1595 Recovery Proportion (2022) </t>
    </r>
    <r>
      <rPr>
        <b/>
        <vertAlign val="superscript"/>
        <sz val="10"/>
        <rFont val="Arial"/>
        <family val="2"/>
      </rPr>
      <t>1</t>
    </r>
  </si>
  <si>
    <r>
      <t xml:space="preserve">1595 Recovery Proportion (2023) </t>
    </r>
    <r>
      <rPr>
        <b/>
        <vertAlign val="superscript"/>
        <sz val="10"/>
        <rFont val="Arial"/>
        <family val="2"/>
      </rPr>
      <t>1</t>
    </r>
  </si>
  <si>
    <r>
      <t xml:space="preserve">1595 Recovery Proportion (2024) </t>
    </r>
    <r>
      <rPr>
        <b/>
        <vertAlign val="superscript"/>
        <sz val="10"/>
        <rFont val="Arial"/>
        <family val="2"/>
      </rPr>
      <t>1</t>
    </r>
  </si>
  <si>
    <r>
      <t xml:space="preserve">1568 LRAM Variance Account Class Allocation                           </t>
    </r>
    <r>
      <rPr>
        <b/>
        <sz val="10"/>
        <color rgb="FFFF0000"/>
        <rFont val="Arial"/>
        <family val="2"/>
      </rPr>
      <t>($ amounts)</t>
    </r>
  </si>
  <si>
    <r>
      <t>Number of Customers for Residential and GS&lt;50 classes</t>
    </r>
    <r>
      <rPr>
        <b/>
        <vertAlign val="superscript"/>
        <sz val="11"/>
        <color theme="1"/>
        <rFont val="Calibri"/>
        <family val="2"/>
        <scheme val="minor"/>
      </rPr>
      <t>3</t>
    </r>
  </si>
  <si>
    <t>Rate Class</t>
  </si>
  <si>
    <t>Unit</t>
  </si>
  <si>
    <t>No input required.  This workshseet allocates the deferral/variance account balances (Group 1 and Account 1568) to the appropriate classes as per EDDVAR dated July 31, 2009.</t>
  </si>
  <si>
    <t>Allocation of Group 1 Accounts (including Account 1568)</t>
  </si>
  <si>
    <r>
      <t xml:space="preserve">% of  Total </t>
    </r>
    <r>
      <rPr>
        <b/>
        <sz val="10"/>
        <color theme="3"/>
        <rFont val="Arial"/>
        <family val="2"/>
      </rPr>
      <t>kWh</t>
    </r>
  </si>
  <si>
    <r>
      <t xml:space="preserve">% of  Total </t>
    </r>
    <r>
      <rPr>
        <b/>
        <sz val="10"/>
        <color theme="3"/>
        <rFont val="Arial"/>
        <family val="2"/>
      </rPr>
      <t>non-RPP kWh</t>
    </r>
  </si>
  <si>
    <t>% of Customer Numbers **</t>
  </si>
  <si>
    <r>
      <t xml:space="preserve">% of  Total </t>
    </r>
    <r>
      <rPr>
        <b/>
        <sz val="10"/>
        <color theme="3"/>
        <rFont val="Arial"/>
        <family val="2"/>
      </rPr>
      <t xml:space="preserve">kWh </t>
    </r>
    <r>
      <rPr>
        <b/>
        <sz val="10"/>
        <rFont val="Arial"/>
        <family val="2"/>
      </rPr>
      <t>adjusted for WMP</t>
    </r>
  </si>
  <si>
    <t>allocated based on Total less WMP</t>
  </si>
  <si>
    <t>allocated based on distribution revenues</t>
  </si>
  <si>
    <t>1580 (Class A)</t>
  </si>
  <si>
    <t>1580 (Class B)</t>
  </si>
  <si>
    <t>1595_(2020)</t>
  </si>
  <si>
    <t>1595_(2021)</t>
  </si>
  <si>
    <t>1595_(2022)</t>
  </si>
  <si>
    <t>1595_(2023)</t>
  </si>
  <si>
    <t>1595_(2024)</t>
  </si>
  <si>
    <t>1a</t>
  </si>
  <si>
    <t>The year Account 1589 GA was last disposed</t>
  </si>
  <si>
    <t>Years since Account 1589 GA  balance was last disposed (up to 2016)</t>
  </si>
  <si>
    <t>1b</t>
  </si>
  <si>
    <t>The year Account 1580 CBR Class B was last disposed</t>
  </si>
  <si>
    <t>Note that the sub-account was established in 2015.</t>
  </si>
  <si>
    <t>2a</t>
  </si>
  <si>
    <t>Did you have any customers who transitioned between Class A and Class B (transition customers)  during the period the Account 1589 GA balance accumulated (i.e. from the year after the balance was last disposed per #1a above to the current year requested for disposition)?</t>
  </si>
  <si>
    <t>(If you received approval to dispose of the GA account balance as at December 31, 2019, the period the GA variance accumulated would be 2020 to 2022.)</t>
  </si>
  <si>
    <t>2b</t>
  </si>
  <si>
    <t xml:space="preserve">Did you have any customers who transitioned between Class A and Class B (transition customers) during the period the Account 1580, sub-account CBR Class B balance accumulated (i.e. from the year after the balance was last disposed per #1b above to the current year requested for disposition)?
</t>
  </si>
  <si>
    <t>(If you received approval to dispose of the CBR Class B account balance as at December 31, 2019, the period the CBR Class B variance accumulated would be 2020 to 2022.)</t>
  </si>
  <si>
    <t>3a</t>
  </si>
  <si>
    <t>Enter the number of transition customer you had during the period the Account 1589 GA or Account 1580 CBR B balance accumulated (i.e. from the year after the balance was last disposed per #1a/1b above to the current year requested for disposition).</t>
  </si>
  <si>
    <t>Transition Customers - Non-loss Adjusted Billing Determinants by Customer</t>
  </si>
  <si>
    <t>Customer</t>
  </si>
  <si>
    <t>July to December</t>
  </si>
  <si>
    <t>January to June</t>
  </si>
  <si>
    <t>Customer 1</t>
  </si>
  <si>
    <t>kWh</t>
  </si>
  <si>
    <t>kW</t>
  </si>
  <si>
    <t>Class A/B</t>
  </si>
  <si>
    <t>Customer 2</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</si>
  <si>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</si>
  <si>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</si>
  <si>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</si>
  <si>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</si>
  <si>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</si>
  <si>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</si>
  <si>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</si>
  <si>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</si>
  <si>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</si>
  <si>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</si>
  <si>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</si>
  <si>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</si>
  <si>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</si>
  <si>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</si>
  <si>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</si>
  <si>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</si>
  <si>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</si>
  <si>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</si>
  <si>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</si>
  <si>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</si>
  <si>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</si>
  <si>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</si>
  <si>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</si>
  <si>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</si>
  <si>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</si>
  <si>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</si>
  <si>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</si>
  <si>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</si>
  <si>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</si>
  <si>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</si>
  <si>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</si>
  <si>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</si>
  <si>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</si>
  <si>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</si>
  <si>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</si>
  <si>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</si>
  <si>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</si>
  <si>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</si>
  <si>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</si>
  <si>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</si>
  <si>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</si>
  <si>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</si>
  <si>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</si>
  <si>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</si>
  <si>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</si>
  <si>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</si>
  <si>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</si>
  <si>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</si>
  <si>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</si>
  <si>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</si>
  <si>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</si>
  <si>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</si>
  <si>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</si>
  <si>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</si>
  <si>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</si>
  <si>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</si>
  <si>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</si>
  <si>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</si>
  <si>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</si>
  <si>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</si>
  <si>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</si>
  <si>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</si>
  <si>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</si>
  <si>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</si>
  <si>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</si>
  <si>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</si>
  <si>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</si>
  <si>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</si>
  <si>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</si>
  <si>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</si>
  <si>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</si>
  <si>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</si>
  <si>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</si>
  <si>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</si>
  <si>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</si>
  <si>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</si>
  <si>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</si>
  <si>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</si>
  <si>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</si>
  <si>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</si>
  <si>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</si>
  <si>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</si>
  <si>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</si>
  <si>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</si>
  <si>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</si>
  <si>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</si>
  <si>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</si>
  <si>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</si>
  <si>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</si>
  <si>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</si>
  <si>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</si>
  <si>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</si>
  <si>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</si>
  <si>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</si>
  <si>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</si>
  <si>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</si>
  <si>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</si>
  <si>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</si>
  <si>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</si>
  <si>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</si>
  <si>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</si>
  <si>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</si>
  <si>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</si>
  <si>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</si>
  <si>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</si>
  <si>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</si>
  <si>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</si>
  <si>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</si>
  <si>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</si>
  <si>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</si>
  <si>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</si>
  <si>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</si>
  <si>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</si>
  <si>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</si>
  <si>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</si>
  <si>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</si>
  <si>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</si>
  <si>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</si>
  <si>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</si>
  <si>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</si>
  <si>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</si>
  <si>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</si>
  <si>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</si>
  <si>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</si>
  <si>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</si>
  <si>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</si>
  <si>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</si>
  <si>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</si>
  <si>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</si>
  <si>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</si>
  <si>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</si>
  <si>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</si>
  <si>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</si>
  <si>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</si>
  <si>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</si>
  <si>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</si>
  <si>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</si>
  <si>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</si>
  <si>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</si>
  <si>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</si>
  <si>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</si>
  <si>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</si>
  <si>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</si>
  <si>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</si>
  <si>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</si>
  <si>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</si>
  <si>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</si>
  <si>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</si>
  <si>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</si>
  <si>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Enter the number of rate classes in which there were customers who were Class A for the full year during the  period the Account 1589 GA or Account 1580 CBR B balance accumulated (i.e. from the year after the balance was last disposed per #1a/1b above to the current year requested for disposition).</t>
  </si>
  <si>
    <t>In the table, enter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2021, exclude this customer's consumption for 2021 but include this customer's consumption in 2022 as they were a Class A customer for the full year).</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</si>
  <si>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</si>
  <si>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</si>
  <si>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</si>
  <si>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</si>
  <si>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</si>
  <si>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</si>
  <si>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</si>
  <si>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</si>
  <si>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</si>
  <si>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</si>
  <si>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</si>
  <si>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</si>
  <si>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</si>
  <si>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</si>
  <si>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</si>
  <si>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</si>
  <si>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</si>
  <si>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</si>
  <si>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</si>
  <si>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</si>
  <si>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</si>
  <si>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</si>
  <si>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</si>
  <si>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</si>
  <si>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</si>
  <si>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</si>
  <si>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</si>
  <si>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</si>
  <si>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</si>
  <si>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</si>
  <si>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</si>
  <si>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</si>
  <si>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</si>
  <si>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</si>
  <si>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</si>
  <si>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</si>
  <si>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</si>
  <si>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</si>
  <si>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</si>
  <si>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</si>
  <si>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</si>
  <si>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</si>
  <si>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</si>
  <si>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</si>
  <si>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</si>
  <si>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</si>
  <si>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</si>
  <si>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</si>
  <si>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</si>
  <si>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</si>
  <si>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</si>
  <si>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</si>
  <si>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</si>
  <si>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</si>
  <si>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</si>
  <si>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</si>
  <si>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</si>
  <si>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</si>
  <si>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</si>
  <si>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</si>
  <si>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</si>
  <si>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</si>
  <si>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</si>
  <si>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</si>
  <si>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</si>
  <si>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</si>
  <si>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</si>
  <si>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</si>
  <si>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</si>
  <si>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</si>
  <si>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</si>
  <si>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</si>
  <si>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</si>
  <si>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</si>
  <si>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</si>
  <si>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</si>
  <si>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</si>
  <si>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</si>
  <si>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</si>
  <si>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</si>
  <si>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</si>
  <si>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</si>
  <si>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</si>
  <si>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</si>
  <si>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</si>
  <si>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</si>
  <si>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</si>
  <si>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</si>
  <si>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</si>
  <si>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</si>
  <si>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</si>
  <si>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</si>
  <si>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</si>
  <si>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</si>
  <si>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</si>
  <si>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</si>
  <si>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</si>
  <si>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</si>
  <si>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</si>
  <si>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</si>
  <si>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</si>
  <si>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</si>
  <si>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</si>
  <si>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</si>
  <si>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</si>
  <si>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</si>
  <si>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</si>
  <si>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</si>
  <si>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</si>
  <si>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</si>
  <si>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</si>
  <si>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</si>
  <si>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</si>
  <si>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</si>
  <si>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</si>
  <si>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</si>
  <si>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</si>
  <si>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</si>
  <si>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</si>
  <si>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</si>
  <si>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</si>
  <si>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</si>
  <si>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</si>
  <si>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</si>
  <si>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</si>
  <si>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</si>
  <si>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</si>
  <si>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</si>
  <si>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</si>
  <si>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</si>
  <si>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</si>
  <si>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</si>
  <si>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</si>
  <si>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</si>
  <si>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</si>
  <si>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</si>
  <si>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</si>
  <si>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</si>
  <si>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</si>
  <si>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</si>
  <si>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</si>
  <si>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</si>
  <si>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</si>
  <si>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</si>
  <si>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</si>
  <si>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</si>
  <si>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</si>
  <si>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</si>
  <si>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</si>
  <si>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</si>
  <si>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</si>
  <si>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</si>
  <si>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Year the Account 1589 GA Balance Last Disposed</t>
  </si>
  <si>
    <t>Allocation of total Non-RPP Consumption (kWh) between Current Class B and Class A/B Transition Customers</t>
  </si>
  <si>
    <t>Total</t>
  </si>
  <si>
    <t>Non-RPP Consumption Less WMP Consumption</t>
  </si>
  <si>
    <t>A</t>
  </si>
  <si>
    <t xml:space="preserve">   Less Class A Consumption for Partial Year Class A Customers</t>
  </si>
  <si>
    <t>B</t>
  </si>
  <si>
    <t xml:space="preserve">   Less Consumption for Full Year Class A Customers</t>
  </si>
  <si>
    <t>C</t>
  </si>
  <si>
    <t xml:space="preserve">Total Class B Consumption for Years During Balance Accumulation </t>
  </si>
  <si>
    <t>D = A-B-C</t>
  </si>
  <si>
    <t>All Class B Consumption for Transition Customers</t>
  </si>
  <si>
    <t>E</t>
  </si>
  <si>
    <t xml:space="preserve">Transition Customers' Portion of Total Consumption </t>
  </si>
  <si>
    <t>F = E/D</t>
  </si>
  <si>
    <t>Allocation of Total GA Balance $</t>
  </si>
  <si>
    <t>Total GA Balance</t>
  </si>
  <si>
    <t>G</t>
  </si>
  <si>
    <t>Transition Customers Portion of GA Balance</t>
  </si>
  <si>
    <t>H=F*G</t>
  </si>
  <si>
    <t>GA Balance to be disposed to Current Class B Customers through Rate Rider</t>
  </si>
  <si>
    <t>I=G-H</t>
  </si>
  <si>
    <t>Allocation of GA Balances to Class A/B Transition Customers</t>
  </si>
  <si>
    <t># of Class A/B Transition Customers</t>
  </si>
  <si>
    <t>Total Metered Consumption (kWh) for Transition Customers During the Period When They Were Class B Customers</t>
  </si>
  <si>
    <t>Metered Consumption (kWh) for Transition Customers During the Period When They Were Class B Customers in 2023</t>
  </si>
  <si>
    <t>Metered Consumption (kWh) for Transition Customers During the Period When They Were Class B Customers in 2022</t>
  </si>
  <si>
    <t>Metered Consumption (kWh) for Transition Customers During the Period When They Were Class B Customers in 2021</t>
  </si>
  <si>
    <t>Metered Consumption (kWh) for Transition Customers During the Period When They Were Class B Customers in 2020</t>
  </si>
  <si>
    <t>% of kWh</t>
  </si>
  <si>
    <t>Customer Specific GA Allocation for the Period When They Were Class B customers</t>
  </si>
  <si>
    <t>Monthly Equal Payments</t>
  </si>
  <si>
    <t>The purpose of this tab is to calculate the GA rate riders for all current Class B customers who did not transition between Class A and B in the period since the Account 1589 GA was last disposed. Calculations in this tab will be modified upon completion of tab 6.1a, which allocates a portion of the GA balance to transition customers, if applicable.
Effective January 2017, the billing determinant and all rate riders for the disposition of GA balances will be calculated on an energy basis (kWhs) regardless of the billing determinant used for distribution rates for the particular class (see Chapter 3, Filing Requirements)</t>
  </si>
  <si>
    <t>Default Rate Rider Recovery Period (in months)</t>
  </si>
  <si>
    <t>Proposed Rate Rider Recovery Period (in months)</t>
  </si>
  <si>
    <t>% of total kWh</t>
  </si>
  <si>
    <t>Total GA $ allocated to Current Class B Customers</t>
  </si>
  <si>
    <t>GA Rate Rider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</si>
  <si>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</si>
  <si>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</si>
  <si>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</si>
  <si>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</si>
  <si>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Allocation of Total CBR Class B Balance $</t>
  </si>
  <si>
    <t xml:space="preserve">Total CBR Class B Balance </t>
  </si>
  <si>
    <t>Transition Customers Portion of CBR Class B Balance</t>
  </si>
  <si>
    <t>CBR Class B Balance to be disposed to Current Class B Customers through Rate Rider</t>
  </si>
  <si>
    <t>Allocation of CBR Class B Balances to Transition Customers</t>
  </si>
  <si>
    <t xml:space="preserve">Customer </t>
  </si>
  <si>
    <t>Total Metered Class B Consumption (kWh)  for Transition Customers During the Period When They were Class B Customers</t>
  </si>
  <si>
    <t>Metered Class B Consumption (kWh)  for Transition Customers During the Period When They were Class B Customers in 2023</t>
  </si>
  <si>
    <t>Metered Class B Consumption (kWh)  for Transition Customers During the Period When They were Class B Customers in 2022</t>
  </si>
  <si>
    <t>Metered Class B Consumption (kWh)  for Transition Customers During the Period When They were Class B Customers in 2021</t>
  </si>
  <si>
    <t>Metered Class B Consumption (kWh)  for Transition Customers During the Period When They were Class B Customers in 2020</t>
  </si>
  <si>
    <t>Customer Specific CBR Class B Allocation for the Period When They Were Class B Customers</t>
  </si>
  <si>
    <t>Revised Monthly Payment</t>
  </si>
  <si>
    <t>If the CBR Class B rate rider calculated in tab 6.2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</si>
  <si>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t xml:space="preserve">No input required. The purpose of this tab is to calculate the CBR rate riders for all current Class B customers who did not transition between Class A and B in the period since the Account 1580, sub-account CBR Class B balance accumulated.
</t>
  </si>
  <si>
    <t>Total CBR Class B $ allocated to Current Class B Customers</t>
  </si>
  <si>
    <t>CBR Class B Rate Rider</t>
  </si>
  <si>
    <t xml:space="preserve"> </t>
  </si>
  <si>
    <r>
      <rPr>
        <b/>
        <sz val="11"/>
        <color theme="1"/>
        <rFont val="Arial"/>
        <family val="2"/>
      </rPr>
      <t>Input required at cells C13 and C14.</t>
    </r>
    <r>
      <rPr>
        <sz val="11"/>
        <color theme="1"/>
        <rFont val="Arial"/>
        <family val="2"/>
      </rPr>
      <t xml:space="preserve">  This workshseet calculates rate riders related to the Deferral/Variance Account Disposition (if applicable) and rate riders for Account 1568.  Rate Riders will not be generated for the microFIT class.</t>
    </r>
  </si>
  <si>
    <t>DVA Proposed Rate Rider Recovery Period (in months)</t>
  </si>
  <si>
    <t>LRAM Proposed Rate Rider Recovery Period (in months)</t>
  </si>
  <si>
    <t>Account 1509 Proposed Rate Rider Recovery Period (in months)</t>
  </si>
  <si>
    <t>Total Metered kWh</t>
  </si>
  <si>
    <t>Metered kW 
or kVA</t>
  </si>
  <si>
    <r>
      <t xml:space="preserve">Total Metered </t>
    </r>
    <r>
      <rPr>
        <b/>
        <sz val="10"/>
        <color rgb="FFFF0000"/>
        <rFont val="Arial"/>
        <family val="2"/>
      </rPr>
      <t xml:space="preserve">kWh </t>
    </r>
    <r>
      <rPr>
        <b/>
        <sz val="10"/>
        <rFont val="Arial"/>
        <family val="2"/>
      </rPr>
      <t xml:space="preserve">less WMP consumption </t>
    </r>
  </si>
  <si>
    <r>
      <t xml:space="preserve">Total Metered </t>
    </r>
    <r>
      <rPr>
        <b/>
        <sz val="10"/>
        <color rgb="FFFF0000"/>
        <rFont val="Arial"/>
        <family val="2"/>
      </rPr>
      <t xml:space="preserve">kW </t>
    </r>
    <r>
      <rPr>
        <b/>
        <sz val="10"/>
        <rFont val="Arial"/>
        <family val="2"/>
      </rPr>
      <t xml:space="preserve">less WMP consumption </t>
    </r>
  </si>
  <si>
    <r>
      <t xml:space="preserve">Allocation of Group 1 Account Balances to All Classes </t>
    </r>
    <r>
      <rPr>
        <b/>
        <vertAlign val="superscript"/>
        <sz val="10"/>
        <rFont val="Arial"/>
        <family val="2"/>
      </rPr>
      <t>2</t>
    </r>
  </si>
  <si>
    <r>
      <t xml:space="preserve">Allocation of Group 1 Account Balances to Non-WMP Classes Only (If Applicable) </t>
    </r>
    <r>
      <rPr>
        <b/>
        <vertAlign val="superscript"/>
        <sz val="10"/>
        <rFont val="Arial"/>
        <family val="2"/>
      </rPr>
      <t>2</t>
    </r>
  </si>
  <si>
    <r>
      <t xml:space="preserve">Deferral/Variance Account Rate Rider </t>
    </r>
    <r>
      <rPr>
        <b/>
        <vertAlign val="superscript"/>
        <sz val="10"/>
        <rFont val="Arial"/>
        <family val="2"/>
      </rPr>
      <t>2</t>
    </r>
  </si>
  <si>
    <r>
      <t xml:space="preserve">Deferral/Variance Account Rate Rider for Non-WMP 
(if applicable) </t>
    </r>
    <r>
      <rPr>
        <b/>
        <vertAlign val="superscript"/>
        <sz val="10"/>
        <rFont val="Arial"/>
        <family val="2"/>
      </rPr>
      <t>2</t>
    </r>
  </si>
  <si>
    <t>Account 1568 Rate Rider</t>
  </si>
  <si>
    <r>
      <t>Account 1509 Rate Rider</t>
    </r>
    <r>
      <rPr>
        <b/>
        <vertAlign val="superscript"/>
        <sz val="10"/>
        <rFont val="Arial"/>
        <family val="2"/>
      </rPr>
      <t>3</t>
    </r>
  </si>
  <si>
    <t>Revenue Reconciliation:</t>
  </si>
  <si>
    <t>Columns E and F have been populated with data from the most recent RRR filing. Rate classes that have more than one Network or Connection charge will notice that the cells are highlighted in green and unlocked.  
If the data needs to be modified, please make the necessary adjustments and note the changes in your manager's summary. As well, the Loss Factor has been imported from Tab 2.</t>
  </si>
  <si>
    <t>Rate Description</t>
  </si>
  <si>
    <t>Rate</t>
  </si>
  <si>
    <t>Non-Loss Adjusted Metered kWh</t>
  </si>
  <si>
    <t>Non-Loss Adjusted Metered kW</t>
  </si>
  <si>
    <t>Applicable Loss Factor</t>
  </si>
  <si>
    <t>Loss Adjusted Billed kWh</t>
  </si>
  <si>
    <t>Uniform Transmission Rates</t>
  </si>
  <si>
    <t>Network Service Rate</t>
  </si>
  <si>
    <t>Line Connection Service Rate</t>
  </si>
  <si>
    <t>Transformation Connection Service Rate</t>
  </si>
  <si>
    <t>Hydro One Sub-Transmission Rates</t>
  </si>
  <si>
    <t>Both Line and Transformation Connection Service Rate</t>
  </si>
  <si>
    <t>If needed, add extra host here. (I)</t>
  </si>
  <si>
    <t>If needed, add extra host here. (II)</t>
  </si>
  <si>
    <t>Low Voltage Switchgear Credit (if applicable, enter as a negative value)</t>
  </si>
  <si>
    <t>$</t>
  </si>
  <si>
    <t xml:space="preserve">In the green shaded cells, enter billing detail for wholesale transmission for the same reporting period as the billing determinants on Tab 10. For Hydro One Sub-transmission Rates, if you are charged a combined Line and Transformer connection rate, please ensure that both the Line Connection and Transformation Connection columns are completed. 
If any of the Hydro One Sub-transmission rates (column E, I and M) are highlighted in red, please double check the billing data entered in "Units Billed" and "Amount" columns. The highlighted rates do not match the Hydro One Sub-transmission rates approved for that time period. If data has been entered correctly, please provide explanation for the discrepancy in rates.
</t>
  </si>
  <si>
    <t>IESO</t>
  </si>
  <si>
    <t>Network</t>
  </si>
  <si>
    <t>Line Connection</t>
  </si>
  <si>
    <t>Transformation Connection</t>
  </si>
  <si>
    <t>Total Connection</t>
  </si>
  <si>
    <t>Month</t>
  </si>
  <si>
    <t>Units Billed</t>
  </si>
  <si>
    <t>Amount</t>
  </si>
  <si>
    <t>January</t>
  </si>
  <si>
    <t>February</t>
  </si>
  <si>
    <t>March</t>
  </si>
  <si>
    <t>April</t>
  </si>
  <si>
    <t>May</t>
  </si>
  <si>
    <t>June</t>
  </si>
  <si>
    <t>July</t>
  </si>
  <si>
    <t>August</t>
  </si>
  <si>
    <t>September</t>
  </si>
  <si>
    <t>October</t>
  </si>
  <si>
    <t>November</t>
  </si>
  <si>
    <t>December</t>
  </si>
  <si>
    <t>Hydro One</t>
  </si>
  <si>
    <t>Low Voltage Switchgear Credit (if applicable)</t>
  </si>
  <si>
    <t>Total including deduction for Low Voltage Switchgear Credit</t>
  </si>
  <si>
    <t>The purpose of this table is to re-align the current RTS Network Rates to recover current wholesale network costs.</t>
  </si>
  <si>
    <t>Current RTSR-Network</t>
  </si>
  <si>
    <t>Billed kW</t>
  </si>
  <si>
    <t>Billed Amount</t>
  </si>
  <si>
    <t>Billed Amount %</t>
  </si>
  <si>
    <t>Current Wholesale Billing</t>
  </si>
  <si>
    <t>Adjusted RTSR Network</t>
  </si>
  <si>
    <t>NO</t>
  </si>
  <si>
    <t>Loss Adjusted Or Total Metered</t>
  </si>
  <si>
    <t>Host Distributor LV Rates/Charges</t>
  </si>
  <si>
    <t>SERVICE POINTS</t>
  </si>
  <si>
    <t>DESCRIPTION</t>
  </si>
  <si>
    <t>TYPE</t>
  </si>
  <si>
    <t>DELETE?</t>
  </si>
  <si>
    <t>NAME</t>
  </si>
  <si>
    <t>JANUARY</t>
  </si>
  <si>
    <t>MONTH</t>
  </si>
  <si>
    <t>SERVICE POINT</t>
  </si>
  <si>
    <t>KW</t>
  </si>
  <si>
    <t>RATE</t>
  </si>
  <si>
    <t>NUMBER OF ACCOUNTS</t>
  </si>
  <si>
    <t>TOTAL CHARGE</t>
  </si>
  <si>
    <t>COMMENTS</t>
  </si>
  <si>
    <t>FEBRUARY</t>
  </si>
  <si>
    <t>MARCH</t>
  </si>
  <si>
    <t>APRIL</t>
  </si>
  <si>
    <t>MAY</t>
  </si>
  <si>
    <t>JUNE</t>
  </si>
  <si>
    <t>JULY</t>
  </si>
  <si>
    <t>AUGUST</t>
  </si>
  <si>
    <t>SEPTEMBER</t>
  </si>
  <si>
    <t>OCTOBER</t>
  </si>
  <si>
    <t>NOVEMBER</t>
  </si>
  <si>
    <t>DECEMBER</t>
  </si>
  <si>
    <t>Grand Total</t>
  </si>
  <si>
    <t>Units</t>
  </si>
  <si>
    <t>Allocation based on Tx-Connection Revenue
%</t>
  </si>
  <si>
    <t>Total Metered 
kWh</t>
  </si>
  <si>
    <t>Total Metered 
kW</t>
  </si>
  <si>
    <t>LV
Rate/kWh</t>
  </si>
  <si>
    <t>LV
Rate/kW</t>
  </si>
  <si>
    <t>V</t>
  </si>
  <si>
    <t>Wholesale Market Service Rate (WMS) - not including CBR</t>
  </si>
  <si>
    <t>$/kWh</t>
  </si>
  <si>
    <t xml:space="preserve">Capacity Based Recovery (CBR) - Applicable for Class B Customers </t>
  </si>
  <si>
    <t>Rural or Remote Electricity Rate Protection Charge (RRRP)</t>
  </si>
  <si>
    <t>Standard Supply Service - Administrative Charge (if applicable)</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</si>
  <si>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</si>
  <si>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</si>
  <si>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</si>
  <si>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</si>
  <si>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</si>
  <si>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</si>
  <si>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</si>
  <si>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Electronic Business Transaction (EBT) system, applied to the requesting party</t>
  </si>
  <si>
    <t>no charge</t>
  </si>
  <si>
    <t>Notice of switch letter charge, per letter (unless the distributor has opted out of applying the charge as per the Ontario Energy Board's Decision and Order EB-2015-0304, issued on February 14, 2019)</t>
  </si>
  <si>
    <t>Rate Rider Name</t>
  </si>
  <si>
    <t>Keywords</t>
  </si>
  <si>
    <t>Standard Name</t>
  </si>
  <si>
    <t>Short Name</t>
  </si>
  <si>
    <t>Sub Total</t>
  </si>
  <si>
    <t>Incremental Capital</t>
  </si>
  <si>
    <t>Incremental Capital, Capital Funding</t>
  </si>
  <si>
    <t>RR_ICM_ALL</t>
  </si>
  <si>
    <t>Rate Rider for Recovery of Incremental Capital</t>
  </si>
  <si>
    <t>Advanced Capital</t>
  </si>
  <si>
    <t>RR_ACM_ALL</t>
  </si>
  <si>
    <t>Rate Rider for Recovery of Advanced Capital Module</t>
  </si>
  <si>
    <t>Stranded Meter</t>
  </si>
  <si>
    <t>RR_StrandedMeter_ALL</t>
  </si>
  <si>
    <t>Rate Rider for Recovery of Stranded Meter Assets</t>
  </si>
  <si>
    <t>IFRS</t>
  </si>
  <si>
    <t>IFRS_ALL</t>
  </si>
  <si>
    <t>Rate Rider for Application of IFRS</t>
  </si>
  <si>
    <t>Acquisition Agreement</t>
  </si>
  <si>
    <t>RR_Acquisition_ALL</t>
  </si>
  <si>
    <t>Rate Rider per Acquisition Agreement</t>
  </si>
  <si>
    <t>Acount 1576</t>
  </si>
  <si>
    <t>RR_1576_ALL</t>
  </si>
  <si>
    <t>Rate Rider for Disposition of Account 1576</t>
  </si>
  <si>
    <t>Acount 1575</t>
  </si>
  <si>
    <t>RR_1575_ALL</t>
  </si>
  <si>
    <t>Rate Rider for Disposition of Account 1575</t>
  </si>
  <si>
    <t>Acount 1575 and 1576</t>
  </si>
  <si>
    <t>1575 and 1576</t>
  </si>
  <si>
    <t>RR_1575_1576_ALL</t>
  </si>
  <si>
    <t>Rate Rider for Disposition of Accounts 1575 and 1576</t>
  </si>
  <si>
    <t>Acount 1574</t>
  </si>
  <si>
    <t>RR_1574_ALL</t>
  </si>
  <si>
    <t>Rate Rider for Disposition of Account 1574</t>
  </si>
  <si>
    <t>Residual Historical Smart Meter</t>
  </si>
  <si>
    <t>RR_Hist_SM_ALL</t>
  </si>
  <si>
    <t>Rate Rider for Disposition of Residual Historical Smart Meter Costs</t>
  </si>
  <si>
    <t>Smart Meter Cost</t>
  </si>
  <si>
    <t>RR_SM_Cost_ALL</t>
  </si>
  <si>
    <t>Smart Meter Incremental Revenue</t>
  </si>
  <si>
    <t>RR_SMIRR_ALL</t>
  </si>
  <si>
    <t>Rate Rider for Recovery of Smart Meter Incremental Revenue Requirement</t>
  </si>
  <si>
    <t>Foregone Revenue</t>
  </si>
  <si>
    <t>Foregone Revenue, Forgone Revenue, Foregone Distribution Revenue</t>
  </si>
  <si>
    <t>RR_ForgoneRevenue_ALL</t>
  </si>
  <si>
    <t>Rate Rider for Recovery of (year) Foregone Revenue</t>
  </si>
  <si>
    <t>Storm Damage</t>
  </si>
  <si>
    <t>RR_Storm_ALL</t>
  </si>
  <si>
    <t>Rate Rider for Recovery of Wind Storm Damage Costs</t>
  </si>
  <si>
    <t>Low Voltage</t>
  </si>
  <si>
    <t>RR_LV_ALL</t>
  </si>
  <si>
    <t>Low Voltage Service Rate</t>
  </si>
  <si>
    <t>Funding Adder</t>
  </si>
  <si>
    <t>Funding Adder, Renewable Energy</t>
  </si>
  <si>
    <t>RR_FA_ALL</t>
  </si>
  <si>
    <t>Funding Adder for Renewable Energy Generation</t>
  </si>
  <si>
    <t>Wheeling Rate - ALL</t>
  </si>
  <si>
    <t>Wheeling</t>
  </si>
  <si>
    <t>DWSR_ALL</t>
  </si>
  <si>
    <t>Distribution Wheeling Service Rate</t>
  </si>
  <si>
    <t>Account 1595</t>
  </si>
  <si>
    <t>RR_1595_ALL</t>
  </si>
  <si>
    <t>Rate Rider for Disposition of Account 1595</t>
  </si>
  <si>
    <t>Disposition of 2016 Earning Sharing</t>
  </si>
  <si>
    <t>Earning Sharing</t>
  </si>
  <si>
    <t>RR_EarningSharing_ALL</t>
  </si>
  <si>
    <t>Rate Rider for Disposition of Earnings Sharing</t>
  </si>
  <si>
    <t>Disposition of Tax Loss Carry-forward</t>
  </si>
  <si>
    <t>RR_Tax_Loss_ALL</t>
  </si>
  <si>
    <t>Rate Rider for Disposition of Tax Loss Carry-forward</t>
  </si>
  <si>
    <t>Deferral/Variance</t>
  </si>
  <si>
    <t>Deferral and Variance</t>
  </si>
  <si>
    <t>RR_DVA_ALL</t>
  </si>
  <si>
    <t>Rate Rider for Disposition of Deferral/Variance Accounts</t>
  </si>
  <si>
    <t>Deferral/Variance_Non_WMP</t>
  </si>
  <si>
    <t>Deferral and Variance and Non WMP</t>
  </si>
  <si>
    <t>RR_DVA_Non_WMP</t>
  </si>
  <si>
    <t>Rate Rider for Disposition of Deferral/Variance Accounts Applicable only for Non-Wholesale Market Participants</t>
  </si>
  <si>
    <t>Capacity Based Recovery</t>
  </si>
  <si>
    <t>RR_CBR_ClASS_B</t>
  </si>
  <si>
    <t>Rate Rider for Disposition of Capacity Based Recovery Account Applicable only for Class B Customers</t>
  </si>
  <si>
    <t>Tax Change</t>
  </si>
  <si>
    <t>RR_TaxChange_ALL</t>
  </si>
  <si>
    <t>Rate Rider for Application of Tax Change</t>
  </si>
  <si>
    <t>Wellington North Power Inc._Start</t>
  </si>
  <si>
    <t>TARIFF OF RATES AND CHARGES</t>
  </si>
  <si>
    <t>This schedule supersedes and replaces all previously</t>
  </si>
  <si>
    <t>approved schedules of Rates, Charges and Loss Factors</t>
  </si>
  <si>
    <t>1_RESIDENTIAL SERVICE CLASSIFICATION</t>
  </si>
  <si>
    <t xml:space="preserve">This classification refers to the supply of electrical energy to Customers residing in residential dwelling units.  Energy is generally supplied as single phase, 3-wire, 60-Hertz, having a nominal voltage of 120/240 Volts.  Class B consumers are defined in accordance with O. Reg. 429/04. Further servicing details are available in the distributor’s Conditions of Service.
</t>
  </si>
  <si>
    <t>1_APPLICATION</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</si>
  <si>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</si>
  <si>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</si>
  <si>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</si>
  <si>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</si>
  <si>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</si>
  <si>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1_MRC_Del</t>
  </si>
  <si>
    <t>MONTHLY RATES AND CHARGES - Delivery Component</t>
  </si>
  <si>
    <t>1_RESIDENTIAL SERVICE CLASSIFICATION_MSC</t>
  </si>
  <si>
    <t>Monthly Service Charge</t>
  </si>
  <si>
    <t>1_RESIDENTIAL SERVICE CLASSIFICATION_SME</t>
  </si>
  <si>
    <t>Smart Metering Entity Charge - effective until December 31, 2027</t>
  </si>
  <si>
    <t>1_RESIDENTIAL SERVICE CLASSIFICATION_LV</t>
  </si>
  <si>
    <t>1_RESIDENTIAL SERVICE CLASSIFICATION_GA_kwh</t>
  </si>
  <si>
    <t>1_RESIDENTIAL SERVICE CLASSIFICATION_DEFVAR_ALL</t>
  </si>
  <si>
    <t>1_RESIDENTIAL SERVICE CLASSIFICATION_Retail Transmission Rate - Network Service Rate</t>
  </si>
  <si>
    <t>1_RESIDENTIAL SERVICE CLASSIFICATION_Retail Transmission Rate - Line and Transformation Connection Service Rate</t>
  </si>
  <si>
    <t>1_MRC_Reg</t>
  </si>
  <si>
    <t>MONTHLY RATES AND CHARGES - Regulatory Component</t>
  </si>
  <si>
    <t>T</t>
  </si>
  <si>
    <t>1_RESIDENTIAL SERVICE CLASSIFICATION_WMSR</t>
  </si>
  <si>
    <t>1_RESIDENTIAL SERVICE CLASSIFICATION_RRRP</t>
  </si>
  <si>
    <t>1_RESIDENTIAL SERVICE CLASSIFICATION_SSS</t>
  </si>
  <si>
    <t>2_GENERAL SERVICE LESS THAN 50 KW SERVICE CLASSIFICATION</t>
  </si>
  <si>
    <t>This classification applies to customers in General Service buildings with a connected load less than 50 kW, and Town Houses and Condominiums that require centralized bulk metering. General Service buildings are defined as buildings that are used for purposes other than single-family dwellings. Class B consumers are defined in accordance with O. Reg. 429/04. Further servicing details are available in the distributor’s Conditions of Service.</t>
  </si>
  <si>
    <t>2_APPLICATION</t>
  </si>
  <si>
    <t>2_MRC_Del</t>
  </si>
  <si>
    <t>2_GENERAL SERVICE LESS THAN 50 KW SERVICE CLASSIFICATION_MSC</t>
  </si>
  <si>
    <t>2_GENERAL SERVICE LESS THAN 50 KW SERVICE CLASSIFICATION_SME</t>
  </si>
  <si>
    <t>2_GENERAL SERVICE LESS THAN 50 KW SERVICE CLASSIFICATION_DVC</t>
  </si>
  <si>
    <t xml:space="preserve">Distribution Volumetric Rate </t>
  </si>
  <si>
    <t>2_GENERAL SERVICE LESS THAN 50 KW SERVICE CLASSIFICATION_LV</t>
  </si>
  <si>
    <t>2_GENERAL SERVICE LESS THAN 50 KW SERVICE CLASSIFICATION_GA_kwh</t>
  </si>
  <si>
    <t>2_GENERAL SERVICE LESS THAN 50 KW SERVICE CLASSIFICATION_DEFVAR_ALL</t>
  </si>
  <si>
    <t>2_GENERAL SERVICE LESS THAN 50 KW SERVICE CLASSIFICATION_Retail Transmission Rate - Network Service Rate</t>
  </si>
  <si>
    <t>2_GENERAL SERVICE LESS THAN 50 KW SERVICE CLASSIFICATION_Retail Transmission Rate - Line and Transformation Connection Service Rate</t>
  </si>
  <si>
    <t>2_MRC_Reg</t>
  </si>
  <si>
    <t>2_GENERAL SERVICE LESS THAN 50 KW SERVICE CLASSIFICATION_WMSR</t>
  </si>
  <si>
    <t>2_GENERAL SERVICE LESS THAN 50 KW SERVICE CLASSIFICATION_RRRP</t>
  </si>
  <si>
    <t>2_GENERAL SERVICE LESS THAN 50 KW SERVICE CLASSIFICATION_SSS</t>
  </si>
  <si>
    <t>3_GENERAL SERVICE 50 TO 999 KW SERVICE CLASSIFICATION</t>
  </si>
  <si>
    <t>GENERAL SERVICE 50 TO 999 KW SERVICE CLASSIFICATION</t>
  </si>
  <si>
    <t>This classification applies to a non residential account whose average monthly maximum demand used for billing purposes is equal to or greater than, or is forecast to be equal to or greater than, 50 kW but less than 1,000 kW. Class B consumers are defined in accordance with O. Reg. 429/04. Further servicing details are available in the distributor’s Conditions of Service.</t>
  </si>
  <si>
    <t>3_APPLICATION</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</si>
  <si>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</si>
  <si>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</si>
  <si>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3_MRC_Del</t>
  </si>
  <si>
    <t>3_GENERAL SERVICE 50 TO 999 KW SERVICE CLASSIFICATION_MSC</t>
  </si>
  <si>
    <t>3_GENERAL SERVICE 50 TO 999 KW SERVICE CLASSIFICATION_DVC</t>
  </si>
  <si>
    <t>3_GENERAL SERVICE 50 TO 999 KW SERVICE CLASSIFICATION_LV</t>
  </si>
  <si>
    <t>3_GENERAL SERVICE 50 TO 999 KW SERVICE CLASSIFICATION_GA_kwh</t>
  </si>
  <si>
    <t>3_GENERAL SERVICE 50 TO 999 KW SERVICE CLASSIFICATION_DEFVAR_ALL</t>
  </si>
  <si>
    <t>3_GENERAL SERVICE 50 TO 999 KW SERVICE CLASSIFICATION_Retail Transmission Rate - Network Service Rate</t>
  </si>
  <si>
    <t>3_GENERAL SERVICE 50 TO 999 KW SERVICE CLASSIFICATION_Retail Transmission Rate - Line and Transformation Connection Service Rate</t>
  </si>
  <si>
    <t>3_MRC_Reg</t>
  </si>
  <si>
    <t>3_GENERAL SERVICE 50 TO 999 KW SERVICE CLASSIFICATION_WMSR</t>
  </si>
  <si>
    <t>3_GENERAL SERVICE 50 TO 999 KW SERVICE CLASSIFICATION_RRRP</t>
  </si>
  <si>
    <t>3_GENERAL SERVICE 50 TO 999 KW SERVICE CLASSIFICATION_SSS</t>
  </si>
  <si>
    <t>4_GENERAL SERVICE 1,000 TO 4,999 KW SERVICE CLASSIFICATION</t>
  </si>
  <si>
    <t>GENERAL SERVICE 1,000 TO 4,999 KW SERVICE CLASSIFICATION</t>
  </si>
  <si>
    <t>This classification applies to a non residential account whose average monthly maximum demand used for billing purposes is equal to or greater than, or is forecast to be equal to or greater than, 1,000 kW but less than 5,000 kW. Class A and Class B consumers are defined in accordance with O. Reg. 429/04. Further servicing details are available in the distributor’s Conditions of Service.</t>
  </si>
  <si>
    <t>4_APPLICATION</t>
  </si>
  <si>
    <t>4_MRC_Del</t>
  </si>
  <si>
    <t>4_GENERAL SERVICE 1,000 TO 4,999 KW SERVICE CLASSIFICATION_MSC</t>
  </si>
  <si>
    <t>4_GENERAL SERVICE 1,000 TO 4,999 KW SERVICE CLASSIFICATION_DVC</t>
  </si>
  <si>
    <t>4_GENERAL SERVICE 1,000 TO 4,999 KW SERVICE CLASSIFICATION_LV</t>
  </si>
  <si>
    <t>4_GENERAL SERVICE 1,000 TO 4,999 KW SERVICE CLASSIFICATION_GA_kwh</t>
  </si>
  <si>
    <t>4_GENERAL SERVICE 1,000 TO 4,999 KW SERVICE CLASSIFICATION_DEFVAR_ALL</t>
  </si>
  <si>
    <t>4_GENERAL SERVICE 1,000 TO 4,999 KW SERVICE CLASSIFICATION_Retail Transmission Rate - Network Service Rate</t>
  </si>
  <si>
    <t>4_GENERAL SERVICE 1,000 TO 4,999 KW SERVICE CLASSIFICATION_Retail Transmission Rate - Line and Transformation Connection Service Rate</t>
  </si>
  <si>
    <t>4_MRC_Reg</t>
  </si>
  <si>
    <t>4_GENERAL SERVICE 1,000 TO 4,999 KW SERVICE CLASSIFICATION_WMSR</t>
  </si>
  <si>
    <t>4_GENERAL SERVICE 1,000 TO 4,999 KW SERVICE CLASSIFICATION_RRRP</t>
  </si>
  <si>
    <t>4_GENERAL SERVICE 1,000 TO 4,999 KW SERVICE CLASSIFICATION_SSS</t>
  </si>
  <si>
    <t>5_UNMETERED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</si>
  <si>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street lighting, billboards,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</si>
  <si>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5_APPLICATION</t>
  </si>
  <si>
    <t>5_MRC_Del</t>
  </si>
  <si>
    <t>5_UNMETERED SCATTERED LOAD SERVICE CLASSIFICATION_MSC</t>
  </si>
  <si>
    <t>Monthly Service Charge (per connection)</t>
  </si>
  <si>
    <t>5_UNMETERED SCATTERED LOAD SERVICE CLASSIFICATION_DVC</t>
  </si>
  <si>
    <t>5_UNMETERED SCATTERED LOAD SERVICE CLASSIFICATION_LV</t>
  </si>
  <si>
    <t>5_UNMETERED SCATTERED LOAD SERVICE CLASSIFICATION_GA_kwh</t>
  </si>
  <si>
    <t>5_UNMETERED SCATTERED LOAD SERVICE CLASSIFICATION_DEFVAR_ALL</t>
  </si>
  <si>
    <t>5_UNMETERED SCATTERED LOAD SERVICE CLASSIFICATION_Retail Transmission Rate - Network Service Rate</t>
  </si>
  <si>
    <t>5_UNMETERED SCATTERED LOAD SERVICE CLASSIFICATION_Retail Transmission Rate - Line and Transformation Connection Service Rate</t>
  </si>
  <si>
    <t>5_MRC_Reg</t>
  </si>
  <si>
    <t>5_UNMETERED SCATTERED LOAD SERVICE CLASSIFICATION_WMSR</t>
  </si>
  <si>
    <t>5_UNMETERED SCATTERED LOAD SERVICE CLASSIFICATION_RRRP</t>
  </si>
  <si>
    <t>5_UNMETERED SCATTERED LOAD SERVICE CLASSIFICATION_SSS</t>
  </si>
  <si>
    <t>6_SENTINEL LIGHTING SERVICE CLASSIFICATION</t>
  </si>
  <si>
    <t>This classification refers to accounts for unmetered lighting loads supplied to sentinel lights. Class B consumers are defined in accordance with O. Reg. 429/04.  Further servicing details are available in the distributor’s Conditions of Service.</t>
  </si>
  <si>
    <t>6_APPLICATION</t>
  </si>
  <si>
    <t>6_MRC_Del</t>
  </si>
  <si>
    <t>6_SENTINEL LIGHTING SERVICE CLASSIFICATION_MSC</t>
  </si>
  <si>
    <t>6_SENTINEL LIGHTING SERVICE CLASSIFICATION_DVC</t>
  </si>
  <si>
    <t>6_SENTINEL LIGHTING SERVICE CLASSIFICATION_LV</t>
  </si>
  <si>
    <t>6_SENTINEL LIGHTING SERVICE CLASSIFICATION_DEFVAR_ALL</t>
  </si>
  <si>
    <t>6_SENTINEL LIGHTING SERVICE CLASSIFICATION_Retail Transmission Rate - Network Service Rate</t>
  </si>
  <si>
    <t>6_SENTINEL LIGHTING SERVICE CLASSIFICATION_Retail Transmission Rate - Line and Transformation Connection Service Rate</t>
  </si>
  <si>
    <t>6_MRC_Reg</t>
  </si>
  <si>
    <t>6_SENTINEL LIGHTING SERVICE CLASSIFICATION_WMSR</t>
  </si>
  <si>
    <t>6_SENTINEL LIGHTING SERVICE CLASSIFICATION_RRRP</t>
  </si>
  <si>
    <t>6_SENTINEL LIGHTING SERVICE CLASSIFICATION_SSS</t>
  </si>
  <si>
    <t>7_STREET LIGHTING SERVICE CLASSIFICATION</t>
  </si>
  <si>
    <t>This classification refers to accounts for roadway lighting with a Municipality, Regional Municipality, and Ministry of Transportation.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</si>
  <si>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7_APPLICATION</t>
  </si>
  <si>
    <t>7_MRC_Del</t>
  </si>
  <si>
    <t>7_STREET LIGHTING SERVICE CLASSIFICATION_MSC</t>
  </si>
  <si>
    <t>Monthly Service Charge (per device)</t>
  </si>
  <si>
    <t>7_STREET LIGHTING SERVICE CLASSIFICATION_DVC</t>
  </si>
  <si>
    <t>7_STREET LIGHTING SERVICE CLASSIFICATION_LV</t>
  </si>
  <si>
    <t>7_STREET LIGHTING SERVICE CLASSIFICATION_GA_kwh</t>
  </si>
  <si>
    <t>7_STREET LIGHTING SERVICE CLASSIFICATION_DEFVAR_ALL</t>
  </si>
  <si>
    <t>7_STREET LIGHTING SERVICE CLASSIFICATION_Retail Transmission Rate - Network Service Rate</t>
  </si>
  <si>
    <t>7_STREET LIGHTING SERVICE CLASSIFICATION_Retail Transmission Rate - Line and Transformation Connection Service Rate</t>
  </si>
  <si>
    <t>7_MRC_Reg</t>
  </si>
  <si>
    <t>7_STREET LIGHTING SERVICE CLASSIFICATION_WMSR</t>
  </si>
  <si>
    <t>7_STREET LIGHTING SERVICE CLASSIFICATION_RRRP</t>
  </si>
  <si>
    <t>7_STREET LIGHTING SERVICE CLASSIFICATION_SSS</t>
  </si>
  <si>
    <t>8_microFIT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</si>
  <si>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</si>
  <si>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8_APPLICATION</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</si>
  <si>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</si>
  <si>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 xml:space="preserve">Unless specifically noted, this schedule does not contain any charges for the electricity commodity, be it under the Regulated Price Plan, a contract with a retailer or a wholesale market price, as applicable.   </t>
  </si>
  <si>
    <t>It should be noted that this schedule does list any charges, assessments or credits that are required by law to be invoiced by a distributor and that are not subject to Ontario Energy Board approval, such as the Global Adjustment and HST.</t>
  </si>
  <si>
    <t>8_MRC_Del</t>
  </si>
  <si>
    <t>8_microFIT SERVICE CLASSIFICATION_MSC</t>
  </si>
  <si>
    <t>Wellington North Power Inc._ALLOWANCES</t>
  </si>
  <si>
    <t>Transformer Allowance for Ownership - per kW of billing demand/month</t>
  </si>
  <si>
    <t>Primary Metering Allowance for Transformer Losses - applied to measured demand &amp; energy</t>
  </si>
  <si>
    <t>Wellington North Power Inc._SSC</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</si>
  <si>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</si>
  <si>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Wellington North Power Inc._CA</t>
  </si>
  <si>
    <t xml:space="preserve">      Notification charge</t>
  </si>
  <si>
    <t xml:space="preserve">      Account history</t>
  </si>
  <si>
    <t xml:space="preserve">      Returned cheque (plus bank charges)</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</si>
  <si>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</si>
  <si>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</si>
  <si>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</si>
  <si>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</si>
  <si>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Late payment - per month</t>
  </si>
  <si>
    <t xml:space="preserve">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</si>
  <si>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</si>
  <si>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</si>
  <si>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</si>
  <si>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</si>
  <si>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Interval meter load management tool charge $/month</t>
  </si>
  <si>
    <t xml:space="preserve">      Service call - customer owned equipment</t>
  </si>
  <si>
    <t xml:space="preserve">      Service call - customer-owned equipment - after regular hours</t>
  </si>
  <si>
    <t xml:space="preserve">      Temporary service - install &amp; remove - overhead - no transformer</t>
  </si>
  <si>
    <t xml:space="preserve">      Specific charge for access to the power poles - $/pole/year</t>
  </si>
  <si>
    <t xml:space="preserve">      (with the exception of wireless attachments)</t>
  </si>
  <si>
    <t>Wellington North Power Inc._RSC</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</si>
  <si>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</si>
  <si>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</si>
  <si>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</si>
  <si>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</si>
  <si>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</si>
  <si>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</si>
  <si>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</si>
  <si>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</si>
  <si>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</si>
  <si>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</si>
  <si>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Wellington North Power Inc._LFs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</si>
  <si>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</si>
  <si>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</si>
  <si>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Wellington North Power Inc._End</t>
  </si>
  <si>
    <t>Total Loss Factor - Primary Metered Customer &lt; 5,000 kW</t>
  </si>
  <si>
    <t>%</t>
  </si>
  <si>
    <t>2.1.5 TotalConsumptionData_Dist_Ret_Total_Combined_2021_v2</t>
  </si>
  <si>
    <t>F+P</t>
  </si>
  <si>
    <t>Q+G</t>
  </si>
  <si>
    <t>Filing Year</t>
  </si>
  <si>
    <t>Company Name</t>
  </si>
  <si>
    <t>Rate Class Detail</t>
  </si>
  <si>
    <t>Company Detail Class</t>
  </si>
  <si>
    <t>Ret_Metered_consumption_in_kWhs</t>
  </si>
  <si>
    <t>Ret_Metered_consumption_in_kWs</t>
  </si>
  <si>
    <t>RPPMeterCustkWh</t>
  </si>
  <si>
    <t>Metered Consumption on RPP - Kw</t>
  </si>
  <si>
    <t>Metered Consumption on Non-RPP - Kwh</t>
  </si>
  <si>
    <t>Metered Consumption on Non-RPP - Kw</t>
  </si>
  <si>
    <t>Billed by IESO For Commodity - Kwh</t>
  </si>
  <si>
    <t>Billed by IESO For Commodity - Kw</t>
  </si>
  <si>
    <t>Class_A_Consumption_kWhs</t>
  </si>
  <si>
    <t>Class_A_Consumption_kWs</t>
  </si>
  <si>
    <t>Total Consumption - Kwh</t>
  </si>
  <si>
    <t>Total Consumption - Kw</t>
  </si>
  <si>
    <t>Calculated_TOTAL_KWH</t>
  </si>
  <si>
    <t>Calculated_TOTAL_KW</t>
  </si>
  <si>
    <t>Embedded Distributor(s)</t>
  </si>
  <si>
    <t>Embedded Distributor - Brampton Rate Zone</t>
  </si>
  <si>
    <t>Alectra Utilities Corporation_Brampton Rate Zone_Embedded Distributor Service Classification</t>
  </si>
  <si>
    <t>General Service &lt; 50 kW</t>
  </si>
  <si>
    <t>Distributed Generation - Dgen - Brampton Rate Zone</t>
  </si>
  <si>
    <t>Alectra Utilities Corporation_Brampton Rate Zone_DISTRIBUTED GENERATION [DGEN] SERVICE CLASSIFICATION</t>
  </si>
  <si>
    <t>General Service Less Than 50 kW - Enersource</t>
  </si>
  <si>
    <t>Alectra Utilities Corporation_Enersource Rate Zone_General Service Less Than 50 kW Service Classification</t>
  </si>
  <si>
    <t>General Service Less Than 50 kW - Guelph Hydro</t>
  </si>
  <si>
    <t>Alectra Utilities Corporation_Guelph Rate Zone_General Service Less Than 50 kW Service Classification</t>
  </si>
  <si>
    <t>General Service Less Than 50 kW - Horizon</t>
  </si>
  <si>
    <t>Alectra Utilities Corporation_Horizon Utilities Rate Zone_General Service Less Than 50 kW Service Classification</t>
  </si>
  <si>
    <t>General Service Less Than 50 kW - Brampton Rate Zone</t>
  </si>
  <si>
    <t>Alectra Utilities Corporation_Brampton Rate Zone_General Service Less Than 50 kW Service Classification</t>
  </si>
  <si>
    <t>General Service Less Than 50 kW - PowerStream</t>
  </si>
  <si>
    <t>General Service &gt;= 50 kW</t>
  </si>
  <si>
    <t>Energy From Waste - Brampton Rate Zone</t>
  </si>
  <si>
    <t>Alectra Utilities Corporation_Brampton Rate Zone_Energy From Waste Service Classification</t>
  </si>
  <si>
    <t>General Service 1,000 to 4,999 kW - Guelph Hydro</t>
  </si>
  <si>
    <t>Alectra Utilities Corporation_Guelph Rate Zone_General Service 1,000 to 4,999 kW Service Classification</t>
  </si>
  <si>
    <t>General Service 50 To 999 kW - Guelph Hydro</t>
  </si>
  <si>
    <t>Alectra Utilities Corporation_Guelph Rate Zone_General Service 50 To 999 kW Service Classification</t>
  </si>
  <si>
    <t>General Service 50 to 4,999 kW - Horizon</t>
  </si>
  <si>
    <t>Alectra Utilities Corporation_Horizon Utilities Rate Zone_General Service 50 to 4,999 kW Service Classification</t>
  </si>
  <si>
    <t>General Service 50 to 4,999 kW - PowerStream</t>
  </si>
  <si>
    <t>General Service 50 to 499 kW - Enersource</t>
  </si>
  <si>
    <t>Alectra Utilities Corporation_Enersource Rate Zone_General Service 50 to 499 kW Service Classification</t>
  </si>
  <si>
    <t>General Service 50 to 699 kW - Brampton Rate Zone</t>
  </si>
  <si>
    <t>Alectra Utilities Corporation_Brampton Rate Zone_General Service 50 to 699 kW Service Classification</t>
  </si>
  <si>
    <t>General Service 500 to 4,999 kW - Enersource</t>
  </si>
  <si>
    <t>Alectra Utilities Corporation_Enersource Rate Zone_General Service 500 to 4,999 kW Service Classification</t>
  </si>
  <si>
    <t>General Service 700 to 4,999 kW - Brampton Rate Zone</t>
  </si>
  <si>
    <t>Alectra Utilities Corporation_Brampton Rate Zone_General Service 700 to 4,999 kW Service Classification</t>
  </si>
  <si>
    <t>Large User</t>
  </si>
  <si>
    <t>Large Use - Enersource</t>
  </si>
  <si>
    <t>Alectra Utilities Corporation_Enersource Rate Zone_Large Use Service Classification</t>
  </si>
  <si>
    <t>Large Use - Guelph Hydro</t>
  </si>
  <si>
    <t>Alectra Utilities Corporation_Guelph Rate Zone_Large Use Service Classification</t>
  </si>
  <si>
    <t>Large Use - Horizon</t>
  </si>
  <si>
    <t>Alectra Utilities Corporation_Horizon Utilities Rate Zone_Large Use Service Classification</t>
  </si>
  <si>
    <t>Large Use - Hydro One Brampton</t>
  </si>
  <si>
    <t>Large Use - PowerStream</t>
  </si>
  <si>
    <t>Large Use with Dedicated Assets - Horizon</t>
  </si>
  <si>
    <t>Alectra Utilities Corporation_Horizon Utilities Rate Zone_Large Use with Dedicated Assets Service Classification</t>
  </si>
  <si>
    <t>Residential</t>
  </si>
  <si>
    <t>Residential - Enersource</t>
  </si>
  <si>
    <t>Alectra Utilities Corporation_Enersource Rate Zone_Residential Service Classification</t>
  </si>
  <si>
    <t>Residential - Guelph Hydro</t>
  </si>
  <si>
    <t>Alectra Utilities Corporation_Guelph Rate Zone_Residential Service Classification</t>
  </si>
  <si>
    <t>Residential - Horizon</t>
  </si>
  <si>
    <t>Alectra Utilities Corporation_Horizon Utilities Rate Zone_Residential Service Classification</t>
  </si>
  <si>
    <t>Residential - Brampton Rate Zone</t>
  </si>
  <si>
    <t>Alectra Utilities Corporation_Brampton Rate Zone_Residential Service Classification</t>
  </si>
  <si>
    <t>Residential - PowerStream</t>
  </si>
  <si>
    <t>Sentinel Lighting Connections</t>
  </si>
  <si>
    <t>Sentinel Lighting - Guelph Hydro</t>
  </si>
  <si>
    <t>Alectra Utilities Corporation_Guelph Rate Zone_Sentinel Lighting Service Classification</t>
  </si>
  <si>
    <t>Sentinel Lighting - Horizon</t>
  </si>
  <si>
    <t>Alectra Utilities Corporation_Horizon Utilities Rate Zone_Sentinel Lighting Service Classification</t>
  </si>
  <si>
    <t>Sentinel Lighting - PowerStream</t>
  </si>
  <si>
    <t>Street Lighting Connections</t>
  </si>
  <si>
    <t>Street Lighting - Enersource</t>
  </si>
  <si>
    <t>Alectra Utilities Corporation_Enersource Rate Zone_Street Lighting Service Classification</t>
  </si>
  <si>
    <t>Street Lighting - Guelph Hydro</t>
  </si>
  <si>
    <t>Alectra Utilities Corporation_Guelph Rate Zone_Street Lighting Service Classification</t>
  </si>
  <si>
    <t>Street Lighting - Horizon</t>
  </si>
  <si>
    <t>Alectra Utilities Corporation_Horizon Utilities Rate Zone_Street Lighting Service Classification</t>
  </si>
  <si>
    <t>Street Lighting - Brampton Rate Zone</t>
  </si>
  <si>
    <t>Alectra Utilities Corporation_Brampton Rate Zone_Street Lighting Service Classification</t>
  </si>
  <si>
    <t>Street Lighting - PowerStream</t>
  </si>
  <si>
    <t>Unmetered Scattered Load Connections</t>
  </si>
  <si>
    <t>Unmetered Scattered Load - Enersource</t>
  </si>
  <si>
    <t>Alectra Utilities Corporation_Enersource Rate Zone_Unmetered Scattered Load Service Classification</t>
  </si>
  <si>
    <t>Unmetered Scattered Load - Guelph Hydro</t>
  </si>
  <si>
    <t>Alectra Utilities Corporation_Guelph Rate Zone_Unmetered Scattered Load Service Classification</t>
  </si>
  <si>
    <t>Unmetered Scattered Load - Horizon</t>
  </si>
  <si>
    <t>Alectra Utilities Corporation_Horizon Utilities Rate Zone_Unmetered Scattered Load Service Classification</t>
  </si>
  <si>
    <t>Unmetered Scattered Load - Brampton Rate Zone</t>
  </si>
  <si>
    <t>Alectra Utilities Corporation_Brampton Rate Zone_Unmetered Scattered Load Service Classification</t>
  </si>
  <si>
    <t>Unmetered Scattered Load - PowerStream</t>
  </si>
  <si>
    <t>Residential - R1ii)</t>
  </si>
  <si>
    <t>Residential - R2</t>
  </si>
  <si>
    <t>Residential - R1i)</t>
  </si>
  <si>
    <t>Residential - Seasonal</t>
  </si>
  <si>
    <t>Street Lighting</t>
  </si>
  <si>
    <t>Algoma Power Inc._Street Lighting Service Classification</t>
  </si>
  <si>
    <t>General Service Less Than 50 kW</t>
  </si>
  <si>
    <t>Atikokan Hydro Inc._General Service Less Than 50 kW Service Classification</t>
  </si>
  <si>
    <t>General Service 50 to 4,999 kW</t>
  </si>
  <si>
    <t>Atikokan Hydro Inc._General Service 50 to 4,999 kW Service Classification</t>
  </si>
  <si>
    <t>Atikokan Hydro Inc._Residential Service Classification</t>
  </si>
  <si>
    <t>Atikokan Hydro Inc._Street Lighting Service Classification</t>
  </si>
  <si>
    <t>Bluewater Power Distribution Corporation_General Service Less Than 50 kW Service Classification</t>
  </si>
  <si>
    <t>General Service 1,000 to 4,999 kW</t>
  </si>
  <si>
    <t>Bluewater Power Distribution Corporation_General Service 1,000 to 4,999 kW Service Classification</t>
  </si>
  <si>
    <t>General Service 50 to 999 kW</t>
  </si>
  <si>
    <t>Bluewater Power Distribution Corporation_General Service 50 to 999 kW Service Classification</t>
  </si>
  <si>
    <t>Large Use</t>
  </si>
  <si>
    <t>Bluewater Power Distribution Corporation_Large Use Service Classification</t>
  </si>
  <si>
    <t>Bluewater Power Distribution Corporation_Residential Service Classification</t>
  </si>
  <si>
    <t>Sentinel Lighting</t>
  </si>
  <si>
    <t>Bluewater Power Distribution Corporation_Sentinel Lighting Service Classification</t>
  </si>
  <si>
    <t>Bluewater Power Distribution Corporation_Street Lighting Service Classification</t>
  </si>
  <si>
    <t>Unmetered Scattered Load</t>
  </si>
  <si>
    <t>Bluewater Power Distribution Corporation_Unmetered Scattered Load Service Classification</t>
  </si>
  <si>
    <t>Burlington Hydro Inc._General Service Less Than 50 kW Service Classification</t>
  </si>
  <si>
    <t>Burlington Hydro Inc._General Service 50 to 4,999 kW Service Classification</t>
  </si>
  <si>
    <t>Burlington Hydro Inc._Residential Service Classification</t>
  </si>
  <si>
    <t>Burlington Hydro Inc._Street Lighting Service Classification</t>
  </si>
  <si>
    <t>Burlington Hydro Inc._Unmetered Scattered Load Service Classification</t>
  </si>
  <si>
    <t>Embedded Distributor</t>
  </si>
  <si>
    <t>Canadian Niagara Power Inc._Embedded Distributor Service Classification</t>
  </si>
  <si>
    <t>Canadian Niagara Power Inc._General Service Less Than 50 kW Service Classification</t>
  </si>
  <si>
    <t>General Service 50 To 4,999 kW</t>
  </si>
  <si>
    <t>Canadian Niagara Power Inc._General Service 50 To 4,999 kW Service Classification</t>
  </si>
  <si>
    <t>Canadian Niagara Power Inc._Residential Service Classification</t>
  </si>
  <si>
    <t>Canadian Niagara Power Inc._Sentinel Lighting Service Classification</t>
  </si>
  <si>
    <t>Canadian Niagara Power Inc._Street Lighting Service Classification</t>
  </si>
  <si>
    <t>Canadian Niagara Power Inc._Unmetered Scattered Load Service Classification</t>
  </si>
  <si>
    <t>Centre Wellington Hydro Ltd._General Service Less Than 50 kW Service Classification</t>
  </si>
  <si>
    <t>General Service 3,000 to 4,999 kW</t>
  </si>
  <si>
    <t>General Service 50 to 2,999 kW</t>
  </si>
  <si>
    <t>Centre Wellington Hydro Ltd._Residential Service Classification</t>
  </si>
  <si>
    <t>Centre Wellington Hydro Ltd._Sentinel Lighting Service Classification</t>
  </si>
  <si>
    <t>Centre Wellington Hydro Ltd._Street Lighting Service Classification</t>
  </si>
  <si>
    <t>Centre Wellington Hydro Ltd._Unmetered Scattered Load Service Classification</t>
  </si>
  <si>
    <t>Cooperative Hydro Embrun Inc._General Service Less Than 50 kW Service Classification</t>
  </si>
  <si>
    <t>Cooperative Hydro Embrun Inc._General Service 50 to 4,999 kW Service Classification</t>
  </si>
  <si>
    <t>Cooperative Hydro Embrun Inc._Residential Service Classification</t>
  </si>
  <si>
    <t>Cooperative Hydro Embrun Inc._Street Lighting Service Classification</t>
  </si>
  <si>
    <t>Cooperative Hydro Embrun Inc._Unmetered Scattered Load Service Classification</t>
  </si>
  <si>
    <t>E.L.K. Energy Inc._Embedded Distributor Service Classification</t>
  </si>
  <si>
    <t>E.L.K. Energy Inc._General Service Less Than 50 kW Service Classification</t>
  </si>
  <si>
    <t>E.L.K. Energy Inc._General Service 50 to 4,999 kW Service Classification</t>
  </si>
  <si>
    <t>E.L.K. Energy Inc._Residential Service Classification</t>
  </si>
  <si>
    <t>E.L.K. Energy Inc._Sentinel Lighting Service Classification</t>
  </si>
  <si>
    <t>E.L.K. Energy Inc._Street Lighting Service Classification</t>
  </si>
  <si>
    <t>E.L.K. Energy Inc._Unmetered Scattered Load Service Classification</t>
  </si>
  <si>
    <t>ENWIN Utilities Ltd._General Service Less Than 50 kW Service Classification</t>
  </si>
  <si>
    <t>ENWIN Utilities Ltd._General Service 50 to 4,999 kW Service Classification</t>
  </si>
  <si>
    <t>Dedicated TS</t>
  </si>
  <si>
    <t>ENWIN Utilities Ltd._Dedicated TS Service Classification</t>
  </si>
  <si>
    <t>Large Use - Regular</t>
  </si>
  <si>
    <t>ENWIN Utilities Ltd._Regular_Large Use Service Classification</t>
  </si>
  <si>
    <t>ENWIN Utilities Ltd._Residential Service Classification</t>
  </si>
  <si>
    <t>ENWIN Utilities Ltd._Sentinel Lighting Service Classification</t>
  </si>
  <si>
    <t>ENWIN Utilities Ltd._Street Lighting Service Classification</t>
  </si>
  <si>
    <t>ENWIN Utilities Ltd._Unmetered Scattered Load Service Classification</t>
  </si>
  <si>
    <t>EPCOR Electricity Distribution Ontario Inc._General Service Less Than 50 kW Service Classification</t>
  </si>
  <si>
    <t>EPCOR Electricity Distribution Ontario Inc._General Service 50 to 4,999 kW Service Classification</t>
  </si>
  <si>
    <t>EPCOR Electricity Distribution Ontario Inc._Residential Service Classification</t>
  </si>
  <si>
    <t>EPCOR Electricity Distribution Ontario Inc._Street Lighting Service Classification</t>
  </si>
  <si>
    <t>EPCOR Electricity Distribution Ontario Inc._Unmetered Scattered Load Service Classification</t>
  </si>
  <si>
    <t>Embedded Distributor - Main</t>
  </si>
  <si>
    <t>ERTH Power Corporation_Main Rate Zone_Embedded Distributor Service Classification</t>
  </si>
  <si>
    <t>General Service Less Than 50 kW - Goderich</t>
  </si>
  <si>
    <t>ERTH Power Corporation_Goderich Rate Zone_General Service Less Than 50 kW Service Classification</t>
  </si>
  <si>
    <t>General Service Less Than 50 kW - Main</t>
  </si>
  <si>
    <t>ERTH Power Corporation_Main Rate Zone_General Service Less Than 50 kW Service Classification</t>
  </si>
  <si>
    <t>General Service 1,000 to 4,999 kW - Main</t>
  </si>
  <si>
    <t>ERTH Power Corporation_Main Rate Zone_General Service 1,000 to 4,999 kW Service Classification</t>
  </si>
  <si>
    <t>General Service 50 to 499 kW - Goderich</t>
  </si>
  <si>
    <t>ERTH Power Corporation_Goderich Rate Zone_General Service 50 to 499 kW Service Classification</t>
  </si>
  <si>
    <t>General Service 50 to 999 kW - Main</t>
  </si>
  <si>
    <t>ERTH Power Corporation_Main Rate Zone_General Service 50 to 999 kW Service Classification</t>
  </si>
  <si>
    <t>General Service 500 to 4,999 kW - Goderich</t>
  </si>
  <si>
    <t>ERTH Power Corporation_Goderich Rate Zone_General Service 500 to 4,999 kW Service Classification</t>
  </si>
  <si>
    <t>Large Use - Goderich</t>
  </si>
  <si>
    <t>ERTH Power Corporation_Goderich Rate Zone_Large Use Service Classification</t>
  </si>
  <si>
    <t>Large Use- Main</t>
  </si>
  <si>
    <t>Residential - Goderich</t>
  </si>
  <si>
    <t>ERTH Power Corporation_Goderich Rate Zone_Residential Service Classification</t>
  </si>
  <si>
    <t>Residential - Main</t>
  </si>
  <si>
    <t>ERTH Power Corporation_Main Rate Zone_Residential Service Classification</t>
  </si>
  <si>
    <t>Sentinel Lighting - Goderich</t>
  </si>
  <si>
    <t>ERTH Power Corporation_Goderich Rate Zone_Sentinel Lighting Service Classification</t>
  </si>
  <si>
    <t>Sentinel Lighting - Main</t>
  </si>
  <si>
    <t>ERTH Power Corporation_Main Rate Zone_Sentinel Lighting Service Classification</t>
  </si>
  <si>
    <t>Street Lighting - Goderich</t>
  </si>
  <si>
    <t>ERTH Power Corporation_Goderich Rate Zone_Street Lighting Service Classification</t>
  </si>
  <si>
    <t>Street Lighting - Main</t>
  </si>
  <si>
    <t>ERTH Power Corporation_Main Rate Zone_Street Lighting Service Classification</t>
  </si>
  <si>
    <t>Unmetered Scattered Load - Goderich</t>
  </si>
  <si>
    <t>ERTH Power Corporation_Goderich Rate Zone_Unmetered Scattered Load Service Classification</t>
  </si>
  <si>
    <t>Unmetered Scattered Load - Main</t>
  </si>
  <si>
    <t>ERTH Power Corporation_Main Rate Zone_Unmetered Scattered Load Service Classification</t>
  </si>
  <si>
    <t>General Service &lt; 50 kW - Veridian</t>
  </si>
  <si>
    <t>Elexicon Energy Inc._Veridian Rate Zone_GENERAL SERVICE LESS THAN 50 KW SERVICE CLASSIFICATION</t>
  </si>
  <si>
    <t>General Service &lt; 50 kW - Whitby</t>
  </si>
  <si>
    <t>Elexicon Energy Inc._Whitby Rate Zone_GENERAL SERVICE LESS THAN 50 KW SERVICE CLASSIFICATION</t>
  </si>
  <si>
    <t>General Service 3,000 to 4,999 kW - Veridian</t>
  </si>
  <si>
    <t>Elexicon Energy Inc._Veridian Rate Zone_General Service 3,000 to 4,999 kW Service Classification</t>
  </si>
  <si>
    <t>General Service 50 to 2,999 kW - Veridian</t>
  </si>
  <si>
    <t>Elexicon Energy Inc._Veridian Rate Zone_General Service 50 to 2,999 kW Service Classification</t>
  </si>
  <si>
    <t>General Service 50 to 4,999 kW - Whitby</t>
  </si>
  <si>
    <t>Elexicon Energy Inc._Whitby Rate Zone_General Service 50 to 4,999 kW Service Classification</t>
  </si>
  <si>
    <t>Large Use - Veridian</t>
  </si>
  <si>
    <t>Elexicon Energy Inc._Veridian Rate Zone_Large Use Service Classification</t>
  </si>
  <si>
    <t>Residential - Veridian</t>
  </si>
  <si>
    <t>Elexicon Energy Inc._Veridian Rate Zone_Residential Service Classification</t>
  </si>
  <si>
    <t>Residential - Whitby</t>
  </si>
  <si>
    <t>Elexicon Energy Inc._Whitby Rate Zone_Residential Service Classification</t>
  </si>
  <si>
    <t>Elexicon Energy Inc._Veridian Rate Zone_SEASONAL RESIDENTIAL SERVICE CLASSIFICATION</t>
  </si>
  <si>
    <t>Sentinel Lighting - Veridian</t>
  </si>
  <si>
    <t>Elexicon Energy Inc._Veridian Rate Zone_Sentinel Lighting Service Classification</t>
  </si>
  <si>
    <t>Sentinel Lighting - Whitby</t>
  </si>
  <si>
    <t>Elexicon Energy Inc._Whitby Rate Zone_Sentinel Lighting Service Classification</t>
  </si>
  <si>
    <t>Street Lighting - Veridian</t>
  </si>
  <si>
    <t>Elexicon Energy Inc._Veridian Rate Zone_Street Lighting Service Classification</t>
  </si>
  <si>
    <t>Street Lighting - Whitby</t>
  </si>
  <si>
    <t>Elexicon Energy Inc._Whitby Rate Zone_Street Lighting Service Classification</t>
  </si>
  <si>
    <t>Unmetered Scattered Load - Veridian</t>
  </si>
  <si>
    <t>Elexicon Energy Inc._Veridian Rate Zone_Unmetered Scattered Load Service Classification</t>
  </si>
  <si>
    <t>Unmetered Scattered Load - Whitby</t>
  </si>
  <si>
    <t>Elexicon Energy Inc._Whitby Rate Zone_Unmetered Scattered Load Service Classification</t>
  </si>
  <si>
    <t>Embedded Distributor-Kitchener-Wilmot</t>
  </si>
  <si>
    <t>Embedded Distributor-Waterloo North</t>
  </si>
  <si>
    <t>Enova Power Corp._Waterloo North Rate Zone_Embedded Distributor Service Classification</t>
  </si>
  <si>
    <t>General Service Less Than 50 kW-Kitchener-Wilmot</t>
  </si>
  <si>
    <t>General Service Less Than 50 kW-Waterloo North</t>
  </si>
  <si>
    <t>General Service 50 to 4,999 kW-Kitchener-Wilmot</t>
  </si>
  <si>
    <t>General Service 50 to 4,999 kW-Waterloo North</t>
  </si>
  <si>
    <t>Large Use-Kitchener-Wilmot</t>
  </si>
  <si>
    <t>Enova Power Corp._Kitchener-Wilmot Hydro Rate Zone_Large Use Service Classification</t>
  </si>
  <si>
    <t>Large Use-Waterloo North</t>
  </si>
  <si>
    <t>Enova Power Corp._Waterloo North Rate Zone_Large Use Service Classification</t>
  </si>
  <si>
    <t>Residential-Kitchener-Wilmot</t>
  </si>
  <si>
    <t>Enova Power Corp._Kitchener-Wilmot Hydro Rate Zone_Residential Service Classification</t>
  </si>
  <si>
    <t>Residential-Waterloo North</t>
  </si>
  <si>
    <t>Enova Power Corp._Waterloo North Rate Zone_Residential Service Classification</t>
  </si>
  <si>
    <t>Street Lighting-Kitchener-Wilmot</t>
  </si>
  <si>
    <t>Enova Power Corp._Kitchener-Wilmot Hydro Rate Zone_Street Lighting Service Classification</t>
  </si>
  <si>
    <t>Street Lighting-Waterloo North</t>
  </si>
  <si>
    <t>Enova Power Corp._Waterloo North Rate Zone_Street Lighting Service Classification</t>
  </si>
  <si>
    <t>Unmetered Scattered Load-Kitchener-Wilmot</t>
  </si>
  <si>
    <t>Enova Power Corp._Kitchener-Wilmot Hydro Rate Zone_Unmetered Scattered Load Service Classification</t>
  </si>
  <si>
    <t>Unmetered Scattered Load-Waterloo North</t>
  </si>
  <si>
    <t>Enova Power Corp._Waterloo North Rate Zone_Unmetered Scattered Load Service Classification</t>
  </si>
  <si>
    <t>Entegrus Powerlines Inc._For Entegrus-Main Rate Zone_Embedded Distributor Service Classification</t>
  </si>
  <si>
    <t>Entegrus Powerlines Inc._For Entegrus-Main Rate Zone_General Service Less Than 50 kW Service Classification</t>
  </si>
  <si>
    <t>General Service Less Than 50 kW - St. Thomas Energy</t>
  </si>
  <si>
    <t>Entegrus Powerlines Inc._For Former St. Thomas Energy Rate Zone_General Service Less Than 50 kW Service Classification</t>
  </si>
  <si>
    <t>General Service 50 to 4,999 kW - Main</t>
  </si>
  <si>
    <t>Entegrus Powerlines Inc._For Entegrus-Main Rate Zone_General Service 50 to 4,999 kW Service Classification</t>
  </si>
  <si>
    <t>General Service 50 to 4,999 kW - St. Thomas Energy</t>
  </si>
  <si>
    <t>Entegrus Powerlines Inc._For Former St. Thomas Energy Rate Zone_General Service 50 to 4,999 kW Service Classification</t>
  </si>
  <si>
    <t>Large Use - Main</t>
  </si>
  <si>
    <t>Entegrus Powerlines Inc._For Entegrus-Main Rate Zone_Large Use Service Classification</t>
  </si>
  <si>
    <t>Entegrus Powerlines Inc._For Entegrus-Main Rate Zone_Residential Service Classification</t>
  </si>
  <si>
    <t>Residential - St. Thomas Energy</t>
  </si>
  <si>
    <t>Entegrus Powerlines Inc._For Former St. Thomas Energy Rate Zone_Residential Service Classification</t>
  </si>
  <si>
    <t>Entegrus Powerlines Inc._For Entegrus-Main Rate Zone_Sentinel Lighting Service Classification</t>
  </si>
  <si>
    <t>Sentinel Lighting - St. Thomas Energy</t>
  </si>
  <si>
    <t>Entegrus Powerlines Inc._For Former St. Thomas Energy Rate Zone_Sentinel Lighting Service Classification</t>
  </si>
  <si>
    <t>Entegrus Powerlines Inc._For Entegrus-Main Rate Zone_Street Lighting Service Classification</t>
  </si>
  <si>
    <t>Street Lighting - St. Thomas Energy</t>
  </si>
  <si>
    <t>Entegrus Powerlines Inc._For Former St. Thomas Energy Rate Zone_Street Lighting Service Classification</t>
  </si>
  <si>
    <t>Entegrus Powerlines Inc._For Entegrus-Main Rate Zone_Unmetered Scattered Load Service Classification</t>
  </si>
  <si>
    <t>Essex Powerlines Corporation_Embedded Distributor Service Classification</t>
  </si>
  <si>
    <t>Essex Powerlines Corporation_General Service Less Than 50 kW Service Classification</t>
  </si>
  <si>
    <t>Essex Powerlines Corporation_General Service 50 to 4,999 kW Service Classification</t>
  </si>
  <si>
    <t>Essex Powerlines Corporation_Residential Service Classification</t>
  </si>
  <si>
    <t>Essex Powerlines Corporation_Sentinel Lighting Service Classification</t>
  </si>
  <si>
    <t>Essex Powerlines Corporation_Street Lighting Service Classification</t>
  </si>
  <si>
    <t>Essex Powerlines Corporation_Unmetered Scattered Load Service Classification</t>
  </si>
  <si>
    <t>Festival Hydro Inc._General Service Less Than 50 kW Service Classification</t>
  </si>
  <si>
    <t>Festival Hydro Inc._General Service 50 to 4,999 kW Service Classification</t>
  </si>
  <si>
    <t>Festival Hydro Inc._Large Use Service Classification</t>
  </si>
  <si>
    <t>Festival Hydro Inc._Residential Service Classification</t>
  </si>
  <si>
    <t>Festival Hydro Inc._Sentinel Lighting Service Classification</t>
  </si>
  <si>
    <t>Festival Hydro Inc._Street Lighting Service Classification</t>
  </si>
  <si>
    <t>Festival Hydro Inc._Unmetered Scattered Load Service Classification</t>
  </si>
  <si>
    <t>Fort Frances Power Corporation_General Service Less Than 50 kW Service Classification</t>
  </si>
  <si>
    <t>Fort Frances Power Corporation_General Service 50 to 4,999 kW Service Classification</t>
  </si>
  <si>
    <t>Fort Frances Power Corporation_Residential Service Classification</t>
  </si>
  <si>
    <t>Fort Frances Power Corporation_Street Lighting Service Classification</t>
  </si>
  <si>
    <t>Fort Frances Power Corporation_Unmetered Scattered Load Service Classification</t>
  </si>
  <si>
    <t>Embedded Distributor - Brantford-Energy+</t>
  </si>
  <si>
    <t>Embedded Distributor - Hydro One #1-Energy+</t>
  </si>
  <si>
    <t>Embedded Distributor - Hydro One #2-Energy+</t>
  </si>
  <si>
    <t>Embedded Distributor - Hydro One CND-Energy+</t>
  </si>
  <si>
    <t>Embedded Distributor - Waterloo North Hydro-Energy+</t>
  </si>
  <si>
    <t>Embedded Distributor-Brantford</t>
  </si>
  <si>
    <t>GrandBridge Energy Inc._Brantford Power Rate Zone_Embedded Distributor Service Classification</t>
  </si>
  <si>
    <t>General Service Less Than 50 kW-Brantford</t>
  </si>
  <si>
    <t>General Service Less Than 50 kW-Energy+</t>
  </si>
  <si>
    <t>General Service 50 to 4,999 kW-Brantford</t>
  </si>
  <si>
    <t>General Service 50 to 999 kW-Energy+</t>
  </si>
  <si>
    <t>Large Use-Energy+</t>
  </si>
  <si>
    <t>GrandBridge Energy Inc._Energy+ Rate Zone_Residential Service Classification</t>
  </si>
  <si>
    <t>Residential-Brantford</t>
  </si>
  <si>
    <t>GrandBridge Energy Inc._Brantford Power Rate Zone_Residential Service Classification</t>
  </si>
  <si>
    <t>Residential-Energy+</t>
  </si>
  <si>
    <t>Sentinel Lighting-Brantford</t>
  </si>
  <si>
    <t>GrandBridge Energy Inc._Brantford Power Rate Zone_Sentinel Lighting Service Classification</t>
  </si>
  <si>
    <t>Sentinel Lighting-Energy+</t>
  </si>
  <si>
    <t>Street Lighting-Energy+</t>
  </si>
  <si>
    <t>GrandBridge Energy Inc._Energy+ Rate Zone_Street Lighting Service Classification</t>
  </si>
  <si>
    <t>Street Lighting-Kitchener-Brantford</t>
  </si>
  <si>
    <t>Unmetered Scattered Load-Brantford</t>
  </si>
  <si>
    <t>GrandBridge Energy Inc._Brantford Power Rate Zone_Unmetered Scattered Load Service Classification</t>
  </si>
  <si>
    <t>Unmetered Scattered Load-Energy+</t>
  </si>
  <si>
    <t>GrandBridge Energy Inc._Energy+ Rate Zone_Unmetered Scattered Load Service Classification</t>
  </si>
  <si>
    <t>Greater Sudbury Hydro Inc._General Service Less Than 50 kW Service Classification</t>
  </si>
  <si>
    <t>Greater Sudbury Hydro Inc._General Service 50 to 4,999 kW Service Classification</t>
  </si>
  <si>
    <t>Greater Sudbury Hydro Inc._Residential Service Classification</t>
  </si>
  <si>
    <t>Greater Sudbury Hydro Inc._Sentinel Lighting Service Classification</t>
  </si>
  <si>
    <t>Greater Sudbury Hydro Inc._Street Lighting Service Classification</t>
  </si>
  <si>
    <t>Greater Sudbury Hydro Inc._Unmetered Scattered Load Service Classification</t>
  </si>
  <si>
    <t>Grimsby Power Incorporated_Embedded Distributor Service Classification</t>
  </si>
  <si>
    <t>Grimsby Power Incorporated_General Service Less Than 50 kW Service Classification</t>
  </si>
  <si>
    <t>Grimsby Power Incorporated_General Service 50 to 4,999 kW Service Classification</t>
  </si>
  <si>
    <t>Grimsby Power Incorporated_Residential Service Classification</t>
  </si>
  <si>
    <t>Grimsby Power Incorporated_Street Lighting Service Classification</t>
  </si>
  <si>
    <t>Grimsby Power Incorporated_Unmetered Scattered Load Service Classification</t>
  </si>
  <si>
    <t>Halton Hills Hydro Inc._General Service Less Than 50 kW Service Classification</t>
  </si>
  <si>
    <t>Halton Hills Hydro Inc._General Service 1,000 to 4,999 kW Service Classification</t>
  </si>
  <si>
    <t>Halton Hills Hydro Inc._General Service 50 to 999 kW Service Classification</t>
  </si>
  <si>
    <t>Halton Hills Hydro Inc._Residential Service Classification</t>
  </si>
  <si>
    <t>Halton Hills Hydro Inc._Sentinel Lighting Service Classification</t>
  </si>
  <si>
    <t>Halton Hills Hydro Inc._Street Lighting Service Classification</t>
  </si>
  <si>
    <t>Halton Hills Hydro Inc._Unmetered Scattered Load Service Classification</t>
  </si>
  <si>
    <t>Hearst Power Distribution Co. Ltd._General Service Less Than 50 kW Service Classification</t>
  </si>
  <si>
    <t>General Service 50 to 1,499 kW</t>
  </si>
  <si>
    <t>Hearst Power Distribution Co. Ltd._General Service 50 to 1,499 kW Service Classification</t>
  </si>
  <si>
    <t>Intermediate User</t>
  </si>
  <si>
    <t>Hearst Power Distribution Co. Ltd._Intermediate User Service Classification</t>
  </si>
  <si>
    <t>Hearst Power Distribution Co. Ltd._Residential Service Classification</t>
  </si>
  <si>
    <t>Hearst Power Distribution Co. Ltd._Sentinel Lighting Service Classification</t>
  </si>
  <si>
    <t>Hearst Power Distribution Co. Ltd._Street Lighting Service Classification</t>
  </si>
  <si>
    <t>Hydro 2000 Inc._General Service Less Than 50 kW Service Classification</t>
  </si>
  <si>
    <t>Hydro 2000 Inc._General Service 50 to 4,999 kW Service Classification</t>
  </si>
  <si>
    <t>Hydro 2000 Inc._Residential Service Classification</t>
  </si>
  <si>
    <t>Hydro 2000 Inc._Street Lighting Service Classification</t>
  </si>
  <si>
    <t>Hydro 2000 Inc._Unmetered Scattered Load Service Classification</t>
  </si>
  <si>
    <t>Hydro Hawkesbury Inc._General Service Less Than 50 kW Service Classification</t>
  </si>
  <si>
    <t>Hydro Hawkesbury Inc._General Service 50 to 4,999 kW Service Classification</t>
  </si>
  <si>
    <t>Hydro Hawkesbury Inc._Residential Service Classification</t>
  </si>
  <si>
    <t>Hydro Hawkesbury Inc._Sentinel Lighting Service Classification</t>
  </si>
  <si>
    <t>Hydro Hawkesbury Inc._Street Lighting Service Classification</t>
  </si>
  <si>
    <t>Hydro Hawkesbury Inc._Unmetered Scattered Load Service Classification</t>
  </si>
  <si>
    <t>Embedded Distributor (Haldimand County) - Hydro One</t>
  </si>
  <si>
    <t>Embedded Distributor - Norfolk Power</t>
  </si>
  <si>
    <t>Sub Transmission - Embedded Distributor - Hydro One Networks</t>
  </si>
  <si>
    <t>General Service Energy Billed (less than 50 kW) - GSe metered - Hydro One Networks</t>
  </si>
  <si>
    <t>General Service Less Than 50 kW - Haldimand County</t>
  </si>
  <si>
    <t>General Service Less Than 50 kW - Norfolk Power</t>
  </si>
  <si>
    <t>General Service Less Than 50 kW - Orillia</t>
  </si>
  <si>
    <t>General Service Less Than 50 kW - Peterborough</t>
  </si>
  <si>
    <t>General Service Less Than 50 kW - Woodstock Hydro</t>
  </si>
  <si>
    <t>Urban General Service Energy Billed (less than 50 kW) - UGe - Hydro One Networks</t>
  </si>
  <si>
    <t>General Service 50 to 4,999 kW - Haldimand County</t>
  </si>
  <si>
    <t>General Service 50 to 4,999 kW - Norfolk Power</t>
  </si>
  <si>
    <t>General Service 50 to 4,999 kW - Orillia</t>
  </si>
  <si>
    <t>General Service 50 to 4,999 kW - Peterborough</t>
  </si>
  <si>
    <t>General Service 50 to 999 kW - Woodstock Hydro</t>
  </si>
  <si>
    <t>General Service Demand Billed (50 kW and above) - GSd - Hydro One Networks</t>
  </si>
  <si>
    <t>General Service Greater than 1,000 kW - Woodstock Hydro</t>
  </si>
  <si>
    <t>Urban General Service Demand Billed (50 kW and above) - UGd - Hydro One Networks</t>
  </si>
  <si>
    <t>Large Use - Peterborough</t>
  </si>
  <si>
    <t>Residential - Haldimand County</t>
  </si>
  <si>
    <t>Residential - Low Density (R2) - Hydro One Networks</t>
  </si>
  <si>
    <t>Residential - Medium Density (R1) - Hydro One Networks</t>
  </si>
  <si>
    <t>Residential - Norfolk Power</t>
  </si>
  <si>
    <t>Residential - Orillia</t>
  </si>
  <si>
    <t>Residential - Peterborough</t>
  </si>
  <si>
    <t>Residential - Seasonal - Hydro One Networks</t>
  </si>
  <si>
    <t>Residential - Urban (UR) - Hydro One Networks</t>
  </si>
  <si>
    <t>Residential - Woodstock Hydro</t>
  </si>
  <si>
    <t>Sentinel Lighting - Haldimand County</t>
  </si>
  <si>
    <t>Sentinel Lighting - Hydro One Networks</t>
  </si>
  <si>
    <t>Sentinel Lighting - Norfolk Power</t>
  </si>
  <si>
    <t>Sentinel Lighting - Orillia</t>
  </si>
  <si>
    <t>Sentinel Lighting - Peterborough</t>
  </si>
  <si>
    <t>Street Lighting - Haldimand County</t>
  </si>
  <si>
    <t>Street Lighting - Hydro One Networks</t>
  </si>
  <si>
    <t>Street Lighting - Norfolk Power</t>
  </si>
  <si>
    <t>Hydro One Networks Inc._Norfolk Power_Street Lighting Service Classification</t>
  </si>
  <si>
    <t>Street Lighting - Orillia</t>
  </si>
  <si>
    <t>Street Lighting - Peterborough</t>
  </si>
  <si>
    <t>Street Lighting - Woodstock Hydro</t>
  </si>
  <si>
    <t>Sub Transmission Customers</t>
  </si>
  <si>
    <t>Sub Transmission - End Use Customer - Hydro One Networks</t>
  </si>
  <si>
    <t>General Service Energy Billed (less than 50 kW) - GSe unmetered - Hydro One Networks</t>
  </si>
  <si>
    <t>Unmetered Scattered Load - Haldimand County</t>
  </si>
  <si>
    <t>Unmetered Scattered Load - Norfolk Power</t>
  </si>
  <si>
    <t>Unmetered Scattered Load - Orillia</t>
  </si>
  <si>
    <t>Unmetered Scattered Load - Peterborough</t>
  </si>
  <si>
    <t>Unmetered Scattered Load - Woodstock Hydro</t>
  </si>
  <si>
    <t>Hydro One Remote Communities Inc.</t>
  </si>
  <si>
    <t>Non Standard A General Service Single Phase - G1</t>
  </si>
  <si>
    <t>Non Standard A General Service Three Phase - G3</t>
  </si>
  <si>
    <t>Standard A General Service Air Access</t>
  </si>
  <si>
    <t>Standard A General Service Road/Rail Access</t>
  </si>
  <si>
    <t>Standard A Grid Connected</t>
  </si>
  <si>
    <t>Non Standard A Seasonal Residential - R4</t>
  </si>
  <si>
    <t>Non Standard A Year Round Residential - R2</t>
  </si>
  <si>
    <t>Standard A Residential Air Access</t>
  </si>
  <si>
    <t>Standard A Residential Road/Rail Access</t>
  </si>
  <si>
    <t>Hydro Ottawa Limited_General Service Less Than 50 kW Service Classification</t>
  </si>
  <si>
    <t>General Service 1,500 to 4,999 kW</t>
  </si>
  <si>
    <t>Hydro Ottawa Limited_General Service 1,500 to 4,999 kW Service Classification</t>
  </si>
  <si>
    <t>Hydro Ottawa Limited_General Service 50 to 1,499 kW Service Classification</t>
  </si>
  <si>
    <t>Hydro Ottawa Limited_Large Use Service Classification</t>
  </si>
  <si>
    <t>Hydro Ottawa Limited_Residential Service Classification</t>
  </si>
  <si>
    <t>Hydro Ottawa Limited_Sentinel Lighting Service Classification</t>
  </si>
  <si>
    <t>Hydro Ottawa Limited_Street Lighting Service Classification</t>
  </si>
  <si>
    <t>Hydro Ottawa Limited_Unmetered Scattered Load Service Classification</t>
  </si>
  <si>
    <t>InnPower Corporation_General Service Less Than 50 kW Service Classification</t>
  </si>
  <si>
    <t>InnPower Corporation_General Service 50 to 4,999 kW Service Classification</t>
  </si>
  <si>
    <t>InnPower Corporation_Residential Service Classification</t>
  </si>
  <si>
    <t>InnPower Corporation_Sentinel Lighting Service Classification</t>
  </si>
  <si>
    <t>InnPower Corporation_Street Lighting Service Classification</t>
  </si>
  <si>
    <t>InnPower Corporation_Unmetered Scattered Load Service Classification</t>
  </si>
  <si>
    <t>Kingston Hydro Corporation_General Service Less Than 50 kW Service Classification</t>
  </si>
  <si>
    <t>Kingston Hydro Corporation_General Service 50 to 4,999 kW Service Classification</t>
  </si>
  <si>
    <t>Kingston Hydro Corporation_Large Use Service Classification</t>
  </si>
  <si>
    <t>Kingston Hydro Corporation_Residential Service Classification</t>
  </si>
  <si>
    <t>Kingston Hydro Corporation_Street Lighting Service Classification</t>
  </si>
  <si>
    <t>Kingston Hydro Corporation_Unmetered Scattered Load Service Classification</t>
  </si>
  <si>
    <t>Lakefront Utilities Inc._General Service Less Than 50 kW Service Classification</t>
  </si>
  <si>
    <t>Lakefront Utilities Inc._General Service 3,000 to 4,999 kW Service Classification</t>
  </si>
  <si>
    <t>Lakefront Utilities Inc._General Service 50 to 2,999 kW Service Classification</t>
  </si>
  <si>
    <t>Lakefront Utilities Inc._Residential Service Classification</t>
  </si>
  <si>
    <t>Lakefront Utilities Inc._Sentinel Lighting Service Classification</t>
  </si>
  <si>
    <t>Lakefront Utilities Inc._Street Lighting Service Classification</t>
  </si>
  <si>
    <t>Lakefront Utilities Inc._Unmetered Scattered Load Service Classification</t>
  </si>
  <si>
    <t>Lakeland Power Distribution Ltd._General Service Less Than 50 kW Service Classification</t>
  </si>
  <si>
    <t>General Service Less Than 50 kW - Parry Sound</t>
  </si>
  <si>
    <t>Lakeland Power Distribution Ltd._General Service 50 to 4,999 kW Service Classification</t>
  </si>
  <si>
    <t>General Service 50 to 4,999 kW - Parry Sound</t>
  </si>
  <si>
    <t>Lakeland Power Distribution Ltd._Residential Service Classification</t>
  </si>
  <si>
    <t>Residential - Parry Sound</t>
  </si>
  <si>
    <t>Lakeland Power Distribution Ltd._Sentinel Lighting Service Classification</t>
  </si>
  <si>
    <t>Sentinel Lighting - Parry Sound</t>
  </si>
  <si>
    <t>Lakeland Power Distribution Ltd._Street Lighting Service Classification</t>
  </si>
  <si>
    <t>Street Lighting - Parry Sound</t>
  </si>
  <si>
    <t>Lakeland Power Distribution Ltd._Unmetered Scattered Load Service Classification</t>
  </si>
  <si>
    <t>Unmetered Scattered Load - Parry Sound</t>
  </si>
  <si>
    <t>London Hydro Inc._General Service Less Than 50 kW Service Classification</t>
  </si>
  <si>
    <t>London Hydro Inc._General Service 50 to 4,999 kW Service Classification</t>
  </si>
  <si>
    <t>General Service 1,000 to 4,999 kW (co-generation)</t>
  </si>
  <si>
    <t>London Hydro Inc._General Service 1,000 to 4,999 kW (co-generation) Service Classification</t>
  </si>
  <si>
    <t>London Hydro Inc._Large Use Service Classification</t>
  </si>
  <si>
    <t>London Hydro Inc._Residential Service Classification</t>
  </si>
  <si>
    <t>London Hydro Inc._Sentinel Lighting Service Classification</t>
  </si>
  <si>
    <t>London Hydro Inc._Street Lighting Service Classification</t>
  </si>
  <si>
    <t>London Hydro Inc._Unmetered Scattered Load Service Classification</t>
  </si>
  <si>
    <t>Milton Hydro Distribution Inc._General Service Less Than 50 kW Service Classification</t>
  </si>
  <si>
    <t>Milton Hydro Distribution Inc._General Service 1,000 to 4,999 kW Service Classification</t>
  </si>
  <si>
    <t>Milton Hydro Distribution Inc._General Service 50 to 999 kW Service Classification</t>
  </si>
  <si>
    <t>Milton Hydro Distribution Inc._Large Use Service Classification</t>
  </si>
  <si>
    <t>Milton Hydro Distribution Inc._Residential Service Classification</t>
  </si>
  <si>
    <t>Milton Hydro Distribution Inc._Sentinel Lighting Service Classification</t>
  </si>
  <si>
    <t>Milton Hydro Distribution Inc._Street Lighting Service Classification</t>
  </si>
  <si>
    <t>Milton Hydro Distribution Inc._Unmetered Scattered Load Service Classification</t>
  </si>
  <si>
    <t>General Service Less Than 50 kW - Midland Power</t>
  </si>
  <si>
    <t>General Service Less Than 50 kW - Newmarket-Tay Power</t>
  </si>
  <si>
    <t>General Service 50 to 4,999 kW - Midland</t>
  </si>
  <si>
    <t>General Service 50 to 4,999 kW - Newmarket-Tay Power</t>
  </si>
  <si>
    <t>Residential - Midland Power</t>
  </si>
  <si>
    <t>Residential - Newmarket-Tay Power</t>
  </si>
  <si>
    <t>Sentinel Lighting - Newmarket-Tay Power</t>
  </si>
  <si>
    <t>Street Lighting - Midland Power</t>
  </si>
  <si>
    <t>Street Lighting - Newmarket-Tay Power</t>
  </si>
  <si>
    <t>Unmetered Scattered Load - Newmarket-Tay Power</t>
  </si>
  <si>
    <t>Unmetered Scattered Load - Midland Power</t>
  </si>
  <si>
    <t>Niagara Peninsula Energy Inc._Embedded Distributor Service Classification</t>
  </si>
  <si>
    <t>Niagara Peninsula Energy Inc._General Service Less Than 50 kW Service Classification</t>
  </si>
  <si>
    <t>Niagara Peninsula Energy Inc._General Service 50 to 4,999 kW Service Classification</t>
  </si>
  <si>
    <t>Niagara Peninsula Energy Inc._Residential Service Classification</t>
  </si>
  <si>
    <t>Niagara Peninsula Energy Inc._Sentinel Lighting Service Classification</t>
  </si>
  <si>
    <t>Niagara Peninsula Energy Inc._Street Lighting Service Classification</t>
  </si>
  <si>
    <t>Niagara Peninsula Energy Inc._Unmetered Scattered Load Service Classification</t>
  </si>
  <si>
    <t>Niagara-on-the-Lake Hydro Inc._General Service Less Than 50 kW Service Classification</t>
  </si>
  <si>
    <t>Niagara-on-the-Lake Hydro Inc._General Service 50 to 4,999 kW Service Classification</t>
  </si>
  <si>
    <t>Niagara-on-the-Lake Hydro Inc._Large Use Service Classification</t>
  </si>
  <si>
    <t>Niagara-on-the-Lake Hydro Inc._Residential Service Classification</t>
  </si>
  <si>
    <t>Niagara-on-the-Lake Hydro Inc._Street Lighting Service Classification</t>
  </si>
  <si>
    <t>Niagara-on-the-Lake Hydro Inc._Unmetered Scattered Load Service Classification</t>
  </si>
  <si>
    <t>General Service Less Than 50 kW-Espanola</t>
  </si>
  <si>
    <t>General Service Less Than 50 kW-North Bay</t>
  </si>
  <si>
    <t>General Service 3,000 to 4,999 kW-North Bay</t>
  </si>
  <si>
    <t>General Service 50 to 2,999 kW-North Bay</t>
  </si>
  <si>
    <t>General Service 50 to 4,999 kW-Espanola</t>
  </si>
  <si>
    <t>Residential-Espanola</t>
  </si>
  <si>
    <t>North Bay Hydro Distribution Limited_Espanola Rate Zone_Residential Service Classification</t>
  </si>
  <si>
    <t>Residential-North Bay</t>
  </si>
  <si>
    <t>North Bay Hydro Distribution Limited_North Bay Rate Zone_Residential Service Classification</t>
  </si>
  <si>
    <t>Sentinel Lighting-Espanola</t>
  </si>
  <si>
    <t>North Bay Hydro Distribution Limited_Espanola Rate Zone_Sentinel Lighting Service Classification</t>
  </si>
  <si>
    <t>Sentinel Lighting-North Bay</t>
  </si>
  <si>
    <t>North Bay Hydro Distribution Limited_North Bay Rate Zone_Sentinel Lighting Service Classification</t>
  </si>
  <si>
    <t>Street Lighting-Espanola</t>
  </si>
  <si>
    <t>North Bay Hydro Distribution Limited_Espanola Rate Zone_Street Lighting Service Classification</t>
  </si>
  <si>
    <t>Street Lighting-North Bay</t>
  </si>
  <si>
    <t>North Bay Hydro Distribution Limited_North Bay Rate Zone_Street Lighting Service Classification</t>
  </si>
  <si>
    <t>Unmetered Scattered Load-Espanola</t>
  </si>
  <si>
    <t>North Bay Hydro Distribution Limited_Espanola Rate Zone_Unmetered Scattered Load Service Classification</t>
  </si>
  <si>
    <t>Unmetered Scattered Load-North Bay</t>
  </si>
  <si>
    <t>North Bay Hydro Distribution Limited_North Bay Rate Zone_Unmetered Scattered Load Service Classification</t>
  </si>
  <si>
    <t>Northern Ontario Wires Inc._General Service Less Than 50 kW Service Classification</t>
  </si>
  <si>
    <t>Northern Ontario Wires Inc._General Service 50 to 4,999 kW Service Classification</t>
  </si>
  <si>
    <t>Northern Ontario Wires Inc._Residential Service Classification</t>
  </si>
  <si>
    <t>Northern Ontario Wires Inc._Street Lighting Service Classification</t>
  </si>
  <si>
    <t>Northern Ontario Wires Inc._Unmetered Scattered Load Service Classification</t>
  </si>
  <si>
    <t>Oakville Hydro Electricity Distribution Inc._Embedded Distributor Service Classification</t>
  </si>
  <si>
    <t>Oakville Hydro Electricity Distribution Inc._General Service Less Than 50 kW Service Classification</t>
  </si>
  <si>
    <t>General Service 1,000 kW and Greater</t>
  </si>
  <si>
    <t>Oakville Hydro Electricity Distribution Inc._General Service 1,000 kW and Greater Service Classification</t>
  </si>
  <si>
    <t>Oakville Hydro Electricity Distribution Inc._General Service 50 to 999 kW Service Classification</t>
  </si>
  <si>
    <t>Oakville Hydro Electricity Distribution Inc._Residential Service Classification</t>
  </si>
  <si>
    <t>Oakville Hydro Electricity Distribution Inc._Sentinel Lighting Service Classification</t>
  </si>
  <si>
    <t>Oakville Hydro Electricity Distribution Inc._Street Lighting Service Classification</t>
  </si>
  <si>
    <t>Oakville Hydro Electricity Distribution Inc._Unmetered Scattered Load Service Classification</t>
  </si>
  <si>
    <t>Orangeville Hydro Limited_General Service Less Than 50 kW Service Classification</t>
  </si>
  <si>
    <t>Orangeville Hydro Limited_General Service 50 to 4,999 kW Service Classification</t>
  </si>
  <si>
    <t>Orangeville Hydro Limited_Residential Service Classification</t>
  </si>
  <si>
    <t>Orangeville Hydro Limited_Sentinel Lighting Service Classification</t>
  </si>
  <si>
    <t>Orangeville Hydro Limited_Street Lighting Service Classification</t>
  </si>
  <si>
    <t>Orangeville Hydro Limited_Unmetered Scattered Load Service Classification</t>
  </si>
  <si>
    <t>Oshawa PUC Networks Inc._General Service Less Than 50 kW Service Classification</t>
  </si>
  <si>
    <t>Oshawa PUC Networks Inc._General Service 1,000 to 4,999 kW Service Classification</t>
  </si>
  <si>
    <t>Oshawa PUC Networks Inc._General Service 50 to 999 kW Service Classification</t>
  </si>
  <si>
    <t>Oshawa PUC Networks Inc._Large Use Service Classification</t>
  </si>
  <si>
    <t>Oshawa PUC Networks Inc._Residential Service Classification</t>
  </si>
  <si>
    <t>Oshawa PUC Networks Inc._Sentinel Lighting Service Classification</t>
  </si>
  <si>
    <t>Oshawa PUC Networks Inc._Street Lighting Service Classification</t>
  </si>
  <si>
    <t>Oshawa PUC Networks Inc._Unmetered Scattered Load Service Classification</t>
  </si>
  <si>
    <t>Ottawa River Power Corporation_General Service Less Than 50 kW Service Classification</t>
  </si>
  <si>
    <t>Ottawa River Power Corporation_General Service 50 to 4,999 kW Service Classification</t>
  </si>
  <si>
    <t>Ottawa River Power Corporation_Residential Service Classification</t>
  </si>
  <si>
    <t>Ottawa River Power Corporation_Sentinel Lighting Service Classification</t>
  </si>
  <si>
    <t>Ottawa River Power Corporation_Street Lighting Service Classification</t>
  </si>
  <si>
    <t>Ottawa River Power Corporation_Unmetered Scattered Load Service Classification</t>
  </si>
  <si>
    <t>PUC Distribution Inc._General Service Less Than 50 kW Service Classification</t>
  </si>
  <si>
    <t>PUC Distribution Inc._General Service 50 to 4,999 kW Service Classification</t>
  </si>
  <si>
    <t>PUC Distribution Inc._Residential Service Classification</t>
  </si>
  <si>
    <t>PUC Distribution Inc._Sentinel Lighting Service Classification</t>
  </si>
  <si>
    <t>PUC Distribution Inc._Street Lighting Service Classification</t>
  </si>
  <si>
    <t>PUC Distribution Inc._Unmetered Scattered Load Service Classification</t>
  </si>
  <si>
    <t>Renfrew Hydro Inc._General Service Less Than 50 kW Service Classification</t>
  </si>
  <si>
    <t>Renfrew Hydro Inc._General Service 50 to 4,999 kW Service Classification</t>
  </si>
  <si>
    <t>Renfrew Hydro Inc._Residential Service Classification</t>
  </si>
  <si>
    <t>Renfrew Hydro Inc._Street Lighting Service Classification</t>
  </si>
  <si>
    <t>Renfrew Hydro Inc._Unmetered Scattered Load Service Classification</t>
  </si>
  <si>
    <t>Rideau St. Lawrence Distribution Inc._General Service Less Than 50 kW Service Classification</t>
  </si>
  <si>
    <t>Rideau St. Lawrence Distribution Inc._General Service 50 to 4,999 kW Service Classification</t>
  </si>
  <si>
    <t>Rideau St. Lawrence Distribution Inc._Residential Service Classification</t>
  </si>
  <si>
    <t>Rideau St. Lawrence Distribution Inc._Sentinel Lighting Service Classification</t>
  </si>
  <si>
    <t>Rideau St. Lawrence Distribution Inc._Street Lighting Service Classification</t>
  </si>
  <si>
    <t>Rideau St. Lawrence Distribution Inc._Unmetered Scattered Load Service Classification</t>
  </si>
  <si>
    <t>Sioux Lookout Hydro Inc._General Service Less Than 50 kW Service Classification</t>
  </si>
  <si>
    <t>Sioux Lookout Hydro Inc._General Service 50 to 4,999 kW Service Classification</t>
  </si>
  <si>
    <t>Sioux Lookout Hydro Inc._Residential Service Classification</t>
  </si>
  <si>
    <t>Sioux Lookout Hydro Inc._Street Lighting Service Classification</t>
  </si>
  <si>
    <t>General Service &lt; 50 kW - Kenora</t>
  </si>
  <si>
    <t>Synergy North Corporation_Kenora Rate Zone_General Service &lt; 50 kW Service Classification</t>
  </si>
  <si>
    <t>General Service Less Than 50 kW - Thunder Bay</t>
  </si>
  <si>
    <t>Synergy North Corporation_Thunder Bay Rate Zone_General Service Less Than 50 kW Service Classification</t>
  </si>
  <si>
    <t>General Service 1,000 or Greater - Thunder Bay</t>
  </si>
  <si>
    <t>Synergy North Corporation_Thunder Bay Rate Zone_General Service 1,000 or Greater Service Classification</t>
  </si>
  <si>
    <t>General Service 50 to 999 kW - Thunder Bay</t>
  </si>
  <si>
    <t>Synergy North Corporation_Thunder Bay Rate Zone_General Service 50 to 999 kW Service Classification</t>
  </si>
  <si>
    <t>General Service &gt;= 50 kW - Kenora</t>
  </si>
  <si>
    <t>Synergy North Corporation_Kenora Rate Zone_General Service &gt;= 50 kW Service Classification</t>
  </si>
  <si>
    <t>Residential - Kenora</t>
  </si>
  <si>
    <t>Synergy North Corporation_Kenora Rate Zone_Residential Service Classification</t>
  </si>
  <si>
    <t>Residential - Thunder Bay</t>
  </si>
  <si>
    <t>Synergy North Corporation_Thunder Bay Rate Zone_Residential Service Classification</t>
  </si>
  <si>
    <t>Sentinel Lighting - Thunder Bay</t>
  </si>
  <si>
    <t>Synergy North Corporation_Thunder Bay Rate Zone_Sentinel Lighting Service Classification</t>
  </si>
  <si>
    <t>Street Lighting - Thunder Bay</t>
  </si>
  <si>
    <t>Synergy North Corporation_Thunder Bay Rate Zone_Street Lighting Service Classification</t>
  </si>
  <si>
    <t>Street Lighting Connections - Kenora</t>
  </si>
  <si>
    <t>Synergy North Corporation_Kenora Rate Zone_Street Lighting Connections Service Classification</t>
  </si>
  <si>
    <t>Unmetered Scattered Load - Thunder Bay</t>
  </si>
  <si>
    <t>Synergy North Corporation_Thunder Bay Rate Zone_Unmetered Scattered Load Service Classification</t>
  </si>
  <si>
    <t>Unmetered Scattered Load Connections - Kenora</t>
  </si>
  <si>
    <t>Synergy North Corporation_Kenora Rate Zone_Unmetered Scattered Load Connections Service Classification</t>
  </si>
  <si>
    <t>Tillsonburg Hydro Inc._General Service Less Than 50 kW Service Classification</t>
  </si>
  <si>
    <t>General Service 50 to 499 kW</t>
  </si>
  <si>
    <t>Tillsonburg Hydro Inc._General Service 50 to 499 kW Service Classification</t>
  </si>
  <si>
    <t>General Service 500 to 1,499 kW</t>
  </si>
  <si>
    <t>Tillsonburg Hydro Inc._General Service 500 to 1,499 kW Service Classification</t>
  </si>
  <si>
    <t>General Service Equal to or Greater Than 1,500 kW</t>
  </si>
  <si>
    <t>Tillsonburg Hydro Inc._General Service Equal to or Greater Than 1,500 kW Service Classification</t>
  </si>
  <si>
    <t>Tillsonburg Hydro Inc._Residential Service Classification</t>
  </si>
  <si>
    <t>Tillsonburg Hydro Inc._Sentinel Lighting Service Classification</t>
  </si>
  <si>
    <t>Tillsonburg Hydro Inc._Street Lighting Service Classification</t>
  </si>
  <si>
    <t>Tillsonburg Hydro Inc._Unmetered Scattered Load Service Classification</t>
  </si>
  <si>
    <t>Toronto Hydro-Electric System Limited_General Service Less Than 50 kW Service Classification</t>
  </si>
  <si>
    <t>Toronto Hydro-Electric System Limited_General Service 1,000 to 4,999 kW Service Classification</t>
  </si>
  <si>
    <t>Toronto Hydro-Electric System Limited_General Service 50 to 999 kW Service Classification</t>
  </si>
  <si>
    <t>Toronto Hydro-Electric System Limited_Large Use Service Classification</t>
  </si>
  <si>
    <t>Toronto Hydro-Electric System Limited_Residential Service Classification</t>
  </si>
  <si>
    <t>Residential - Competitive Sector Multi-Unit</t>
  </si>
  <si>
    <t>Toronto Hydro-Electric System Limited_Street Lighting Service Classification</t>
  </si>
  <si>
    <t>Toronto Hydro-Electric System Limited_Unmetered Scattered Load Service Classification</t>
  </si>
  <si>
    <t>Wasaga Distribution Inc._General Service Less Than 50 kW Service Classification</t>
  </si>
  <si>
    <t>Wasaga Distribution Inc._General Service 50 to 4,999 kW Service Classification</t>
  </si>
  <si>
    <t>Wasaga Distribution Inc._Residential Service Classification</t>
  </si>
  <si>
    <t>Wasaga Distribution Inc._Street Lighting Service Classification</t>
  </si>
  <si>
    <t>Wasaga Distribution Inc._Unmetered Scattered Load Service Classification</t>
  </si>
  <si>
    <t>Welland Hydro-Electric System Corp._General Service Less Than 50 kW Service Classification</t>
  </si>
  <si>
    <t>Welland Hydro-Electric System Corp._General Service 50 to 4,999 kW Service Classification</t>
  </si>
  <si>
    <t>Welland Hydro-Electric System Corp._Residential Service Classification</t>
  </si>
  <si>
    <t>Welland Hydro-Electric System Corp._Sentinel Lighting Service Classification</t>
  </si>
  <si>
    <t>Welland Hydro-Electric System Corp._Street Lighting Service Classification</t>
  </si>
  <si>
    <t>Welland Hydro-Electric System Corp._Unmetered Scattered Load Service Classification</t>
  </si>
  <si>
    <t>Wellington North Power Inc._General Service Less Than 50 kW Service Classification</t>
  </si>
  <si>
    <t>Wellington North Power Inc._General Service 1,000 to 4,999 kW Service Classification</t>
  </si>
  <si>
    <t>Wellington North Power Inc._General Service 50 to 999 kW Service Classification</t>
  </si>
  <si>
    <t>Wellington North Power Inc._Residential Service Classification</t>
  </si>
  <si>
    <t>Wellington North Power Inc._Sentinel Lighting Service Classification</t>
  </si>
  <si>
    <t>Wellington North Power Inc._Street Lighting Service Classification</t>
  </si>
  <si>
    <t>Wellington North Power Inc._Unmetered Scattered Load Service Classification</t>
  </si>
  <si>
    <t>Westario Power Inc._General Service Less Than 50 kW Service Classification</t>
  </si>
  <si>
    <t>Westario Power Inc._General Service 50 to 4,999 kW Service Classification</t>
  </si>
  <si>
    <t>Westario Power Inc._Residential Service Classification</t>
  </si>
  <si>
    <t>Westario Power Inc._Sentinel Lighting Service Classification</t>
  </si>
  <si>
    <t>Westario Power Inc._Street Lighting Service Classification</t>
  </si>
  <si>
    <t>Westario Power Inc._Unmetered Scattered Load Service Classification</t>
  </si>
  <si>
    <t>NO RATE CLASS</t>
  </si>
  <si>
    <t>Alectra Utilities Corporation_NO RATE CLASS Service Classification</t>
  </si>
  <si>
    <t>Algoma Power Inc._NO RATE CLASS Service Classification</t>
  </si>
  <si>
    <t>Atikokan Hydro Inc._NO RATE CLASS Service Classification</t>
  </si>
  <si>
    <t>Bluewater Power Distribution Corporation_NO RATE CLASS Service Classification</t>
  </si>
  <si>
    <t>Burlington Hydro Inc._NO RATE CLASS Service Classification</t>
  </si>
  <si>
    <t>Canadian Niagara Power Inc._NO RATE CLASS Service Classification</t>
  </si>
  <si>
    <t>Centre Wellington Hydro Ltd._NO RATE CLASS Service Classification</t>
  </si>
  <si>
    <t>Cooperative Hydro Embrun Inc._NO RATE CLASS Service Classification</t>
  </si>
  <si>
    <t>E.L.K. Energy Inc._NO RATE CLASS Service Classification</t>
  </si>
  <si>
    <t>Elexicon Energy Inc._NO RATE CLASS Service Classification</t>
  </si>
  <si>
    <t>Enova Power Corp._NO RATE CLASS Service Classification</t>
  </si>
  <si>
    <t>Entegrus Powerlines Inc._NO RATE CLASS Service Classification</t>
  </si>
  <si>
    <t>ENWIN Utilities Ltd._NO RATE CLASS Service Classification</t>
  </si>
  <si>
    <t>EPCOR Electricity Distribution Ontario Inc._NO RATE CLASS Service Classification</t>
  </si>
  <si>
    <t>ERTH Power Corporation_NO RATE CLASS Service Classification</t>
  </si>
  <si>
    <t>Essex Powerlines Corporation_NO RATE CLASS Service Classification</t>
  </si>
  <si>
    <t>Festival Hydro Inc._NO RATE CLASS Service Classification</t>
  </si>
  <si>
    <t>Fort Frances Power Corporation_NO RATE CLASS Service Classification</t>
  </si>
  <si>
    <t>GrandBridge Energy Inc._NO RATE CLASS Service Classification</t>
  </si>
  <si>
    <t>Greater Sudbury Hydro Inc._NO RATE CLASS Service Classification</t>
  </si>
  <si>
    <t>Grimsby Power Incorporated_NO RATE CLASS Service Classification</t>
  </si>
  <si>
    <t>Halton Hills Hydro Inc._NO RATE CLASS Service Classification</t>
  </si>
  <si>
    <t>Hearst Power Distribution Co. Ltd._NO RATE CLASS Service Classification</t>
  </si>
  <si>
    <t>Hydro 2000 Inc._NO RATE CLASS Service Classification</t>
  </si>
  <si>
    <t>Hydro Hawkesbury Inc._NO RATE CLASS Service Classification</t>
  </si>
  <si>
    <t>Hydro One Networks Inc._NO RATE CLASS Service Classification</t>
  </si>
  <si>
    <t>Hydro Ottawa Limited_NO RATE CLASS Service Classification</t>
  </si>
  <si>
    <t>InnPower Corporation_NO RATE CLASS Service Classification</t>
  </si>
  <si>
    <t>Kingston Hydro Corporation_NO RATE CLASS Service Classification</t>
  </si>
  <si>
    <t>Lakefront Utilities Inc._NO RATE CLASS Service Classification</t>
  </si>
  <si>
    <t>Lakeland Power Distribution Ltd._NO RATE CLASS Service Classification</t>
  </si>
  <si>
    <t>London Hydro Inc._NO RATE CLASS Service Classification</t>
  </si>
  <si>
    <t>Milton Hydro Distribution Inc._NO RATE CLASS Service Classification</t>
  </si>
  <si>
    <t>Newmarket-Tay Power Distribution Ltd._NO RATE CLASS Service Classification</t>
  </si>
  <si>
    <t>Niagara Peninsula Energy Inc._NO RATE CLASS Service Classification</t>
  </si>
  <si>
    <t>Niagara-on-the-Lake Hydro Inc._NO RATE CLASS Service Classification</t>
  </si>
  <si>
    <t>North Bay Hydro Distribution Limited_NO RATE CLASS Service Classification</t>
  </si>
  <si>
    <t>Northern Ontario Wires Inc._NO RATE CLASS Service Classification</t>
  </si>
  <si>
    <t>Oakville Hydro Electricity Distribution Inc._NO RATE CLASS Service Classification</t>
  </si>
  <si>
    <t>Orangeville Hydro Limited_NO RATE CLASS Service Classification</t>
  </si>
  <si>
    <t>Oshawa PUC Networks Inc._NO RATE CLASS Service Classification</t>
  </si>
  <si>
    <t>Ottawa River Power Corporation_NO RATE CLASS Service Classification</t>
  </si>
  <si>
    <t>PUC Distribution Inc._NO RATE CLASS Service Classification</t>
  </si>
  <si>
    <t>Renfrew Hydro Inc._NO RATE CLASS Service Classification</t>
  </si>
  <si>
    <t>Rideau St. Lawrence Distribution Inc._NO RATE CLASS Service Classification</t>
  </si>
  <si>
    <t>Sioux Lookout Hydro Inc._NO RATE CLASS Service Classification</t>
  </si>
  <si>
    <t>Synergy North Corporation_NO RATE CLASS Service Classification</t>
  </si>
  <si>
    <t>Tillsonburg Hydro Inc._NO RATE CLASS Service Classification</t>
  </si>
  <si>
    <t>Toronto Hydro-Electric System Limited_NO RATE CLASS Service Classification</t>
  </si>
  <si>
    <t>Wasaga Distribution Inc._NO RATE CLASS Service Classification</t>
  </si>
  <si>
    <t>Welland Hydro-Electric System Corp._NO RATE CLASS Service Classification</t>
  </si>
  <si>
    <t>Wellington North Power Inc._NO RATE CLASS Service Classification</t>
  </si>
  <si>
    <t>Westario Power Inc._NO RATE CLASS Service Classification</t>
  </si>
  <si>
    <t>Company Name (Merged or Current)</t>
  </si>
  <si>
    <t>Alectra Utilities Corporation_Brampton Rate Zone</t>
  </si>
  <si>
    <t>Embedded Distributor - Hydro One Brampton</t>
  </si>
  <si>
    <t>Distributed Generation - Dgen - Hydro One Brampton</t>
  </si>
  <si>
    <t>Alectra Utilities Corporation_Enersource Rate Zone</t>
  </si>
  <si>
    <t>Alectra Utilities Corporation_Guelph Rate Zone</t>
  </si>
  <si>
    <t>Alectra Utilities Corporation_Horizon Utilities Rate Zone</t>
  </si>
  <si>
    <t>General Service Less Than 50 kW - Hydro One Brampton</t>
  </si>
  <si>
    <t>Alectra Utilities Corporation_PowerStream Rate Zone</t>
  </si>
  <si>
    <t>Energy From Waste - Hydro One Brampton</t>
  </si>
  <si>
    <t>General Service 50 to 699 kW - Hydro One Brampton</t>
  </si>
  <si>
    <t>General Service 700 to 4,999 kW - Hydro One Brampton</t>
  </si>
  <si>
    <t>Residential - Hydro One Brampton</t>
  </si>
  <si>
    <t>Street Lighting - Hydro One Brampton</t>
  </si>
  <si>
    <t>Unmetered Scattered Load - Hydro One Brampton</t>
  </si>
  <si>
    <t>Elexicon Energy Inc._Veridian Rate Zone</t>
  </si>
  <si>
    <t>Elexicon Energy Inc._Whitby Rate Zone</t>
  </si>
  <si>
    <t>Enova Power Corp._Kitchener-Wilmot Hydro Rate Zone</t>
  </si>
  <si>
    <t>Enova Power Corp._Waterloo North Rate Zone</t>
  </si>
  <si>
    <t>Entegrus Powerlines Inc._For Entegrus-Main Rate Zone</t>
  </si>
  <si>
    <t>Entegrus Powerlines Inc._For Former St. Thomas Energy Rate Zone</t>
  </si>
  <si>
    <t>ERTH Power Corporation_Main Rate Zone</t>
  </si>
  <si>
    <t>ERTH Power Corporation_Goderich Rate Zone</t>
  </si>
  <si>
    <t>GrandBridge Energy Inc._Energy+ Rate Zone</t>
  </si>
  <si>
    <t>GrandBridge Energy Inc._Brantford Power Rate Zone</t>
  </si>
  <si>
    <t>Hearst Power Distribution Company Limited</t>
  </si>
  <si>
    <t>Hydro One Networks Inc._Former Haldimand County Hydro Inc. Service Area</t>
  </si>
  <si>
    <t>Hydro One Networks Inc._Former Norfolk Power Distribution Inc. Service Area</t>
  </si>
  <si>
    <t>Hydro One Networks Inc._Former Orillia Power Distribution Corporation Service Area</t>
  </si>
  <si>
    <t>Hydro One Networks Inc._Former Peterborough Distribution Inc. Service Area</t>
  </si>
  <si>
    <t>Hydro One Networks Inc._Former Woodstock Hydro Services Inc. Service Area</t>
  </si>
  <si>
    <t>Synergy North Corporation_Kenora Rate Zone</t>
  </si>
  <si>
    <t>Synergy North Corporation_Thunder Bay Rate Zone</t>
  </si>
  <si>
    <t>Company and Account_No</t>
  </si>
  <si>
    <t>Group1</t>
  </si>
  <si>
    <t>Principal</t>
  </si>
  <si>
    <t>Interest</t>
  </si>
  <si>
    <t>1508</t>
  </si>
  <si>
    <t>Other Regulatory Assets</t>
  </si>
  <si>
    <t>Alectra Utilities Corporation1508</t>
  </si>
  <si>
    <t>1518</t>
  </si>
  <si>
    <t>RCVARetail</t>
  </si>
  <si>
    <t>Alectra Utilities Corporation1518</t>
  </si>
  <si>
    <t>1522</t>
  </si>
  <si>
    <t>Pension &amp; OPEB Forecast Accrual versus Actual Cash Payment Differential</t>
  </si>
  <si>
    <t>Alectra Utilities Corporation1522</t>
  </si>
  <si>
    <t>1525</t>
  </si>
  <si>
    <t>Miscellaneous Deferred Debits</t>
  </si>
  <si>
    <t>Alectra Utilities Corporation1525</t>
  </si>
  <si>
    <t>1531</t>
  </si>
  <si>
    <t>Renewable Connection Capital Deferral Account</t>
  </si>
  <si>
    <t>Alectra Utilities Corporation1531</t>
  </si>
  <si>
    <t>1532</t>
  </si>
  <si>
    <t>Renewable Connection OM&amp;A Deferral Account</t>
  </si>
  <si>
    <t>Alectra Utilities Corporation1532</t>
  </si>
  <si>
    <t>1533</t>
  </si>
  <si>
    <t>Renewable Generation Connection Funding Adder Deferral Account</t>
  </si>
  <si>
    <t>Alectra Utilities Corporation1533</t>
  </si>
  <si>
    <t>1534</t>
  </si>
  <si>
    <t>Smart Grid Capital Deferral Account</t>
  </si>
  <si>
    <t>Alectra Utilities Corporation1534</t>
  </si>
  <si>
    <t>1535</t>
  </si>
  <si>
    <t>Smart Grid OM&amp;A Deferral Account</t>
  </si>
  <si>
    <t>Alectra Utilities Corporation1535</t>
  </si>
  <si>
    <t>1536</t>
  </si>
  <si>
    <t>Smart Grid Funding Adder Deferral Account</t>
  </si>
  <si>
    <t>Alectra Utilities Corporation1536</t>
  </si>
  <si>
    <t>1548</t>
  </si>
  <si>
    <t>RCVASTR</t>
  </si>
  <si>
    <t>Alectra Utilities Corporation1548</t>
  </si>
  <si>
    <t>1550</t>
  </si>
  <si>
    <t>Alectra Utilities Corporation1550</t>
  </si>
  <si>
    <t>1551</t>
  </si>
  <si>
    <t>Alectra Utilities Corporation1551</t>
  </si>
  <si>
    <t>1555</t>
  </si>
  <si>
    <t>Smart Meter Capital and Recovery Offset Variance Account</t>
  </si>
  <si>
    <t>Alectra Utilities Corporation1555</t>
  </si>
  <si>
    <t>Sub-account Stranded Meter Costs</t>
  </si>
  <si>
    <t>1557</t>
  </si>
  <si>
    <t>Meter Cost Deferral Account</t>
  </si>
  <si>
    <t>Alectra Utilities Corporation1557</t>
  </si>
  <si>
    <t>1568</t>
  </si>
  <si>
    <t>LRAM Variance Account</t>
  </si>
  <si>
    <t>Alectra Utilities Corporation1568</t>
  </si>
  <si>
    <t>1572</t>
  </si>
  <si>
    <t>Extraordinary Event Costs</t>
  </si>
  <si>
    <t>Alectra Utilities Corporation1572</t>
  </si>
  <si>
    <t>1574</t>
  </si>
  <si>
    <t>Deferred Rate Impact Amounts</t>
  </si>
  <si>
    <t>Alectra Utilities Corporation1574</t>
  </si>
  <si>
    <t>1575</t>
  </si>
  <si>
    <t>IFRS-CGAAP Transitional PP&amp;E Amounts</t>
  </si>
  <si>
    <t>Alectra Utilities Corporation1575</t>
  </si>
  <si>
    <t>1576</t>
  </si>
  <si>
    <t>CGAAP Accounting Changes</t>
  </si>
  <si>
    <t>Alectra Utilities Corporation1576</t>
  </si>
  <si>
    <t>1580</t>
  </si>
  <si>
    <t>RSVA - Wholesale Market Service Charge</t>
  </si>
  <si>
    <t>Alectra Utilities Corporation1580</t>
  </si>
  <si>
    <t>Sub-account CBR class A - Interest</t>
  </si>
  <si>
    <t>Sub-account CBR class A - Principal</t>
  </si>
  <si>
    <t>Sub-account CBR class B - Interest</t>
  </si>
  <si>
    <t>Sub-account CBR class B - Principal</t>
  </si>
  <si>
    <t>1582</t>
  </si>
  <si>
    <t>RSVAONE-TIME</t>
  </si>
  <si>
    <t>Alectra Utilities Corporation1582</t>
  </si>
  <si>
    <t>1584</t>
  </si>
  <si>
    <t>Alectra Utilities Corporation1584</t>
  </si>
  <si>
    <t>1586</t>
  </si>
  <si>
    <t>Alectra Utilities Corporation1586</t>
  </si>
  <si>
    <t>1588</t>
  </si>
  <si>
    <t>RSVA - Power (excluding Global Adjustment)</t>
  </si>
  <si>
    <t>Alectra Utilities Corporation1588</t>
  </si>
  <si>
    <t>1589</t>
  </si>
  <si>
    <t>Alectra Utilities Corporation1589</t>
  </si>
  <si>
    <t>1592</t>
  </si>
  <si>
    <t>PILs and Tax Variance for 2006 and Subsequent Years</t>
  </si>
  <si>
    <t>Alectra Utilities Corporation1592</t>
  </si>
  <si>
    <t>1595</t>
  </si>
  <si>
    <t>Disposition and Recovery/Refund of Regulatory Balances (2008)</t>
  </si>
  <si>
    <t>Disposition and Recovery/Refund of Regulatory Balances (2009)</t>
  </si>
  <si>
    <t>Disposition and Recovery/Refund of Regulatory Balances (2010)</t>
  </si>
  <si>
    <t>Disposition and Recovery/Refund of Regulatory Balances (2011)</t>
  </si>
  <si>
    <t>Disposition and Recovery/Refund of Regulatory Balances (2012)</t>
  </si>
  <si>
    <t>Disposition and Recovery/Refund of Regulatory Balances (2013)</t>
  </si>
  <si>
    <t>Disposition and Recovery/Refund of Regulatory Balances (2014)</t>
  </si>
  <si>
    <t>Disposition and Recovery/Refund of Regulatory Balances (2015)</t>
  </si>
  <si>
    <t>Disposition and Recovery/Refund of Regulatory Balances (2016)</t>
  </si>
  <si>
    <t>Disposition and Recovery/Refund of Regulatory Balances (2017)</t>
  </si>
  <si>
    <t>Disposition and Recovery/Refund of Regulatory Balances (2018)</t>
  </si>
  <si>
    <t>Disposition and Recovery/Refund of Regulatory Balances (2019)</t>
  </si>
  <si>
    <t>Disposition and Recovery/Refund of Regulatory Balances (2020)</t>
  </si>
  <si>
    <t>Disposition and Recovery/Refund of Regulatory Balances (2021)</t>
  </si>
  <si>
    <t>Disposition and Recovery/Refund of Regulatory Balances (2022)</t>
  </si>
  <si>
    <t>Disposition and Recovery/Refund of Regulatory Balances (2023)</t>
  </si>
  <si>
    <t>Disposition and Recovery/Refund of Regulatory Balances Control Account</t>
  </si>
  <si>
    <t>2425</t>
  </si>
  <si>
    <t>Other Deferred Credits</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</si>
  <si>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</si>
  <si>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</si>
  <si>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</si>
  <si>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</si>
  <si>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</si>
  <si>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</si>
  <si>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</si>
  <si>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</si>
  <si>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</si>
  <si>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Smart Grid Capital OM&amp;A Account</t>
  </si>
  <si>
    <t>Algoma Power Inc.1535</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</si>
  <si>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</si>
  <si>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</si>
  <si>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</si>
  <si>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</si>
  <si>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</si>
  <si>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</si>
  <si>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</si>
  <si>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</si>
  <si>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</si>
  <si>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</si>
  <si>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</si>
  <si>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</si>
  <si>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</si>
  <si>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</si>
  <si>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</si>
  <si>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</si>
  <si>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</si>
  <si>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2006 PILs &amp; Taxes Variance</t>
  </si>
  <si>
    <t>Algoma Power Inc.1592</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</si>
  <si>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</si>
  <si>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</si>
  <si>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</si>
  <si>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</si>
  <si>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</si>
  <si>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</si>
  <si>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</si>
  <si>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</si>
  <si>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</si>
  <si>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</si>
  <si>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</si>
  <si>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</si>
  <si>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</si>
  <si>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</si>
  <si>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</si>
  <si>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</si>
  <si>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</si>
  <si>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</si>
  <si>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</si>
  <si>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</si>
  <si>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</si>
  <si>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</si>
  <si>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</si>
  <si>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</si>
  <si>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</si>
  <si>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</si>
  <si>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</si>
  <si>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</si>
  <si>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</si>
  <si>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</si>
  <si>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</si>
  <si>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</si>
  <si>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</si>
  <si>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</si>
  <si>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</si>
  <si>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</si>
  <si>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</si>
  <si>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</si>
  <si>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</si>
  <si>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</si>
  <si>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</si>
  <si>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</si>
  <si>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</si>
  <si>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</si>
  <si>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</si>
  <si>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</si>
  <si>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</si>
  <si>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</si>
  <si>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</si>
  <si>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</si>
  <si>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</si>
  <si>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</si>
  <si>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</si>
  <si>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</si>
  <si>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</si>
  <si>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</si>
  <si>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</si>
  <si>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</si>
  <si>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</si>
  <si>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</si>
  <si>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</si>
  <si>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</si>
  <si>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</si>
  <si>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</si>
  <si>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</si>
  <si>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</si>
  <si>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</si>
  <si>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</si>
  <si>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</si>
  <si>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</si>
  <si>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</si>
  <si>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</si>
  <si>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</si>
  <si>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</si>
  <si>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</si>
  <si>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</si>
  <si>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</si>
  <si>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</si>
  <si>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</si>
  <si>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</si>
  <si>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</si>
  <si>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</si>
  <si>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</si>
  <si>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</si>
  <si>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</si>
  <si>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</si>
  <si>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</si>
  <si>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</si>
  <si>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</si>
  <si>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</si>
  <si>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</si>
  <si>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</si>
  <si>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</si>
  <si>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</si>
  <si>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</si>
  <si>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</si>
  <si>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</si>
  <si>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</si>
  <si>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</si>
  <si>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</si>
  <si>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</si>
  <si>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</si>
  <si>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</si>
  <si>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</si>
  <si>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</si>
  <si>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</si>
  <si>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</si>
  <si>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</si>
  <si>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</si>
  <si>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</si>
  <si>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</si>
  <si>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</si>
  <si>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</si>
  <si>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</si>
  <si>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</si>
  <si>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</si>
  <si>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</si>
  <si>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</si>
  <si>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</si>
  <si>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</si>
  <si>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</si>
  <si>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</si>
  <si>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</si>
  <si>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</si>
  <si>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</si>
  <si>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</si>
  <si>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</si>
  <si>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</si>
  <si>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</si>
  <si>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</si>
  <si>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</si>
  <si>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</si>
  <si>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</si>
  <si>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</si>
  <si>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</si>
  <si>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</si>
  <si>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</si>
  <si>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</si>
  <si>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</si>
  <si>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</si>
  <si>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</si>
  <si>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</si>
  <si>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</si>
  <si>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</si>
  <si>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</si>
  <si>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</si>
  <si>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</si>
  <si>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</si>
  <si>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</si>
  <si>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</si>
  <si>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</si>
  <si>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</si>
  <si>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</si>
  <si>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</si>
  <si>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</si>
  <si>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</si>
  <si>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</si>
  <si>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</si>
  <si>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</si>
  <si>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</si>
  <si>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</si>
  <si>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</si>
  <si>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</si>
  <si>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</si>
  <si>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</si>
  <si>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</si>
  <si>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</si>
  <si>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</si>
  <si>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</si>
  <si>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</si>
  <si>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</si>
  <si>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</si>
  <si>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</si>
  <si>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</si>
  <si>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</si>
  <si>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</si>
  <si>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</si>
  <si>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</si>
  <si>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</si>
  <si>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</si>
  <si>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</si>
  <si>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</si>
  <si>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</si>
  <si>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</si>
  <si>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</si>
  <si>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</si>
  <si>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</si>
  <si>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</si>
  <si>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</si>
  <si>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</si>
  <si>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</si>
  <si>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</si>
  <si>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</si>
  <si>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</si>
  <si>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</si>
  <si>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</si>
  <si>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Inc.2425</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</si>
  <si>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</si>
  <si>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</si>
  <si>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</si>
  <si>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</si>
  <si>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</si>
  <si>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</si>
  <si>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</si>
  <si>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</si>
  <si>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</si>
  <si>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</si>
  <si>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</si>
  <si>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</si>
  <si>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</si>
  <si>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</si>
  <si>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</si>
  <si>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</si>
  <si>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</si>
  <si>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</si>
  <si>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</si>
  <si>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</si>
  <si>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</si>
  <si>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</si>
  <si>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</si>
  <si>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</si>
  <si>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</si>
  <si>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</si>
  <si>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</si>
  <si>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Inc.2425</t>
  </si>
  <si>
    <t>Enova Power Corp.1508</t>
  </si>
  <si>
    <t>Enova Power Corp.1518</t>
  </si>
  <si>
    <t>Enova Power Corp.1522</t>
  </si>
  <si>
    <t>Enova Power Corp.1525</t>
  </si>
  <si>
    <t>Enova Power Corp.1531</t>
  </si>
  <si>
    <t>Enova Power Corp.1532</t>
  </si>
  <si>
    <t>Enova Power Corp.1533</t>
  </si>
  <si>
    <t>Enova Power Corp.1534</t>
  </si>
  <si>
    <t>Enova Power Corp.1535</t>
  </si>
  <si>
    <t>Enova Power Corp.1536</t>
  </si>
  <si>
    <t>Enova Power Corp.1548</t>
  </si>
  <si>
    <t>Enova Power Corp.1550</t>
  </si>
  <si>
    <t>Enova Power Corp.1551</t>
  </si>
  <si>
    <t>Enova Power Corp.1555</t>
  </si>
  <si>
    <t>Enova Power Corp.1557</t>
  </si>
  <si>
    <t>Enova Power Corp.1568</t>
  </si>
  <si>
    <t>Enova Power Corp.1572</t>
  </si>
  <si>
    <t>Enova Power Corp.1574</t>
  </si>
  <si>
    <t>Enova Power Corp.1575</t>
  </si>
  <si>
    <t>Enova Power Corp.1576</t>
  </si>
  <si>
    <t>Enova Power Corp.1580</t>
  </si>
  <si>
    <t>Enova Power Corp.1582</t>
  </si>
  <si>
    <t>Enova Power Corp.1584</t>
  </si>
  <si>
    <t>Enova Power Corp.1586</t>
  </si>
  <si>
    <t>Enova Power Corp.1588</t>
  </si>
  <si>
    <t>Enova Power Corp.1589</t>
  </si>
  <si>
    <t>Enova Power Corp.1592</t>
  </si>
  <si>
    <t>Enova Power Corp.2425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</si>
  <si>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</si>
  <si>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</si>
  <si>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</si>
  <si>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</si>
  <si>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</si>
  <si>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</si>
  <si>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</si>
  <si>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</si>
  <si>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</si>
  <si>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</si>
  <si>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</si>
  <si>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</si>
  <si>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</si>
  <si>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</si>
  <si>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</si>
  <si>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</si>
  <si>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</si>
  <si>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</si>
  <si>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</si>
  <si>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</si>
  <si>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</si>
  <si>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</si>
  <si>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</si>
  <si>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</si>
  <si>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</si>
  <si>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</si>
  <si>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</si>
  <si>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Inc.2425</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</si>
  <si>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</si>
  <si>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</si>
  <si>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</si>
  <si>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</si>
  <si>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</si>
  <si>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</si>
  <si>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</si>
  <si>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</si>
  <si>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</si>
  <si>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</si>
  <si>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</si>
  <si>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</si>
  <si>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</si>
  <si>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</si>
  <si>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</si>
  <si>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</si>
  <si>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</si>
  <si>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</si>
  <si>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</si>
  <si>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</si>
  <si>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</si>
  <si>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</si>
  <si>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</si>
  <si>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</si>
  <si>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</si>
  <si>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</si>
  <si>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</si>
  <si>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</si>
  <si>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</si>
  <si>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</si>
  <si>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</si>
  <si>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</si>
  <si>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</si>
  <si>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</si>
  <si>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</si>
  <si>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</si>
  <si>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</si>
  <si>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</si>
  <si>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</si>
  <si>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</si>
  <si>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</si>
  <si>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</si>
  <si>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</si>
  <si>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</si>
  <si>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</si>
  <si>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</si>
  <si>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</si>
  <si>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</si>
  <si>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</si>
  <si>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</si>
  <si>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</si>
  <si>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</si>
  <si>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</si>
  <si>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</si>
  <si>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</si>
  <si>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Inc.2425</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</si>
  <si>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</si>
  <si>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</si>
  <si>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</si>
  <si>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</si>
  <si>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</si>
  <si>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</si>
  <si>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</si>
  <si>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</si>
  <si>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</si>
  <si>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</si>
  <si>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</si>
  <si>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</si>
  <si>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</si>
  <si>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</si>
  <si>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</si>
  <si>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</si>
  <si>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</si>
  <si>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</si>
  <si>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</si>
  <si>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</si>
  <si>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</si>
  <si>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</si>
  <si>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</si>
  <si>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</si>
  <si>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</si>
  <si>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</si>
  <si>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</si>
  <si>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</si>
  <si>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</si>
  <si>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</si>
  <si>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</si>
  <si>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</si>
  <si>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</si>
  <si>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</si>
  <si>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</si>
  <si>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</si>
  <si>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</si>
  <si>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</si>
  <si>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</si>
  <si>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</si>
  <si>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</si>
  <si>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</si>
  <si>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</si>
  <si>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</si>
  <si>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</si>
  <si>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</si>
  <si>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</si>
  <si>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</si>
  <si>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</si>
  <si>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</si>
  <si>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</si>
  <si>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</si>
  <si>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</si>
  <si>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</si>
  <si>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</si>
  <si>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</si>
  <si>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</si>
  <si>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</si>
  <si>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</si>
  <si>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</si>
  <si>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</si>
  <si>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</si>
  <si>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</si>
  <si>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</si>
  <si>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</si>
  <si>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</si>
  <si>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</si>
  <si>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</si>
  <si>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</si>
  <si>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</si>
  <si>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</si>
  <si>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</si>
  <si>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</si>
  <si>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</si>
  <si>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</si>
  <si>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</si>
  <si>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</si>
  <si>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</si>
  <si>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</si>
  <si>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</si>
  <si>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</si>
  <si>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</si>
  <si>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</si>
  <si>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</si>
  <si>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</si>
  <si>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</si>
  <si>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</si>
  <si>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</si>
  <si>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</si>
  <si>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</si>
  <si>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</si>
  <si>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</si>
  <si>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</si>
  <si>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</si>
  <si>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</si>
  <si>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</si>
  <si>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</si>
  <si>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</si>
  <si>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</si>
  <si>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</si>
  <si>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</si>
  <si>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</si>
  <si>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</si>
  <si>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</si>
  <si>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</si>
  <si>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</si>
  <si>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</si>
  <si>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</si>
  <si>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</si>
  <si>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</si>
  <si>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</si>
  <si>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Corporation2425</t>
  </si>
  <si>
    <t>GrandBridge Energy Inc.1508</t>
  </si>
  <si>
    <t>GrandBridge Energy Inc.1518</t>
  </si>
  <si>
    <t>GrandBridge Energy Inc.1522</t>
  </si>
  <si>
    <t>GrandBridge Energy Inc.1525</t>
  </si>
  <si>
    <t>GrandBridge Energy Inc.1531</t>
  </si>
  <si>
    <t>GrandBridge Energy Inc.1532</t>
  </si>
  <si>
    <t>GrandBridge Energy Inc.1533</t>
  </si>
  <si>
    <t>GrandBridge Energy Inc.1534</t>
  </si>
  <si>
    <t>GrandBridge Energy Inc.1535</t>
  </si>
  <si>
    <t>GrandBridge Energy Inc.1536</t>
  </si>
  <si>
    <t>GrandBridge Energy Inc.1548</t>
  </si>
  <si>
    <t>GrandBridge Energy Inc.1550</t>
  </si>
  <si>
    <t>GrandBridge Energy Inc.1551</t>
  </si>
  <si>
    <t>GrandBridge Energy Inc.1555</t>
  </si>
  <si>
    <t>GrandBridge Energy Inc.1557</t>
  </si>
  <si>
    <t>GrandBridge Energy Inc.1568</t>
  </si>
  <si>
    <t>GrandBridge Energy Inc.1572</t>
  </si>
  <si>
    <t>GrandBridge Energy Inc.1574</t>
  </si>
  <si>
    <t>GrandBridge Energy Inc.1575</t>
  </si>
  <si>
    <t>GrandBridge Energy Inc.1576</t>
  </si>
  <si>
    <t>GrandBridge Energy Inc.1580</t>
  </si>
  <si>
    <t>GrandBridge Energy Inc.1582</t>
  </si>
  <si>
    <t>GrandBridge Energy Inc.1584</t>
  </si>
  <si>
    <t>GrandBridge Energy Inc.1586</t>
  </si>
  <si>
    <t>GrandBridge Energy Inc.1588</t>
  </si>
  <si>
    <t>GrandBridge Energy Inc.1589</t>
  </si>
  <si>
    <t>GrandBridge Energy Inc.1592</t>
  </si>
  <si>
    <t>GrandBridge Energy Inc.2425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</si>
  <si>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</si>
  <si>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</si>
  <si>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</si>
  <si>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</si>
  <si>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</si>
  <si>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</si>
  <si>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</si>
  <si>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</si>
  <si>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</si>
  <si>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</si>
  <si>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</si>
  <si>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</si>
  <si>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</si>
  <si>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</si>
  <si>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</si>
  <si>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</si>
  <si>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</si>
  <si>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</si>
  <si>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</si>
  <si>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</si>
  <si>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</si>
  <si>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</si>
  <si>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</si>
  <si>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</si>
  <si>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</si>
  <si>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</si>
  <si>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</si>
  <si>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</si>
  <si>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</si>
  <si>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</si>
  <si>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</si>
  <si>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</si>
  <si>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</si>
  <si>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</si>
  <si>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</si>
  <si>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</si>
  <si>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</si>
  <si>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</si>
  <si>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</si>
  <si>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</si>
  <si>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</si>
  <si>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</si>
  <si>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</si>
  <si>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</si>
  <si>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</si>
  <si>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</si>
  <si>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</si>
  <si>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</si>
  <si>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</si>
  <si>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</si>
  <si>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</si>
  <si>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</si>
  <si>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</si>
  <si>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</si>
  <si>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</si>
  <si>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</si>
  <si>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</si>
  <si>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</si>
  <si>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</si>
  <si>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</si>
  <si>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</si>
  <si>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</si>
  <si>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</si>
  <si>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</si>
  <si>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</si>
  <si>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</si>
  <si>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</si>
  <si>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</si>
  <si>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</si>
  <si>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</si>
  <si>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</si>
  <si>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</si>
  <si>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</si>
  <si>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</si>
  <si>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</si>
  <si>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</si>
  <si>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</si>
  <si>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</si>
  <si>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</si>
  <si>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</si>
  <si>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</si>
  <si>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</si>
  <si>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</si>
  <si>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</si>
  <si>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</si>
  <si>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</si>
  <si>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</si>
  <si>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</si>
  <si>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</si>
  <si>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</si>
  <si>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</si>
  <si>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</si>
  <si>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</si>
  <si>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</si>
  <si>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</si>
  <si>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</si>
  <si>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</si>
  <si>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</si>
  <si>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</si>
  <si>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</si>
  <si>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</si>
  <si>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</si>
  <si>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</si>
  <si>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</si>
  <si>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</si>
  <si>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</si>
  <si>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</si>
  <si>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</si>
  <si>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</si>
  <si>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</si>
  <si>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</si>
  <si>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</si>
  <si>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</si>
  <si>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</si>
  <si>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</si>
  <si>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</si>
  <si>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</si>
  <si>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</si>
  <si>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</si>
  <si>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</si>
  <si>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</si>
  <si>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</si>
  <si>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</si>
  <si>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</si>
  <si>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</si>
  <si>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</si>
  <si>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</si>
  <si>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</si>
  <si>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</si>
  <si>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</si>
  <si>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</si>
  <si>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</si>
  <si>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</si>
  <si>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</si>
  <si>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</si>
  <si>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</si>
  <si>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</si>
  <si>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</si>
  <si>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</si>
  <si>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</si>
  <si>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</si>
  <si>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</si>
  <si>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</si>
  <si>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</si>
  <si>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</si>
  <si>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</si>
  <si>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</si>
  <si>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</si>
  <si>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</si>
  <si>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</si>
  <si>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</si>
  <si>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</si>
  <si>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</si>
  <si>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</si>
  <si>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</si>
  <si>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</si>
  <si>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</si>
  <si>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</si>
  <si>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</si>
  <si>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</si>
  <si>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</si>
  <si>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</si>
  <si>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</si>
  <si>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</si>
  <si>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</si>
  <si>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</si>
  <si>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</si>
  <si>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Inc.2425</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</si>
  <si>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</si>
  <si>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</si>
  <si>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</si>
  <si>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</si>
  <si>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</si>
  <si>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</si>
  <si>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</si>
  <si>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</si>
  <si>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</si>
  <si>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</si>
  <si>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</si>
  <si>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</si>
  <si>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</si>
  <si>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</si>
  <si>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</si>
  <si>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</si>
  <si>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</si>
  <si>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</si>
  <si>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</si>
  <si>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</si>
  <si>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</si>
  <si>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</si>
  <si>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</si>
  <si>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</si>
  <si>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</si>
  <si>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</si>
  <si>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</si>
  <si>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</si>
  <si>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</si>
  <si>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</si>
  <si>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</si>
  <si>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</si>
  <si>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</si>
  <si>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</si>
  <si>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</si>
  <si>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</si>
  <si>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</si>
  <si>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</si>
  <si>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</si>
  <si>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</si>
  <si>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</si>
  <si>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</si>
  <si>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</si>
  <si>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</si>
  <si>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</si>
  <si>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</si>
  <si>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</si>
  <si>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</si>
  <si>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</si>
  <si>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</si>
  <si>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</si>
  <si>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</si>
  <si>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</si>
  <si>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</si>
  <si>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</si>
  <si>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Limited2425</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</si>
  <si>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</si>
  <si>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</si>
  <si>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</si>
  <si>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</si>
  <si>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</si>
  <si>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</si>
  <si>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</si>
  <si>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</si>
  <si>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</si>
  <si>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</si>
  <si>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</si>
  <si>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</si>
  <si>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</si>
  <si>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</si>
  <si>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</si>
  <si>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</si>
  <si>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</si>
  <si>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</si>
  <si>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</si>
  <si>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</si>
  <si>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</si>
  <si>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</si>
  <si>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</si>
  <si>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</si>
  <si>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</si>
  <si>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</si>
  <si>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</si>
  <si>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</si>
  <si>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</si>
  <si>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</si>
  <si>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</si>
  <si>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</si>
  <si>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</si>
  <si>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</si>
  <si>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</si>
  <si>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</si>
  <si>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</si>
  <si>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</si>
  <si>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</si>
  <si>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</si>
  <si>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</si>
  <si>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</si>
  <si>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</si>
  <si>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</si>
  <si>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</si>
  <si>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</si>
  <si>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</si>
  <si>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</si>
  <si>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</si>
  <si>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</si>
  <si>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</si>
  <si>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</si>
  <si>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</si>
  <si>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</si>
  <si>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</si>
  <si>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</si>
  <si>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</si>
  <si>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</si>
  <si>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</si>
  <si>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</si>
  <si>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</si>
  <si>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</si>
  <si>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</si>
  <si>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</si>
  <si>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</si>
  <si>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</si>
  <si>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</si>
  <si>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</si>
  <si>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</si>
  <si>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</si>
  <si>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</si>
  <si>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</si>
  <si>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</si>
  <si>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</si>
  <si>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</si>
  <si>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</si>
  <si>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</si>
  <si>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</si>
  <si>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</si>
  <si>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</si>
  <si>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</si>
  <si>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</si>
  <si>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</si>
  <si>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</si>
  <si>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</si>
  <si>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</si>
  <si>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</si>
  <si>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</si>
  <si>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</si>
  <si>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</si>
  <si>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</si>
  <si>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</si>
  <si>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</si>
  <si>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</si>
  <si>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</si>
  <si>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</si>
  <si>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</si>
  <si>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</si>
  <si>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</si>
  <si>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</si>
  <si>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</si>
  <si>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</si>
  <si>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</si>
  <si>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</si>
  <si>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</si>
  <si>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</si>
  <si>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</si>
  <si>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</si>
  <si>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</si>
  <si>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</si>
  <si>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</si>
  <si>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</si>
  <si>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</si>
  <si>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</si>
  <si>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</si>
  <si>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</si>
  <si>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</si>
  <si>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</si>
  <si>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</si>
  <si>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</si>
  <si>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</si>
  <si>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</si>
  <si>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</si>
  <si>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</si>
  <si>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</si>
  <si>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</si>
  <si>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</si>
  <si>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</si>
  <si>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</si>
  <si>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</si>
  <si>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</si>
  <si>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</si>
  <si>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</si>
  <si>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</si>
  <si>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</si>
  <si>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</si>
  <si>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</si>
  <si>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</si>
  <si>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</si>
  <si>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</si>
  <si>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</si>
  <si>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</si>
  <si>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</si>
  <si>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</si>
  <si>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</si>
  <si>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</si>
  <si>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</si>
  <si>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</si>
  <si>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</si>
  <si>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</si>
  <si>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</si>
  <si>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</si>
  <si>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</si>
  <si>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</si>
  <si>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</si>
  <si>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</si>
  <si>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</si>
  <si>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</si>
  <si>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</si>
  <si>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</si>
  <si>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</si>
  <si>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</si>
  <si>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</si>
  <si>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</si>
  <si>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</si>
  <si>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</si>
  <si>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</si>
  <si>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Inc.2425</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</si>
  <si>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</si>
  <si>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</si>
  <si>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</si>
  <si>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</si>
  <si>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</si>
  <si>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</si>
  <si>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</si>
  <si>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</si>
  <si>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</si>
  <si>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</si>
  <si>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</si>
  <si>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</si>
  <si>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</si>
  <si>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</si>
  <si>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</si>
  <si>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</si>
  <si>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</si>
  <si>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</si>
  <si>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</si>
  <si>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</si>
  <si>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</si>
  <si>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</si>
  <si>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</si>
  <si>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</si>
  <si>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</si>
  <si>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</si>
  <si>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</si>
  <si>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</si>
  <si>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</si>
  <si>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</si>
  <si>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</si>
  <si>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</si>
  <si>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</si>
  <si>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</si>
  <si>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</si>
  <si>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</si>
  <si>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</si>
  <si>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</si>
  <si>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</si>
  <si>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</si>
  <si>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</si>
  <si>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</si>
  <si>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</si>
  <si>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</si>
  <si>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</si>
  <si>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</si>
  <si>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</si>
  <si>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</si>
  <si>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</si>
  <si>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</si>
  <si>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</si>
  <si>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</si>
  <si>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</si>
  <si>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</si>
  <si>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</si>
  <si>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</si>
  <si>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</si>
  <si>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</si>
  <si>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</si>
  <si>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</si>
  <si>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</si>
  <si>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</si>
  <si>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</si>
  <si>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</si>
  <si>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</si>
  <si>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</si>
  <si>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</si>
  <si>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</si>
  <si>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</si>
  <si>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</si>
  <si>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</si>
  <si>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</si>
  <si>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</si>
  <si>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</si>
  <si>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</si>
  <si>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</si>
  <si>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</si>
  <si>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</si>
  <si>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</si>
  <si>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</si>
  <si>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</si>
  <si>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</si>
  <si>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</si>
  <si>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</si>
  <si>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</si>
  <si>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</si>
  <si>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</si>
  <si>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</si>
  <si>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</si>
  <si>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</si>
  <si>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</si>
  <si>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</si>
  <si>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</si>
  <si>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</si>
  <si>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</si>
  <si>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</si>
  <si>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</si>
  <si>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</si>
  <si>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</si>
  <si>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</si>
  <si>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</si>
  <si>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</si>
  <si>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</si>
  <si>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</si>
  <si>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</si>
  <si>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</si>
  <si>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</si>
  <si>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</si>
  <si>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</si>
  <si>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</si>
  <si>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</si>
  <si>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</si>
  <si>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</si>
  <si>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</si>
  <si>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</si>
  <si>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</si>
  <si>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</si>
  <si>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</si>
  <si>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</si>
  <si>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</si>
  <si>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</si>
  <si>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</si>
  <si>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</si>
  <si>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</si>
  <si>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</si>
  <si>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</si>
  <si>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</si>
  <si>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</si>
  <si>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</si>
  <si>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</si>
  <si>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</si>
  <si>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</si>
  <si>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</si>
  <si>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</si>
  <si>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</si>
  <si>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</si>
  <si>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</si>
  <si>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</si>
  <si>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</si>
  <si>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</si>
  <si>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</si>
  <si>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</si>
  <si>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</si>
  <si>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</si>
  <si>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</si>
  <si>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</si>
  <si>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</si>
  <si>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</si>
  <si>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</si>
  <si>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</si>
  <si>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</si>
  <si>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</si>
  <si>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</si>
  <si>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</si>
  <si>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</si>
  <si>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</si>
  <si>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</si>
  <si>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</si>
  <si>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</si>
  <si>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</si>
  <si>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</si>
  <si>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</si>
  <si>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</si>
  <si>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</si>
  <si>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</si>
  <si>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</si>
  <si>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</si>
  <si>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</si>
  <si>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</si>
  <si>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</si>
  <si>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</si>
  <si>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</si>
  <si>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</si>
  <si>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</si>
  <si>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</si>
  <si>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</si>
  <si>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</si>
  <si>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</si>
  <si>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</si>
  <si>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</si>
  <si>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</si>
  <si>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</si>
  <si>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</si>
  <si>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</si>
  <si>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</si>
  <si>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</si>
  <si>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</si>
  <si>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</si>
  <si>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</si>
  <si>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</si>
  <si>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</si>
  <si>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</si>
  <si>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</si>
  <si>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</si>
  <si>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</si>
  <si>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</si>
  <si>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</si>
  <si>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</si>
  <si>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</si>
  <si>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</si>
  <si>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</si>
  <si>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</si>
  <si>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</si>
  <si>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</si>
  <si>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</si>
  <si>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</si>
  <si>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</si>
  <si>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</si>
  <si>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</si>
  <si>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</si>
  <si>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</si>
  <si>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</si>
  <si>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</si>
  <si>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</si>
  <si>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</si>
  <si>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</si>
  <si>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</si>
  <si>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</si>
  <si>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</si>
  <si>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</si>
  <si>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</si>
  <si>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</si>
  <si>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</si>
  <si>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</si>
  <si>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</si>
  <si>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</si>
  <si>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</si>
  <si>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</si>
  <si>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</si>
  <si>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</si>
  <si>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</si>
  <si>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</si>
  <si>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</si>
  <si>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</si>
  <si>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</si>
  <si>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</si>
  <si>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</si>
  <si>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</si>
  <si>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</si>
  <si>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</si>
  <si>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</si>
  <si>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</si>
  <si>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</si>
  <si>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</si>
  <si>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</si>
  <si>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</si>
  <si>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</si>
  <si>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</si>
  <si>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</si>
  <si>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</si>
  <si>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</si>
  <si>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</si>
  <si>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</si>
  <si>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</si>
  <si>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</si>
  <si>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</si>
  <si>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</si>
  <si>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</si>
  <si>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</si>
  <si>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</si>
  <si>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</si>
  <si>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</si>
  <si>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</si>
  <si>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</si>
  <si>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</si>
  <si>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</si>
  <si>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</si>
  <si>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</si>
  <si>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</si>
  <si>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</si>
  <si>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</si>
  <si>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</si>
  <si>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</si>
  <si>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</si>
  <si>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</si>
  <si>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</si>
  <si>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</si>
  <si>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</si>
  <si>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</si>
  <si>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</si>
  <si>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</si>
  <si>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</si>
  <si>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</si>
  <si>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</si>
  <si>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</si>
  <si>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</si>
  <si>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</si>
  <si>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</si>
  <si>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</si>
  <si>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</si>
  <si>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</si>
  <si>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</si>
  <si>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</si>
  <si>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</si>
  <si>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</si>
  <si>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</si>
  <si>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</si>
  <si>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</si>
  <si>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</si>
  <si>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</si>
  <si>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</si>
  <si>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</si>
  <si>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</si>
  <si>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</si>
  <si>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</si>
  <si>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</si>
  <si>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</si>
  <si>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</si>
  <si>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</si>
  <si>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</si>
  <si>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</si>
  <si>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</si>
  <si>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</si>
  <si>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</si>
  <si>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</si>
  <si>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</si>
  <si>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</si>
  <si>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</si>
  <si>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</si>
  <si>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</si>
  <si>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</si>
  <si>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</si>
  <si>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</si>
  <si>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</si>
  <si>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</si>
  <si>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</si>
  <si>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</si>
  <si>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</si>
  <si>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</si>
  <si>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</si>
  <si>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</si>
  <si>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</si>
  <si>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</si>
  <si>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</si>
  <si>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</si>
  <si>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</si>
  <si>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</si>
  <si>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</si>
  <si>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</si>
  <si>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</si>
  <si>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</si>
  <si>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</si>
  <si>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</si>
  <si>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</si>
  <si>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</si>
  <si>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</si>
  <si>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</si>
  <si>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</si>
  <si>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</si>
  <si>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</si>
  <si>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</si>
  <si>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</si>
  <si>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</si>
  <si>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</si>
  <si>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</si>
  <si>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</si>
  <si>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</si>
  <si>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</si>
  <si>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</si>
  <si>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</si>
  <si>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</si>
  <si>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</si>
  <si>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</si>
  <si>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Inc.2425</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</si>
  <si>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</si>
  <si>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</si>
  <si>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</si>
  <si>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</si>
  <si>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</si>
  <si>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</si>
  <si>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</si>
  <si>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</si>
  <si>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</si>
  <si>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</si>
  <si>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</si>
  <si>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</si>
  <si>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</si>
  <si>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</si>
  <si>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</si>
  <si>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</si>
  <si>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</si>
  <si>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</si>
  <si>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</si>
  <si>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</si>
  <si>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</si>
  <si>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</si>
  <si>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</si>
  <si>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</si>
  <si>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</si>
  <si>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</si>
  <si>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</si>
  <si>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</si>
  <si>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</si>
  <si>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</si>
  <si>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</si>
  <si>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</si>
  <si>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</si>
  <si>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</si>
  <si>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</si>
  <si>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</si>
  <si>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</si>
  <si>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</si>
  <si>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</si>
  <si>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</si>
  <si>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</si>
  <si>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</si>
  <si>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</si>
  <si>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</si>
  <si>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</si>
  <si>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</si>
  <si>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</si>
  <si>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</si>
  <si>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</si>
  <si>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</si>
  <si>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</si>
  <si>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</si>
  <si>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</si>
  <si>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</si>
  <si>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</si>
  <si>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</si>
  <si>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</si>
  <si>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</si>
  <si>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</si>
  <si>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</si>
  <si>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</si>
  <si>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</si>
  <si>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</si>
  <si>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</si>
  <si>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</si>
  <si>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</si>
  <si>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</si>
  <si>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</si>
  <si>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</si>
  <si>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</si>
  <si>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</si>
  <si>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</si>
  <si>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</si>
  <si>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</si>
  <si>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</si>
  <si>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</si>
  <si>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</si>
  <si>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</si>
  <si>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</si>
  <si>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</si>
  <si>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</si>
  <si>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</si>
  <si>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</si>
  <si>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</si>
  <si>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</si>
  <si>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</si>
  <si>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</si>
  <si>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</si>
  <si>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</si>
  <si>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</si>
  <si>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</si>
  <si>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</si>
  <si>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</si>
  <si>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</si>
  <si>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</si>
  <si>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</si>
  <si>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</si>
  <si>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</si>
  <si>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</si>
  <si>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</si>
  <si>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</si>
  <si>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</si>
  <si>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</si>
  <si>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</si>
  <si>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</si>
  <si>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</si>
  <si>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</si>
  <si>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</si>
  <si>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</si>
  <si>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</si>
  <si>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</si>
  <si>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</si>
  <si>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</si>
  <si>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</si>
  <si>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</si>
  <si>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</si>
  <si>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</si>
  <si>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</si>
  <si>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</si>
  <si>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</si>
  <si>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</si>
  <si>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</si>
  <si>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</si>
  <si>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</si>
  <si>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</si>
  <si>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</si>
  <si>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</si>
  <si>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</si>
  <si>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</si>
  <si>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</si>
  <si>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</si>
  <si>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</si>
  <si>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</si>
  <si>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</si>
  <si>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</si>
  <si>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</si>
  <si>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</si>
  <si>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</si>
  <si>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</si>
  <si>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</si>
  <si>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</si>
  <si>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</si>
  <si>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</si>
  <si>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</si>
  <si>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</si>
  <si>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</si>
  <si>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</si>
  <si>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</si>
  <si>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</si>
  <si>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</si>
  <si>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</si>
  <si>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</si>
  <si>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</si>
  <si>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</si>
  <si>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</si>
  <si>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</si>
  <si>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</si>
  <si>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</si>
  <si>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</si>
  <si>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</si>
  <si>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</si>
  <si>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</si>
  <si>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</si>
  <si>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</si>
  <si>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</si>
  <si>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</si>
  <si>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</si>
  <si>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</si>
  <si>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</si>
  <si>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</si>
  <si>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</si>
  <si>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</si>
  <si>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</si>
  <si>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</si>
  <si>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</si>
  <si>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</si>
  <si>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</si>
  <si>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</si>
  <si>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</si>
  <si>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</si>
  <si>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</si>
  <si>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</si>
  <si>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</si>
  <si>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</si>
  <si>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</si>
  <si>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</si>
  <si>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</si>
  <si>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</si>
  <si>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</si>
  <si>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</si>
  <si>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</si>
  <si>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</si>
  <si>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</si>
  <si>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</si>
  <si>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</si>
  <si>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Inc.2425</t>
  </si>
  <si>
    <t>Alectra Utilities Corporation - Enersource Rate Zone</t>
  </si>
  <si>
    <t>Alectra Utilities Corporation - Enersource Rate Zone1550</t>
  </si>
  <si>
    <t>Alectra Utilities Corporation - Enersource Rate Zone1551</t>
  </si>
  <si>
    <t>Alectra Utilities Corporation - Enersource Rate Zone1555</t>
  </si>
  <si>
    <t>Alectra Utilities Corporation - Enersource Rate Zone1580</t>
  </si>
  <si>
    <t>Alectra Utilities Corporation - Enersource Rate Zone1584</t>
  </si>
  <si>
    <t>Alectra Utilities Corporation - Enersource Rate Zone1586</t>
  </si>
  <si>
    <t>Alectra Utilities Corporation - Enersource Rate Zone1588</t>
  </si>
  <si>
    <t>Alectra Utilities Corporation - Enersource Rate Zone1589</t>
  </si>
  <si>
    <t>Sub-account HST / OVAT Input Tax Credits (ITCs)</t>
  </si>
  <si>
    <t>Alectra Utilities Corporation - Enersource Rate Zone1592</t>
  </si>
  <si>
    <t>Sub-account Carrying Charges Approved in 2012</t>
  </si>
  <si>
    <t>Sub-account Carrying Charges Approved in 2013</t>
  </si>
  <si>
    <t>Sub-account Carrying Charges Approved in 2014</t>
  </si>
  <si>
    <t>Sub-account Carrying Charges for Net Principal in 2012</t>
  </si>
  <si>
    <t>Sub-account Carrying Charges for Net Principal in 2013</t>
  </si>
  <si>
    <t>Sub-account Carrying Charges for Net Principal in 2014</t>
  </si>
  <si>
    <t>Sub-account Principal Balances Approved in 2012</t>
  </si>
  <si>
    <t>Sub-account Principal Balances Approved in 2013</t>
  </si>
  <si>
    <t>Sub-account Principal Balances Approved in 2014</t>
  </si>
  <si>
    <t>Alectra Utilities Corporation - Guelph Hydro Rate Zone</t>
  </si>
  <si>
    <t>Alectra Utilities Corporation - Guelph Hydro Rate Zone1550</t>
  </si>
  <si>
    <t>Alectra Utilities Corporation - Guelph Hydro Rate Zone1551</t>
  </si>
  <si>
    <t>Alectra Utilities Corporation - Guelph Hydro Rate Zone1555</t>
  </si>
  <si>
    <t>Alectra Utilities Corporation - Guelph Hydro Rate Zone1580</t>
  </si>
  <si>
    <t>Alectra Utilities Corporation - Guelph Hydro Rate Zone1584</t>
  </si>
  <si>
    <t>Alectra Utilities Corporation - Guelph Hydro Rate Zone1586</t>
  </si>
  <si>
    <t>Alectra Utilities Corporation - Guelph Hydro Rate Zone1588</t>
  </si>
  <si>
    <t>Alectra Utilities Corporation - Guelph Hydro Rate Zone1589</t>
  </si>
  <si>
    <t>Alectra Utilities Corporation - Guelph Hydro Rate Zone1592</t>
  </si>
  <si>
    <t>Alectra Utilities Corporation - Horizon Rate Zone</t>
  </si>
  <si>
    <t>Alectra Utilities Corporation - Horizon Rate Zone1550</t>
  </si>
  <si>
    <t>Alectra Utilities Corporation - Horizon Rate Zone1551</t>
  </si>
  <si>
    <t>Alectra Utilities Corporation - Horizon Rate Zone1555</t>
  </si>
  <si>
    <t>Alectra Utilities Corporation - Horizon Rate Zone1580</t>
  </si>
  <si>
    <t>Alectra Utilities Corporation - Horizon Rate Zone1584</t>
  </si>
  <si>
    <t>Alectra Utilities Corporation - Horizon Rate Zone1586</t>
  </si>
  <si>
    <t>Alectra Utilities Corporation - Horizon Rate Zone1588</t>
  </si>
  <si>
    <t>Alectra Utilities Corporation - Horizon Rate Zone1589</t>
  </si>
  <si>
    <t>Alectra Utilities Corporation - Horizon Rate Zone1592</t>
  </si>
  <si>
    <t>Alectra Utilities Corporation - Brampton Rate Zone</t>
  </si>
  <si>
    <t>Alectra Utilities Corporation - Brampton Rate Zone1550</t>
  </si>
  <si>
    <t>Alectra Utilities Corporation - Brampton Rate Zone1551</t>
  </si>
  <si>
    <t>Alectra Utilities Corporation - Brampton Rate Zone1555</t>
  </si>
  <si>
    <t>Alectra Utilities Corporation - Brampton Rate Zone1580</t>
  </si>
  <si>
    <t>Alectra Utilities Corporation - Brampton Rate Zone1584</t>
  </si>
  <si>
    <t>Alectra Utilities Corporation - Brampton Rate Zone1586</t>
  </si>
  <si>
    <t>Alectra Utilities Corporation - Brampton Rate Zone1588</t>
  </si>
  <si>
    <t>Alectra Utilities Corporation - Brampton Rate Zone1589</t>
  </si>
  <si>
    <t>Alectra Utilities Corporation - Brampton Rate Zone1592</t>
  </si>
  <si>
    <t>Alectra Utilities Corporation - PowerStream Rate Zone</t>
  </si>
  <si>
    <t>Alectra Utilities Corporation - PowerStream Rate Zone1550</t>
  </si>
  <si>
    <t>Alectra Utilities Corporation - PowerStream Rate Zone1551</t>
  </si>
  <si>
    <t>Alectra Utilities Corporation - PowerStream Rate Zone1555</t>
  </si>
  <si>
    <t>Alectra Utilities Corporation - PowerStream Rate Zone1580</t>
  </si>
  <si>
    <t>Alectra Utilities Corporation - PowerStream Rate Zone1584</t>
  </si>
  <si>
    <t>Alectra Utilities Corporation - PowerStream Rate Zone1586</t>
  </si>
  <si>
    <t>Alectra Utilities Corporation - PowerStream Rate Zone1588</t>
  </si>
  <si>
    <t>Alectra Utilities Corporation - PowerStream Rate Zone1589</t>
  </si>
  <si>
    <t>Alectra Utilities Corporation - PowerStream Rate Zone1592</t>
  </si>
  <si>
    <t>Elexicon Energy Inc. - Veridian Rate Zone</t>
  </si>
  <si>
    <t>Elexicon Energy Inc. - Veridian Rate Zone1550</t>
  </si>
  <si>
    <t>Elexicon Energy Inc. - Veridian Rate Zone1551</t>
  </si>
  <si>
    <t>Elexicon Energy Inc. - Veridian Rate Zone1555</t>
  </si>
  <si>
    <t>Elexicon Energy Inc. - Veridian Rate Zone1580</t>
  </si>
  <si>
    <t>Elexicon Energy Inc. - Veridian Rate Zone1584</t>
  </si>
  <si>
    <t>Elexicon Energy Inc. - Veridian Rate Zone1586</t>
  </si>
  <si>
    <t>Elexicon Energy Inc. - Veridian Rate Zone1588</t>
  </si>
  <si>
    <t>Elexicon Energy Inc. - Veridian Rate Zone1589</t>
  </si>
  <si>
    <t>Elexicon Energy Inc. - Veridian Rate Zone1592</t>
  </si>
  <si>
    <t>Elexicon Energy Inc. - Whitby Rate Zone</t>
  </si>
  <si>
    <t>Elexicon Energy Inc. - Whitby Rate Zone1550</t>
  </si>
  <si>
    <t>Elexicon Energy Inc. - Whitby Rate Zone1551</t>
  </si>
  <si>
    <t>Elexicon Energy Inc. - Whitby Rate Zone1555</t>
  </si>
  <si>
    <t>Elexicon Energy Inc. - Whitby Rate Zone1580</t>
  </si>
  <si>
    <t>Elexicon Energy Inc. - Whitby Rate Zone1584</t>
  </si>
  <si>
    <t>Elexicon Energy Inc. - Whitby Rate Zone1586</t>
  </si>
  <si>
    <t>Elexicon Energy Inc. - Whitby Rate Zone1588</t>
  </si>
  <si>
    <t>Elexicon Energy Inc. - Whitby Rate Zone1589</t>
  </si>
  <si>
    <t>Elexicon Energy Inc. - Whitby Rate Zone1592</t>
  </si>
  <si>
    <t>Enova Power Corp. - Kitchener-Wilmot Hydro Rate Zone</t>
  </si>
  <si>
    <t>Enova Power Corp. - Kitchener-Wilmot Hydro Rate Zone1550</t>
  </si>
  <si>
    <t>Enova Power Corp. - Kitchener-Wilmot Hydro Rate Zone1551</t>
  </si>
  <si>
    <t>Enova Power Corp. - Kitchener-Wilmot Hydro Rate Zone1555</t>
  </si>
  <si>
    <t>Enova Power Corp. - Kitchener-Wilmot Hydro Rate Zone1580</t>
  </si>
  <si>
    <t>Enova Power Corp. - Kitchener-Wilmot Hydro Rate Zone1584</t>
  </si>
  <si>
    <t>Enova Power Corp. - Kitchener-Wilmot Hydro Rate Zone1586</t>
  </si>
  <si>
    <t>Enova Power Corp. - Kitchener-Wilmot Hydro Rate Zone1588</t>
  </si>
  <si>
    <t>Enova Power Corp. - Kitchener-Wilmot Hydro Rate Zone1589</t>
  </si>
  <si>
    <t>Enova Power Corp. - Kitchener-Wilmot Hydro Rate Zone1592</t>
  </si>
  <si>
    <t>Enova Power Corp. - Waterloo North Rate Zone</t>
  </si>
  <si>
    <t>Enova Power Corp. - Waterloo North Rate Zone1550</t>
  </si>
  <si>
    <t>Enova Power Corp. - Waterloo North Rate Zone1551</t>
  </si>
  <si>
    <t>Enova Power Corp. - Waterloo North Rate Zone1555</t>
  </si>
  <si>
    <t>Enova Power Corp. - Waterloo North Rate Zone1580</t>
  </si>
  <si>
    <t>Enova Power Corp. - Waterloo North Rate Zone1584</t>
  </si>
  <si>
    <t>Enova Power Corp. - Waterloo North Rate Zone1586</t>
  </si>
  <si>
    <t>Enova Power Corp. - Waterloo North Rate Zone1588</t>
  </si>
  <si>
    <t>Enova Power Corp. - Waterloo North Rate Zone1589</t>
  </si>
  <si>
    <t>Enova Power Corp. - Waterloo North Rate Zone1592</t>
  </si>
  <si>
    <t>Entegrus Powerlines Inc. - Main Rate Zone</t>
  </si>
  <si>
    <t>Entegrus Powerlines Inc. - Main Rate Zone1550</t>
  </si>
  <si>
    <t>Entegrus Powerlines Inc. - Main Rate Zone1551</t>
  </si>
  <si>
    <t>Entegrus Powerlines Inc. - Main Rate Zone1555</t>
  </si>
  <si>
    <t>Entegrus Powerlines Inc. - Main Rate Zone1580</t>
  </si>
  <si>
    <t>Entegrus Powerlines Inc. - Main Rate Zone1584</t>
  </si>
  <si>
    <t>Entegrus Powerlines Inc. - Main Rate Zone1586</t>
  </si>
  <si>
    <t>Entegrus Powerlines Inc. - Main Rate Zone1588</t>
  </si>
  <si>
    <t>Entegrus Powerlines Inc. - Main Rate Zone1589</t>
  </si>
  <si>
    <t>Entegrus Powerlines Inc. - Main Rate Zone1592</t>
  </si>
  <si>
    <t>Entegrus Powerlines Inc. - St. Thomas Energy Rate Zone</t>
  </si>
  <si>
    <t>Entegrus Powerlines Inc. - St. Thomas Energy Rate Zone1550</t>
  </si>
  <si>
    <t>Entegrus Powerlines Inc. - St. Thomas Energy Rate Zone1551</t>
  </si>
  <si>
    <t>Entegrus Powerlines Inc. - St. Thomas Energy Rate Zone1555</t>
  </si>
  <si>
    <t>Entegrus Powerlines Inc. - St. Thomas Energy Rate Zone1580</t>
  </si>
  <si>
    <t>Entegrus Powerlines Inc. - St. Thomas Energy Rate Zone1584</t>
  </si>
  <si>
    <t>Entegrus Powerlines Inc. - St. Thomas Energy Rate Zone1586</t>
  </si>
  <si>
    <t>Entegrus Powerlines Inc. - St. Thomas Energy Rate Zone1588</t>
  </si>
  <si>
    <t>Entegrus Powerlines Inc. - St. Thomas Energy Rate Zone1589</t>
  </si>
  <si>
    <t>Entegrus Powerlines Inc. - St. Thomas Energy Rate Zone1592</t>
  </si>
  <si>
    <t>ERTH Power Corporation - Goderich Rate Zone</t>
  </si>
  <si>
    <t>ERTH Power Corporation - Goderich Rate Zone1550</t>
  </si>
  <si>
    <t>ERTH Power Corporation - Goderich Rate Zone1551</t>
  </si>
  <si>
    <t>ERTH Power Corporation - Goderich Rate Zone1555</t>
  </si>
  <si>
    <t>ERTH Power Corporation - Goderich Rate Zone1580</t>
  </si>
  <si>
    <t>ERTH Power Corporation - Goderich Rate Zone1584</t>
  </si>
  <si>
    <t>ERTH Power Corporation - Goderich Rate Zone1586</t>
  </si>
  <si>
    <t>ERTH Power Corporation - Goderich Rate Zone1588</t>
  </si>
  <si>
    <t>ERTH Power Corporation - Goderich Rate Zone1589</t>
  </si>
  <si>
    <t>ERTH Power Corporation - Goderich Rate Zone1592</t>
  </si>
  <si>
    <t>ERTH Power Corporation - Main Rate Zone</t>
  </si>
  <si>
    <t>ERTH Power Corporation - Main Rate Zone1550</t>
  </si>
  <si>
    <t>ERTH Power Corporation - Main Rate Zone1551</t>
  </si>
  <si>
    <t>ERTH Power Corporation - Main Rate Zone1555</t>
  </si>
  <si>
    <t>ERTH Power Corporation - Main Rate Zone1580</t>
  </si>
  <si>
    <t>ERTH Power Corporation - Main Rate Zone1584</t>
  </si>
  <si>
    <t>ERTH Power Corporation - Main Rate Zone1586</t>
  </si>
  <si>
    <t>ERTH Power Corporation - Main Rate Zone1588</t>
  </si>
  <si>
    <t>ERTH Power Corporation - Main Rate Zone1589</t>
  </si>
  <si>
    <t>ERTH Power Corporation - Main Rate Zone1592</t>
  </si>
  <si>
    <t>GrandBridge Energy Inc. - Brantford Power Rate Zone</t>
  </si>
  <si>
    <t>GrandBridge Energy Inc. - Brantford Power Rate Zone1550</t>
  </si>
  <si>
    <t>GrandBridge Energy Inc. - Brantford Power Rate Zone1551</t>
  </si>
  <si>
    <t>GrandBridge Energy Inc. - Brantford Power Rate Zone1555</t>
  </si>
  <si>
    <t>GrandBridge Energy Inc. - Brantford Power Rate Zone1580</t>
  </si>
  <si>
    <t>GrandBridge Energy Inc. - Brantford Power Rate Zone1584</t>
  </si>
  <si>
    <t>GrandBridge Energy Inc. - Brantford Power Rate Zone1586</t>
  </si>
  <si>
    <t>GrandBridge Energy Inc. - Brantford Power Rate Zone1588</t>
  </si>
  <si>
    <t>GrandBridge Energy Inc. - Brantford Power Rate Zone1589</t>
  </si>
  <si>
    <t>GrandBridge Energy Inc. - Brantford Power Rate Zone1592</t>
  </si>
  <si>
    <t>GrandBridge Energy Inc. - Energy+ Rate Zone</t>
  </si>
  <si>
    <t>GrandBridge Energy Inc. - Energy+ Rate Zone1550</t>
  </si>
  <si>
    <t>GrandBridge Energy Inc. - Energy+ Rate Zone1551</t>
  </si>
  <si>
    <t>GrandBridge Energy Inc. - Energy+ Rate Zone1555</t>
  </si>
  <si>
    <t>GrandBridge Energy Inc. - Energy+ Rate Zone1580</t>
  </si>
  <si>
    <t>GrandBridge Energy Inc. - Energy+ Rate Zone1584</t>
  </si>
  <si>
    <t>GrandBridge Energy Inc. - Energy+ Rate Zone1586</t>
  </si>
  <si>
    <t>GrandBridge Energy Inc. - Energy+ Rate Zone1588</t>
  </si>
  <si>
    <t>GrandBridge Energy Inc. - Energy+ Rate Zone1589</t>
  </si>
  <si>
    <t>GrandBridge Energy Inc. - Energy+ Rate Zone1592</t>
  </si>
  <si>
    <t>Hydro One Networks Inc. - Haldimand County Rate Zone</t>
  </si>
  <si>
    <t>Hydro One Networks Inc. - Haldimand County Rate Zone1550</t>
  </si>
  <si>
    <t>Hydro One Networks Inc. - Haldimand County Rate Zone1551</t>
  </si>
  <si>
    <t>Hydro One Networks Inc. - Haldimand County Rate Zone1555</t>
  </si>
  <si>
    <t>Hydro One Networks Inc. - Haldimand County Rate Zone1580</t>
  </si>
  <si>
    <t>Hydro One Networks Inc. - Haldimand County Rate Zone1584</t>
  </si>
  <si>
    <t>Hydro One Networks Inc. - Haldimand County Rate Zone1586</t>
  </si>
  <si>
    <t>Hydro One Networks Inc. - Haldimand County Rate Zone1588</t>
  </si>
  <si>
    <t>Hydro One Networks Inc. - Haldimand County Rate Zone1589</t>
  </si>
  <si>
    <t>Hydro One Networks Inc. - Haldimand County Rate Zone1592</t>
  </si>
  <si>
    <t>Hydro One Networks Inc. - Main Rate Zone</t>
  </si>
  <si>
    <t>Hydro One Networks Inc. - Main Rate Zone1550</t>
  </si>
  <si>
    <t>Hydro One Networks Inc. - Main Rate Zone1551</t>
  </si>
  <si>
    <t>Hydro One Networks Inc. - Main Rate Zone1555</t>
  </si>
  <si>
    <t>Hydro One Networks Inc. - Main Rate Zone1580</t>
  </si>
  <si>
    <t>Hydro One Networks Inc. - Main Rate Zone1584</t>
  </si>
  <si>
    <t>Hydro One Networks Inc. - Main Rate Zone1586</t>
  </si>
  <si>
    <t>Hydro One Networks Inc. - Main Rate Zone1588</t>
  </si>
  <si>
    <t>Hydro One Networks Inc. - Main Rate Zone1589</t>
  </si>
  <si>
    <t>Hydro One Networks Inc. - Main Rate Zone1592</t>
  </si>
  <si>
    <t>Hydro One Networks Inc. - Norfolk Power Rate Zone</t>
  </si>
  <si>
    <t>Hydro One Networks Inc. - Norfolk Power Rate Zone1550</t>
  </si>
  <si>
    <t>Hydro One Networks Inc. - Norfolk Power Rate Zone1551</t>
  </si>
  <si>
    <t>Hydro One Networks Inc. - Norfolk Power Rate Zone1555</t>
  </si>
  <si>
    <t>Hydro One Networks Inc. - Norfolk Power Rate Zone1580</t>
  </si>
  <si>
    <t>Hydro One Networks Inc. - Norfolk Power Rate Zone1584</t>
  </si>
  <si>
    <t>Hydro One Networks Inc. - Norfolk Power Rate Zone1586</t>
  </si>
  <si>
    <t>Hydro One Networks Inc. - Norfolk Power Rate Zone1588</t>
  </si>
  <si>
    <t>Hydro One Networks Inc. - Norfolk Power Rate Zone1589</t>
  </si>
  <si>
    <t>Hydro One Networks Inc. - Norfolk Power Rate Zone1592</t>
  </si>
  <si>
    <t>Hydro One Networks Inc. - Orillia Rate Zone</t>
  </si>
  <si>
    <t>Hydro One Networks Inc. - Orillia Rate Zone1550</t>
  </si>
  <si>
    <t>Hydro One Networks Inc. - Orillia Rate Zone1551</t>
  </si>
  <si>
    <t>Hydro One Networks Inc. - Orillia Rate Zone1555</t>
  </si>
  <si>
    <t>Hydro One Networks Inc. - Orillia Rate Zone1580</t>
  </si>
  <si>
    <t>Hydro One Networks Inc. - Orillia Rate Zone1584</t>
  </si>
  <si>
    <t>Hydro One Networks Inc. - Orillia Rate Zone1586</t>
  </si>
  <si>
    <t>Hydro One Networks Inc. - Orillia Rate Zone1588</t>
  </si>
  <si>
    <t>Hydro One Networks Inc. - Orillia Rate Zone1589</t>
  </si>
  <si>
    <t>Hydro One Networks Inc. - Orillia Rate Zone1592</t>
  </si>
  <si>
    <t>Hydro One Networks Inc. - Peterborough Rate Zone</t>
  </si>
  <si>
    <t>Hydro One Networks Inc. - Peterborough Rate Zone1550</t>
  </si>
  <si>
    <t>Hydro One Networks Inc. - Peterborough Rate Zone1551</t>
  </si>
  <si>
    <t>Hydro One Networks Inc. - Peterborough Rate Zone1555</t>
  </si>
  <si>
    <t>Hydro One Networks Inc. - Peterborough Rate Zone1580</t>
  </si>
  <si>
    <t>Hydro One Networks Inc. - Peterborough Rate Zone1584</t>
  </si>
  <si>
    <t>Hydro One Networks Inc. - Peterborough Rate Zone1586</t>
  </si>
  <si>
    <t>Hydro One Networks Inc. - Peterborough Rate Zone1588</t>
  </si>
  <si>
    <t>Hydro One Networks Inc. - Peterborough Rate Zone1589</t>
  </si>
  <si>
    <t>Hydro One Networks Inc. - Peterborough Rate Zone1592</t>
  </si>
  <si>
    <t>Hydro One Networks Inc. - Woodstock Hydro Rate Zone</t>
  </si>
  <si>
    <t>Hydro One Networks Inc. - Woodstock Hydro Rate Zone1550</t>
  </si>
  <si>
    <t>Hydro One Networks Inc. - Woodstock Hydro Rate Zone1551</t>
  </si>
  <si>
    <t>Hydro One Networks Inc. - Woodstock Hydro Rate Zone1555</t>
  </si>
  <si>
    <t>Hydro One Networks Inc. - Woodstock Hydro Rate Zone1580</t>
  </si>
  <si>
    <t>Hydro One Networks Inc. - Woodstock Hydro Rate Zone1584</t>
  </si>
  <si>
    <t>Hydro One Networks Inc. - Woodstock Hydro Rate Zone1586</t>
  </si>
  <si>
    <t>Hydro One Networks Inc. - Woodstock Hydro Rate Zone1588</t>
  </si>
  <si>
    <t>Hydro One Networks Inc. - Woodstock Hydro Rate Zone1589</t>
  </si>
  <si>
    <t>Hydro One Networks Inc. - Woodstock Hydro Rate Zone1592</t>
  </si>
  <si>
    <t>Lakeland Power Distribution Ltd. - Main Rate Zone</t>
  </si>
  <si>
    <t>Lakeland Power Distribution Ltd. - Main Rate Zone1550</t>
  </si>
  <si>
    <t>Lakeland Power Distribution Ltd. - Main Rate Zone1551</t>
  </si>
  <si>
    <t>Lakeland Power Distribution Ltd. - Main Rate Zone1555</t>
  </si>
  <si>
    <t>Lakeland Power Distribution Ltd. - Main Rate Zone1580</t>
  </si>
  <si>
    <t>Lakeland Power Distribution Ltd. - Main Rate Zone1584</t>
  </si>
  <si>
    <t>Lakeland Power Distribution Ltd. - Main Rate Zone1586</t>
  </si>
  <si>
    <t>Lakeland Power Distribution Ltd. - Main Rate Zone1588</t>
  </si>
  <si>
    <t>Lakeland Power Distribution Ltd. - Main Rate Zone1589</t>
  </si>
  <si>
    <t>Lakeland Power Distribution Ltd. - Main Rate Zone1592</t>
  </si>
  <si>
    <t>Lakeland Power Distribution Ltd. - Parry Sound Rate Zone</t>
  </si>
  <si>
    <t>Lakeland Power Distribution Ltd. - Parry Sound Rate Zone1550</t>
  </si>
  <si>
    <t>Lakeland Power Distribution Ltd. - Parry Sound Rate Zone1551</t>
  </si>
  <si>
    <t>Lakeland Power Distribution Ltd. - Parry Sound Rate Zone1555</t>
  </si>
  <si>
    <t>Lakeland Power Distribution Ltd. - Parry Sound Rate Zone1580</t>
  </si>
  <si>
    <t>Lakeland Power Distribution Ltd. - Parry Sound Rate Zone1584</t>
  </si>
  <si>
    <t>Lakeland Power Distribution Ltd. - Parry Sound Rate Zone1586</t>
  </si>
  <si>
    <t>Lakeland Power Distribution Ltd. - Parry Sound Rate Zone1588</t>
  </si>
  <si>
    <t>Lakeland Power Distribution Ltd. - Parry Sound Rate Zone1589</t>
  </si>
  <si>
    <t>Lakeland Power Distribution Ltd. - Parry Sound Rate Zone1592</t>
  </si>
  <si>
    <t>Synergy North Corporation - Kenora Rate Zone</t>
  </si>
  <si>
    <t>Synergy North Corporation - Kenora Rate Zone1550</t>
  </si>
  <si>
    <t>Synergy North Corporation - Kenora Rate Zone1551</t>
  </si>
  <si>
    <t>Synergy North Corporation - Kenora Rate Zone1555</t>
  </si>
  <si>
    <t>Synergy North Corporation - Kenora Rate Zone1580</t>
  </si>
  <si>
    <t>Synergy North Corporation - Kenora Rate Zone1584</t>
  </si>
  <si>
    <t>Synergy North Corporation - Kenora Rate Zone1586</t>
  </si>
  <si>
    <t>Synergy North Corporation - Kenora Rate Zone1588</t>
  </si>
  <si>
    <t>Synergy North Corporation - Kenora Rate Zone1589</t>
  </si>
  <si>
    <t>Synergy North Corporation - Kenora Rate Zone1592</t>
  </si>
  <si>
    <t>Synergy North Corporation - Thunder Bay Rate Zone</t>
  </si>
  <si>
    <t>Synergy North Corporation - Thunder Bay Rate Zone1550</t>
  </si>
  <si>
    <t>Synergy North Corporation - Thunder Bay Rate Zone1551</t>
  </si>
  <si>
    <t>Synergy North Corporation - Thunder Bay Rate Zone1555</t>
  </si>
  <si>
    <t>Synergy North Corporation - Thunder Bay Rate Zone1580</t>
  </si>
  <si>
    <t>Synergy North Corporation - Thunder Bay Rate Zone1584</t>
  </si>
  <si>
    <t>Synergy North Corporation - Thunder Bay Rate Zone1586</t>
  </si>
  <si>
    <t>Synergy North Corporation - Thunder Bay Rate Zone1588</t>
  </si>
  <si>
    <t>Synergy North Corporation - Thunder Bay Rate Zone1589</t>
  </si>
  <si>
    <t>Synergy North Corporation - Thunder Bay Rate Zone1592</t>
  </si>
  <si>
    <t>Customer Class:</t>
  </si>
  <si>
    <t>RPP / Non-RPP:</t>
  </si>
  <si>
    <t>Consumption</t>
  </si>
  <si>
    <t>Demand</t>
  </si>
  <si>
    <t>Current Loss Factor</t>
  </si>
  <si>
    <t>Proposed/Approved Loss Factor</t>
  </si>
  <si>
    <t>Current OEB-Approved</t>
  </si>
  <si>
    <t>Proposed</t>
  </si>
  <si>
    <t>Impact</t>
  </si>
  <si>
    <t>Volume</t>
  </si>
  <si>
    <t>Charge</t>
  </si>
  <si>
    <t>$ Change</t>
  </si>
  <si>
    <t>% Change</t>
  </si>
  <si>
    <t>($)</t>
  </si>
  <si>
    <t>Distribution Volumetric Rate</t>
  </si>
  <si>
    <t>RRRP Credit</t>
  </si>
  <si>
    <t>DRP Adjustment</t>
  </si>
  <si>
    <t>Fixed Rate Riders</t>
  </si>
  <si>
    <t>Volumetric Rate Riders</t>
  </si>
  <si>
    <t>ST_A</t>
  </si>
  <si>
    <t>Sub-Total A (excluding pass through)</t>
  </si>
  <si>
    <t>Line Losses on Cost of Power</t>
  </si>
  <si>
    <t>Total Deferral/Variance Account Rate Riders</t>
  </si>
  <si>
    <t>CBR Class B Rate Riders</t>
  </si>
  <si>
    <t>GA Rate Riders</t>
  </si>
  <si>
    <t>Low Voltage Service Charge</t>
  </si>
  <si>
    <t>Smart Meter Entity Charge (if applicable)</t>
  </si>
  <si>
    <t xml:space="preserve">Additional Fixed Rate Riders </t>
  </si>
  <si>
    <t xml:space="preserve">Additional Volumetric Rate Riders </t>
  </si>
  <si>
    <t>ST_B</t>
  </si>
  <si>
    <t>Sub-Total B - Distribution (includes Sub-Total A)</t>
  </si>
  <si>
    <t>RTSR - Network</t>
  </si>
  <si>
    <t>RTSR - Connection and/or Line and Transformation Connection</t>
  </si>
  <si>
    <t>ST_C</t>
  </si>
  <si>
    <t>Sub-Total C - Delivery (including Sub-Total B)</t>
  </si>
  <si>
    <t>Wholesale Market Service Charge (WMSC)</t>
  </si>
  <si>
    <t>Rural and Remote Rate Protection (RRRP)</t>
  </si>
  <si>
    <t>Standard Supply Service Charge</t>
  </si>
  <si>
    <t xml:space="preserve">Ontario Electricity Support Program 
(OESP) </t>
  </si>
  <si>
    <t>RPP</t>
  </si>
  <si>
    <t>TOU - Off Peak</t>
  </si>
  <si>
    <t>TOU - Mid Peak</t>
  </si>
  <si>
    <t>TOU - On Peak</t>
  </si>
  <si>
    <t>Non-RPP (Retailer)</t>
  </si>
  <si>
    <t>Non-RPP Retailer Avg. Price</t>
  </si>
  <si>
    <t>Non-RPP (Other)</t>
  </si>
  <si>
    <t>Average IESO Wholesale Market Price</t>
  </si>
  <si>
    <t>Total Bill on TOU (before Taxes)</t>
  </si>
  <si>
    <t>HST</t>
  </si>
  <si>
    <t>Ontario Electricity Rebate</t>
  </si>
  <si>
    <t>RPP_TOTAL</t>
  </si>
  <si>
    <t>Total Bill on TOU</t>
  </si>
  <si>
    <t>Total Bill on Non-RPP Avg. Price</t>
  </si>
  <si>
    <t>Non-RPP (Retailer)_TOTAL</t>
  </si>
  <si>
    <t>Total Bill on Average IESO Wholesale Market Price</t>
  </si>
  <si>
    <t>Non-RPP (Other)_TOTAL</t>
  </si>
  <si>
    <t>Loss Factor</t>
  </si>
  <si>
    <t>Current Board-Approved</t>
  </si>
  <si>
    <t>Smart Meter Entity Charge</t>
  </si>
  <si>
    <t>Sub-Total B - Distribution
(includes Sub-Total A)</t>
  </si>
  <si>
    <t>Sub-Total C - Delivery
(including Sub-Total B)</t>
  </si>
  <si>
    <t>Debt Retirement Charge (DRC)</t>
  </si>
  <si>
    <r>
      <t xml:space="preserve">Total Bill </t>
    </r>
    <r>
      <rPr>
        <sz val="10"/>
        <rFont val="Arial"/>
        <family val="2"/>
      </rPr>
      <t>(including HST)</t>
    </r>
  </si>
  <si>
    <t>Total Bill on Average IESO 
Wholesale Market Price</t>
  </si>
  <si>
    <t>D</t>
  </si>
  <si>
    <t>F</t>
  </si>
  <si>
    <t xml:space="preserve">$ </t>
  </si>
  <si>
    <t>H</t>
  </si>
  <si>
    <t>I</t>
  </si>
  <si>
    <t>J</t>
  </si>
  <si>
    <t>K</t>
  </si>
  <si>
    <t>L</t>
  </si>
  <si>
    <t>M</t>
  </si>
  <si>
    <t>N</t>
  </si>
  <si>
    <t>O</t>
  </si>
  <si>
    <t>P</t>
  </si>
  <si>
    <t>Q</t>
  </si>
  <si>
    <t>R</t>
  </si>
  <si>
    <t>S</t>
  </si>
  <si>
    <t>U</t>
  </si>
  <si>
    <t>W</t>
  </si>
  <si>
    <t>EFF_DATE</t>
  </si>
  <si>
    <t>Hydro Hawkesbury Inc._Start</t>
  </si>
  <si>
    <t>IMP_DATE</t>
  </si>
  <si>
    <t>EBNUMBER</t>
  </si>
  <si>
    <t>NUMBER OF RATE CLASSES</t>
  </si>
  <si>
    <t xml:space="preserve">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</si>
  <si>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</si>
  <si>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</si>
  <si>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 xml:space="preserve">Service Charge </t>
  </si>
  <si>
    <t>1_RESIDENTIAL SERVICE CLASSIFICATION_CBR</t>
  </si>
  <si>
    <t>This classification refers to the supply of electrical energy to a non residential account whose average monthly maximum demand is less than, or is forecast to be less than, 50 kW, and Town Houses and Condominiums that require centralized bulk metering. Class B consumers are defined in accordance with O. Reg. 429/04. Further servicing details are available in the distributor’s Conditions of Service.</t>
  </si>
  <si>
    <t>2_GENERAL SERVICE LESS THAN 50 KW SERVICE CLASSIFICATION_CBR</t>
  </si>
  <si>
    <t>GENERAL SERVICE 50 TO 4,999 KW SERVICE CLASSIFICATION</t>
  </si>
  <si>
    <t>3_GENERAL SERVICE 50 to 4,999 kW SERVICE CLASSIFICATION</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</si>
  <si>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</si>
  <si>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</si>
  <si>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</si>
  <si>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</si>
  <si>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Service Charge</t>
  </si>
  <si>
    <t>3_GENERAL SERVICE 50 to 4,999 kW SERVICE CLASSIFICATION_MSC</t>
  </si>
  <si>
    <t>$/kW</t>
  </si>
  <si>
    <t>3_GENERAL SERVICE 50 to 4,999 kW SERVICE CLASSIFICATION_DVC</t>
  </si>
  <si>
    <t>3_GENERAL SERVICE 50 to 4,999 kW SERVICE CLASSIFICATION_LV</t>
  </si>
  <si>
    <t>3_GENERAL SERVICE 50 to 4,999 kW SERVICE CLASSIFICATION_CBR</t>
  </si>
  <si>
    <t>3_GENERAL SERVICE 50 to 4,999 kW SERVICE CLASSIFICATION_DEFVAR_ALL</t>
  </si>
  <si>
    <t>3_GENERAL SERVICE 50 to 4,999 kW SERVICE CLASSIFICATION_Retail Transmission Rate - Network Service Rate</t>
  </si>
  <si>
    <t>3_GENERAL SERVICE 50 to 4,999 kW SERVICE CLASSIFICATION_Retail Transmission Rate - Line and Transformation Connection Service Rate</t>
  </si>
  <si>
    <t>3_GENERAL SERVICE 50 to 4,999 kW SERVICE CLASSIFICATION_WMSR</t>
  </si>
  <si>
    <t>3_GENERAL SERVICE 50 to 4,999 kW SERVICE CLASSIFICATION_RRRP</t>
  </si>
  <si>
    <t>3_GENERAL SERVICE 50 to 4,999 kW SERVICE CLASSIFICATION_SSS</t>
  </si>
  <si>
    <t>4_UNMETERED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</si>
  <si>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</si>
  <si>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 xml:space="preserve">Service Charge (per customer) </t>
  </si>
  <si>
    <t>4_UNMETERED SCATTERED LOAD SERVICE CLASSIFICATION_MSC</t>
  </si>
  <si>
    <t>4_UNMETERED SCATTERED LOAD SERVICE CLASSIFICATION_DVC</t>
  </si>
  <si>
    <t>4_UNMETERED SCATTERED LOAD SERVICE CLASSIFICATION_LV</t>
  </si>
  <si>
    <t>4_UNMETERED SCATTERED LOAD SERVICE CLASSIFICATION_CBR</t>
  </si>
  <si>
    <t>4_UNMETERED SCATTERED LOAD SERVICE CLASSIFICATION_DEFVAR_ALL</t>
  </si>
  <si>
    <t>4_UNMETERED SCATTERED LOAD SERVICE CLASSIFICATION_Retail Transmission Rate - Network Service Rate</t>
  </si>
  <si>
    <t>4_UNMETERED SCATTERED LOAD SERVICE CLASSIFICATION_Retail Transmission Rate - Line and Transformation Connection Service Rate</t>
  </si>
  <si>
    <t>4_UNMETERED SCATTERED LOAD SERVICE CLASSIFICATION_WMSR</t>
  </si>
  <si>
    <t>4_UNMETERED SCATTERED LOAD SERVICE CLASSIFICATION_RRRP</t>
  </si>
  <si>
    <t>4_UNMETERED SCATTERED LOAD SERVICE CLASSIFICATION_SSS</t>
  </si>
  <si>
    <t>5_SENTINEL LIGHTING SERVICE CLASSIFICATION</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</si>
  <si>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</si>
  <si>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 xml:space="preserve">Service Charge (per connection) </t>
  </si>
  <si>
    <t>5_SENTINEL LIGHTING SERVICE CLASSIFICATION_MSC</t>
  </si>
  <si>
    <t>5_SENTINEL LIGHTING SERVICE CLASSIFICATION_DVC</t>
  </si>
  <si>
    <t>5_SENTINEL LIGHTING SERVICE CLASSIFICATION_LV</t>
  </si>
  <si>
    <t>5_SENTINEL LIGHTING SERVICE CLASSIFICATION_CBR</t>
  </si>
  <si>
    <t>5_SENTINEL LIGHTING SERVICE CLASSIFICATION_DEFVAR_ALL</t>
  </si>
  <si>
    <t>5_SENTINEL LIGHTING SERVICE CLASSIFICATION_Retail Transmission Rate - Network Service Rate</t>
  </si>
  <si>
    <t>5_SENTINEL LIGHTING SERVICE CLASSIFICATION_Retail Transmission Rate - Line and Transformation Connection Service Rate</t>
  </si>
  <si>
    <t>5_SENTINEL LIGHTING SERVICE CLASSIFICATION_WMSR</t>
  </si>
  <si>
    <t>5_SENTINEL LIGHTING SERVICE CLASSIFICATION_RRRP</t>
  </si>
  <si>
    <t>5_SENTINEL LIGHTING SERVICE CLASSIFICATION_SSS</t>
  </si>
  <si>
    <t>6_STREET LIGHTING SERVICE CLASSIFICATION</t>
  </si>
  <si>
    <t>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t>
  </si>
  <si>
    <t>6_STREET LIGHTING SERVICE CLASSIFICATION_MSC</t>
  </si>
  <si>
    <t>6_STREET LIGHTING SERVICE CLASSIFICATION_DVC</t>
  </si>
  <si>
    <t>6_STREET LIGHTING SERVICE CLASSIFICATION_LV</t>
  </si>
  <si>
    <t>6_STREET LIGHTING SERVICE CLASSIFICATION_CBR</t>
  </si>
  <si>
    <t>6_STREET LIGHTING SERVICE CLASSIFICATION_DEFVAR_ALL</t>
  </si>
  <si>
    <t>6_STREET LIGHTING SERVICE CLASSIFICATION_Retail Transmission Rate - Network Service Rate</t>
  </si>
  <si>
    <t>6_STREET LIGHTING SERVICE CLASSIFICATION_Retail Transmission Rate - Line and Transformation Connection Service Rate</t>
  </si>
  <si>
    <t>6_STREET LIGHTING SERVICE CLASSIFICATION_WMSR</t>
  </si>
  <si>
    <t>6_STREET LIGHTING SERVICE CLASSIFICATION_RRRP</t>
  </si>
  <si>
    <t>6_STREET LIGHTING SERVICE CLASSIFICATION_SSS</t>
  </si>
  <si>
    <t>7_microFIT SERVICE CLASSIFICATION</t>
  </si>
  <si>
    <t>7_microFIT SERVICE CLASSIFICATION_MSC</t>
  </si>
  <si>
    <t>ALLOWANCES</t>
  </si>
  <si>
    <t>Hydro Hawkesbury Inc._ALLOWANCES</t>
  </si>
  <si>
    <t>Primary Metering Allowance for transformer losses - applied to measured demand and energy</t>
  </si>
  <si>
    <t>SPECIFIC SERVICE CHARGES</t>
  </si>
  <si>
    <t>Hydro Hawkesbury Inc._SSC</t>
  </si>
  <si>
    <t>Customer Administration</t>
  </si>
  <si>
    <t>Hydro Hawkesbury Inc._CA</t>
  </si>
  <si>
    <t>Arrears certificate</t>
  </si>
  <si>
    <t>Statement of account</t>
  </si>
  <si>
    <t>Duplicate invoices for previous billing</t>
  </si>
  <si>
    <t>Credit reference/credit check (plus credit agency costs)</t>
  </si>
  <si>
    <t>Returned cheque (plus bank charges)</t>
  </si>
  <si>
    <t>Account set up charge/change of occupancy charge (plus credit agency costs if applicable)</t>
  </si>
  <si>
    <t>Meter dispute charge plus Measurement Canada fees (if meter found correct)</t>
  </si>
  <si>
    <t>Non-payment of account</t>
  </si>
  <si>
    <t>Hydro Hawkesbury Inc._NPoA</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</si>
  <si>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</si>
  <si>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</si>
  <si>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</si>
  <si>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</si>
  <si>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</si>
  <si>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</si>
  <si>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after regular hours</t>
  </si>
  <si>
    <t>Temporary service - install &amp; remove - overhead - no transformer</t>
  </si>
  <si>
    <t>Temporary service - install &amp; remove - overhead - with transformer</t>
  </si>
  <si>
    <t xml:space="preserve">Specific charge for access to the power poles - per pole/year  
(with the exception of wireless attachments)
</t>
  </si>
  <si>
    <t>RETAIL SERVICE CHARGES (if applicable)</t>
  </si>
  <si>
    <t>Hydro Hawkesbury Inc._RSC</t>
  </si>
  <si>
    <t>LOSS FACTORS</t>
  </si>
  <si>
    <t>Hydro Hawkesbury Inc._LFs</t>
  </si>
  <si>
    <t>Hydro Hawkesbury Inc._End</t>
  </si>
  <si>
    <t>Tillsonburg Hydro Inc._Start</t>
  </si>
  <si>
    <t>This classification applies to an account in one of three categories of residential services: single-family or single-unit homes, multi-family buildings, and subdivision developments. Class B consumers are defined in accordance with O. Reg. 429/04. Further servicing details are available in Tillsonburg Hydro's Conditions of Service.</t>
  </si>
  <si>
    <t>This classification applies to non residential account whose average monthly maximum demand is less than, or is forecast to be less than, 50 kW. Class B consumers are defined in accordance with O. Reg. 429/04. Further servicing details are available in Tillsonburg Hydro's Conditions of Service.</t>
  </si>
  <si>
    <t>3_GENERAL SERVICE 50 TO 499 KW SERVICE CLASSIFICATION</t>
  </si>
  <si>
    <t>This classification applies to a non residential account whose average monthly maximum demand used for billing purposes is equal to or greater than, or is forecast to be equal to or greater than, 50 kW but less than 500 kW.  Class B consumers are defined in accordance with O. Reg. 429/04. Further servicing details are available in Tillsonburg Hydro's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</si>
  <si>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</si>
  <si>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499 KW SERVICE CLASSIFICATION_MSC</t>
  </si>
  <si>
    <t>3_GENERAL SERVICE 50 TO 499 KW SERVICE CLASSIFICATION_DVC</t>
  </si>
  <si>
    <t>3_GENERAL SERVICE 50 TO 499 KW SERVICE CLASSIFICATION_Retail Transmission Rate - Network Service Rate</t>
  </si>
  <si>
    <t>3_GENERAL SERVICE 50 TO 499 KW SERVICE CLASSIFICATION_Retail Transmission Rate - Line and Transformation Connection Service Rate</t>
  </si>
  <si>
    <t>3_GENERAL SERVICE 50 TO 499 KW SERVICE CLASSIFICATION_WMSR</t>
  </si>
  <si>
    <t>3_GENERAL SERVICE 50 TO 499 KW SERVICE CLASSIFICATION_RRRP</t>
  </si>
  <si>
    <t>3_GENERAL SERVICE 50 TO 499 KW SERVICE CLASSIFICATION_SSS</t>
  </si>
  <si>
    <t>GENERAL SERVICE 500 TO 1,499 KW SERVICE CLASSIFICATION</t>
  </si>
  <si>
    <t>This classification applies to a non residential account whose average monthly maximum demand used for billing purposes is equal to or greater than, or is forecast to be equal to order greater than, 500 kW but less than 1,500 kW. Class A and Class B consumers are defined in accordance with O. Reg. 429/04. Further servicing details are available in Tillsonburg Hydro's Conditions of Service.</t>
  </si>
  <si>
    <t>GENERAL SERVICE EQUAL TO OR GREATER THAN 1,500 KW SERVICE CLASSIFICATION</t>
  </si>
  <si>
    <t>6_UNMETERED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</si>
  <si>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Tillsonburg Hydro's Conditions of Service.</t>
  </si>
  <si>
    <t>Service Charge (per connection)</t>
  </si>
  <si>
    <t>6_UNMETERED SCATTERED LOAD SERVICE CLASSIFICATION_MSC</t>
  </si>
  <si>
    <t>6_UNMETERED SCATTERED LOAD SERVICE CLASSIFICATION_DVC</t>
  </si>
  <si>
    <t>6_UNMETERED SCATTERED LOAD SERVICE CLASSIFICATION_Retail Transmission Rate - Network Service Rate</t>
  </si>
  <si>
    <t>6_UNMETERED SCATTERED LOAD SERVICE CLASSIFICATION_Retail Transmission Rate - Line and Transformation Connection Service Rate</t>
  </si>
  <si>
    <t>6_UNMETERED SCATTERED LOAD SERVICE CLASSIFICATION_WMSR</t>
  </si>
  <si>
    <t>6_UNMETERED SCATTERED LOAD SERVICE CLASSIFICATION_RRRP</t>
  </si>
  <si>
    <t>6_UNMETERED SCATTERED LOAD SERVICE CLASSIFICATION_SSS</t>
  </si>
  <si>
    <t>7_SENTINEL LIGHTING SERVICE CLASSIFICATION</t>
  </si>
  <si>
    <t>This classification refers to accounts that are an unmetered lighting load supplied to a sentinel light. Class B consumers are defined in accordance with O. Reg. 429/04. Further servicing details are available in Tillsonburg Hydro's Conditions of Service.</t>
  </si>
  <si>
    <t>7_SENTINEL LIGHTING SERVICE CLASSIFICATION_MSC</t>
  </si>
  <si>
    <t>7_SENTINEL LIGHTING SERVICE CLASSIFICATION_DVC</t>
  </si>
  <si>
    <t>7_SENTINEL LIGHTING SERVICE CLASSIFICATION_Retail Transmission Rate - Network Service Rate</t>
  </si>
  <si>
    <t>7_SENTINEL LIGHTING SERVICE CLASSIFICATION_Retail Transmission Rate - Line and Transformation Connection Service Rate</t>
  </si>
  <si>
    <t>7_SENTINEL LIGHTING SERVICE CLASSIFICATION_WMSR</t>
  </si>
  <si>
    <t>7_SENTINEL LIGHTING SERVICE CLASSIFICATION_RRRP</t>
  </si>
  <si>
    <t>7_SENTINEL LIGHTING SERVICE CLASSIFICATION_SSS</t>
  </si>
  <si>
    <t>8_STREET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</si>
  <si>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Tillsonburg Hydro's Conditions of Service.</t>
  </si>
  <si>
    <t>Service Charge (per customer)</t>
  </si>
  <si>
    <t>8_STREET LIGHTING SERVICE CLASSIFICATION_MSC</t>
  </si>
  <si>
    <t>8_STREET LIGHTING SERVICE CLASSIFICATION_DVC</t>
  </si>
  <si>
    <t>8_STREET LIGHTING SERVICE CLASSIFICATION_Retail Transmission Rate - Network Service Rate</t>
  </si>
  <si>
    <t>8_STREET LIGHTING SERVICE CLASSIFICATION_Retail Transmission Rate - Line and Transformation Connection Service Rate</t>
  </si>
  <si>
    <t>8_MRC_Reg</t>
  </si>
  <si>
    <t>8_STREET LIGHTING SERVICE CLASSIFICATION_WMSR</t>
  </si>
  <si>
    <t>8_STREET LIGHTING SERVICE CLASSIFICATION_RRRP</t>
  </si>
  <si>
    <t>8_STREET LIGHTING SERVICE CLASSIFICATION_SSS</t>
  </si>
  <si>
    <t>9_microFIT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</si>
  <si>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Tillsonburg Hydro's Conditions of Service.</t>
  </si>
  <si>
    <t>9_APPLICATION</t>
  </si>
  <si>
    <t>9_MRC_Del</t>
  </si>
  <si>
    <t>9_microFIT SERVICE CLASSIFICATION_MSC</t>
  </si>
  <si>
    <t>Tillsonburg Hydro Inc._ALLOWANCES</t>
  </si>
  <si>
    <t>Tillsonburg Hydro Inc._SSC</t>
  </si>
  <si>
    <t>Tillsonburg Hydro Inc._CA</t>
  </si>
  <si>
    <t xml:space="preserve">Late payment - per month (effective annual rate 19.56% per annum or 0.04896% compounded daily rate) </t>
  </si>
  <si>
    <t>Reconnect at meter - during regular hours</t>
  </si>
  <si>
    <t>Reconnect at meter - after regular hours</t>
  </si>
  <si>
    <t>Reconnect at pole - during regular hours</t>
  </si>
  <si>
    <t>Special meter reads</t>
  </si>
  <si>
    <t>Specific charge for access to the power poles - $/pole/year_x000D_
(with the exception of wireless attachments)</t>
  </si>
  <si>
    <t>Tillsonburg Hydro Inc._RSC</t>
  </si>
  <si>
    <t>Tillsonburg Hydro Inc._LFs</t>
  </si>
  <si>
    <t>Tillsonburg Hydro Inc._End</t>
  </si>
  <si>
    <t>Alectra Utilities Corporation-Brampton Rate Zone</t>
  </si>
  <si>
    <t>Alectra Utilities Corporation-Brampton Rate Zone_Start</t>
  </si>
  <si>
    <t xml:space="preserve">This schedule supersedes and replaces all previously </t>
  </si>
  <si>
    <t>This classification applies to an account where the electricity is supplied exclusively to single-family dwelling units for domestic or household purposes, including seasonal occupancy. This includes, but is not limited to, detached houses, one unit of a semi-detached, duplex, triplex or quadruplex house, with a residential zoning. Separately metered dwellings within a town house complex also qualify as residential customers.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</si>
  <si>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Ontario Energy Board, and amendments thereto as approved by the Ontario Energy Board, or as specified herein.</t>
  </si>
  <si>
    <t>Rate Rider for Recovery of Incremental Capital (2021) - in effect until the effective date of the next cost of 
     service based rate order</t>
  </si>
  <si>
    <t>1_RESIDENTIAL SERVICE CLASSIFICATION_FX_RR_1</t>
  </si>
  <si>
    <t>Rate Rider for Recovery of Incremental Capital (2018) - in effect until the effective date of the next cost of 
     service based rate order</t>
  </si>
  <si>
    <t>1_RESIDENTIAL SERVICE CLASSIFICATION_FX_RR_2</t>
  </si>
  <si>
    <t>This classification applies to a non residential account whose average monthly maximum demand is less than, or is forecast to be less than, 50 kW. Multi-unit residential establishments such as apartment buildings supplied through one service (bulk metered) shall normally be classified as general service. Where service is provided to combined residential and business, or residential and agricultural, whether seasonal or all-year premises, and the wiring does not provide for separate metering, the service shall normally be classed as general service. Class B consumers are defined in accordance with O. Reg. 429/04.  Further servicing details are available in the distributor’s Conditions of Service.</t>
  </si>
  <si>
    <t>2_GENERAL SERVICE LESS THAN 50 KW SERVICE CLASSIFICATION_FX_RR_3</t>
  </si>
  <si>
    <t>2_GENERAL SERVICE LESS THAN 50 KW SERVICE CLASSIFICATION_FX_RR_4</t>
  </si>
  <si>
    <t>2_GENERAL SERVICE LESS THAN 50 KW SERVICE CLASSIFICATION_LRAM</t>
  </si>
  <si>
    <t>GENERAL SERVICE 50 TO 699 KW SERVICE CLASSIFICATION</t>
  </si>
  <si>
    <t>3_GENERAL SERVICE 50 TO 699 KW SERVICE CLASSIFICATION</t>
  </si>
  <si>
    <t>This classification applies to a non residential account whose average monthly maximum demand used for billing purposes is equal to or greater than, or is forecast to be equal to or greater than, 50 kW but less than 700 kW. Class B consumers are defined in accordance with O. Reg. 429/04.  Further servicing details are available in the distributor’s Conditions of Service.</t>
  </si>
  <si>
    <t>3_GENERAL SERVICE 50 TO 699 KW SERVICE CLASSIFICATION_MSC</t>
  </si>
  <si>
    <t>3_GENERAL SERVICE 50 TO 699 KW SERVICE CLASSIFICATION_FX_RR_5</t>
  </si>
  <si>
    <t>3_GENERAL SERVICE 50 TO 699 KW SERVICE CLASSIFICATION_FX_RR_6</t>
  </si>
  <si>
    <t>3_GENERAL SERVICE 50 TO 699 KW SERVICE CLASSIFICATION_DVC</t>
  </si>
  <si>
    <t>3_GENERAL SERVICE 50 TO 699 KW SERVICE CLASSIFICATION_LV</t>
  </si>
  <si>
    <t>3_GENERAL SERVICE 50 TO 699 KW SERVICE CLASSIFICATION_GA_kwh</t>
  </si>
  <si>
    <t>3_GENERAL SERVICE 50 TO 699 KW SERVICE CLASSIFICATION_LRAM</t>
  </si>
  <si>
    <t>3_GENERAL SERVICE 50 TO 699 KW SERVICE CLASSIFICATION_DEFVAR_ALL</t>
  </si>
  <si>
    <t>3_GENERAL SERVICE 50 TO 699 KW SERVICE CLASSIFICATION_CBR</t>
  </si>
  <si>
    <t>3_GENERAL SERVICE 50 TO 699 KW SERVICE CLASSIFICATION_Retail Transmission Rate - Network Service Rate</t>
  </si>
  <si>
    <t>3_GENERAL SERVICE 50 TO 699 KW SERVICE CLASSIFICATION_Retail Transmission Rate - Line and Transformation Connection Service Rate</t>
  </si>
  <si>
    <t>3_GENERAL SERVICE 50 TO 699 KW SERVICE CLASSIFICATION_WMSR</t>
  </si>
  <si>
    <t>3_GENERAL SERVICE 50 TO 699 KW SERVICE CLASSIFICATION_RRRP</t>
  </si>
  <si>
    <t>3_GENERAL SERVICE 50 TO 699 KW SERVICE CLASSIFICATION_SSS</t>
  </si>
  <si>
    <t>GENERAL SERVICE 700 TO 4,999 KW SERVICE CLASSIFICATION</t>
  </si>
  <si>
    <t>4_GENERAL SERVICE 700 TO 4,999 KW SERVICE CLASSIFICATION</t>
  </si>
  <si>
    <t>This classification applies to a non residential account whose average monthly maximum demand used for billing purposes is equal to or greater than, or is forecast to be equal to or greater than, 700 kW but less than 5,000 kW. Class A and Class B consumers are defined in accordance with O. Reg. 429/04.  Further servicing details are available in the distributor’s Conditions of Service.</t>
  </si>
  <si>
    <t>4_GENERAL SERVICE 700 TO 4,999 KW SERVICE CLASSIFICATION_MSC</t>
  </si>
  <si>
    <t>4_GENERAL SERVICE 700 TO 4,999 KW SERVICE CLASSIFICATION_FX_RR_7</t>
  </si>
  <si>
    <t>4_GENERAL SERVICE 700 TO 4,999 KW SERVICE CLASSIFICATION_FX_RR_8</t>
  </si>
  <si>
    <t>4_GENERAL SERVICE 700 TO 4,999 KW SERVICE CLASSIFICATION_DVC</t>
  </si>
  <si>
    <t>4_GENERAL SERVICE 700 TO 4,999 KW SERVICE CLASSIFICATION_LV</t>
  </si>
  <si>
    <t>4_GENERAL SERVICE 700 TO 4,999 KW SERVICE CLASSIFICATION_GA_kwh</t>
  </si>
  <si>
    <t>4_GENERAL SERVICE 700 TO 4,999 KW SERVICE CLASSIFICATION_LRAM</t>
  </si>
  <si>
    <t>4_GENERAL SERVICE 700 TO 4,999 KW SERVICE CLASSIFICATION_DEFVAR_ALL</t>
  </si>
  <si>
    <t>4_GENERAL SERVICE 700 TO 4,999 KW SERVICE CLASSIFICATION_CBR</t>
  </si>
  <si>
    <t>4_GENERAL SERVICE 700 TO 4,999 KW SERVICE CLASSIFICATION_VR_RR_25</t>
  </si>
  <si>
    <t>4_GENERAL SERVICE 700 TO 4,999 KW SERVICE CLASSIFICATION_Retail Transmission Rate - Network Service Rate</t>
  </si>
  <si>
    <t>4_GENERAL SERVICE 700 TO 4,999 KW SERVICE CLASSIFICATION_Retail Transmission Rate - Line and Transformation Connection Service Rate</t>
  </si>
  <si>
    <t>4_GENERAL SERVICE 700 TO 4,999 KW SERVICE CLASSIFICATION_WMSR</t>
  </si>
  <si>
    <t>4_GENERAL SERVICE 700 TO 4,999 KW SERVICE CLASSIFICATION_RRRP</t>
  </si>
  <si>
    <t>4_GENERAL SERVICE 700 TO 4,999 KW SERVICE CLASSIFICATION_SSS</t>
  </si>
  <si>
    <t>5_LARGE USE SERVICE CLASSIFICATION</t>
  </si>
  <si>
    <t>This classification applies to an account whose average monthly maximum demand over 12 consecutive months used for billing purposes is equal to or greater than 5,000 kW, or is forecast to be equal to or greater than 5,000 kW. Class A and Class B consumers are defined in accordance with O. Reg. 429/04.  Further servicing details are available in the distributor’s Conditions of Service.</t>
  </si>
  <si>
    <t>5_LARGE USE SERVICE CLASSIFICATION_MSC</t>
  </si>
  <si>
    <t>5_LARGE USE SERVICE CLASSIFICATION_FX_RR_9</t>
  </si>
  <si>
    <t>5_LARGE USE SERVICE CLASSIFICATION_FX_RR_10</t>
  </si>
  <si>
    <t>5_LARGE USE SERVICE CLASSIFICATION_DVC</t>
  </si>
  <si>
    <t>5_LARGE USE SERVICE CLASSIFICATION_LV</t>
  </si>
  <si>
    <t>5_LARGE USE SERVICE CLASSIFICATION_LRAM</t>
  </si>
  <si>
    <t>5_LARGE USE SERVICE CLASSIFICATION_DEFVAR_ALL</t>
  </si>
  <si>
    <t>5_LARGE USE SERVICE CLASSIFICATION_VR_RR_29</t>
  </si>
  <si>
    <t>5_LARGE USE SERVICE CLASSIFICATION_VR_RR_30</t>
  </si>
  <si>
    <t>5_LARGE USE SERVICE CLASSIFICATION_Retail Transmission Rate - Network Service Rate</t>
  </si>
  <si>
    <t>5_LARGE USE SERVICE CLASSIFICATION_Retail Transmission Rate - Line and Transformation Connection Service Rate</t>
  </si>
  <si>
    <t>5_LARGE USE SERVICE CLASSIFICATION_WMSR</t>
  </si>
  <si>
    <t>5_LARGE USE SERVICE CLASSIFICATION_RRRP</t>
  </si>
  <si>
    <t>5_LARGE USE SERVICE CLASSIFICATION_SSS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</si>
  <si>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</si>
  <si>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6_UNMETERED SCATTERED LOAD SERVICE CLASSIFICATION_FX_RR_11</t>
  </si>
  <si>
    <t>6_UNMETERED SCATTERED LOAD SERVICE CLASSIFICATION_FX_RR_12</t>
  </si>
  <si>
    <t>6_UNMETERED SCATTERED LOAD SERVICE CLASSIFICATION_LV</t>
  </si>
  <si>
    <t>6_UNMETERED SCATTERED LOAD SERVICE CLASSIFICATION_GA_kwh</t>
  </si>
  <si>
    <t>Rate Rider for Disposition of Lost Revenue Adjustment Mechanism Variance Account (LRAMVA) (2024) -
     effective until December 31, 2025</t>
  </si>
  <si>
    <t>6_UNMETERED SCATTERED LOAD SERVICE CLASSIFICATION_LRAM</t>
  </si>
  <si>
    <t>6_UNMETERED SCATTERED LOAD SERVICE CLASSIFICATION_DEFVAR_ALL</t>
  </si>
  <si>
    <t>6_UNMETERED SCATTERED LOAD SERVICE CLASSIFICATION_CBR</t>
  </si>
  <si>
    <t>6_UNMETERED SCATTERED LOAD SERVICE CLASSIFICATION_VR_RR_36</t>
  </si>
  <si>
    <t>6_UNMETERED SCATTERED LOAD SERVICE CLASSIFICATION_VR_RR_37</t>
  </si>
  <si>
    <t>All service supplied to roadway lighting equipment owned by or operated by the City of Brampton, Regional Municipality of Peel, or the Ministry of Transportation,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</si>
  <si>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7_STREET LIGHTING SERVICE CLASSIFICATION_FX_RR_13</t>
  </si>
  <si>
    <t>7_STREET LIGHTING SERVICE CLASSIFICATION_FX_RR_14</t>
  </si>
  <si>
    <t>7_STREET LIGHTING SERVICE CLASSIFICATION_CBR</t>
  </si>
  <si>
    <t>Rate Rider for Disposition of Lost Revenue Adjustment Mechanism Variance Account (LRAMVA) (2024) -
     effective until December 31, 2026</t>
  </si>
  <si>
    <t>7_STREET LIGHTING SERVICE CLASSIFICATION_LRAM</t>
  </si>
  <si>
    <t>7_STREET LIGHTING SERVICE CLASSIFICATION_VR_RR_44</t>
  </si>
  <si>
    <t>Rate Rider for Disposition of Prospective Lost Revenue Adjustment Mechanism Variance Account (LRAMVA) (2024) -
     effective until December 31, 2026</t>
  </si>
  <si>
    <t>STANDBY POWER SERVICE CLASSIFICATION</t>
  </si>
  <si>
    <t>8_STANDBY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</si>
  <si>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</si>
  <si>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</si>
  <si>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8_STANDBY POWER SERVICE CLASSIFICATION_DVC</t>
  </si>
  <si>
    <t>EMBEDDED DISTRIBUTOR SERVICE CLASSIFICATION</t>
  </si>
  <si>
    <t>9_EMBEDDED DISTRIBUTOR SERVICE CLASSIFICATION</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</si>
  <si>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</si>
  <si>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9_EMBEDDED DISTRIBUTOR SERVICE CLASSIFICATION_MSC</t>
  </si>
  <si>
    <t>9_EMBEDDED DISTRIBUTOR SERVICE CLASSIFICATION_FX_RR_15</t>
  </si>
  <si>
    <t>9_EMBEDDED DISTRIBUTOR SERVICE CLASSIFICATION_FX_RR_16</t>
  </si>
  <si>
    <t>9_EMBEDDED DISTRIBUTOR SERVICE CLASSIFICATION_Retail Transmission Rate - Network Service Rate</t>
  </si>
  <si>
    <t>9_EMBEDDED DISTRIBUTOR SERVICE CLASSIFICATION_Retail Transmission Rate - Line and Transformation Connection Service Rate</t>
  </si>
  <si>
    <t>9_MRC_Reg</t>
  </si>
  <si>
    <t>9_EMBEDDED DISTRIBUTOR SERVICE CLASSIFICATION_WMSR</t>
  </si>
  <si>
    <t>9_EMBEDDED DISTRIBUTOR SERVICE CLASSIFICATION_RRRP</t>
  </si>
  <si>
    <t>9_EMBEDDED DISTRIBUTOR SERVICE CLASSIFICATION_SSS</t>
  </si>
  <si>
    <t>DISTRIBUTED GENERATION [DGEN] SERVICE CLASSIFICATION</t>
  </si>
  <si>
    <t>10_DISTRIBUTED GENERATION [DGEN] SERVICE CLASSIFICATION</t>
  </si>
  <si>
    <t>This classification applies to a distributed generator that is not a microFIT or an Energy from Waste Generator and connected to the distributor's distribution system. Class B consumers are defined in accordance with O. Reg. 429/04.  Further servicing details are available in the distributor’s Conditions of Service.</t>
  </si>
  <si>
    <t>10_APPLICATION</t>
  </si>
  <si>
    <t>10_MRC_Del</t>
  </si>
  <si>
    <t>10_DISTRIBUTED GENERATION [DGEN] SERVICE CLASSIFICATION_MSC</t>
  </si>
  <si>
    <t>10_DISTRIBUTED GENERATION [DGEN] SERVICE CLASSIFICATION_FX_RR_17</t>
  </si>
  <si>
    <t>10_DISTRIBUTED GENERATION [DGEN] SERVICE CLASSIFICATION_FX_RR_18</t>
  </si>
  <si>
    <t>10_DISTRIBUTED GENERATION [DGEN] SERVICE CLASSIFICATION_LV</t>
  </si>
  <si>
    <t>10_DISTRIBUTED GENERATION [DGEN] SERVICE CLASSIFICATION_GA_kwh</t>
  </si>
  <si>
    <t>10_DISTRIBUTED GENERATION [DGEN] SERVICE CLASSIFICATION_DEFVAR_ALL</t>
  </si>
  <si>
    <t>10_DISTRIBUTED GENERATION [DGEN] SERVICE CLASSIFICATION_CBR</t>
  </si>
  <si>
    <t>10_DISTRIBUTED GENERATION [DGEN] SERVICE CLASSIFICATION_Retail Transmission Rate - Network Service Rate</t>
  </si>
  <si>
    <t>10_DISTRIBUTED GENERATION [DGEN] SERVICE CLASSIFICATION_Retail Transmission Rate - Line and Transformation Connection Service Rate</t>
  </si>
  <si>
    <t>10_MRC_Reg</t>
  </si>
  <si>
    <t>10_DISTRIBUTED GENERATION [DGEN] SERVICE CLASSIFICATION_WMSR</t>
  </si>
  <si>
    <t>10_DISTRIBUTED GENERATION [DGEN] SERVICE CLASSIFICATION_RRRP</t>
  </si>
  <si>
    <t>10_DISTRIBUTED GENERATION [DGEN] SERVICE CLASSIFICATION_SSS</t>
  </si>
  <si>
    <t>ENERGY FROM WASTE SERVICE CLASSIFICATION</t>
  </si>
  <si>
    <t>11_ENERGY FROM WASTE SERVICE CLASSIFICATION</t>
  </si>
  <si>
    <t>This classification applies to an electricity generation facility that is not covered by a microFIT or Distributed Generation classification which produces energy from combustion of consumer waste with the capability to generate over 4,000 KW. Further servicing details are available in the distributor’s Conditions of Service.</t>
  </si>
  <si>
    <t>11_APPLICATION</t>
  </si>
  <si>
    <t>11_MRC_Del</t>
  </si>
  <si>
    <t>11_ENERGY FROM WASTE SERVICE CLASSIFICATION_MSC</t>
  </si>
  <si>
    <t>12_microFIT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</si>
  <si>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</si>
  <si>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12_APPLICATION</t>
  </si>
  <si>
    <t>12_MRC_Del</t>
  </si>
  <si>
    <t>12_microFIT SERVICE CLASSIFICATION_MSC</t>
  </si>
  <si>
    <t>Alectra Utilities Corporation_ALLOWANCES</t>
  </si>
  <si>
    <t xml:space="preserve">      General Service less than 50 kW Classification</t>
  </si>
  <si>
    <t xml:space="preserve">      General Service 50 to 699 kW Classification</t>
  </si>
  <si>
    <t xml:space="preserve">      General Service 700 to 4,999 kW Classification</t>
  </si>
  <si>
    <t>Alectra Utilities Corporation_SSC</t>
  </si>
  <si>
    <t>Alectra Utilities Corporation_CA</t>
  </si>
  <si>
    <t>Pulling post dated cheques</t>
  </si>
  <si>
    <t>Request for other billing information</t>
  </si>
  <si>
    <t>Easement letter</t>
  </si>
  <si>
    <t>Income tax letter</t>
  </si>
  <si>
    <t>Account history</t>
  </si>
  <si>
    <t>Legal letter charge</t>
  </si>
  <si>
    <t>Special billing service (aggregation)</t>
  </si>
  <si>
    <t>Special billing service (sub-metering charge per meter)</t>
  </si>
  <si>
    <t>Non-Payment of Account</t>
  </si>
  <si>
    <t>Alectra Utilities Corporation_NPoA</t>
  </si>
  <si>
    <t>Late payment - per month
(effective annual rate 19.56% per annum or 0.04896% compounded daily rate)</t>
  </si>
  <si>
    <t>Reconnection for &gt;300 volts - during regular hours</t>
  </si>
  <si>
    <t>Reconnection for &gt;300 volts - after regular hours</t>
  </si>
  <si>
    <t>Owner requested disconnection/reconnection - during regular hours</t>
  </si>
  <si>
    <t>Owner requested disconnection/reconnection - after regular hours</t>
  </si>
  <si>
    <t>Specific charge for access to the power poles - per pole/year (with the exception of wireless attachments)</t>
  </si>
  <si>
    <t>Alectra Utilities Corporation_RSC</t>
  </si>
  <si>
    <t>Alectra Utilities Corporation_LFs</t>
  </si>
  <si>
    <t>Total Loss Factor - Secondary Metered Customer &gt; 5,000 kW</t>
  </si>
  <si>
    <t>Total Loss Factor - Primary Metered Customer &gt; 5,000 kW</t>
  </si>
  <si>
    <t>Alectra Utilities Corporation-Brampton Rate Zone_End</t>
  </si>
  <si>
    <t>Alectra Utilities Corporation-Enersource Rate Zone</t>
  </si>
  <si>
    <t>Alectra Utilities Corporation-Enersource Rate Zone_Start</t>
  </si>
  <si>
    <t>This classification refers to all residential services including, without limitation, single family or single unit dwellings, multifamily dwellings, row-type dwellings and subdivision developments.  Energy is supplied in single phase, 3-wire, or three phase, 4 wire, having a nominal voltage of 120/240 volts.  There shall be only one delivery point to a dwelling.  Class B consumers are defined in accordance with O. Reg. 429/04.  Further servicing details are available in the distributor’s Conditions of Service.</t>
  </si>
  <si>
    <t xml:space="preserve">Rate Rider for Recovery of Incremental Capital (2023) - in effect until the effective date of the next cost of service
     based rate order </t>
  </si>
  <si>
    <t>1_RESIDENTIAL SERVICE CLASSIFICATION_FX_RR_19</t>
  </si>
  <si>
    <t>Rate Rider for Recovery of Incremental Capital (2019) - in effect from March 1, 2019 until the effective date of the next
     cost of service based rate order</t>
  </si>
  <si>
    <t>1_RESIDENTIAL SERVICE CLASSIFICATION_FX_RR_20</t>
  </si>
  <si>
    <t>Rate Rider for Recovery of Incremental Capital (2018) - in effect until the effective date of the next cost of service
     based rate order</t>
  </si>
  <si>
    <t>1_RESIDENTIAL SERVICE CLASSIFICATION_FX_RR_21</t>
  </si>
  <si>
    <t>Rate Rider for Recovery of Incremental Capital (2017) - in effect until the effective date of the next cost of service
     based rate order</t>
  </si>
  <si>
    <t>1_RESIDENTIAL SERVICE CLASSIFICATION_FX_RR_22</t>
  </si>
  <si>
    <t xml:space="preserve">Low Voltage Service Rate </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</si>
  <si>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</si>
  <si>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CLASSIFICATION_FX_RR_23</t>
  </si>
  <si>
    <t>2_GENERAL SERVICE LESS THAN 50 KW SERVICE CLASSIFICATION_FX_RR_24</t>
  </si>
  <si>
    <t>2_GENERAL SERVICE LESS THAN 50 KW SERVICE CLASSIFICATION_FX_RR_25</t>
  </si>
  <si>
    <t>2_GENERAL SERVICE LESS THAN 50 KW SERVICE CLASSIFICATION_FX_RR_26</t>
  </si>
  <si>
    <t>2_GENERAL SERVICE LESS THAN 50 KW SERVICE CLASSIFICATION_VR_RR_57</t>
  </si>
  <si>
    <t>2_GENERAL SERVICE LESS THAN 50 KW SERVICE CLASSIFICATION_VR_RR_58</t>
  </si>
  <si>
    <t>This classification refers to a non-residential account whose monthly average peak demand is equal to or greater than, or is forecast to be equal to or greater than, 50 kW but less than 500 kW.  Class B consumers are defined in accordance with O. Reg. 429/04.  Further servicing details are available in the distributor’s Conditions of Service.</t>
  </si>
  <si>
    <t>Billing demands are established at the greater of 100% of the kW, or 90% of the kVA amounts.</t>
  </si>
  <si>
    <t>3_GENERAL SERVICE 50 TO 499 KW SERVICE CLASSIFICATION_FX_RR_27</t>
  </si>
  <si>
    <t>3_GENERAL SERVICE 50 TO 499 KW SERVICE CLASSIFICATION_FX_RR_28</t>
  </si>
  <si>
    <t>3_GENERAL SERVICE 50 TO 499 KW SERVICE CLASSIFICATION_FX_RR_29</t>
  </si>
  <si>
    <t>3_GENERAL SERVICE 50 TO 499 KW SERVICE CLASSIFICATION_FX_RR_30</t>
  </si>
  <si>
    <t>3_GENERAL SERVICE 50 TO 499 KW SERVICE CLASSIFICATION_LV</t>
  </si>
  <si>
    <t>3_GENERAL SERVICE 50 TO 499 KW SERVICE CLASSIFICATION_GA_kwh</t>
  </si>
  <si>
    <t>3_GENERAL SERVICE 50 TO 499 KW SERVICE CLASSIFICATION_LRAM</t>
  </si>
  <si>
    <t>3_GENERAL SERVICE 50 TO 499 KW SERVICE CLASSIFICATION_DEFVAR_ALL</t>
  </si>
  <si>
    <t>3_GENERAL SERVICE 50 TO 499 KW SERVICE CLASSIFICATION_CBR</t>
  </si>
  <si>
    <t>3_GENERAL SERVICE 50 TO 499 KW SERVICE CLASSIFICATION_VR_RR_65</t>
  </si>
  <si>
    <t>4_GENERAL SERVICE 500 TO 4,999 KW SERVICE CLASSIFICATION</t>
  </si>
  <si>
    <t>This classification refers to a non-residential account whose monthly average peak demand is equal to or greater than, or is forecast to be equal to or greater than, 500 kW but less than 5,000 kW.  Class A and Class B consumers are defined in accordance with O. Reg. 429/04.  Further servicing details are available in the distributor’s Conditions of Service.</t>
  </si>
  <si>
    <t>4_GENERAL SERVICE 500 TO 4,999 KW SERVICE CLASSIFICATION_MSC</t>
  </si>
  <si>
    <t>4_GENERAL SERVICE 500 TO 4,999 KW SERVICE CLASSIFICATION_FX_RR_31</t>
  </si>
  <si>
    <t>4_GENERAL SERVICE 500 TO 4,999 KW SERVICE CLASSIFICATION_FX_RR_32</t>
  </si>
  <si>
    <t>4_GENERAL SERVICE 500 TO 4,999 KW SERVICE CLASSIFICATION_FX_RR_33</t>
  </si>
  <si>
    <t>4_GENERAL SERVICE 500 TO 4,999 KW SERVICE CLASSIFICATION_FX_RR_34</t>
  </si>
  <si>
    <t>4_GENERAL SERVICE 500 TO 4,999 KW SERVICE CLASSIFICATION_DVC</t>
  </si>
  <si>
    <t>4_GENERAL SERVICE 500 TO 4,999 KW SERVICE CLASSIFICATION_LV</t>
  </si>
  <si>
    <t>4_GENERAL SERVICE 500 TO 4,999 KW SERVICE CLASSIFICATION_GA_kwh</t>
  </si>
  <si>
    <t>4_GENERAL SERVICE 500 TO 4,999 KW SERVICE CLASSIFICATION_LRAM</t>
  </si>
  <si>
    <t>4_GENERAL SERVICE 500 TO 4,999 KW SERVICE CLASSIFICATION_DEFVAR_ALL</t>
  </si>
  <si>
    <t>4_GENERAL SERVICE 500 TO 4,999 KW SERVICE CLASSIFICATION_CBR</t>
  </si>
  <si>
    <t xml:space="preserve">Retail Transmission Rate - Network Service Rate </t>
  </si>
  <si>
    <t>4_GENERAL SERVICE 500 TO 4,999 KW SERVICE CLASSIFICATION_Retail Transmission Rate - Network Service Rate</t>
  </si>
  <si>
    <t xml:space="preserve">Retail Transmission Rate - Line and Transformation Connection Service Rate </t>
  </si>
  <si>
    <t>4_GENERAL SERVICE 500 TO 4,999 KW SERVICE CLASSIFICATION_Retail Transmission Rate - Line and Transformation Connection Service Rate</t>
  </si>
  <si>
    <t>4_GENERAL SERVICE 500 TO 4,999 KW SERVICE CLASSIFICATION_WMSR</t>
  </si>
  <si>
    <t>4_GENERAL SERVICE 500 TO 4,999 KW SERVICE CLASSIFICATION_RRRP</t>
  </si>
  <si>
    <t>4_GENERAL SERVICE 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</si>
  <si>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</si>
  <si>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5_LARGE USE SERVICE CLASSIFICATION_FX_RR_35</t>
  </si>
  <si>
    <t>5_LARGE USE SERVICE CLASSIFICATION_FX_RR_36</t>
  </si>
  <si>
    <t>5_LARGE USE SERVICE CLASSIFICATION_FX_RR_37</t>
  </si>
  <si>
    <t>5_LARGE USE SERVICE CLASSIFICATION_FX_RR_38</t>
  </si>
  <si>
    <t>Retail Transmission Rate - Network Service Rate – Interval Metered</t>
  </si>
  <si>
    <t xml:space="preserve">Retail Transmission Rate - Line and Transformation Connection Service Rate – Interval Metered </t>
  </si>
  <si>
    <t>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abd will be agreed to by Alectra Utilities and the customer and may be subject to periodic monitoring of actual consumption.  Eligible onmetered loads include cable TV power packs, bus  shelters, telephone booths, traffic lights, railway crossings, etc.   Class B consumers are defined in accordance with O. Reg. 429/04.  Further servicing details are available in the distributor’s Conditions of Service.</t>
  </si>
  <si>
    <t>6_UNMETERED SCATTERED LOAD SERVICE CLASSIFICATION_FX_RR_39</t>
  </si>
  <si>
    <t>6_UNMETERED SCATTERED LOAD SERVICE CLASSIFICATION_FX_RR_40</t>
  </si>
  <si>
    <t>6_UNMETERED SCATTERED LOAD SERVICE CLASSIFICATION_FX_RR_41</t>
  </si>
  <si>
    <t>6_UNMETERED SCATTERED LOAD SERVICE CLASSIFICATION_FX_RR_42</t>
  </si>
  <si>
    <t>This classification refers to an account for roadway lighting.  Street Lighting is unmetered where energy consumption is estimated based on the connected wattage and calculated hours of use using methods established by the Ontario Energy Board.  Class B consumers are defined in accordance with O. Reg. 429/04.  Further servicing details are available in the distributor’s Conditions of Service.</t>
  </si>
  <si>
    <t>Service Charge (per luminaire)</t>
  </si>
  <si>
    <t>7_STREET LIGHTING SERVICE CLASSIFICATION_FX_RR_43</t>
  </si>
  <si>
    <t>7_STREET LIGHTING SERVICE CLASSIFICATION_FX_RR_44</t>
  </si>
  <si>
    <t>7_STREET LIGHTING SERVICE CLASSIFICATION_FX_RR_45</t>
  </si>
  <si>
    <t>This classification refers to an account that requires Alectra Utilities to provide distribution service on a standby basis as a back-up supply to an on-site generator.  Further servicing details are available in the distributor’s Conditions of Service.</t>
  </si>
  <si>
    <t xml:space="preserve">MONTHLY RATES AND CHARGES – Delivery Component </t>
  </si>
  <si>
    <t xml:space="preserve">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  </t>
  </si>
  <si>
    <t>General Service 50 to 499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</si>
  <si>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8_STANDBY POWER SERVICE CLASSIFICATION_MSC</t>
  </si>
  <si>
    <t>General Service 500 to 4,999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</si>
  <si>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Large Use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</si>
  <si>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</si>
  <si>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Credit reference/credit check (plus credit agency costs – General Service)</t>
  </si>
  <si>
    <t>Account set up charge/change of occupancy charge (plus credit agency costs if applicable – Residential)</t>
  </si>
  <si>
    <t>Interval meter request change</t>
  </si>
  <si>
    <t>Temporary service install and remove – overhead – no transformer</t>
  </si>
  <si>
    <t>Alectra Utilities Corporation-Enersource Rate Zone_End</t>
  </si>
  <si>
    <t>Alectra Utilities Corporation-Guelph Rate Zone</t>
  </si>
  <si>
    <t>Alectra Utilities Corporation-Guelph Rate Zone_Start</t>
  </si>
  <si>
    <t>This classification includes accounts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</si>
  <si>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Disposition of Post Retirement Actuarial Gain - effective until March 31, 2025</t>
  </si>
  <si>
    <t>1_RESIDENTIAL SERVICE CLASSIFICATION_FX_RR_46</t>
  </si>
  <si>
    <t>This classification includes non-residential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</si>
  <si>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CLASSIFICATION_FX_RR_47</t>
  </si>
  <si>
    <t>This classification includes non-residential accounts where monthly average peak demand is equal to or greater than, or is forecast to be equal to or greater than, 50 kW but less than 1,000 kW.  Note that for the application of the Retail Transmission Rate - Network Service Rate and the Retail Transmission Rate - Line and Transformation Connection Service Rate the following sub-classifications apply: General Service 50 to 999 kW non-interval metered, and General Service 50 to 999 kW interval metered.  Class B consumers are defined in accordance with O. Reg. 429/04.  Further servicing details are available in the distributor’s Conditions of Service.</t>
  </si>
  <si>
    <t>3_GENERAL SERVICE 50 TO 999 KW SERVICE CLASSIFICATION_FX_RR_48</t>
  </si>
  <si>
    <t>3_GENERAL SERVICE 50 TO 999 KW SERVICE CLASSIFICATION_LRAM</t>
  </si>
  <si>
    <t>3_GENERAL SERVICE 50 TO 999 KW SERVICE CLASSIFICATION_CBR</t>
  </si>
  <si>
    <t>This classification includes non-residential accounts where monthly average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</si>
  <si>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4_GENERAL SERVICE 1,000 TO 4,999 KW SERVICE CLASSIFICATION_FX_RR_49</t>
  </si>
  <si>
    <t>4_GENERAL SERVICE 1,000 TO 4,999 KW SERVICE CLASSIFICATION_LRAM</t>
  </si>
  <si>
    <t>4_GENERAL SERVICE 1,000 TO 4,999 KW SERVICE CLASSIFICATION_CBR</t>
  </si>
  <si>
    <t>This classification refers to an account where monthly average peak demand is equal to or greater than, or is forecast to be equal to or greater than, 5,000 kW.  Class A and Class B consumers are defined in accordance with O. Reg. 429/04.  Further servicing details are available in the distributor’s Conditions of Service.</t>
  </si>
  <si>
    <t>5_LARGE USE SERVICE CLASSIFICATION_FX_RR_50</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</si>
  <si>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provides detailed manufacturer information/documentation with regard to electrical demand/consumption of the proposed load.  Class B consumers are defined in accordance with O. Reg. 429/04.  Further servicing details are available in the distributor’s Conditions of Service.</t>
  </si>
  <si>
    <t>6_UNMETERED SCATTERED LOAD SERVICE CLASSIFICATION_FX_RR_51</t>
  </si>
  <si>
    <t>7_STANDBY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</si>
  <si>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</si>
  <si>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APPROVED ON AN INTERIM BASIS</t>
  </si>
  <si>
    <t>Standby Charge - the charge is based on the applicable General Service 50 to 999 kW, or General Service 1,000 to 4,999 kW or Large Use Distribution Volumetric Rate applied to the generator's peak demand. A Standby Service Charge will be applied for a month where standby power is provided partially or is not provided.</t>
  </si>
  <si>
    <t>8_SENTINEL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</si>
  <si>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</si>
  <si>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8_SENTINEL LIGHTING SERVICE CLASSIFICATION_MSC</t>
  </si>
  <si>
    <t>8_SENTINEL LIGHTING SERVICE CLASSIFICATION_FX_RR_52</t>
  </si>
  <si>
    <t>8_SENTINEL LIGHTING SERVICE CLASSIFICATION_DVC</t>
  </si>
  <si>
    <t>8_SENTINEL LIGHTING SERVICE CLASSIFICATION_LV</t>
  </si>
  <si>
    <t>8_SENTINEL LIGHTING SERVICE CLASSIFICATION_CBR</t>
  </si>
  <si>
    <t>8_SENTINEL LIGHTING SERVICE CLASSIFICATION_DEFVAR_ALL</t>
  </si>
  <si>
    <t>8_SENTINEL LIGHTING SERVICE CLASSIFICATION_Retail Transmission Rate - Network Service Rate</t>
  </si>
  <si>
    <t>8_SENTINEL LIGHTING SERVICE CLASSIFICATION_Retail Transmission Rate - Line and Transformation Connection Service Rate</t>
  </si>
  <si>
    <t>8_SENTINEL LIGHTING SERVICE CLASSIFICATION_WMSR</t>
  </si>
  <si>
    <t>8_SENTINEL LIGHTING SERVICE CLASSIFICATION_RRRP</t>
  </si>
  <si>
    <t>8_SENTINEL LIGHTING SERVICE CLASSIFICATION_SSS</t>
  </si>
  <si>
    <t>9_STREET LIGHTING SERVICE CLASSIFICATION</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</si>
  <si>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</si>
  <si>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9_STREET LIGHTING SERVICE CLASSIFICATION_MSC</t>
  </si>
  <si>
    <t>9_STREET LIGHTING SERVICE CLASSIFICATION_FX_RR_53</t>
  </si>
  <si>
    <t>9_STREET LIGHTING SERVICE CLASSIFICATION_DVC</t>
  </si>
  <si>
    <t>9_STREET LIGHTING SERVICE CLASSIFICATION_LV</t>
  </si>
  <si>
    <t>9_STREET LIGHTING SERVICE CLASSIFICATION_GA_kwh</t>
  </si>
  <si>
    <t>9_STREET LIGHTING SERVICE CLASSIFICATION_DEFVAR_ALL</t>
  </si>
  <si>
    <t>9_STREET LIGHTING SERVICE CLASSIFICATION_CBR</t>
  </si>
  <si>
    <t>9_STREET LIGHTING SERVICE CLASSIFICATION_LRAM</t>
  </si>
  <si>
    <t>Rate Rider for Disposition of Prospective Lost Revenue Adjustment Mechanism Variance Account (LRAMVA) (2024)
     - effective until December 31, 2026</t>
  </si>
  <si>
    <t>9_STREET LIGHTING SERVICE CLASSIFICATION_Retail Transmission Rate - Network Service Rate</t>
  </si>
  <si>
    <t>9_STREET LIGHTING SERVICE CLASSIFICATION_Retail Transmission Rate - Line and Transformation Connection Service Rate</t>
  </si>
  <si>
    <t>9_STREET LIGHTING SERVICE CLASSIFICATION_WMSR</t>
  </si>
  <si>
    <t>9_STREET LIGHTING SERVICE CLASSIFICATION_RRRP</t>
  </si>
  <si>
    <t>9_STREET LIGHTING SERVICE CLASSIFICATION_SSS</t>
  </si>
  <si>
    <t>10_microFIT SERVICE CLASSIFICATION</t>
  </si>
  <si>
    <t xml:space="preserve">It should be noted that this schedule does not list any charges, assessments or credits that are required by law to be invoiced by a distributor and that are not subject to Ontario Energy Board approval, such as the Global Adjustment and the HST. </t>
  </si>
  <si>
    <t xml:space="preserve">MONTHLY RATES AND CHARGES - Delivery Component </t>
  </si>
  <si>
    <t>10_microFIT SERVICE CLASSIFICATION_MSC</t>
  </si>
  <si>
    <t>Transformer Allowance for Ownership by General Service 50 to 999 kW customers - per kW of billing demand/month</t>
  </si>
  <si>
    <t>It should be noted that this schedule does not list any charges, assessments or credits that are required by law to be invoiced by a distributor and that are not subject to Ontario Energy Board approval, such as the Global Adjustment, and the HST.</t>
  </si>
  <si>
    <t>Account setup charge/change of occupancy charge (plus credit agency costs if applicable)</t>
  </si>
  <si>
    <t>Credit service charge for paperless bill</t>
  </si>
  <si>
    <t>_MSC</t>
  </si>
  <si>
    <t>Service call - customer owned equipment</t>
  </si>
  <si>
    <t>Overhead bond connection - per connection</t>
  </si>
  <si>
    <t>Underground bond connection - per connection</t>
  </si>
  <si>
    <t>Monthly fixed Charge, per retailer</t>
  </si>
  <si>
    <t>Monthly variable Charge, per customer, per retailer</t>
  </si>
  <si>
    <t>Request for customer information as outlined in Section 10.6.3 and Chapter 11 of the Retail Settlement Code directly to retailers and customers, if not delivered electronically through the Electronic Business Transaction (EBT) system, applied to the requesting party</t>
  </si>
  <si>
    <t>Alectra Utilities Corporation-Guelph Rate Zone_End</t>
  </si>
  <si>
    <t>Alectra Utilities Corporation-Horizon Utilities Rate Zone</t>
  </si>
  <si>
    <t>Alectra Utilities Corporation-Horizon Utilities Rate Zone_Start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</si>
  <si>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</si>
  <si>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MONTHLY RATES AND CHARGES – Delivery Component</t>
  </si>
  <si>
    <t>MONTHLY RATES AND CHARGES – Regulatory Component</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</si>
  <si>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</si>
  <si>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</si>
  <si>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</si>
  <si>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3_GENERAL SERVICE 50 to 4,999 kW SERVICE CLASSIFICATION_GA_kwh</t>
  </si>
  <si>
    <t>3_GENERAL SERVICE 50 to 4,999 kW SERVICE CLASSIFICATION_LRAM</t>
  </si>
  <si>
    <t>4_LARGE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</si>
  <si>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</si>
  <si>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CLASSIFICATION_MSC</t>
  </si>
  <si>
    <t>4_LARGE USE SERVICE CLASSIFICATION_DVC</t>
  </si>
  <si>
    <t>4_LARGE USE SERVICE CLASSIFICATION_LV</t>
  </si>
  <si>
    <t>4_LARGE USE SERVICE CLASSIFICATION_LRAM</t>
  </si>
  <si>
    <t>4_LARGE USE SERVICE CLASSIFICATION_DEFVAR_ALL</t>
  </si>
  <si>
    <t>4_LARGE USE SERVICE CLASSIFICATION_Retail Transmission Rate - Network Service Rate</t>
  </si>
  <si>
    <t>4_LARGE USE SERVICE CLASSIFICATION_Retail Transmission Rate - Line and Transformation Connection Service Rate</t>
  </si>
  <si>
    <t>4_LARGE USE SERVICE CLASSIFICATION_WMSR</t>
  </si>
  <si>
    <t>4_LARGE USE SERVICE CLASSIFICATION_RRRP</t>
  </si>
  <si>
    <t>4_LARGE USE SERVICE CLASSIFICATION_SSS</t>
  </si>
  <si>
    <t>LARGE USE WITH DEDICATED ASSETS SERVICE CLASSIFICATION</t>
  </si>
  <si>
    <t>5_LARGE USE WITH DEDICATED ASSETS SERVICE CLASSIFICATION</t>
  </si>
  <si>
    <t>This classification applies to an account where average monthly maximum demand used for billing purposes is equal to or greater than, or is forecast to be equal to or greater than, 5,000 kW and using dedicated assets.  Class A and Class B consumers are defined in accordance with O. Reg. 429/04.  Further servicing details are available in the distributor’s Conditions of Service.</t>
  </si>
  <si>
    <t>5_LARGE USE WITH DEDICATED ASSETS SERVICE CLASSIFICATION_MSC</t>
  </si>
  <si>
    <t>5_LARGE USE WITH DEDICATED ASSETS SERVICE CLASSIFICATION_DVC</t>
  </si>
  <si>
    <t>5_LARGE USE WITH DEDICATED ASSETS SERVICE CLASSIFICATION_LV</t>
  </si>
  <si>
    <t>5_LARGE USE WITH DEDICATED ASSETS SERVICE CLASSIFICATION_LRAM</t>
  </si>
  <si>
    <t>5_LARGE USE WITH DEDICATED ASSETS SERVICE CLASSIFICATION_DEFVAR_ALL</t>
  </si>
  <si>
    <t>5_LARGE USE WITH DEDICATED ASSETS SERVICE CLASSIFICATION_Retail Transmission Rate - Network Service Rate</t>
  </si>
  <si>
    <t>5_LARGE USE WITH DEDICATED ASSETS SERVICE CLASSIFICATION_Retail Transmission Rate - Line and Transformation Connection Service Rate</t>
  </si>
  <si>
    <t>5_LARGE USE WITH DEDICATED ASSETS SERVICE CLASSIFICATION_WMSR</t>
  </si>
  <si>
    <t>5_LARGE USE WITH DEDICATED ASSETS SERVICE CLASSIFICATION_RRRP</t>
  </si>
  <si>
    <t>5_LARGE USE WITH DEDICATED ASSETS SERVICE CLASSIFICATION_SSS</t>
  </si>
  <si>
    <t>6_STANDBY POWER SERVICE CLASSIFICATION</t>
  </si>
  <si>
    <t>MONTHLY RATES AND CHARGES – Delivery Component - APPROVED ON AN INTERIM BASIS</t>
  </si>
  <si>
    <t>GS&gt;50 Standby Charge - for a month where standby power is not provided.  The charge is applied to the amount of reserved load transfer capacity contracted or the amount of monthly peak load displaced by a generating facility.</t>
  </si>
  <si>
    <t>6_STANDBY POWER SERVICE CLASSIFICATION_DVC</t>
  </si>
  <si>
    <t>Large Use Standby Charge - for a month where standby power is not provided.  The charge is applied to the amount of reserved load transfer capacity contracted or the amount of monthly peak load displaced by a generating facility.</t>
  </si>
  <si>
    <t>Large Use with Dedicated Assets Standby Charge - for a month where standby power is not provided.  The charge is applied to the amount of reserved load transfer capacity contracted or the amount of monthly peak load displaced by a generating facility.</t>
  </si>
  <si>
    <t>7_UNMETERED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</si>
  <si>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</si>
  <si>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7_UNMETERED SCATTERED LOAD SERVICE CLASSIFICATION_MSC</t>
  </si>
  <si>
    <t>7_UNMETERED SCATTERED LOAD SERVICE CLASSIFICATION_DVC</t>
  </si>
  <si>
    <t>7_UNMETERED SCATTERED LOAD SERVICE CLASSIFICATION_LV</t>
  </si>
  <si>
    <t>7_UNMETERED SCATTERED LOAD SERVICE CLASSIFICATION_GA_kwh</t>
  </si>
  <si>
    <t>7_UNMETERED SCATTERED LOAD SERVICE CLASSIFICATION_LRAM</t>
  </si>
  <si>
    <t>7_UNMETERED SCATTERED LOAD SERVICE CLASSIFICATION_DEFVAR_ALL</t>
  </si>
  <si>
    <t>7_UNMETERED SCATTERED LOAD SERVICE CLASSIFICATION_CBR</t>
  </si>
  <si>
    <t>7_UNMETERED SCATTERED LOAD SERVICE CLASSIFICATION_Retail Transmission Rate - Network Service Rate</t>
  </si>
  <si>
    <t>7_UNMETERED SCATTERED LOAD SERVICE CLASSIFICATION_Retail Transmission Rate - Line and Transformation Connection Service Rate</t>
  </si>
  <si>
    <t>7_UNMETERED SCATTERED LOAD SERVICE CLASSIFICATION_WMSR</t>
  </si>
  <si>
    <t>7_UNMETERED SCATTERED LOAD SERVICE CLASSIFICATION_RRRP</t>
  </si>
  <si>
    <t>7_UNMETERED SCATTERED LOAD SERVICE CLASSIFICATION_SSS</t>
  </si>
  <si>
    <t>This classification applies to safety/security lighting with a Residential, General Service or Large Use customer.  This is typically exterior lighting, and often unmetered.  Consumption is estimated based on the equipment rating and estimated hours of use.  Class B consumers are defined in accordance with O. Reg. 429/04. Further servicing details are available in the distributor’s Conditions of Service.</t>
  </si>
  <si>
    <t>Service Charge (per Connection)</t>
  </si>
  <si>
    <t>8_SENTINEL LIGHTING SERVICE CLASSIFICATION_GA_kwh</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</si>
  <si>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</si>
  <si>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Transformer Allowance for Ownership - per kW of billing demand</t>
  </si>
  <si>
    <t xml:space="preserve">     Arrears certificate</t>
  </si>
  <si>
    <t xml:space="preserve">     Statement of account</t>
  </si>
  <si>
    <t xml:space="preserve">     Pulling of post dated cheques</t>
  </si>
  <si>
    <t xml:space="preserve">     Duplicate invoices for previous billing</t>
  </si>
  <si>
    <t xml:space="preserve">     Request for other billing information</t>
  </si>
  <si>
    <t xml:space="preserve">     Easement letter</t>
  </si>
  <si>
    <t xml:space="preserve">     Income tax letter</t>
  </si>
  <si>
    <t xml:space="preserve">     Notification charge</t>
  </si>
  <si>
    <t xml:space="preserve">     Account history</t>
  </si>
  <si>
    <t xml:space="preserve">     Returned cheque charge (plus bank charges)</t>
  </si>
  <si>
    <t xml:space="preserve">     Charge to certify cheque</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</si>
  <si>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</si>
  <si>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</si>
  <si>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</si>
  <si>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</si>
  <si>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Credit card convenience charge</t>
  </si>
  <si>
    <t xml:space="preserve">     Credit check (plus credit agency costs)</t>
  </si>
  <si>
    <t xml:space="preserve">     Late payment – per month
     (effective annual rate 19.56% per annum or 0.0486%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</si>
  <si>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</si>
  <si>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</si>
  <si>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</si>
  <si>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</si>
  <si>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Service call - customer owned equipment</t>
  </si>
  <si>
    <t xml:space="preserve">     Service call - after regular hours</t>
  </si>
  <si>
    <t xml:space="preserve">     Temporary service - install and remove - overhead - no transformer</t>
  </si>
  <si>
    <t xml:space="preserve">     Temporary service - install and remove - underground - no transformer</t>
  </si>
  <si>
    <t xml:space="preserve">     Temporary service - install and remove - overhead - with transformer</t>
  </si>
  <si>
    <t xml:space="preserve">     Specific charge for access to the power poles - per pole/year (with the exception of wireless 
     attachments)</t>
  </si>
  <si>
    <t xml:space="preserve">     Administrative billing charge</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</si>
  <si>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</si>
  <si>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</si>
  <si>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</si>
  <si>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</si>
  <si>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Total Loss Factor – Secondary Metered Customer &lt; 5,000 kW</t>
  </si>
  <si>
    <t>Total Loss Factor – Secondary Metered Customer &gt; 5,000 kW</t>
  </si>
  <si>
    <t>Total Loss Factor – Primary Metered Customer &lt; 5,000 kW</t>
  </si>
  <si>
    <t>Total Loss Factor – Primary Metered Customer &gt; 5,000 kW</t>
  </si>
  <si>
    <t>Alectra Utilities Corporation-Horizon Utilities Rate Zone_End</t>
  </si>
  <si>
    <t>Alectra Utilities Corporation-PowerStream Rate Zone</t>
  </si>
  <si>
    <t>Alectra Utilities Corporation-PowerStream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</si>
  <si>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Multi-unit residential establishments such as apartment buildings supplied through one service (bulk metered) shall be classified as general service.  Class B consumers are defined in accordance with O. Reg. 429/04.  Further servicing details are available in the distributor’s Conditions of Service.</t>
  </si>
  <si>
    <t>1_RESIDENTIAL SERVICE CLASSIFICATION_FX_RR_54</t>
  </si>
  <si>
    <t>1_RESIDENTIAL SERVICE CLASSIFICATION_FX_RR_55</t>
  </si>
  <si>
    <t>1_RESIDENTIAL SERVICE CLASSIFICATION_FX_RR_56</t>
  </si>
  <si>
    <t>1_RESIDENTIAL SERVICE CLASSIFICATION_FX_RR_57</t>
  </si>
  <si>
    <t>This classification refers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</si>
  <si>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CLASSIFICATION_FX_RR_59</t>
  </si>
  <si>
    <t>2_GENERAL SERVICE LESS THAN 50 KW SERVICE CLASSIFICATION_FX_RR_60</t>
  </si>
  <si>
    <t>2_GENERAL SERVICE LESS THAN 50 KW SERVICE CLASSIFICATION_FX_RR_61</t>
  </si>
  <si>
    <t>This classification refers to a non-residential account whose monthly average peak demand is equal to or greater than, or is forecast to be equal to or greater than, 50 kW but less than 5,000 kW, both regular and interval metered.  Class A and Class B consumers are defined in accordance with O. Reg. 429/04.  Further servicing details are available in the distributor’s Conditions of Service.</t>
  </si>
  <si>
    <t>3_GENERAL SERVICE 50 to 4,999 kW SERVICE CLASSIFICATION_FX_RR_64</t>
  </si>
  <si>
    <t>3_GENERAL SERVICE 50 to 4,999 kW SERVICE CLASSIFICATION_FX_RR_65</t>
  </si>
  <si>
    <t>Retail Transmission Rate - Line and Transformation Connection Service Rate – Interval Metered</t>
  </si>
  <si>
    <t>4_LARGE USE SERVICE CLASSIFICATION_FX_RR_69</t>
  </si>
  <si>
    <t>5_STANDBY POWER SERVICE CLASSIFICATION</t>
  </si>
  <si>
    <t>It should be noted that this schedule does not list any charges, assessments or credits that are required by law to be invoiced by a distributor and that are not subject to Ontario Energy Board approval, such as the the Global Adjustment and the HST.</t>
  </si>
  <si>
    <t>Standby Charge – for a month where standby power is not provided.  The charge is applied to the contracted amount (e.g. nameplate rating of generation facility).</t>
  </si>
  <si>
    <t>5_STANDBY POWER SERVICE CLASSIFICATION_DVC</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</si>
  <si>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</si>
  <si>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unmetered lighting load supplied to a sentinel light.  Class B consumers are defined in accordance with O. Reg. 429/04.  Further servicing details are available in the distributor’s Conditions of Service.</t>
  </si>
  <si>
    <t>7_SENTINEL LIGHTING SERVICE CLASSIFICATION_LV</t>
  </si>
  <si>
    <t>7_SENTINEL LIGHTING SERVICE CLASSIFICATION_GA_kwh</t>
  </si>
  <si>
    <t>7_SENTINEL LIGHTING SERVICE CLASSIFICATION_LRAM</t>
  </si>
  <si>
    <t>7_SENTINEL LIGHTING SERVICE CLASSIFICATION_DEFVAR_ALL</t>
  </si>
  <si>
    <t>7_SENTINEL LIGHTING SERVICE CLASSIFICATION_CBR</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</si>
  <si>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</si>
  <si>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8_STREET LIGHTING SERVICE CLASSIFICATION_LV</t>
  </si>
  <si>
    <t>8_STREET LIGHTING SERVICE CLASSIFICATION_GA_kwh</t>
  </si>
  <si>
    <t>8_STREET LIGHTING SERVICE CLASSIFICATION_LRAM</t>
  </si>
  <si>
    <t>8_STREET LIGHTING SERVICE CLASSIFICATION_DEFVAR_ALL</t>
  </si>
  <si>
    <t>8_STREET LIGHTING SERVICE CLASSIFICATION_CBR</t>
  </si>
  <si>
    <t>Disconnect/reconnect at meter - during regular hours</t>
  </si>
  <si>
    <t>Disconnect/reconnect at meter - after regular hours</t>
  </si>
  <si>
    <t>Disconnect/reconnect at pole - during regular hours</t>
  </si>
  <si>
    <t>Disconnect/reconnect at pole - after regular hours</t>
  </si>
  <si>
    <t>Temporary Service install and remove - overhead - no transformer</t>
  </si>
  <si>
    <t>Settlement Code directly to retailers and customers, if not delivered electronically through the Electronic Business Transaction (EBT) system, applied to the requesting party</t>
  </si>
  <si>
    <t>Alectra Utilities Corporation-PowerStream Rate Zone_End</t>
  </si>
  <si>
    <t>Algoma Power Inc._Start</t>
  </si>
  <si>
    <t>RESIDENTIAL R1 SERVICE CLASSIFICATION</t>
  </si>
  <si>
    <t>1_RESIDENTIAL R1 SERVICE CLASSIFICATION</t>
  </si>
  <si>
    <t xml:space="preserve">For the purposes of rates and charges, a residential service is defined in two ways:
i) a dwelling occupied as a residence continuously for at least eight months of the year and, where the residential premises is located on a farm, includes other farm premises associated with the residential electricity meter, and
ii) consumers who are treated as residential-rate class customers under Ontario Regulation 445/07 (Reclassifying Certain Classes of Consumers as Residential-Rate Class Customers: Section 78 of the Ontario Energy Board Act, 1998) made under the Ontario Energy Board Act, 1998.
</t>
  </si>
  <si>
    <t xml:space="preserve">This application refers to a Residential service with a demand of less then, or is forecast to be less than, 50 kilowatts, and which is billed on an energy basis. Class B consumers are defined in accordance with 0. Reg. 429/04. Futher servicing details are available in the distributor's Condition of Service. </t>
  </si>
  <si>
    <t>Service Charge - Applicable only to customers that meet criteria (i) above</t>
  </si>
  <si>
    <t>1_RESIDENTIAL R1 SERVICE CLASSIFICATION_MSC</t>
  </si>
  <si>
    <t>Service Charge - Applicable only to customers that meet criteria (ii) above</t>
  </si>
  <si>
    <t>1_RESIDENTIAL R1 SERVICE CLASSIFICATION_SME</t>
  </si>
  <si>
    <t>Distribution Volumetric Rate - Applicable only to customers that meet criteria (ii) above</t>
  </si>
  <si>
    <t>1_RESIDENTIAL R1 SERVICE CLASSIFICATION_DVC</t>
  </si>
  <si>
    <t>1_RESIDENTIAL R1 SERVICE CLASSIFICATION_CBR</t>
  </si>
  <si>
    <t>1_RESIDENTIAL R1 SERVICE CLASSIFICATION_Retail Transmission Rate - Network Service Rate</t>
  </si>
  <si>
    <t>1_RESIDENTIAL R1 SERVICE CLASSIFICATION_Retail Transmission Rate - Line and Transformation Connection Service Rate</t>
  </si>
  <si>
    <t>1_RESIDENTIAL R1 SERVICE CLASSIFICATION_WMSR</t>
  </si>
  <si>
    <t>1_RESIDENTIAL R1 SERVICE CLASSIFICATION_RRRP</t>
  </si>
  <si>
    <t>1_RESIDENTIAL R1 SERVICE CLASSIFICATION_SSS</t>
  </si>
  <si>
    <t>RESIDENTIAL R2 SERVICE CLASSIFICATION</t>
  </si>
  <si>
    <t>2_RESIDENTIAL R2 SERVICE CLASSIFICATION</t>
  </si>
  <si>
    <t>This classification refers to a Residential service with a demand equal to or greater than, or is forecast to be equal to or greater than, 50 kilowatts, and which is billed on a demand basis.  Class A and Class B consumers are defined in accordance with 0. Reg. 429/04. Further servicing details are available in the distributor’s Conditions of Service.</t>
  </si>
  <si>
    <t>2_RESIDENTIAL R2 SERVICE CLASSIFICATION_MSC</t>
  </si>
  <si>
    <t>2_RESIDENTIAL R2 SERVICE CLASSIFICATION_DVC</t>
  </si>
  <si>
    <t>2_RESIDENTIAL R2 SERVICE CLASSIFICATION_CBR</t>
  </si>
  <si>
    <t>2_RESIDENTIAL R2 SERVICE CLASSIFICATION_Retail Transmission Rate - Network Service Rate</t>
  </si>
  <si>
    <t>2_RESIDENTIAL R2 SERVICE CLASSIFICATION_Retail Transmission Rate - Line and Transformation Connection Service Rate</t>
  </si>
  <si>
    <t>2_RESIDENTIAL R2 SERVICE CLASSIFICATION_WMSR</t>
  </si>
  <si>
    <t>2_RESIDENTIAL R2 SERVICE CLASSIFICATION_RRRP</t>
  </si>
  <si>
    <t>2_RESIDENTIAL R2 SERVICE CLASSIFICATION_SSS</t>
  </si>
  <si>
    <t>SEASONAL CUSTOMERS SERVICE CLASSIFICATION</t>
  </si>
  <si>
    <t>3_SEASONAL CUSTOMERS SERVICE CLASSIFICATION</t>
  </si>
  <si>
    <t xml:space="preserve">This classification includes all services supplied to single-family dwelling units for domestic purposes, which are occupied on a seasonal/intermittent basis.  A service is defined as Seasonal if occupancy is for a period of less than eight months of the year.  Class B consumers are defined in accordance with O. Reg. 429. Further servicing details are available in the distributor’s Conditions of Service.
</t>
  </si>
  <si>
    <t>3_SEASONAL CUSTOMERS SERVICE CLASSIFICATION_MSC</t>
  </si>
  <si>
    <t>3_SEASONAL CUSTOMERS SERVICE CLASSIFICATION_SME</t>
  </si>
  <si>
    <t>3_SEASONAL CUSTOMERS SERVICE CLASSIFICATION_DVC</t>
  </si>
  <si>
    <t>3_SEASONAL CUSTOMERS SERVICE CLASSIFICATION_CBR</t>
  </si>
  <si>
    <t>3_SEASONAL CUSTOMERS SERVICE CLASSIFICATION_Retail Transmission Rate - Network Service Rate</t>
  </si>
  <si>
    <t>3_SEASONAL CUSTOMERS SERVICE CLASSIFICATION_Retail Transmission Rate - Line and Transformation Connection Service Rate</t>
  </si>
  <si>
    <t>3_SEASONAL CUSTOMERS SERVICE CLASSIFICATION_WMSR</t>
  </si>
  <si>
    <t>3_SEASONAL CUSTOMERS SERVICE CLASSIFICATION_RRRP</t>
  </si>
  <si>
    <t>3_SEASONAL CUSTOMERS SERVICE CLASSIFICATION_SSS</t>
  </si>
  <si>
    <t>4_STREET LIGHTING SERVICE CLASSIFICATION</t>
  </si>
  <si>
    <t xml:space="preserve">This classification refers to an account for roadway lighting.  The consumption for these unmetered accounts will be based on the calculated connection load times the calculated hours of use established in the approved Ontario Energy Board street lighting load shape template. Class B consumers are defined in accordance with O. Reg. 429. Further servicing details are available in the distributor’s Conditions of Service.
</t>
  </si>
  <si>
    <t>4_STREET LIGHTING SERVICE CLASSIFICATION_MSC</t>
  </si>
  <si>
    <t>4_STREET LIGHTING SERVICE CLASSIFICATION_DVC</t>
  </si>
  <si>
    <t>4_STREET LIGHTING SERVICE CLASSIFICATION_CBR</t>
  </si>
  <si>
    <t>4_STREET LIGHTING SERVICE CLASSIFICATION_DEFVAR_ALL</t>
  </si>
  <si>
    <t>4_STREET LIGHTING SERVICE CLASSIFICATION_Retail Transmission Rate - Network Service Rate</t>
  </si>
  <si>
    <t>4_STREET LIGHTING SERVICE CLASSIFICATION_Retail Transmission Rate - Line and Transformation Connection Service Rate</t>
  </si>
  <si>
    <t>4_STREET LIGHTING SERVICE CLASSIFICATION_WMSR</t>
  </si>
  <si>
    <t>4_STREET LIGHTING SERVICE CLASSIFICATION_RRRP</t>
  </si>
  <si>
    <t>4_STREET LIGHTING SERVICE CLASSIFICATION_SSS</t>
  </si>
  <si>
    <t>5_microFIT SERVICE CLASSIFICATION</t>
  </si>
  <si>
    <t>5_microFIT SERVICE CLASSIFICATION_MSC</t>
  </si>
  <si>
    <t>Algoma Power Inc._ALLOWANCES</t>
  </si>
  <si>
    <t>Algoma Power Inc._SSC</t>
  </si>
  <si>
    <t>Algoma Power Inc._CA</t>
  </si>
  <si>
    <t xml:space="preserve">Arrears certificate (credit reference) </t>
  </si>
  <si>
    <t>Notification charge</t>
  </si>
  <si>
    <t>Charge to certify cheque</t>
  </si>
  <si>
    <t>Algoma Power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</si>
  <si>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</si>
  <si>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</si>
  <si>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</si>
  <si>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</si>
  <si>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</si>
  <si>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Specific charge for access to the power poles - per pole/year </t>
  </si>
  <si>
    <t xml:space="preserve">Temporary service install &amp; remove - overhead - no transformer </t>
  </si>
  <si>
    <t>Temporary service install &amp; remove - underground - no transformer</t>
  </si>
  <si>
    <t>Temporary service install &amp; remove - overhead - with transformer</t>
  </si>
  <si>
    <t>Algoma Power Inc._RSC</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</si>
  <si>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</si>
  <si>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</si>
  <si>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Retail Service Charges refer to services provided by Algoma Power Inc. to retailers or customers related to the supply of competitive electricity and are defined in the 2006 Electricity Distribution Rate Handbook.</t>
  </si>
  <si>
    <t xml:space="preserve">      Up to twice a year</t>
  </si>
  <si>
    <t>Algoma Power Inc._LFs</t>
  </si>
  <si>
    <t>Total Loss Factor - Secondary Metered Customer</t>
  </si>
  <si>
    <t xml:space="preserve">Total Loss Factor - Primary Metered Customer </t>
  </si>
  <si>
    <t>Algoma Power Inc._End</t>
  </si>
  <si>
    <t>Burlington Hydro Inc._Start</t>
  </si>
  <si>
    <t>This classification applies to low voltage connection assets that operate at 750 volts or less and supply electrical energy to residential customers where such energy is used exclusively in separately metered living  accommodation. Customers shall be residing in single dwelling units that consist of a detached house or one unit of a semi-detached, duplex, triplex, or quadruplex house, with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</si>
  <si>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low voltage connection assets that operate at 750 volts or less and supply electricity to general service customers whose monthly average peak demand during a calendar year is less than, or forecast by BHI to be less than, 50 kW. Class B consumers are defined in accordance with O. Reg. 429/04. Further servicing details are available in the distributor’s Conditions of Service.</t>
  </si>
  <si>
    <t>This classification applies to general service customers with a monthly average peak demand during a calendar year equal to or greater than, or is forecast by Burlington Hydro Inc. to be equal to or greater than, 50 kW but less than 5,000 kW. Class A and Class B consumers are defined in accordance with O. Reg. 429/04. Further servicing details are available in the distributor’s Conditions of Service.</t>
  </si>
  <si>
    <t xml:space="preserve">Retail Transmission Rate - Line and Transformation Connection Service Rate - Interval Metered </t>
  </si>
  <si>
    <t>This classification applies to low voltage connection assets that operate at 750 volts or less and supply electricity to general service customers whose monthly average peak demand during a calendar year is less than, or forecast by Burlington Hydro Inc.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</si>
  <si>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4_UNMETERED SCATTERED LOAD SERVICE CLASSIFICATION_LRAM</t>
  </si>
  <si>
    <t>5_STREET LIGHTING SERVICE CLASSIFICATION</t>
  </si>
  <si>
    <t>This classification refers to roadway lighting customers such as the City of Burlington, the Regional Municipality of Halton, Ministry of Transportation and private roadway lighting, controlled by photo cells.  The daily consumption for these customers will be based on the calculated connected load times the required night time or lighting times established in the approved Ontario Energy Board street lighting load shape template. Class B consumers are defined in accordance with O. Reg. 429/04. Further servicing details are available in the distributor’s Conditions of Service.</t>
  </si>
  <si>
    <t>Service Charge (per device)</t>
  </si>
  <si>
    <t>5_STREET LIGHTING SERVICE CLASSIFICATION_MSC</t>
  </si>
  <si>
    <t>5_STREET LIGHTING SERVICE CLASSIFICATION_DVC</t>
  </si>
  <si>
    <t>5_STREET LIGHTING SERVICE CLASSIFICATION_GA_kwh</t>
  </si>
  <si>
    <t>5_STREET LIGHTING SERVICE CLASSIFICATION_DEFVAR_ALL</t>
  </si>
  <si>
    <t>5_STREET LIGHTING SERVICE CLASSIFICATION_LRAM</t>
  </si>
  <si>
    <t>5_STREET LIGHTING SERVICE CLASSIFICATION_CBR</t>
  </si>
  <si>
    <t>5_STREET LIGHTING SERVICE CLASSIFICATION_Retail Transmission Rate - Network Service Rate</t>
  </si>
  <si>
    <t>5_STREET LIGHTING SERVICE CLASSIFICATION_Retail Transmission Rate - Line Connection Service Rate</t>
  </si>
  <si>
    <t>5_STREET LIGHTING SERVICE CLASSIFICATION_WMSR</t>
  </si>
  <si>
    <t>5_STREET LIGHTING SERVICE CLASSIFICATION_RRRP</t>
  </si>
  <si>
    <t>5_STREET LIGHTING SERVICE CLASSIFICATION_SSS</t>
  </si>
  <si>
    <t>6_microFIT SERVICE CLASSIFICATION</t>
  </si>
  <si>
    <t>6_microFIT SERVICE CLASSIFICATION_MSC</t>
  </si>
  <si>
    <t>Burlington Hydro Inc._ALLOWANCES</t>
  </si>
  <si>
    <t>Burlington Hydro Inc._SSC</t>
  </si>
  <si>
    <t>Burlington Hydro Inc._CA</t>
  </si>
  <si>
    <t>Burlington Hydro Inc._NPoA</t>
  </si>
  <si>
    <t xml:space="preserve">Late Payment – per month (effective annual rate 19.56% per annum or 0.04896% compounded daily rate) </t>
  </si>
  <si>
    <t>Specific charge for wireline access to the power poles - $/pole/year</t>
  </si>
  <si>
    <t>(with the exception of wireless attachments)</t>
  </si>
  <si>
    <t>Burlington Hydro Inc._RSC</t>
  </si>
  <si>
    <t>Monthly Fixed Charge, per retailer</t>
  </si>
  <si>
    <t>Monthly Variable Charge, per customer, per retailer</t>
  </si>
  <si>
    <t>Burlington Hydro Inc._LFs</t>
  </si>
  <si>
    <t>Burlington Hydro Inc._End</t>
  </si>
  <si>
    <t>Cooperative Hydro Embrun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</si>
  <si>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</si>
  <si>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Ontario Energy Board, and amendments thereto as approved by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</si>
  <si>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</si>
  <si>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</si>
  <si>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</si>
  <si>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</si>
  <si>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</si>
  <si>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</si>
  <si>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5_STREET LIGHTING SERVICE CLASSIFICATION_LV</t>
  </si>
  <si>
    <t>5_STREET LIGHTING SERVICE CLASSIFICATION_Retail Transmission Rate - Line and Transformation Connection Service Rate</t>
  </si>
  <si>
    <t>Cooperative Hydro Embrun Inc._ALLOWANCES</t>
  </si>
  <si>
    <t>Cooperative Hydro Embrun Inc._SSC</t>
  </si>
  <si>
    <t>No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</si>
  <si>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Cooperative Hydro Embrun Inc._CA</t>
  </si>
  <si>
    <t>Credit check (plus credit agency costs)</t>
  </si>
  <si>
    <t>Cooperative Hydro Embrun Inc._NPoA</t>
  </si>
  <si>
    <t>Reconnection at pole - after hours</t>
  </si>
  <si>
    <t>Temporary service - installation and removal - overhead - no transformer</t>
  </si>
  <si>
    <t>Temporary service - installation and removal - underground - no transformer</t>
  </si>
  <si>
    <t>Temporary service - installation and removal - overhead - with transformer</t>
  </si>
  <si>
    <t>Specific charge for access to the power poles - per pole/year (with the exception of wireless attachments) - Approved on an Interim Basis</t>
  </si>
  <si>
    <t>Cooperative Hydro Embrun Inc._RSC</t>
  </si>
  <si>
    <t>Notice of switch letter charge, per letter (unless the distributor has opted out of applying the charge as per the 
      Ontario Energy Board's Decision and Order EB-2015-0304, issued on February 14, 2019)</t>
  </si>
  <si>
    <t>Cooperative Hydro Embrun Inc._LFs</t>
  </si>
  <si>
    <t>If the distributor is not capable of prorating changed loss factors jointly with distribution rates, the revised loss factors will be implemented upon 
      the first subsequent billing for each billing cycle.</t>
  </si>
  <si>
    <t>Cooperative Hydro Embrun Inc._End</t>
  </si>
  <si>
    <t>InnPower Corporation_Start</t>
  </si>
  <si>
    <t>This classification refers to the supply of electrical energy to residential customers residing in detached, semi detached, townhouse (freehold or condominium) dwelling units, duplexes or triplexes. Supply will be limited up to a maximum of 200 amp @ 240/120 volt. Further servicing details are available in the distributor's Conditions of Service.</t>
  </si>
  <si>
    <t>This classification refers to a non-residential account taking electricity at 750 volts or less whose monthly peak demand is less than or expected to be less than 50 kW. Further servicing details are available in the distributor's Conditions of Service.</t>
  </si>
  <si>
    <t>This classification refers to a non-residential account whose monthly average peak demand is equal to or greater than, or expected to be equal to or greater than 50 kW but less than 5,000 kW. Further servicing details are available in the distributor's Conditions of Service.</t>
  </si>
  <si>
    <t>4_EMBEDDED DISTRIBUTOR SERVICE CLASSIFICATION</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</si>
  <si>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</si>
  <si>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4_EMBEDDED DISTRIBUTOR SERVICE CLASSIFICATION_MSC</t>
  </si>
  <si>
    <t>4_EMBEDDED DISTRIBUTOR SERVICE CLASSIFICATION_DVC</t>
  </si>
  <si>
    <t>4_EMBEDDED DISTRIBUTOR SERVICE CLASSIFICATION_LV</t>
  </si>
  <si>
    <t>4_EMBEDDED DISTRIBUTOR SERVICE CLASSIFICATION_GA_kwh</t>
  </si>
  <si>
    <t>4_EMBEDDED DISTRIBUTOR SERVICE CLASSIFICATION_DEFVAR_ALL</t>
  </si>
  <si>
    <t>4_EMBEDDED DISTRIBUTOR SERVICE CLASSIFICATION_CBR</t>
  </si>
  <si>
    <t>4_EMBEDDED DISTRIBUTOR SERVICE CLASSIFICATION_Retail Transmission Rate - Network Service Rate</t>
  </si>
  <si>
    <t>4_EMBEDDED DISTRIBUTOR SERVICE CLASSIFICATION_Retail Transmission Rate - Line and Transformation Connection Service Rate</t>
  </si>
  <si>
    <t>4_EMBEDDED DISTRIBUTOR SERVICE CLASSIFICATION_WMSR</t>
  </si>
  <si>
    <t>4_EMBEDDED DISTRIBUTOR SERVICE CLASSIFICATION_RRRP</t>
  </si>
  <si>
    <t>4_EMBEDDED DISTRIBUTOR SERVICE CLASSIFICATION_SSS</t>
  </si>
  <si>
    <t>This classification refers to a non-residential account taking electricity at 240/120 or 120 volts whose monthly peak demand is less than, or expected to be less than, 50kW and the consumption is unmetered. A detailed calculation of the load will be calculated for billing purposes. Further servicing details are available in the distributor's Conditions of Service.</t>
  </si>
  <si>
    <t>5_UNMETERED SCATTERED LOAD SERVICE CLASSIFICATION_CBR</t>
  </si>
  <si>
    <t>This classification refers to accounts that are an unmetered lighting load supplied to a sentinel light. Further servicing details are available in the distributor's Conditions of Service.</t>
  </si>
  <si>
    <t>6_SENTINEL LIGHTING SERVICE CLASSIFICATION_GA_kwh</t>
  </si>
  <si>
    <t>6_SENTINEL LIGHTING SERVICE CLASSIFICATION_CBR</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</si>
  <si>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</si>
  <si>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t>
  </si>
  <si>
    <t>InnPower Corporation_ALLOWANCES</t>
  </si>
  <si>
    <t>InnPower Corporation_SSC</t>
  </si>
  <si>
    <t>InnPower Corporation_CA</t>
  </si>
  <si>
    <t>InnPower Corporation_NPoA</t>
  </si>
  <si>
    <t>Customer Initiated</t>
  </si>
  <si>
    <t>Specific charge for access to the power poles - per pole/year with the exception of wireless attachments</t>
  </si>
  <si>
    <t>InnPower Corporation_RSC</t>
  </si>
  <si>
    <t>InnPower Corporation_LFs</t>
  </si>
  <si>
    <t>InnPower Corporation_End</t>
  </si>
  <si>
    <t>Enova Power Corp.-Kitchener-Wilmot Hydro Rate Zone</t>
  </si>
  <si>
    <t>Enova Power Corp.-Kitchener-Wilmot Hydro Rate Zone_Start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</si>
  <si>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</si>
  <si>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</si>
  <si>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and General Service 1,000 to 4,999 kW interval metered.  Class A and Class B consumers are defined in accordance with O. Reg. 429/04. Further servicing details are available in the distributor's Conditions of Service.</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</si>
  <si>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</si>
  <si>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</si>
  <si>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</si>
  <si>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6_STREET LIGHTING SERVICE CLASSIFICATION_GA_kwh</t>
  </si>
  <si>
    <t>7_EMBEDDED DISTRIBUTOR SERVICE CLASSIFICATION</t>
  </si>
  <si>
    <t>This classification applies to an electricity distributor licensed by the Ontario Energy Board that is provided electricity by means of this distributor’s facilities. Further servicing details are available in the distributor’s Conditions of Service.</t>
  </si>
  <si>
    <t>Monthly Distribution Wheeling Service Rate - Dedicated LV Line</t>
  </si>
  <si>
    <t>7_EMBEDDED DISTRIBUTOR SERVICE CLASSIFICATION_DWSR</t>
  </si>
  <si>
    <t>7_EMBEDDED DISTRIBUTOR SERVICE CLASSIFICATION_DEFVAR_ALL</t>
  </si>
  <si>
    <t>7_EMBEDDED DISTRIBUTOR SERVICE CLASSIFICATION_Retail Transmission Rate - Network Service Rate</t>
  </si>
  <si>
    <t>7_EMBEDDED DISTRIBUTOR SERVICE CLASSIFICATION_Retail Transmission Rate - Line and Transformation Connection Service Rate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</si>
  <si>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</si>
  <si>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9_STANDBY POWER SERVICE CLASSIFICATION</t>
  </si>
  <si>
    <t>This classification applies to an account with load displacement facilities that contracts with the distributor to provide emergency standby power when its load displacement facilities are not in operation. The level of the billing demand will be agreed to by the distributor and the customer, based on detailed manufacturer information/documentation such as name-plate rating of the load displacement facility. Further servicing details are available in the distributor’s Conditions of Service.</t>
  </si>
  <si>
    <t>Standby Charge - for a month where standby power is not provided, the charge is based on the applicable General Service 50 to 4,999 kW or Large use Distribution Volumetric Charge applied to the contracted amount (e.g. nameplate rating of generation facility).</t>
  </si>
  <si>
    <t>Enova Power Corp._ALLOWANCES</t>
  </si>
  <si>
    <t>Enova Power Corp._SSC</t>
  </si>
  <si>
    <t>Enova Power Corp._CA</t>
  </si>
  <si>
    <t>Enova Power Corp._NPoA</t>
  </si>
  <si>
    <t>Meter removal without authorization</t>
  </si>
  <si>
    <t>Specific charge for access to the power poles - $/pole/year
(with the exception of wireless attachments)</t>
  </si>
  <si>
    <t>Enova Power Corp._RSC</t>
  </si>
  <si>
    <t>Notice of Switch letter charge, per letter (unless the distributor has opted out of applying the charge as per the Ontario Energy Board's Decision and Order EB-2015-0304, issued on February 14, 2019)</t>
  </si>
  <si>
    <t>Enova Power Corp._LFs</t>
  </si>
  <si>
    <t>Enova Power Corp.-Kitchener-Wilmot Hydro Rate Zone_End</t>
  </si>
  <si>
    <t>Enova Power Corp.-Waterloo North Rate Zone</t>
  </si>
  <si>
    <t>Enova Power Corp.-Waterloo North Rate Zone_Start</t>
  </si>
  <si>
    <t>Unless specifically noted, this schedule does not contain any charges for the electricity commodity, be it under the Regulated Price Plan, a contract with a retailer or the wholesale market price, as applicable.In addition, the charges in the MONTHLY RATES AND CHARGES - Regulatory Component of this schedule do not apply to a customer that is an embedded wholesale market participant.</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</si>
  <si>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</si>
  <si>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apply:General Service 50 to 999 kW non-interval metered; General Service 50 to 999 kW interval metered; and General Service 1,000 to 4,999 kW interval metered.</t>
  </si>
  <si>
    <t>Retail Transmission Rate - Network Service Rate - (less than 1,000 kW)</t>
  </si>
  <si>
    <t xml:space="preserve">Retail Transmission Rate - Network Service Rate - Interval Metered (less than 1,000 kW) </t>
  </si>
  <si>
    <t xml:space="preserve">Retail Transmission Rate - Network Service Rate - Interval Metered (1,000 to 4,999 kW) </t>
  </si>
  <si>
    <t>Retail Transmission Rate - Line and Trans. Connection Service Rate - Interval Metered 
      (1,000 to 4,999 kW) (see Gross Load Billing Note)</t>
  </si>
  <si>
    <t>GROSS LOAD BILLING NOTE</t>
  </si>
  <si>
    <t xml:space="preserve">The Billing Demand for Line and Transformation Connection Services is defined as the Non-Coincident Peak demand (MW) in any hour of the month. The customer demand in any hour is the sum of (a) the loss adjusted demand supplied from the distribution system plus (b) the demand that is supplied by embedded generation installed after October 30, 1998, which have installed capacity of 2 MW or more for renewable generation and 1 MW or higher for non-renewable generation. The term renewable generation refers to a facility that generates electricity from the following sources: wind, solar, Biomass, Bio-oil, Bio-gas, landfill gas, or water. The demand supplied by embedded generation will not be adjusted for loss. </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</si>
  <si>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</si>
  <si>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Retail Transmission Rate - Line and Transformation Connection Service Rate - Interval Metered 
      (see Gross Load Billing Note)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</si>
  <si>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</si>
  <si>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</si>
  <si>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7_EMBEDDED DISTRIBUTOR SERVICE CLASSIFICATION_DVC</t>
  </si>
  <si>
    <t>7_EMBEDDED DISTRIBUTOR SERVICE CLASSIFICATION_GA_kwh</t>
  </si>
  <si>
    <t>7_EMBEDDED DISTRIBUTOR SERVICE CLASSIFICATION_CBR</t>
  </si>
  <si>
    <t>7_EMBEDDED DISTRIBUTOR SERVICE CLASSIFICATION_WMSR</t>
  </si>
  <si>
    <t>7_EMBEDDED DISTRIBUTOR SERVICE CLASSIFICATION_RRRP</t>
  </si>
  <si>
    <t>7_EMBEDDED DISTRIBUTOR SERVICE CLASSIFICATION_SSS</t>
  </si>
  <si>
    <t xml:space="preserve">  Easement letter</t>
  </si>
  <si>
    <t xml:space="preserve">  Returned cheque (plus bank charges)</t>
  </si>
  <si>
    <t xml:space="preserve">  Duplicate invoices for previous billing</t>
  </si>
  <si>
    <t xml:space="preserve">  Income tax letter</t>
  </si>
  <si>
    <t xml:space="preserve">  Account set up charge / change of occupancy charge (plus credit agency costs if applicable)</t>
  </si>
  <si>
    <t xml:space="preserve">  Meter dispute charge plus Measurement Canada fees (if meter found correct)</t>
  </si>
  <si>
    <t xml:space="preserve"> Late payment - per month
 (effective annual rate 19.56% per annum or 0.04896% compounded daily rate)</t>
  </si>
  <si>
    <t>Specific charge for access to the power poles - $/pole/year 
(with the exception of wireless attachments)</t>
  </si>
  <si>
    <t>Owner Requested Disconnection/Reconnection at Meter – During Regular Hours</t>
  </si>
  <si>
    <t>Owner Requested Disconnection/Reconnection at Meter – After Regular Hours</t>
  </si>
  <si>
    <t>Owner Requested Disconnection/Reconnection at Pole/Transformer – During Regular Hours</t>
  </si>
  <si>
    <t>Owner Requested Disconnection/Reconnection at Pole/Transformer – After Regular Hours</t>
  </si>
  <si>
    <t>Retail Service Charges refer to services provided by a distributor to retailers or customers related to the supply of competitive electricity</t>
  </si>
  <si>
    <t xml:space="preserve">Request for customer information as outlined in Section 10.6.3 and Chapter 11 of the Retail </t>
  </si>
  <si>
    <t xml:space="preserve">Settlement Code directly to retailers and customers, if not delivered electronically through the </t>
  </si>
  <si>
    <t>Enova Power Corp.-Waterloo North Rate Zone_End</t>
  </si>
  <si>
    <t>Entegrus Powerlines Inc.-For Former St. Thomas Energy Rate Zone</t>
  </si>
  <si>
    <t>Entegrus Powerlines Inc.-For Former St. Thomas Energy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</si>
  <si>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</si>
  <si>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</si>
  <si>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</si>
  <si>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4_SENTINEL LIGHTING SERVICE CLASSIFICATION</t>
  </si>
  <si>
    <t>This classification refers to an account for individual lighting on private property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</si>
  <si>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4_SENTINEL LIGHTING SERVICE CLASSIFICATION_MSC</t>
  </si>
  <si>
    <t>4_SENTINEL LIGHTING SERVICE CLASSIFICATION_DVC</t>
  </si>
  <si>
    <t>4_SENTINEL LIGHTING SERVICE CLASSIFICATION_GA_kwh</t>
  </si>
  <si>
    <t>4_SENTINEL LIGHTING SERVICE CLASSIFICATION_DEFVAR_ALL</t>
  </si>
  <si>
    <t>4_SENTINEL LIGHTING SERVICE CLASSIFICATION_CBR</t>
  </si>
  <si>
    <t>4_SENTINEL LIGHTING SERVICE CLASSIFICATION_Retail Transmission Rate - Network Service Rate</t>
  </si>
  <si>
    <t>4_SENTINEL LIGHTING SERVICE CLASSIFICATION_Retail Transmission Rate - Line and Transformation Connection Service Rate</t>
  </si>
  <si>
    <t>4_SENTINEL LIGHTING SERVICE CLASSIFICATION_WMSR</t>
  </si>
  <si>
    <t>4_SENTINEL LIGHTING SERVICE CLASSIFICATION_RRRP</t>
  </si>
  <si>
    <t>4_SENTINEL LIGHTING SERVICE CLASSIFICATION_SSS</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</si>
  <si>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shape template.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</si>
  <si>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</si>
  <si>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Entegrus Powerlines Inc._ALLOWANCES</t>
  </si>
  <si>
    <t xml:space="preserve">Transformer Allowance for Ownership - per kW of billing demand/month  </t>
  </si>
  <si>
    <t>Entegrus Powerlines Inc._SSC</t>
  </si>
  <si>
    <t>Entegrus Powerlines Inc._CA</t>
  </si>
  <si>
    <t>Easement Letter</t>
  </si>
  <si>
    <t>Entegrus Powerlines Inc._NPoA</t>
  </si>
  <si>
    <t xml:space="preserve">Specific charge for access to the power poles - $/pole/year
(with the exception of wireless attachments) </t>
  </si>
  <si>
    <t>Disconnect/Reconnect at customer’s request - at meter during regular hours</t>
  </si>
  <si>
    <t>Entegrus Powerlines Inc._RSC</t>
  </si>
  <si>
    <t>Entegrus Powerlines Inc._LFs</t>
  </si>
  <si>
    <t>Entegrus Powerlines Inc.-For Former St. Thomas Energy Rate Zone_End</t>
  </si>
  <si>
    <t>ENWIN Utilities Ltd._Start</t>
  </si>
  <si>
    <t>A customer qualifies for residential rate classification if their service is a 120/240 V single-phase supply to a single family dwelling, duplex, triplex, 4-plex or 6-plex, townhome or multi-unit - individually metered apartment, located on a parcel of land zoned by the City of Windsor Building Department for domestic or household purposes and where the customer uses the dwelling as a home. Where a customer operates an advertised business from a building that may or may not be used as a dwelling, EnWin Utilities Ltd. may elect to deem that the customer’s rate class will be General Service.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</si>
  <si>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participant.</t>
  </si>
  <si>
    <t>A non-residential customer qualifies for a rate classification of General Service Less Than 50 kW if within the last 12 months its monthly average peak demand load has not exceeded 50 kW or for a new customer is not expected to exceed 50 kW. Class B consumers are defined in accordance with O. Reg. 429/04. Further servicing details are available in the distributor’s Conditions of Service.</t>
  </si>
  <si>
    <t>A non-residential customer qualifies for a rate classification of General Service 50 to 4,999 kW if within the last 12 months its monthly average peak demand load has equaled or exceeded 50 kW or for a new customer is expected to equal or exceed 50 kW but be less than 5,000 kW. Class A and Class B consumers are defined in accordance with O. Reg. 429/04. Further servicing details are available in the distributor’s Conditions of Service.</t>
  </si>
  <si>
    <t>Retail Transmission Rate - Line and Transformation Connection Service Rate (see Gross Load Billing Note)</t>
  </si>
  <si>
    <t>LARGE USE - REGULAR SERVICE CLASSIFICATION</t>
  </si>
  <si>
    <t>4_LARGE USE - REGULAR SERVICE CLASSIFICATION</t>
  </si>
  <si>
    <t>A customer is in the regular large use rate class when its monthly peak load, averaged over 12 consecutive months, is equal to or greater than 5,000 kW. The premises for this class of customer is predominantly used for large industrial or institutional purposes located on a parcel of land occupied by a single customer. Class A and Class B consumers are defined in accordance with O. Reg. 429/04. Further servicing details are available in the distributor’s Conditions of Service.</t>
  </si>
  <si>
    <t>4_LARGE USE - REGULAR SERVICE CLASSIFICATION_MSC</t>
  </si>
  <si>
    <t>4_LARGE USE - REGULAR SERVICE CLASSIFICATION_DVC</t>
  </si>
  <si>
    <t>4_LARGE USE - REGULAR SERVICE CLASSIFICATION_GA_kwh</t>
  </si>
  <si>
    <t>4_LARGE USE - REGULAR SERVICE CLASSIFICATION_DEFVAR_ALL</t>
  </si>
  <si>
    <t>4_LARGE USE - REGULAR SERVICE CLASSIFICATION_Retail Transmission Rate - Network Service Rate</t>
  </si>
  <si>
    <t>Retail Transmission Rate - Line Connection Service Rate (see Gross Load Billing Note)</t>
  </si>
  <si>
    <t>4_LARGE USE - REGULAR SERVICE CLASSIFICATION_Retail Transmission Rate - Line Connection Service Rate</t>
  </si>
  <si>
    <t>Retail Transmission Rate - Transformation Connection Service Rate  (see Gross Load Billing Note)</t>
  </si>
  <si>
    <t>4_LARGE USE - REGULAR SERVICE CLASSIFICATION_Retail Transmission Rate - Transformation Connection Service Rate</t>
  </si>
  <si>
    <t>4_LARGE USE - REGULAR SERVICE CLASSIFICATION_WMSR</t>
  </si>
  <si>
    <t>4_LARGE USE - REGULAR SERVICE CLASSIFICATION_RRRP</t>
  </si>
  <si>
    <t>4_LARGE USE - REGULAR SERVICE CLASSIFICATION_SSS</t>
  </si>
  <si>
    <t>DEDICATED TRANSFORMER STATION SERVICE CLASSIFICATION</t>
  </si>
  <si>
    <t>This classification applies to a customer whose premises is serviced by a dedicated Transformer Station.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</si>
  <si>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Class B consumers are defined in accordance with O. Reg. 429/04. Further servicing details are available in the distributor’s Conditions of Service.</t>
  </si>
  <si>
    <t>This classification refers to an account for exterior parkway lighting with various parties, controlled by photo cells. Class B consumers are defined in accordance with O. Reg. 429/04. Further servicing details are available in the distributor’s Conditions of Service.</t>
  </si>
  <si>
    <t>This classification refers to an account for roadway lighting with the City of Windsor, controlled by photo cells. The consumption for these customers will be based on the calculated load times the required lighting times established in the approved Ontario Energy Board street lighting load shape profile. Class B consumers are defined in accordance with O. Reg. 429/04. Further servicing details are available in the distributor’s Conditions of Service.</t>
  </si>
  <si>
    <t>ENWIN Utilities Ltd._ALLOWANCES</t>
  </si>
  <si>
    <t>ENWIN Utilities Ltd._SSC</t>
  </si>
  <si>
    <t>ENWIN Utilities Ltd._CA</t>
  </si>
  <si>
    <t>Dispute test - residential</t>
  </si>
  <si>
    <t>Dispute test - commercial self contained -- MC</t>
  </si>
  <si>
    <t>Dispute test - commercial TT -- MC</t>
  </si>
  <si>
    <t>Cellular meter reading charge</t>
  </si>
  <si>
    <t xml:space="preserve">Non-Payment of Account </t>
  </si>
  <si>
    <t>Late payment - per month (effective annual rate 19.56% per annum or 0.04896% compounded daily rate)</t>
  </si>
  <si>
    <t>Service layout - residential</t>
  </si>
  <si>
    <t>Service layout - commercial</t>
  </si>
  <si>
    <t>Overtime locate</t>
  </si>
  <si>
    <t>Disposal of concrete poles</t>
  </si>
  <si>
    <t>Missed service appointment</t>
  </si>
  <si>
    <t>Same day open trench</t>
  </si>
  <si>
    <t>Scheduled day open trench</t>
  </si>
  <si>
    <t>Specific charge for access to the power poles - $/pole/year</t>
  </si>
  <si>
    <t xml:space="preserve"> (with the exception of wireless attachments)</t>
  </si>
  <si>
    <t>ENWIN Utilities Ltd._RSC</t>
  </si>
  <si>
    <t>ENWIN Utilities Ltd._LFs</t>
  </si>
  <si>
    <t>ENWIN Utilities Ltd._End</t>
  </si>
  <si>
    <t>Festival Hydro Inc._Start</t>
  </si>
  <si>
    <t>A customer is classed as residential when all the following conditions are met:</t>
  </si>
  <si>
    <t>(a) the property is zoned strictly residential by the local municipality,</t>
  </si>
  <si>
    <t>(b) the account is created and maintained in the customer’s name,</t>
  </si>
  <si>
    <t>(c) the building is used for dwelling purposes.</t>
  </si>
  <si>
    <t>Exceptions may be made for properties zoned for farming use, under the following conditions:</t>
  </si>
  <si>
    <t>(a) the principal use of the service is for the residence,</t>
  </si>
  <si>
    <t>(b) the service size is 200 amperes or less, and the service is 120/240 volt single phase.</t>
  </si>
  <si>
    <t>Class B consumers are defined in accordance with O. Reg. 429/04.  Further servicing details are available in the distributor’s Conditions of Service.</t>
  </si>
  <si>
    <t>This classification refers to a non residential account whose peak demand is less than 50 kW based on the process for and frequency for reclassification as outlined in Section 2.5 of the Distribution System Code. For a new customer without prior billing history, the kW peak demand will be estimated by Festival Hydro Inc. to determine the proper rate classification. Customers who are classed as General Service but consider themselves eligible to be classed as Residential must provide Festival Hydro Inc. with a copy of their tax assessment, which clearly demonstrates the zoning is for residential use only. Class B consumers are defined in accordance with O. Reg. 429/04. Further servicing details are available the distributor’s  Conditions of Service.</t>
  </si>
  <si>
    <t>This classification refers to a non residential account whose peak demand is equal to or greater than 50 kW but less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</si>
  <si>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This classification refers to non-residential accounts whose monthly peak demand is equal to or greater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</si>
  <si>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4_LARGE USE SERVICE CLASSIFICATION_GA_kwh</t>
  </si>
  <si>
    <t>This classification applies to an account whose average monthly maximum demand is less than, or is forecast to be less than, 50 kW and the consumption is unmetered. Such connections include cable TV power packs, bus shelters, telephone booths, traffic lights, pedestrian cross-walk signals/beacons,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</si>
  <si>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</si>
  <si>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If connected to the municipal or the Province of Ontario street lighting system, decorative lighting and tree lighting services will be treated as a Street Lighting class of service. Decorative or tree lighting connected to Festival Hydro Inc.’s distribution system will be treated as a General Service Less Than 50 kW class customers. Class B consumers are defined in accordance with O. Reg. 429/04. Further servicing details are available in the distributor’s Conditions of Service.</t>
  </si>
  <si>
    <t>Service Charge (per light)</t>
  </si>
  <si>
    <t>Festival Hydro Inc._ALLOWANCES</t>
  </si>
  <si>
    <t>Festival Hydro Inc._SSC</t>
  </si>
  <si>
    <t>Festival Hydro Inc._CA</t>
  </si>
  <si>
    <t>Festival Hydro Inc._NPoA</t>
  </si>
  <si>
    <t>Late payment - per month</t>
  </si>
  <si>
    <t>(effective annual rate 19.56% per annum or 0.04896% compounded daily rate)</t>
  </si>
  <si>
    <t>Temporary service install &amp; remove - overhead - no transformer</t>
  </si>
  <si>
    <t xml:space="preserve"> Time &amp; materials</t>
  </si>
  <si>
    <t>Festival Hydro Inc._RSC</t>
  </si>
  <si>
    <t>Festival Hydro Inc._LFs</t>
  </si>
  <si>
    <t>Festival Hydro Inc._End</t>
  </si>
  <si>
    <t>Elexicon Energy Inc.-Veridian Rate Zone</t>
  </si>
  <si>
    <t>Elexicon Energy Inc.-Veridian Rate Zone_Start</t>
  </si>
  <si>
    <t>All residential customers with kilowatt-hour meters shall be deemed to have a demand of 50kW or less. This customer classification included single family homes, street townhouses, multiplexes, and block townhouses.  This classification applies to a customer's main place of abode and may include additional buildings served through the same meter, provided they are not rental income units. To be classified as Residential, the customer must represent and warrant that the premise is designated as his/her principal residence or, in the case of a rented premise, that the premise is the principal residence of the rental occupant.                                                                                                                                                                                                                         
A principal residence is defined as meeting the following criteria:
a. The occupant must live in this residence for at least 8 months of the year.
b.  The address of this residence must appear on the occupant's electric bill, driver's license, credit card invoice, property tax bill, etc.
c.  Occupants who are eligible to vote in Provincial or Federal elections must be enumerated for this purpose at the address of this residence.
Class B consumers are defined in accordance with O. Reg. 429/04.  Further servicing details are available in the distributor's Conditions of Service.</t>
  </si>
  <si>
    <t>Rate Rider for Recovery of Z Factor - Capital Cost - effective until the effective date of the next cost of service-based rate order.</t>
  </si>
  <si>
    <t>Rate Rider for Recovery of Incremental Capital - effective until the effective date of the next cost of service
      based rate order</t>
  </si>
  <si>
    <t>SEASONAL RESIDENTIAL SERVICE CLASSIFICATION</t>
  </si>
  <si>
    <t>2_SEASONAL RESIDENTIAL SERVICE CLASSIFICATION</t>
  </si>
  <si>
    <t>This classification is defined as any residential service not meeting the Residential Service Classification criteria. It includes such dwellings as cottages, chalets, and camps.  Class B consumers are defined in accordance with O. Reg. 429/04.  Further servicing details are available in the distributor's Conditions of Service.</t>
  </si>
  <si>
    <t>2_SEASONAL RESIDENTIAL SERVICE CLASSIFICATION_MSC</t>
  </si>
  <si>
    <t>2_SEASONAL RESIDENTIAL SERVICE CLASSIFICATION_SME</t>
  </si>
  <si>
    <t>2_SEASONAL RESIDENTIAL SERVICE CLASSIFICATION_LV</t>
  </si>
  <si>
    <t>2_SEASONAL RESIDENTIAL SERVICE CLASSIFICATION_Retail Transmission Rate - Network Service Rate</t>
  </si>
  <si>
    <t>2_SEASONAL RESIDENTIAL SERVICE CLASSIFICATION_Retail Transmission Rate - Line and Transformation Connection Service Rate</t>
  </si>
  <si>
    <t>2_SEASONAL RESIDENTIAL SERVICE CLASSIFICATION_WMSR</t>
  </si>
  <si>
    <t>2_SEASONAL RESIDENTIAL SERVICE CLASSIFICATION_RRRP</t>
  </si>
  <si>
    <t>2_SEASONAL RESIDENTIAL SERVICE CLASSIFICATION_SSS</t>
  </si>
  <si>
    <t>3_GENERAL SERVICE LESS THAN 50 KW SERVICE CLASSIFICATION</t>
  </si>
  <si>
    <t>This classification applies to a non residential account whose average monthly maximum demand is less than, or is forecast to be less than 50kW.  Class B consumers are defined in accordance with O. Reg. 429/04. Further servicing details are available in the distributor's Condition of Service.</t>
  </si>
  <si>
    <t>3_GENERAL SERVICE LESS THAN 50 KW SERVICE CLASSIFICATION_MSC</t>
  </si>
  <si>
    <t>Rate Rider for Recovery of Incremental Capital - effective until the effective date of the next cost of service 
      based rate order</t>
  </si>
  <si>
    <t>3_GENERAL SERVICE LESS THAN 50 KW SERVICE CLASSIFICATION_SME</t>
  </si>
  <si>
    <t>3_GENERAL SERVICE LESS THAN 50 KW SERVICE CLASSIFICATION_DVC</t>
  </si>
  <si>
    <t>3_GENERAL SERVICE LESS THAN 50 KW SERVICE CLASSIFICATION_LV</t>
  </si>
  <si>
    <t>3_GENERAL SERVICE LESS THAN 50 KW SERVICE CLASSIFICATION_GA_kwh</t>
  </si>
  <si>
    <t>3_GENERAL SERVICE LESS THAN 50 KW SERVICE CLASSIFICATION_DEFVAR_ALL</t>
  </si>
  <si>
    <t>3_GENERAL SERVICE LESS THAN 50 KW SERVICE CLASSIFICATION_CBR</t>
  </si>
  <si>
    <t>3_GENERAL SERVICE LESS THAN 50 KW SERVICE CLASSIFICATION_Retail Transmission Rate - Network Service Rate</t>
  </si>
  <si>
    <t>3_GENERAL SERVICE LESS THAN 50 KW SERVICE CLASSIFICATION_Retail Transmission Rate - Line and Transformation Connection Service Rate</t>
  </si>
  <si>
    <t>3_GENERAL SERVICE LESS THAN 50 KW SERVICE CLASSIFICATION_WMSR</t>
  </si>
  <si>
    <t>3_GENERAL SERVICE LESS THAN 50 KW SERVICE CLASSIFICATION_RRRP</t>
  </si>
  <si>
    <t>3_GENERAL SERVICE LESS THAN 50 KW SERVICE CLASSIFICATION_SSS</t>
  </si>
  <si>
    <t>GENERAL SERVICE 50 TO 2,999 KW SERVICE CLASSIFICATION</t>
  </si>
  <si>
    <t>4_GENERAL SERVICE 50 TO 2,999 KW SERVICE CLASSIFICATION</t>
  </si>
  <si>
    <t>This classification applies to a non residential account whose average monthly maximum demand used for billing purposes is equal to or greater than, or is forecast to be equal to or greater than, 50kW but less than 3,000 kW.  
Class A and Class B customers are defined in accordance with O.Reg.429/04.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</si>
  <si>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</si>
  <si>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4_GENERAL SERVICE 50 TO 2,999 KW SERVICE CLASSIFICATION_MSC</t>
  </si>
  <si>
    <t>4_GENERAL SERVICE 50 TO 2,999 KW SERVICE CLASSIFICATION_DVC</t>
  </si>
  <si>
    <t>4_GENERAL SERVICE 50 TO 2,999 KW SERVICE CLASSIFICATION_LV</t>
  </si>
  <si>
    <t>4_GENERAL SERVICE 50 TO 2,999 KW SERVICE CLASSIFICATION_Retail Transmission Rate - Network Service Rate</t>
  </si>
  <si>
    <t>4_GENERAL SERVICE 50 TO 2,999 KW SERVICE CLASSIFICATION_Retail Transmission Rate - Line and Transformation Connection Service Rate</t>
  </si>
  <si>
    <t>4_GENERAL SERVICE 50 TO 2,999 KW SERVICE CLASSIFICATION_WMSR</t>
  </si>
  <si>
    <t>4_GENERAL SERVICE 50 TO 2,999 KW SERVICE CLASSIFICATION_RRRP</t>
  </si>
  <si>
    <t>4_GENERAL SERVICE 50 TO 2,999 KW SERVICE CLASSIFICATION_SSS</t>
  </si>
  <si>
    <t>GENERAL SERVICE 3,000 TO 4,999 KW SERVICE CLASSIFICATION</t>
  </si>
  <si>
    <t>5_GENERAL SERVICE 3,000 TO 4,999 KW SERVICE CLASSIFICATION</t>
  </si>
  <si>
    <t>This classification applies to a non residential account whose average peak demand used for billing purposes over the past twelve months is equal to or greater than, or forecast to be equal to or greater than, 3,000 kW but less than 5,000 kW. Class A and Class B customers are defined in accordance with O.Reg.429/04. Further servicing details are available in the distributor's Conditions of Service.</t>
  </si>
  <si>
    <t>5_GENERAL SERVICE 3,000 TO 4,999 KW SERVICE CLASSIFICATION_MSC</t>
  </si>
  <si>
    <t>5_GENERAL SERVICE 3,000 TO 4,999 KW SERVICE CLASSIFICATION_DVC</t>
  </si>
  <si>
    <t>5_GENERAL SERVICE 3,000 TO 4,999 KW SERVICE CLASSIFICATION_LV</t>
  </si>
  <si>
    <t>5_GENERAL SERVICE 3,000 TO 4,999 KW SERVICE CLASSIFICATION_Retail Transmission Rate - Network Service Rate</t>
  </si>
  <si>
    <t>5_GENERAL SERVICE 3,000 TO 4,999 KW SERVICE CLASSIFICATION_Retail Transmission Rate - Line and Transformation Connection Service Rate</t>
  </si>
  <si>
    <t>5_GENERAL SERVICE 3,000 TO 4,999 KW SERVICE CLASSIFICATION_WMSR</t>
  </si>
  <si>
    <t>5_GENERAL SERVICE 3,000 TO 4,999 KW SERVICE CLASSIFICATION_RRRP</t>
  </si>
  <si>
    <t>5_GENERAL SERVICE 3,000 TO 4,999 KW SERVICE CLASSIFICATION_SSS</t>
  </si>
  <si>
    <t>6_LARGE USE SERVICE CLASSIFICATION</t>
  </si>
  <si>
    <t xml:space="preserve">This classification applies to an account whose average monthly maximum demand used for billing purposes is greater than, or is forecast to be greater than, 5,000 kW. Class A and Class B customers are defined in accordance with O.Reg.429/04. Further servicing details are available in the distributor's Conditions of Service.  </t>
  </si>
  <si>
    <t>6_LARGE USE SERVICE CLASSIFICATION_MSC</t>
  </si>
  <si>
    <t>6_LARGE USE SERVICE CLASSIFICATION_DVC</t>
  </si>
  <si>
    <t>6_LARGE USE SERVICE CLASSIFICATION_LV</t>
  </si>
  <si>
    <t>6_LARGE USE SERVICE CLASSIFICATION_DEFVAR_ALL</t>
  </si>
  <si>
    <t>6_LARGE USE SERVICE CLASSIFICATION_Retail Transmission Rate - Network Service Rate</t>
  </si>
  <si>
    <t>6_LARGE USE SERVICE CLASSIFICATION_Retail Transmission Rate - Line and Transformation Connection Service Rate</t>
  </si>
  <si>
    <t>6_LARGE USE SERVICE CLASSIFICATION_WMSR</t>
  </si>
  <si>
    <t>6_LARGE USE SERVICE CLASSIFICATION_RRRP</t>
  </si>
  <si>
    <t>6_LARGE USE SERVICE CLASSIFICATION_SSS</t>
  </si>
  <si>
    <t>In general, all services will be metered.  However, certain types of electrical loads are not practical to meter, or the cost of metering represents an inordinate expense to both the Customer and Elexicon Energy.  Such connections include cable TV power packs, bus shelters, telephone booths, traffic lights, railway crossings, etc.  These situations can be managed through a controlled connection and a pre-defined basis for estimating consumption. Class B consumers are defined in accordance with O. Reg. 429/04. Further servicing details are available in the distributor's Conditions of Service.</t>
  </si>
  <si>
    <t>Sentinel lights (dusk-to-dawn) connected to unmetered wires will have a flat rate monthly energy charge added to the regular customer bill. Class B consumers are defined in accordance with O. Reg. 429/04. Further servicing details are available in the distributor's Conditions of Service.</t>
  </si>
  <si>
    <t>All services supplied to street or roadway lighting equipment owned by or operated for a municipality or the Province of Ontario shall be classified as Street Lighting Service.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</si>
  <si>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</si>
  <si>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Elexicon Energy Inc._ALLOWANCES</t>
  </si>
  <si>
    <t>Elexicon Energy Inc._SSC</t>
  </si>
  <si>
    <t>Elexicon Energy Inc._CA</t>
  </si>
  <si>
    <t>Elexicon Energy Inc._NPoA</t>
  </si>
  <si>
    <t>Customer substation isolation - after hours</t>
  </si>
  <si>
    <t>Elexicon Energy Inc._RSC</t>
  </si>
  <si>
    <t>Elexicon Energy Inc._LFs</t>
  </si>
  <si>
    <t>Elexicon Energy Inc.-Veridian Rate Zone_End</t>
  </si>
  <si>
    <t>Elexicon Energy Inc.-Whitby Rate Zone</t>
  </si>
  <si>
    <t>Elexicon Energy Inc.-Whitby Rate Zone_Start</t>
  </si>
  <si>
    <t>This classification refers to detached, semi-detached or freehold townhouse dwelling units. Energy is supplied to
residential customers as single phase, three wire, 60 Hertz, having a normal voltage of 120/240 Volts up to a
maximum of 200 Amps per dwelling unit. Class B consumers are defined in accordance with O. Reg. 429/04. Further servicing details are available in the distributor’s Conditions of Service.</t>
  </si>
  <si>
    <t>1_RESIDENTIAL SERVICE CLASSIFICATION_STS</t>
  </si>
  <si>
    <t>This classification applies to a non residential account whose average monthly maximum demand is less than, or is forecast to be less than, 50 kW, shall include small apartment buildings and smaller commercial, industrial, and institutional developments.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</si>
  <si>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</si>
  <si>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Rate Rider for Disposition of Lost Revenue Adjustment Mechanism Variance Account (LRAMVA) (2023) 
   - Effective until December 31, 2025</t>
  </si>
  <si>
    <t>2_GENERAL SERVICE LESS THAN 50 KW SERVICE CLASSIFICATION_STS</t>
  </si>
  <si>
    <t>This classification applies to a non residential account whose average monthly maximum demand used for billing purposes is equal to or greater than, or is forecast to be equal to or greater than, 50 kW but less than 5,000 kW and includes apartment buildings, and commercial, industrial, and institutional developments.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</si>
  <si>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</si>
  <si>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3_GENERAL SERVICE 50 to 4,999 kW SERVICE CLASSIFICATION_STS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</si>
  <si>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lighting, bill 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</si>
  <si>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4_UNMETERED SCATTERED LOAD SERVICE CLASSIFICATION_STS</t>
  </si>
  <si>
    <t>5_SENTINEL LIGHTING SERVICE CLASSIFICATION_STS</t>
  </si>
  <si>
    <t>This classification relates to the supply of power for street lighting installations. Street lighting design and installations shall be in accordance with the requirements of Elexicon Energy, Town of Whitby specifications and ESA. The Town of Whitby retains ownership of the street lighting system on municipal roadways. Class B consumers are defined in accordance with O. Reg. 429/04. Further servicing details are available in the distributor’s Conditions of Service.</t>
  </si>
  <si>
    <t>6_STREET LIGHTING SERVICE CLASSIFICATION_LRAM</t>
  </si>
  <si>
    <t>6_STREET LIGHTING SERVICE CLASSIFICATION_STS</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</si>
  <si>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</si>
  <si>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Returned Cheque (plus bank charges)</t>
  </si>
  <si>
    <t>Reconnection charge - at meter - during regular hours</t>
  </si>
  <si>
    <t>Reconnection charge - at meter - after regular hours</t>
  </si>
  <si>
    <t>Reconnection charge - at pole - during regular hours</t>
  </si>
  <si>
    <t>Reconnection charge - at pole - after regular hours</t>
  </si>
  <si>
    <t xml:space="preserve">Other </t>
  </si>
  <si>
    <t>Temporary service - install &amp; remove - underground - no transformer</t>
  </si>
  <si>
    <t>It should be noted that this schedule does not list any charges, assessments, or credits that are required by law to be invoiced by a distributor and that are not subject to Ontario Energy Board approval, such as the Global Adjustment  and the HST.</t>
  </si>
  <si>
    <t xml:space="preserve">Notice of switch letter charge, per letter (unless the distributor has opted out of applying for the charge as per the Ontario Energy Board's Decision and Order EB-2015-0304, issued on February 14, 2019) </t>
  </si>
  <si>
    <t>Elexicon Energy Inc.-Whitby Rate Zone_End</t>
  </si>
  <si>
    <t>Grimsby Power Incorporated_Start</t>
  </si>
  <si>
    <t>This class refers to the supply of electricity to residential customers residing in detached or semi-detached dwelling units, as defined in the local zoning by-law.  Residential Service means a service which is less than 50 kW supplied to single-family dwelling units that is for domestic or household purposes, including seasonal occupancy.  At Grimsby Power's discretion, residential rates may be applied to apartment buildings with 6 or less units by simple application of the residential rate or by blocking the residential rate by the number of units.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</si>
  <si>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</si>
  <si>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</si>
  <si>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16 in the distributor’s Conditions of Service.</t>
  </si>
  <si>
    <t>This classification applies to electricity consumption that is not metered and is billed based on estimated usage.  Such connections include street lighting equipment not owned by or operated for a municipality or the Province of Ontario, traffic signals and other small services etc.  Class A and Class B consumers are defined in accordance with O. Reg. 429/04. Further servicing details are available in the distributor’s Conditions of Service.</t>
  </si>
  <si>
    <t>4_UNMETERED SCATTERED LOAD SERVICE CLASSIFICATION_GA_kwh</t>
  </si>
  <si>
    <t>All services to street lighting equipment owned by or operated for a municipality or the Province of Ontario shall be classified as Street Lighting Service.  Consumption is as per the Ontario Energy Board's street lighting load shape. Class A and Class B consumers are defined in accordance with O. Reg. 429/04. Further servicing details are available in the distributor’s Conditions of Service.</t>
  </si>
  <si>
    <t>5_STREET LIGHTING SERVICE CLASSIFICATION_STS</t>
  </si>
  <si>
    <t>6_EMBEDDED DISTRIBUTOR SERVICE CLASSIFICATION</t>
  </si>
  <si>
    <t>This classification applies to Niagara Peninsula Energy Inc. an electricity distributor licensed by the Ontario Energy Board, that is provided electricity by means of this distributor's facilities.  Further servicing details are available in
the distributor’s Conditions of Service.</t>
  </si>
  <si>
    <t>6_EMBEDDED DISTRIBUTOR SERVICE CLASSIFICATION_MSC</t>
  </si>
  <si>
    <t>6_EMBEDDED DISTRIBUTOR SERVICE CLASSIFICATION_DVC</t>
  </si>
  <si>
    <t>6_EMBEDDED DISTRIBUTOR SERVICE CLASSIFICATION_DEFVAR_ALL</t>
  </si>
  <si>
    <t>6_EMBEDDED DISTRIBUTOR SERVICE CLASSIFICATION_STS</t>
  </si>
  <si>
    <t>6_EMBEDDED DISTRIBUTOR SERVICE CLASSIFICATION_Retail Transmission Rate - Network Service Rate</t>
  </si>
  <si>
    <t>6_EMBEDDED DISTRIBUTOR SERVICE CLASSIFICATION_Retail Transmission Rate - Line and Transformation Connection Service Rate</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</si>
  <si>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</si>
  <si>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Grimsby Power Incorporated_ALLOWANCES</t>
  </si>
  <si>
    <t>Grimsby Power Incorporated_SSC</t>
  </si>
  <si>
    <t>Grimsby Power Incorporated_CA</t>
  </si>
  <si>
    <t xml:space="preserve">     Pulling post dated cheques</t>
  </si>
  <si>
    <t xml:space="preserve">     Credit reference/credit check (plus credit agency costs)</t>
  </si>
  <si>
    <t xml:space="preserve">     Interval meter interrogation</t>
  </si>
  <si>
    <t>Grimsby Power Incorporated_NPoA</t>
  </si>
  <si>
    <t xml:space="preserve">     Late payment - per month
     (effective annual rate 19.56% per annum or 0.04896% compounded daily rate)</t>
  </si>
  <si>
    <t xml:space="preserve">     Reconnection charge - at meter - during regular hours</t>
  </si>
  <si>
    <t xml:space="preserve">     Reconnection charge - at meter - after regular hours</t>
  </si>
  <si>
    <t xml:space="preserve">     Reconnection charge - at pole - during regular hours</t>
  </si>
  <si>
    <t xml:space="preserve">     Reconnection charge - at pole - after regular hours</t>
  </si>
  <si>
    <t xml:space="preserve">     Service call - customer-owned equipment</t>
  </si>
  <si>
    <t xml:space="preserve">     Service call - customer-owned equipment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</si>
  <si>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</si>
  <si>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</si>
  <si>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</si>
  <si>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Grimsby Power Incorporated_RSC</t>
  </si>
  <si>
    <t>It should be noted that this schedule does not list any charges, assessments or credits that are required by law to be invoiced by a distributor and that are not subject to Ontario Energy Board approval, such as  the Global Adjustment and the HST.</t>
  </si>
  <si>
    <t>Grimsby Power Incorporated_LFs</t>
  </si>
  <si>
    <t>Grimsby Power Incorporated_End</t>
  </si>
  <si>
    <t>Hydro One Networks Inc.-Former Orillia Power Distribution Corporation Service Area</t>
  </si>
  <si>
    <t>Hydro One Networks Inc.-Former Orillia Power Distribution Corporation Service Area_Start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</si>
  <si>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</si>
  <si>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Smart Meter Incremental Revenue Requirement - in effect until the effective date of the
    next cost of service-based rate order</t>
  </si>
  <si>
    <t>Rate Rider for Hydro One Networks' Acquisition Agreement - effective and implementation 
    September 1, 2020 and in effect until August 31, 2025</t>
  </si>
  <si>
    <t>This classification refers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</si>
  <si>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O.Reg.429/04.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</si>
  <si>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</si>
  <si>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</si>
  <si>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</si>
  <si>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account with load displacement facilities that contracts with the distributor to provide emergency standby power when its load displacement facilities are not in operation. The level of billing demand will be agreed to by the distributor and the customer, based on detailed manufacturer information/documentation such as nameplate rating of the load displacement facility. Further servicing details are available in the distributor’s Conditions of Service.</t>
  </si>
  <si>
    <t>MONTHLY RATES AND CHARGES - Delivery Component - APPROVED ON AN INTERIM BASIS</t>
  </si>
  <si>
    <t>Distribution Volumetric Rate - $/kW of contracted amount</t>
  </si>
  <si>
    <t>7_STANDBY POWER SERVICE CLASSIFICATION_DVC</t>
  </si>
  <si>
    <t>Hydro One Networks Inc._ALLOWANCES</t>
  </si>
  <si>
    <t>Hydro One Networks Inc._SSC</t>
  </si>
  <si>
    <t>Hydro One Networks Inc._CA</t>
  </si>
  <si>
    <t>Easement letter - letter request</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</si>
  <si>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</si>
  <si>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</si>
  <si>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</si>
  <si>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</si>
  <si>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</si>
  <si>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Hydro One Networks Inc._NPoA</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</si>
  <si>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</si>
  <si>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</si>
  <si>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</si>
  <si>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</si>
  <si>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</si>
  <si>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Service call - customer owned equipment - during regular hours</t>
  </si>
  <si>
    <t>210.00*</t>
  </si>
  <si>
    <t>Service call - customer owned equipment - after regular hours</t>
  </si>
  <si>
    <t>775.00*</t>
  </si>
  <si>
    <t>Actual Costs</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</si>
  <si>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</si>
  <si>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</si>
  <si>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</si>
  <si>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</si>
  <si>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</si>
  <si>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</si>
  <si>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</si>
  <si>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 xml:space="preserve">4,965.66 plus Railway Feedthrough costs </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</si>
  <si>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</si>
  <si>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</si>
  <si>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</si>
  <si>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</si>
  <si>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</si>
  <si>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</si>
  <si>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</si>
  <si>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</si>
  <si>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</si>
  <si>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</si>
  <si>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</si>
  <si>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</si>
  <si>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</si>
  <si>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</si>
  <si>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</si>
  <si>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</si>
  <si>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</si>
  <si>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</si>
  <si>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</si>
  <si>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</si>
  <si>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</si>
  <si>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</si>
  <si>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</si>
  <si>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</si>
  <si>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</si>
  <si>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</si>
  <si>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</si>
  <si>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</si>
  <si>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</si>
  <si>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</si>
  <si>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</si>
  <si>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</si>
  <si>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</si>
  <si>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</si>
  <si>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</si>
  <si>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</si>
  <si>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</si>
  <si>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</si>
  <si>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</si>
  <si>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</si>
  <si>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</si>
  <si>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</si>
  <si>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</si>
  <si>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Hydro One Networks Inc._RSC</t>
  </si>
  <si>
    <t>Hydro One Networks Inc._LFs</t>
  </si>
  <si>
    <t>Hydro One Networks Inc.-Former Orillia Power Distribution Corporation Service Area_End</t>
  </si>
  <si>
    <t>Hydro One Networks Inc.-Former Peterborough Distribution Inc. Service Area</t>
  </si>
  <si>
    <t>Hydro One Networks Inc.-Former Peterborough Distribution Inc. Service Area_Start</t>
  </si>
  <si>
    <t>Residential class customers are defined as single-family dwelling units for domestic or household purposes. Semi-detached and row town-housing will be considered residential class if each individual unit is located on its own registered freehold lot fronting on the public road allowance. Each unit must have its own individual service connection from the road allowance and each main service disconnect is assessable from the unit which it supplies. All other developments are considered to be in the General Service class. Further servicing details are available in the distributor's Conditions of Service.</t>
  </si>
  <si>
    <t>Rate Rider for Hydro One Networks' Acquisition Agreement - in effect until July 31, 2025</t>
  </si>
  <si>
    <t>This classification applies to a non residential account taking electricity at 750 volts or less whose average monthly maximum demand is less than, or is forecast to be less than, 50 kW. General Service class customers are defined as all buildings not classified as residential. A customer must remain in its customer class for a minimum of twelve (12) months before being reassigned to another class. Further servicing details are available in the distributor's Conditions of Service.</t>
  </si>
  <si>
    <t>This classification applies to all buildings not classified as residential and having a service connection capable of load delivery equal to or above 50 kW or having an average monthly peak demand equal to or greater than 50 kW over a twelve month period, but less than 5,000 kW. A customer must remain in its customer class for a minimum of twelve (12) months before being reassigned to another class. Customers who require service connections above 1,000 kVA must supply and own the primary conductors, switchgear and their own transformation above the maximum supplied by 1937680 Ontario Inc. (see Section 3.3 of Conditions of Service). The maximum allowable service connection on the 27.6 kV system is 5,000 kVA. Customers have the option of ownership of transformation at all sizes and are required to own the transformation above the maximum levels supplied by 1937680 Ontario Inc. If a customer decides or is required to own their transformation, the transformer specifications and its loss evaluation require approval from 1937680 Ontario Inc. The customer is required to compensate 1937680 Ontario Inc. for transformer losses that exceed the maximum acceptable losses. The customer will receive a transformer allowance as specified in the current rate schedule for privately owned transformation.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</si>
  <si>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</si>
  <si>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t>
  </si>
  <si>
    <t>This classification covers sentinel lights used for security or other commercial activities. All attempts must be made to connect these loads to a metered service where possible. The customer is required to provide details of the connected load and usage pattern prior to connecting to the distribution system. The customer owns all the equipment and facilities from the load side of the connection to the distribution system. The connection shall be made to the distribution system as approved by 1937680 Ontario Inc. has operational control of the connection to the distribution system. The customer is responsible for any requirements under the Ontario Electrical Safety Code and is required to have all equipment inspected and approved by the Electrical Safety Authority. Further servicing details are available in the distributor’s Conditions of Service.</t>
  </si>
  <si>
    <t>This classification applies only to street lighting equipment owned by the City of Peterborough, other authorized municipalities or the Province of Ontario and operating within the licenced territory of 1937680 Ontario Inc. Included is decorative and seasonal lighting connected to street lighting facilities owned by the City of Peterborough, other authorized municipalities and the Province of Ontario. The customer owns all equipment and facilities from the load side of the connection to the distribution system. The customer is required to provide details of the connected load and usage pattern prior to connecting to the distribution system. Each streetlight is to be individually controlled by a photocell. Underground connections for street lighting require a main disconnect to be installed by the Customer. The customer is responsible for any requirements under the Ontario Electrical Safety Code and is required to have all equipment inspected and approved by the Electrical Safety Authority. The customer may retain operational control of any disconnects if authorized by 1937680 Ontario Inc. and operated by qualified personnel. 1937680 Ontario Inc. retains operational control of the connections to the distribution system.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</si>
  <si>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</si>
  <si>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 xml:space="preserve">Easement letter - letter request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</si>
  <si>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</si>
  <si>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</si>
  <si>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Notice of switch letter charge, per letter (unless the distributor has opted out of applying the charge as per the
Ontario Energy Board's Decision and Order EB-2015-0304, issued on February 14, 2019)</t>
  </si>
  <si>
    <t>Kingston Hydro Corporation_Start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</si>
  <si>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</si>
  <si>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</si>
  <si>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</si>
  <si>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</si>
  <si>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</si>
  <si>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</si>
  <si>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</si>
  <si>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</si>
  <si>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</si>
  <si>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Conditons of Service.</t>
  </si>
  <si>
    <t>This classification refers to an account that has Load Displacement Generation and requires Kingston Hydro Corporation to provide back-up service. Standby Charges are to be applied to behind-the-meter generators that are not IESO market participants, FIT program participants, net-metered generators or retail generators, which have their own metering and settlement conventions as per regulation and legislation. Further servicing details are available in the distributors's Conditions of Service.</t>
  </si>
  <si>
    <t>MONTHLY RATES AND CHARGES</t>
  </si>
  <si>
    <t>6_MRC</t>
  </si>
  <si>
    <t>Standby Charges are based on applicable monthly General Service &lt; 50kW,  General Service &gt; 50kW to 4,999 kW or Large Use Distribution Volumetric Charges, depending on the rate classification of the generator host facility.</t>
  </si>
  <si>
    <t>In the case where utility grade metering is not installed on the generator, Distribution Charges on the generator host facility’s load account will be determined by multiplying the peak hourly delivered load as measured by the load account meter in kW by applicable variable charges for the rate class. Standby Charges are determined by multiplying the nameplate capacity of the behind the meter generator in KW by applicable Standby Power charges in each month.</t>
  </si>
  <si>
    <t xml:space="preserve">This type of scenario is preferable for our customers if the generator is a “baseload” or “24-7-365” generator such as a fuel cell CHP unit or pressure-drop turbine unit. It may also be preferable to the customer where the cost of utility grade metering is high or the size of the generator is very small relative to the demand of the host load customer. </t>
  </si>
  <si>
    <t>In the case where utility grade metering is installed on the generator, 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</si>
  <si>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 xml:space="preserve">This type of scenario is preferable for customers who wish to use generators or electricity storage facilities to participate in provincial conservation initiatives such as the IESO’s Demand Response or Industrial Conservation Initiatives, or reduce kWh consumption, but are not able to operate their generators “24-7-365”.
</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</si>
  <si>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</si>
  <si>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</si>
  <si>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Kingston Hydro Corporation_ALLOWANCES</t>
  </si>
  <si>
    <t>Kingston Hydro Corporation_SSC</t>
  </si>
  <si>
    <t>Kingston Hydro Corporation_CA</t>
  </si>
  <si>
    <t xml:space="preserve">     Returned cheque (plus bank charges)</t>
  </si>
  <si>
    <t xml:space="preserve">     Legal letter</t>
  </si>
  <si>
    <t>Kingston Hydro Corporation_NPoA</t>
  </si>
  <si>
    <t xml:space="preserve">     Late payment - per month</t>
  </si>
  <si>
    <t xml:space="preserve">     (effective annual rate 19.56% per annum or 0.04896% compounded daily rate)</t>
  </si>
  <si>
    <t>Specific charge for access to the power poles - per pole/year 
(with the exception of wireless attachments)</t>
  </si>
  <si>
    <t xml:space="preserve">        Layout fees</t>
  </si>
  <si>
    <t>Kingston Hydro Corporation_RSC</t>
  </si>
  <si>
    <t>Kingston Hydro Corporation_LFs</t>
  </si>
  <si>
    <t>Kingston Hydro Corporation_End</t>
  </si>
  <si>
    <t>It should be noted that this schedule does not list any charges, assessments, or credits that are required by law to be invoiced by a distributor and that are not subject to the Ontario Energy Board approval, such as the Global Adjustment and the HST.</t>
  </si>
  <si>
    <t>3_GENERAL SERVICE 50 TO 2,999 KW SERVICE CLASSIFICATION</t>
  </si>
  <si>
    <t>3_GENERAL SERVICE 50 TO 2,999 KW SERVICE CLASSIFICATION_MSC</t>
  </si>
  <si>
    <t>3_GENERAL SERVICE 50 TO 2,999 KW SERVICE CLASSIFICATION_DVC</t>
  </si>
  <si>
    <t>3_GENERAL SERVICE 50 TO 2,999 KW SERVICE CLASSIFICATION_LV</t>
  </si>
  <si>
    <t>3_GENERAL SERVICE 50 TO 2,999 KW SERVICE CLASSIFICATION_DEFVAR_ALL</t>
  </si>
  <si>
    <t>3_GENERAL SERVICE 50 TO 2,999 KW SERVICE CLASSIFICATION_Retail Transmission Rate - Network Service Rate</t>
  </si>
  <si>
    <t>3_GENERAL SERVICE 50 TO 2,999 KW SERVICE CLASSIFICATION_Retail Transmission Rate - Line and Transformation Connection Service Rate</t>
  </si>
  <si>
    <t>3_GENERAL SERVICE 50 TO 2,999 KW SERVICE CLASSIFICATION_WMSR</t>
  </si>
  <si>
    <t>3_GENERAL SERVICE 50 TO 2,999 KW SERVICE CLASSIFICATION_RRRP</t>
  </si>
  <si>
    <t>3_GENERAL SERVICE 50 TO 2,999 KW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</si>
  <si>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</si>
  <si>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</si>
  <si>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Interval meter load management tool charge $/month</t>
  </si>
  <si>
    <t>Milton Hydro Distribution Inc._Start</t>
  </si>
  <si>
    <t>This classification refers to the supply of electrical energy to detached, semi-detached and townhouse residential buildings as defined in local zoning bylaws. A residential service is a single-family unit used for domestic or household purposes, including seasonal occupancy. At Milton Hydro's discretion, residential rates may be applied to apartment buildings with 6 or less units by simple application of the residential rate by blocking the residential rate by the number of units. Class B consumers are defined in accordance with O. Reg. 429/04. Further servicing details are available in the distributor’s Conditions of Service.</t>
  </si>
  <si>
    <t>Where the residential dwelling comprises the entire electrical load of a farm, it is defined as a residential service. Where the residential dwelling does not comprise the entire electrical load of the farm:
■ The service will be defined as a General Service if the occupant derives his/her principal livelihood from the 
    working of the farm;
■ The service will be defined as a Residential Service if the occupant does not derive his/her principal livelihood 
    from the working of the farm;
■ Where the residential farm dwelling is supplied by one separately metered service and the electrical loads in 
   other buildings are supplied by a different separately metered service, then the former is defined as a 
   Residential Service and the latter is defined as a General Service.</t>
  </si>
  <si>
    <t xml:space="preserve">It should be noted that this schedule does not list any charges, assessments or credits that are required by law to be invoiced by a distributor and that are not subject to Ontario Energy Board approval, such as the Global Adjustment and the HST.       
</t>
  </si>
  <si>
    <t>This classification refers to a non-residential customer with an average peak demand below 50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</si>
  <si>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50 kW and less than 1,000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</si>
  <si>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1,000 kW and less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</si>
  <si>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This classification refers to a non-residential customer with an average peak demand equal to or greater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</si>
  <si>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the Global Adjustment and the HST.</t>
  </si>
  <si>
    <t>This classification refers to the supply of electricity to unmetered loads less than 50 kW including traffic signals and pedestrian X-walks signals/beacons, bus shelters, telephone booths, signs, Cable TV amplifiers and decorative lighting and tree lighting connected to Milton Hydro's distribution system, and similar small unmetered loads.  Class B consumers are defined in accordance with O. Reg. 429/04. Further servicing details are available in the distributor’s Conditions of Service.</t>
  </si>
  <si>
    <t>This classification refers to all services supported to supply sentinel lighting equipment. Class B consumers are defined in accordance with O. Reg. 429/04. Further servicing details are available in the distributor’s Conditions of Service.</t>
  </si>
  <si>
    <t>This classification refers to all services supplied to street lighting equipment owned by or operated for a municipality or the Province of Ontario. Class B consumers are defined in accordance with O. Reg. 429/04. Further servicing details are available in the distributor’s Conditions of Service.</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</si>
  <si>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</si>
  <si>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Milton Hydro Distribution Inc._ALLOWANCES</t>
  </si>
  <si>
    <t>Milton Hydro Distribution Inc._SSC</t>
  </si>
  <si>
    <t xml:space="preserve">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</si>
  <si>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Milton Hydro Distribution Inc._CA</t>
  </si>
  <si>
    <t>Milton Hydro Distribution Inc._NPoA</t>
  </si>
  <si>
    <t>Reconnection for non payment of account - at meter during regular hours</t>
  </si>
  <si>
    <t>Reconnection for non payment of account - at meter after regular hours</t>
  </si>
  <si>
    <t>Optional interval/TOU meter charge $/month</t>
  </si>
  <si>
    <t>Specific charge for access to the power poles - $/pole/year (with the exception of wireless attachments)</t>
  </si>
  <si>
    <t>Clearance pole attachment charge $/pole/year</t>
  </si>
  <si>
    <t>Milton Hydro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</si>
  <si>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</si>
  <si>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</si>
  <si>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</si>
  <si>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Milton Hydro Distribution Inc._LFs</t>
  </si>
  <si>
    <t>Milton Hydro Distribution Inc._End</t>
  </si>
  <si>
    <t>Niagara-on-the-Lake Hydro Inc._Start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</si>
  <si>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</si>
  <si>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</si>
  <si>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</si>
  <si>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</si>
  <si>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</si>
  <si>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by an approved Ontario Energy Board process. Class B consumers are defined in accordance with O. Reg. 429/04. Further servicing details are available in the distributor’s Conditions of Service.</t>
  </si>
  <si>
    <t>This classification refers to an account that has Load Displacement Generation or Load Displacement Storage that requires Niagara-on-the-Lake Hydro to provide back-up service.  Standby Charges are to be applied to behind-the-meter generators that have a nameplate capacity greater than or equal to 500kW and are not IESO market participants or IESO program participants (FIT, MicroFIT, SOP etc.) which have their own metering and settlement conventions as per regulation and legislation.  For the purpose of this rate classification the term "generator" shall include electricity storage devices used for the primary purpose of Load Displacement.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</si>
  <si>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</si>
  <si>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</si>
  <si>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</si>
  <si>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7_MRC</t>
  </si>
  <si>
    <t xml:space="preserve">Standby Charges are based on applicable monthly General Service &gt; 50kW to 4,999 kW or Large Use Distribution Volumetric Charges, depending on the rate classification of the generator host facility. </t>
  </si>
  <si>
    <t>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</si>
  <si>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</si>
  <si>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Niagara-on-the-Lake Hydro Inc._ALLOWANCES</t>
  </si>
  <si>
    <t>Niagara-on-the-Lake Hydro Inc._SSC</t>
  </si>
  <si>
    <t>Niagara-on-the-Lake Hydro Inc._CA</t>
  </si>
  <si>
    <t>Niagara-on-the-Lake Hydro Inc._NPoA</t>
  </si>
  <si>
    <t>Late payment - per month (effective annual rate 19.56% per annum or 0.04896% compounded daily)</t>
  </si>
  <si>
    <t>Service call - customer-owned equipment - during regular hours</t>
  </si>
  <si>
    <t>Service call - customer-owned equipment - after regular hours</t>
  </si>
  <si>
    <t xml:space="preserve">Variable </t>
  </si>
  <si>
    <t>Niagara-on-the-Lake Hydro Inc._RSC</t>
  </si>
  <si>
    <t>Niagara-on-the-Lake Hydro Inc._LFs</t>
  </si>
  <si>
    <t>Niagara-on-the-Lake Hydro Inc._End</t>
  </si>
  <si>
    <t>Oakville Hydro Electricity Distribution Inc._Start</t>
  </si>
  <si>
    <t>This class refers to the supply of electrical energy to detached and semi-detached residential buildings as well as farms as defined in the local zoning by-laws. Where the residential dwelling comprises the entire electrical load of a farm, it is defined as a residential service. Where electricity is provided to a combined residential and business (including agricultural usage) and the service does not provide for separate metering, the classification shall be at the discretion of Oakville Hydro and shall be based on such considerations as the estimated predominant consumption. Class B consumers are defined in accordance with O. Reg. 429/04. Further servicing details are available in the distributor’s Conditions of Service.</t>
  </si>
  <si>
    <t>This class refers to customers who do not qualify as residential customers and whose monthly average peak demand in the preceding twelve months is less than 50kW. For new customers without prior billing history, the peak demand will be based on 90% of the proposed capacity or installed transformation. Note: Apartment buildings or multi-unit complexes and subdivisions that are not individually metered are treated as General Service. Class B consumers are defined in accordance with O. Reg. 429/04. Further servicing details are available in the distributor’s Conditions of Service.</t>
  </si>
  <si>
    <t>This class refers to customers who do not qualify as residential customers whose monthly average peak demand in the preceding twelve months is in the range of 50 to 999 kW. There are two sub categories within this class, those being non-interval and interval metered accounts. For new customers without prior billing history, the peak demand will be based on 90% of the proposed capacity or installed transformation. Class B consumers are defined in accordance with O. Reg. 429/04. Further servicing details are available in the distributor’s Conditions of Service.</t>
  </si>
  <si>
    <t>GENERAL SERVICE 1,000 KW AND GREATER SERVICE CLASSIFICATION</t>
  </si>
  <si>
    <t>4_GENERAL SERVICE 1,000 KW AND GREATER SERVICE CLASSIFICATION</t>
  </si>
  <si>
    <t>This class refers to customers who do not qualify as residential customers whose monthly average peak demand in the preceding twelve months is equal to or greater than 1,000 kW. These accounts will all be interval metered accounts. For new customers without prior billing history, the peak demand will be based on 90% of the proposed capacity or installed transformation. Class A and Class B consumers are defined in accordance with O. Reg. 429/04. Further servicing details are available in the distributor’s Conditions of Service.</t>
  </si>
  <si>
    <t>4_GENERAL SERVICE 1,000 KW AND GREATER SERVICE CLASSIFICATION_MSC</t>
  </si>
  <si>
    <t>4_GENERAL SERVICE 1,000 KW AND GREATER SERVICE CLASSIFICATION_DVC</t>
  </si>
  <si>
    <t>4_GENERAL SERVICE 1,000 KW AND GREATER SERVICE CLASSIFICATION_LV</t>
  </si>
  <si>
    <t>4_GENERAL SERVICE 1,000 KW AND GREATER SERVICE CLASSIFICATION_Retail Transmission Rate - Network Service Rate</t>
  </si>
  <si>
    <t>4_GENERAL SERVICE 1,000 KW AND GREATER SERVICE CLASSIFICATION_Retail Transmission Rate - Line and Transformation Connection Service Rate</t>
  </si>
  <si>
    <t>4_GENERAL SERVICE 1,000 KW AND GREATER SERVICE CLASSIFICATION_WMSR</t>
  </si>
  <si>
    <t>4_GENERAL SERVICE 1,000 KW AND GREATER SERVICE CLASSIFICATION_RRRP</t>
  </si>
  <si>
    <t>4_GENERAL SERVICE 1,000 KW AND GREATER SERVICE CLASSIFICATION_SSS</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</si>
  <si>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 and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</si>
  <si>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 Class B consumers are defined in accordance with O. Reg. 429/04.</t>
  </si>
  <si>
    <t>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Oakville Hydro specifications.  Class B consumers are defined in accordance with O. Reg. 429/04.Further servicing details are available in the distributor’s Conditions of Service.</t>
  </si>
  <si>
    <t>8_EMBEDDED DISTRIBUTOR SERVICE CLASSIFICATION</t>
  </si>
  <si>
    <t>This classification applies to an electricity distributor licenced by the Ontario Energy Board, which is provided electricity by means of this distributor's facilities. Further servicing details are available in the distributor's Conditions of Service.</t>
  </si>
  <si>
    <t>8_EMBEDDED DISTRIBUTOR SERVICE CLASSIFICATION_MSC</t>
  </si>
  <si>
    <t>8_EMBEDDED DISTRIBUTOR SERVICE CLASSIFICATION_DVC</t>
  </si>
  <si>
    <t>8_EMBEDDED DISTRIBUTOR SERVICE CLASSIFICATION_LV</t>
  </si>
  <si>
    <t>8_EMBEDDED DISTRIBUTOR SERVICE CLASSIFICATION_GA_kwh</t>
  </si>
  <si>
    <t>8_EMBEDDED DISTRIBUTOR SERVICE CLASSIFICATION_DEFVAR_ALL</t>
  </si>
  <si>
    <t>8_EMBEDDED DISTRIBUTOR SERVICE CLASSIFICATION_CBR</t>
  </si>
  <si>
    <t>8_EMBEDDED DISTRIBUTOR SERVICE CLASSIFICATION_Retail Transmission Rate - Network Service Rate</t>
  </si>
  <si>
    <t>8_EMBEDDED DISTRIBUTOR SERVICE CLASSIFICATION_Retail Transmission Rate - Line and Transformation Connection Service Rate</t>
  </si>
  <si>
    <t>8_EMBEDDED DISTRIBUTOR SERVICE CLASSIFICATION_WMSR</t>
  </si>
  <si>
    <t>8_EMBEDDED DISTRIBUTOR SERVICE CLASSIFICATION_RRRP</t>
  </si>
  <si>
    <t>8_EMBEDDED DISTRIBUTOR SERVICE CLASSIFICATION_SSS</t>
  </si>
  <si>
    <t>Oakville Hydro Electricity Distribution Inc._ALLOWANCES</t>
  </si>
  <si>
    <t>Transformer Allowance for General Service &gt; 50 to 999kW customers that own their transformers 
      (per kW of billing demand/month)</t>
  </si>
  <si>
    <t>Oakville Hydro Electricity Distribution Inc._SSC</t>
  </si>
  <si>
    <t>Oakville Hydro Electricity Distribution Inc._CA</t>
  </si>
  <si>
    <t>Oakville Hydro Electricity Distribution Inc._NPoA</t>
  </si>
  <si>
    <t>Late payment - per month
      (effective annual rate 19.56% per annum or 0.04896% compounded daily rate)</t>
  </si>
  <si>
    <t>Service call (after first service call in a 12-month period) - during regular hours</t>
  </si>
  <si>
    <t>Service call (after first service call in a 12-month period) - after regular hours</t>
  </si>
  <si>
    <t xml:space="preserve">Specific charge for access to the power poles - $/pole/year
      (with the exception of wireless attachments) </t>
  </si>
  <si>
    <t>Oakville Hydro Electricity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</si>
  <si>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</si>
  <si>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Oakville Hydro Electricity Distribution Inc._LFs</t>
  </si>
  <si>
    <t>Oakville Hydro Electricity Distribution Inc._End</t>
  </si>
  <si>
    <t>Oshawa PUC Networks Inc._Start</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</si>
  <si>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</si>
  <si>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</si>
  <si>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This classification refers to a non-residential account whose monthly average peak demand is equal to or greater than 50 kW but less than 1,000 kW, or is forecast to be equal to or greater than 50 kW but less than 1,000 kW.  Note that for statistical purposes the following sub-classifications apply:
     - General Service 50 to 200 kW
     - General Service over 200 kW
Class B consumers are defined in accordance with O. Reg. 429/04. Further servicing details are available in the distributor’s Conditions of Service.</t>
  </si>
  <si>
    <t>This classification refers to a non-residential account whose monthly average peak demand is equal to or greater than 1,000 kW but less than 5,000 kW, or is forecast to be equal to or greater than 1,000 kW but less than 5,000 kW.  Class A and Class B consumers are defined in accordance with O. Reg. 429/04. Further servicing details are available in the distributor’s Conditions of Service.</t>
  </si>
  <si>
    <t>This classification applies to an account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</si>
  <si>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</si>
  <si>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</si>
  <si>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Oshawa PUC Networks Inc._ALLOWANCES</t>
  </si>
  <si>
    <t>Oshawa PUC Networks Inc._SSC</t>
  </si>
  <si>
    <t>Oshawa PUC Networks Inc._CA</t>
  </si>
  <si>
    <t>Credit reference letter</t>
  </si>
  <si>
    <t>Returned cheque charge (plus bank charges)</t>
  </si>
  <si>
    <t>Oshawa PUC Networks Inc._NPoA</t>
  </si>
  <si>
    <t>Oshawa PUC Networks Inc._RSC</t>
  </si>
  <si>
    <t>Oshawa PUC Networks Inc._LFs</t>
  </si>
  <si>
    <t>Oshawa PUC Networks Inc._End</t>
  </si>
  <si>
    <t>Renfrew Hydro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</si>
  <si>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</si>
  <si>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</si>
  <si>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1_RESIDENTIAL SERVICE CLASSIFICATION_FX_RR_163</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</si>
  <si>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</si>
  <si>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unmetered load.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</si>
  <si>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</si>
  <si>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Renfrew Hydro Inc._ALLOWANCES</t>
  </si>
  <si>
    <t>Renfrew Hydro Inc._SSC</t>
  </si>
  <si>
    <t>Renfrew Hydro Inc._CA</t>
  </si>
  <si>
    <t>Renfrew Hydro Inc._NPoA</t>
  </si>
  <si>
    <t>Renfrew Hydro Inc._RSC</t>
  </si>
  <si>
    <t>Renfrew Hydro Inc._LFs</t>
  </si>
  <si>
    <t>Renfrew Hydro Inc._End</t>
  </si>
  <si>
    <t>Niagara Peninsula Energy Inc._Start</t>
  </si>
  <si>
    <t>This class pertains to customers residing in detached, semi-detached or duplex dwelling units, where energy is supplied single-phase, 3 wire, 60 hertz, having a nominal voltage of 120/240 volts. Large residential services will include all services from 201 amp. Up to and including 400 amp., 120/240 volt, single phase, three wire. Class B consumers are defined in accordance with O. Reg. 429/04. Further servicing details are available in the distributor’s Conditions of Service.</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</si>
  <si>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</si>
  <si>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</si>
  <si>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750 volts or less whose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electricity demand/consumption of the proposed unmetered load. Class B consumers are defined in accordance with O. Reg. 429/04. Further servicing details are available in the distributor’s Conditions of Service.</t>
  </si>
  <si>
    <t>5_SENTINEL LIGHTING SERVICE CLASSIFICATION_GA_kwh</t>
  </si>
  <si>
    <t>This classification refers to an account for roadway lighting with a Municipality, Regional Municipality, Ministry of Transportation and private roadway lighting operation, controlled by photo cells. Street lighting profile is derived through the use of a “virtual street lighting meter” that uses a street light control eye, consistent with the model type and product manufacturer of devices currently in service in the Applicant’s distribution area, to simulate the exact daily conditions that the typical street light is exposed to. This simulated street light load is captured using an interval metering device, and is processed as part of the distributor’s daily interval meter interrogation, validation and processing procedures. Class B consumers are defined in accordance with O. Reg. 429/04. Further servicing details are available in the distributor’s Conditions of Service.</t>
  </si>
  <si>
    <t>7_EMBEDDED DISTRIBUTOR SERVICE CLASSIFICATION_MSC</t>
  </si>
  <si>
    <t>Distribution Volumetric Rate - Applicable only for Victoria and Rockway installations of the 
     embedded distributor</t>
  </si>
  <si>
    <t>Low Voltage Service Rate - Applicable only for Victoria and Rockway installations of the embedded
     distributor</t>
  </si>
  <si>
    <t>7_EMBEDDED DISTRIBUTOR SERVICE CLASSIFICATION_LV</t>
  </si>
  <si>
    <t>Retail Transmission Rate - Network Service Rate - Applicable only for Victoria and Rockway 
      installations of the embedded distributor</t>
  </si>
  <si>
    <t>Retail Transmission Rate - Line and Transformation Connection Service Rate - Applicable only for 
      Victoria and Rockway installations of the embedded distributor</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</si>
  <si>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</si>
  <si>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Niagara Peninsula Energy Inc._ALLOWANCES</t>
  </si>
  <si>
    <t>Niagara Peninsula Energy Inc._SSC</t>
  </si>
  <si>
    <t>Niagara Peninsula Energy Inc._CA</t>
  </si>
  <si>
    <t xml:space="preserve">       Returned cheque (plus bank charges)</t>
  </si>
  <si>
    <t xml:space="preserve">       Legal letter charge</t>
  </si>
  <si>
    <t xml:space="preserve">       Account set up charge/change of occupancy charge (plus credit agency costs if applicable)</t>
  </si>
  <si>
    <t xml:space="preserve">       Meter dispute charge plus Measurement Canada fees (if meter found correct)</t>
  </si>
  <si>
    <t>Niagara Peninsula Energy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</si>
  <si>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</si>
  <si>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</si>
  <si>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</si>
  <si>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</si>
  <si>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</si>
  <si>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Service call - customer owned equipment</t>
  </si>
  <si>
    <t xml:space="preserve">        Service call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</si>
  <si>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</si>
  <si>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</si>
  <si>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</si>
  <si>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 xml:space="preserve">        Specific charge for access to the power poles</t>
  </si>
  <si>
    <t xml:space="preserve">        (with the exception of wireless attachments)</t>
  </si>
  <si>
    <t>Niagara Peninsula Energy Inc._RSC</t>
  </si>
  <si>
    <t xml:space="preserve">                  More than twice a year, per request (plus incremental delivery costs)</t>
  </si>
  <si>
    <t>Niagara Peninsula Energy Inc._LFs</t>
  </si>
  <si>
    <t>Niagara Peninsula Energy Inc._End</t>
  </si>
  <si>
    <t>Centre Wellington Hydro Ltd._Start</t>
  </si>
  <si>
    <t>This classification is for single dwelling units with separate metering, detached, semi-detached, triplex, etc. Class B consumers are defined in accordance with O. Reg. 429/04. Further servicing details are available in the distributor's Conditions of Service.</t>
  </si>
  <si>
    <t>This classification applies to a non-residential account taking electricity at 750 volts or less whose average monthly  maximum demand is less than, or is forecasted to be less than, 50kW.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</si>
  <si>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</si>
  <si>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</si>
  <si>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Centre Wellington Hydro Ltd._ALLOWANCES</t>
  </si>
  <si>
    <t>Centre Wellington Hydro Ltd._SSC</t>
  </si>
  <si>
    <t>Centre Wellington Hydro Ltd._CA</t>
  </si>
  <si>
    <t>Centre Wellington Hydro Ltd._NPoA</t>
  </si>
  <si>
    <t>Centre Wellington Hydro Ltd._RSC</t>
  </si>
  <si>
    <t>Centre Wellington Hydro Ltd._LFs</t>
  </si>
  <si>
    <t>Centre Wellington Hydro Ltd._End</t>
  </si>
  <si>
    <t>GrandBridge Energy Inc.-Brantford Power Rate Zone</t>
  </si>
  <si>
    <t>GrandBridge Energy Inc.-Brantford Power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</si>
  <si>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</si>
  <si>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 the the Global Adjustment and the HST.</t>
  </si>
  <si>
    <t>This classification refers to a non residential account taking electricity at 750 volts or less whose monthly average peak demand is less than, or is forecast to be less than, 50 kW. Further servicing details are available in the distributor’s Conditions of Service.</t>
  </si>
  <si>
    <t>GENERAL SERVICE GREATER THAN 50 KW SERVICE CLASSIFICATION</t>
  </si>
  <si>
    <t>3_GENERAL SERVICE GREATER THAN 50 KW SERVICE CLASSIFICATION</t>
  </si>
  <si>
    <t>This classification applies to a non residential account whose average monthly maximum demand used for billing purposes is equal to or greater than, or is forecast to be equal to or greater than, 50 kW. Further servicing details are available in the distributor’s Conditions of Service.</t>
  </si>
  <si>
    <t>3_GENERAL SERVICE GREATER THAN 50 KW SERVICE CLASSIFICATION_MSC</t>
  </si>
  <si>
    <t>3_GENERAL SERVICE GREATER THAN 50 KW SERVICE CLASSIFICATION_DVC</t>
  </si>
  <si>
    <t>3_GENERAL SERVICE GREATER THAN 50 KW SERVICE CLASSIFICATION_GA_kwh</t>
  </si>
  <si>
    <t>3_GENERAL SERVICE GREATER THAN 50 KW SERVICE CLASSIFICATION_DEFVAR_ALL</t>
  </si>
  <si>
    <t>3_GENERAL SERVICE GREATER THAN 50 KW SERVICE CLASSIFICATION_CBR</t>
  </si>
  <si>
    <t>3_GENERAL SERVICE GREATER THAN 50 KW SERVICE CLASSIFICATION_Retail Transmission Rate - Network Service Rate</t>
  </si>
  <si>
    <t>3_GENERAL SERVICE GREATER THAN 50 KW SERVICE CLASSIFICATION_Retail Transmission Rate - Line and Transformation Connection Service Rate</t>
  </si>
  <si>
    <t>3_GENERAL SERVICE GREATER THAN 50 KW SERVICE CLASSIFICATION_WMSR</t>
  </si>
  <si>
    <t>3_GENERAL SERVICE GREATER THAN 50 KW SERVICE CLASSIFICATION_RRRP</t>
  </si>
  <si>
    <t>3_GENERAL SERVICE GREATER THAN 50 KW SERVICE CLASSIFICATION_SSS</t>
  </si>
  <si>
    <t>This classification applies to an account of a electricity distributor licensed by the Ontario Energy Board that is provided electricity by a host distributor. Further servicing details are available in the distributor’s Conditions of Service.</t>
  </si>
  <si>
    <t xml:space="preserve">MONTHLY RATES AND CHARGES </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</si>
  <si>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</si>
  <si>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8_UNMETERED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</si>
  <si>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boots, traffic lights, railway crossings, etc. The customer will provide detailed manufacturer information/ documentation with regard to electrical demand/consumption of the proposed unmetered load. Further servicing details are available in the distributor’s Conditions of Service.</t>
  </si>
  <si>
    <t>8_UNMETERED SCATTERED LOAD SERVICE CLASSIFICATION_MSC</t>
  </si>
  <si>
    <t>8_UNMETERED SCATTERED LOAD SERVICE CLASSIFICATION_DVC</t>
  </si>
  <si>
    <t>8_UNMETERED SCATTERED LOAD SERVICE CLASSIFICATION_CBR</t>
  </si>
  <si>
    <t>8_UNMETERED SCATTERED LOAD SERVICE CLASSIFICATION_DEFVAR_ALL</t>
  </si>
  <si>
    <t>8_UNMETERED SCATTERED LOAD SERVICE CLASSIFICATION_Retail Transmission Rate - Network Service Rate</t>
  </si>
  <si>
    <t>8_UNMETERED SCATTERED LOAD SERVICE CLASSIFICATION_Retail Transmission Rate - Line and Transformation Connection Service Rate</t>
  </si>
  <si>
    <t>8_UNMETERED SCATTERED LOAD SERVICE CLASSIFICATION_WMSR</t>
  </si>
  <si>
    <t>8_UNMETERED SCATTERED LOAD SERVICE CLASSIFICATION_RRRP</t>
  </si>
  <si>
    <t>8_UNMETERED SCATTERED LOAD SERVICE CLASSIFICATION_SSS</t>
  </si>
  <si>
    <t>Standby Charge - for a month where standby power is not provided. The charge is applied to the contracted amount
(e.g. nameplate rating of the generation facility).</t>
  </si>
  <si>
    <t>9_STANDBY POWER SERVICE CLASSIFICATION_DVC</t>
  </si>
  <si>
    <t>GrandBridge Energy Inc._ALLOWANCES</t>
  </si>
  <si>
    <t>GrandBridge Energy Inc._SSC</t>
  </si>
  <si>
    <t>GrandBridge Energy Inc._CA</t>
  </si>
  <si>
    <t xml:space="preserve">        Easement letter</t>
  </si>
  <si>
    <t xml:space="preserve">        Credit reference/credit check (plus credit agency costs)</t>
  </si>
  <si>
    <t xml:space="preserve">        Returned cheque (plus bank charges)</t>
  </si>
  <si>
    <t xml:space="preserve">        Account set up charge/change of occupancy charge (plus credit agency costs if applicable)</t>
  </si>
  <si>
    <t xml:space="preserve">        Meter dispute charge plus Measurement Canada fees (if meter found correct)</t>
  </si>
  <si>
    <t>GrandBridge Energy Inc._NPoA</t>
  </si>
  <si>
    <t xml:space="preserve">        Late payment - per annum</t>
  </si>
  <si>
    <t xml:space="preserve">        Temporary service - install &amp; remove - underground - no transformer</t>
  </si>
  <si>
    <t xml:space="preserve">        Specific charge for access to the power poles - per pole/year
        (with the exception of wireless attachments) - Approved on an Interim Basis</t>
  </si>
  <si>
    <t xml:space="preserve">        Meter removal without authorization</t>
  </si>
  <si>
    <t>GrandBridge Energy Inc._RSC</t>
  </si>
  <si>
    <t xml:space="preserve">       up to twice a year</t>
  </si>
  <si>
    <t xml:space="preserve">       more than twice a year, per request (plus incremental delivery costs)</t>
  </si>
  <si>
    <t>GrandBridge Energy Inc._LFs</t>
  </si>
  <si>
    <t>GrandBridge Energy Inc.-Brantford Power Rate Zone_End</t>
  </si>
  <si>
    <t>GrandBridge Energy Inc.-Energy+ Rate Zone</t>
  </si>
  <si>
    <t>GrandBridge Energy Inc.-Energy+ Rate Zone_Start</t>
  </si>
  <si>
    <t>Residential refers to the supply of electrical energy to detached, semi-detached and row-housing units (freehold or condominium).  This classification typically refers to an account taking electricity at 750 volts or less where electricity is used exclusively in a separate metered living accommodation.  Customers shall be residing in single-dwelling units that consist of a detached house or one unit of a semi-detached, duplex, triplex, or quadruplex house, with a residential zoning.  Separate metered dwellings within a town house complex, condominium, or apartment building also qualify as residential customers.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</si>
  <si>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taking electricity at 750 volts or less whose average monthly peak demand is less than, or is forecast to be less than, 50 kW.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</si>
  <si>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50 kW but less than 1,000 kW.  Class B consumers are defined in accordance with O.Reg. 429/04. Further servicing details are available in the distributor's Conditions of Service.</t>
  </si>
  <si>
    <t>Retail Transmission Rate - Line and Transformation Connection Service Rate
      (see Gross Load Billing Note)</t>
  </si>
  <si>
    <t>Retail Transmission Rate - Network Service Rate - Interval Metered &lt;1000 kW</t>
  </si>
  <si>
    <t>Retail Transmission Rate - Line and Transformation Connection Service Rate  
    - Interval Metered &lt;1000 kW (see Gross Load Billing Note)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</si>
  <si>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</si>
  <si>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an account whose average monthly peak demand is equal to or greater than, or is forecast to be equal to or greater than, 5,000 kW.  Class A and Class B consumers are defined in accordance with O. Reg. 429/04.  Further servicing details are available in the distributor's Conditions of Service.</t>
  </si>
  <si>
    <t>Rate Rider for Recovery of Advanced Capital Module 
      - effective until the date of the next cost of service-based rate order</t>
  </si>
  <si>
    <t xml:space="preserve">Rate Rider for Recovery of Incremental Capital 
      - effective until the effective date of the next cost of service based rate order </t>
  </si>
  <si>
    <t>This classification refers to an account taking electricity at 750 volts or less whose average monthly peak demand is less than, or is forecast to be less than, 50kW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</si>
  <si>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</si>
  <si>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safety/security lighting with a Residential, General Service or Large Use customer. This is typically exterior lighting, and unmetered. Consumption is estimated based on the equipment rating and estimated hours of use.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</si>
  <si>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prices, as applicable.  In addition, the charges in the MONTHLY RATES AND CHARGES - Regulatory Component of this schedule do not apply to a customer that is an embedded wholesale market participant.</t>
  </si>
  <si>
    <t>EMBEDDED DISTRIBUTOR SERVICE CLASSIFICATION - HYDRO ONE CND</t>
  </si>
  <si>
    <t>This classification applies to an electricity distributor licenced by the Ontario Energy Board, that is provided electricity by means of this distributor's facilities. Further servicing details are available in the distributor's Conditions of Service.</t>
  </si>
  <si>
    <t>EMBEDDED DISTRIBUTOR SERVICE CLASSIFICATION - WATERLOO</t>
  </si>
  <si>
    <t>EMBEDDED DISTRIBUTOR SERVICE CLASSIFICATION - BRANTFORD</t>
  </si>
  <si>
    <t>EMBEDDED DISTRIBUTOR SERVICE CLASSIFICATION - HYDRO ONE #1</t>
  </si>
  <si>
    <t>EMBEDDED DISTRIBUTOR SERVICE CLASSIFICATION - HYDRO ONE #2</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</si>
  <si>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</si>
  <si>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Specific charge for access to the power poles - $/pole/year (with the exception of wireless attachments)
   </t>
  </si>
  <si>
    <t>GrandBridge Energy Inc.-Energy+ Rate Zone_End</t>
  </si>
  <si>
    <t>Atikokan Hydro Inc._Start</t>
  </si>
  <si>
    <t>Effective and Implementation Date May 1, 2024</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</si>
  <si>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</si>
  <si>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Rate Rider for Disposition of Global Adjustment Account (2024) - effective until April 30, 2025
      Applicable only for Non-RPP Customers</t>
  </si>
  <si>
    <t>Rate Rider for Disposition of Deferral/Variance Accounts (2024) - effective until April 30, 2025</t>
  </si>
  <si>
    <t>Rate Rider for Disposition of Capacity Based Recovery Account (2024) - effective until April 30, 2025 
      Applicable only for Class B Customers</t>
  </si>
  <si>
    <t>1_RESIDENTIAL SERVICE CLASSIFICATION_Retail Transmission Rate - Transformation Connection Service Rate</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</si>
  <si>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</si>
  <si>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2_GENERAL SERVICE LESS THAN 50 KW SERVICE CLASSIFICATION_Retail Transmission Rate - Transformation Connection Service Rate</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</si>
  <si>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</si>
  <si>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</si>
  <si>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4_STREET LIGHTING SERVICE CLASSIFICATION_GA_kwh</t>
  </si>
  <si>
    <t>Atikokan Hydro Inc._ALLOWANCES</t>
  </si>
  <si>
    <t>Atikokan Hydro Inc._SSC</t>
  </si>
  <si>
    <t>Atikokan Hydro Inc._CA</t>
  </si>
  <si>
    <t xml:space="preserve">       Special meter reads</t>
  </si>
  <si>
    <t>Atikokan Hydro Inc._NPoA</t>
  </si>
  <si>
    <t xml:space="preserve">       Late payment - per month
        (effective annual rate 19.56% per annum or 0.04896% compounded daily rate)</t>
  </si>
  <si>
    <t xml:space="preserve">       Specific charge for access to the power poles - $/pole/year </t>
  </si>
  <si>
    <t xml:space="preserve">       (with the exception of wireless attachments)</t>
  </si>
  <si>
    <t>Atikokan Hydro Inc._RSC</t>
  </si>
  <si>
    <t>Atikokan Hydro Inc._LFs</t>
  </si>
  <si>
    <t>Atikokan Hydro Inc._End</t>
  </si>
  <si>
    <t>Bluewater Power Distribution Corporation_Start</t>
  </si>
  <si>
    <t>All service supplied to single-family dwelling units for domestic or household purposes shall be classed as residential service. Where electricity service is provided for combined residential and business purposes (including agricultural usage) and the wiring does not provide for separate metering, the classification shall be in the discretion of Bluewater Power Distribution Corporation (“Bluewater Power”) and shall be based on such considerations as the estimated predominant consumption or the municipal tax roll classification. A residential customer may be found in a detached, semi-detached, linear row housing, apartment building or mixed-use building. Where more than one dwelling is served by a single meter, that service shall be considered a General Service Customer. Class B consumers are defined in accordance with O. Reg. 429/04. Further servicing details are available in the distributor’s Conditions of Service.</t>
  </si>
  <si>
    <t>Rate Rider for Disposition of Capacity Based Recovery Account (2024) - effective until April 30, 2025
      Applicable only for Class B Customers</t>
  </si>
  <si>
    <t>This classification applies to a customer not designated as Residential, and that over a twelve month period has, or a new customer forecast to have, an average monthly peak demand less than 50 kW, and has a monthly peak demand that never exceeds 100 kW. Bluewater Power shall review this rate class designation on an annual basis and the customer's designated rate class may change as a result. Class B consumers are defined in accordance with O. Reg. 429/04. Further servicing details are available in the distributor’s Conditions of Service.</t>
  </si>
  <si>
    <t>This classification applies to a customer not designated as Residential, and that over a twelve month period has, or a new customer forecast to have, an average monthly peak demand equal to or greater than 50 kW and less than 1,000 kW.  This rate class designation is reviewed on an annual basis and the customer's designated rate class may change as a result. Class B consumers are defined in accordance with O. Reg. 429/04. Further servicing details are available in the distributor’s Conditions of Service.</t>
  </si>
  <si>
    <t>Low Voltage Service Rate (see Note 1)</t>
  </si>
  <si>
    <t>Rate Rider for Disposition of Deferral/Variance Accounts (2024) - effective until April 30, 2025
      Applicable only for Non-Wholesale Market Participants</t>
  </si>
  <si>
    <t>Retail Transmission Rate - Line and Transformation Connection Service Rate (see Note 1)</t>
  </si>
  <si>
    <t>This classification applies to a customer not designated Residential, and that: over a twelve month period has, or a new customer forecast to have, an average monthly peak demand equal to or greater than 1,000 kW and less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</si>
  <si>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Low Voltage Service Rate (See Note 1)</t>
  </si>
  <si>
    <t>Retail Transmission Rate - Line and Transformation Connection Service Rate (See Note 1)</t>
  </si>
  <si>
    <t>This classification applies to a customer not designated as Residential, and that over 12 consecutive billing periods has, or a new customer forecast to have, an average monthly peak demand equal to or greater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</si>
  <si>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Retail Transmission Rate - Line and Transformation Connection Service Rate - Interval Metered (See Note 1)</t>
  </si>
  <si>
    <t>This classification applies to an account whose average monthly maximum demand is less than, or a new customer forecast to be less than, 50 kW and the consumption is unmetered. Such connections include cable TV power packs, bus shelters, telephone booths, traffic lights, railway crossings, etc. The level of the consumption will be agreed to by Bluewater Power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</si>
  <si>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Bluewater Power Distribution Corporation_ALLOWANCES</t>
  </si>
  <si>
    <t>Bluewater Power Distribution Corporation_SSC</t>
  </si>
  <si>
    <t>Bluewater Power Distribution Corporation_CA</t>
  </si>
  <si>
    <t>Bluewater Power Distribution Corporation_NPoA</t>
  </si>
  <si>
    <t xml:space="preserve">Late payment - per month
      (effective annual rate 19.56% per annum or 0.04896% compounded daily rate) 
</t>
  </si>
  <si>
    <t>Specific charge for access to the power poles - $/pole/year                                                                                                                                                                                                                                                                                                                                                                                                                                         (with the exception of wireless attachments)</t>
  </si>
  <si>
    <t>Bluewater Power Distribution Corporation_RSC</t>
  </si>
  <si>
    <t>Bluewater Power Distribution Corporation_LFs</t>
  </si>
  <si>
    <t>Bluewater Power Distribution Corporation_End</t>
  </si>
  <si>
    <t xml:space="preserve">Unless specifically noted, this schedule does not contain any charges for the electricity commodity, be it under the Regulated Price Plan, a contract with a retailer or the wholesale market price, as applicable. </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</si>
  <si>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</si>
  <si>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4,999 kW SERVICE CLASSIFICATION_VR_RR_49</t>
  </si>
  <si>
    <t>Service call - customer-owned equipment</t>
  </si>
  <si>
    <t xml:space="preserve">Specific charge for access to the power poles - $/pole/year (with the exception of wireless attachments) </t>
  </si>
  <si>
    <t>EPCOR Electricity Distribution Ontario Inc._Start</t>
  </si>
  <si>
    <t>This classification refers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</si>
  <si>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Disposition of Group 2 Deferral/Variance Accounts (2023) - effective until September 30, 2025</t>
  </si>
  <si>
    <t>Rate Rider for Disposition of Deferral/Variance Accounts (2023) - effective until September 30, 2025</t>
  </si>
  <si>
    <t>Rate Rider for Disposition of Capacity Based Recovery Account (2024) - effective until April 30, 2025
     Applicable only for Class B Customers</t>
  </si>
  <si>
    <t>Rate Rider for Disposition of Capacity Based Recovery Account (2023) - effective until September 30, 2025
     Applicable only for Class B Customers</t>
  </si>
  <si>
    <t>Rate Rider for Disposition of Account 1589 Global Adjustment (2023) - effective until September 30, 2025
     Applicable only for Non-RPP Class B Customers</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</si>
  <si>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</si>
  <si>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Rate Rider for Disposition of Lost Revenue Adjustment Mechanism Variance Account (LRAMVA) (2023) 
     - effective until September 30, 2025</t>
  </si>
  <si>
    <t>Rate Rider for Mist Meter Deferral Account - effective until September 30, 2025</t>
  </si>
  <si>
    <t>Rate Rider for Disposition of Deferral/Variance Accounts (2023) - effective until September 30, 2025
     Applicable only for Non-Wholesale Market Participants</t>
  </si>
  <si>
    <t>Rate Rider for Disposition of Lost Revenue Adjustment Mechanism Variance Account (LRAMVA) (2023)
     - effective until September 30, 2025</t>
  </si>
  <si>
    <t>EPCOR Electricity Distribution Ontario Inc._ALLOWANCES</t>
  </si>
  <si>
    <t>EPCOR Electricity Distribution Ontario Inc._SSC</t>
  </si>
  <si>
    <t>EPCOR Electricity Distribution Ontario Inc._CA</t>
  </si>
  <si>
    <t>EPCOR Electricity Distribution Ontario Inc._NPoA</t>
  </si>
  <si>
    <t>(effective annual rate 19.56% per annum or 0.04896% compounded daily)</t>
  </si>
  <si>
    <t>EPCOR Electricity Distribution Ontario Inc._RSC</t>
  </si>
  <si>
    <t>EPCOR Electricity Distribution Ontario Inc._LFs</t>
  </si>
  <si>
    <t>Total Loss Factor - Primary Metered Customer</t>
  </si>
  <si>
    <t>EPCOR Electricity Distribution Ontario Inc._End</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</si>
  <si>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apartments building also qualify as residential customers.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</si>
  <si>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</si>
  <si>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electricity distributor licensed by the Ontario Energy Board that is provided with electricity by means of this distributor's facilities.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</si>
  <si>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</si>
  <si>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work or service done or furnished for the purpose of the distribution of electricity shall be made except as permitted by this schedule, unless required by the Distributor's License or a Code or Order of the Board, and amendments thereto as approved by the Board, or as specified herein.</t>
  </si>
  <si>
    <t>This classification refers to an account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proposed unmetered load.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</si>
  <si>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</si>
  <si>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 xml:space="preserve">        Arrears certificate</t>
  </si>
  <si>
    <t xml:space="preserve">        Statement of account</t>
  </si>
  <si>
    <t xml:space="preserve">        Duplicate invoices for previous billing</t>
  </si>
  <si>
    <t xml:space="preserve">        Request for other billing information</t>
  </si>
  <si>
    <t xml:space="preserve">        Income tax letter</t>
  </si>
  <si>
    <t xml:space="preserve">        Account history</t>
  </si>
  <si>
    <t xml:space="preserve">        Legal letter charge</t>
  </si>
  <si>
    <t xml:space="preserve">        Special meter reads</t>
  </si>
  <si>
    <t xml:space="preserve">       Late payment – per month 
        (effective annual rate 19.56% per annum or 0.04896% compounded daily rate) </t>
  </si>
  <si>
    <t>Fort Frances Power Corporation_Start</t>
  </si>
  <si>
    <t>This section governs all services intended to supply electrical energy to buildings or sections of building devoted to living quarters such as houses, living accommodations at the rear of stores, self-contained and individually metered suites.  These services are commonly referred to as Residential or Domestic Services.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</si>
  <si>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RATES AND CHARGES - Regulatory Component of this schedule do not apply to a customer that is an embedded wholesale market participant.</t>
  </si>
  <si>
    <t>This section governs small commercial services and includes small stores, small service stations, restaurants, churches, small offices and other establishments with similar loads and whose monthly average peak demand is less than, or forecasted to be less than, 50 kW. Class B consumers are defined in accordance with O. Reg. 429/04. Further servicing details are available in the distributor's Conditions of Services.</t>
  </si>
  <si>
    <t>This type of service will normally be applicable to small industry, departmental or larger stores such as supermarkets, shopping centers, storage buildings, large garages, restaurants, office buildings, institutions, hotels, hospitals, schools, colleges, arenas, apartment blocks or buildings and other comparable establishments and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</si>
  <si>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a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</si>
  <si>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for roadway lighting with a Municipality within the service boundaries.  The consumption for these customers is based on the calculated load time the established hours of use in the Ontario Energy Board's load shape template.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</si>
  <si>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</si>
  <si>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the wholesale price, as applicable.</t>
  </si>
  <si>
    <t>Fort Frances Power Corporation_ALLOWANCES</t>
  </si>
  <si>
    <t>Fort Frances Power Corporation_SSC</t>
  </si>
  <si>
    <t>Fort Frances Power Corporation_CA</t>
  </si>
  <si>
    <t xml:space="preserve">      Arrears certificate</t>
  </si>
  <si>
    <t xml:space="preserve">      Statement of account</t>
  </si>
  <si>
    <t xml:space="preserve">      Duplicate invoices for previous billing</t>
  </si>
  <si>
    <t xml:space="preserve">      Request for other billing information</t>
  </si>
  <si>
    <t xml:space="preserve">      Easement letter</t>
  </si>
  <si>
    <t xml:space="preserve">      Income tax letter</t>
  </si>
  <si>
    <t xml:space="preserve">      Credit reference/credit check (plus credit agency costs)</t>
  </si>
  <si>
    <t>Fort Frances Power Corporation_NPoA</t>
  </si>
  <si>
    <t xml:space="preserve">      Service call - after regular hours</t>
  </si>
  <si>
    <t xml:space="preserve">      Specific charge for access to the power poles - $/pole/year 
      (with the exception of wireless attachments)</t>
  </si>
  <si>
    <t>Fort Frances Power Corporation_RSC</t>
  </si>
  <si>
    <t>Fort Frances Power Corporation_LFs</t>
  </si>
  <si>
    <t>Fort Frances Power Corporation_End</t>
  </si>
  <si>
    <t>1_RESIDENTIAL SERVICE CLASSIFICATION_FX_RR_17</t>
  </si>
  <si>
    <t xml:space="preserve">                      Up to twice a year</t>
  </si>
  <si>
    <t xml:space="preserve">                      More than twice a year, per request (plus incremental delivery costs)</t>
  </si>
  <si>
    <t>Halton Hills Hydro Inc._Start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</si>
  <si>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The customer will be supplied at one service entrance only.  Class B consumers are defined in accordance with O. Reg. 429/04. Further servicing details are available in the distributor’s Conditions of Service. </t>
  </si>
  <si>
    <t xml:space="preserve">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 </t>
  </si>
  <si>
    <t xml:space="preserve">This classification applies to a non-residential customer with an average peak demand equal to or greater than 50 kW over the past twelve months, or is forecast to be equal to or greater than 50 kW, but less than 1,000 kW.  For a new customer without prior billing history, the peak demand will be based on 90% of the proposed capacity or installed transformer. Class B consumers are defined in accordance with O. Reg. 429/04. Further servicing details are available in the distributor’s Conditions of Service. </t>
  </si>
  <si>
    <t>Billing demands are established at the greater of 100% of the kW, or 90% of the kVA amounts with the exception of the Retail Transmission Rate-Network Service Rate, which is billed on a $/kW basis only.</t>
  </si>
  <si>
    <t xml:space="preserve">This classification applies to a non-residential customer with an average peak demand equal to or greater than 1,000 kW over the past twelve months, or is forecast to be equal to or greater than 1,000 kW, but less than 5,000 kW.  For a new customer without prior billing history, the peak demand will be based on 90% of the installed transformer.  Class A and Class B consumers are defined in accordance with O.Reg. 429/04. Further servicing details are available in the distributor’s Conditions of Service. </t>
  </si>
  <si>
    <t xml:space="preserve">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</si>
  <si>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 xml:space="preserve">This classification refers to accounts that are an unmetered lighting load supplied to a sentinel light. Class B consumers are defined in accordance with O. Reg. 429/04. Further servicing details are available in the distributor’s Conditions of Service. </t>
  </si>
  <si>
    <t xml:space="preserve">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Halton Hills Hydro specifications. Class B consumers are defined in accordance with O. Reg. 429/04. Further servicing details are available in the distributor’s Conditions of Service. </t>
  </si>
  <si>
    <t>Halton Hills Hydro Inc._ALLOWANCES</t>
  </si>
  <si>
    <t>Halton Hills Hydro Inc._SSC</t>
  </si>
  <si>
    <t>Halton Hills Hydro Inc._CA</t>
  </si>
  <si>
    <t xml:space="preserve">(effective annual rate 19.56% per annum or 0.04896% compounded daily rate) </t>
  </si>
  <si>
    <t>Interval meter charge</t>
  </si>
  <si>
    <t>Halton Hills Hydro Inc._RSC</t>
  </si>
  <si>
    <t>Halton Hills Hydro Inc._LFs</t>
  </si>
  <si>
    <t>Halton Hills Hydro Inc._End</t>
  </si>
  <si>
    <t>Hearst Power Distribution Co. Ltd._Start</t>
  </si>
  <si>
    <t>This classification refers to accounts for customers residing in single dwelling units that consist of a detached house, semi detached, duplex, triplex or quadruplex house, or individually metered apartment building. Class B consumers are defined in accordance with O. Reg. 429/04. Further servicing details are available in the utility’s Conditions of Service.</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</si>
  <si>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utility’s Conditions of Service.</t>
  </si>
  <si>
    <t>GENERAL SERVICE 50 TO 1,499 KW SERVICE CLASSIFICATION</t>
  </si>
  <si>
    <t>3_GENERAL SERVICE 50 TO 1,499 KW SERVICE CLASSIFICATION</t>
  </si>
  <si>
    <t>This classification refers to a non residential account whose monthly average peak is equal to or greater than, or is forecast to be equal to or greater than, 50 kW but less than 1,500 kW.  Class A and Class B consumers are defined in accordance with O. Reg. 429/04. Further servicing details are available in the utility’s Conditions of Service.</t>
  </si>
  <si>
    <t>3_GENERAL SERVICE 50 TO 1,499 KW SERVICE CLASSIFICATION_MSC</t>
  </si>
  <si>
    <t>3_GENERAL SERVICE 50 TO 1,499 KW SERVICE CLASSIFICATION_DVC</t>
  </si>
  <si>
    <t>3_GENERAL SERVICE 50 TO 1,499 KW SERVICE CLASSIFICATION_LV</t>
  </si>
  <si>
    <t>3_GENERAL SERVICE 50 TO 1,499 KW SERVICE CLASSIFICATION_GA_kwh</t>
  </si>
  <si>
    <t>3_GENERAL SERVICE 50 TO 1,499 KW SERVICE CLASSIFICATION_DEFVAR_ALL</t>
  </si>
  <si>
    <t>3_GENERAL SERVICE 50 TO 1,499 KW SERVICE CLASSIFICATION_Retail Transmission Rate - Network Service Rate</t>
  </si>
  <si>
    <t>3_GENERAL SERVICE 50 TO 1,499 KW SERVICE CLASSIFICATION_Retail Transmission Rate - Line and Transformation Connection Service Rate</t>
  </si>
  <si>
    <t>3_GENERAL SERVICE 50 TO 1,499 KW SERVICE CLASSIFICATION_WMSR</t>
  </si>
  <si>
    <t>3_GENERAL SERVICE 50 TO 1,499 KW SERVICE CLASSIFICATION_RRRP</t>
  </si>
  <si>
    <t>3_GENERAL SERVICE 50 TO 1,499 KW SERVICE CLASSIFICATION_SSS</t>
  </si>
  <si>
    <t>INTERMEDIATE USER SERVICE CLASSIFICATION</t>
  </si>
  <si>
    <t>4_INTERMEDIATE USER SERVICE CLASSIFICATION</t>
  </si>
  <si>
    <t>This classification refers to a non residential account whose monthly average peak is equal to or greater than, or is forecast to be equal to or greater than, 1,500 kW but less than 5,000 kW. Class A and Class B consumers are defined in accordance with O. Reg. 429/04. Further servicing details are available in the utility’s Conditions of Service.</t>
  </si>
  <si>
    <t>4_INTERMEDIATE USER SERVICE CLASSIFICATION_MSC</t>
  </si>
  <si>
    <t>4_INTERMEDIATE USER SERVICE CLASSIFICATION_DVC</t>
  </si>
  <si>
    <t>4_INTERMEDIATE USER SERVICE CLASSIFICATION_LV</t>
  </si>
  <si>
    <t>4_INTERMEDIATE USER SERVICE CLASSIFICATION_DEFVAR_ALL</t>
  </si>
  <si>
    <t>4_INTERMEDIATE USER SERVICE CLASSIFICATION_Retail Transmission Rate - Network Service Rate</t>
  </si>
  <si>
    <t>4_INTERMEDIATE USER SERVICE CLASSIFICATION_Retail Transmission Rate - Line and Transformation Connection Service Rate</t>
  </si>
  <si>
    <t>4_INTERMEDIATE USER SERVICE CLASSIFICATION_WMSR</t>
  </si>
  <si>
    <t>4_INTERMEDIATE USER SERVICE CLASSIFICATION_RRRP</t>
  </si>
  <si>
    <t>4_INTERMEDIATE USER SERVICE CLASSIFICATION_SSS</t>
  </si>
  <si>
    <t>This classification is a sub-category of the street lighting load. These customers are billed on a fixed load based on the size of bulb. Class B consumers are defined in accordance with O. Reg. 429/04. Further servicing details are available in the utility’s Conditions of Service.</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</si>
  <si>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</si>
  <si>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Hearst Power Distribution Co. Ltd._ALLOWANCES</t>
  </si>
  <si>
    <t>Hearst Power Distribution Co. Ltd._SSC</t>
  </si>
  <si>
    <t>Hearst Power Distribution Co. Ltd._CA</t>
  </si>
  <si>
    <t>Hearst Power Distribution Co. Ltd._NPoA</t>
  </si>
  <si>
    <t>Late Payment - per month
(effective annual rate 19.56% per annum or 0.04896% compounded daily rate)</t>
  </si>
  <si>
    <t xml:space="preserve">Reconnection at pole - during regular hours </t>
  </si>
  <si>
    <t>time and materials</t>
  </si>
  <si>
    <t xml:space="preserve">Temporary service install and remove - overhead - no transformer </t>
  </si>
  <si>
    <t>Temporary service install and remove - underground - no transformer</t>
  </si>
  <si>
    <t>Hearst Power Distribution Co. Ltd._RSC</t>
  </si>
  <si>
    <t>Retail Service Charges refer to services provided by a distributor to retailers or customers related to the supply 
of competitive electricity</t>
  </si>
  <si>
    <t>Hearst Power Distribution Co. Ltd._LFs</t>
  </si>
  <si>
    <t>Hearst Power Distribution Co. Ltd._End</t>
  </si>
  <si>
    <t>Hydro 2000 Inc._Start</t>
  </si>
  <si>
    <t>This classification refers to an account taking electricity at 750 volts or less where the electricity is used exclusively by residential customers residing in detached, semi-detached or townhouse dwelling units. Class B consumers are defined in accordance with O. Reg. 429/04. Further servicing details are available in the distributor’s Conditions of Service.</t>
  </si>
  <si>
    <t>This classification refers to a non residential account taking electricity at 750 volts or less whose average monthly average peak demand is less than, or is forecast to be less than, 50 kW. This section shall include small apartment buildings, stacked townhouses, and smaller commercial, industrial and institutional developments. Class B consumers are defined in accordance with O. Reg. 429/04. Further servicing details are available in the distributor’s Conditions of Service.</t>
  </si>
  <si>
    <t>4_STREET LIGHTING SERVICE CLASSIFICATION_LV</t>
  </si>
  <si>
    <t>Hydro 2000 Inc._ALLOWANCES</t>
  </si>
  <si>
    <t>Hydro 2000 Inc._SSC</t>
  </si>
  <si>
    <t>Hydro 2000 Inc._CA</t>
  </si>
  <si>
    <t>Hydro 2000 Inc._NPoA</t>
  </si>
  <si>
    <t>Hydro 2000 Inc._RSC</t>
  </si>
  <si>
    <t>Hydro 2000 Inc._LFs</t>
  </si>
  <si>
    <t>Hydro 2000 Inc._End</t>
  </si>
  <si>
    <t>Lakeland Power Distribution Ltd._Start</t>
  </si>
  <si>
    <t>This classification refers to the supply of electrical energy to residential customers residing in detached, semi detached, town house (freehold or condominium) dwelling units, duplexes or triplexes. Supply will be limited up to a maximum of 200 amp @ 240/120 volt. Class B consumers are defined in accordance with O. Reg. 429/04. Further servicing details are available in the distributor's Conditions of Service.</t>
  </si>
  <si>
    <t>Rate Rider for Application of Tax Change (2024) - effective until April 30, 2025</t>
  </si>
  <si>
    <t>This classification refers to a non-residential account taking electricity at 750 volts or less whose monthly peak demand is less than or is expected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</si>
  <si>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expected to be equal to or greater than 50 kW but less then 5,000 kW. Class A and Class B consumers are defined in accordance with O. Reg. 429/04. Further servicing details are available in the distributor's Conditions of Service.</t>
  </si>
  <si>
    <t>This classification refers to a non-residential account taking electricity at 240/120 or 120 volts whose monthly peak demand is less than or expected to be less than 50 kW and is unmetered.  A detailed calculation or the load will be calculated for billing purposes.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</si>
  <si>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</si>
  <si>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</si>
  <si>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Lakeland Power Distribution Ltd._ALLOWANCES</t>
  </si>
  <si>
    <t>Lakeland Power Distribution Ltd._SSC</t>
  </si>
  <si>
    <t>Lakeland Power Distribution Ltd._CA</t>
  </si>
  <si>
    <t>Account history/Statement of account</t>
  </si>
  <si>
    <t>Lakeland Power Distribution Ltd._NPoA</t>
  </si>
  <si>
    <t>Lakeland Power Distribution Ltd._RSC</t>
  </si>
  <si>
    <t>Lakeland Power Distribution Ltd._LFs</t>
  </si>
  <si>
    <t>Lakeland Power Distribution Ltd._End</t>
  </si>
  <si>
    <t>London Hydro Inc._Start</t>
  </si>
  <si>
    <t>This classification applies to an account taking electricity at 750 volts or less where the electricity is used exclusively in a separate metered living accommodation. Separately metered dwellings within a town house complex or apartment building also qualify as residential customers.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Non IESO generation accounts, primarily net-metered accounts taking electricity at 750 volts or less where the electricity is used exclusively in a separate metered living accommodation shall be classified as residential.  Class B consumers are defined in accordance with O. Reg. 429/04.  Further servicing details are available in London Hydro’s Conditions of Service.</t>
  </si>
  <si>
    <t>Rate Rider for Recovery of Advanced Capital Module (2024)  - effective until the effective date of the next 
      cost of service-based rate order</t>
  </si>
  <si>
    <t>1_RESIDENTIAL SERVICE CLASSIFICATION_FX_RR_26</t>
  </si>
  <si>
    <t>This classification applies to a non-residential account taking electricity at 750 volts or less whose average monthly maximum demand is less than, or is forecast to be less than, 50 kW.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Class B consumers are defined in accordance with O. Reg. 429/04.  Further servicing details are available in London Hydro’s Conditions of Service.</t>
  </si>
  <si>
    <t>2_GENERAL SERVICE LESS THAN 50 KW SERVICE CLASSIFICATION_FX_RR_27</t>
  </si>
  <si>
    <t>This classification applies to a non residential account whose average monthly maximum demand used for billing purposes is equal to or greater than, or is forecast to be equal to or greater than, 50 kW but less than 5,000 kW. Note that for the determination of the billing demand and the application of the Retail Transmission Rate - Network Service Rate and the Retail Transmission Rate - Line and Transformation Connection Service Rate the following sub-classifications apply:
     General Service 50 to 199 kW non-interval metered
     General Service 50 to 4,999 kW interval metered.
Class A and Class B consumers are defined in accordance with O. Reg. 429/04.  Further servicing details are available in London Hydro’s Conditions of Service.</t>
  </si>
  <si>
    <t>GENERAL SERVICE 1,000 TO 4,999 KW (CO-GENERATION) SERVICE CLASSIFICATION</t>
  </si>
  <si>
    <t>4_GENERAL SERVICE 1,000 TO 4,999 KW (CO-GENERATION) SERVICE CLASSIFICATION</t>
  </si>
  <si>
    <t>Embedded generation, co-generation or load displacement customers have the option to reserve demand capacity on the London Hydro distribution system for import load through mutual agreement/contract. For the embedded generation customers with a gross peak demand annual average of less than 1,000 kW and equal to or greater than 50 kW per month, the General Service 50 to 4,999 kW distribution rates will be applied, as long as there is no requirement for reserve capacity from the customer. For the embedded generation customers with a gross peak demand annual average of less than 50 kW per month, the General Service Less Than 50 kW distribution rates will be applied, as long as there is no requirement for reserve capacity from the customer. Class A and Class B consumers are defined in accordance with O. Reg. 429/04. Further servicing details are available in London Hydro’s Conditions of Service.</t>
  </si>
  <si>
    <t>4_GENERAL SERVICE 1,000 TO 4,999 KW (CO-GENERATION) SERVICE CLASSIFICATION_MSC</t>
  </si>
  <si>
    <t>Distribution Volumetric Rate is applied to billed demand in excess of contracted amount 
      (e.g. nameplate rating of the generation facility)</t>
  </si>
  <si>
    <t>4_GENERAL SERVICE 1,000 TO 4,999 KW (CO-GENERATION) SERVICE CLASSIFICATION_DVC</t>
  </si>
  <si>
    <t>4_GENERAL SERVICE 1,000 TO 4,999 KW (CO-GENERATION) SERVICE CLASSIFICATION_GA_kwh</t>
  </si>
  <si>
    <t>4_GENERAL SERVICE 1,000 TO 4,999 KW (CO-GENERATION) SERVICE CLASSIFICATION_DEFVAR_ALL</t>
  </si>
  <si>
    <t>4_GENERAL SERVICE 1,000 TO 4,999 KW (CO-GENERATION) SERVICE CLASSIFICATION_CBR</t>
  </si>
  <si>
    <t>4_GENERAL SERVICE 1,000 TO 4,999 KW (CO-GENERATION) SERVICE CLASSIFICATION_Retail Transmission Rate - Network Service Rate</t>
  </si>
  <si>
    <t>4_GENERAL SERVICE 1,000 TO 4,999 KW (CO-GENERATION) SERVICE CLASSIFICATION_Retail Transmission Rate - Line and Transformation Connection Service Rate</t>
  </si>
  <si>
    <t>4_GENERAL SERVICE 1,000 TO 4,999 KW (CO-GENERATION) SERVICE CLASSIFICATION_WMSR</t>
  </si>
  <si>
    <t>4_GENERAL SERVICE 1,000 TO 4,999 KW (CO-GENERATION) SERVICE CLASSIFICATION_RRRP</t>
  </si>
  <si>
    <t>4_GENERAL SERVICE 1,000 TO 4,999 KW (CO-GENERATION) SERVICE CLASSIFICATION_SSS</t>
  </si>
  <si>
    <t>This classification refers to an account that has Load Displacement Generation and requires London Hydro to provide backup service. The distribution Standby Power rate will be applied to all monthly kW’s reserved. Further servicing details are available in London Hydro’s Conditions of Service.</t>
  </si>
  <si>
    <t>Standby Charge is applied to the contracted amount (e.g. nameplate rating of the generation facility).</t>
  </si>
  <si>
    <t>5_STANDBY POWER SERVICE CLASSIFICATION_GA_kwh</t>
  </si>
  <si>
    <t>5_STANDBY POWER SERVICE CLASSIFICATION_DEFVAR_ALL</t>
  </si>
  <si>
    <t>5_STANDBY POWER SERVICE CLASSIFICATION_CBR</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</si>
  <si>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London Hydro’s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</si>
  <si>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Ontaro Energy Board street lighting load shape template. Further servicing details are available in London Hydro’s Conditions of Service.</t>
  </si>
  <si>
    <t>This classification refers to accounts that are an unmetered lighting load supplied to a sentinel light. Further servicing details are available in London Hydro’s Conditions of Service.</t>
  </si>
  <si>
    <t>9_UNMETERED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</si>
  <si>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London Hydro’s Conditions of Service.</t>
  </si>
  <si>
    <t>9_UNMETERED SCATTERED LOAD SERVICE CLASSIFICATION_MSC</t>
  </si>
  <si>
    <t>9_UNMETERED SCATTERED LOAD SERVICE CLASSIFICATION_DVC</t>
  </si>
  <si>
    <t>9_UNMETERED SCATTERED LOAD SERVICE CLASSIFICATION_CBR</t>
  </si>
  <si>
    <t>9_UNMETERED SCATTERED LOAD SERVICE CLASSIFICATION_DEFVAR_ALL</t>
  </si>
  <si>
    <t>9_UNMETERED SCATTERED LOAD SERVICE CLASSIFICATION_Retail Transmission Rate - Network Service Rate</t>
  </si>
  <si>
    <t>9_UNMETERED SCATTERED LOAD SERVICE CLASSIFICATION_Retail Transmission Rate - Line and Transformation Connection Service Rate</t>
  </si>
  <si>
    <t>9_UNMETERED SCATTERED LOAD SERVICE CLASSIFICATION_WMSR</t>
  </si>
  <si>
    <t>9_UNMETERED SCATTERED LOAD SERVICE CLASSIFICATION_RRRP</t>
  </si>
  <si>
    <t>9_UNMETERED SCATTERED LOAD SERVICE CLASSIFICATION_SSS</t>
  </si>
  <si>
    <t>This classification applies to an electricity generation facility contracted under the Independent Electricity System Operator’s microFIT program and connected to the distributor’s distribution system. Further servicing details are available in London Hydro’s Conditions of Service.</t>
  </si>
  <si>
    <t>The application of these rates and charges shall be in accordance with the Licence of the Distributor and any Code or Order of the Ontario Energy Board, and amendments thereto as approved by theOntario Energy Board, which may be applicable to the administration of this schedule.</t>
  </si>
  <si>
    <t>London Hydro Inc._ALLOWANCES</t>
  </si>
  <si>
    <t>London Hydro Inc._SSC</t>
  </si>
  <si>
    <t>CUSTOMER ADMINISTRATION</t>
  </si>
  <si>
    <t>London Hydro Inc._CA</t>
  </si>
  <si>
    <t>Cellular meter read charge</t>
  </si>
  <si>
    <t>NON-PAYMENT OF ACCOUNT</t>
  </si>
  <si>
    <t>London Hydro Inc._NPoA</t>
  </si>
  <si>
    <t>OTHER</t>
  </si>
  <si>
    <t>Meter interrogation charge</t>
  </si>
  <si>
    <t>London Hydro Inc._RSC</t>
  </si>
  <si>
    <t>London Hydro Inc._LFs</t>
  </si>
  <si>
    <t>London Hydro Inc._End</t>
  </si>
  <si>
    <t>Espanola Rate Zone</t>
  </si>
  <si>
    <t>This classification refers to an account taking electricity at 750 volts or less where the electricity is used exclusively in a single family unit, non-commercial.  This can be a separately metered living accomodation, town house, apartment, semi-detached, duplex, triplex or quadruplex with residential zoning.  Further servicing details are available in the distributor's Conditions of service.</t>
  </si>
  <si>
    <t>The application of these rates and charges shall be in accordance with the License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</si>
  <si>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</si>
  <si>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Global Adjustment and the HST.</t>
  </si>
  <si>
    <t>Rate Rider for Disposition of Deferral/Variance Accounts (2024) - effective until April 30, 2026</t>
  </si>
  <si>
    <t>Rate Rider for Disposition of Deferral/Variance Accounts - effective until April 30, 2026</t>
  </si>
  <si>
    <t>1_RESIDENTIAL SERVICE CLASSIFICATION_LRAM</t>
  </si>
  <si>
    <t>This classification refers to a non residential account taking electricty at 750 volts or less whose monthly average peak demand is less than, or is forecast to be less than 50 kW.  Further servicing details are available in the distributor's Conditions of Service.</t>
  </si>
  <si>
    <t>This classification refers to a non residential account whose average peak demand is greater than, or is forecast to be greater than 50 kW but less than 5,000 kW.  Further servicing details are available in the distributor's Conditions of Service.</t>
  </si>
  <si>
    <t>This classification refers to an account taking electricty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</si>
  <si>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Further servicing details are available in the distributor's Conditions of Service.</t>
  </si>
  <si>
    <t>5_SENTINEL LIGHTING SERVICE CLASSIFICATION_LRAM</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</si>
  <si>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</si>
  <si>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</si>
  <si>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North Bay Hydro Distribution Limited_ALLOWANCES</t>
  </si>
  <si>
    <t>North Bay Hydro Distribution Limited_SSC</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</si>
  <si>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</si>
  <si>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Global Adjustment and the HST.</t>
  </si>
  <si>
    <t>North Bay Hydro Distribution Limited_CA</t>
  </si>
  <si>
    <t>North Bay Hydro Distribution Limited_NPoA</t>
  </si>
  <si>
    <t>Late payment - per month (effective annual rate 19.56% per annum or 
0.04896% compounded daily rate)</t>
  </si>
  <si>
    <t>North Bay Hydro Distribution Limited_RSC</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</si>
  <si>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</si>
  <si>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</si>
  <si>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Global Adjustment and the HST. </t>
  </si>
  <si>
    <t>North Bay Hydro Distribution Limited_LFs</t>
  </si>
  <si>
    <t>North Bay Rate Zone</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</si>
  <si>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</si>
  <si>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includes non 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</si>
  <si>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This classification includes non residential accounts where monthly average peak demand is equal to or greater than, or is forecast to be equal to or greater than, 50 kW but less than 3,000 kW. Class A and Class B consumers are defined in accordance with O. Reg. 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</si>
  <si>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</si>
  <si>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GENERAL SERVICE GREATER THAN 3,000 KW SERVICE CLASSIFICATION</t>
  </si>
  <si>
    <t>This classification includes non residential accounts where monthly average peak demand is equal to or greater than, or is forecast to be equal to or greater than 3,000 kW. Class A and Class B consumers are defined in accordance with O. Reg. 429/04. Further servicing details are available in the distributor’s Conditions of Service.</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</si>
  <si>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</si>
  <si>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13_APPLICATION</t>
  </si>
  <si>
    <t>13_MRC_Del</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</si>
  <si>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</si>
  <si>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 Request fee, per request, applied to the requesting party</t>
  </si>
  <si>
    <t xml:space="preserve">                   Processing fee, per request, applied to the requesting party</t>
  </si>
  <si>
    <t>Northern Ontario Wires Inc._Start</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</si>
  <si>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</si>
  <si>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Northern Ontario Wires Inc._ALLOWANCES</t>
  </si>
  <si>
    <t>Northern Ontario Wires Inc._SSC</t>
  </si>
  <si>
    <t>Northern Ontario Wires Inc._CA</t>
  </si>
  <si>
    <t>Northern Ontario Wires Inc._NPoA</t>
  </si>
  <si>
    <t>Specific charge for access to the power poles - $/pole/year
      (with the exception of wireless attachments)</t>
  </si>
  <si>
    <t>Northern Ontario Wires Inc._RSC</t>
  </si>
  <si>
    <t>Northern Ontario Wires Inc._LFs</t>
  </si>
  <si>
    <t>Northern Ontario Wires Inc._End</t>
  </si>
  <si>
    <t>Orangeville Hydro Limited_Start</t>
  </si>
  <si>
    <t>This classification refers to the supply of electrical energy to residential customers residing in detached, semi detached, townhouse (freehold or condominium) dwelling units duplexes or triplexes.  Basic connection is defined as 100 amp 120/240 volt overhead service. Class B consumers are defined in accordance with O. Reg. 429/04. Further servicing details are available in the distributor’s Conditions of Service.</t>
  </si>
  <si>
    <t>1_RESIDENTIAL SERVICE CLASSIFICATION_FX_RR_41</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</si>
  <si>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</si>
  <si>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is expected to be equal to or greater than, 50 kW but less than 5000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</si>
  <si>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</si>
  <si>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</si>
  <si>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4_SENTINEL LIGHTING SERVICE CLASSIFICATION_LV</t>
  </si>
  <si>
    <t>Rate Rider for Disposition of Group 2 Deferral/Variance Accounts (2024) - effective until April 30, 2027</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</si>
  <si>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</si>
  <si>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This classification refers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</si>
  <si>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</si>
  <si>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Orangeville Hydro Limited_ALLOWANCES</t>
  </si>
  <si>
    <t>Orangeville Hydro Limited_SSC</t>
  </si>
  <si>
    <t>Orangeville Hydro Limited_CA</t>
  </si>
  <si>
    <t>Orangeville Hydro Limited_NPoA</t>
  </si>
  <si>
    <t>Specific charge for access to the power poles - per pole/year (with the exception of wireless 
     attachments)</t>
  </si>
  <si>
    <t>Orangeville Hydro Limited_RSC</t>
  </si>
  <si>
    <t>Orangeville Hydro Limited_LFs</t>
  </si>
  <si>
    <t>Orangeville Hydro Limited_End</t>
  </si>
  <si>
    <t>Ottawa River Power Corporation_Start</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</si>
  <si>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Depending upon the location of the building the supply voltage will be one of the following:
- 120/240 volts 1 phase 3 wire
- 120/208 volts 1 phase 3 wire
- 120/208 volts 3 phase 4 wire
- 347/600 volts 3 phase 4 wire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</si>
  <si>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</si>
  <si>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This classification refers to the supply of electrical energy to General Service Customers requiring a connection with a connected load equal to or greater than 50 kW but less than 5,000kW. A General Service building is supplied at one service voltage per land parcel. Depending upon the location of the building the supply voltage will be one of the following:
- 120/240 volts 1 phase 3 wire
- 120/208 volts 3 phase 4 wire
- 347/600 volts 3 phase 4 wire
Depending upon the location of the building, primary supplies to transformers and customer owned Sub-Stations will be one of the following as determined by the Distributor:
- 7,200/12,400 volts 3 phase 4 wire
- 44,000 volts 3 phase 3 wire
Class A and Class B consumers are defined in accordance with O. Reg. 429/04. Further servicing details are available in the distributor’s Conditions of Service.</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</si>
  <si>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</si>
  <si>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This classification refers to municipal lighting, Ministry of Transportation operation controlled by photo cells. The consumption for these customers will be based on the calculated connected load multiplied by the required lighting times, established in the approved Ontario Energy Board street lighting load shape template.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</si>
  <si>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</si>
  <si>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Ottawa River Power Corporation_ALLOWANCES</t>
  </si>
  <si>
    <t>Ottawa River Power Corporation_SSC</t>
  </si>
  <si>
    <t>Ottawa River Power Corporation_CA</t>
  </si>
  <si>
    <t>Ottawa River Power Corporation_NPoA</t>
  </si>
  <si>
    <t>Ottawa River Power Corporation_RSC</t>
  </si>
  <si>
    <t>Ottawa River Power Corporation_LFs</t>
  </si>
  <si>
    <t>Ottawa River Power Corporation_End</t>
  </si>
  <si>
    <t>PUC Distribution Inc._Start</t>
  </si>
  <si>
    <t>This classification applies to an account taking electricity at 750 volts or less where the electricity is used exclusively in a single family unit, non-commercial.  This can be a separately metered living accommodation, town house, apartment, semi-detached, duplex, triplex or quadruplex with residential zoning.  Class B consumers are defined on accordance with O. Reg. 429/04. Further servicing details are available in the distributor's Conditions of Service.</t>
  </si>
  <si>
    <t>1_RESIDENTIAL SERVICE CLASSIFICATION_FX_RR_43</t>
  </si>
  <si>
    <t>This classification applies to a non residential account taking electricity at 750 volts or less whose average monthly peak demand is less than, or is forecast to be less than, 50 kW.  Class B consumers are defined on accordance with O. Reg. 429/04.  Further servicing details are available in the distributor's Conditions of Service.</t>
  </si>
  <si>
    <t>This classification applies to a non residential account whose average monthly peak demand used for billing purposes over the past 12 months is equal to or greater than, or is forecast to be equal to or greater than, 50 kW but less than 5,000 kW.  Class A and Class B consumers are defined on accordance with O. Reg. 429/04.  Further servicing details are available in the distributor's Conditions of Service.</t>
  </si>
  <si>
    <t>This classification applies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on accordance with O. Reg. 429/04.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</si>
  <si>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Class B consumers are defined on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</si>
  <si>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on accordance with O. Reg. 429/04.  Further servicing details are available in the distributor's Conditions of Service.</t>
  </si>
  <si>
    <t>PUC Distribution Inc._ALLOWANCES</t>
  </si>
  <si>
    <t>PUC Distribution Inc._SSC</t>
  </si>
  <si>
    <t>PUC Distribution Inc._CA</t>
  </si>
  <si>
    <t>PUC Distribution Inc._NPoA</t>
  </si>
  <si>
    <t>Reconnection charge - at meter - after hours</t>
  </si>
  <si>
    <t>Reconnection charge - at pole - after hours</t>
  </si>
  <si>
    <t>Time &amp; Materials</t>
  </si>
  <si>
    <t>Removal of overhead lines - during regular hours</t>
  </si>
  <si>
    <t>Removal of overhead lines - after hours</t>
  </si>
  <si>
    <t>Roadway escort - after regular hours</t>
  </si>
  <si>
    <t>PUC Distribution Inc._RSC</t>
  </si>
  <si>
    <t>PUC Distribution Inc._LFs</t>
  </si>
  <si>
    <t>PUC Distribution Inc._End</t>
  </si>
  <si>
    <t>Rideau St. Lawrence Distribution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</si>
  <si>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t>
  </si>
  <si>
    <t>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</si>
  <si>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Recovery of Advanced Capital Module - effective until the effective date of the next 
      cost of service-based rate order</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</si>
  <si>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</si>
  <si>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</si>
  <si>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 xml:space="preserve">Retail Transmission Rate - Network Service Rate - Interval Metered </t>
  </si>
  <si>
    <t>Rideau St. Lawrence Distribution Inc._ALLOWANCES</t>
  </si>
  <si>
    <t xml:space="preserve">Transformer Allowance for Ownership - per kW of billing demand/month </t>
  </si>
  <si>
    <t>Rideau St. Lawrence Distribution Inc._SSC</t>
  </si>
  <si>
    <t>Rideau St. Lawrence Distribution Inc._CA</t>
  </si>
  <si>
    <t xml:space="preserve">Arrears certificate </t>
  </si>
  <si>
    <t xml:space="preserve">Statement of account </t>
  </si>
  <si>
    <t xml:space="preserve">Pulling post-dated cheques </t>
  </si>
  <si>
    <t xml:space="preserve">Duplicate invoices for previous billing </t>
  </si>
  <si>
    <t xml:space="preserve">Request for other billing information </t>
  </si>
  <si>
    <t xml:space="preserve">Easement letter </t>
  </si>
  <si>
    <t xml:space="preserve">Income tax letter </t>
  </si>
  <si>
    <t xml:space="preserve">Notification charge </t>
  </si>
  <si>
    <t xml:space="preserve">Account history </t>
  </si>
  <si>
    <t xml:space="preserve">Credit reference/credit check (plus credit agency costs) </t>
  </si>
  <si>
    <t xml:space="preserve">Returned cheque charge (plus bank charges) </t>
  </si>
  <si>
    <t xml:space="preserve">Charge to certify cheque </t>
  </si>
  <si>
    <t xml:space="preserve">Legal letter charge </t>
  </si>
  <si>
    <t xml:space="preserve">Account set up charge/change of occupancy charge (plus credit agency costs if applicable) </t>
  </si>
  <si>
    <t xml:space="preserve">Meter dispute charge plus Measurement Canada fees (if meter found correct) </t>
  </si>
  <si>
    <t xml:space="preserve">Special meter reads </t>
  </si>
  <si>
    <t>Rideau St. Lawrence Distribution Inc._NPoA</t>
  </si>
  <si>
    <t xml:space="preserve">Reconnection at meter - during regular hours </t>
  </si>
  <si>
    <t xml:space="preserve">Reconnection at meter - after regular hours </t>
  </si>
  <si>
    <t xml:space="preserve">Reconnection at pole - after regular hours </t>
  </si>
  <si>
    <t xml:space="preserve">Service call - customer owned equipment </t>
  </si>
  <si>
    <t xml:space="preserve">Service call - after regular hours </t>
  </si>
  <si>
    <t xml:space="preserve">Temporary service install and remove - underground - no transformer </t>
  </si>
  <si>
    <t xml:space="preserve">Temporary service install and remove - overhead - with transformer </t>
  </si>
  <si>
    <t>Specific charge for access to the power poles - per pole/year
      (with the exception of wireless attachments)</t>
  </si>
  <si>
    <t>Rideau St. Lawrence Distribution Inc._RSC</t>
  </si>
  <si>
    <t xml:space="preserve">One-time charge, per retailer, to establish the service agreement between the distributor and the retailer </t>
  </si>
  <si>
    <t xml:space="preserve">Monthly fixed charge, per retailer </t>
  </si>
  <si>
    <t xml:space="preserve">Monthly variable charge, per customer, per retailer </t>
  </si>
  <si>
    <t xml:space="preserve">Distributor-consolidated billing monthly charge, per customer, per retailer </t>
  </si>
  <si>
    <t xml:space="preserve">Retailer-consolidated billing monthly credit, per customer, per retailer </t>
  </si>
  <si>
    <t xml:space="preserve">Request fee, per request, applied to the requesting party </t>
  </si>
  <si>
    <t xml:space="preserve">Processing fee, per request, applied to the requesting party </t>
  </si>
  <si>
    <t>Up to twice a year no charge</t>
  </si>
  <si>
    <t xml:space="preserve">More than twice a year, per request (plus incremental delivery costs) </t>
  </si>
  <si>
    <t>Rideau St. Lawrence Distribution Inc._LFs</t>
  </si>
  <si>
    <t>Rideau St. Lawrence Distribution Inc._End</t>
  </si>
  <si>
    <t>Sioux Lookout Hydro Inc._Start</t>
  </si>
  <si>
    <t>EB-2023-0051</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</si>
  <si>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</si>
  <si>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Rate Rider for Recovery of Wind Storm Damage Costs - effective until April 30, 2025</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</si>
  <si>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</si>
  <si>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2_GENERAL SERVICE LESS THAN 50 KW SERVICE CLASSIFICATION_FX_RR_63</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</si>
  <si>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</si>
  <si>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</si>
  <si>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Sioux Lookout Hydro Inc._ALLOWANCES</t>
  </si>
  <si>
    <t>Sioux Lookout Hydro Inc._SSC</t>
  </si>
  <si>
    <t>Sioux Lookout Hydro Inc._CA</t>
  </si>
  <si>
    <t>Returned items (plus bank charges)</t>
  </si>
  <si>
    <t>Sioux Lookout Hydro Inc._NPoA</t>
  </si>
  <si>
    <t xml:space="preserve">Specific charge for access to the power poles - per pole/year (with the exception of wireless attachments) </t>
  </si>
  <si>
    <t>Sioux Lookout Hydro Inc._RSC</t>
  </si>
  <si>
    <t xml:space="preserve">Unless specifically noted, this schedule does not contain any charges for the electricity commodity, be it under the 
Regulated Price Plan, a contract with a retailer or the wholesale market price, as applicable.  </t>
  </si>
  <si>
    <t>Sioux Lookout Hydro Inc._LFs</t>
  </si>
  <si>
    <t>Sioux Lookout Hydro Inc._End</t>
  </si>
  <si>
    <t>Synergy North Corporation_Start</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</si>
  <si>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</si>
  <si>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</si>
  <si>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GENERAL SERVICE 1,000 KW OR GREATER SERVICE CLASSIFICATION</t>
  </si>
  <si>
    <t>4_GENERAL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</si>
  <si>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</si>
  <si>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4_GENERAL SERVICE 1,000 KW OR GREATER SERVICE CLASSIFICATION_MSC</t>
  </si>
  <si>
    <t>4_GENERAL SERVICE 1,000 KW OR GREATER SERVICE CLASSIFICATION_DVC</t>
  </si>
  <si>
    <t>4_GENERAL SERVICE 1,000 KW OR GREATER SERVICE CLASSIFICATION_DEFVAR_ALL</t>
  </si>
  <si>
    <t>4_GENERAL SERVICE 1,000 KW OR GREATER SERVICE CLASSIFICATION_GA_kwh</t>
  </si>
  <si>
    <t>4_GENERAL SERVICE 1,000 KW OR GREATER SERVICE CLASSIFICATION_Retail Transmission Rate - Network Service Rate</t>
  </si>
  <si>
    <t>4_GENERAL SERVICE 1,000 KW OR GREATER SERVICE CLASSIFICATION_Retail Transmission Rate - Line and Transformation Connection Service Rate</t>
  </si>
  <si>
    <t>4_GENERAL SERVICE 1,000 KW OR GREATER SERVICE CLASSIFICATION_WMSR</t>
  </si>
  <si>
    <t>4_GENERAL SERVICE 1,000 KW OR GREATER SERVICE CLASSIFICATION_RRRP</t>
  </si>
  <si>
    <t>4_GENERAL SERVICE 1,000 KW OR GREATER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</si>
  <si>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</si>
  <si>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</si>
  <si>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Synergy North Corporation_ALLOWANCES</t>
  </si>
  <si>
    <t>Synergy North Corporation_SSC</t>
  </si>
  <si>
    <t>Synergy North Corporation_CA</t>
  </si>
  <si>
    <t>Synergy North Corporation_NPoA</t>
  </si>
  <si>
    <t>Specific charge for access to the power poles - $/pole/year (with the eception of wireless attachments)</t>
  </si>
  <si>
    <t>Synergy North Corporation_RSC</t>
  </si>
  <si>
    <t>Synergy North Corporation_LFs</t>
  </si>
  <si>
    <t>Synergy North Corporation_End</t>
  </si>
  <si>
    <t>ERTH Power Corporation-Goderich Rate Zone</t>
  </si>
  <si>
    <t>ERTH Power Corporation-Goderich Rate Zone_Start</t>
  </si>
  <si>
    <t>This classification refers to the supply of electrical energy to customers residing in residential dwelling units. Class B consumers are defined in accordance with O. Reg. 429/04. Further servicing details are available in the distributor's Conditions of Service.</t>
  </si>
  <si>
    <t>This classification applies to the supply of electrical energy to General Service Buildings requiring a connection with a connected load less than 50 kW and, Town Houses and Condominiums described in section 3.1.8 of the distributor's Conditions of Service that require centralized bulk metering.  General Service Buildings are defined as buildings that are used for purposes other than single family dwellings.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</si>
  <si>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 kW but less than 500 kW.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</si>
  <si>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500 kW but less than 5,000 kW. Class A and Class B consumers are defined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</si>
  <si>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</si>
  <si>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decorative street lighting, bill boards, etc.  The level of consumption will be agreed to by the distributor and the customer, based on detailed manufacturer information/documentation with regard to electrical consumption of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</si>
  <si>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Street lighting plant, facilities or equipment owned by the customer are subject to the ESA requirements. Class B consumers are defined in accordance with O. Reg. 429/04. Further servicing details are available in the distributor's Conditions of Service.</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</si>
  <si>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</si>
  <si>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ERTH Power Corporation_ALLOWANCES</t>
  </si>
  <si>
    <t>ERTH Power Corporation_SSC</t>
  </si>
  <si>
    <t>ERTH Power Corporation_CA</t>
  </si>
  <si>
    <t>ERTH Power Corporation_NPoA</t>
  </si>
  <si>
    <t xml:space="preserve">      Late payment - per month
      (effective annual rate 19.56% per annum or 0.04896% compounded daily rate)</t>
  </si>
  <si>
    <t xml:space="preserve">     Specific charge for access to the power poles - $/pole/year (with the exception of wireless
     attachments)</t>
  </si>
  <si>
    <t>ERTH Power Corporation_RSC</t>
  </si>
  <si>
    <t>ERTH Power Corporation_LFs</t>
  </si>
  <si>
    <t>ERTH Power Corporation-Goderich Rate Zone_End</t>
  </si>
  <si>
    <t>ERTH Power Corporation-Main Rate Zone</t>
  </si>
  <si>
    <t>ERTH Power Corporation-Main Rate Zone_Start</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</si>
  <si>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</si>
  <si>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Rate Rider for Disposition of Deferral/Variance Accounts (2024) - effective until April 30, 2026 - 
      Approved on an Interim Basis</t>
  </si>
  <si>
    <t>This classification refers to the supply of electrical energy to General Service buildings requiring a connection with a connected load less than 50 kW, and, Town Houses and Condominiums described in section 3.1.9 of the Distributor's Conditions of Service that require centralized bulk metering.  General Service buildings are defined as buildings that are used for purposes other than single family dwellings. Class B consumers are defined in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</si>
  <si>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50 kW but less than 1000 kW. Class B consumers are defined in in accordance with O. Reg. 429/04. Further servicing details are available in the distributor's Conditions of Service.</t>
  </si>
  <si>
    <t xml:space="preserve">This classification refers to the supply of electrical energy to General Service Customers requiring a connection with a connected load or whose average monthly maximum demand used for billing purposes is equal to or greater than 1000 kW but less than 5000 kW. Class A and Class B consumers are defined in in accordance with O. Reg. 429/04. Further servicing details are available in the distributor's Conditions of Service. </t>
  </si>
  <si>
    <t xml:space="preserve">This classification refers to the supply of electrical energy to General Service Customers requiring a connection with a connected load or whose average monthly maximum demand used for billing purposes is equal to or greater than, or is forecast to be equal to or great than, 5000 kW. Class A and Class B consumers are defined in in accordance with O. Reg. 429/04. Further servicing details are available in the distributor's Conditions of Service. </t>
  </si>
  <si>
    <t>5_LARGE USE SERVICE CLASSIFICATION_GA_kwh</t>
  </si>
  <si>
    <t>5_LARGE USE SERVICE CLASSIFICATION_CBR</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</si>
  <si>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level of consumption will be agreed to by the distributor and the customer, based on detailed manufacturer information/documentation with regard to electrical consumption of unmetered load or periodic monitoring of actual consumption. Class B consumers are defined in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</si>
  <si>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</si>
  <si>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refers to accounts that are an unmetered lighting load supplied to a sentinel light. Class B consumers are defined in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</si>
  <si>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Class B consumers are defined in in accordance with O. Reg. 429/04. Further servicing details are available in the distributor's Conditions of Service.</t>
  </si>
  <si>
    <t>This classification refers to an electricity distributor licensed by the Ontario Energy Board that is provided electricity by means of this distributor's facilities. Further servicing details are available in the distributor's Conditions of Service.</t>
  </si>
  <si>
    <t>9_EMBEDDED DISTRIBUTOR SERVICE CLASSIFICATION_DVC</t>
  </si>
  <si>
    <t>9_EMBEDDED DISTRIBUTOR SERVICE CLASSIFICATION_LV</t>
  </si>
  <si>
    <t>9_EMBEDDED DISTRIBUTOR SERVICE CLASSIFICATION_GA_kwh</t>
  </si>
  <si>
    <t>9_EMBEDDED DISTRIBUTOR SERVICE CLASSIFICATION_DEFVAR_ALL</t>
  </si>
  <si>
    <t>9_EMBEDDED DISTRIBUTOR SERVICE CLASSIFICATION_CBR</t>
  </si>
  <si>
    <t>Specific charge for access to the power poles - $/pole/year (with the exception of wireless
attachments)</t>
  </si>
  <si>
    <t>ERTH Power Corporation-Main Rate Zone_End</t>
  </si>
  <si>
    <t>Welland Hydro-Electric System Corp._Start</t>
  </si>
  <si>
    <t>This classification refers to the supply of electrical energy to residential customers residing in detached or semi-detached units, as defined in the local zoning by-law. Class B consumers are defined in accordance with O. Reg. 429/04. Further servicing details are available in the distributor's Conditions of Service.</t>
  </si>
  <si>
    <t>This classification refers to the supply of electrical energy to commercial buildings taking electricity at 750 volts or less whose monthly average peak demand is less than, or is forecast to be less than, 50 kW.  Commercial buildings are defined as buildings, which are used for purposes other than resident dwellings. Class B consumers are defined in accordance with O. Reg. 429/04. Further servicing details are available in the distributor's Conditions of Service.</t>
  </si>
  <si>
    <t>This classification refers to the supply of electrical energy to commercial buildings whose monthly average peak demand is equal to or greater than, or is forecast to be equal to or greater than, 50 kW but less than 5,000 kW.  Commercial buildings are defined as buildings, which are used for purposes other than resident dwellings.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</si>
  <si>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Unmetered or flat connections are permitted with the approval of Welland Hydro-Electric System Corp. Engineering Department.  Flat rate connects may include, but are not limited to, Traffic Lights, Street Lights, Bus Shelters, and Signs.  Energy consumption is determined by information provided by the customer and/or load measurement taken by Welland Hydro-Electric System Corp. following connection of the flat service.  Class B consumers are defined in accordance with O. Reg. 429/04. Further servicing details are available in the distributor's Conditions of Service.</t>
  </si>
  <si>
    <t>This classification refers to an account for roadway lighting not classified as unmetered or street lighting.  The consumption for the customer will be based on the calculated connected load times a twelve hour day times the applicable billing period.  Class B consumers are defined in accordance with O. Reg. 429/04. Further servicing details are available in the distributor's Conditions of Service.</t>
  </si>
  <si>
    <t>This classification refers to the Street Lighting system owned by the City of Welland.  Welland Hydro-Electric System Corp. provides new installations and maintenance of the street lighting system, as required by the City of Welland.  Class B consumers are defined in accordance with O. Reg. 429/04. Further servicing details are available in the distributor's Conditions of Service.</t>
  </si>
  <si>
    <t>Welland Hydro-Electric System Corp._ALLOWANCES</t>
  </si>
  <si>
    <t>Welland Hydro-Electric System Corp._SSC</t>
  </si>
  <si>
    <t>Welland Hydro-Electric System Corp._CA</t>
  </si>
  <si>
    <t>Welland Hydro-Electric System Corp._NPoA</t>
  </si>
  <si>
    <t>Welland Hydro-Electric System Corp._RSC</t>
  </si>
  <si>
    <t>Welland Hydro-Electric System Corp._LFs</t>
  </si>
  <si>
    <t>Welland Hydro-Electric System Corp._End</t>
  </si>
  <si>
    <t>Entegrus Powerlines Inc.-For Entegrus-Main Rate Zone</t>
  </si>
  <si>
    <t>Entegrus Powerlines Inc.-For Entegrus-Main Rate Zone_Start</t>
  </si>
  <si>
    <t>This classification applies to an account taking electricity at 750 volts or less and includes:</t>
  </si>
  <si>
    <t>1)     All services supplied to single-family dwelling units for domestic or household purposes,</t>
  </si>
  <si>
    <t>2)     All multi-unit residential establishments such as apartments of 6 or less units.</t>
  </si>
  <si>
    <t>3)     If a service supplies a combination of residential and commercial load and wiring does not permit separate metering, the classification of this customer will be determined individually by the distributor.</t>
  </si>
  <si>
    <t>Class B consumers are defined in accordance with O. Reg. 429/04. Further servicing details are available in the distributor’s Conditions of Service.</t>
  </si>
  <si>
    <t>This classification applies to a non-residential account taking electricity at 750 volts or less whose average monthly maximum gross demand over a period of 12 consecutive months is less than, or is forecast to be less than, 50 kW and includes multi-unit residential establishments such as apartment buildings supplied through one service (bulk-metered) with greater than 6 units. Class B consumers are defined in accordance with O. Reg. 429/04. Further servicing details are available in the distributor’s Conditions of Service.</t>
  </si>
  <si>
    <t>This classification applies to a non-residential account whose average monthly maximum gross demand over a period of 12 consecutive months is equal to or greater than, or is forecast to be equal to or greater than, 50 kW but less than 5,000 kW. Class A and Class B customers are defined in accordance with O.Reg.429/04. Further servicing details are available in the distributor’s Conditions of Service.</t>
  </si>
  <si>
    <t>This classification applies to an account whose average monthly maximum gross demand over a period of 12 consecutive months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</si>
  <si>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CLASSIFICATION_CBR</t>
  </si>
  <si>
    <t>This classification refers to an account that has Load Displacement Generation and requires the distributor to provide backup service. Further servicing details are available in the distributor’s Conditions of Service.</t>
  </si>
  <si>
    <t>General Service &gt; 50 kW - for a customer whose facility is in the General Service &gt; 50 kW rate class and for a month where actual demand is less than contracted demand. The charge is applied to the amount by which the amount of load transfer capacity contracted by a facility exceeds the actual demand.</t>
  </si>
  <si>
    <t>Large Use Standby Charge - for a customer whose facility is in the Large Use rate class and for a month where actual demand is less than contracted demand.  The charge is applied to the amount by which the amount of load transfer capacity contracted by a facility exceeds the actual demand.</t>
  </si>
  <si>
    <t>Account setup charge/change of occupancy charge</t>
  </si>
  <si>
    <t>Temporary service install and remove - overhead - no transformer</t>
  </si>
  <si>
    <t>Temporary service install and remove - overhead - with transformer</t>
  </si>
  <si>
    <t>Switching for company maintenance - charge based on time and materials</t>
  </si>
  <si>
    <t>T&amp;M</t>
  </si>
  <si>
    <t>No charge</t>
  </si>
  <si>
    <t>Canadian Niagara Power Inc._Start</t>
  </si>
  <si>
    <t>The Residential Class (Regular) refers to a service taking electricity normally at 750 volts or less where the electricity is used for domestic and household purposes in a single family unit.  A single family unit being a permanent structure located on a single parcel of land and approved by a civic authority as a dwelling and occupied for that purpose by a single customer.  Residential rates are also applied to apartment buildings with 6 units or less that are bulk metered. Apartment buildings with more than 6 units that are bulk metered are deemed to be General Service. Class B consumers are defined in accordance with O. Reg. 429/04. Further servicing details are available in the distributor’s Conditions of Service.</t>
  </si>
  <si>
    <t>This classification refers to the supply of electrical energy to single commercial or industrial customer and whose average peak demand is (or is forecasted to be) less than 50 kW.  Single commercial or industrial customers are interpreted as a structure or structures on a single parcel of land occupied by one customer.  An apartment building with more than 6 units that is bulk metered and has an average peak demand less than 50 kW is deemed to be General Service less than 50 kW.  The common area of a separately metered apartment building having a demand less than 50 kW is also deemed to be General Service less than 50 kW.  Class B consumers are defined in accordance with O. Reg. 429/04. Further servicing details are available in the distributor’s Conditions of Service.</t>
  </si>
  <si>
    <t>2_GENERAL SERVICE LESS THAN 50 KW SERVICE CLASSIFICATION_FX_RR_2</t>
  </si>
  <si>
    <t>This classification refers to the supply of electrical energy to single commercial or industrial customer and whose average peak demand is (or is forecasted to be) equal to or greater than 50 kW but less than 5000 kW.  Single commercial or industrial customers are interpreted as a structure or structures on a single parcel of land occupied by one customer.  Class A and Class B consumers are defined in accordance with O. Reg. 429/04. Further servicing details are available in the distributor’s Conditions of Service.</t>
  </si>
  <si>
    <t>3_GENERAL SERVICE 50 to 4,999 kW SERVICE CLASSIFICATION_FX_RR_3</t>
  </si>
  <si>
    <t xml:space="preserve">Distribution Volumetric Rate  </t>
  </si>
  <si>
    <t>This classification applies to an electricity distributor licensed by the Board, that is provided electricity by means of this distributor’s facilities.  Further servicing details are available in the distributor’s Conditions of Service.</t>
  </si>
  <si>
    <t>This classification refers to the supply of electrical service to a customer that is deemed to have a constant load over a billing period, normally with minimum electrical consumption and the consumption is unmetered.  Energy consumption is based on connected wattage and calculated hours of use.  Examples of unmetered scattered load are cable television amplifiers, billboards, area lighting.  Further servicing details are available in the distributor’s Conditions of Service.</t>
  </si>
  <si>
    <t>Service Charge (per account)</t>
  </si>
  <si>
    <t>The Standby subclass charge is applied to a customer with load displacement facilities behind its meter but is dependent on Canadian Niagara Power Inc. to supply a minimum amount of electricity in the event the customer’s own facilities are out of service.  The minimum amount of supply that Canadian Niagara Power Inc. must supply is a contracted amount agreed upon between the customer and Canadian Niagara Power Inc.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</si>
  <si>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</si>
  <si>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Standby Charge - for a month where standby power is not provided.  The charge is applied to the 
      contracted amount (e.g. nameplate rating of generation facility)</t>
  </si>
  <si>
    <t>This classification refers to all services required to supply sentinel lighting equipment.  Further servicing details are available in the distributor’s Conditions of Service.</t>
  </si>
  <si>
    <t xml:space="preserve">This classification refers to the supply of electrical service for roadway lighting. Energy consumption is based on connected wattage and calculated hours of use. Customers are usually a Municipality, Region or the Ministry of Transportation.  Further servicing details are available in the distributor’s Conditions of Service.
</t>
  </si>
  <si>
    <t>Canadian Niagara Power Inc._ALLOWANCES</t>
  </si>
  <si>
    <t>Canadian Niagara Power Inc._SSC</t>
  </si>
  <si>
    <t>Canadian Niagara Power Inc._CA</t>
  </si>
  <si>
    <t>Canadian Niagara Power Inc._NPoA</t>
  </si>
  <si>
    <t>Canadian Niagara Power Inc._RSC</t>
  </si>
  <si>
    <t>Notice of switch letter charge, per letter (unless the distributor has opted out of applying the charge as 
      per the Ontario Energy Board's Decision and Order EB-2015-0304, issued on February 14, 2019)</t>
  </si>
  <si>
    <t>Canadian Niagara Power Inc._LFs</t>
  </si>
  <si>
    <t>Canadian Niagara Power Inc._End</t>
  </si>
  <si>
    <t>Hydro Ottawa Limited_Start</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</si>
  <si>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</si>
  <si>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Lost Revenue Adjustment Mechanism (LRAM) Recovery - effective until December 31, 2025</t>
  </si>
  <si>
    <t>Smart Metering Entity Charge - effective until December 31, 2022</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</si>
  <si>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</si>
  <si>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</si>
  <si>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</si>
  <si>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</si>
  <si>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3_GENERAL SERVICE 50 TO 1,499 KW SERVICE CLASSIFICATION_LRAM</t>
  </si>
  <si>
    <t>3_GENERAL SERVICE 50 TO 1,499 KW SERVICE CLASSIFICATION_CBR</t>
  </si>
  <si>
    <t>GENERAL SERVICE 1,500 TO 4,999 KW SERVICE CLASSIFICATION</t>
  </si>
  <si>
    <t>4_GENERAL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</si>
  <si>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</si>
  <si>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</si>
  <si>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4_GENERAL SERVICE 1,500 TO 4,999 KW SERVICE CLASSIFICATION_MSC</t>
  </si>
  <si>
    <t>4_GENERAL SERVICE 1,500 TO 4,999 KW SERVICE CLASSIFICATION_DVC</t>
  </si>
  <si>
    <t>4_GENERAL SERVICE 1,500 TO 4,999 KW SERVICE CLASSIFICATION_LV</t>
  </si>
  <si>
    <t>4_GENERAL SERVICE 1,500 TO 4,999 KW SERVICE CLASSIFICATION_DEFVAR_ALL</t>
  </si>
  <si>
    <t>4_GENERAL SERVICE 1,500 TO 4,999 KW SERVICE CLASSIFICATION_LRAM</t>
  </si>
  <si>
    <t>4_GENERAL SERVICE 1,500 TO 4,999 KW SERVICE CLASSIFICATION_CBR</t>
  </si>
  <si>
    <t>4_GENERAL SERVICE 1,500 TO 4,999 KW SERVICE CLASSIFICATION_GA_kwh</t>
  </si>
  <si>
    <t>4_GENERAL SERVICE 1,500 TO 4,999 KW SERVICE CLASSIFICATION_Retail Transmission Rate - Network Service Rate</t>
  </si>
  <si>
    <t>4_GENERAL SERVICE 1,500 TO 4,999 KW SERVICE CLASSIFICATION_Retail Transmission Rate - Line and Transformation Connection Service Rate</t>
  </si>
  <si>
    <t>4_GENERAL SERVICE 1,500 TO 4,999 KW SERVICE CLASSIFICATION_WMSR</t>
  </si>
  <si>
    <t>4_GENERAL SERVICE 1,500 TO 4,999 KW SERVICE CLASSIFICATION_RRRP</t>
  </si>
  <si>
    <t>4_GENERAL SERVICE 1,500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</si>
  <si>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</si>
  <si>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</si>
  <si>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</si>
  <si>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This classification refers to an account that has Load Displacement Generation equal to or greater than 500 kW and requires the distributor to provide back-up service.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</si>
  <si>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asthe Global Adjustment and the HST.</t>
  </si>
  <si>
    <t>7_STANDBY POWER SERVICE CLASSIFICATION_MSC</t>
  </si>
  <si>
    <t>General Service 50 TO 1,499 kW customer</t>
  </si>
  <si>
    <t>General Service 1,500 TO 4,999 kW customer</t>
  </si>
  <si>
    <t>General Service Large User kW customer</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</si>
  <si>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</si>
  <si>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</si>
  <si>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 1595 - effective until December 31, 2026</t>
  </si>
  <si>
    <t>NET-METERING SERVICE CLASSIFICATION</t>
  </si>
  <si>
    <t>10_NET-METERING SERVICE CLASSIFICATION</t>
  </si>
  <si>
    <t>This classification applies to an eligible electricity generation facility as defined in O. Reg. 541/05 . Further servicing details are available in the distributor's Conditions of Service.</t>
  </si>
  <si>
    <t>10_NET-METERING SERVICE CLASSIFICATION_MSC</t>
  </si>
  <si>
    <t>11_microFIT SERVICE CLASSIFICATION</t>
  </si>
  <si>
    <t>11_microFIT SERVICE CLASSIFICATION_MSC</t>
  </si>
  <si>
    <t>FIT SERVICE CLASSIFICATION</t>
  </si>
  <si>
    <t>12_FIT SERVICE CLASSIFICATION</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</si>
  <si>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</si>
  <si>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12_FIT SERVICE CLASSIFICATION_MSC</t>
  </si>
  <si>
    <t>HCI, RESOP, OTHER ENERGY RESOURCE SERVICE CLASSIFICATION</t>
  </si>
  <si>
    <t>13_HCI,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</si>
  <si>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</si>
  <si>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13_HCI, RESOP, OTHER ENERGY RESOURCE SERVICE CLASSIFICATION_MSC</t>
  </si>
  <si>
    <t>Hydro Ottawa Limited_ALLOWANCES</t>
  </si>
  <si>
    <t>Hydro Ottawa Limited_SSC</t>
  </si>
  <si>
    <t>Hydro Ottawa Limited_CA</t>
  </si>
  <si>
    <t>Arrears Certificate</t>
  </si>
  <si>
    <t>Easement Certificate for Unregistered Easements</t>
  </si>
  <si>
    <t>Special billing service per hour (min 1 hour, 15 min incremental billing thereafter)</t>
  </si>
  <si>
    <t>Unprocessed payment charge (plus bank charges)</t>
  </si>
  <si>
    <t>Interval meter - field reading</t>
  </si>
  <si>
    <t>High bill investigation - if billing is correct</t>
  </si>
  <si>
    <t>Hydro Ottawa Limited_NPoA</t>
  </si>
  <si>
    <t>Late payment - per month
(effective annual rate 19.56% per annum or 0.04896% compounded daily rate</t>
  </si>
  <si>
    <t>Dry core transformer distribution charge</t>
  </si>
  <si>
    <t>Per Attached Table</t>
  </si>
  <si>
    <t>Energy resource facility administration charge (account set-up charge separately if applicable)</t>
  </si>
  <si>
    <t>Hydro Ottawa Limited_RSC</t>
  </si>
  <si>
    <t>Notice of switch letter charge, per letter (unless the distributor has opted out of applying the charge as per the</t>
  </si>
  <si>
    <t>Ontario Energy Board's Decision and Order EB-2015-0304, issued on February 14, 2019)</t>
  </si>
  <si>
    <t>Hydro Ottawa Limited_LFs</t>
  </si>
  <si>
    <t>Hydro Ottawa Limited_End</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</si>
  <si>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</si>
  <si>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</si>
  <si>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1_RESIDENTIAL SERVICE CLASSIFICATION_FX_RR_10</t>
  </si>
  <si>
    <t>Rate Rider for Prospective LRAMVA disposition (2024) - effective until April 30, 2025</t>
  </si>
  <si>
    <t xml:space="preserve">This classification applies to a non residential account whose average monthly maximum demand used for billing purposes is equal to or greater than, or is forecast to be equal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</si>
  <si>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3_GENERAL SERVICE 50 to 4,999 kW SERVICE CLASSIFICATION_FX_RR_14</t>
  </si>
  <si>
    <t>Distribution Volumetric Rate - Thermal Demand Meter</t>
  </si>
  <si>
    <t>Distribution Volumetric Rate - Interval Meter</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</si>
  <si>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</si>
  <si>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Rate Rider for Disposition of Capacity Based Recovery Account (2024) - effective until April 30, 2025 
       Applicable only for Class B Customers</t>
  </si>
  <si>
    <t xml:space="preserve">
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
</t>
  </si>
  <si>
    <t xml:space="preserve">
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</si>
  <si>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</si>
  <si>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</si>
  <si>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Newmarket-Tay Power Distribution Ltd._ALLOWANCES</t>
  </si>
  <si>
    <t>Newmarket-Tay Power Distribution Ltd._SSC</t>
  </si>
  <si>
    <t>Newmarket-Tay Power Distribution Ltd._CA</t>
  </si>
  <si>
    <t>Account set up charge/change of occupancy charge (plus credit agency costs if applicable) - residential</t>
  </si>
  <si>
    <t>Newmarket-Tay Power Distribution Ltd._NPoA</t>
  </si>
  <si>
    <t>Newmarket-Tay Power Distribution Ltd._RSC</t>
  </si>
  <si>
    <t>Newmarket-Tay Power Distribution Ltd._LFs</t>
  </si>
  <si>
    <t>This classification refers to an account where energy is supplied to customers residing in residential dwelling units.  Energy is generally supplied as a single phase, 3-wire, 60-Hertz, having a nominal voltage of 120/240 Volts and having only one Delivery Point per dwelling.  For the purposes of calculating customer connection fees, the Basic Connection for Residential customers is defined as 100 amp 120/240 volt overhead service.  A residential building is supplied at one service voltage per land parcel. Street Townhouses and Condominiums requiring centralization bulk metering are covered under General Service Classification. Class B consumers are defined in accordance with O. Reg. 429/04. Further servicing details are available in the distributor’s Conditions of Service.</t>
  </si>
  <si>
    <t>This classification refers to the supply of electrical energy to General Service Buildings requiring a connection with a connected load less than 50 kW, and, Townhouses and Condominiums that require centralized bulk metering.  General Service buildings are defined as buildings that are used for purposes other than single-family dwellings.  A General Service building is supplied at one voltage per land parcel. Class B consumers are defined in accordance with O. Reg. 429/04. Further servicing details are available in the distributor’s Conditions of Service.</t>
  </si>
  <si>
    <t xml:space="preserve">This classification refers to the supply of electrical energy to General Service customers requiring a connection with a connected load equal to or greater than 50 kW and less than 5,000 kW.  A General Service building is supplied at one service voltage per land parcel.  Depending on the location of the building, primary supplies to transformers and Customer owned Sub-Stations will be one of the following as determined by the Distributor: 
      -   2,400/4,160 volts 3 Phase 4Wire
      -   4,800/8,320 volts 3 Phase 4 Wire
      -   7,200/12,400 volts 3 Phase 4 Wire
      -   8,000/13,800 volts 3 Phase 4 Wire
      -   16,000/27,600 volts 3 Phase 4 Wire
      -   44,000 Volts 3 Phase 3 Wire
Class A and Class B consumers are defined in accordance with O. Reg. 429/04. Further servicing details are available in the distributor’s Conditions of Service. 
</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</si>
  <si>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</si>
  <si>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</si>
  <si>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Toronto Hydro-Electric System Limited_Start</t>
  </si>
  <si>
    <t xml:space="preserve">This classification is applicable to an account where electricity is used exclusively for residential purposes in a separately metered living accommodation, where the Competitive Sector Multi-Unit Residential classification is not applicable.  Eligibility is restricted to a dwelling unit that consists of a detached house or one unit of a semi-detached, duplex, triplex or quadruplex building, with a residential zoning; a separately metered dwelling within a town house complex or apartment building; and bulk metered residential buildings with six or fewer units. Class B consumers are defined in accordance with O. Reg. 429/04. Further details concerning the terms of service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</si>
  <si>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</si>
  <si>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</si>
  <si>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</si>
  <si>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</si>
  <si>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1_RESIDENTIAL SERVICE CLASSIFICATION_FX_RR_27</t>
  </si>
  <si>
    <t>COMPETITIVE SECTOR MULTI-UNIT RESIDENTIAL SERVICE 
CLASSIFICATION</t>
  </si>
  <si>
    <t>2_COMPETITIVE SECTOR MULTI-UNIT RESIDENTIAL SERVICE 
CLASSIFICATION</t>
  </si>
  <si>
    <t>This classification is applicable to an account where electricity is used exclusively for residential purposes in a multi-unit residential building, where unit metering is provided using technology that is substantially similar to that employed by competitive sector sub-metering providers.  Use of electricity in non-residential units of multi-unit buildings does not qualify for this classification and will instead be subject to the applicable commercial classification. Class B consumers are defined in accordance with O. Reg. 429/04. Further details concerning the terms of service are available in the distributor’s Conditions of Service.</t>
  </si>
  <si>
    <t>2_COMPETITIVE SECTOR MULTI-UNIT RESIDENTIAL SERVICE 
CLASSIFICATION_MSC</t>
  </si>
  <si>
    <t>2_COMPETITIVE SECTOR MULTI-UNIT RESIDENTIAL SERVICE 
CLASSIFICATION_SME</t>
  </si>
  <si>
    <t>2_COMPETITIVE SECTOR MULTI-UNIT RESIDENTIAL SERVICE 
CLASSIFICATION_DEFVAR_ALL</t>
  </si>
  <si>
    <t>2_COMPETITIVE SECTOR MULTI-UNIT RESIDENTIAL SERVICE 
CLASSIFICATION_CBR</t>
  </si>
  <si>
    <t>2_COMPETITIVE SECTOR MULTI-UNIT RESIDENTIAL SERVICE 
CLASSIFICATION_Retail Transmission Rate - Network Service Rate</t>
  </si>
  <si>
    <t>2_COMPETITIVE SECTOR MULTI-UNIT RESIDENTIAL SERVICE 
CLASSIFICATION_Retail Transmission Rate - Line and Transformation Connection Service Rate</t>
  </si>
  <si>
    <t>2_COMPETITIVE SECTOR MULTI-UNIT RESIDENTIAL SERVICE 
CLASSIFICATION_WMSR</t>
  </si>
  <si>
    <t>2_COMPETITIVE SECTOR MULTI-UNIT RESIDENTIAL SERVICE 
CLASSIFICATION_RRRP</t>
  </si>
  <si>
    <t>2_COMPETITIVE SECTOR MULTI-UNIT RESIDENTIAL SERVICE 
CLASSIFICATION_SSS</t>
  </si>
  <si>
    <t>4_GENERAL SERVICE 50 TO 999 KW SERVICE CLASSIFICATION</t>
  </si>
  <si>
    <t>This classification refers to a non-residential account whose monthly average peak demand is equal to or greater than 50 kW but less than 1,000 kW, or is forecast to be equal to or greater than 50 kW but less than 1,000 kW.  This rate also applies to bulk metered residential apartment buildings or the house service of a residential apartment building with more than 6 units.  Class B consumers are defined in accordance with O. Reg. 429/04. Further servicing details are available in the distributor’s Conditions of Service.</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</si>
  <si>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</si>
  <si>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Post 2011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</si>
  <si>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4_GENERAL SERVICE 50 TO 999 KW SERVICE CLASSIFICATION_MSC</t>
  </si>
  <si>
    <t>$/kVA</t>
  </si>
  <si>
    <t>4_GENERAL SERVICE 50 TO 999 KW SERVICE CLASSIFICATION_DVC</t>
  </si>
  <si>
    <t>4_GENERAL SERVICE 50 TO 999 KW SERVICE CLASSIFICATION_DEFVAR_ALL</t>
  </si>
  <si>
    <t>4_GENERAL SERVICE 50 TO 999 KW SERVICE CLASSIFICATION_CBR</t>
  </si>
  <si>
    <t>4_GENERAL SERVICE 50 TO 999 KW SERVICE CLASSIFICATION_Retail Transmission Rate - Network Service Rate</t>
  </si>
  <si>
    <t>4_GENERAL SERVICE 50 TO 999 KW SERVICE CLASSIFICATION_Retail Transmission Rate - Line and Transformation Connection Service Rate</t>
  </si>
  <si>
    <t>4_GENERAL SERVICE 50 TO 999 KW SERVICE CLASSIFICATION_WMSR</t>
  </si>
  <si>
    <t>4_GENERAL SERVICE 50 TO 999 KW SERVICE CLASSIFICATION_RRRP</t>
  </si>
  <si>
    <t>4_GENERAL SERVICE 50 TO 999 KW SERVICE CLASSIFICATION_SSS</t>
  </si>
  <si>
    <t>5_GENERAL SERVICE 1,000 TO 4,999 KW SERVICE CLASSIFICATION</t>
  </si>
  <si>
    <t>This classification refers to a non-residential account whose monthly average peak demand is equal to or greater than 1,000 kW but less than 5,000 kW, or is forecast to be equal to or greater than 1,000 kW but less than 5,000 kW.  This rate also applies to bulk metered residential apartment buildings or the house service of a residential apartment building with more than 6 units. Class A and Class B consumers are defined in accordance with O. Reg. 429/04. Further servicing details are available in the distributor’s Conditions of Service.</t>
  </si>
  <si>
    <t>5_GENERAL SERVICE 1,000 TO 4,999 KW SERVICE CLASSIFICATION_MSC</t>
  </si>
  <si>
    <t>5_GENERAL SERVICE 1,000 TO 4,999 KW SERVICE CLASSIFICATION_DVC</t>
  </si>
  <si>
    <t>5_GENERAL SERVICE 1,000 TO 4,999 KW SERVICE CLASSIFICATION_DEFVAR_ALL</t>
  </si>
  <si>
    <t>5_GENERAL SERVICE 1,000 TO 4,999 KW SERVICE CLASSIFICATION_CBR</t>
  </si>
  <si>
    <t>5_GENERAL SERVICE 1,000 TO 4,999 KW SERVICE CLASSIFICATION_Retail Transmission Rate - Network Service Rate</t>
  </si>
  <si>
    <t>5_GENERAL SERVICE 1,000 TO 4,999 KW SERVICE CLASSIFICATION_Retail Transmission Rate - Line and Transformation Connection Service Rate</t>
  </si>
  <si>
    <t>5_GENERAL SERVICE 1,000 TO 4,999 KW SERVICE CLASSIFICATION_WMSR</t>
  </si>
  <si>
    <t>5_GENERAL SERVICE 1,000 TO 4,999 KW SERVICE CLASSIFICATION_RRRP</t>
  </si>
  <si>
    <t>5_GENERAL SERVICE 1,000 TO 4,999 KW SERVICE CLASSIFICATION_SSS</t>
  </si>
  <si>
    <t>6_LARGE USE SERVICE CLASSIFICATION_CBR</t>
  </si>
  <si>
    <t>This classification applies to an account taking electricity at 750 volts or less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THESL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</si>
  <si>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 to as approved by the Ontario Energy Board, or as specified herein.</t>
  </si>
  <si>
    <t>Connection Charge (per connection)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</si>
  <si>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</si>
  <si>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Toronto Hydro-Electric System Limited_ALLOWANCES</t>
  </si>
  <si>
    <t>Transformer Allowance for Ownership</t>
  </si>
  <si>
    <t>Toronto Hydro-Electric System Limited_SSC</t>
  </si>
  <si>
    <t>Toronto Hydro-Electric System Limited_CA</t>
  </si>
  <si>
    <t>Request for other billing or system information</t>
  </si>
  <si>
    <t>Toronto Hydro-Electric System Limited_NPoA</t>
  </si>
  <si>
    <t>Specific charge for access to the power poles (wireline attachments) - per pole/year</t>
  </si>
  <si>
    <t>Toronto Hydro-Electric System Limited_RSC</t>
  </si>
  <si>
    <t>Retail Service Charges refer to services provided by THESL to retailers or customers related to the supply of competitive electricity and are defined in the 2006 Electricity Distribution Rate Handbook.</t>
  </si>
  <si>
    <t xml:space="preserve">     Up to twice a year</t>
  </si>
  <si>
    <t xml:space="preserve">     More than twice a year, per request (plus incremental delivery costs)</t>
  </si>
  <si>
    <t>Toronto Hydro-Electric System Limited_LFs</t>
  </si>
  <si>
    <t>Toronto Hydro-Electric System Limited_End</t>
  </si>
  <si>
    <t>Wasaga Distribution Inc._Start</t>
  </si>
  <si>
    <t xml:space="preserve">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</si>
  <si>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</si>
  <si>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</si>
  <si>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2_GENERAL SERVICE LESS THAN 50 KW SERVICE CLASSIFICATION_VR_RR_163</t>
  </si>
  <si>
    <t>This application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the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</si>
  <si>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</si>
  <si>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Wasaga Distribution Inc._ALLOWANCES</t>
  </si>
  <si>
    <t>Wasaga Distribution Inc._SSC</t>
  </si>
  <si>
    <t>Wasaga Distribution Inc._CA</t>
  </si>
  <si>
    <t>Wasaga Distribution Inc._NPoA</t>
  </si>
  <si>
    <t xml:space="preserve">        Specific charge for access to the power poles - $/pole/year
        (with the exception of wireless attachements)</t>
  </si>
  <si>
    <t>Wasaga Distribution Inc._RSC</t>
  </si>
  <si>
    <t xml:space="preserve">    Request fee, per request, applied to the requesting party</t>
  </si>
  <si>
    <t xml:space="preserve">    Processing fee, per request, applied to the requesting party</t>
  </si>
  <si>
    <t xml:space="preserve">Request for customer information as outlined in Section 10.6.3 and Chapter 11 of the Retail Settlement Code directly to retailers and customers, if not delivered electronically through the Electronic Business Transaction (EBT) system, applied to the requesting party </t>
  </si>
  <si>
    <t>Wasaga Distribution Inc._LFs</t>
  </si>
  <si>
    <t>Wasaga Distribution Inc._End</t>
  </si>
  <si>
    <t>Westario Power Inc._Start</t>
  </si>
  <si>
    <t>This classification refers to customers residing in residential dwelling units taking energy at 600 volts or less, with energy generally supplied as single phase, 3-wire, 60 Hertz, having a nominal voltage of 120/240 volts. Class B consumers are defined in accordance with O. Reg. 429/04. Further servicing details are available in the distributor’s Conditions of Service.</t>
  </si>
  <si>
    <t>Rate Rider for Disposition of Deferral/Variance Accounts - effective until December 31, 2025</t>
  </si>
  <si>
    <t>This classification refers to general service buildings, defined as buildings that are used for purposes other than single-family dwellings, taking energy at 600 volts or less, requiring a connection with a connected load of less than 50 kW, and including Town Houses and Condominiums that require centralized bulk metering, whose average monthly maximum demand is less than, or is forecast to be less than, 50 kW. Class B consumers are defined in accordance with O. Reg. 429/04. Further servicing details are available in the distributor’s Conditions of Service.</t>
  </si>
  <si>
    <t>This classification refers to general service buildings, defined as buildings that are used for purposes other than single-family dwellings, requiring a connection with a connected load greater than 50 kW but less than 5,000 kW,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</si>
  <si>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600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</si>
  <si>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</si>
  <si>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Westario Power Inc._ALLOWANCES</t>
  </si>
  <si>
    <t>Westario Power Inc._SSC</t>
  </si>
  <si>
    <t>Westario Power Inc._CA</t>
  </si>
  <si>
    <t xml:space="preserve">      Pulling post dated cheques</t>
  </si>
  <si>
    <t xml:space="preserve">      Charge to certify cheque</t>
  </si>
  <si>
    <t>Westario Power Inc._NPoA</t>
  </si>
  <si>
    <t xml:space="preserve">     Reconnection charge - at meter -  after regular hours</t>
  </si>
  <si>
    <t xml:space="preserve">     Temporary service - install &amp; remove - overhead - no transformer</t>
  </si>
  <si>
    <t xml:space="preserve">     Temporary service - install &amp; remove - underground - no transformer</t>
  </si>
  <si>
    <t xml:space="preserve">     Temporary service - install &amp; remove - overhead - with transformer</t>
  </si>
  <si>
    <t xml:space="preserve">     Specific charge for access to the power poles - $/pole/year
     (with the exception of wireless attachments)</t>
  </si>
  <si>
    <t>Westario Power Inc._RSC</t>
  </si>
  <si>
    <t>It should be noted that this schedule does not list any charges, assessments, or credits that are required by law to be invoiced by a distributor and that are not subject to Ontario Energy Board approval, such as  the Global Adjustment and the HST.</t>
  </si>
  <si>
    <t>Westario Power Inc._LFs</t>
  </si>
  <si>
    <t>Westario Power Inc._End</t>
  </si>
  <si>
    <t>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t>
  </si>
  <si>
    <t>Loss Factors</t>
  </si>
  <si>
    <t>Total Loss Factor – Embedded Distributor – Hydro One Networks Inc.</t>
  </si>
  <si>
    <t>DISTRIBUTED GENERATION [DGEN]</t>
  </si>
  <si>
    <t>Sub-Total:  Delivery (Distribution and Retail Transmission)</t>
  </si>
  <si>
    <t>Total Loss Factor – Primary Metered Customer</t>
  </si>
  <si>
    <t>Administrative Billing Charge</t>
  </si>
  <si>
    <t>EMBEDDED DISTRIBUTOR</t>
  </si>
  <si>
    <t xml:space="preserve">Wholesale Market Service Rate </t>
  </si>
  <si>
    <t>Bell Canada Pole Rentals</t>
  </si>
  <si>
    <t>General Service Equal To Or Greater Than 1,500 kW - Interval Metered</t>
  </si>
  <si>
    <t>Clearance Pole Attachment charge $/pole/year</t>
  </si>
  <si>
    <t>FARMS - SINGLE PHASE ENERGY-BILLED [F1]</t>
  </si>
  <si>
    <t>Standard Supply Service – Administration Charge (if applicable)</t>
  </si>
  <si>
    <t>Electricity Rate</t>
  </si>
  <si>
    <t>Total Loss Factor – Secondary Metered Customer</t>
  </si>
  <si>
    <t>Collection of account charge – no disconnection</t>
  </si>
  <si>
    <t>Brant County Power Inc.</t>
  </si>
  <si>
    <t>FARMS - THREE PHASE ENERGY-BILLED [F3]</t>
  </si>
  <si>
    <t>Sub-Total:  Regulatory</t>
  </si>
  <si>
    <t>Electricity Rate - All Additional kWh</t>
  </si>
  <si>
    <t>Collection of account charge – no disconnection – after regular hours</t>
  </si>
  <si>
    <t>Brantford Power Inc.</t>
  </si>
  <si>
    <t>GENERAL SERVICE - COMMERCIAL</t>
  </si>
  <si>
    <t>Electricity Rate - First 250 kWh</t>
  </si>
  <si>
    <t>Cambridge and North Dumfries Hydro Inc.</t>
  </si>
  <si>
    <t>GENERAL SERVICE - INSTITUTIONAL</t>
  </si>
  <si>
    <t>Electricity Rate -All Additional kWh</t>
  </si>
  <si>
    <t>Collection of account charge – no disconnection - during regular business hours</t>
  </si>
  <si>
    <t>GENERAL SERVICE 1,000 TO 2,999 KW</t>
  </si>
  <si>
    <t>Total Bill on RPP (before taxes)</t>
  </si>
  <si>
    <t>Electricity Rate First 1,000 kWh</t>
  </si>
  <si>
    <t>Distribution Loss Factor - Secondary Metered Customer &lt; 5,000 kW</t>
  </si>
  <si>
    <t>Collection of account charge – no disconnection – during regular hours</t>
  </si>
  <si>
    <t>GENERAL SERVICE 1,000 TO 4,999 KW</t>
  </si>
  <si>
    <t>Electricity Rate First 25,000 kWh</t>
  </si>
  <si>
    <t>Distribution Loss Factor - Secondary Metered Customer &gt; 5,000 kW</t>
  </si>
  <si>
    <t>Collection/Disconnection/Load Limiter/Reconnection – if in Community</t>
  </si>
  <si>
    <t>Collus PowerStream Corp.</t>
  </si>
  <si>
    <t>GENERAL SERVICE 1,000 TO 4,999 KW - INTERVAL METERS</t>
  </si>
  <si>
    <t>Total Bill (including HST)</t>
  </si>
  <si>
    <t>Electricity Rate First 6,000 kWh</t>
  </si>
  <si>
    <t>Distribution Loss Factor - Primary Metered Customer &lt; 5,000 kW</t>
  </si>
  <si>
    <t>Credit Card Convenience Charge</t>
  </si>
  <si>
    <t>GENERAL SERVICE 1,000 TO 4,999 KW (CO-GENERATION)</t>
  </si>
  <si>
    <t>Ontario Clean Energy Benefit (OCEB)</t>
  </si>
  <si>
    <t>Electricity Rate Next 1,500 kWh</t>
  </si>
  <si>
    <t>Distribution Loss Factor - Primary Metered Customer &gt; 5,000 kW</t>
  </si>
  <si>
    <t>Disconnect/Reconnect at meter – after regular hours</t>
  </si>
  <si>
    <t>GENERAL SERVICE 1,500 TO 4,999 KW</t>
  </si>
  <si>
    <t>Total Bill on RPP (including OCEB)</t>
  </si>
  <si>
    <t>General Service 1,500 to 4,999 kW customer</t>
  </si>
  <si>
    <t>Enersource Hydro Mississauga Inc.</t>
  </si>
  <si>
    <t>GENERAL SERVICE 2,500 TO 4,999 KW</t>
  </si>
  <si>
    <t>General Service 50 to 1,499 kW customer</t>
  </si>
  <si>
    <t>Total Loss Factor - Embedded Distributor</t>
  </si>
  <si>
    <t>Disconnect/Reconnect at meter – during regular hours</t>
  </si>
  <si>
    <t>GENERAL SERVICE 3,000 TO 4,999 KW</t>
  </si>
  <si>
    <t>Total Bill on TOU (before taxes)</t>
  </si>
  <si>
    <t>General Service Large Use customer</t>
  </si>
  <si>
    <t>Disconnect/Reconnect at pole – after regular hours</t>
  </si>
  <si>
    <t>EnWin Utilities Ltd.</t>
  </si>
  <si>
    <t>GENERAL SERVICE 3,000 TO 4,999 KW - INTERMEDIATE USE</t>
  </si>
  <si>
    <t>GENERAL SERVICE 3,000 TO 4,999 KW - INTERMEDIATE USE SERVICE CLASSIFICATION</t>
  </si>
  <si>
    <t>Green Energy Act Initiatives Funding Adder - effective until the date of the next 
      cost of service-based rate order</t>
  </si>
  <si>
    <t>Disconnect/Reconnect at pole – during regular hours</t>
  </si>
  <si>
    <t>Erie Thames Powerlines Corporation</t>
  </si>
  <si>
    <t>GENERAL SERVICE 3,000 TO 4,999 KW - INTERVAL METERED</t>
  </si>
  <si>
    <t>LARGE USE - 3TS SERVICE CLASSIFICATION</t>
  </si>
  <si>
    <t>Green Energy Act Plan Funding Adder</t>
  </si>
  <si>
    <t>Disconnect/Reconnect Charge – At Meter – After Hours</t>
  </si>
  <si>
    <t>GENERAL SERVICE 3,000 TO 4,999 KW - TIME OF USE</t>
  </si>
  <si>
    <t>LARGE USE - FORD ANNEX SERVICE CLASSIFICATION</t>
  </si>
  <si>
    <t>Green Energy Act Plan Funding Adder - effective April 1, 2013 until March 31, 2014</t>
  </si>
  <si>
    <t>Disconnect/Reconnect Charge – At Meter – During Regular Hours</t>
  </si>
  <si>
    <t>GENERAL SERVICE 50 TO 1,000 KW</t>
  </si>
  <si>
    <t>Total Bill on TOU (including OCEB)</t>
  </si>
  <si>
    <t>Green Energy Act Plan Funding Adder - effective April 1, 2014 until March 31, 2015</t>
  </si>
  <si>
    <t>Disconnect/Reconnect Charge – At Pole – After Hours</t>
  </si>
  <si>
    <t>GENERAL SERVICE 50 TO 1,000 KW - INTERVAL METERS</t>
  </si>
  <si>
    <t>ONTARIO ELECTRICITY SUPPORT PROGRAM RECIPIENTS</t>
  </si>
  <si>
    <t>ICM Rate Rider (2014) - in effect until the effective date of the next cost of service rates</t>
  </si>
  <si>
    <t>Disconnect/Reconnect Charge – At Pole – During Regular Hours</t>
  </si>
  <si>
    <t>GENERAL SERVICE 50 TO 1,000 KW - NON INTERVAL METERS</t>
  </si>
  <si>
    <t xml:space="preserve">STANDBY POWER SERVICE CLASSIFICATION </t>
  </si>
  <si>
    <t>Disconnect/Reconnect Charges for non payment of account - At Meter After Hours</t>
  </si>
  <si>
    <t>Guelph Hydro Electric Systems Inc.</t>
  </si>
  <si>
    <t>GENERAL SERVICE 50 TO 1,499 KW</t>
  </si>
  <si>
    <t>Disconnect/Reconnect charges for non payment of account – at meter after regular hours</t>
  </si>
  <si>
    <t>GENERAL SERVICE 50 TO 1,499 KW - INTERVAL METERED</t>
  </si>
  <si>
    <t>Low Voltage Volumetric Rate</t>
  </si>
  <si>
    <t>Disconnect/Reconnect Charges for non payment of account - At Meter During Regular Hours</t>
  </si>
  <si>
    <t>Hearst Power Distribution Company Ltd.</t>
  </si>
  <si>
    <t>GENERAL SERVICE 50 TO 2,499 KW</t>
  </si>
  <si>
    <t xml:space="preserve">
EMBEDDED DISTRIBUTOR SERVICE CLASSIFICATION</t>
  </si>
  <si>
    <t>LRAM Rate Rider - Effective Until April 30, 2015</t>
  </si>
  <si>
    <t>Disconnect/Reconnect charges for non payment of account – at meter during regular hours</t>
  </si>
  <si>
    <t>Horizon Utilities Corporation</t>
  </si>
  <si>
    <t>GENERAL SERVICE 50 TO 2,999 KW</t>
  </si>
  <si>
    <t xml:space="preserve">
EMBEDDED DISTRIBUTOR SERVICE CLASSIFICATION FOR HYDRO ONE NETWORKS INC.</t>
  </si>
  <si>
    <t>Minimum Distribution Charge - per KW of maximum billing demand in the previous 11 months</t>
  </si>
  <si>
    <t>Disconnect/Reconnect charges for non payment of account – at pole after regular hours</t>
  </si>
  <si>
    <t>GENERAL SERVICE 50 TO 2,999 KW - INTERVAL METERED</t>
  </si>
  <si>
    <t xml:space="preserve">
GENERAL SERVICE 50 TO 4,999 KW SERVICE CLASSIFICATION</t>
  </si>
  <si>
    <t>Disconnect/Reconnect charges for non payment of account – at pole during regular hours</t>
  </si>
  <si>
    <t>GENERAL SERVICE 50 TO 2,999 KW - TIME OF USE</t>
  </si>
  <si>
    <t xml:space="preserve">
GENERAL SERVICE 50 TO 999 KW SERVICE CLASSIFICATION</t>
  </si>
  <si>
    <t>Monthly Distribution Wheeling Service Rate - Hydro One Networks</t>
  </si>
  <si>
    <t>Disconnect/Reconnection for &gt;300 volts - after regular hours</t>
  </si>
  <si>
    <t>Hydro One Brampton Networks Inc.</t>
  </si>
  <si>
    <t>GENERAL SERVICE 50 TO 4,999 KW</t>
  </si>
  <si>
    <t xml:space="preserve">
GENERAL SERVICE GREATER THAN 1,000 KW SERVICE CLASSIFICATION</t>
  </si>
  <si>
    <t>Monthly Distribution Wheeling Service Rate - Shared LV Line</t>
  </si>
  <si>
    <t>Disconnect/Reconnection for &gt;300 volts - during regular hours</t>
  </si>
  <si>
    <t xml:space="preserve">Haldimand County Hydro Inc. </t>
  </si>
  <si>
    <t>GENERAL SERVICE 50 TO 4,999 KW - INTERVAL METERED</t>
  </si>
  <si>
    <t xml:space="preserve">
GENERAL SERVICE LESS THAN 50 KW SERVICE CLASSIFICATION</t>
  </si>
  <si>
    <t>Monthly Distribution Wheeling Service Rate - Waterloo North Hydro</t>
  </si>
  <si>
    <t>Disposal of Concrete Poles</t>
  </si>
  <si>
    <t>Hydro One Networks Inc. (Norfolk Power Distribution Inc.)</t>
  </si>
  <si>
    <t>GENERAL SERVICE 50 TO 4,999 KW - TIME OF USE</t>
  </si>
  <si>
    <t xml:space="preserve">
microFIT SERVICE CLASSIFICATION</t>
  </si>
  <si>
    <t>Rate Rider for Application of Tax Change - effective until April 30, 2015</t>
  </si>
  <si>
    <t>Dispute Test – Commercial TT -- MC</t>
  </si>
  <si>
    <t xml:space="preserve">Woodstock Hydro Services Inc. </t>
  </si>
  <si>
    <t>GENERAL SERVICE 50 TO 4,999 KW (COGENERATION)</t>
  </si>
  <si>
    <t xml:space="preserve">
RETAIL SERVICE CHARGES (if applicable)</t>
  </si>
  <si>
    <t>Rate Rider for Application of Tax Change - effective until December 31, 2014</t>
  </si>
  <si>
    <t>Install/Remove load control device – after regular hours</t>
  </si>
  <si>
    <t>GENERAL SERVICE 50 TO 4,999 KW (FORMERLY TIME OF USE)</t>
  </si>
  <si>
    <t xml:space="preserve">
SENTINEL LIGHTING SERVICE CLASSIFICATION</t>
  </si>
  <si>
    <t>Rate Rider for Application of Tax Change (2014) - effective until April 30, 2015</t>
  </si>
  <si>
    <t>Install/Remove load control device – during regular hours</t>
  </si>
  <si>
    <t>GENERAL SERVICE 50 TO 499 KW</t>
  </si>
  <si>
    <t xml:space="preserve">
STREET LIGHTING SERVICE CLASSIFICATION</t>
  </si>
  <si>
    <t>Rate Rider for Application of Tax Change (per connection) - effective until April 30, 2015</t>
  </si>
  <si>
    <t>Interval Meter Interrogation</t>
  </si>
  <si>
    <t>GENERAL SERVICE 50 TO 699 KW</t>
  </si>
  <si>
    <t xml:space="preserve">
UNMETERED SCATTERED LOAD SERVICE CLASSIFICATION</t>
  </si>
  <si>
    <t>Rate Rider for CGAAP Accounting Changes (2013) - effective until April 30, 2017</t>
  </si>
  <si>
    <t>Interval Meter Load Management Tool Charge $/month</t>
  </si>
  <si>
    <t>Kenora Hydro Electric Corporation Ltd.</t>
  </si>
  <si>
    <t>GENERAL SERVICE 50 TO 999 KW</t>
  </si>
  <si>
    <t>Rate Rider for Deferral/Variance Account (2012) - effective unitl April 30, 2016</t>
  </si>
  <si>
    <t>GENERAL SERVICE 50 TO 999 KW - INTERVAL METERED</t>
  </si>
  <si>
    <t>Rate Rider for Deferral/Variance Account Disposition – effective until April 30, 2015</t>
  </si>
  <si>
    <t>Late Payment – per annum</t>
  </si>
  <si>
    <t>Kitchener-Wilmot Hydro Inc.</t>
  </si>
  <si>
    <t>GENERAL SERVICE 500 TO 4,999 KW</t>
  </si>
  <si>
    <t>Rate Rider for Deferral/Variance Account Disposition (2012) - effective until April 30, 2016</t>
  </si>
  <si>
    <t>Late Payment – per month</t>
  </si>
  <si>
    <t>GENERAL SERVICE 700 TO 4,999 KW</t>
  </si>
  <si>
    <t>microFIT AND MICRO-NET-METERING SERVICE CLASSIFICATION</t>
  </si>
  <si>
    <t>Rate Rider for Deferral/Variance Account Disposition (2013) - effective until April 30, 2014</t>
  </si>
  <si>
    <t>Layout fees</t>
  </si>
  <si>
    <t>GENERAL SERVICE DEMAND BILLED (50 KW AND ABOVE) [GSD]</t>
  </si>
  <si>
    <t>Rate Rider for Deferral/Variance Account Disposition (2014) - effective until April 28, 2016</t>
  </si>
  <si>
    <t>GENERAL SERVICE ENERGY BILLED (LESS THAN 50 KW) [GSE-METERED]</t>
  </si>
  <si>
    <t>Rate Rider for Deferral/Variance Account Disposition (2014) - effective until April 30, 2015</t>
  </si>
  <si>
    <t>Meter Interrogation Charge</t>
  </si>
  <si>
    <t>Midland Power Utility Corporation</t>
  </si>
  <si>
    <t>GENERAL SERVICE ENERGY BILLED (LESS THAN TO 50 KW) [GSE-UNMETERED]</t>
  </si>
  <si>
    <t>Rate Rider for Deferral/Variance Account Disposition (2014) - effective until December 31, 2014</t>
  </si>
  <si>
    <t>Missed Service Appointment</t>
  </si>
  <si>
    <t>Newmarket - Tay Power Distribution Ltd.</t>
  </si>
  <si>
    <t>GENERAL SERVICE EQUAL TO OR GREATER THAN 1,500 KW</t>
  </si>
  <si>
    <t>Rate Rider for Deferral/Variance Account Disposition (2014) - effective until December 31, 2015</t>
  </si>
  <si>
    <t>Norfolk Pole Rentals – Billed</t>
  </si>
  <si>
    <t>GENERAL SERVICE EQUAL TO OR GREATER THAN 1,500 KW - INTERVAL METERED</t>
  </si>
  <si>
    <t>Rate Rider for Deferral/Variance Account Dispositon (2012) - effective until April 30, 2016</t>
  </si>
  <si>
    <t>Optional Interval/TOU Meter charge $/month</t>
  </si>
  <si>
    <t>GENERAL SERVICE GREATER THAN 1,000 KW</t>
  </si>
  <si>
    <t>Rate Rider for Disposition of Accounting Changes Under CGAAP Account 1576 
      - effective until April 30, 2016</t>
  </si>
  <si>
    <t>Overtime Locate</t>
  </si>
  <si>
    <t>GENERAL SERVICE GREATER THAN 50 kW - WMP</t>
  </si>
  <si>
    <t>Rate Rider for Disposition of Deferral/Variance Accounts (2010) - effective until December 31, 2014</t>
  </si>
  <si>
    <t>Owner Requested Disconnection/Reconnection – after regular hours</t>
  </si>
  <si>
    <t>GENERAL SERVICE INTERMEDIATE 1,000 TO 4,999 KW</t>
  </si>
  <si>
    <t>Rate Rider for Disposition of Deferral/Variance Accounts (2011) - effective until April 30, 2015</t>
  </si>
  <si>
    <t>Owner Requested Disconnection/Reconnection – during regular hours</t>
  </si>
  <si>
    <t>GENERAL SERVICE INTERMEDIATE RATE CLASS 1,000 TO 4,999 KW (FORMERLY GENERAL SERVICE &gt; 50 KW CUSTOMERS)</t>
  </si>
  <si>
    <t>Rate Rider for Disposition of Deferral/Variance Accounts (2011) - effective until April 30, 2016</t>
  </si>
  <si>
    <t>GENERAL SERVICE INTERMEDIATE RATE CLASS 1,000 TO 4,999 KW (FORMERLY LARGE USE CUSTOMERS)</t>
  </si>
  <si>
    <t>Rate Rider for Disposition of Deferral/Variance Accounts (2012) - effective until April 30, 2014</t>
  </si>
  <si>
    <t>Rural system expansion / line connection fee</t>
  </si>
  <si>
    <t>Orillia Power Distribution Corporation</t>
  </si>
  <si>
    <t>GENERAL SERVICE LESS THAN 50 KW</t>
  </si>
  <si>
    <t>Rate Rider for Disposition of Deferral/Variance Accounts (2012) - effective until April 30, 2015</t>
  </si>
  <si>
    <t>Same Day Open Trench</t>
  </si>
  <si>
    <t>GENERAL SERVICE LESS THAN 50 KW - SINGLE PHASE ENERGY-BILLED [G1]</t>
  </si>
  <si>
    <t>Rate Rider for Disposition of Deferral/Variance Accounts (2012) - effective until April 30, 2016</t>
  </si>
  <si>
    <t>Scheduled Day Open Trench</t>
  </si>
  <si>
    <t>Peterborough Distribution Incorporated</t>
  </si>
  <si>
    <t>GENERAL SERVICE LESS THAN 50 KW - THREE PHASE ENERGY-BILLED [G3]</t>
  </si>
  <si>
    <t>Rate Rider for Disposition of Deferral/Variance Accounts (2012) - effective until August 31, 2014</t>
  </si>
  <si>
    <t>Service call – after regular hours</t>
  </si>
  <si>
    <t>GENERAL SERVICE LESS THAN 50 KW - TRANSMISSION CLASS ENERGY-BILLED [T]</t>
  </si>
  <si>
    <t>Rate Rider for Disposition of Deferral/Variance Accounts (2012) - effective until December 31, 2015</t>
  </si>
  <si>
    <t>Service call – customer owned equipment</t>
  </si>
  <si>
    <t>GENERAL SERVICE LESS THAN 50 KW - URBAN ENERGY-BILLED [UG]</t>
  </si>
  <si>
    <t>Rate Rider for Disposition of Deferral/Variance Accounts (2012) - effective until December 31, 2016 
      Applicable only in the former service area of Clinton Power</t>
  </si>
  <si>
    <t>Service Call – Customer-owned Equipment – After Regular Hours</t>
  </si>
  <si>
    <t>St. Thomas Energy Inc.</t>
  </si>
  <si>
    <t>GENERAL SERVICE SINGLE PHASE - G1</t>
  </si>
  <si>
    <t>Rate Rider for Disposition of Deferral/Variance Accounts (2012) – effective until December 31, 2016 
      Applicable only in the former service area of Clinton Power</t>
  </si>
  <si>
    <t>Service Call – Customer-owned Equipment – During Regular Hours</t>
  </si>
  <si>
    <t>Thunder Bay Hydro Electricity Distribution Inc.</t>
  </si>
  <si>
    <t>GENERAL SERVICE THREE PHASE - G3</t>
  </si>
  <si>
    <t>EMBEDDED DISTRIBUTOR SERVICE CLASSIFICATION FOR HYDRO ONE NETWORKS INC.</t>
  </si>
  <si>
    <t>Rate Rider for Disposition of Deferral/Variance Accounts (2012) - effective until January 31, 2014</t>
  </si>
  <si>
    <t>Service Charge for onsite interrogation of interval meter due to customer phone line failure - required weekly until line repaired $ 6</t>
  </si>
  <si>
    <t>INTERMEDIATE USERS</t>
  </si>
  <si>
    <t>COMPETITIVE SECTOR MULTI-UNIT RESIDENTIAL SERVICE CLASSIFICATION</t>
  </si>
  <si>
    <t>Rate Rider for Disposition of Deferral/Variance Accounts (2012) - effective until June 30, 2014</t>
  </si>
  <si>
    <t>Service Layout - Commercial</t>
  </si>
  <si>
    <t>INTERMEDIATE WITH SELF GENERATION</t>
  </si>
  <si>
    <t>GENERAL SERVICE GREATER THAN 1,000 KW SERVICE CLASSIFICATION</t>
  </si>
  <si>
    <t>Rate Rider for Disposition of Deferral/Variance Accounts (2013) - Applicable only to 
      Wholesale Market Participants - effective until April 30, 2015</t>
  </si>
  <si>
    <t>Service Layout - ResidentiaI</t>
  </si>
  <si>
    <t>Veridian Connections Inc.</t>
  </si>
  <si>
    <t>LARGE USE</t>
  </si>
  <si>
    <t>Rate Rider for Disposition of Deferral/Variance Accounts (2013) - effective until April 30, 2014</t>
  </si>
  <si>
    <t>Special Billing Service (sub-metering charge per meter)</t>
  </si>
  <si>
    <t>LARGE USE - 3TS</t>
  </si>
  <si>
    <t>Rate Rider for Disposition of Deferral/Variance Accounts (2013) - effective until April 30, 2015</t>
  </si>
  <si>
    <t>Waterloo North Hydro Inc.</t>
  </si>
  <si>
    <t>LARGE USE - FORD ANNEX</t>
  </si>
  <si>
    <t>Rate Rider for Disposition of Deferral/Variance Accounts (2013) - effective until April 30, 2015 
      - not applicable to Wholesale Market Participants</t>
  </si>
  <si>
    <t>Specific Charge for Access to the Power Poles - $/pole/year</t>
  </si>
  <si>
    <t>LARGE USE - REGULAR</t>
  </si>
  <si>
    <t>Rate Rider for Disposition of Deferral/Variance Accounts (2013) - effective until April 30, 2017</t>
  </si>
  <si>
    <t>Specific Charge for Bell Canada Access to the Power Poles – per pole/year</t>
  </si>
  <si>
    <t>LARGE USE &gt; 5000 KW</t>
  </si>
  <si>
    <t>Rate Rider for Disposition of Deferral/Variance Accounts (2013) - effective until August 31, 2014</t>
  </si>
  <si>
    <t>Switching for company maintenance – Charge based on Time and Materials</t>
  </si>
  <si>
    <t>West Coast Huron Energy Inc.</t>
  </si>
  <si>
    <t>microFIT</t>
  </si>
  <si>
    <t>Rate Rider for Disposition of Deferral/Variance Accounts (2013) - effective until December 31, 2014</t>
  </si>
  <si>
    <t>Temporary Service – Install &amp; remove – overhead – no transformer</t>
  </si>
  <si>
    <t>RESIDENTIAL</t>
  </si>
  <si>
    <t>Rate Rider for Disposition of Deferral/Variance Accounts (2013) - effective until May 31, 2014</t>
  </si>
  <si>
    <t>Temporary Service – Install &amp; remove – overhead – with transformer</t>
  </si>
  <si>
    <t>Whitby Hydro Electric Corporation</t>
  </si>
  <si>
    <t>RESIDENTIAL - HENSALL</t>
  </si>
  <si>
    <t>Rate Rider for Disposition of Deferral/Variance Accounts (2014) - effective until December 31, 2015</t>
  </si>
  <si>
    <t>Temporary Service – Install &amp; remove – underground – no transformer</t>
  </si>
  <si>
    <t>RESIDENTIAL - HIGH DENSITY [R1]</t>
  </si>
  <si>
    <t>Rate Rider for Disposition of Deferred PILs Variance Account 1562 - effective until March 31, 2016</t>
  </si>
  <si>
    <t>Temporary service install &amp; remove – overhead – no transformer</t>
  </si>
  <si>
    <t>RESIDENTIAL - LOW DENSITY [R2]</t>
  </si>
  <si>
    <t>Rate Rider for Disposition of Deferred PILs Variance Account 1562 (2012) - effective until April 30, 2015</t>
  </si>
  <si>
    <t>Temporary Service Install &amp; Remove – Overhead – With Transformer</t>
  </si>
  <si>
    <t>RESIDENTIAL - MEDIUM DENSITY [R1]</t>
  </si>
  <si>
    <t>Rate Rider for Disposition of Deferred PILs Variance Account 1562 (2012) - effective until April 30, 2016</t>
  </si>
  <si>
    <t>Temporary Service Install &amp; Remove – Underground – No Transformer</t>
  </si>
  <si>
    <t>RESIDENTIAL - NORMAL DENSITY [R2]</t>
  </si>
  <si>
    <t>Rate Rider for Disposition of Deferred PILs Variance Account 1562 (2nd Installment - 2012) 
      - effective until April 30, 2016</t>
  </si>
  <si>
    <t>Temporary service installation and removal – overhead – no transformer</t>
  </si>
  <si>
    <t>RESIDENTIAL - TIME OF USE</t>
  </si>
  <si>
    <t>Rate Rider for Disposition of Deferred PILs Variance Account 1562 (per connection) (2012) 
      - effective until April 30, 2015</t>
  </si>
  <si>
    <t>Temporary service installation and removal – overhead – with transformer</t>
  </si>
  <si>
    <t>RESIDENTIAL - URBAN [UR]</t>
  </si>
  <si>
    <t>Rate Rider for Disposition of Deferred PILs Variance Account 1562 (per connection) (2012) 
      - effective until April 30, 2016</t>
  </si>
  <si>
    <t>Temporary service installation and removal – underground – no transformer</t>
  </si>
  <si>
    <t>RESIDENTIAL REGULAR</t>
  </si>
  <si>
    <t>Rate Rider for Disposition of Global Adjustment Sub-Account (2011)  - effective until April 30, 2015 
      Applicable only for Non-RPP Customers</t>
  </si>
  <si>
    <t>RESIDENTIAL SUBURBAN</t>
  </si>
  <si>
    <t>Rate Rider for Disposition of Global Adjustment Sub-Account (2011) - effective until April 30, 2016 
      Applicable only for Non-RPP Customers</t>
  </si>
  <si>
    <t>RESIDENTIAL SUBURBAN SEASONAL</t>
  </si>
  <si>
    <t>Rate Rider for Disposition of Global Adjustment Sub-Account (2012) - effective until April 30, 2014 
      Applicable only for Non-RPP Customers</t>
  </si>
  <si>
    <t>RESIDENTIAL SUBURBAN YEAR ROUND</t>
  </si>
  <si>
    <t>Rate Rider for Disposition of Global Adjustment Sub-Account (2012) - effective until April 30, 2015 
      Applicable only for Non-RPP Customers</t>
  </si>
  <si>
    <t>RESIDENTIAL URBAN</t>
  </si>
  <si>
    <t>Rate Rider for Disposition of Global Adjustment Sub-Account (2012) - effective until April 30, 2015 
      Applicatble only for Non-RPP Customers</t>
  </si>
  <si>
    <t>RESIDENTIAL URBAN YEAR-ROUND</t>
  </si>
  <si>
    <t>Rate Rider for Disposition of Global Adjustment Sub-Account (2012) - effective until April 30, 2016 
      Applicable only for Non-RPP Customers</t>
  </si>
  <si>
    <t>SEASONAL RESIDENTIAL</t>
  </si>
  <si>
    <t>Rate Rider for Disposition of Global Adjustment Sub-Account (2012) - effective until January 31, 2014. 
      Applicable only for Non-RPP Customers</t>
  </si>
  <si>
    <t>SEASONAL RESIDENTIAL - HIGH DENSITY [R3]</t>
  </si>
  <si>
    <t>Rate Rider for Disposition of Global Adjustment Sub-Account (2012) - effective until June 30, 2014 
      Applicable only for Non-RPP Customers</t>
  </si>
  <si>
    <t>SEASONAL RESIDENTIAL - NORMAL DENSITY [R4]</t>
  </si>
  <si>
    <t>Rate Rider for Disposition of Global Adjustment Sub-Account (2012) Applicable only for Non-RPP Customers 
      - effective until August 31, 2014</t>
  </si>
  <si>
    <t>SENTINEL LIGHTING</t>
  </si>
  <si>
    <t>Rate Rider for Disposition of Global Adjustment Sub-Account (2012) Applicable only to Non-RPP Customers 
      - effective until August 31, 2014</t>
  </si>
  <si>
    <t>SMALL COMMERCIAL AND USL - PER CONNECTION</t>
  </si>
  <si>
    <t>Rate Rider for Disposition of Global Adjustment Sub-Account (2013) - effective until April 30, 2014 
      Applicable only for Non-RPP Customers</t>
  </si>
  <si>
    <t>SMALL COMMERCIAL AND USL - PER METER</t>
  </si>
  <si>
    <t>Rate Rider for Disposition of Global Adjustment Sub-Account (2013) - effective until April 30, 2015 
      Applicable only for Non-RPP Customers</t>
  </si>
  <si>
    <t>STANDARD A GENERAL SERVICE AIR ACCESS</t>
  </si>
  <si>
    <t>Rate Rider for Disposition of Global Adjustment Sub-Account (2013) - effective until April 30, 2015 
      Applicable only for Non-RPP Customers and excluding Wholesale Market Participants</t>
  </si>
  <si>
    <t>STANDARD A GENERAL SERVICE ROAD/RAIL</t>
  </si>
  <si>
    <t>Rate Rider for Disposition of Global Adjustment Sub-Account (2013) - effective until April 30, 2017 
      Applicable only for Non-RPP Customers</t>
  </si>
  <si>
    <t>STANDARD A GRID CONNECTED</t>
  </si>
  <si>
    <t>Rate Rider For Disposition of Global Adjustment Sub-Account (2013) - effective until August 31, 2014 
      Applicable only for Non-RPP Customers</t>
  </si>
  <si>
    <t>STANDARD A RESIDENTIAL AIR ACCESS</t>
  </si>
  <si>
    <t>Rate Rider for Disposition of Global Adjustment Sub-Account (2013) - effective until December 31, 2014 
      Applicable only for Non-RPP Customers</t>
  </si>
  <si>
    <t>STANDARD A RESIDENTIAL ROAD/RAIL</t>
  </si>
  <si>
    <t>Rate Rider for Disposition of Global Adjustment Sub-Account (2013) - effective until May 31, 2014 
      Applicable only for Non-RPP Customers</t>
  </si>
  <si>
    <t>STANDBY - GENERAL SERVICE 1,000 - 5,000 KW</t>
  </si>
  <si>
    <t>Rate Rider for Disposition of Global Adjustment Sub-Account (2014) - effective until December 31, 2014. 
      Applicable only for Non-RPP - Class B Customers</t>
  </si>
  <si>
    <t>STANDBY - GENERAL SERVICE 50 - 1,000 KW</t>
  </si>
  <si>
    <t>Rate Rider for Disposition of Global Adjustment Sub-Account (2014) - effective until December 31, 2014. 
      Applicable only for Non-RPP Customers</t>
  </si>
  <si>
    <t>STANDBY - LARGE USE</t>
  </si>
  <si>
    <t>Rate Rider for Disposition of Global Adjustment Sub-Account (2014) - effective until December 31, 2014. 
      Applicable only for Non-RPP Customers - Class A Customers</t>
  </si>
  <si>
    <t>STANDBY DISTRIBUTION SERVICE</t>
  </si>
  <si>
    <t>Rate Rider for Disposition of Global Adjustment Sub-Account (2014) - effective until December 31, 2014. 
      Applicable only for Non-RPP Customers - Interval Metered</t>
  </si>
  <si>
    <t>STANDBY POWER</t>
  </si>
  <si>
    <t>Rate Rider for Disposition of Global Adjustment Sub-Account (2014) - effective until December 31, 2014. 
      Applicable only for Non-RPP Customers - Non Interval Metered</t>
  </si>
  <si>
    <t>STANDBY POWER - APPROVED ON AN INTERIM BASIS</t>
  </si>
  <si>
    <t xml:space="preserve">Rate Rider for Disposition of Global Adjustment Sub-Account (2014) 
      - effective until December 31, 2015. Applicable only for Non-RPP Customers.  </t>
  </si>
  <si>
    <t>STANDBY POWER GENERAL SERVICE 1,500 TO 4,999 KW</t>
  </si>
  <si>
    <t>STANDBY POWER GENERAL SERVICE 50 TO 1,499 KW</t>
  </si>
  <si>
    <t>Rate Rider for Disposition of Residual Hisotrical Smart Meter Costs - effective until April 30, 2015</t>
  </si>
  <si>
    <t>STANDBY POWER GENERAL SERVICE LARGE USE</t>
  </si>
  <si>
    <t>Rate Rider for Disposition of Residual Hisotrical Smart Meter Costs - effective until April 30, 2017</t>
  </si>
  <si>
    <t>STREET LIGHTING</t>
  </si>
  <si>
    <t>Rate Rider for Disposition of Residual Historical Smart Meter Costs - effective until April 30, 2014</t>
  </si>
  <si>
    <t>SUB TRANSMISSION [ST]</t>
  </si>
  <si>
    <t>Rate Rider for Disposition of Residual Historical Smart Meter Costs - effective until April 30, 2016</t>
  </si>
  <si>
    <t>UNMETERED SCATTERED LOAD</t>
  </si>
  <si>
    <t>Rate Rider for Disposition of Residual Historical Smart Meter Costs - effective until August 31, 2014</t>
  </si>
  <si>
    <t>URBAN GENERAL SERVICE DEMAND BILLED (50 KW AND ABOVE) [UGD]</t>
  </si>
  <si>
    <t>Rate Rider for Disposition of Residual Historical Smart Meter Costs - effective until August 31, 2015</t>
  </si>
  <si>
    <t>URBAN GENERAL SERVICE ENERGY BILLED (LESS THAN 50 KW) [UGE]</t>
  </si>
  <si>
    <t>Rate Rider for Disposition of Residual Historical Smart Meter Costs - effective until December 31, 2014</t>
  </si>
  <si>
    <t>WESTPORT SEWAGE TREATMENT PLANT</t>
  </si>
  <si>
    <t>Rate Rider for Disposition of Residual Historical Smart Meter Costs – effective until December 31, 2014</t>
  </si>
  <si>
    <t>YEAR-ROUND RESIDENTIAL - R2</t>
  </si>
  <si>
    <t>Rate Rider for Disposition of Residual Historical Smart Meter Costs - effective until December 31, 2015</t>
  </si>
  <si>
    <t>Rate Rider for Disposition of Residual Historical Smart Meter Costs - effective until December 31, 2016</t>
  </si>
  <si>
    <t>Rate Rider for Disposition of Residual Historical Smart Meter Costs - effective until October 31, 2014</t>
  </si>
  <si>
    <t>Rate Rider for Disposition of Residual Historical Smart Meter Costs - effective until September 30, 2014</t>
  </si>
  <si>
    <t>Rate Rider for Disposition of Residual Historical Smart Meter Costs - Non-Interval Metered 
      - effective until April 30, 2014</t>
  </si>
  <si>
    <t>Rate Rider for Disposition of Residual Historical Smart Meter Costs 2 - in effect until the effective date
      of the next cost of service-based rate order</t>
  </si>
  <si>
    <t>Rate Rider for Disposition of Residual Historical Smart Meter Costs 3 - in effect until the effective date of
      the next cost of service-based rate order</t>
  </si>
  <si>
    <t>Rate Rider for Disposition of Residual Incremental Historical Smart Meter Costs 
      - effective until August 31, 2015</t>
  </si>
  <si>
    <t>Rate Rider for Disposition of Stranded Meter costs - effective until April 30, 2015</t>
  </si>
  <si>
    <t>Rate Rider for Disposition of Stranded Meter Costs - effective until April 30, 2016</t>
  </si>
  <si>
    <t>Rate Rider for Disposition of Stranded Meter Costs - effective until April 30, 2017</t>
  </si>
  <si>
    <t>Rate Rider for Global Adjustment Sub Account Disposition - effective until April 30, 2016 
      Applicable only for Non RPP Customers</t>
  </si>
  <si>
    <t>Rate Rider for Global Adjustment Sub-Account Disposition (2014) - effective until April 28, 2016 
      Applicable only for Non-RPP Customers</t>
  </si>
  <si>
    <t>Rate Rider for Global Adjustment Sub-Account Disposition (2014) - effective until April 30, 2015 
      Applicable only for Non-RPP Customers</t>
  </si>
  <si>
    <t>Rate Rider for Global Adjustment Sub-Account Disposition (2014) - effective until December 30, 2015 
      Applicable only for Non-RPP Customers</t>
  </si>
  <si>
    <t>Rate Rider for Global Adjustment Sub-Account Disposition (2014) - effective until December 31, 2014 
      Applicable only for Non-RPP Customers</t>
  </si>
  <si>
    <t>Rate Rider for Global Adjustment Sub-Account Disposition (2014) - effective until December 31, 2015 
      Applicable only for Non-RPP Customers</t>
  </si>
  <si>
    <t>Rate Rider for Global Adjustment Sub-Account Disposition Applicable only for Non-RPP Customers 
      - effective until April 30, 2015</t>
  </si>
  <si>
    <t>Rate Rider for Incremental Capital - Distribution Volumetric - effective until April 30, 2016</t>
  </si>
  <si>
    <t>Rate Rider for Incremental Capital - Service Charge - effective until April 30, 2016</t>
  </si>
  <si>
    <t>Rate Rider for Incremental Capital (2012) - effective until April 30, 2015</t>
  </si>
  <si>
    <t>Rate Rider for Lost Revenue Adjustment Mechanism Variance Account (LRAMVA) Recovery (2012 CDM Activities) 
      - effective until April 30, 2015</t>
  </si>
  <si>
    <t>Rate Rider for Recover of Residual Historical Smart meter Costs - effective until June 30, 2014</t>
  </si>
  <si>
    <t>Rate Rider for Recovery of CGAAP/CWIP Differential - in effect until December 31, 2016</t>
  </si>
  <si>
    <t>Rate Rider for Recovery of Foregone Revenue - effective until April 30, 2015</t>
  </si>
  <si>
    <t>Rate Rider for Recovery of Forgone Revenue - effective until April 30, 2015</t>
  </si>
  <si>
    <t>Rate Rider for Recovery of Forgone Revenue - effective until December 31, 2014</t>
  </si>
  <si>
    <t>Rate Rider for Recovery of Green Energy Act related costs - effective until December 31, 2014</t>
  </si>
  <si>
    <t>Rate Rider for Recovery of Incremental Capital (2013) - in effect until the effective date of 
      the next cost of service-based rate order</t>
  </si>
  <si>
    <t>Rate Rider for Recovery of Incremental Capital (2013) (per connection) - in effect until the effective date of 
      the next cost of service-based rate order</t>
  </si>
  <si>
    <t>Rate Rider for Recovery of Incremental Capital (2013) (per connection)- in effect until the effective date of 
      the next cost of service-based rate order</t>
  </si>
  <si>
    <t>Rate Rider for Recovery of Incremental Capital Costs</t>
  </si>
  <si>
    <t>Rate Rider for Recovery of Incremental Capital Costs - effective until April 30, 2015</t>
  </si>
  <si>
    <t>Rate Rider for Recovery of Incremental Capital Module Costs (2014) - in effect until the effective date
      of the next cost of service-based rate order</t>
  </si>
  <si>
    <t>Rate Rider for Recovery of Lost Revenue Adjustment Mechanism ( LRAM)/Shared Savings Mechanism (SSM) (2012) 
      - effective until August 31, 2014</t>
  </si>
  <si>
    <t>Rate Rider for Recovery of Lost Revenue Adjustment Mechanism (2013) 
      - effective until December 31, 2014</t>
  </si>
  <si>
    <t>Rate Rider for Recovery of Lost Revenue Adjustment Mechanism (LRAM) - effective until April 30, 2016</t>
  </si>
  <si>
    <t>Rate Rider for Recovery of Lost Revenue Adjustment Mechanism (LRAM) (pre-2011 CDM Activities) 
      - effective until April 30, 2015</t>
  </si>
  <si>
    <t>Rate Rider for Recovery of Lost Revenue Adjustment Mechanism (LRAM) (pre-2011 CDM Activities) (2013) 
      - effective until April 30, 2015</t>
  </si>
  <si>
    <t>Rate Rider for Recovery of Lost Revenue Adjustment Mechanism (LRAM)/Shared Savings</t>
  </si>
  <si>
    <t>Rate Rider for Recovery of Lost Revenue Adjustment Mechanism (LRAM)/Shared Savings Mechanism 
      (SSM) - effective until December 31, 2018 and applicable in the service area excluding the former 
      service areas of Clinton Power and West Perth Power</t>
  </si>
  <si>
    <t>Rate Rider for Recovery of Lost Revenue Adjustment Mechanism (LRAM)/Shared Savings Mechanism (SSM) - effective until 
      December 31, 2014 and applicable in the service area excluding the former service areas of Clinton Power and West Perth Power</t>
  </si>
  <si>
    <t>Rate Rider for Recovery of Lost Revenue Adjustment Mechanism (LRAM)/Shared Savings Mechanism (SSM) - effective until 
      December 31, 2014 and applicable only in the former service area of Clinton Power</t>
  </si>
  <si>
    <t>Rate Rider for Recovery of Lost Revenue Adjustment Mechanism (LRAM)/Shared Savings Mechanism (SSM) - effective until 
      December 31, 2014 and applicable only in the former service area of West Perth Power</t>
  </si>
  <si>
    <t>Rate Rider for Recovery of Lost Revenue Adjustment Mechanism (LRAM)/Shared Savings Mechanism (SSM) - effective until December 31, 2014 and applicable in the service area excluding the former service area of Clinton Power</t>
  </si>
  <si>
    <t>Rate Rider for Recovery of Lost Revenue Adjustment Mechanism (LRAM)/Shared Savings Mechanism (SSM) 
      - effective until March 31, 2016</t>
  </si>
  <si>
    <t>Rate Rider for Recovery of Lost Revenue Adjustment Mechanism (LRAM)/Shared Savings Mechanism (SSM) (2012) 
      - effective until August 31, 2014</t>
  </si>
  <si>
    <t>Rate Rider for Recovery of Lost Revenue Adjustment Mechanism (LRAM)/Shared Savings Mechanism (SSM) Recovery 
      - effective until April 30, 2015</t>
  </si>
  <si>
    <t>Rate Rider for Recovery of Lost Revenue Adjustment Mechanism Variance Account (LRAMVA) (2014) 
      - effective until April 30, 2015</t>
  </si>
  <si>
    <t>Rate Rider for Recovery of Residual Historical Smart Meter Costs - effective July 1, 2012 - April 30, 2016</t>
  </si>
  <si>
    <t>Rate Rider for Recovery of Smart Meter Incremental Revenue Requirement - effective until the date of 
      the next cost of service-based rate order</t>
  </si>
  <si>
    <t>Rate Rider for Recovery of Smart Meter Incremental Revenue Requirement - effective until the effective 
      date of the next cost of service-based rate order, or October 31, 2017, whichever occurs earlier</t>
  </si>
  <si>
    <t>Rate Rider for Recovery of Smart Meter Incremental Revenue Requirement - in effect until the effective date of 
      the next cost of service-based rate order</t>
  </si>
  <si>
    <t>Rate Rider for Recovery of Smart Meter Incremental Revenue Requirement - Non-Interval Metered - in effect until 
      the effective date of the next cost of service-based rate order</t>
  </si>
  <si>
    <t>Rate Rider for Recovery of Smart Meter Incremental Revenue Requirements - in effect until the effective date 
      of the next cost of service application</t>
  </si>
  <si>
    <t>Rate Rider for Recovery of Smart Meter Stranded Assets - effective until April 30, 2016</t>
  </si>
  <si>
    <t>Rate Rider for Recovery of Storm Damage Costs - effective until August 31, 2017</t>
  </si>
  <si>
    <t>Rate Rider for Recovery of Stranded Assets - effective until April 30, 2016</t>
  </si>
  <si>
    <t>Rate Rider for Recovery of Stranded Meter Assets - effective July 1, 2012 - April 30, 2016</t>
  </si>
  <si>
    <t>Rate Rider for Recovery of Stranded Meter Assets – effective until April 30, 2015</t>
  </si>
  <si>
    <t>Rate Rider for Recovery of Stranded Meter Assets - effective until April 30, 2016</t>
  </si>
  <si>
    <t>Rate Rider for Recovery of Stranded Meter Assets - effective until April 30, 2017</t>
  </si>
  <si>
    <t>Rate Rider for Recovery of Stranded Meter Assets - effective until August 31, 2015</t>
  </si>
  <si>
    <t>Rate Rider for Recovery of Stranded Meter Assets - effective until August 31, 2017</t>
  </si>
  <si>
    <t>Rate Rider for Recovery of Stranded Meter Assets - effective until December 31, 2014</t>
  </si>
  <si>
    <t>Rate Rider for Recovery of Stranded Meter Assets - effective until December 31, 2015</t>
  </si>
  <si>
    <t>Rate Rider for Recovery of Stranded Meter Assets - effective until June 30, 2016</t>
  </si>
  <si>
    <t>Rate Rider for Recovery of Stranded Meter Assets - effective until March 31, 2016</t>
  </si>
  <si>
    <t>Rate Rider for Recovery of Stranded Meter Assets - effective until May 31, 2014</t>
  </si>
  <si>
    <t>Rate Rider for Reversal of Deferral/Variance Account Disposition (2011) - effective until April 30, 2015</t>
  </si>
  <si>
    <t>Rate Rider for Smart Meter Disposition - effective until April 30, 2016</t>
  </si>
  <si>
    <t>Rate Rider for Smart Meter Incremental Revenue Requirement - in effect until the effective date of 
      the next cost of service-based rate order</t>
  </si>
  <si>
    <t>Rate Rider for Smart Metering Entity Charge - effective until October 31, 2018</t>
  </si>
  <si>
    <t>Rate Rider for Stranded Meter Cost Recovery - effective until April 30, 2017</t>
  </si>
  <si>
    <t>Rate Rider for Tax Change</t>
  </si>
  <si>
    <t>Rate Rider for Tax Change - effective until April 30, 2015</t>
  </si>
  <si>
    <t>Rate Rider for Tax Change (2014) - effective until April 30, 2015</t>
  </si>
  <si>
    <t>Retail Transmission Rate - Line and Transformation Connection Service Rate - (less than 1,000 kW)</t>
  </si>
  <si>
    <t>Retail Transmission Rate - Line and Transformation Connection Service Rate 
      - Interval Metered (1,000 to 4,999 kW)</t>
  </si>
  <si>
    <t>Retail Transmission Rate - Line and Transformation Connection Service Rate 
      - Interval Metered (less than 1,000 kW)</t>
  </si>
  <si>
    <t>Retail Transmission Rate - Line and Transformation Connection Service Rate 
      - Interval Metered &lt; 1,000 kW</t>
  </si>
  <si>
    <t>Retail Transmission Rate - Line and Transformation Connection Service Rate 
      FOR ALL SERVICE AREAS EXCEPT HENSALL</t>
  </si>
  <si>
    <t>Retail Transmission Rate - Line and Transformation Connection Service Rate
      - Interval Metered &gt; 1,000 kW</t>
  </si>
  <si>
    <t>Retail Transmission Rate - Network Service Rate - Interval Metered (less than 1,000 kW)</t>
  </si>
  <si>
    <t>Rider for Global Adjustment Sub-Account Disposition (2012) - effective until April 30, 2016 
      Applicable only for Non-RPP Customers</t>
  </si>
  <si>
    <t>Sentinel lights (dusk-to-dawn) connected to unmetered wires will have a flat rate monthly energy charge 
added to the regular customer bill. Further servicing details are available in the distributor’s Conditions 
of Service.</t>
  </si>
  <si>
    <t>Smart Grid Funding Adder (2014) - in effect until December 31, 2014</t>
  </si>
  <si>
    <t>Smart Meter Disposition Rider</t>
  </si>
  <si>
    <t>Smart Meter Incremental Revenue Requirement Rate Rider</t>
  </si>
  <si>
    <t>Standby Charge - for a month where standby power is not provided, the charge is based on the applicable 
General Service 50 to 4,999 kW or Large Use Distribution Volumetric Charge applied to the contracted 
amount (e.g. Nameplate rating of generating facility).</t>
  </si>
  <si>
    <t>Standby Charge - for a month where standby power is not provided. The charge is applied to the amount of 
reserved load transfer capacity contracted or the amount of monthly peak load displaced by a generating 
facility</t>
  </si>
  <si>
    <t>Standby Charge - for a month where standby power is not provided. The charge is applied to the contracted 
amount (e.g. nameplate rating of the generation facility).</t>
  </si>
  <si>
    <t>Wholesale Market Service Rate</t>
  </si>
  <si>
    <t>Haldimand County Hydro Inc.</t>
  </si>
  <si>
    <t>Innpower Corporation</t>
  </si>
  <si>
    <t>PowerStream Inc.</t>
  </si>
  <si>
    <t>Norfolk Power Distribution Inc.</t>
  </si>
  <si>
    <t>Woodstock Hydro Services Inc.</t>
  </si>
  <si>
    <t>Found</t>
  </si>
  <si>
    <t>North Bay Hydro Distribution Limited-Espanola Rate Zone</t>
  </si>
  <si>
    <t>North Bay Hydro Distribution Limited-Espanola Rate Zone_Start</t>
  </si>
  <si>
    <t>North Bay Hydro Distribution Limited-Espanola Rate Zone_End</t>
  </si>
  <si>
    <t>North Bay Hydro Distribution Limited-North Bay Rate Zone</t>
  </si>
  <si>
    <t>North Bay Hydro Distribution Limited-North Bay Rate Zone_Start</t>
  </si>
  <si>
    <t>4_GENERAL SERVICE GREATER THAN 3,000 KW SERVICE CLASSIFICATION</t>
  </si>
  <si>
    <t>4_GENERAL SERVICE GREATER THAN 3,000 KW SERVICE CLASSIFICATION_MSC</t>
  </si>
  <si>
    <t>4_GENERAL SERVICE GREATER THAN 3,000 KW SERVICE CLASSIFICATION_DVC</t>
  </si>
  <si>
    <t>4_GENERAL SERVICE GREATER THAN 3,000 KW SERVICE CLASSIFICATION_LV</t>
  </si>
  <si>
    <t>4_GENERAL SERVICE GREATER THAN 3,000 KW SERVICE CLASSIFICATION_DEFVAR_ALL</t>
  </si>
  <si>
    <t>4_GENERAL SERVICE GREATER THAN 3,000 KW SERVICE CLASSIFICATION_Retail Transmission Rate - Network Service Rate</t>
  </si>
  <si>
    <t>4_GENERAL SERVICE GREATER THAN 3,000 KW SERVICE CLASSIFICATION_Retail Transmission Rate - Line and Transformation Connection Service Rate</t>
  </si>
  <si>
    <t>4_GENERAL SERVICE GREATER THAN 3,000 KW SERVICE CLASSIFICATION_WMSR</t>
  </si>
  <si>
    <t>4_GENERAL SERVICE GREATER THAN 3,000 KW SERVICE CLASSIFICATION_RRRP</t>
  </si>
  <si>
    <t>4_GENERAL SERVICE GREATER THAN 3,000 KW SERVICE CLASSIFICATION_SSS</t>
  </si>
  <si>
    <t>North Bay Hydro Distribution Limited-North Bay Rate Zone_End</t>
  </si>
  <si>
    <t>North Bay Hydro Distribution Limited - North Bay Rate Zone</t>
  </si>
  <si>
    <t>North Bay Hydro Distribution Limited - North Bay Rate Zone1550</t>
  </si>
  <si>
    <t>North Bay Hydro Distribution Limited - North Bay Rate Zone1551</t>
  </si>
  <si>
    <t>North Bay Hydro Distribution Limited - North Bay Rate Zone1555</t>
  </si>
  <si>
    <t>North Bay Hydro Distribution Limited - North Bay Rate Zone1580</t>
  </si>
  <si>
    <t>North Bay Hydro Distribution Limited - North Bay Rate Zone1584</t>
  </si>
  <si>
    <t>North Bay Hydro Distribution Limited - North Bay Rate Zone1586</t>
  </si>
  <si>
    <t>North Bay Hydro Distribution Limited - North Bay Rate Zone1588</t>
  </si>
  <si>
    <t>North Bay Hydro Distribution Limited - North Bay Rate Zone1589</t>
  </si>
  <si>
    <t>North Bay Hydro Distribution Limited - North Bay Rate Zone1592</t>
  </si>
  <si>
    <t>North Bay Hydro Distribution Limited - Espanola Rate Zone</t>
  </si>
  <si>
    <t>North Bay Hydro Distribution Limited - Espanola Rate Zone1550</t>
  </si>
  <si>
    <t>North Bay Hydro Distribution Limited - Espanola Rate Zone1551</t>
  </si>
  <si>
    <t>North Bay Hydro Distribution Limited - Espanola Rate Zone1555</t>
  </si>
  <si>
    <t>North Bay Hydro Distribution Limited - Espanola Rate Zone1580</t>
  </si>
  <si>
    <t>North Bay Hydro Distribution Limited - Espanola Rate Zone1584</t>
  </si>
  <si>
    <t>North Bay Hydro Distribution Limited - Espanola Rate Zone1586</t>
  </si>
  <si>
    <t>North Bay Hydro Distribution Limited - Espanola Rate Zone1588</t>
  </si>
  <si>
    <t>North Bay Hydro Distribution Limited - Espanola Rate Zone1589</t>
  </si>
  <si>
    <t>North Bay Hydro Distribution Limited - Espanola Rate Zone1592</t>
  </si>
  <si>
    <t>2024
Jan to Jun</t>
  </si>
  <si>
    <t>2024
Jul to Dec</t>
  </si>
  <si>
    <t>LDC NAME</t>
  </si>
  <si>
    <t>RANGE NAME</t>
  </si>
  <si>
    <t>HydroOne_SA</t>
  </si>
  <si>
    <t>Alectra_SA</t>
  </si>
  <si>
    <t>Elexicon_SA</t>
  </si>
  <si>
    <t>Newmarket_SA</t>
  </si>
  <si>
    <t>Entegrus_SA</t>
  </si>
  <si>
    <t>ERTH_SA</t>
  </si>
  <si>
    <t>Grandbridge_SA</t>
  </si>
  <si>
    <t>Enova_SA</t>
  </si>
  <si>
    <t>North_Bay_SA</t>
  </si>
  <si>
    <r>
      <t xml:space="preserve">Projected Interest from Jan 1, 2025 to Dec 31, 2025 on Dec 31, 2024 balance adjusted for disposition during 2025 </t>
    </r>
    <r>
      <rPr>
        <b/>
        <vertAlign val="superscript"/>
        <sz val="10"/>
        <rFont val="Book Antiqua"/>
        <family val="1"/>
      </rPr>
      <t>2</t>
    </r>
  </si>
  <si>
    <r>
      <t xml:space="preserve">Projected Interest from Jan 1, 2025 to Apr 30, 2025 on Dec 31, 2024 balance adjusted for disposition during 2025 </t>
    </r>
    <r>
      <rPr>
        <b/>
        <vertAlign val="superscript"/>
        <sz val="11"/>
        <rFont val="Book Antiqua"/>
        <family val="1"/>
      </rPr>
      <t>2</t>
    </r>
  </si>
  <si>
    <t>As of Dec 31, 2024</t>
  </si>
  <si>
    <t>Variance                           RRR vs. 2024 Balance                        (Principal + Interest)</t>
  </si>
  <si>
    <t>Total Metered 2024 Consumption for Class A Customers that were Class A for the entire period GA balance accumulated</t>
  </si>
  <si>
    <t xml:space="preserve">Total Metered 2024 Consumption for Customers that Transitioned Between Class A and B during the period GA balance accumulated </t>
  </si>
  <si>
    <t>Non-RPP Metered 2024 Consumption for Current Class B Customers (Non-RPP Consumption excluding WMP, Class A and Transition Customers' Consumption)</t>
  </si>
  <si>
    <t>Total Metered Non-RPP 2024 Consumption excluding WMP</t>
  </si>
  <si>
    <t>Total Metered 2024 Consumption Minus WMP</t>
  </si>
  <si>
    <t>Total Metered 2024 Consumption for Full Year Class A Customers</t>
  </si>
  <si>
    <t>Total Metered 2024 Consumption for Transition Customers</t>
  </si>
  <si>
    <t>Metered 2024 Consumption for Current Class B Customers (Total Consumption LESS WMP, Class A and Transition Customers' Consumption)</t>
  </si>
  <si>
    <t>2025
Jan to Jun</t>
  </si>
  <si>
    <t>2025
Jul to Dec</t>
  </si>
  <si>
    <t>The purpose of this sheet is to calculate the expected billing when current 2025 Uniform Transmission Rates are applied against historical 2024 transmission units.</t>
  </si>
  <si>
    <t>The purpose of this sheet is to calculate the expected billing when forecasted 2026 Uniform Transmission Rates are applied against historical 2024 transmission units.</t>
  </si>
  <si>
    <t>Allocated 
2023 LV Expense</t>
  </si>
  <si>
    <r>
      <t>Disposition and Recovery/Refund of Regulatory Balances (2019 and pre-2019)</t>
    </r>
    <r>
      <rPr>
        <vertAlign val="superscript"/>
        <sz val="11"/>
        <rFont val="Arial"/>
        <family val="2"/>
      </rPr>
      <t>3</t>
    </r>
  </si>
  <si>
    <r>
      <t>Disposition and Recovery/Refund of Regulatory Balances (2024)</t>
    </r>
    <r>
      <rPr>
        <vertAlign val="superscript"/>
        <sz val="11"/>
        <rFont val="Arial"/>
        <family val="2"/>
      </rPr>
      <t>3</t>
    </r>
  </si>
  <si>
    <r>
      <t>Disposition and Recovery/Refund of Regulatory Balances (2025)</t>
    </r>
    <r>
      <rPr>
        <vertAlign val="superscript"/>
        <sz val="11"/>
        <rFont val="Arial"/>
        <family val="2"/>
      </rPr>
      <t xml:space="preserve">3
</t>
    </r>
    <r>
      <rPr>
        <i/>
        <sz val="11"/>
        <color rgb="FFFF0000"/>
        <rFont val="Arial"/>
        <family val="2"/>
      </rPr>
      <t>Not to be disposed of until two years after rate rider has expired and that balance has been audited. Refer to the Filing Requirements for disposition eligibility.</t>
    </r>
  </si>
  <si>
    <r>
      <t xml:space="preserve">1595 Recovery Proportion (2019 and pre-2019) </t>
    </r>
    <r>
      <rPr>
        <b/>
        <vertAlign val="superscript"/>
        <sz val="10"/>
        <rFont val="Arial"/>
        <family val="2"/>
      </rPr>
      <t>1</t>
    </r>
  </si>
  <si>
    <r>
      <t xml:space="preserve">1595 Recovery Proportion (2025) </t>
    </r>
    <r>
      <rPr>
        <b/>
        <vertAlign val="superscript"/>
        <sz val="10"/>
        <rFont val="Arial"/>
        <family val="2"/>
      </rPr>
      <t>1</t>
    </r>
  </si>
  <si>
    <t>1595_(2019 and pre-2019)</t>
  </si>
  <si>
    <t>1595_(2025)</t>
  </si>
  <si>
    <t>Metered Class B Consumption (kWh)  for Transition Customers During the Period When They were Class B Customers in 2024</t>
  </si>
  <si>
    <t>Metered Consumption (kWh) for Transition Customers During the Period When They Were Class B Customers in 2024</t>
  </si>
  <si>
    <t>Effective and Implementation Date January 1, 2025</t>
  </si>
  <si>
    <t>EB-2024-0047</t>
  </si>
  <si>
    <t>Rate Rider for Prospective LRAM Disposition (2025) - effective until December 31, 2025</t>
  </si>
  <si>
    <t>2_GENERAL SERVICE LESS THAN 50 KW SERVICE CLASSIFICATION_VR_RR_1</t>
  </si>
  <si>
    <t>3_GENERAL SERVICE 50 TO 999 KW SERVICE CLASSIFICATION_VR_RR_2</t>
  </si>
  <si>
    <t>4_GENERAL SERVICE 1,000 KW AND GREATER SERVICE CLASSIFICATION_VR_RR_3</t>
  </si>
  <si>
    <t>7_STREET LIGHTING SERVICE CLASSIFICATION_VR_RR_4</t>
  </si>
  <si>
    <t>EB-2024-0006</t>
  </si>
  <si>
    <t>Rate Rider for Disposition of Global Adjustment Account (2025) - effective until December 31, 2025
      Applicable only for Non-RPP Customers</t>
  </si>
  <si>
    <t>Rate Rider for Disposition of Deferral/Variance Accounts (2025) - effective until December 31, 2025</t>
  </si>
  <si>
    <t>Rate Rider for Disposition of Capacity Based Recovery Account (2025) - effective until December 31, 2025 
      Applicable only for Class B Customers</t>
  </si>
  <si>
    <t>2_GENERAL SERVICE LESS THAN 50 KW SERVICE CLASSIFICATION_VR_RR_11</t>
  </si>
  <si>
    <t>2_GENERAL SERVICE LESS THAN 50 KW SERVICE CLASSIFICATION_VR_RR_12</t>
  </si>
  <si>
    <t>Rate Rider for Disposition of Prospective Lost Revenue Adjustment Mechanism Variance Account (LRAMVA) (2025) - 
     effective until December 31, 2025</t>
  </si>
  <si>
    <t>Rate Rider for Disposition of Deferral/Variance Accounts (2025) - effective until December 31, 2025
      Applicable only for Non-Wholesale Market Participants</t>
  </si>
  <si>
    <t>3_GENERAL SERVICE 50 TO 699 KW SERVICE CLASSIFICATION_VR_RR_18</t>
  </si>
  <si>
    <t>3_GENERAL SERVICE 50 TO 699 KW SERVICE CLASSIFICATION_VR_RR_19</t>
  </si>
  <si>
    <t>Rate Rider for Recovery of Incremental Capital (2021) - in effect until the effective date of the next cost of 
      service based rate order</t>
  </si>
  <si>
    <t>Rate Rider for Recovery of Incremental Capital (2018) - in effect until the effective date of the next cost of 
      service based rate order</t>
  </si>
  <si>
    <t>4_GENERAL SERVICE 700 TO 4,999 KW SERVICE CLASSIFICATION_VR_RR_26</t>
  </si>
  <si>
    <t>Rate Rider for Disposition of Prospective Lost Revenue Adjustment Mechanism Variance Account (LRAMVA) (2025) - 
      effective until December 31, 2025</t>
  </si>
  <si>
    <t>7_STREET LIGHTING SERVICE CLASSIFICATION_VR_RR_43</t>
  </si>
  <si>
    <t>2_GENERAL SERVICE LESS THAN 50 KW SERVICE CLASSIFICATION_VR_RR_56</t>
  </si>
  <si>
    <t>3_GENERAL SERVICE 50 TO 499 KW SERVICE CLASSIFICATION_VR_RR_62</t>
  </si>
  <si>
    <t>3_GENERAL SERVICE 50 TO 499 KW SERVICE CLASSIFICATION_VR_RR_63</t>
  </si>
  <si>
    <t>3_GENERAL SERVICE 50 TO 499 KW SERVICE CLASSIFICATION_VR_RR_64</t>
  </si>
  <si>
    <t>4_GENERAL SERVICE 500 TO 4,999 KW SERVICE CLASSIFICATION_VR_RR_71</t>
  </si>
  <si>
    <t>4_GENERAL SERVICE 500 TO 4,999 KW SERVICE CLASSIFICATION_VR_RR_72</t>
  </si>
  <si>
    <t>4_GENERAL SERVICE 500 TO 4,999 KW SERVICE CLASSIFICATION_VR_RR_73</t>
  </si>
  <si>
    <t>4_GENERAL SERVICE 500 TO 4,999 KW SERVICE CLASSIFICATION_VR_RR_74</t>
  </si>
  <si>
    <t>5_LARGE USE SERVICE CLASSIFICATION_VR_RR_77</t>
  </si>
  <si>
    <t>5_LARGE USE SERVICE CLASSIFICATION_VR_RR_78</t>
  </si>
  <si>
    <t>5_LARGE USE SERVICE CLASSIFICATION_VR_RR_79</t>
  </si>
  <si>
    <t>5_LARGE USE SERVICE CLASSIFICATION_VR_RR_80</t>
  </si>
  <si>
    <t>6_UNMETERED SCATTERED LOAD SERVICE CLASSIFICATION_VR_RR_85</t>
  </si>
  <si>
    <t>6_UNMETERED SCATTERED LOAD SERVICE CLASSIFICATION_VR_RR_86</t>
  </si>
  <si>
    <t>6_UNMETERED SCATTERED LOAD SERVICE CLASSIFICATION_VR_RR_87</t>
  </si>
  <si>
    <t>7_STREET LIGHTING SERVICE CLASSIFICATION_VR_RR_92</t>
  </si>
  <si>
    <t>7_STREET LIGHTING SERVICE CLASSIFICATION_VR_RR_93</t>
  </si>
  <si>
    <t>7_STREET LIGHTING SERVICE CLASSIFICATION_VR_RR_94</t>
  </si>
  <si>
    <t>7_STREET LIGHTING SERVICE CLASSIFICATION_VR_RR_95</t>
  </si>
  <si>
    <t>Rate Rider for Disposition of Lost Revenue Adjustment Mechanism Variance Account (LRAMVA) (2024) -
      effective until December 31, 2026</t>
  </si>
  <si>
    <t xml:space="preserve">Rate Rider for Disposition of Lost Revenue Adjustment Mechanism Variance Account (LRAMVA) (2023) -
      effective until December 31, 2025    </t>
  </si>
  <si>
    <t xml:space="preserve">Rate Rider for Recovery of Incremental Capital (2024) - in effect from January 1, 2025 until the effective date of the next cost of service 
      based rate order </t>
  </si>
  <si>
    <t>Rate Rider for Recovery of Incremental Capital (2023) - in effect until the effective date of the next cost of service based rate order</t>
  </si>
  <si>
    <t>Rate Rider for Recovery of Incremental Capital (2021) - in effect until the effective date of the next cost of service 
      based rate order</t>
  </si>
  <si>
    <t>Rate Rider for Recovery of Incremental Capital (2019) - in effect from March 1, 2019 until the effective date of the next cost of service 
      based rate order</t>
  </si>
  <si>
    <t>Rate Rider for Recovery of Incremental Capital (2018) - in effect until the effective date of the next cost of service 
      based rate order</t>
  </si>
  <si>
    <t>1_RESIDENTIAL SERVICE CLASSIFICATION_FX_RR_58</t>
  </si>
  <si>
    <t>Rate Rider for Disposition of Global Adjustment Account (2025) - effective until December 31, 2025
       Applicable only for Non-RPP Customers</t>
  </si>
  <si>
    <t xml:space="preserve">Rate Rider for Recovery of Incremental Capital (2023) - in effect until the effective date of the next cost of service 
      based rate order </t>
  </si>
  <si>
    <t>2_GENERAL SERVICE LESS THAN 50 KW SERVICE CLASSIFICATION_FX_RR_62</t>
  </si>
  <si>
    <t>2_GENERAL SERVICE LESS THAN 50 KW SERVICE CLASSIFICATION_VR_RR_161</t>
  </si>
  <si>
    <t>2_GENERAL SERVICE LESS THAN 50 KW SERVICE CLASSIFICATION_VR_RR_162</t>
  </si>
  <si>
    <t>2_GENERAL SERVICE LESS THAN 50 KW SERVICE CLASSIFICATION_VR_RR_164</t>
  </si>
  <si>
    <t>3_GENERAL SERVICE 50 to 4,999 kW SERVICE CLASSIFICATION_FX_RR_66</t>
  </si>
  <si>
    <t>3_GENERAL SERVICE 50 to 4,999 kW SERVICE CLASSIFICATION_FX_RR_67</t>
  </si>
  <si>
    <t>3_GENERAL SERVICE 50 to 4,999 kW SERVICE CLASSIFICATION_FX_RR_68</t>
  </si>
  <si>
    <t>3_GENERAL SERVICE 50 to 4,999 kW SERVICE CLASSIFICATION_VR_RR_170</t>
  </si>
  <si>
    <t>3_GENERAL SERVICE 50 to 4,999 kW SERVICE CLASSIFICATION_VR_RR_171</t>
  </si>
  <si>
    <t>3_GENERAL SERVICE 50 to 4,999 kW SERVICE CLASSIFICATION_VR_RR_172</t>
  </si>
  <si>
    <t>3_GENERAL SERVICE 50 to 4,999 kW SERVICE CLASSIFICATION_VR_RR_173</t>
  </si>
  <si>
    <t>3_GENERAL SERVICE 50 to 4,999 kW SERVICE CLASSIFICATION_VR_RR_174</t>
  </si>
  <si>
    <t>Rate Rider for Recovery of Incremental Capital (2024) - in effect from January 1, 2025 until the effective date of the next cost of service 
      based rate order</t>
  </si>
  <si>
    <t>4_LARGE USE SERVICE CLASSIFICATION_FX_RR_70</t>
  </si>
  <si>
    <t>4_LARGE USE SERVICE CLASSIFICATION_FX_RR_71</t>
  </si>
  <si>
    <t>4_LARGE USE SERVICE CLASSIFICATION_FX_RR_72</t>
  </si>
  <si>
    <t>4_LARGE USE SERVICE CLASSIFICATION_FX_RR_73</t>
  </si>
  <si>
    <t>4_LARGE USE SERVICE CLASSIFICATION_VR_RR_177</t>
  </si>
  <si>
    <t>4_LARGE USE SERVICE CLASSIFICATION_VR_RR_178</t>
  </si>
  <si>
    <t>4_LARGE USE SERVICE CLASSIFICATION_VR_RR_179</t>
  </si>
  <si>
    <t>4_LARGE USE SERVICE CLASSIFICATION_VR_RR_180</t>
  </si>
  <si>
    <t>4_LARGE USE SERVICE CLASSIFICATION_VR_RR_181</t>
  </si>
  <si>
    <t>6_UNMETERED SCATTERED LOAD SERVICE CLASSIFICATION_FX_RR_74</t>
  </si>
  <si>
    <t>6_UNMETERED SCATTERED LOAD SERVICE CLASSIFICATION_FX_RR_75</t>
  </si>
  <si>
    <t>6_UNMETERED SCATTERED LOAD SERVICE CLASSIFICATION_FX_RR_76</t>
  </si>
  <si>
    <t>6_UNMETERED SCATTERED LOAD SERVICE CLASSIFICATION_FX_RR_77</t>
  </si>
  <si>
    <t>6_UNMETERED SCATTERED LOAD SERVICE CLASSIFICATION_FX_RR_78</t>
  </si>
  <si>
    <t xml:space="preserve">Rate Rider for Recovery of Incremental Capital (2024) - in effect from January 1, 2025 until the effective date of the next cost of service 
      based rate order  </t>
  </si>
  <si>
    <t>6_UNMETERED SCATTERED LOAD SERVICE CLASSIFICATION_VR_RR_186</t>
  </si>
  <si>
    <t>6_UNMETERED SCATTERED LOAD SERVICE CLASSIFICATION_VR_RR_187</t>
  </si>
  <si>
    <t>6_UNMETERED SCATTERED LOAD SERVICE CLASSIFICATION_VR_RR_188</t>
  </si>
  <si>
    <t>6_UNMETERED SCATTERED LOAD SERVICE CLASSIFICATION_VR_RR_189</t>
  </si>
  <si>
    <t>7_SENTINEL LIGHTING SERVICE CLASSIFICATION_FX_RR_79</t>
  </si>
  <si>
    <t>7_SENTINEL LIGHTING SERVICE CLASSIFICATION_FX_RR_80</t>
  </si>
  <si>
    <t>7_SENTINEL LIGHTING SERVICE CLASSIFICATION_FX_RR_81</t>
  </si>
  <si>
    <t>7_SENTINEL LIGHTING SERVICE CLASSIFICATION_FX_RR_82</t>
  </si>
  <si>
    <t>7_SENTINEL LIGHTING SERVICE CLASSIFICATION_VR_RR_194</t>
  </si>
  <si>
    <t>7_SENTINEL LIGHTING SERVICE CLASSIFICATION_VR_RR_195</t>
  </si>
  <si>
    <t>7_SENTINEL LIGHTING SERVICE CLASSIFICATION_VR_RR_196</t>
  </si>
  <si>
    <t>7_SENTINEL LIGHTING SERVICE CLASSIFICATION_VR_RR_197</t>
  </si>
  <si>
    <t>7_SENTINEL LIGHTING SERVICE CLASSIFICATION_VR_RR_198</t>
  </si>
  <si>
    <t>8_STREET LIGHTING SERVICE CLASSIFICATION_FX_RR_83</t>
  </si>
  <si>
    <t>8_STREET LIGHTING SERVICE CLASSIFICATION_FX_RR_84</t>
  </si>
  <si>
    <t>8_STREET LIGHTING SERVICE CLASSIFICATION_FX_RR_85</t>
  </si>
  <si>
    <t>8_STREET LIGHTING SERVICE CLASSIFICATION_VR_RR_203</t>
  </si>
  <si>
    <t>8_STREET LIGHTING SERVICE CLASSIFICATION_VR_RR_204</t>
  </si>
  <si>
    <t>8_STREET LIGHTING SERVICE CLASSIFICATION_VR_RR_205</t>
  </si>
  <si>
    <t>8_STREET LIGHTING SERVICE CLASSIFICATION_VR_RR_206</t>
  </si>
  <si>
    <t>8_STREET LIGHTING SERVICE CLASSIFICATION_VR_RR_207</t>
  </si>
  <si>
    <t>EB-2024-0014</t>
  </si>
  <si>
    <t>EB-2024-0011</t>
  </si>
  <si>
    <t>Newmarket-Tay Power Distribution Ltd.-Midland Rate Zone</t>
  </si>
  <si>
    <t>Newmarket-Tay Power Distribution Ltd.-Midland Rate Zone_Start</t>
  </si>
  <si>
    <t>Midland Rate Zone</t>
  </si>
  <si>
    <t>Rate Rider for Rate Year Alignment  - effective until April 30, 2025</t>
  </si>
  <si>
    <t>Rate Rider for Disposition of Capacity Based Recovery Account (2025) - effective until December 31, 
      2025 Applicable only for Class B Customers</t>
  </si>
  <si>
    <t>Rate Rider for Rate Year Alignment - Service Charge - effective until April 30, 2025</t>
  </si>
  <si>
    <t>Rate Rider for Prospective LRAMVA disposition (2025) - effective until December 31, 2025</t>
  </si>
  <si>
    <t>Rate Rider for Rate Year Alignment - Volumetric - effective until April 30, 2025</t>
  </si>
  <si>
    <t>Newmarket-Tay Power Distribution Ltd.-Midland Rate Zone_End</t>
  </si>
  <si>
    <t>Newmarket-Tay Power Distribution Ltd.-Newmarket-Tay Rate Zone</t>
  </si>
  <si>
    <t>Newmarket-Tay Power Distribution Ltd.-Newmarket-Tay Rate Zone_Start</t>
  </si>
  <si>
    <t>Newmarket-Tay Rate Zone</t>
  </si>
  <si>
    <t>Rate Rider for Application of Tax Change (2025) - effective until December 31, 2025</t>
  </si>
  <si>
    <t>2_GENERAL SERVICE LESS THAN 50 KW SERVICE CLASSIFICATION_VR_RR_297</t>
  </si>
  <si>
    <t>Rate Rider for Prospective LRAMVA Disposition (2025) - effective until December 31, 2025</t>
  </si>
  <si>
    <t>Rate Rider for Rate Year Alignment - Volumetric Thermal Demand - effective until April 30, 2025</t>
  </si>
  <si>
    <t>Rate Rider for Rate Year Alignment - Volumetric Interval Demand - effective until April 30, 2025</t>
  </si>
  <si>
    <t>Rate Rider for Recovery of Incremental Capital - effective until the effective date of the next cost of service-based rate order</t>
  </si>
  <si>
    <t>Newmarket-Tay Power Distribution Ltd.-Newmarket-Tay Rate Zone_End</t>
  </si>
  <si>
    <t>EB-2024-0052</t>
  </si>
  <si>
    <t>Rate Rider for Disposition of Group 2 Deferral/Variance Accounts - effective until December 31, 2025</t>
  </si>
  <si>
    <t>Rate Rider for Disposition of Capacity Based Recovery Account (2025) - effective until December 31, 2025 Applicable only for Class B Customers</t>
  </si>
  <si>
    <t>EB-2024-0060</t>
  </si>
  <si>
    <t>Rate Rider for Disposition of Deferral/Variance Accounts Group 2 Accounts - effective until December 31, 
      2025</t>
  </si>
  <si>
    <t>EB-2024-0016</t>
  </si>
  <si>
    <t xml:space="preserve">Rate Rider for Recovery of Incremental Capital (2023) - in effect from April 1, 2025, until the effective date of the next 
      cost of service based rate order. </t>
  </si>
  <si>
    <t>1_RESIDENTIAL SERVICE CLASSIFICATION_FX_RR_113</t>
  </si>
  <si>
    <t>Rate Rider for Recovery of Z Factor - Capital Cost - effective until the effective date of the next cost of service-
      based rate order.</t>
  </si>
  <si>
    <t>1_RESIDENTIAL SERVICE CLASSIFICATION_FX_RR_114</t>
  </si>
  <si>
    <t>1_RESIDENTIAL SERVICE CLASSIFICATION_FX_RR_115</t>
  </si>
  <si>
    <t>2_SEASONAL RESIDENTIAL SERVICE CLASSIFICATION_FX_RR_116</t>
  </si>
  <si>
    <t>2_SEASONAL RESIDENTIAL SERVICE CLASSIFICATION_FX_RR_117</t>
  </si>
  <si>
    <t>2_SEASONAL RESIDENTIAL SERVICE CLASSIFICATION_FX_RR_118</t>
  </si>
  <si>
    <t>3_GENERAL SERVICE LESS THAN 50 KW SERVICE CLASSIFICATION_FX_RR_119</t>
  </si>
  <si>
    <t>3_GENERAL SERVICE LESS THAN 50 KW SERVICE CLASSIFICATION_FX_RR_120</t>
  </si>
  <si>
    <t>3_GENERAL SERVICE LESS THAN 50 KW SERVICE CLASSIFICATION_FX_RR_121</t>
  </si>
  <si>
    <t>3_GENERAL SERVICE LESS THAN 50 KW SERVICE CLASSIFICATION_VR_RR_391</t>
  </si>
  <si>
    <t>3_GENERAL SERVICE LESS THAN 50 KW SERVICE CLASSIFICATION_VR_RR_392</t>
  </si>
  <si>
    <t>3_GENERAL SERVICE LESS THAN 50 KW SERVICE CLASSIFICATION_VR_RR_393</t>
  </si>
  <si>
    <t>4_GENERAL SERVICE 50 TO 2,999 KW SERVICE CLASSIFICATION_FX_RR_122</t>
  </si>
  <si>
    <t>4_GENERAL SERVICE 50 TO 2,999 KW SERVICE CLASSIFICATION_FX_RR_123</t>
  </si>
  <si>
    <t>4_GENERAL SERVICE 50 TO 2,999 KW SERVICE CLASSIFICATION_FX_RR_124</t>
  </si>
  <si>
    <t>4_GENERAL SERVICE 50 TO 2,999 KW SERVICE CLASSIFICATION_VR_RR_394</t>
  </si>
  <si>
    <t>4_GENERAL SERVICE 50 TO 2,999 KW SERVICE CLASSIFICATION_VR_RR_395</t>
  </si>
  <si>
    <t>4_GENERAL SERVICE 50 TO 2,999 KW SERVICE CLASSIFICATION_VR_RR_396</t>
  </si>
  <si>
    <t>5_GENERAL SERVICE 3,000 TO 4,999 KW SERVICE CLASSIFICATION_FX_RR_125</t>
  </si>
  <si>
    <t>5_GENERAL SERVICE 3,000 TO 4,999 KW SERVICE CLASSIFICATION_FX_RR_126</t>
  </si>
  <si>
    <t>5_GENERAL SERVICE 3,000 TO 4,999 KW SERVICE CLASSIFICATION_FX_RR_127</t>
  </si>
  <si>
    <t>5_GENERAL SERVICE 3,000 TO 4,999 KW SERVICE CLASSIFICATION_VR_RR_397</t>
  </si>
  <si>
    <t>5_GENERAL SERVICE 3,000 TO 4,999 KW SERVICE CLASSIFICATION_VR_RR_398</t>
  </si>
  <si>
    <t>5_GENERAL SERVICE 3,000 TO 4,999 KW SERVICE CLASSIFICATION_VR_RR_399</t>
  </si>
  <si>
    <t>6_LARGE USE SERVICE CLASSIFICATION_FX_RR_128</t>
  </si>
  <si>
    <t>6_LARGE USE SERVICE CLASSIFICATION_FX_RR_129</t>
  </si>
  <si>
    <t>6_LARGE USE SERVICE CLASSIFICATION_FX_RR_130</t>
  </si>
  <si>
    <t>6_LARGE USE SERVICE CLASSIFICATION_VR_RR_400</t>
  </si>
  <si>
    <t>6_LARGE USE SERVICE CLASSIFICATION_VR_RR_401</t>
  </si>
  <si>
    <t>6_LARGE USE SERVICE CLASSIFICATION_VR_RR_402</t>
  </si>
  <si>
    <t>7_UNMETERED SCATTERED LOAD SERVICE CLASSIFICATION_FX_RR_131</t>
  </si>
  <si>
    <t>Rate Rider for Recovery of Z Factor - Capital Cost - effective until the effective date of the next cost of service-      
      based rate order.</t>
  </si>
  <si>
    <t>7_UNMETERED SCATTERED LOAD SERVICE CLASSIFICATION_FX_RR_132</t>
  </si>
  <si>
    <t>7_UNMETERED SCATTERED LOAD SERVICE CLASSIFICATION_FX_RR_133</t>
  </si>
  <si>
    <t>7_UNMETERED SCATTERED LOAD SERVICE CLASSIFICATION_VR_RR_403</t>
  </si>
  <si>
    <t>7_UNMETERED SCATTERED LOAD SERVICE CLASSIFICATION_VR_RR_404</t>
  </si>
  <si>
    <t>8_SENTINEL LIGHTING SERVICE CLASSIFICATION_FX_RR_134</t>
  </si>
  <si>
    <t>8_SENTINEL LIGHTING SERVICE CLASSIFICATION_FX_RR_135</t>
  </si>
  <si>
    <t>8_SENTINEL LIGHTING SERVICE CLASSIFICATION_FX_RR_136</t>
  </si>
  <si>
    <t>8_SENTINEL LIGHTING SERVICE CLASSIFICATION_VR_RR_405</t>
  </si>
  <si>
    <t>8_SENTINEL LIGHTING SERVICE CLASSIFICATION_VR_RR_406</t>
  </si>
  <si>
    <t>9_STREET LIGHTING SERVICE CLASSIFICATION_FX_RR_137</t>
  </si>
  <si>
    <t>9_STREET LIGHTING SERVICE CLASSIFICATION_FX_RR_138</t>
  </si>
  <si>
    <t>9_STREET LIGHTING SERVICE CLASSIFICATION_FX_RR_139</t>
  </si>
  <si>
    <t>9_STREET LIGHTING SERVICE CLASSIFICATION_VR_RR_407</t>
  </si>
  <si>
    <t>9_STREET LIGHTING SERVICE CLASSIFICATION_VR_RR_408</t>
  </si>
  <si>
    <t>9_STREET LIGHTING SERVICE CLASSIFICATION_VR_RR_409</t>
  </si>
  <si>
    <t>1_RESIDENTIAL SERVICE CLASSIFICATION_FX_RR_140</t>
  </si>
  <si>
    <t>1_RESIDENTIAL SERVICE CLASSIFICATION_FX_RR_141</t>
  </si>
  <si>
    <t>2_GENERAL SERVICE LESS THAN 50 KW SERVICE CLASSIFICATION_FX_RR_143</t>
  </si>
  <si>
    <t>2_GENERAL SERVICE LESS THAN 50 KW SERVICE CLASSIFICATION_FX_RR_144</t>
  </si>
  <si>
    <t>2_GENERAL SERVICE LESS THAN 50 KW SERVICE CLASSIFICATION_VR_RR_412</t>
  </si>
  <si>
    <t>2_GENERAL SERVICE LESS THAN 50 KW SERVICE CLASSIFICATION_VR_RR_413</t>
  </si>
  <si>
    <t>3_GENERAL SERVICE 50 to 4,999 kW SERVICE CLASSIFICATION_FX_RR_145</t>
  </si>
  <si>
    <t>3_GENERAL SERVICE 50 to 4,999 kW SERVICE CLASSIFICATION_FX_RR_146</t>
  </si>
  <si>
    <t>Rate Rider for Disposition of Lost Revenue Adjustment Mechanism Variance Account (LRAMVA) (2023)
      - Effective until December 31, 2025</t>
  </si>
  <si>
    <t>3_GENERAL SERVICE 50 to 4,999 kW SERVICE CLASSIFICATION_VR_RR_416</t>
  </si>
  <si>
    <t>3_GENERAL SERVICE 50 to 4,999 kW SERVICE CLASSIFICATION_VR_RR_417</t>
  </si>
  <si>
    <t>4_UNMETERED SCATTERED LOAD SERVICE CLASSIFICATION_FX_RR_147</t>
  </si>
  <si>
    <t>4_UNMETERED SCATTERED LOAD SERVICE CLASSIFICATION_FX_RR_148</t>
  </si>
  <si>
    <t>4_UNMETERED SCATTERED LOAD SERVICE CLASSIFICATION_VR_RR_419</t>
  </si>
  <si>
    <t>5_SENTINEL LIGHTING SERVICE CLASSIFICATION_FX_RR_149</t>
  </si>
  <si>
    <t>5_SENTINEL LIGHTING SERVICE CLASSIFICATION_FX_RR_150</t>
  </si>
  <si>
    <t>5_SENTINEL LIGHTING SERVICE CLASSIFICATION_VR_RR_421</t>
  </si>
  <si>
    <t>6_STREET LIGHTING SERVICE CLASSIFICATION_FX_RR_151</t>
  </si>
  <si>
    <t>6_STREET LIGHTING SERVICE CLASSIFICATION_FX_RR_152</t>
  </si>
  <si>
    <t>6_STREET LIGHTING SERVICE CLASSIFICATION_VR_RR_424</t>
  </si>
  <si>
    <t>6_STREET LIGHTING SERVICE CLASSIFICATION_VR_RR_425</t>
  </si>
  <si>
    <t>EB-2024-0017</t>
  </si>
  <si>
    <t>Retailer-consolidated billing monthly credit, per customer, per retailer 
Service Transaction Requests (STR)</t>
  </si>
  <si>
    <t xml:space="preserve">                Request fee, per request, applied to the requesting party</t>
  </si>
  <si>
    <t xml:space="preserve">                Processing fee, per request, applied to the requesting party</t>
  </si>
  <si>
    <t>Retail Transmission Rate - Line and Trans. Connection Service Rate - Interval Metered 
      (less than1,000 kW) (see Gross Load Billing Note)</t>
  </si>
  <si>
    <t xml:space="preserve">                Up to twice a year</t>
  </si>
  <si>
    <t xml:space="preserve">                More than twice a year, per request (plus incremental delivery costs)</t>
  </si>
  <si>
    <t>EB-2024-0018</t>
  </si>
  <si>
    <t>Rate Rider for Prospective LRAM (2025) - effective until December 31, 2025</t>
  </si>
  <si>
    <t>2_GENERAL SERVICE LESS THAN 50 KW SERVICE CLASSIFICATION_VR_RR_468</t>
  </si>
  <si>
    <t>3_GENERAL SERVICE 50 to 4,999 kW SERVICE CLASSIFICATION_VR_RR_473</t>
  </si>
  <si>
    <t>5_STREET LIGHTING SERVICE CLASSIFICATION_VR_RR_480</t>
  </si>
  <si>
    <t>EB-2024-0019</t>
  </si>
  <si>
    <t>Rate Rider for Disposition of Deferred Lost Customer Distribution Revenue Account (2025) - effective until December 31, 2025</t>
  </si>
  <si>
    <t>1_RESIDENTIAL SERVICE CLASSIFICATION_FX_RR_153</t>
  </si>
  <si>
    <t>2_GENERAL SERVICE LESS THAN 50 KW SERVICE CLASSIFICATION_VR_RR_485</t>
  </si>
  <si>
    <t>2_GENERAL SERVICE LESS THAN 50 KW SERVICE CLASSIFICATION_VR_RR_486</t>
  </si>
  <si>
    <t>3_GENERAL SERVICE 50 to 4,999 kW SERVICE CLASSIFICATION_VR_RR_490</t>
  </si>
  <si>
    <t>3_GENERAL SERVICE 50 to 4,999 kW SERVICE CLASSIFICATION_VR_RR_491</t>
  </si>
  <si>
    <t>4_LARGE USE - REGULAR SERVICE CLASSIFICATION_VR_RR_495</t>
  </si>
  <si>
    <t>4_LARGE USE - REGULAR SERVICE CLASSIFICATION_VR_RR_496</t>
  </si>
  <si>
    <t>4_LARGE USE - REGULAR SERVICE CLASSIFICATION_VR_RR_499</t>
  </si>
  <si>
    <t>4_LARGE USE - REGULAR SERVICE CLASSIFICATION_VR_RR_500</t>
  </si>
  <si>
    <t>Rate Rider for Disposition of Deferred Lost Customer Distribution Revenue Account (2025) per connection - effective until December 31, 2025</t>
  </si>
  <si>
    <t>5_UNMETERED SCATTERED LOAD SERVICE CLASSIFICATION_FX_RR_154</t>
  </si>
  <si>
    <t>Rate Rider for Disposition of Deferral/ Variance Accounts (2025) (per connection) - effective until December 31, 2025</t>
  </si>
  <si>
    <t>5_UNMETERED SCATTERED LOAD SERVICE CLASSIFICATION_FX_RR_155</t>
  </si>
  <si>
    <t>6_SENTINEL LIGHTING SERVICE CLASSIFICATION_FX_RR_156</t>
  </si>
  <si>
    <t>6_SENTINEL LIGHTING SERVICE CLASSIFICATION_FX_RR_157</t>
  </si>
  <si>
    <t>7_STREET LIGHTING SERVICE CLASSIFICATION_FX_RR_158</t>
  </si>
  <si>
    <t>7_STREET LIGHTING SERVICE CLASSIFICATION_FX_RR_159</t>
  </si>
  <si>
    <t>EB-2024-0020</t>
  </si>
  <si>
    <t>3_GENERAL SERVICE 50 to 4,999 kW SERVICE CLASSIFICATION_FX_RR_161</t>
  </si>
  <si>
    <t>EB-2024-0027</t>
  </si>
  <si>
    <t>Rate Rider for Disposition of Capacity Based Recovery Account (2025) 
      -effective until December 31, 2025 
      Applicable only for Class B Customers</t>
  </si>
  <si>
    <t>Rate Rider for Disposition of Capacity Based Recovery Account (2025) -  effective until December 31,  
      2025 Applicable only for Class B Customers</t>
  </si>
  <si>
    <t>Rate Rider for Disposition of Capacity Based Recovery Account (2025) - effective until December 31, 
     2025 Applicable only for Class B Customers</t>
  </si>
  <si>
    <t xml:space="preserve">     Late payment - per month
          (effective annual rate 19.56% per annum or 0.04896% compounded daily rate)</t>
  </si>
  <si>
    <t xml:space="preserve">     Specific charge for access to the power poles per pole/year
           (with the exception of wireless attachments) </t>
  </si>
  <si>
    <t>EB-2024-0025</t>
  </si>
  <si>
    <t>Rate Rider for Recovery of Advanced Capital Module 
      - effective until the effective date of the next cost of service-based rate order</t>
  </si>
  <si>
    <t>Rate Rider for Recovery of Incremental Capital 
      - effective until the effective date of the next cost of service based rate order</t>
  </si>
  <si>
    <t>1_RESIDENTIAL SERVICE CLASSIFICATION_FX_RR_164</t>
  </si>
  <si>
    <t>Rate Rider for Recovery of Advanced Capital Module
       - effective until the effective date of the next cost of service-based rate order</t>
  </si>
  <si>
    <t>2_GENERAL SERVICE LESS THAN 50 KW SERVICE CLASSIFICATION_FX_RR_165</t>
  </si>
  <si>
    <t>2_GENERAL SERVICE LESS THAN 50 KW SERVICE CLASSIFICATION_FX_RR_166</t>
  </si>
  <si>
    <t>Rate Rider for Disposition of Lost Revenue Adjustment Mechanism Variance Account (LRAMVA) (2025) - 
      effective until December 31, 2025</t>
  </si>
  <si>
    <t>2_GENERAL SERVICE LESS THAN 50 KW SERVICE CLASSIFICATION_VR_RR_606</t>
  </si>
  <si>
    <t>3_GENERAL SERVICE 50 TO 999 KW SERVICE CLASSIFICATION_FX_RR_167</t>
  </si>
  <si>
    <t>3_GENERAL SERVICE 50 TO 999 KW SERVICE CLASSIFICATION_FX_RR_168</t>
  </si>
  <si>
    <t>3_GENERAL SERVICE 50 TO 999 KW SERVICE CLASSIFICATION_VR_RR_612</t>
  </si>
  <si>
    <t>4_GENERAL SERVICE 1,000 TO 4,999 KW SERVICE CLASSIFICATION_FX_RR_169</t>
  </si>
  <si>
    <t>4_GENERAL SERVICE 1,000 TO 4,999 KW SERVICE CLASSIFICATION_FX_RR_170</t>
  </si>
  <si>
    <t>Rate Rider for Disposition of Lost Revenue Adjustment Mechanism Variance Account (LRAMVA) (2025) 
      - effective until December 31, 2025</t>
  </si>
  <si>
    <t>4_GENERAL SERVICE 1,000 TO 4,999 KW SERVICE CLASSIFICATION_VR_RR_618</t>
  </si>
  <si>
    <t>5_LARGE USE SERVICE CLASSIFICATION_FX_RR_171</t>
  </si>
  <si>
    <t>5_LARGE USE SERVICE CLASSIFICATION_FX_RR_172</t>
  </si>
  <si>
    <t>Rate Rider for Disposition of Lost Revenue Adjustment Mechanism Variance Account (LRAMVA) (2025)
      - effective until December 31, 2025</t>
  </si>
  <si>
    <t>5_LARGE USE SERVICE CLASSIFICATION_VR_RR_621</t>
  </si>
  <si>
    <t>6_UNMETERED SCATTERED LOAD SERVICE CLASSIFICATION_FX_RR_173</t>
  </si>
  <si>
    <t>6_UNMETERED SCATTERED LOAD SERVICE CLASSIFICATION_FX_RR_174</t>
  </si>
  <si>
    <t>7_STREET LIGHTING SERVICE CLASSIFICATION_FX_RR_175</t>
  </si>
  <si>
    <t>7_STREET LIGHTING SERVICE CLASSIFICATION_FX_RR_176</t>
  </si>
  <si>
    <t>7_STREET LIGHTING SERVICE CLASSIFICATION_VR_RR_629</t>
  </si>
  <si>
    <t>8_SENTINEL LIGHTING SERVICE CLASSIFICATION_FX_RR_177</t>
  </si>
  <si>
    <t>8_SENTINEL LIGHTING SERVICE CLASSIFICATION_FX_RR_178</t>
  </si>
  <si>
    <t>EB-2024-0036</t>
  </si>
  <si>
    <t>EB-2024-0037</t>
  </si>
  <si>
    <t>EB-2024-0028</t>
  </si>
  <si>
    <t>EB-2024-0044</t>
  </si>
  <si>
    <t>Rate Rider for Disposition of Large Use Deferral/Variance Accounts - effective until December 31, 2025</t>
  </si>
  <si>
    <t>Rate Rider for Disposition of Capacity Based Recovery Account (2025)- effective until December 31, 2025 
      Applicable only for Class B Customers</t>
  </si>
  <si>
    <t>EB 2024-0043</t>
  </si>
  <si>
    <t>Rate Rider for Disposition of Deferral/Variance Accounts (2025) - effective until December 31, 2025
      - Applicable only for Victoria and Rockway installations of the embedded distritbutor</t>
  </si>
  <si>
    <t>Rate Rider for Disposition of Capacity Based Recovery Account (2025) 
      - effective until December 31, 2025 Applicable only for Class B Customers 
      - Applicable only for Victoria and Rockway installations of the embedded distritbutor</t>
  </si>
  <si>
    <t>Rate Rider for Disposition of Deferral/Variance Accounts (2025)  - effective until December 31, 2025
      - Applicable only for Wellandport and Port Davidson installations of the embedded distributor</t>
  </si>
  <si>
    <t>Rate Rider for Disposition of Capacity Based Recovery Account (2025) 
      - effective until December 31, 2025 Applicable only for Class B Customers 
      - Applicable only for Wellandport and Port Davidson installations of the embedded distributor</t>
  </si>
  <si>
    <t>EB-2024-0049</t>
  </si>
  <si>
    <t>EB-2024-0033</t>
  </si>
  <si>
    <t>1_RESIDENTIAL SERVICE CLASSIFICATION_FX_RR_190</t>
  </si>
  <si>
    <t>Rate Rider for Hydro One Networks' Acquisition Agreement - effective and implementation 
     September 1, 2020 and in effect until August 31, 2025</t>
  </si>
  <si>
    <t>1_RESIDENTIAL SERVICE CLASSIFICATION_FX_RR_191</t>
  </si>
  <si>
    <t>Rate Rider for Disposition of Global Adjustment Account (2024) - effective until June 30, 2025
      Applicable only for Non-RPP Customers</t>
  </si>
  <si>
    <t>Rate Rider for Disposition of Deferral/Variance Accounts (2025) - effective until December 31, 2025 
     - Approved on an Interim Basis</t>
  </si>
  <si>
    <t>Rate Rider for Disposition of Deferral/Variance Accounts (2024) - effective until June 30, 2025</t>
  </si>
  <si>
    <t>Rate Rider for Disposition of Capacity Based Recovery Account (2025) - effective until December 31, 2025  
      Applicable only for Class B Customers - Approved on an Interim Basis</t>
  </si>
  <si>
    <t>Rate Rider for Disposition of Capacity Based Recovery Account (2024) - effective until June 30, 2025
      Applicable only for Class B Customers</t>
  </si>
  <si>
    <t>2_GENERAL SERVICE LESS THAN 50 KW SERVICE CLASSIFICATION_FX_RR_192</t>
  </si>
  <si>
    <t>2_GENERAL SERVICE LESS THAN 50 KW SERVICE CLASSIFICATION_FX_RR_193</t>
  </si>
  <si>
    <t>2_GENERAL SERVICE LESS THAN 50 KW SERVICE CLASSIFICATION_VR_RR_771</t>
  </si>
  <si>
    <t>Rate Rider for Disposition of Capacity Based Recovery Account (2025) - effective until December 31, 2025 
      Applicable only for Class B Customers - Approved on an Interim Basis</t>
  </si>
  <si>
    <t>Rate Rider for Disposition of Capacity Based Recovery Account (2024) - effective until June 30, 2025 
      Applicable only for Class B Customers</t>
  </si>
  <si>
    <t>Rate Rider for Disposition of LRAM-Eligible Amount (2025) - effective until December 31, 2025</t>
  </si>
  <si>
    <t>2_GENERAL SERVICE LESS THAN 50 KW SERVICE CLASSIFICATION_VR_RR_777</t>
  </si>
  <si>
    <t>Rate Rider for Hydro One Networks' Acquisition Agreement - effective and implementation 
      September 1, 2020 and in effect until August 31, 2025</t>
  </si>
  <si>
    <t>3_GENERAL SERVICE 50 to 4,999 kW SERVICE CLASSIFICATION_FX_RR_194</t>
  </si>
  <si>
    <t>3_GENERAL SERVICE 50 to 4,999 kW SERVICE CLASSIFICATION_VR_RR_778</t>
  </si>
  <si>
    <t>Rate Rider for Disposition of Deferral/Variance Accounts (2025) - effective until December 31, 2025
      Applicable only for Non-Wholesale Market Participants - Approved on an Interim Basis</t>
  </si>
  <si>
    <t>Rate Rider for Disposition of Deferral/Variance Accounts (2024) - effective until June 30, 2025
      Applicable only for Non-Wholesale Market Participants</t>
  </si>
  <si>
    <t>3_GENERAL SERVICE 50 to 4,999 kW SERVICE CLASSIFICATION_VR_RR_786</t>
  </si>
  <si>
    <t>Rate Rider for Disposition of Deferral/Variance Accounts (2025) - effective until December 31, 2025 
      - Approved on an Interim Basis</t>
  </si>
  <si>
    <t>Rate Rider for Disposition of Capacity Based Recovery Account (2025) - effective until December 31, 2025 
      Applicable only for Class B Customers  - Approved on an Interim Basis</t>
  </si>
  <si>
    <t>1_RESIDENTIAL SERVICE CLASSIFICATION_FX_RR_195</t>
  </si>
  <si>
    <t>Rate Rider for Disposition of Deferral/Variance Accounts (2025) - effective until December 31, 2025  
      - Approved on an Interim Basis</t>
  </si>
  <si>
    <t>2_GENERAL SERVICE LESS THAN 50 KW SERVICE CLASSIFICATION_FX_RR_196</t>
  </si>
  <si>
    <t>2_GENERAL SERVICE LESS THAN 50 KW SERVICE CLASSIFICATION_VR_RR_801</t>
  </si>
  <si>
    <t>2_GENERAL SERVICE LESS THAN 50 KW SERVICE CLASSIFICATION_VR_RR_806</t>
  </si>
  <si>
    <t>3_GENERAL SERVICE 50 to 4,999 kW SERVICE CLASSIFICATION_FX_RR_197</t>
  </si>
  <si>
    <t>3_GENERAL SERVICE 50 to 4,999 kW SERVICE CLASSIFICATION_VR_RR_807</t>
  </si>
  <si>
    <t>Rate Rider for Disposition of Deferral/Variance Accounts (2025) - effective until December 31, 2025
      Applicable only for Non-Wholesale Market Participants - Approved on an Interim  Basis</t>
  </si>
  <si>
    <t>3_GENERAL SERVICE 50 to 4,999 kW SERVICE CLASSIFICATION_VR_RR_814</t>
  </si>
  <si>
    <t>4_LARGE USE SERVICE CLASSIFICATION_FX_RR_198</t>
  </si>
  <si>
    <t>4_LARGE USE SERVICE CLASSIFICATION_VR_RR_815</t>
  </si>
  <si>
    <t>4,965.66 plus Railway Feedthrough Costs</t>
  </si>
  <si>
    <t>Hydro One Networks Inc.-Former Peterborough Distribution Inc. Service Area-Former Peterborough Distribution Inc. Service Area_End</t>
  </si>
  <si>
    <t>EB-2024-0007</t>
  </si>
  <si>
    <t>Rate Rider for Refund of Interim Licence Deferral Account (2025)
    - effective until December 31, 2025 - Applicable only for customers in the Township of Dubreuilville</t>
  </si>
  <si>
    <t>1_RESIDENTIAL R1 SERVICE CLASSIFICATION_FX_RR_1</t>
  </si>
  <si>
    <t>Rate Rider for Disposition of Deferral /Variance Accounts (Group 2) (2025)  - effective until December 31, 2025</t>
  </si>
  <si>
    <t>1_RESIDENTIAL R1 SERVICE CLASSIFICATION_FX_RR_2</t>
  </si>
  <si>
    <t>Rate Rider for Disposition of Accounts 1575 and 1576 (2025) - effective until December 31, 2025</t>
  </si>
  <si>
    <t>1_RESIDENTIAL R1 SERVICE CLASSIFICATION_FX_RR_3</t>
  </si>
  <si>
    <t>Rate Rider for Disposition of Capacity Based Recovery Account Applicable only for Class B Customers (2025) - effective until December 31, 2025</t>
  </si>
  <si>
    <t>Rate Rider for Disposition of Deferral /Variance Accounts (Group 1) (2025)  - effective until December 31, 2025</t>
  </si>
  <si>
    <t>1_RESIDENTIAL R1 SERVICE CLASSIFICATION_VR_RR_2</t>
  </si>
  <si>
    <t>Rate Rider for Disposition of Global Adjustment Account (2025) - effective until December 31, 2025 - Applicable only for Non-RPP Customers</t>
  </si>
  <si>
    <t>1_RESIDENTIAL R1 SERVICE CLASSIFICATION_GA_kwh</t>
  </si>
  <si>
    <t>2_RESIDENTIAL R2 SERVICE CLASSIFICATION_FX_RR_4</t>
  </si>
  <si>
    <t>2_RESIDENTIAL R2 SERVICE CLASSIFICATION_VR_RR_5</t>
  </si>
  <si>
    <t>2_RESIDENTIAL R2 SERVICE CLASSIFICATION_VR_RR_6</t>
  </si>
  <si>
    <t>2_RESIDENTIAL R2 SERVICE CLASSIFICATION_VR_RR_7</t>
  </si>
  <si>
    <t>2_RESIDENTIAL R2 SERVICE CLASSIFICATION_GA_kwh</t>
  </si>
  <si>
    <t>3_SEASONAL CUSTOMERS SERVICE CLASSIFICATION_FX_RR_5</t>
  </si>
  <si>
    <t>3_SEASONAL CUSTOMERS SERVICE CLASSIFICATION_FX_RR_6</t>
  </si>
  <si>
    <t>3_SEASONAL CUSTOMERS SERVICE CLASSIFICATION_VR_RR_10</t>
  </si>
  <si>
    <t>3_SEASONAL CUSTOMERS SERVICE CLASSIFICATION_GA_kwh</t>
  </si>
  <si>
    <t>4_STREET LIGHTING SERVICE CLASSIFICATION_VR_RR_13</t>
  </si>
  <si>
    <t>4_STREET LIGHTING SERVICE CLASSIFICATION_VR_RR_14</t>
  </si>
  <si>
    <t>4_STREET LIGHTING SERVICE CLASSIFICATION_VR_RR_15</t>
  </si>
  <si>
    <t>Effective and Implementation Date May 1, 2025</t>
  </si>
  <si>
    <t>EB-2024-0009</t>
  </si>
  <si>
    <t>Rate Rider for Disposition of Global Adjustment Account (2025) - effective until April 30, 2026
      Applicable only for Non-RPP Customers</t>
  </si>
  <si>
    <t>Rate Rider for Disposition of Deferral/Variance Accounts (2025) - effective until April 30, 2026</t>
  </si>
  <si>
    <t>Rate Rider for Disposition of Capacity Based Recovery Account (2025) - effective until April 30, 2026 Applicable only for Class B Customers</t>
  </si>
  <si>
    <t>Rate Rider for Disposition of Deferral/Variance Accounts (2025) - effective until April 30, 2026
      Applicable only for Non-Wholesale Market Participants</t>
  </si>
  <si>
    <t>Rate Rider for Disposition of Capacity Based Recovery Account (2025) - effective until April 30, 2026 
      Applicable only for Class B Customers</t>
  </si>
  <si>
    <t>Rate Rider for Prospective LRAM (2025) - effective until April 30, 2026</t>
  </si>
  <si>
    <t>2_GENERAL SERVICE LESS THAN 50 KW SERVICE CLASSIFICATION_VR_RR_44</t>
  </si>
  <si>
    <t>4_LARGE USE SERVICE CLASSIFICATION_VR_RR_53</t>
  </si>
  <si>
    <t>7_STREET LIGHTING SERVICE CLASSIFICATION_VR_RR_63</t>
  </si>
  <si>
    <t>Late payment - per month 
      (effective annual rate 19.56% per annum or 0.04896% compounded daily rate)</t>
  </si>
  <si>
    <t>Entegrus Powerlines Inc.-For Entegrus-Main Rate Zone_End</t>
  </si>
  <si>
    <t>EB-2024-0024</t>
  </si>
  <si>
    <t>EB-2024-0041</t>
  </si>
  <si>
    <t>EB-2024-0029</t>
  </si>
  <si>
    <t>This classification refers to roadway lighting within the town, and private roadway lighting operation, controlled by photo cells. The consumption for these customers is based on the calculated connected load times the required lighting times established in the approved Ontario Energy Board street lighting load shape template. Class B consumers are defined in accordance with O. Reg. 429/04. Further servicing details are available in the utility’s Conditions of Service.</t>
  </si>
  <si>
    <t>Rate Rider for Disposition of Deferral/Variance Accounts Group 2 (2025) - effective until April 30, 2027</t>
  </si>
  <si>
    <t>Rate Rider for Disposition of Deferral/Variance Accounts (2025) - effective until April 30, 2027</t>
  </si>
  <si>
    <t>Rate Rider for Disposition of Global Adjustment Account (2025) - effective until April 30, 2027
      - Applicable only for Non-RPP Customers</t>
  </si>
  <si>
    <t>EB-2024-0031</t>
  </si>
  <si>
    <t>Rate Rider for Disposition of Deferral/Variance Accounts Group 2 - effective until December 31, 2025</t>
  </si>
  <si>
    <t>Rate Rider for Disposition of Global Adjustment Account - Applicable Only to Non-RPP Customers - effective until December 31, 2025</t>
  </si>
  <si>
    <t>EB-2024-0035</t>
  </si>
  <si>
    <t>Rate Rider for Disposition of Capacity Based Recovery Account Applicable only for Class B Customers - effective until December 31, 2025</t>
  </si>
  <si>
    <t>Rate Rider for Disposition of Global Adjustment Account (2025) - Applicable only for Non-RPP Customers - effective until December 31, 2025</t>
  </si>
  <si>
    <t>Rate Rider for Disposition of Deferral/Variance Accounts Applicable only for Non-Wholesale Market Participants - effective until December 31, 2025</t>
  </si>
  <si>
    <t>9_STREET LIGHTING SERVICE CLASSIFICATION_VR_RR_140</t>
  </si>
  <si>
    <t>Transformer Allowance for Ownership - per kW of billing demand/month - effective until October 31, 2025</t>
  </si>
  <si>
    <t>EB-2024-0040</t>
  </si>
  <si>
    <t>2_GENERAL SERVICE LESS THAN 50 KW SERVICE CLASSIFICATION_FX_RR_11</t>
  </si>
  <si>
    <t>3_GENERAL SERVICE 50 to 4,999 kW SERVICE CLASSIFICATION_FX_RR_12</t>
  </si>
  <si>
    <t>4_GENERAL SERVICE 1,000 TO 4,999 KW (CO-GENERATION) SERVICE CLASSIFICATION_FX_RR_13</t>
  </si>
  <si>
    <t>6_LARGE USE SERVICE CLASSIFICATION_FX_RR_14</t>
  </si>
  <si>
    <t>8_SENTINEL LIGHTING SERVICE CLASSIFICATION_FX_RR_15</t>
  </si>
  <si>
    <t>9_UNMETERED SCATTERED LOAD SERVICE CLASSIFICATION_FX_RR_16</t>
  </si>
  <si>
    <t>EB-2024-0045</t>
  </si>
  <si>
    <t>Rate Rider for Disposition of Lost Revenue Adjustment Mechanism Variance Account (LRAMVA-2025)
     - effective until April 30, 2026</t>
  </si>
  <si>
    <t>Rate Rider for Disposition of Deferral/Variance Accounts(2025) - effective until April 30, 2026</t>
  </si>
  <si>
    <t>Rate Rider for Disposition of Deferral/Variance Accounts (2025)- effective until April 30, 2026</t>
  </si>
  <si>
    <t>Rate Rider for Disposition of Group 2 Accounts - effective until April 30, 2026</t>
  </si>
  <si>
    <t>Rate Rider for Disposition of Capacity Based Recovery Account Applicable only for Class B Customers - effective until April 30, 2026</t>
  </si>
  <si>
    <t>Rate Rider for Disposition of Deferral/Variance Accounts Applicable only for Non-Wholesale Market Participants - effective until April 30, 2026</t>
  </si>
  <si>
    <t>Rate Rider for LRAMVA - effective until April 30, 2026</t>
  </si>
  <si>
    <t>1_RESIDENTIAL SERVICE CLASSIFICATION_VR_RR_199</t>
  </si>
  <si>
    <t>2_GENERAL SERVICE LESS THAN 50 KW SERVICE CLASSIFICATION_VR_RR_203</t>
  </si>
  <si>
    <t>2_GENERAL SERVICE LESS THAN 50 KW SERVICE CLASSIFICATION_VR_RR_204</t>
  </si>
  <si>
    <t>Rate Rider for Mitigation (2025 Fixed)  - effective until April 30, 2026</t>
  </si>
  <si>
    <t>3_GENERAL SERVICE 50 to 4,999 kW SERVICE CLASSIFICATION_FX_RR_18</t>
  </si>
  <si>
    <t>3_GENERAL SERVICE 50 to 4,999 kW SERVICE CLASSIFICATION_VR_RR_208</t>
  </si>
  <si>
    <t>3_GENERAL SERVICE 50 to 4,999 kW SERVICE CLASSIFICATION_VR_RR_209</t>
  </si>
  <si>
    <t>Rate Rider for Mitigation (2025 Variable) - effective until April 30, 2026</t>
  </si>
  <si>
    <t>3_GENERAL SERVICE 50 to 4,999 kW SERVICE CLASSIFICATION_VR_RR_210</t>
  </si>
  <si>
    <t>4_UNMETERED SCATTERED LOAD SERVICE CLASSIFICATION_VR_RR_213</t>
  </si>
  <si>
    <t>4_UNMETERED SCATTERED LOAD SERVICE CLASSIFICATION_VR_RR_214</t>
  </si>
  <si>
    <t>5_STREET LIGHTING SERVICE CLASSIFICATION_VR_RR_218</t>
  </si>
  <si>
    <t>5_STREET LIGHTING SERVICE CLASSIFICATION_VR_RR_219</t>
  </si>
  <si>
    <t>EB-2024-0048</t>
  </si>
  <si>
    <t>Rate Rider for Application of Tax Change (2025) - effective until April 30, 2026</t>
  </si>
  <si>
    <t>4_SENTINEL LIGHTING SERVICE CLASSIFICATION_STS</t>
  </si>
  <si>
    <t>6_UNMETERED SCATTERED LOAD SERVICE CLASSIFICATION_STS</t>
  </si>
  <si>
    <t>EB-2024-0051</t>
  </si>
  <si>
    <t>Rate Rider for Recovery of SSG Project (2025) - effective until April 30, 2026</t>
  </si>
  <si>
    <t xml:space="preserve">Rate Rider for Embedded Generation Adjustment - in effect until the effective date </t>
  </si>
  <si>
    <t>1_RESIDENTIAL SERVICE CLASSIFICATION_VR_RR_226</t>
  </si>
  <si>
    <t>of the next cost of service based rate order</t>
  </si>
  <si>
    <t>2_GENERAL SERVICE LESS THAN 50 KW SERVICE CLASSIFICATION_FX_RR_21</t>
  </si>
  <si>
    <t>2_GENERAL SERVICE LESS THAN 50 KW SERVICE CLASSIFICATION_VR_RR_227</t>
  </si>
  <si>
    <t>2_GENERAL SERVICE LESS THAN 50 KW SERVICE CLASSIFICATION_VR_RR_228</t>
  </si>
  <si>
    <t>3_GENERAL SERVICE 50 to 4,999 kW SERVICE CLASSIFICATION_FX_RR_22</t>
  </si>
  <si>
    <t>3_GENERAL SERVICE 50 to 4,999 kW SERVICE CLASSIFICATION_VR_RR_229</t>
  </si>
  <si>
    <t>Rate Rider for Embedded Generation Adjustment - in effect until the effective date</t>
  </si>
  <si>
    <t>3_GENERAL SERVICE 50 to 4,999 kW SERVICE CLASSIFICATION_VR_RR_230</t>
  </si>
  <si>
    <t>4_UNMETERED SCATTERED LOAD SERVICE CLASSIFICATION_FX_RR_23</t>
  </si>
  <si>
    <t>4_UNMETERED SCATTERED LOAD SERVICE CLASSIFICATION_VR_RR_231</t>
  </si>
  <si>
    <t>4_UNMETERED SCATTERED LOAD SERVICE CLASSIFICATION_VR_RR_232</t>
  </si>
  <si>
    <t>5_SENTINEL LIGHTING SERVICE CLASSIFICATION_FX_RR_24</t>
  </si>
  <si>
    <t>5_SENTINEL LIGHTING SERVICE CLASSIFICATION_VR_RR_233</t>
  </si>
  <si>
    <t>5_SENTINEL LIGHTING SERVICE CLASSIFICATION_VR_RR_234</t>
  </si>
  <si>
    <t>6_STREET LIGHTING SERVICE CLASSIFICATION_FX_RR_25</t>
  </si>
  <si>
    <t>6_STREET LIGHTING SERVICE CLASSIFICATION_VR_RR_235</t>
  </si>
  <si>
    <t>6_STREET LIGHTING SERVICE CLASSIFICATION_VR_RR_236</t>
  </si>
  <si>
    <t>EB-2024-0053</t>
  </si>
  <si>
    <t>Rate Rider for Disposition of Capacity Based Recovery Account (2025) - effective until April 30, 2026 
     Applicable only for Class B Customers</t>
  </si>
  <si>
    <t>3_GENERAL SERVICE 50 to 4,999 kW SERVICE CLASSIFICATION_FX_RR_28</t>
  </si>
  <si>
    <t>4_UNMETERED SCATTERED LOAD SERVICE CLASSIFICATION_FX_RR_29</t>
  </si>
  <si>
    <t>5_SENTINEL LIGHTING SERVICE CLASSIFICATION_FX_RR_30</t>
  </si>
  <si>
    <t>6_STREET LIGHTING SERVICE CLASSIFICATION_FX_RR_31</t>
  </si>
  <si>
    <t>EB-2024-0021</t>
  </si>
  <si>
    <t>1_RESIDENTIAL SERVICE CLASSIFICATION_FX_RR_32</t>
  </si>
  <si>
    <t>2_GENERAL SERVICE LESS THAN 50 KW SERVICE CLASSIFICATION_FX_RR_33</t>
  </si>
  <si>
    <t>3_GENERAL SERVICE 50 to 4,999 kW SERVICE CLASSIFICATION_FX_RR_34</t>
  </si>
  <si>
    <t>4_STREET LIGHTING SERVICE CLASSIFICATION_FX_RR_35</t>
  </si>
  <si>
    <t>EB-2024-0055</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</si>
  <si>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</si>
  <si>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</si>
  <si>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</si>
  <si>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</si>
  <si>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</si>
  <si>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</si>
  <si>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</si>
  <si>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</si>
  <si>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</si>
  <si>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</si>
  <si>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</si>
  <si>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</si>
  <si>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</si>
  <si>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EB-2024-0050</t>
  </si>
  <si>
    <t xml:space="preserve">Rate Rider for Disposition of Global Adjustment Account (2024) - effective until April 30, 2028
      Applicable only for Non-RPP Customers </t>
  </si>
  <si>
    <t>Rate Rider for Disposition of Deferral/Variance Accounts (2024) - effective until April 30, 2028</t>
  </si>
  <si>
    <t>Rate Rider for Power Purchased True-Up - effective until April 30, 2026</t>
  </si>
  <si>
    <t>1_RESIDENTIAL SERVICE CLASSIFICATION_VR_RR_342</t>
  </si>
  <si>
    <t>Rate Rider for Disposition of Lost Revenue Adjustment Mechanism Variance Account (LRAMVA) 
      (2025) - effective until April 30, 2026</t>
  </si>
  <si>
    <t xml:space="preserve">Rate Rider for Disposition of Deferral/Variance Accounts (2024) - effective until April 30, 2028 </t>
  </si>
  <si>
    <t>2_GENERAL SERVICE LESS THAN 50 KW SERVICE CLASSIFICATION_VR_RR_348</t>
  </si>
  <si>
    <t>Rate Rider for Disposition of Global Adjustment Account (2024) - effective until April 30, 2028
      Applicable only for Non-RPP Customers</t>
  </si>
  <si>
    <t>3_GENERAL SERVICE 50 to 4,999 kW SERVICE CLASSIFICATION_VR_RR_354</t>
  </si>
  <si>
    <t>4_SENTINEL LIGHTING SERVICE CLASSIFICATION_LRAM</t>
  </si>
  <si>
    <t>4_SENTINEL LIGHTING SERVICE CLASSIFICATION_VR_RR_360</t>
  </si>
  <si>
    <t>5_STREET LIGHTING SERVICE CLASSIFICATION_VR_RR_365</t>
  </si>
  <si>
    <t>6_UNMETERED SCATTERED LOAD SERVICE CLASSIFICATION_VR_RR_371</t>
  </si>
  <si>
    <t>Late Payment - per month (effective annual rate 19.56% per annum or 0.04896%   
      compounded daily rate)</t>
  </si>
  <si>
    <t>Late payment - per annum</t>
  </si>
  <si>
    <t>Collection of account charge - no disconnection</t>
  </si>
  <si>
    <t>Reconnection charge at meter - after hours</t>
  </si>
  <si>
    <t>EB-2024-0059</t>
  </si>
  <si>
    <t>Rate Rider for Disposition of Capacity Based Recovery Account (2025) - effective until April 30, 2026
      Applicable only for Class B Customers</t>
  </si>
  <si>
    <t>EB-2024-0056</t>
  </si>
  <si>
    <t>Rate Rider for Disposition of Group 2 Deferral/Variance Accounts - effective until October 31, 2026</t>
  </si>
  <si>
    <t>Rate Rider for Disposition of Global Adjustment Account (2025) - effective until April 30, 2026
      Applicable only for Class B Non-RPP Customers</t>
  </si>
  <si>
    <t>Rate Rider for Disposition of Global Adjustment Account (2024) - effective until October 31, 2026 
      Applicable only for Class B Non-RPP Customers</t>
  </si>
  <si>
    <t>Rate Rider for Disposition of Group 1 Deferral/Variance Accounts - effective until October 31, 2026</t>
  </si>
  <si>
    <t>Rate Rider for Disposition of Account 1580 CBR for Class B Customers - effective until October 31, 2026</t>
  </si>
  <si>
    <t>1_RESIDENTIAL SERVICE CLASSIFICATION_VR_RR_394</t>
  </si>
  <si>
    <t>Rate Rider for Disposition of RSVA GA Deferral/Variance Account Applicable to Class B Non-RPP
      - effective until October 31, 2026</t>
  </si>
  <si>
    <t>Rate Rider for Disposition of Account 1580 CBR for Class B Customers - effective until Ocober 31, 2026</t>
  </si>
  <si>
    <t>2_GENERAL SERVICE LESS THAN 50 KW SERVICE CLASSIFICATION_VR_RR_400</t>
  </si>
  <si>
    <t>3_GENERAL SERVICE 50 TO 499 KW SERVICE CLASSIFICATION_VR_RR_407</t>
  </si>
  <si>
    <t>GENERAL SERVICE 500 TO 1499 KW SERVICE CLASSIFICATION</t>
  </si>
  <si>
    <t>3_GENERAL SERVICE 50 TO 499 KW SERVICE CLASSIFICATION_VR_RR_414</t>
  </si>
  <si>
    <t>4_GENERAL SERVICE EQUAL TO OR GREATER THAN 1,500 KW SERVICE CLASSIFICATION</t>
  </si>
  <si>
    <t>This classification applies to a non residential account whose average monthly maximum demand used for billing purposes is equal to or greater than, or is forecast to be equal to order greater than, 1500 kW but less than 4,999 kW. Class A and Class B consumers are defined in accordance with O. Reg. 429/04. Further servicing details are available in Tillsonburg Hydro's Conditions of Service.</t>
  </si>
  <si>
    <t>4_GENERAL SERVICE EQUAL TO OR GREATER THAN 1,500 KW SERVICE CLASSIFICATION_MSC</t>
  </si>
  <si>
    <t>Rate Rider for Disposition of RSVA GA Deferral/Variance Account Applicable to Class B Non-RPP
     - effective until October 31, 2026</t>
  </si>
  <si>
    <t>4_GENERAL SERVICE EQUAL TO OR GREATER THAN 1,500 KW SERVICE CLASSIFICATION_DEFVAR_ALL</t>
  </si>
  <si>
    <t>4_GENERAL SERVICE EQUAL TO OR GREATER THAN 1,500 KW SERVICE CLASSIFICATION_VR_RR_418</t>
  </si>
  <si>
    <t>4_GENERAL SERVICE EQUAL TO OR GREATER THAN 1,500 KW SERVICE CLASSIFICATION_DVC</t>
  </si>
  <si>
    <t>4_GENERAL SERVICE EQUAL TO OR GREATER THAN 1,500 KW SERVICE CLASSIFICATION_Retail Transmission Rate - Network Service Rate</t>
  </si>
  <si>
    <t>4_GENERAL SERVICE EQUAL TO OR GREATER THAN 1,500 KW SERVICE CLASSIFICATION_Retail Transmission Rate - Line and Transformation Connection Service Rate</t>
  </si>
  <si>
    <t>4_GENERAL SERVICE EQUAL TO OR GREATER THAN 1,500 KW SERVICE CLASSIFICATION_WMSR</t>
  </si>
  <si>
    <t>4_GENERAL SERVICE EQUAL TO OR GREATER THAN 1,500 KW SERVICE CLASSIFICATION_RRRP</t>
  </si>
  <si>
    <t>4_GENERAL SERVICE EQUAL TO OR GREATER THAN 1,500 KW SERVICE CLASSIFICATION_SSS</t>
  </si>
  <si>
    <t>5_UNMETERED SCATTERED LOAD SERVICE CLASSIFICATION_VR_RR_425</t>
  </si>
  <si>
    <t>6_SENTINEL LIGHTING SERVICE CLASSIFICATION_VR_RR_430</t>
  </si>
  <si>
    <t>7_STREET LIGHTING SERVICE CLASSIFICATION_VR_RR_437</t>
  </si>
  <si>
    <t>Tillsonburg Hydro Inc._NPoA</t>
  </si>
  <si>
    <t>EB-2024-0057</t>
  </si>
  <si>
    <t xml:space="preserve">                    Service Transaction Requests (STR) </t>
  </si>
  <si>
    <t>EB-2024-0058</t>
  </si>
  <si>
    <t>Rate Rider for Disposition of Group 2 Deferral/Variance Accounts (2025) - effective until 
     April 30, 2026</t>
  </si>
  <si>
    <t>Rate Rider for Disposition of Group 1 Deferral/Variance Accounts (2025) - effective until 
     April 30, 2026</t>
  </si>
  <si>
    <t>Rate Rider for Disposition of Capacity Based Recovery Account (2025) - Applicable only for Class B 
     Customers - effective until April 30, 2026</t>
  </si>
  <si>
    <t>Rate Rider for Disposition of Global Adjustment Account  (2025) - Applicable only for Non-RPP 
     Customers - effective until April 30, 2026</t>
  </si>
  <si>
    <t>Rate Rider for Disposition of Deferral/Variance Accounts (2025) - Applicable only for Non-Wholesale 
     Market Participants - effective until April 30, 2026</t>
  </si>
  <si>
    <t>Rate Rider for Disposition of Account 1557 (2025) - effective until April 30, 2026</t>
  </si>
  <si>
    <t>3_GENERAL SERVICE 50 to 4,999 kW SERVICE CLASSIFICATION_VR_RR_451</t>
  </si>
  <si>
    <t>Rate Rider for Disposition of Global Adjustment Account (2025) - Applicable only for Non-RPP 
     Customers - effective until April 30, 2026</t>
  </si>
  <si>
    <t>Late payment - per month 
     (effective annual rate 19.56% per annum or 0.04896% compounded daily rate)</t>
  </si>
  <si>
    <t xml:space="preserve">Specific charge for access to the power poles - $/pole/year 
     (with the exception of wireless attachments) </t>
  </si>
  <si>
    <t>Meter upgrade requested by customer plus installation-per month plus installation on a time and 
     material basis</t>
  </si>
  <si>
    <t>Notice of switch letter charge, per letter (unless the distributor has opted out of applying the 
     charge as per the Ontario Energy Board's Decision and Order EB-2015-0304, issued on 
     February 14, 2019)</t>
  </si>
  <si>
    <t>EB-2024-0010</t>
  </si>
  <si>
    <t>Rate Rider for Recovery of Incremental Capital (2025) - effective March 1, 2025 until December 31, 2025</t>
  </si>
  <si>
    <t>Rate Rider for Disposition of Capacity Based Recovery Account (2025) - effective until December 31,
      2025 Applicable only for Class B Customers</t>
  </si>
  <si>
    <t>2_GENERAL SERVICE LESS THAN 50 KW SERVICE CLASSIFICATION_VR_RR_7</t>
  </si>
  <si>
    <t>3_GENERAL SERVICE 50 to 4,999 kW SERVICE CLASSIFICATION_VR_RR_11</t>
  </si>
  <si>
    <t>4_UNMETERED SCATTERED LOAD SERVICE CLASSIFICATION_FX_RR_4</t>
  </si>
  <si>
    <t>4_UNMETERED SCATTERED LOAD SERVICE CLASSIFICATION_VR_RR_14</t>
  </si>
  <si>
    <t>5_STREET LIGHTING SERVICE CLASSIFICATION_VR_RR_18</t>
  </si>
  <si>
    <t>ESSEX POWERLINES CORPORATION</t>
  </si>
  <si>
    <t>ESSEX POWERLINES CORPORATION_Start</t>
  </si>
  <si>
    <t>Effective Date January 1, 2025</t>
  </si>
  <si>
    <t>Implementation Date May 1, 2025</t>
  </si>
  <si>
    <t>EB-2024-0022/EB-2024-0096</t>
  </si>
  <si>
    <t>Rate Rider for 2025 Foregone Distribution Revenue - Service Charge - effective until December 31, 2025</t>
  </si>
  <si>
    <t>Rate Rider for Disposition of Z-Factor (2025) - effective until December 31, 2025</t>
  </si>
  <si>
    <t>1_RESIDENTIAL SERVICE CLASSIFICATION_FX_RR_6</t>
  </si>
  <si>
    <t>Rate Rider for Disposition of Group 2 Accounts (2025) - effective until December 31, 2025</t>
  </si>
  <si>
    <t>1_RESIDENTIAL SERVICE CLASSIFICATION_FX_RR_7</t>
  </si>
  <si>
    <t>Rate Rider for Disposition of Account 1509 (2025) - effective until December 31, 2025</t>
  </si>
  <si>
    <t>1_RESIDENTIAL SERVICE CLASSIFICATION_FX_RR_8</t>
  </si>
  <si>
    <t>Rate Rider for Disposition of Capacity Based Recovery Account (2024) - effective until April 30, 2025       
      - Applicable only for Class B Customers</t>
  </si>
  <si>
    <t>Rate Rider for Disposition of Capacity Based Recovery Account (2025)   
      - effective until December 31, 2025 Applicable only for Class B Customers</t>
  </si>
  <si>
    <t>Rate Rider for Disposition of Global Adjustment Account (2025) - effective until December 31, 2025
      - Applicable Only for Non-RPP Customers</t>
  </si>
  <si>
    <t>2_GENERAL SERVICE LESS THAN 50 KW SERVICE CLASSIFICATION_FX_RR_10</t>
  </si>
  <si>
    <t xml:space="preserve">Rate Rider for Disposition of Capacity Based Recovery Account (2025) 
        - effective until December 31, 2025 - Applicable only for Class B Customers </t>
  </si>
  <si>
    <t>2_GENERAL SERVICE LESS THAN 50 KW SERVICE CLASSIFICATION_VR_RR_24</t>
  </si>
  <si>
    <t>Rate Rider for 2025 Foregone Distribution Revenue - Volumetric Rate - effective until December 31, 2025</t>
  </si>
  <si>
    <t>2_GENERAL SERVICE LESS THAN 50 KW SERVICE CLASSIFICATION_FDR_RR</t>
  </si>
  <si>
    <t>Rate Rider for Disposition of Capacity Based Recovery Account (2024) - effective until April 30, 2025
       - Applicable only for Class B Customers</t>
  </si>
  <si>
    <t>Rate Rider for Disposition of Z-Factor (2025)  - effective until December 31, 2025</t>
  </si>
  <si>
    <t>3_GENERAL SERVICE 50 to 4,999 kW SERVICE CLASSIFICATION_FX_RR_13</t>
  </si>
  <si>
    <t>Rate Rider for Disposition of Capacity Based Recovery Account (2025) 
       - effective until December 31, 2025 - Applicable only for Class B Customers</t>
  </si>
  <si>
    <t xml:space="preserve">Rate Rider for Disposition of Deferral/Variance Accounts (2025) - effective until December 31, 2025 
      - Applicable only for Non-Wholesale Market Participants </t>
  </si>
  <si>
    <t>3_GENERAL SERVICE 50 to 4,999 kW SERVICE CLASSIFICATION_VR_RR_31</t>
  </si>
  <si>
    <t>Rate Rider for Disposition of Global Adjustment Account (2025) - effective until December 31, 2025
         - Applicable Only for Non-RPP Customers</t>
  </si>
  <si>
    <t>3_GENERAL SERVICE 50 to 4,999 kW SERVICE CLASSIFICATION_FDR_RR</t>
  </si>
  <si>
    <t>4_EMBEDDED DISTRIBUTOR SERVICE CLASSIFICATION_FX_RR_16</t>
  </si>
  <si>
    <t>4_EMBEDDED DISTRIBUTOR SERVICE CLASSIFICATION_FX_RR_17</t>
  </si>
  <si>
    <t>4_EMBEDDED DISTRIBUTOR SERVICE CLASSIFICATION_VR_RR_37</t>
  </si>
  <si>
    <t>Rate Rider for Disposition of Global Adjustment Account (2025) 
      - effective until December 31, 2025 - Applicable Only for Non-RPP Customers</t>
  </si>
  <si>
    <t>4_EMBEDDED DISTRIBUTOR SERVICE CLASSIFICATION_FDR_RR</t>
  </si>
  <si>
    <t>5_UNMETERED SCATTERED LOAD SERVICE CLASSIFICATION_FX_RR_19</t>
  </si>
  <si>
    <t>5_UNMETERED SCATTERED LOAD SERVICE CLASSIFICATION_FX_RR_20</t>
  </si>
  <si>
    <t>Rate Rider for Disposition of Capacity Based Recovery Account (2025)
       - effective until December 31, 2025 - Applicable only for Class B Customers</t>
  </si>
  <si>
    <t>5_UNMETERED SCATTERED LOAD SERVICE CLASSIFICATION_VR_RR_43</t>
  </si>
  <si>
    <t>5_UNMETERED SCATTERED LOAD SERVICE CLASSIFICATION_FDR_RR</t>
  </si>
  <si>
    <t>Rate Rider for Disposition of Capacity Based Recovery Account (2024) - effective until April 30, 2025
      - Applicable only for Class B Customers</t>
  </si>
  <si>
    <t>6_SENTINEL LIGHTING SERVICE CLASSIFICATION_FX_RR_22</t>
  </si>
  <si>
    <t>6_SENTINEL LIGHTING SERVICE CLASSIFICATION_FX_RR_23</t>
  </si>
  <si>
    <t>6_SENTINEL LIGHTING SERVICE CLASSIFICATION_VR_RR_49</t>
  </si>
  <si>
    <t>6_SENTINEL LIGHTING SERVICE CLASSIFICATION_FDR_RR</t>
  </si>
  <si>
    <t>7_STREET LIGHTING SERVICE CLASSIFICATION_FX_RR_25</t>
  </si>
  <si>
    <t>7_STREET LIGHTING SERVICE CLASSIFICATION_FX_RR_26</t>
  </si>
  <si>
    <t>Rate Rider for Disposition of Capacity Based Recovery Account (2025) 
      - effective until December 31, 2025 Applicable only for Class B Customers</t>
  </si>
  <si>
    <t>7_STREET LIGHTING SERVICE CLASSIFICATION_VR_RR_55</t>
  </si>
  <si>
    <t>7_STREET LIGHTING SERVICE CLASSIFICATION_FDR_RR</t>
  </si>
  <si>
    <t>ESSEX POWERLINES CORPORATION_ALLOWANCES</t>
  </si>
  <si>
    <t>ESSEX POWERLINES CORPORATION_SSC</t>
  </si>
  <si>
    <t>ESSEX POWERLINES CORPORATION_CA</t>
  </si>
  <si>
    <t>ESSEX POWERLINES CORPORATION_NPoA</t>
  </si>
  <si>
    <t xml:space="preserve">        Specific charge for access to the power poles - $/pole/year (with the exception of wireless 
        attachments)</t>
  </si>
  <si>
    <t>ESSEX POWERLINES CORPORATION_RSC</t>
  </si>
  <si>
    <t xml:space="preserve">                        More than twice a year, per request (plus incremental delivery costs)</t>
  </si>
  <si>
    <t>ESSEX POWERLINES CORPORATION_LFs</t>
  </si>
  <si>
    <t>ESSEX POWERLINES CORPORATION_End</t>
  </si>
  <si>
    <t>Rate Rider for Group 2 Accounts - effective until December 31, 2025</t>
  </si>
  <si>
    <t>Rate Rider for Disposition of Global Adjustment Account (2025) Applicable only for Non-RPP Customers - effective until December 31, 2025</t>
  </si>
  <si>
    <t>2_GENERAL SERVICE LESS THAN 50 KW SERVICE CLASSIFICATION_VR_RR_65</t>
  </si>
  <si>
    <t>3_GENERAL SERVICE 50 to 4,999 kW SERVICE CLASSIFICATION_VR_RR_70</t>
  </si>
  <si>
    <t>Retail Transmission Rate - Line and Transformation Connection Service Rate - Interval Metered (See Gross Load Billing Note)</t>
  </si>
  <si>
    <t>Gross Load Billing Note
The Billing Demand for Line and Transformation Connection Services is defined as the Non-Coincident Peak demand (MW) in any hour of the month. The customer demand in any hour is the sum of (a) the loss adjusted demand supplied from the distribution system plus (b) the demand that is supplied by embedded generation installed after October 30, 1998, which have installed capacity of 2 MW or more for renewable generation and 1 MW or higher for non-renewable generation. The term renewable generation refers to a facility that generates electricity from the following sources: wind, solar, Biomass, Bio-oil, Bio-gas, landfill gas, or water. The demand supplied by embedded generation will not be adjusted for loss.</t>
  </si>
  <si>
    <t>4_LARGE USE SERVICE CLASSIFICATION_VR_RR_72</t>
  </si>
  <si>
    <t>5_UNMETERED SCATTERED LOAD SERVICE CLASSIFICATION_VR_RR_76</t>
  </si>
  <si>
    <t>6_SENTINEL LIGHTING SERVICE CLASSIFICATION_VR_RR_79</t>
  </si>
  <si>
    <t>7_STREET LIGHTING SERVICE CLASSIFICATION_VR_RR_83</t>
  </si>
  <si>
    <t>Bill Copy Charge</t>
  </si>
  <si>
    <t>Hydro One Networks Inc._Start</t>
  </si>
  <si>
    <t>EB-2024-0032</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</si>
  <si>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</si>
  <si>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</si>
  <si>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</si>
  <si>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</si>
  <si>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</si>
  <si>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0_APPLICATION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</si>
  <si>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</si>
  <si>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</si>
  <si>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URBAN DENSITY - UR</t>
  </si>
  <si>
    <t>1_URBAN DENSITY - UR</t>
  </si>
  <si>
    <t>1_URBAN DENSITY - UR_MSC</t>
  </si>
  <si>
    <t>1_URBAN DENSITY - UR_SME</t>
  </si>
  <si>
    <t>Rate Rider for Disposition of Group 2 Deferral/Variance Accounts (2023) - effective until December 31, 2025</t>
  </si>
  <si>
    <t>1_URBAN DENSITY - UR_DEFVAR_ALL</t>
  </si>
  <si>
    <t>Rate Rider for Disposition of Group 1 Deferral/Variance Accounts (2023) - effective until December 31, 2025</t>
  </si>
  <si>
    <t>Rate Rider for Disposition of Global Adjustment Account (2023) - effective until December 31, 2025 (see Note 13)</t>
  </si>
  <si>
    <t>1_URBAN DENSITY - UR_GA_kwh</t>
  </si>
  <si>
    <t>Rate Rider for Disposition of Group 1 Deferral/Variance Accounts (2024) - effective until June 30, 2025</t>
  </si>
  <si>
    <t>Rate Rider for Disposition of Account 1595 - effective until June 30, 2025</t>
  </si>
  <si>
    <t>1_URBAN DENSITY - UR_VR_RR_87</t>
  </si>
  <si>
    <t>Rate Rider for Disposition of Global Adjustment Account (2024) - effective until June 30, 2025 (see Note 13)</t>
  </si>
  <si>
    <t>Rate Rider for Disposition of Capacity Based Recovery Account (2024) - effective until June 30, 2025 
      (Applicable only for Non-WMP Class B Customers)</t>
  </si>
  <si>
    <t>1_URBAN DENSITY - UR_CBR</t>
  </si>
  <si>
    <t>Rate Rider for Disposition of Group 1 Deferral/Variance Accounts (2025) - effective until December 31, 2025 
      - Approved on an Interim Basis</t>
  </si>
  <si>
    <t>Rate Rider for Disposition of Capacity Based Recovery Account (2025) - effective until December 31, 2025 
      (Applicable only for Non-WMP Class B Customers) - Approved on an Interim Basis</t>
  </si>
  <si>
    <t>Retail Transmission Rate - Network Service Rate (see Note 4)</t>
  </si>
  <si>
    <t>1_URBAN DENSITY - UR_Retail Transmission Rate - Network Service Rate</t>
  </si>
  <si>
    <t>Retail Transmission Rate - Line and Transformation Connection Service Rate (see Note 5)</t>
  </si>
  <si>
    <t>1_URBAN DENSITY - UR_Retail Transmission Rate - Line and Transformation Connection Service Rate</t>
  </si>
  <si>
    <t>Wholesale Market Service Rate (WMS) - not including CBR (see Note 12)</t>
  </si>
  <si>
    <t>1_URBAN DENSITY - UR_WMSR</t>
  </si>
  <si>
    <t>Capacity Based Recovery (CBR) - Applicable for Class B Customers (see Note 12)</t>
  </si>
  <si>
    <t>Rural or Remote Electricity Rate Protection Charge (RRRP) (see Note 12)</t>
  </si>
  <si>
    <t>1_URBAN DENSITY - UR_RRRP</t>
  </si>
  <si>
    <t>1_URBAN DENSITY - UR_SSS</t>
  </si>
  <si>
    <t>MEDIUM DENSITY - R1**</t>
  </si>
  <si>
    <t>2_MEDIUM DENSITY - R1**</t>
  </si>
  <si>
    <t>2_MEDIUM DENSITY - R1**_MSC</t>
  </si>
  <si>
    <t>2_MEDIUM DENSITY - R1**_SME</t>
  </si>
  <si>
    <t>Rate Rider for Disposition of Group 2 Deferral/Variance Accounts (2023) 
      (Not applicable to former Chapleau PUC customers) - effective until December 31, 2025</t>
  </si>
  <si>
    <t>2_MEDIUM DENSITY - R1**_DEFVAR_ALL</t>
  </si>
  <si>
    <t>Rate Rider for Disposition of Group 1 Deferral/Variance Accounts (2023) 
      (Not applicable to former Chapleau PUC customers) - effective until December 31, 2025</t>
  </si>
  <si>
    <t>Rate Rider for Disposition of Global Adjustment Account (2023) 
      (Not applicable to former Chapleau PUC customers) - effective until December 31, 2025 (see Note 13)</t>
  </si>
  <si>
    <t>2_MEDIUM DENSITY - R1**_GA_kwh</t>
  </si>
  <si>
    <t>Rate Rider for Disposition of Group 1 Deferral/Variance Accounts (2024) 
      (Not applicable to former Chapleau PUC customers) - effective until June 30, 2025</t>
  </si>
  <si>
    <t>Rate Rider for Disposition of Account 1595 
      (Not applicable to former Chapleau PUC customers) - effective until June 30, 2025</t>
  </si>
  <si>
    <t>2_MEDIUM DENSITY - R1**_VR_RR_95</t>
  </si>
  <si>
    <t>Rate Rider for Disposition of Global Adjustment Account (2024) 
      (Not applicable to former Chapleau PUC customers) - effective until June 30, 2025 (see Note 13)</t>
  </si>
  <si>
    <t>Rate Rider for Disposition of Capacity Based Recovery Account (2024) 
      (Not applicable to former Chapleau PUC customers) - effective until June 30, 2025 
      (Applicable only for Non-WMP Class B Customers)</t>
  </si>
  <si>
    <t>2_MEDIUM DENSITY - R1**_CBR</t>
  </si>
  <si>
    <t>Rate Rider for Disposition of Group 1 Deferral/Variance Accounts (2025) 
      (Not applicable to former Chapleau PUC customers) - effective until December 31, 2025 
      - Approved on an Interim Basis</t>
  </si>
  <si>
    <t>Rate Rider for Disposition of Capacity Based Recovery Account (2025) 
      (Not applicable to former Chapleau PUC customers) - effective until December 31, 2025 
      (Applicable only for Non-WMP Class B Customers) - Approved on an Interim Basis</t>
  </si>
  <si>
    <t>Rate Rider for Disposition of Global Adjustment Account (2024) 
      (Applicable to former Chapleau PUC customers only) - effective until April 30, 2025 (see Note 13)</t>
  </si>
  <si>
    <t>Rate Rider for Disposition of Deferral/Variance Accounts (2024) 
      (Applicable to former Chapleau PUC customers only) - effective until April 30, 2025</t>
  </si>
  <si>
    <t>2_MEDIUM DENSITY - R1**_Retail Transmission Rate - Network Service Rate</t>
  </si>
  <si>
    <t>2_MEDIUM DENSITY - R1**_Retail Transmission Rate - Line and Transformation Connection Service Rate</t>
  </si>
  <si>
    <t>**The rates set out above do not reflect the impact of the Distribution Rate Protection program on R1 customers per Ontario Regulation 198/17.</t>
  </si>
  <si>
    <t>2_MEDIUM DENSITY - R1**_WMSR</t>
  </si>
  <si>
    <t>2_MEDIUM DENSITY - R1**_RRRP</t>
  </si>
  <si>
    <t>2_MEDIUM DENSITY - R1**_SSS</t>
  </si>
  <si>
    <t>LOW DENSITY - R2**</t>
  </si>
  <si>
    <t>3_LOW DENSITY - R2**</t>
  </si>
  <si>
    <t>Service Charge* - applicable to year-round low-density customers</t>
  </si>
  <si>
    <t>3_LOW DENSITY - R2**_MSC</t>
  </si>
  <si>
    <t>Service Charge - applicable to Seasonal customers</t>
  </si>
  <si>
    <t>3_LOW DENSITY - R2**_SME</t>
  </si>
  <si>
    <t>3_LOW DENSITY - R2**_DVC</t>
  </si>
  <si>
    <t>3_LOW DENSITY - R2**_DEFVAR_ALL</t>
  </si>
  <si>
    <t>3_LOW DENSITY - R2**_GA_kwh</t>
  </si>
  <si>
    <t>3_LOW DENSITY - R2**_VR_RR_105</t>
  </si>
  <si>
    <t>3_LOW DENSITY - R2**_CBR</t>
  </si>
  <si>
    <t>3_LOW DENSITY - R2**_Retail Transmission Rate - Network Service Rate</t>
  </si>
  <si>
    <t>3_LOW DENSITY - R2**_Retail Transmission Rate - Line and Transformation Connection Service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</si>
  <si>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</si>
  <si>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</si>
  <si>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3_LOW DENSITY - R2**_WMSR</t>
  </si>
  <si>
    <t>3_LOW DENSITY - R2**_RRRP</t>
  </si>
  <si>
    <t>3_LOW DENSITY - R2**_SSS</t>
  </si>
  <si>
    <t>GENERAL SERVICE CLASSIFICATIONS - HYDRO ONE NETWORKS INC. SERVICE AREA</t>
  </si>
  <si>
    <t>4_GENERAL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</si>
  <si>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</si>
  <si>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</si>
  <si>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</si>
  <si>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</si>
  <si>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URBAN GENERAL SERVICE ENERGY BILLED - UGe</t>
  </si>
  <si>
    <t>5_URBAN GENERAL SERVICE ENERGY BILLED - UGe</t>
  </si>
  <si>
    <t>This classification applies to a non-residential account located in an Urban Density Zone whose average monthly maximum demand is less than, or is forecast to be less than, 50 kW.</t>
  </si>
  <si>
    <t>5_URBAN GENERAL SERVICE ENERGY BILLED - UGe_MSC</t>
  </si>
  <si>
    <t>5_URBAN GENERAL SERVICE ENERGY BILLED - UGe_SME</t>
  </si>
  <si>
    <t>5_URBAN GENERAL SERVICE ENERGY BILLED - UGe_DVC</t>
  </si>
  <si>
    <t>5_URBAN GENERAL SERVICE ENERGY BILLED - UGe_DEFVAR_ALL</t>
  </si>
  <si>
    <t>5_URBAN GENERAL SERVICE ENERGY BILLED - UGe_GA_kwh</t>
  </si>
  <si>
    <t>5_URBAN GENERAL SERVICE ENERGY BILLED - UGe_VR_RR_114</t>
  </si>
  <si>
    <t>5_URBAN GENERAL SERVICE ENERGY BILLED - UGe_CBR</t>
  </si>
  <si>
    <t>5_URBAN GENERAL SERVICE ENERGY BILLED - UGe_Retail Transmission Rate - Network Service Rate</t>
  </si>
  <si>
    <t>5_URBAN GENERAL SERVICE ENERGY BILLED - UGe_Retail Transmission Rate - Line and Transformation Connection Service Rate</t>
  </si>
  <si>
    <t>5_URBAN GENERAL SERVICE ENERGY BILLED - UGe_WMSR</t>
  </si>
  <si>
    <t>5_URBAN GENERAL SERVICE ENERGY BILLED - UGe_RRRP</t>
  </si>
  <si>
    <t>5_URBAN GENERAL SERVICE ENERGY BILLED - UGe_SSS</t>
  </si>
  <si>
    <t>GENERAL SERVICE ENERGY BILLED - GSe</t>
  </si>
  <si>
    <t>6_GENERAL SERVICE ENERGY BILLED - GSe</t>
  </si>
  <si>
    <t>This classification applies to a non-residential account not located in an Urban Density Zone whose average monthly maximum demand is less than, or is forecast to be less than, 50 kW.</t>
  </si>
  <si>
    <t>6_GENERAL SERVICE ENERGY BILLED - GSe_MSC</t>
  </si>
  <si>
    <t>6_GENERAL SERVICE ENERGY BILLED - GSe_SME</t>
  </si>
  <si>
    <t>6_GENERAL SERVICE ENERGY BILLED - GSe_DVC</t>
  </si>
  <si>
    <t>6_GENERAL SERVICE ENERGY BILLED - GSe_DEFVAR_ALL</t>
  </si>
  <si>
    <t>6_GENERAL SERVICE ENERGY BILLED - GSe_GA_kwh</t>
  </si>
  <si>
    <t>6_GENERAL SERVICE ENERGY BILLED - GSe_VR_RR_123</t>
  </si>
  <si>
    <t>6_GENERAL SERVICE ENERGY BILLED - GSe_CBR</t>
  </si>
  <si>
    <t>6_GENERAL SERVICE ENERGY BILLED - GSe_Retail Transmission Rate - Network Service Rate</t>
  </si>
  <si>
    <t>6_GENERAL SERVICE ENERGY BILLED - GSe_Retail Transmission Rate - Line and Transformation Connection Service Rate</t>
  </si>
  <si>
    <t>6_GENERAL SERVICE ENERGY BILLED - GSe_WMSR</t>
  </si>
  <si>
    <t>6_GENERAL SERVICE ENERGY BILLED - GSe_RRRP</t>
  </si>
  <si>
    <t>6_GENERAL SERVICE ENERGY BILLED - GSe_SSS</t>
  </si>
  <si>
    <t>URBAN GENERAL SERVICE DEMAND BILLED - UGd</t>
  </si>
  <si>
    <t>7_URBAN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</si>
  <si>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</si>
  <si>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7_URBAN GENERAL SERVICE DEMAND BILLED - UGd_MSC</t>
  </si>
  <si>
    <t>7_URBAN GENERAL SERVICE DEMAND BILLED - UGd_DVC</t>
  </si>
  <si>
    <t>Rate Rider for Disposition of Group 1 Deferral/Variance Accounts (General) (2023) 
      - effective until December 31, 2025 (see Note 9)</t>
  </si>
  <si>
    <t>7_URBAN GENERAL SERVICE DEMAND BILLED - UGd_DEFVAR_ALL</t>
  </si>
  <si>
    <t>Rate Rider for Disposition of Group 1 Deferral/Variance Accounts (Non-WMP) (2023) 
      - effective until December 31, 2025 (see Note 10)</t>
  </si>
  <si>
    <t>7_URBAN GENERAL SERVICE DEMAND BILLED - UGd_GA_kwh</t>
  </si>
  <si>
    <t>Rate Rider for Disposition of Group 1 Deferral/Variance Accounts (General) (2024) 
      - effective until June 30, 2025 (see Note 9)</t>
  </si>
  <si>
    <t>Rate Rider for Disposition of Group 1 Deferral/Variance Accounts (Non-WMP) (2024) 
      - effective until June 30, 2025 (see Note 10)</t>
  </si>
  <si>
    <t>7_URBAN GENERAL SERVICE DEMAND BILLED - UGd_VR_RR_136</t>
  </si>
  <si>
    <t>Rate Rider for Disposition of Capacity Based Recovery Account (2024) 
      - effective until June 30, 2025 (Applicable only for Non-WMP Class B Customers)</t>
  </si>
  <si>
    <t>7_URBAN GENERAL SERVICE DEMAND BILLED - UGd_CBR</t>
  </si>
  <si>
    <t>Rate Rider for Disposition of Group 1 Deferral/Variance Accounts (2025) 
      - effective until December 31, 2025 - Approved on an Interim Basis</t>
  </si>
  <si>
    <t>Rate Rider for Disposition of Group 1 Deferral/Variance Accounts (Non-WMP) (2025) 
      - effective until December 31, 2025 (see Note 10) - Approved on an Interim Basis</t>
  </si>
  <si>
    <t>7_URBAN GENERAL SERVICE DEMAND BILLED - UGd_Retail Transmission Rate - Network Service Rate</t>
  </si>
  <si>
    <t>7_URBAN GENERAL SERVICE DEMAND BILLED - UGd_Retail Transmission Rate - Line and Transformation Connection Service Rate</t>
  </si>
  <si>
    <t>7_URBAN GENERAL SERVICE DEMAND BILLED - UGd_WMSR</t>
  </si>
  <si>
    <t>7_URBAN GENERAL SERVICE DEMAND BILLED - UGd_RRRP</t>
  </si>
  <si>
    <t>7_URBAN GENERAL SERVICE DEMAND BILLED - UGd_SSS</t>
  </si>
  <si>
    <t>GENERAL SERVICE DEMAND BILLED - GSd</t>
  </si>
  <si>
    <t>8_GENERAL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</si>
  <si>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</si>
  <si>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8_GENERAL SERVICE DEMAND BILLED - GSd_MSC</t>
  </si>
  <si>
    <t>8_GENERAL SERVICE DEMAND BILLED - GSd_DVC</t>
  </si>
  <si>
    <t>Rate Rider for Disposition of Group 1 Deferral/Variance Accounts (General) (2023) 
      (Not applicable to former Chapleau PUC customers) - effective until December 31, 2025 (see Note 9)</t>
  </si>
  <si>
    <t>8_GENERAL SERVICE DEMAND BILLED - GSd_DEFVAR_ALL</t>
  </si>
  <si>
    <t>Rate Rider for Disposition of Group 1 Deferral/Variance Accounts (Non-WMP) (2023) 
      (Not applicable to former Chapleau PUC customers) - effective until December 31, 2025 (see Note 10)</t>
  </si>
  <si>
    <t>8_GENERAL SERVICE DEMAND BILLED - GSd_GA_kwh</t>
  </si>
  <si>
    <t>Rate Rider for Disposition of Group 1 Deferral/Variance Accounts (General) (2024) 
      (Not applicable to former Chapleau PUC customers) - effective until June 30, 2025 (see Note 9)</t>
  </si>
  <si>
    <t>Rate Rider for Disposition of Group 1 Deferral/Variance Accounts (Non-WMP) (2024) 
      (Not applicable to former Chapleau PUC customers) - effective until June 30, 2025 (see Note 10)</t>
  </si>
  <si>
    <t>8_GENERAL SERVICE DEMAND BILLED - GSd_VR_RR_148</t>
  </si>
  <si>
    <t>8_GENERAL SERVICE DEMAND BILLED - GSd_CBR</t>
  </si>
  <si>
    <t>Rate Rider for Disposition of Group 1 Deferral/Variance Accounts (Non-WMP) (2025) 
      (Not applicable to former Chapleau PUC customers) - effective until December 31, 2025 (see Note 10) 
      - Approved on an Interim Basis</t>
  </si>
  <si>
    <t>8_GENERAL SERVICE DEMAND BILLED - GSd_Retail Transmission Rate - Network Service Rate</t>
  </si>
  <si>
    <t>8_GENERAL SERVICE DEMAND BILLED - GSd_Retail Transmission Rate - Line and Transformation Connection Service Rate</t>
  </si>
  <si>
    <t>8_GENERAL SERVICE DEMAND BILLED - GSd_WMSR</t>
  </si>
  <si>
    <t>8_GENERAL SERVICE DEMAND BILLED - GSd_RRRP</t>
  </si>
  <si>
    <t>8_GENERAL SERVICE DEMAND BILLED - GSd_SSS</t>
  </si>
  <si>
    <t>DISTRIBUTED GENERATION - DGen</t>
  </si>
  <si>
    <t>9_DISTRIBUTED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</si>
  <si>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</si>
  <si>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9_DISTRIBUTED GENERATION - DGen_MSC</t>
  </si>
  <si>
    <t>9_DISTRIBUTED GENERATION - DGen_DVC</t>
  </si>
  <si>
    <t>9_DISTRIBUTED GENERATION - DGen_DEFVAR_ALL</t>
  </si>
  <si>
    <t>9_DISTRIBUTED GENERATION - DGen_GA_kwh</t>
  </si>
  <si>
    <t>9_DISTRIBUTED GENERATION - DGen_VR_RR_162</t>
  </si>
  <si>
    <t>9_DISTRIBUTED GENERATION - DGen_CBR</t>
  </si>
  <si>
    <t>9_DISTRIBUTED GENERATION - DGen_Retail Transmission Rate - Network Service Rate</t>
  </si>
  <si>
    <t>9_DISTRIBUTED GENERATION - DGen_Retail Transmission Rate - Line and Transformation Connection Service Rate</t>
  </si>
  <si>
    <t>9_DISTRIBUTED GENERATION - DGen_WMSR</t>
  </si>
  <si>
    <t>9_DISTRIBUTED GENERATION - DGen_RRRP</t>
  </si>
  <si>
    <t>9_DISTRIBUTED GENERATION - DGen_SSS</t>
  </si>
  <si>
    <t>SUB TRANSMISSION - ST</t>
  </si>
  <si>
    <t>10_SUB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</si>
  <si>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</si>
  <si>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</si>
  <si>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</si>
  <si>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</si>
  <si>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</si>
  <si>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10_SUB TRANSMISSION - ST_MSC</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</si>
  <si>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</si>
  <si>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</si>
  <si>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</si>
  <si>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</si>
  <si>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</si>
  <si>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</si>
  <si>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</si>
  <si>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</si>
  <si>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10_SUB TRANSMISSION - ST_LV</t>
  </si>
  <si>
    <t>Rate Rider for Disposition of Group 1 Deferral/Variance Accounts (General) (2023) 
      - effective until December 31, 2025 (see Notes 1 and 9)</t>
  </si>
  <si>
    <t>10_SUB TRANSMISSION - ST_DEFVAR_ALL</t>
  </si>
  <si>
    <t>Rate Rider for Disposition of Group 1 Deferral/Variance Accounts (Non-WMP) (2023) 
      - effective until December 31, 2025 (see Notes 1 and 10)</t>
  </si>
  <si>
    <t>Rate Rider for Disposition of Group 2 Deferral/Variance Accounts (2023) 
      (Applicable to Hydro One legacy customers only) - effective until December 31, 2025 (see Notes 1 and 16)</t>
  </si>
  <si>
    <t>10_SUB TRANSMISSION - ST_GA_kwh</t>
  </si>
  <si>
    <t>Rate Rider for Disposition of Account 1595 (former Woodstock GS &gt;1,000kW Customers only) 
      - effective until December 31, 2025 (see Note 1)</t>
  </si>
  <si>
    <t>10_SUB TRANSMISSION - ST_VR_RR_172</t>
  </si>
  <si>
    <t>Rate Rider for Disposition of Account 1595 (former Woodstock GS 50-999kW Customers only) 
      - effective until December 31, 2025 (see Note 1)</t>
  </si>
  <si>
    <t>10_SUB TRANSMISSION - ST_VR_RR_173</t>
  </si>
  <si>
    <t>Rate Rider for Disposition of Account 1595 (former Norfolk GS 50-4,999kW Customers only) 
      - effective until December 31, 2025 (see Note 1)</t>
  </si>
  <si>
    <t>10_SUB TRANSMISSION - ST_VR_RR_174</t>
  </si>
  <si>
    <t>Rate Rider for Disposition of Account 1592 (former Norfolk GS 50-4,999kW Customers only) 
      - effective until December 31, 2025 (see Note 1)</t>
  </si>
  <si>
    <t>10_SUB TRANSMISSION - ST_VR_RR_175</t>
  </si>
  <si>
    <t>Rate Rider for Disposition of Account 1592 (former Halidmand GS 50-4,999kW Customers only) 
      - effective until December 31, 2025 (see Note 1)</t>
  </si>
  <si>
    <t>10_SUB TRANSMISSION - ST_VR_RR_176</t>
  </si>
  <si>
    <t>Rate Rider for Disposition of Account 1592 (former Woodstock GS 50-999kW Customers only) 
      - effective until December 31, 2025 (see Note 1)</t>
  </si>
  <si>
    <t>10_SUB TRANSMISSION - ST_VR_RR_177</t>
  </si>
  <si>
    <t>Rate Rider for Disposition of Account 1592 (former Woodstock GS &gt;1,000kW Customers only) 
      - effective until December 31, 2025 (see Note 1)</t>
  </si>
  <si>
    <t>10_SUB TRANSMISSION - ST_VR_RR_178</t>
  </si>
  <si>
    <t>Rate Rider for Disposition of Group 1 Deferral/Variance Accounts (General) (2024) 
      - effective until June 30, 2025 (see Notes 1 and 9)</t>
  </si>
  <si>
    <t>Rate Rider for Disposition of Group 1 Deferral/Variance Accounts (Non-WMP) (2024) 
      - effective until June 30, 2025 (see Notes 1 and 10)</t>
  </si>
  <si>
    <t>Rate Rider for Disposition of Account 1595 (Applicable to Hydro One legacy customers only) 
      - effective until June 30, 2025 (see Notes 1 and 16)</t>
  </si>
  <si>
    <t>10_SUB TRANSMISSION - ST_VR_RR_181</t>
  </si>
  <si>
    <t>10_SUB TRANSMISSION - ST_CBR</t>
  </si>
  <si>
    <t>Retail Transmission Service Rates (see Notes 6 and 7)</t>
  </si>
  <si>
    <t>10_SUB TRANSMISSION - ST_Retail Transmission Rate - Network Service Rate</t>
  </si>
  <si>
    <t>Retail Transmission Rate - Line Connection Service Rate (see Note 5)</t>
  </si>
  <si>
    <t>10_SUB TRANSMISSION - ST_Retail Transmission Rate - Line Connection Service Rate</t>
  </si>
  <si>
    <t>Retail Transmission Rate - Transformation Connection Service Rate (see Note 5)</t>
  </si>
  <si>
    <t>10_SUB TRANSMISSION - ST_Retail Transmission Rate - Transformation Connection Service Rate</t>
  </si>
  <si>
    <t>10_SUB TRANSMISSION - ST_WMSR</t>
  </si>
  <si>
    <t>10_SUB TRANSMISSION - ST_RRRP</t>
  </si>
  <si>
    <t>10_SUB TRANSMISSION - ST_SSS</t>
  </si>
  <si>
    <t>11_UNMETERED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</si>
  <si>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</si>
  <si>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11_UNMETERED SCATTERED LOAD SERVICE CLASSIFICATION_MSC</t>
  </si>
  <si>
    <t>11_UNMETERED SCATTERED LOAD SERVICE CLASSIFICATION_DVC</t>
  </si>
  <si>
    <t>11_UNMETERED SCATTERED LOAD SERVICE CLASSIFICATION_DEFVAR_ALL</t>
  </si>
  <si>
    <t xml:space="preserve">Rate Rider for Disposition of Group 2 Deferral/Variance Accounts (2023) 
      (Applicable to Hydro One legacy customers only) - effective until December 31, 2025 (see Note 16) </t>
  </si>
  <si>
    <t>11_UNMETERED SCATTERED LOAD SERVICE CLASSIFICATION_GA_kwh</t>
  </si>
  <si>
    <t>Rate Rider for Disposition of Account 1595 (Applicable to former Woodstock USL customers only) 
      - effective until December 31, 2025</t>
  </si>
  <si>
    <t>11_UNMETERED SCATTERED LOAD SERVICE CLASSIFICATION_VR_RR_190</t>
  </si>
  <si>
    <t>Rate Rider for Disposition of Account 1595 (Applicable to former Norfolk USL customers only) 
      - effective until December 31, 2025</t>
  </si>
  <si>
    <t>11_UNMETERED SCATTERED LOAD SERVICE CLASSIFICATION_VR_RR_191</t>
  </si>
  <si>
    <t>Rate Rider for Disposition of Account 1592 (Applicable to former Norfolk USL customers only) 
      - effective until December 31, 2025</t>
  </si>
  <si>
    <t>11_UNMETERED SCATTERED LOAD SERVICE CLASSIFICATION_VR_RR_192</t>
  </si>
  <si>
    <t>Rate Rider for Disposition of Account 1592 (Applicable to former Haldimand USL customers only) 
      - effective until December 31, 2025</t>
  </si>
  <si>
    <t>11_UNMETERED SCATTERED LOAD SERVICE CLASSIFICATION_VR_RR_193</t>
  </si>
  <si>
    <t>Rate Rider for Disposition of Account 1592 (Applicable to former Woodstock USL customers only) 
      - effective until December 31, 2025</t>
  </si>
  <si>
    <t>11_UNMETERED SCATTERED LOAD SERVICE CLASSIFICATION_VR_RR_194</t>
  </si>
  <si>
    <t>Rate Rider for Disposition of Account 1595 (Applicable to Hydro One legacy customers only) 
      - effective until June 30, 2025 (see Note 16)</t>
  </si>
  <si>
    <t>11_UNMETERED SCATTERED LOAD SERVICE CLASSIFICATION_VR_RR_196</t>
  </si>
  <si>
    <t>Rate Rider for Disposition of Global Adjustment Account (2024) (Not applicable to former Chapleau PUC customers) 
      - effective until June 30, 2025 (see Note 13)</t>
  </si>
  <si>
    <t>11_UNMETERED SCATTERED LOAD SERVICE CLASSIFICATION_CBR</t>
  </si>
  <si>
    <t>Rate Rider for Disposition of Deferral/Variance Accounts (2024) (Applicable to former Chapleau PUC customers only) 
      - effective until April 30, 2025</t>
  </si>
  <si>
    <t>11_UNMETERED SCATTERED LOAD SERVICE CLASSIFICATION_Retail Transmission Rate - Network Service Rate</t>
  </si>
  <si>
    <t>11_UNMETERED SCATTERED LOAD SERVICE CLASSIFICATION_Retail Transmission Rate - Line and Transformation Connection Service Rate</t>
  </si>
  <si>
    <t>11_MRC_Reg</t>
  </si>
  <si>
    <t>11_UNMETERED SCATTERED LOAD SERVICE CLASSIFICATION_WMSR</t>
  </si>
  <si>
    <t>11_UNMETERED SCATTERED LOAD SERVICE CLASSIFICATION_RRRP</t>
  </si>
  <si>
    <t>11_UNMETERED SCATTERED LOAD SERVICE CLASSIFICATION_SSS</t>
  </si>
  <si>
    <t>12_SENTINEL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</si>
  <si>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</si>
  <si>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</si>
  <si>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12_SENTINEL LIGHTING SERVICE CLASSIFICATION_MSC</t>
  </si>
  <si>
    <t>12_SENTINEL LIGHTING SERVICE CLASSIFICATION_DVC</t>
  </si>
  <si>
    <t>12_SENTINEL LIGHTING SERVICE CLASSIFICATION_DEFVAR_ALL</t>
  </si>
  <si>
    <t xml:space="preserve">Rate Rider for Disposition of Group 2 Deferral/Variance Accounts (2023)  
      (Applicable to Hydro One legacy customers only) - effective until December 31, 2025 (see Note 16) </t>
  </si>
  <si>
    <t>12_SENTINEL LIGHTING SERVICE CLASSIFICATION_GA_kwh</t>
  </si>
  <si>
    <t>Rate Rider for Disposition of Account 1595 
      (Applicable to former Norfolk Sentinel Light customers only) - effective until December 31, 2025</t>
  </si>
  <si>
    <t>12_SENTINEL LIGHTING SERVICE CLASSIFICATION_VR_RR_205</t>
  </si>
  <si>
    <t>Rate Rider for Disposition of Account 1592 
      (Applicable to former Norfolk Sentinel Light customers only) - effective until December 31, 2025</t>
  </si>
  <si>
    <t>12_SENTINEL LIGHTING SERVICE CLASSIFICATION_VR_RR_206</t>
  </si>
  <si>
    <t>Rate Rider for Disposition of Account 1592 
      (Applicable to former Haldimand Sentinel Light customers only) - effective until December 31, 2025</t>
  </si>
  <si>
    <t>12_SENTINEL LIGHTING SERVICE CLASSIFICATION_VR_RR_207</t>
  </si>
  <si>
    <t>Rate Rider for Disposition of Account 1595 
      (Applicable to Hydro One legacy customers only) - effective until June 30, 2025 (see Note 16)</t>
  </si>
  <si>
    <t>12_SENTINEL LIGHTING SERVICE CLASSIFICATION_VR_RR_209</t>
  </si>
  <si>
    <t>12_SENTINEL LIGHTING SERVICE CLASSIFICATION_CBR</t>
  </si>
  <si>
    <t>12_SENTINEL LIGHTING SERVICE CLASSIFICATION_Retail Transmission Rate - Network Service Rate</t>
  </si>
  <si>
    <t>12_SENTINEL LIGHTING SERVICE CLASSIFICATION_Retail Transmission Rate - Line and Transformation Connection Service Rate</t>
  </si>
  <si>
    <t>12_MRC_Reg</t>
  </si>
  <si>
    <t>12_SENTINEL LIGHTING SERVICE CLASSIFICATION_WMSR</t>
  </si>
  <si>
    <t>12_SENTINEL LIGHTING SERVICE CLASSIFICATION_RRRP</t>
  </si>
  <si>
    <t>12_SENTINEL LIGHTING SERVICE CLASSIFICATION_SSS</t>
  </si>
  <si>
    <t>13_STREET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</si>
  <si>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</si>
  <si>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</si>
  <si>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13_STREET LIGHTING SERVICE CLASSIFICATION_MSC</t>
  </si>
  <si>
    <t>13_STREET LIGHTING SERVICE CLASSIFICATION_DVC</t>
  </si>
  <si>
    <t>13_STREET LIGHTING SERVICE CLASSIFICATION_DEFVAR_ALL</t>
  </si>
  <si>
    <t>13_STREET LIGHTING SERVICE CLASSIFICATION_GA_kwh</t>
  </si>
  <si>
    <t>Rate Rider for Disposition of Account 1595 
      (Applicable to former Woodstock Street Light customers only) - effective until December 31, 2025</t>
  </si>
  <si>
    <t>13_STREET LIGHTING SERVICE CLASSIFICATION_VR_RR_219</t>
  </si>
  <si>
    <t>Rate Rider for Disposition of Account 1595 
      (Applicable to former Norfolk Street Light customers only) - effective until December 31, 2025</t>
  </si>
  <si>
    <t>13_STREET LIGHTING SERVICE CLASSIFICATION_VR_RR_220</t>
  </si>
  <si>
    <t>Rate Rider for Disposition of Account 1592 
      (Applicable to former Norfolk Street Light customers only) - effective until December 31, 2025</t>
  </si>
  <si>
    <t>13_STREET LIGHTING SERVICE CLASSIFICATION_VR_RR_221</t>
  </si>
  <si>
    <t>Rate Rider for Disposition of Account 1592 
      (Applicable to former Haldimand Street Light customers only) - effective until December 31, 2025</t>
  </si>
  <si>
    <t>13_STREET LIGHTING SERVICE CLASSIFICATION_VR_RR_222</t>
  </si>
  <si>
    <t>Rate Rider for Disposition of Account 1592 
      (Applicable to former Woodstock Street Light customers only) - effective until December 31, 2025</t>
  </si>
  <si>
    <t>13_STREET LIGHTING SERVICE CLASSIFICATION_VR_RR_223</t>
  </si>
  <si>
    <t>13_STREET LIGHTING SERVICE CLASSIFICATION_VR_RR_225</t>
  </si>
  <si>
    <t>13_STREET LIGHTING SERVICE CLASSIFICATION_CBR</t>
  </si>
  <si>
    <t>13_STREET LIGHTING SERVICE CLASSIFICATION_Retail Transmission Rate - Network Service Rate</t>
  </si>
  <si>
    <t>13_STREET LIGHTING SERVICE CLASSIFICATION_Retail Transmission Rate - Line and Transformation Connection Service Rate</t>
  </si>
  <si>
    <t>13_MRC_Reg</t>
  </si>
  <si>
    <t>13_STREET LIGHTING SERVICE CLASSIFICATION_WMSR</t>
  </si>
  <si>
    <t>13_STREET LIGHTING SERVICE CLASSIFICATION_RRRP</t>
  </si>
  <si>
    <t>13_STREET LIGHTING SERVICE CLASSIFICATION_SSS</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</si>
  <si>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</si>
  <si>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</si>
  <si>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</si>
  <si>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14_ACQUIRED URBAN DENSITY - AUR</t>
  </si>
  <si>
    <t>This classification applies to residential accounts in acquired service areas (after 2013) with urban density and currently includes customers in the former Woodstock Hydro Services Inc.'s service area.</t>
  </si>
  <si>
    <t>14_MRC_Del</t>
  </si>
  <si>
    <t>14_ACQUIRED URBAN DENSITY - AUR_MSC</t>
  </si>
  <si>
    <t>14_ACQUIRED URBAN DENSITY - AUR_SME</t>
  </si>
  <si>
    <t>Rate Rider for Disposition of Account 1592 - effective until December 31, 2025</t>
  </si>
  <si>
    <t>14_ACQUIRED URBAN DENSITY - AUR_FX_RR_31</t>
  </si>
  <si>
    <t>14_ACQUIRED URBAN DENSITY - AUR_DEFVAR_ALL</t>
  </si>
  <si>
    <t>14_ACQUIRED URBAN DENSITY - AUR_GA_kwh</t>
  </si>
  <si>
    <t>Rate Rider for Disposition of Account 1595 - effective until December 31, 2025</t>
  </si>
  <si>
    <t>14_ACQUIRED URBAN DENSITY - AUR_VR_RR_233</t>
  </si>
  <si>
    <t>14_ACQUIRED URBAN DENSITY - AUR_CBR</t>
  </si>
  <si>
    <t>14_ACQUIRED URBAN DENSITY - AUR_Retail Transmission Rate - Network Service Rate</t>
  </si>
  <si>
    <t>14_ACQUIRED URBAN DENSITY - AUR_Retail Transmission Rate - Line and Transformation Connection Service Rate</t>
  </si>
  <si>
    <t>14_MRC_Reg</t>
  </si>
  <si>
    <t>14_ACQUIRED URBAN DENSITY - AUR_WMSR</t>
  </si>
  <si>
    <t>14_ACQUIRED URBAN DENSITY - AUR_RRRP</t>
  </si>
  <si>
    <t>14_ACQUIRED URBAN DENSITY - AUR_SSS</t>
  </si>
  <si>
    <t>ACQUIRED MIXED DENSITY - AR</t>
  </si>
  <si>
    <t>15_ACQUIRED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</si>
  <si>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</si>
  <si>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15_MRC_Del</t>
  </si>
  <si>
    <t>15_ACQUIRED MIXED DENSITY - AR_MSC</t>
  </si>
  <si>
    <t>15_ACQUIRED MIXED DENSITY - AR_SME</t>
  </si>
  <si>
    <t>Rate Rider for Disposition of Account 1592 (Applicable to former Norfolk Residential customers only) - effective until December 31, 2025</t>
  </si>
  <si>
    <t>15_ACQUIRED MIXED DENSITY - AR_FX_RR_32</t>
  </si>
  <si>
    <t>Rate Rider for Disposition of Account 1592 
      (Applicable to former Haldimand Residential customers only) - effective until December 31, 2025</t>
  </si>
  <si>
    <t>15_ACQUIRED MIXED DENSITY - AR_FX_RR_33</t>
  </si>
  <si>
    <t>15_ACQUIRED MIXED DENSITY - AR_DEFVAR_ALL</t>
  </si>
  <si>
    <t>15_ACQUIRED MIXED DENSITY - AR_GA_kwh</t>
  </si>
  <si>
    <t>Rate Rider for Disposition of Account 1595 
      (Applicable to former Norfolk Residential customers only) - effective until December 31, 2025</t>
  </si>
  <si>
    <t>15_ACQUIRED MIXED DENSITY - AR_VR_RR_241</t>
  </si>
  <si>
    <t>15_ACQUIRED MIXED DENSITY - AR_CBR</t>
  </si>
  <si>
    <t>15_ACQUIRED MIXED DENSITY - AR_Retail Transmission Rate - Network Service Rate</t>
  </si>
  <si>
    <t>15_ACQUIRED MIXED DENSITY - AR_Retail Transmission Rate - Line and Transformation Connection Service Rate</t>
  </si>
  <si>
    <t>15_MRC_Reg</t>
  </si>
  <si>
    <t>15_ACQUIRED MIXED DENSITY - AR_WMSR</t>
  </si>
  <si>
    <t>15_ACQUIRED MIXED DENSITY - AR_RRRP</t>
  </si>
  <si>
    <t>15_ACQUIRED MIXED DENSITY - AR_SSS</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</si>
  <si>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</si>
  <si>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</si>
  <si>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15_APPLICATION</t>
  </si>
  <si>
    <t>ACQUIRED URBAN DENSITY GENERAL SERVICE ENERGY BILLED - AUGE</t>
  </si>
  <si>
    <t>16_ACQUIRED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</si>
  <si>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</si>
  <si>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16_MRC_Del</t>
  </si>
  <si>
    <t>16_ACQUIRED URBAN DENSITY GENERAL SERVICE ENERGY BILLED - AUGE_MSC</t>
  </si>
  <si>
    <t>16_ACQUIRED URBAN DENSITY GENERAL SERVICE ENERGY BILLED - AUGE_SME</t>
  </si>
  <si>
    <t>16_ACQUIRED URBAN DENSITY GENERAL SERVICE ENERGY BILLED - AUGE_DVC</t>
  </si>
  <si>
    <t>16_ACQUIRED URBAN DENSITY GENERAL SERVICE ENERGY BILLED - AUGE_DEFVAR_ALL</t>
  </si>
  <si>
    <t>16_ACQUIRED URBAN DENSITY GENERAL SERVICE ENERGY BILLED - AUGE_GA_kwh</t>
  </si>
  <si>
    <t>16_ACQUIRED URBAN DENSITY GENERAL SERVICE ENERGY BILLED - AUGE_VR_RR_249</t>
  </si>
  <si>
    <t>16_ACQUIRED URBAN DENSITY GENERAL SERVICE ENERGY BILLED - AUGE_VR_RR_250</t>
  </si>
  <si>
    <t>16_ACQUIRED URBAN DENSITY GENERAL SERVICE ENERGY BILLED - AUGE_CBR</t>
  </si>
  <si>
    <t>16_ACQUIRED URBAN DENSITY GENERAL SERVICE ENERGY BILLED - AUGE_Retail Transmission Rate - Network Service Rate</t>
  </si>
  <si>
    <t>16_ACQUIRED URBAN DENSITY GENERAL SERVICE ENERGY BILLED - AUGE_Retail Transmission Rate - Line and Transformation Connection Service Rate</t>
  </si>
  <si>
    <t>16_MRC_Reg</t>
  </si>
  <si>
    <t>16_ACQUIRED URBAN DENSITY GENERAL SERVICE ENERGY BILLED - AUGE_WMSR</t>
  </si>
  <si>
    <t>16_ACQUIRED URBAN DENSITY GENERAL SERVICE ENERGY BILLED - AUGE_RRRP</t>
  </si>
  <si>
    <t>16_ACQUIRED URBAN DENSITY GENERAL SERVICE ENERGY BILLED - AUGE_SSS</t>
  </si>
  <si>
    <t>ACQUIRED MIXED DENSITY GENERAL SERVICE ENERGY BILLED - AGSE</t>
  </si>
  <si>
    <t>17_ACQUIRED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</si>
  <si>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</si>
  <si>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17_MRC_Del</t>
  </si>
  <si>
    <t>17_ACQUIRED MIXED DENSITY GENERAL SERVICE ENERGY BILLED - AGSE_MSC</t>
  </si>
  <si>
    <t>17_ACQUIRED MIXED DENSITY GENERAL SERVICE ENERGY BILLED - AGSE_SME</t>
  </si>
  <si>
    <t>17_ACQUIRED MIXED DENSITY GENERAL SERVICE ENERGY BILLED - AGSE_DVC</t>
  </si>
  <si>
    <t>17_ACQUIRED MIXED DENSITY GENERAL SERVICE ENERGY BILLED - AGSE_DEFVAR_ALL</t>
  </si>
  <si>
    <t>17_ACQUIRED MIXED DENSITY GENERAL SERVICE ENERGY BILLED - AGSE_GA_kwh</t>
  </si>
  <si>
    <t>Rate Rider for Disposition of Account 1595 (Applicable to former Norfolk GS&lt;50kW customers only) 
      - effective until December 31, 2025</t>
  </si>
  <si>
    <t>17_ACQUIRED MIXED DENSITY GENERAL SERVICE ENERGY BILLED - AGSE_VR_RR_258</t>
  </si>
  <si>
    <t>Rate Rider for Disposition of Account 1592 (Applicable to former Norfolk GS&lt;50kW customers only) 
      - effective until December 31, 2025</t>
  </si>
  <si>
    <t>17_ACQUIRED MIXED DENSITY GENERAL SERVICE ENERGY BILLED - AGSE_VR_RR_259</t>
  </si>
  <si>
    <t>Rate Rider for Disposition of Account 1592 (Applicable to former Haldimand GS&lt;50kW customers only) 
      - effective until December 31, 2025</t>
  </si>
  <si>
    <t>17_ACQUIRED MIXED DENSITY GENERAL SERVICE ENERGY BILLED - AGSE_VR_RR_260</t>
  </si>
  <si>
    <t>17_ACQUIRED MIXED DENSITY GENERAL SERVICE ENERGY BILLED - AGSE_CBR</t>
  </si>
  <si>
    <t>17_ACQUIRED MIXED DENSITY GENERAL SERVICE ENERGY BILLED - AGSE_Retail Transmission Rate - Network Service Rate</t>
  </si>
  <si>
    <t>17_ACQUIRED MIXED DENSITY GENERAL SERVICE ENERGY BILLED - AGSE_Retail Transmission Rate - Line and Transformation Connection Service Rate</t>
  </si>
  <si>
    <t>17_MRC_Reg</t>
  </si>
  <si>
    <t>17_ACQUIRED MIXED DENSITY GENERAL SERVICE ENERGY BILLED - AGSE_WMSR</t>
  </si>
  <si>
    <t>17_ACQUIRED MIXED DENSITY GENERAL SERVICE ENERGY BILLED - AGSE_RRRP</t>
  </si>
  <si>
    <t>17_ACQUIRED MIXED DENSITY GENERAL SERVICE ENERGY BILLED - AGSE_SSS</t>
  </si>
  <si>
    <t>ACQUIRED URBAN DENSITY GENERAL SERVICE DEMAND BILLED - AUGD</t>
  </si>
  <si>
    <t>18_ACQUIRED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</si>
  <si>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</si>
  <si>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18_MRC_Del</t>
  </si>
  <si>
    <t>18_ACQUIRED URBAN DENSITY GENERAL SERVICE DEMAND BILLED - AUGD_MSC</t>
  </si>
  <si>
    <t>18_ACQUIRED URBAN DENSITY GENERAL SERVICE DEMAND BILLED - AUGD_DVC</t>
  </si>
  <si>
    <t>18_ACQUIRED URBAN DENSITY GENERAL SERVICE DEMAND BILLED - AUGD_DEFVAR_ALL</t>
  </si>
  <si>
    <t>18_ACQUIRED URBAN DENSITY GENERAL SERVICE DEMAND BILLED - AUGD_GA_kwh</t>
  </si>
  <si>
    <t>18_ACQUIRED URBAN DENSITY GENERAL SERVICE DEMAND BILLED - AUGD_VR_RR_269</t>
  </si>
  <si>
    <t>18_ACQUIRED URBAN DENSITY GENERAL SERVICE DEMAND BILLED - AUGD_VR_RR_270</t>
  </si>
  <si>
    <t>18_ACQUIRED URBAN DENSITY GENERAL SERVICE DEMAND BILLED - AUGD_CBR</t>
  </si>
  <si>
    <t>18_ACQUIRED URBAN DENSITY GENERAL SERVICE DEMAND BILLED - AUGD_Retail Transmission Rate - Network Service Rate</t>
  </si>
  <si>
    <t>18_ACQUIRED URBAN DENSITY GENERAL SERVICE DEMAND BILLED - AUGD_Retail Transmission Rate - Line and Transformation Connection Service Rate</t>
  </si>
  <si>
    <t>18_MRC_Reg</t>
  </si>
  <si>
    <t>18_ACQUIRED URBAN DENSITY GENERAL SERVICE DEMAND BILLED - AUGD_WMSR</t>
  </si>
  <si>
    <t>18_ACQUIRED URBAN DENSITY GENERAL SERVICE DEMAND BILLED - AUGD_RRRP</t>
  </si>
  <si>
    <t>18_ACQUIRED URBAN DENSITY GENERAL SERVICE DEMAND BILLED - AUGD_SSS</t>
  </si>
  <si>
    <t>ACQUIRED MIXED DENSITY GENERAL SERVICE DEMAND BILLED - AGSD</t>
  </si>
  <si>
    <t>19_ACQUIRED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</si>
  <si>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</si>
  <si>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19_MRC_Del</t>
  </si>
  <si>
    <t>19_ACQUIRED MIXED DENSITY GENERAL SERVICE DEMAND BILLED - AGSD_MSC</t>
  </si>
  <si>
    <t>19_ACQUIRED MIXED DENSITY GENERAL SERVICE DEMAND BILLED - AGSD_DVC</t>
  </si>
  <si>
    <t>19_ACQUIRED MIXED DENSITY GENERAL SERVICE DEMAND BILLED - AGSD_DEFVAR_ALL</t>
  </si>
  <si>
    <t>19_ACQUIRED MIXED DENSITY GENERAL SERVICE DEMAND BILLED - AGSD_GA_kwh</t>
  </si>
  <si>
    <t>Rate Rider for Disposition of Account 1595 (Applicable to former Norfolk GS 50-4,999kW customers only) 
      - effective until December 31, 2025</t>
  </si>
  <si>
    <t>19_ACQUIRED MIXED DENSITY GENERAL SERVICE DEMAND BILLED - AGSD_VR_RR_281</t>
  </si>
  <si>
    <t>Rate Rider for Disposition of Account 1592 (Applicable to former Norfolk GS 50-4,999kW customers only) 
      - effective until December 31, 2025</t>
  </si>
  <si>
    <t>19_ACQUIRED MIXED DENSITY GENERAL SERVICE DEMAND BILLED - AGSD_VR_RR_282</t>
  </si>
  <si>
    <t>Rate Rider for Disposition of Account 1592 (Applicable to former Haldimand GS 50-4,999kW customers only) 
      - effective until December 31, 2025</t>
  </si>
  <si>
    <t>19_ACQUIRED MIXED DENSITY GENERAL SERVICE DEMAND BILLED - AGSD_VR_RR_283</t>
  </si>
  <si>
    <t>19_ACQUIRED MIXED DENSITY GENERAL SERVICE DEMAND BILLED - AGSD_CBR</t>
  </si>
  <si>
    <t>19_ACQUIRED MIXED DENSITY GENERAL SERVICE DEMAND BILLED - AGSD_Retail Transmission Rate - Network Service Rate</t>
  </si>
  <si>
    <t>19_ACQUIRED MIXED DENSITY GENERAL SERVICE DEMAND BILLED - AGSD_Retail Transmission Rate - Line and Transformation Connection Service Rate</t>
  </si>
  <si>
    <t>19_MRC_Reg</t>
  </si>
  <si>
    <t>19_ACQUIRED MIXED DENSITY GENERAL SERVICE DEMAND BILLED - AGSD_WMSR</t>
  </si>
  <si>
    <t>19_ACQUIRED MIXED DENSITY GENERAL SERVICE DEMAND BILLED - AGSD_RRRP</t>
  </si>
  <si>
    <t>19_ACQUIRED MIXED DENSITY GENERAL SERVICE DEMAND BILLED - AGSD_SSS</t>
  </si>
  <si>
    <t>20_microFIT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</si>
  <si>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</si>
  <si>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20_APPLICATION</t>
  </si>
  <si>
    <t>20_MRC_Del</t>
  </si>
  <si>
    <t>20_microFIT SERVICE CLASSIFICATION_MSC</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</si>
  <si>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</si>
  <si>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</si>
  <si>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</si>
  <si>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</si>
  <si>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</si>
  <si>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</si>
  <si>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</si>
  <si>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</si>
  <si>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</si>
  <si>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</si>
  <si>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</si>
  <si>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Residential - UR</t>
  </si>
  <si>
    <t>Residential - R1</t>
  </si>
  <si>
    <t>General Service - UGe</t>
  </si>
  <si>
    <t>General Service - GSe</t>
  </si>
  <si>
    <t>General Service - UGd</t>
  </si>
  <si>
    <t>General Service - GSd</t>
  </si>
  <si>
    <t>Distributed Generation - Dgen</t>
  </si>
  <si>
    <t>21_DISTRIBUTED GENERATION - DGen</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</si>
  <si>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</si>
  <si>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</si>
  <si>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</si>
  <si>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</si>
  <si>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</si>
  <si>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</si>
  <si>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</si>
  <si>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</si>
  <si>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</si>
  <si>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22_SUB TRANSMISSION - ST</t>
  </si>
  <si>
    <t>Distribution Loss Factors</t>
  </si>
  <si>
    <t>Embedded Delivery Points (metering at station)</t>
  </si>
  <si>
    <t>Embedded Delivery Points (metering away from station)</t>
  </si>
  <si>
    <t>Total Loss Factors</t>
  </si>
  <si>
    <t>Reconnect completed after regular hours (customer/contract driven) - at pole</t>
  </si>
  <si>
    <t>Pipeline crossings</t>
  </si>
  <si>
    <t>Railway crossings</t>
  </si>
  <si>
    <t>$4,965.66 plus
Railway
Feedthrough
Costs</t>
  </si>
  <si>
    <t xml:space="preserve">Conversion to central metering &lt;45 kw </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</si>
  <si>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</si>
  <si>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</si>
  <si>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</si>
  <si>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Sentinel light rental charge</t>
  </si>
  <si>
    <t>Sentinel light pole rental charge</t>
  </si>
  <si>
    <t>*Base Charge only. Additional work on equipment will be based on actual costs.</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</si>
  <si>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</si>
  <si>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</si>
  <si>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</si>
  <si>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</si>
  <si>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</si>
  <si>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</si>
  <si>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</si>
  <si>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</si>
  <si>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</si>
  <si>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</si>
  <si>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</si>
  <si>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22_APPLICATION</t>
  </si>
  <si>
    <t xml:space="preserve">                       Request fee, per request, applied to the requesting party</t>
  </si>
  <si>
    <t xml:space="preserve">                       Processing fee, per request, applied to the requesting party</t>
  </si>
  <si>
    <t>Hydro One Networks Inc._End</t>
  </si>
  <si>
    <t>EB-2024-0008</t>
  </si>
  <si>
    <t>Rate Rider for Disposition of Group 2 Deferral/Variance Accounts (2025) 
     - effective until April 30, 2027</t>
  </si>
  <si>
    <t>Rate Rider for Disposition of Group 1 Deferral/Variance Accounts (2025) 
     - effective until April 30, 2026</t>
  </si>
  <si>
    <t>Rate Rider for Dispositon of Global Adjustment Account (2025)  
     Applicable only for Non-RPP Customers - effective until April 30, 2026</t>
  </si>
  <si>
    <t>1_RESIDENTIAL SERVICE CLASSIFICATION_GA_kw</t>
  </si>
  <si>
    <t>Rate Rider for Disposition of CBR Class B Account (2025) - effective until April 30, 2026</t>
  </si>
  <si>
    <t>1_RESIDENTIAL SERVICE CLASSIFICATION_VR_RR_293</t>
  </si>
  <si>
    <t>Rate Rider for Disposition of Group 1 Deferral/Variance Accounts (2025) - effective until April 30, 2026</t>
  </si>
  <si>
    <t>Rate Rider for Disposition of Group 2 Deferral/Variance Accounts (2025) - effective until April 30, 2027</t>
  </si>
  <si>
    <t xml:space="preserve">Rate Rider for Dispositon of Global Adjustment Account (2025)  - effective until April 30, 2026
     Applicable only for Non-RPP Customers </t>
  </si>
  <si>
    <t>2_GENERAL SERVICE LESS THAN 50 KW SERVICE CLASSIFICATION_GA_kw</t>
  </si>
  <si>
    <t>3_GENERAL SERVICE 50 to 4,999 kW SERVICE CLASSIFICATION_GA_kw</t>
  </si>
  <si>
    <t>3_GENERAL SERVICE 50 to 4,999 kW SERVICE CLASSIFICATION_VR_RR_301</t>
  </si>
  <si>
    <t xml:space="preserve">Rate Rider for Dispositon of Global Adjustment Account (2025) - effective until April 30, 2026
     Applicable only for Non-RPP Customers </t>
  </si>
  <si>
    <t>4_STREET LIGHTING SERVICE CLASSIFICATION_GA_kw</t>
  </si>
  <si>
    <t>4_STREET LIGHTING SERVICE CLASSIFICATION_VR_RR_305</t>
  </si>
  <si>
    <t>EB-2024-0039</t>
  </si>
  <si>
    <t>Rate Rider for Disposition of Deferral/Variance Accounts 1575 and 1576 (2025) 
     - effective until April 30, 2026</t>
  </si>
  <si>
    <t>Rate Rider for Disposition of Group 2 Deferral/Variance Accounts (2025) - effective until April 30, 2026</t>
  </si>
  <si>
    <t xml:space="preserve">Rate Rider for Disposition of Global Adjustment Account (2025) -  effective until April 30, 2026
     Applicable only for Non-RPP Customers </t>
  </si>
  <si>
    <t xml:space="preserve">Rate Rider for Disposition of Global Adjustment Account (2025) - effective until April 30, 2026
     Applicable only for Non-RPP Customers  </t>
  </si>
  <si>
    <t xml:space="preserve">Rate Rider for Disposition of Global Adjustment Account (2025) - effective until April 30, 2026
     Applicable only for Non-RPP Customers   </t>
  </si>
  <si>
    <t>Rate Rider for Disposition of Deferral/Variance Accounts 1575 and 1576 (2025)
     - effective until April 30, 2026</t>
  </si>
  <si>
    <t>EB-2024-0012</t>
  </si>
  <si>
    <t>Rate Rider for Disposition of Group 2 Deferral/Variance Accounts (2025) - effective until December 31, 2025</t>
  </si>
  <si>
    <t>Rate Rider for Disposition of Global Adjustment Account - Applicable Only to Non-RPP Customers (2025) - 
     effective until December 31, 2025</t>
  </si>
  <si>
    <t>This classification applies to a non-residential account whose average monthly maximum demand used for billing purposes is equal to or greater than, or is forecasted to be equal to or greater than, 50 kW but less than 5,000 kW. Class A and Class B consumers are defined in accordance with O. Reg. 429/04. Further servicing details are available in the distributor's Conditions of Service.</t>
  </si>
  <si>
    <t>Rate Rider for Disposition of Deferral/Variance Accounts Applicable only for Non-Wholesale Market 
     Participants (2025) - effective until December 31, 2025</t>
  </si>
  <si>
    <t>Rate Rider for Disposition of Global Adjustment Account - Applicable Only to Non-RPP Customers 
     (2025) - effective until December 31, 2025</t>
  </si>
  <si>
    <t>Rate Rider for Disposition of Group 2 Deferral/Variance Accounts (2025) - effective until 
     December 31, 2025</t>
  </si>
  <si>
    <t>This classification applies to a non-residential account taking electricity at 750 volts or less whose average monthly maximum demand is less than, or is forecasted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</si>
  <si>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that is an unmetered lighting load supplied to a sentinel light where consumption is based on connected load. Class B consumers are defined in accordance with O. Reg. 429/04. Further servicing details are available in the distributor's Conditions of Service.</t>
  </si>
  <si>
    <t>Notice of switch letter charge, per letter (unless the distributor has opted out of applying the charge as 
     per the Ontario Energy Board's Decision and Order EB-2015-0304, issued on February 14, 2019)</t>
  </si>
  <si>
    <t xml:space="preserve"> EB-2023-0195</t>
  </si>
  <si>
    <t>Rate Rider for Smart Metering Entity Charge - effective until December 31, 2029</t>
  </si>
  <si>
    <t>Rate Rider for Disposition of Wireline Pole Attachment Revenue - effective until December 31, 2029</t>
  </si>
  <si>
    <t>1_RESIDENTIAL SERVICE CLASSIFICATION_FX_RR_39</t>
  </si>
  <si>
    <t>Rate Rider for Disposition of PILs and Tax Variance - effective until December 31, 2025</t>
  </si>
  <si>
    <t>1_RESIDENTIAL SERVICE CLASSIFICATION_FX_RR_40</t>
  </si>
  <si>
    <t>Rate Rider for Disposition of Gain on Property Sale - effective until December 31, 2025</t>
  </si>
  <si>
    <t>Rate Rider for Disposition of Operations Center Consolidation Plan Bonus Payment - effective until December 31, 2025</t>
  </si>
  <si>
    <t>1_RESIDENTIAL SERVICE CLASSIFICATION_FX_RR_42</t>
  </si>
  <si>
    <t>Rate Rider for Disposition of Wireless Pole Attachment Revenue - effective until December 31, 2029</t>
  </si>
  <si>
    <t>Rate Rider for Disposition of Change in Useful Life of Asset (2025) - effective until December 31, 2026</t>
  </si>
  <si>
    <t>1_RESIDENTIAL SERVICE CLASSIFICATION_FX_RR_44</t>
  </si>
  <si>
    <t>Rate Rider for Disposition of Change in Useful Life of Assets (2025) - effective until December 31, 2028</t>
  </si>
  <si>
    <t>1_RESIDENTIAL SERVICE CLASSIFICATION_FX_RR_45</t>
  </si>
  <si>
    <t>Rate Rider for Disposition of Cloud Computing Costs - effective until December 31, 2025</t>
  </si>
  <si>
    <t>Rate Rider for Disposition of Capacity Based Recovery Account - Applicable only for Class B Customers - effective until December 31, 2025</t>
  </si>
  <si>
    <t>Rate Rider for Disposition of Global Adjustment Account - Applicable only for Non-RPP Customers - effective until December 31, 2025</t>
  </si>
  <si>
    <t>2_COMPETITIVE SECTOR MULTI-UNIT RESIDENTIAL SERVICE 
CLASSIFICATION_FX_RR_48</t>
  </si>
  <si>
    <t>2_COMPETITIVE SECTOR MULTI-UNIT RESIDENTIAL SERVICE 
CLASSIFICATION_FX_RR_49</t>
  </si>
  <si>
    <t>2_COMPETITIVE SECTOR MULTI-UNIT RESIDENTIAL SERVICE 
CLASSIFICATION_FX_RR_50</t>
  </si>
  <si>
    <t>2_COMPETITIVE SECTOR MULTI-UNIT RESIDENTIAL SERVICE 
CLASSIFICATION_FX_RR_51</t>
  </si>
  <si>
    <t>2_COMPETITIVE SECTOR MULTI-UNIT RESIDENTIAL SERVICE 
CLASSIFICATION_FX_RR_52</t>
  </si>
  <si>
    <t>2_COMPETITIVE SECTOR MULTI-UNIT RESIDENTIAL SERVICE 
CLASSIFICATION_FX_RR_53</t>
  </si>
  <si>
    <t>2_COMPETITIVE SECTOR MULTI-UNIT RESIDENTIAL SERVICE 
CLASSIFICATION_FX_RR_54</t>
  </si>
  <si>
    <t>2_COMPETITIVE SECTOR MULTI-UNIT RESIDENTIAL SERVICE 
CLASSIFICATION_FX_RR_55</t>
  </si>
  <si>
    <t>2_COMPETITIVE SECTOR MULTI-UNIT RESIDENTIAL SERVICE 
CLASSIFICATION_GA_kwh</t>
  </si>
  <si>
    <t>3_GENERAL SERVICE LESS THAN 50 KW SERVICE CLASSIFICATION_VR_RR_349</t>
  </si>
  <si>
    <t>3_GENERAL SERVICE LESS THAN 50 KW SERVICE CLASSIFICATION_VR_RR_350</t>
  </si>
  <si>
    <t>3_GENERAL SERVICE LESS THAN 50 KW SERVICE CLASSIFICATION_VR_RR_351</t>
  </si>
  <si>
    <t>3_GENERAL SERVICE LESS THAN 50 KW SERVICE CLASSIFICATION_VR_RR_352</t>
  </si>
  <si>
    <t>3_GENERAL SERVICE LESS THAN 50 KW SERVICE CLASSIFICATION_VR_RR_353</t>
  </si>
  <si>
    <t>3_GENERAL SERVICE LESS THAN 50 KW SERVICE CLASSIFICATION_VR_RR_354</t>
  </si>
  <si>
    <t>3_GENERAL SERVICE LESS THAN 50 KW SERVICE CLASSIFICATION_VR_RR_355</t>
  </si>
  <si>
    <t>3_GENERAL SERVICE LESS THAN 50 KW SERVICE CLASSIFICATION_VR_RR_356</t>
  </si>
  <si>
    <t>4_GENERAL SERVICE 50 TO 999 KW SERVICE CLASSIFICATION_VR_RR_360</t>
  </si>
  <si>
    <t>4_GENERAL SERVICE 50 TO 999 KW SERVICE CLASSIFICATION_VR_RR_361</t>
  </si>
  <si>
    <t>Rate Rider for Disposition of Excess Expansion Deposits - effective until December 31, 2029</t>
  </si>
  <si>
    <t>4_GENERAL SERVICE 50 TO 999 KW SERVICE CLASSIFICATION_VR_RR_362</t>
  </si>
  <si>
    <t>4_GENERAL SERVICE 50 TO 999 KW SERVICE CLASSIFICATION_VR_RR_363</t>
  </si>
  <si>
    <t>4_GENERAL SERVICE 50 TO 999 KW SERVICE CLASSIFICATION_VR_RR_364</t>
  </si>
  <si>
    <t>4_GENERAL SERVICE 50 TO 999 KW SERVICE CLASSIFICATION_VR_RR_365</t>
  </si>
  <si>
    <t>4_GENERAL SERVICE 50 TO 999 KW SERVICE CLASSIFICATION_VR_RR_366</t>
  </si>
  <si>
    <t>4_GENERAL SERVICE 50 TO 999 KW SERVICE CLASSIFICATION_VR_RR_367</t>
  </si>
  <si>
    <t>4_GENERAL SERVICE 50 TO 999 KW SERVICE CLASSIFICATION_VR_RR_368</t>
  </si>
  <si>
    <t>Rate Rider for Disposition of Deferral/Variance Accounts for Non -Wholesale Market Participants -effective until December 31, 2025</t>
  </si>
  <si>
    <t>4_GENERAL SERVICE 50 TO 999 KW SERVICE CLASSIFICATION_GA_kwh</t>
  </si>
  <si>
    <t>5_GENERAL SERVICE 1,000 TO 4,999 KW SERVICE CLASSIFICATION_VR_RR_373</t>
  </si>
  <si>
    <t>5_GENERAL SERVICE 1,000 TO 4,999 KW SERVICE CLASSIFICATION_VR_RR_374</t>
  </si>
  <si>
    <t>5_GENERAL SERVICE 1,000 TO 4,999 KW SERVICE CLASSIFICATION_VR_RR_375</t>
  </si>
  <si>
    <t>5_GENERAL SERVICE 1,000 TO 4,999 KW SERVICE CLASSIFICATION_VR_RR_376</t>
  </si>
  <si>
    <t>5_GENERAL SERVICE 1,000 TO 4,999 KW SERVICE CLASSIFICATION_VR_RR_377</t>
  </si>
  <si>
    <t>5_GENERAL SERVICE 1,000 TO 4,999 KW SERVICE CLASSIFICATION_VR_RR_378</t>
  </si>
  <si>
    <t>5_GENERAL SERVICE 1,000 TO 4,999 KW SERVICE CLASSIFICATION_VR_RR_379</t>
  </si>
  <si>
    <t>5_GENERAL SERVICE 1,000 TO 4,999 KW SERVICE CLASSIFICATION_VR_RR_380</t>
  </si>
  <si>
    <t>5_GENERAL SERVICE 1,000 TO 4,999 KW SERVICE CLASSIFICATION_VR_RR_381</t>
  </si>
  <si>
    <t>5_GENERAL SERVICE 1,000 TO 4,999 KW SERVICE CLASSIFICATION_GA_kwh</t>
  </si>
  <si>
    <t>6_LARGE USE SERVICE CLASSIFICATION_VR_RR_386</t>
  </si>
  <si>
    <t>6_LARGE USE SERVICE CLASSIFICATION_VR_RR_387</t>
  </si>
  <si>
    <t>6_LARGE USE SERVICE CLASSIFICATION_VR_RR_388</t>
  </si>
  <si>
    <t>6_LARGE USE SERVICE CLASSIFICATION_VR_RR_389</t>
  </si>
  <si>
    <t>6_LARGE USE SERVICE CLASSIFICATION_VR_RR_390</t>
  </si>
  <si>
    <t>6_LARGE USE SERVICE CLASSIFICATION_VR_RR_391</t>
  </si>
  <si>
    <t>6_LARGE USE SERVICE CLASSIFICATION_VR_RR_392</t>
  </si>
  <si>
    <t>6_LARGE USE SERVICE CLASSIFICATION_VR_RR_393</t>
  </si>
  <si>
    <t>6_LARGE USE SERVICE CLASSIFICATION_VR_RR_394</t>
  </si>
  <si>
    <t>6_LARGE USE SERVICE CLASSIFICATION_GA_kwh</t>
  </si>
  <si>
    <t>7_UNMETERED SCATTERED LOAD SERVICE CLASSIFICATION_CC</t>
  </si>
  <si>
    <t>7_UNMETERED SCATTERED LOAD SERVICE CLASSIFICATION_VR_RR_399</t>
  </si>
  <si>
    <t>7_UNMETERED SCATTERED LOAD SERVICE CLASSIFICATION_VR_RR_400</t>
  </si>
  <si>
    <t>7_UNMETERED SCATTERED LOAD SERVICE CLASSIFICATION_VR_RR_401</t>
  </si>
  <si>
    <t>7_UNMETERED SCATTERED LOAD SERVICE CLASSIFICATION_VR_RR_402</t>
  </si>
  <si>
    <t>7_UNMETERED SCATTERED LOAD SERVICE CLASSIFICATION_VR_RR_405</t>
  </si>
  <si>
    <t>7_UNMETERED SCATTERED LOAD SERVICE CLASSIFICATION_VR_RR_406</t>
  </si>
  <si>
    <t>7_UNMETERED SCATTERED LOAD SERVICE CLASSIFICATION_VR_RR_407</t>
  </si>
  <si>
    <t>8_STREET LIGHTING SERVICE CLASSIFICATION_VR_RR_411</t>
  </si>
  <si>
    <t>8_STREET LIGHTING SERVICE CLASSIFICATION_VR_RR_412</t>
  </si>
  <si>
    <t>8_STREET LIGHTING SERVICE CLASSIFICATION_VR_RR_413</t>
  </si>
  <si>
    <t>8_STREET LIGHTING SERVICE CLASSIFICATION_VR_RR_414</t>
  </si>
  <si>
    <t>8_STREET LIGHTING SERVICE CLASSIFICATION_VR_RR_415</t>
  </si>
  <si>
    <t>8_STREET LIGHTING SERVICE CLASSIFICATION_VR_RR_416</t>
  </si>
  <si>
    <t>8_STREET LIGHTING SERVICE CLASSIFICATION_VR_RR_417</t>
  </si>
  <si>
    <t>8_STREET LIGHTING SERVICE CLASSIFICATION_VR_RR_418</t>
  </si>
  <si>
    <t>8_STREET LIGHTING SERVICE CLASSIFICATION_VR_RR_419</t>
  </si>
  <si>
    <t>Disconnect/Reconnect charge at meter - during regular hours</t>
  </si>
  <si>
    <t>Disconnect/Reconnect charge at meter - after regular hours</t>
  </si>
  <si>
    <t>Disconnect/Reconnect charge at pole - during regular hours</t>
  </si>
  <si>
    <t>Disconnect/Reconnect charge at pole - after regular hours</t>
  </si>
  <si>
    <t>EV Multiplier:</t>
  </si>
  <si>
    <t>Projected Interest on Dec-31-2025 Balances</t>
  </si>
  <si>
    <t>Newmarket-Tay Power Distribution Ltd. - Midland Rate Zone</t>
  </si>
  <si>
    <t>Newmarket-Tay Power Distribution Ltd. - Midland Rate Zone1550</t>
  </si>
  <si>
    <t>Newmarket-Tay Power Distribution Ltd. - Midland Rate Zone1551</t>
  </si>
  <si>
    <t>Newmarket-Tay Power Distribution Ltd. - Midland Rate Zone1555</t>
  </si>
  <si>
    <t>Newmarket-Tay Power Distribution Ltd. - Midland Rate Zone1580</t>
  </si>
  <si>
    <t>Newmarket-Tay Power Distribution Ltd. - Midland Rate Zone1584</t>
  </si>
  <si>
    <t>Newmarket-Tay Power Distribution Ltd. - Midland Rate Zone1586</t>
  </si>
  <si>
    <t>Newmarket-Tay Power Distribution Ltd. - Midland Rate Zone1588</t>
  </si>
  <si>
    <t>Newmarket-Tay Power Distribution Ltd. - Midland Rate Zone1589</t>
  </si>
  <si>
    <t>Newmarket-Tay Power Distribution Ltd. - Midland Rate Zone1592</t>
  </si>
  <si>
    <t>Newmarket-Tay Power Distribution Ltd. - Newmarket-Tay Rate Zone</t>
  </si>
  <si>
    <t>Newmarket-Tay Power Distribution Ltd. - Newmarket-Tay Rate Zone1550</t>
  </si>
  <si>
    <t>Newmarket-Tay Power Distribution Ltd. - Newmarket-Tay Rate Zone1551</t>
  </si>
  <si>
    <t>Newmarket-Tay Power Distribution Ltd. - Newmarket-Tay Rate Zone1555</t>
  </si>
  <si>
    <t>Newmarket-Tay Power Distribution Ltd. - Newmarket-Tay Rate Zone1580</t>
  </si>
  <si>
    <t>Newmarket-Tay Power Distribution Ltd. - Newmarket-Tay Rate Zone1584</t>
  </si>
  <si>
    <t>Newmarket-Tay Power Distribution Ltd. - Newmarket-Tay Rate Zone1586</t>
  </si>
  <si>
    <t>Newmarket-Tay Power Distribution Ltd. - Newmarket-Tay Rate Zone1588</t>
  </si>
  <si>
    <t>Newmarket-Tay Power Distribution Ltd. - Newmarket-Tay Rate Zone1589</t>
  </si>
  <si>
    <t>Newmarket-Tay Power Distribution Ltd. - Newmarket-Tay Rate Zone1592</t>
  </si>
  <si>
    <t>Newmarket-Tay Power Distribution Ltd._Newmarket-Tay Rate Zone</t>
  </si>
  <si>
    <t>Newmarket-Tay Power Distribution Ltd._Newmarket-Tay Rate Zone_General Service Less Than 50 kW Service Classification</t>
  </si>
  <si>
    <t>Newmarket-Tay Power Distribution Ltd._Newmarket-Tay Rate Zone_General Service 50 to 4,999 kW Service Classification</t>
  </si>
  <si>
    <t>Newmarket-Tay Power Distribution Ltd._Newmarket-Tay Rate Zone_Residential Service Classification</t>
  </si>
  <si>
    <t>Newmarket-Tay Power Distribution Ltd._Newmarket-Tay Rate Zone_Sentinel Lighting Service Classification</t>
  </si>
  <si>
    <t>Newmarket-Tay Power Distribution Ltd._Newmarket-Tay Rate Zone_Street Lighting Service Classification</t>
  </si>
  <si>
    <t>Newmarket-Tay Power Distribution Ltd._Newmarket-Tay Rate Zone_Unmetered Scattered Load Service Classification</t>
  </si>
  <si>
    <t>Newmarket-Tay Power Distribution Ltd._Midland Rate Zone_General Service Less Than 50 kW Service Classification</t>
  </si>
  <si>
    <t>Newmarket-Tay Power Distribution Ltd._Midland Rate Zone_General Service 50 to 4,999 kW Service Classification</t>
  </si>
  <si>
    <t>Newmarket-Tay Power Distribution Ltd._Midland Rate Zone_Residential Service Classification</t>
  </si>
  <si>
    <t>Newmarket-Tay Power Distribution Ltd._Midland Rate Zone_Street Lighting Service Classification</t>
  </si>
  <si>
    <t>Newmarket-Tay Power Distribution Ltd._Midland Rate Zone_Unmetered Scattered Load Service Classification</t>
  </si>
  <si>
    <t>Newmarket-Tay Power Distribution Ltd._Midland Rate Zone</t>
  </si>
  <si>
    <t>2.1.2: Total Customers Connections</t>
  </si>
  <si>
    <t>General Service Less Than 50 kW -chapleau</t>
  </si>
  <si>
    <t>General Service 50 to 4,999 kW -chapleau</t>
  </si>
  <si>
    <t>Residential -chapleau</t>
  </si>
  <si>
    <t>Sentinel Lighting - chapleau</t>
  </si>
  <si>
    <t>Street Lighting - chapleau</t>
  </si>
  <si>
    <t>Unmetered Scattered Load - chapleau</t>
  </si>
  <si>
    <t>North Bay Hydro Distribution Limited_Espanola Rate Zone</t>
  </si>
  <si>
    <t>North Bay Hydro Distribution Limited_North Bay Rate Zone</t>
  </si>
  <si>
    <t>2.1.7 DVA</t>
  </si>
  <si>
    <t>Account Description</t>
  </si>
  <si>
    <t>Amount (Sum of all Amounts)</t>
  </si>
  <si>
    <t>Total Balance</t>
  </si>
  <si>
    <t>Amount Subaccount</t>
  </si>
  <si>
    <t>1509</t>
  </si>
  <si>
    <t>Impacts Arising from the COVID-19 Emergency</t>
  </si>
  <si>
    <t>Alectra Utilities Corporation1509</t>
  </si>
  <si>
    <t>Algoma Power Inc.1509</t>
  </si>
  <si>
    <t>Atikokan Hydro Inc.1509</t>
  </si>
  <si>
    <t>Bluewater Power Distribution Corporation1509</t>
  </si>
  <si>
    <t>Burlington Hydro Inc.1509</t>
  </si>
  <si>
    <t>Canadian Niagara Power Inc.1509</t>
  </si>
  <si>
    <t>Centre Wellington Hydro Ltd.1509</t>
  </si>
  <si>
    <t>Cooperative Hydro Embrun Inc.1509</t>
  </si>
  <si>
    <t>E.L.K. Energy Inc.1509</t>
  </si>
  <si>
    <t>Elexicon Energy Inc.1509</t>
  </si>
  <si>
    <t>Enova Power Corp.1509</t>
  </si>
  <si>
    <t>Entegrus Powerlines Inc.1509</t>
  </si>
  <si>
    <t>ENWIN Utilities Ltd.1509</t>
  </si>
  <si>
    <t>EPCOR Electricity Distribution Ontario Inc.1509</t>
  </si>
  <si>
    <t>ERTH Power Corporation1509</t>
  </si>
  <si>
    <t>Essex Powerlines Corporation1509</t>
  </si>
  <si>
    <t>Festival Hydro Inc.1509</t>
  </si>
  <si>
    <t>Fort Frances Power Corporation1509</t>
  </si>
  <si>
    <t>GrandBridge Energy Inc.1509</t>
  </si>
  <si>
    <t>Greater Sudbury Hydro Inc.1509</t>
  </si>
  <si>
    <t>Grimsby Power Incorporated1509</t>
  </si>
  <si>
    <t>Halton Hills Hydro Inc.1509</t>
  </si>
  <si>
    <t>Hydro 2000 Inc.1509</t>
  </si>
  <si>
    <t>Hydro Hawkesbury Inc.1509</t>
  </si>
  <si>
    <t>Hydro One Networks Inc.1509</t>
  </si>
  <si>
    <t>Hydro One Remote Communities Inc.1509</t>
  </si>
  <si>
    <t>Hydro Ottawa Limited1509</t>
  </si>
  <si>
    <t>InnPower Corporation1509</t>
  </si>
  <si>
    <t>Kingston Hydro Corporation1509</t>
  </si>
  <si>
    <t>Lakefront Utilities Inc.1509</t>
  </si>
  <si>
    <t>Lakeland Power Distribution Ltd.1509</t>
  </si>
  <si>
    <t>London Hydro Inc.1509</t>
  </si>
  <si>
    <t>Milton Hydro Distribution Inc.1509</t>
  </si>
  <si>
    <t>Newmarket-Tay Power Distribution Ltd.1509</t>
  </si>
  <si>
    <t>Niagara Peninsula Energy Inc.1509</t>
  </si>
  <si>
    <t>Niagara-on-the-Lake Hydro Inc.1509</t>
  </si>
  <si>
    <t>North Bay Hydro Distribution Limited1509</t>
  </si>
  <si>
    <t>Northern Ontario Wires Inc.1509</t>
  </si>
  <si>
    <t>Oakville Hydro Electricity Distribution Inc.1509</t>
  </si>
  <si>
    <t>Orangeville Hydro Limited1509</t>
  </si>
  <si>
    <t>Oshawa PUC Networks Inc.1509</t>
  </si>
  <si>
    <t>Ottawa River Power Corporation1509</t>
  </si>
  <si>
    <t>PUC Distribution Inc.1509</t>
  </si>
  <si>
    <t>Renfrew Hydro Inc.1509</t>
  </si>
  <si>
    <t>Rideau St. Lawrence Distribution Inc.1509</t>
  </si>
  <si>
    <t>Sioux Lookout Hydro Inc.1509</t>
  </si>
  <si>
    <t>Synergy North Corporation1509</t>
  </si>
  <si>
    <t>Tillsonburg Hydro Inc.1509</t>
  </si>
  <si>
    <t>Toronto Hydro-Electric System Limited1509</t>
  </si>
  <si>
    <t>Wasaga Distribution Inc.1509</t>
  </si>
  <si>
    <t>Welland Hydro-Electric System Corp.1509</t>
  </si>
  <si>
    <t>Wellington North Power Inc.1509</t>
  </si>
  <si>
    <t>Westario Power Inc.1509</t>
  </si>
  <si>
    <t>Disposition and Recovery/Refund of Regulatory Balances (2024)</t>
  </si>
  <si>
    <t>Rate Zone 3</t>
  </si>
  <si>
    <t>Rate Zone 31550</t>
  </si>
  <si>
    <t>Rate Zone 31551</t>
  </si>
  <si>
    <t>Rate Zone 31555</t>
  </si>
  <si>
    <t>Rate Zone 31580</t>
  </si>
  <si>
    <t>Rate Zone 31584</t>
  </si>
  <si>
    <t>Rate Zone 31586</t>
  </si>
  <si>
    <t>Rate Zone 31588</t>
  </si>
  <si>
    <t>Rate Zone 31589</t>
  </si>
  <si>
    <t>Rate Zone 31592</t>
  </si>
  <si>
    <t>col G from B</t>
  </si>
  <si>
    <t>col F from B</t>
  </si>
  <si>
    <t>col E from C</t>
  </si>
  <si>
    <t>col F from C</t>
  </si>
  <si>
    <t>col H from B</t>
  </si>
  <si>
    <t>col I from B</t>
  </si>
  <si>
    <t>col J from B</t>
  </si>
  <si>
    <t>col K from B</t>
  </si>
  <si>
    <t>col C from A</t>
  </si>
  <si>
    <t>col D from A</t>
  </si>
  <si>
    <t>col L from B</t>
  </si>
  <si>
    <t>col M from B</t>
  </si>
  <si>
    <t>Alectra Utilities Corporation1595_(2008)</t>
  </si>
  <si>
    <t>Alectra Utilities Corporation1595_(2009)</t>
  </si>
  <si>
    <t>Alectra Utilities Corporation1595_(2010)</t>
  </si>
  <si>
    <t>Alectra Utilities Corporation1595_(2011)</t>
  </si>
  <si>
    <t>Alectra Utilities Corporation1595_(2012)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</si>
  <si>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</si>
  <si>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</si>
  <si>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</si>
  <si>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</si>
  <si>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</si>
  <si>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Corporation1595_(2018)</t>
  </si>
  <si>
    <t>Alectra Utilities Corporation1595_(2019)</t>
  </si>
  <si>
    <t>Alectra Utilities Corporation1595_(2020)</t>
  </si>
  <si>
    <t>Alectra Utilities Corporation1595_(2021)</t>
  </si>
  <si>
    <t>Alectra Utilities Corporation1595_(2022)</t>
  </si>
  <si>
    <t>Alectra Utilities Corporation1595_(2023)</t>
  </si>
  <si>
    <t>Alectra Utilities Corporation1595_(2024)</t>
  </si>
  <si>
    <t>Alectra Utilities Corporation1595_ccount</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</si>
  <si>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</si>
  <si>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</si>
  <si>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</si>
  <si>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</si>
  <si>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</si>
  <si>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</si>
  <si>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</si>
  <si>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</si>
  <si>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</si>
  <si>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</si>
  <si>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Inc.1595_(2018)</t>
  </si>
  <si>
    <t>Algoma Power Inc.1595_(2019)</t>
  </si>
  <si>
    <t>Algoma Power Inc.1595_(2020)</t>
  </si>
  <si>
    <t>Algoma Power Inc.1595_(2021)</t>
  </si>
  <si>
    <t>Algoma Power Inc.1595_(2022)</t>
  </si>
  <si>
    <t>Algoma Power Inc.1595_(2023)</t>
  </si>
  <si>
    <t>Algoma Power Inc.1595_(2024)</t>
  </si>
  <si>
    <t>Algoma Power Inc.1595_ccount</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</si>
  <si>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</si>
  <si>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</si>
  <si>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</si>
  <si>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</si>
  <si>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</si>
  <si>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</si>
  <si>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</si>
  <si>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</si>
  <si>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</si>
  <si>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</si>
  <si>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Inc.1595_(2018)</t>
  </si>
  <si>
    <t>Atikokan Hydro Inc.1595_(2019)</t>
  </si>
  <si>
    <t>Atikokan Hydro Inc.1595_(2020)</t>
  </si>
  <si>
    <t>Atikokan Hydro Inc.1595_(2021)</t>
  </si>
  <si>
    <t>Atikokan Hydro Inc.1595_(2022)</t>
  </si>
  <si>
    <t>Atikokan Hydro Inc.1595_(2023)</t>
  </si>
  <si>
    <t>Atikokan Hydro Inc.1595_(2024)</t>
  </si>
  <si>
    <t>Atikokan Hydro Inc.1595_ccount</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</si>
  <si>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</si>
  <si>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</si>
  <si>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</si>
  <si>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</si>
  <si>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</si>
  <si>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</si>
  <si>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</si>
  <si>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</si>
  <si>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</si>
  <si>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</si>
  <si>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Corporation1595_(2018)</t>
  </si>
  <si>
    <t>Bluewater Power Distribution Corporation1595_(2019)</t>
  </si>
  <si>
    <t>Bluewater Power Distribution Corporation1595_(2020)</t>
  </si>
  <si>
    <t>Bluewater Power Distribution Corporation1595_(2021)</t>
  </si>
  <si>
    <t>Bluewater Power Distribution Corporation1595_(2022)</t>
  </si>
  <si>
    <t>Bluewater Power Distribution Corporation1595_(2023)</t>
  </si>
  <si>
    <t>Bluewater Power Distribution Corporation1595_(2024)</t>
  </si>
  <si>
    <t>Bluewater Power Distribution Corporation1595_ccount</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</si>
  <si>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</si>
  <si>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</si>
  <si>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</si>
  <si>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</si>
  <si>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</si>
  <si>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</si>
  <si>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</si>
  <si>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</si>
  <si>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</si>
  <si>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</si>
  <si>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Inc.1595_(2018)</t>
  </si>
  <si>
    <t>Burlington Hydro Inc.1595_(2019)</t>
  </si>
  <si>
    <t>Burlington Hydro Inc.1595_(2020)</t>
  </si>
  <si>
    <t>Burlington Hydro Inc.1595_(2021)</t>
  </si>
  <si>
    <t>Burlington Hydro Inc.1595_(2022)</t>
  </si>
  <si>
    <t>Burlington Hydro Inc.1595_(2023)</t>
  </si>
  <si>
    <t>Burlington Hydro Inc.1595_(2024)</t>
  </si>
  <si>
    <t>Burlington Hydro Inc.1595_ccount</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</si>
  <si>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</si>
  <si>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</si>
  <si>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</si>
  <si>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</si>
  <si>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</si>
  <si>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</si>
  <si>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</si>
  <si>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</si>
  <si>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</si>
  <si>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</si>
  <si>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Inc.1595_(2018)</t>
  </si>
  <si>
    <t>Canadian Niagara Power Inc.1595_(2019)</t>
  </si>
  <si>
    <t>Canadian Niagara Power Inc.1595_(2020)</t>
  </si>
  <si>
    <t>Canadian Niagara Power Inc.1595_(2021)</t>
  </si>
  <si>
    <t>Canadian Niagara Power Inc.1595_(2022)</t>
  </si>
  <si>
    <t>Canadian Niagara Power Inc.1595_(2023)</t>
  </si>
  <si>
    <t>Canadian Niagara Power Inc.1595_(2024)</t>
  </si>
  <si>
    <t>Canadian Niagara Power Inc.1595_ccount</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</si>
  <si>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</si>
  <si>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</si>
  <si>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</si>
  <si>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</si>
  <si>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</si>
  <si>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</si>
  <si>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</si>
  <si>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</si>
  <si>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</si>
  <si>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</si>
  <si>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Ltd.1595_(2018)</t>
  </si>
  <si>
    <t>Centre Wellington Hydro Ltd.1595_(2019)</t>
  </si>
  <si>
    <t>Centre Wellington Hydro Ltd.1595_(2020)</t>
  </si>
  <si>
    <t>Centre Wellington Hydro Ltd.1595_(2021)</t>
  </si>
  <si>
    <t>Centre Wellington Hydro Ltd.1595_(2022)</t>
  </si>
  <si>
    <t>Centre Wellington Hydro Ltd.1595_(2023)</t>
  </si>
  <si>
    <t>Centre Wellington Hydro Ltd.1595_(2024)</t>
  </si>
  <si>
    <t>Centre Wellington Hydro Ltd.1595_ccount</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</si>
  <si>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</si>
  <si>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</si>
  <si>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</si>
  <si>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</si>
  <si>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</si>
  <si>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</si>
  <si>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</si>
  <si>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</si>
  <si>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</si>
  <si>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</si>
  <si>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Inc.1595_(2018)</t>
  </si>
  <si>
    <t>Cooperative Hydro Embrun Inc.1595_(2019)</t>
  </si>
  <si>
    <t>Cooperative Hydro Embrun Inc.1595_(2020)</t>
  </si>
  <si>
    <t>Cooperative Hydro Embrun Inc.1595_(2021)</t>
  </si>
  <si>
    <t>Cooperative Hydro Embrun Inc.1595_(2022)</t>
  </si>
  <si>
    <t>Cooperative Hydro Embrun Inc.1595_(2023)</t>
  </si>
  <si>
    <t>Cooperative Hydro Embrun Inc.1595_(2024)</t>
  </si>
  <si>
    <t>Cooperative Hydro Embrun Inc.1595_ccount</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</si>
  <si>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</si>
  <si>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</si>
  <si>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</si>
  <si>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</si>
  <si>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</si>
  <si>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</si>
  <si>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</si>
  <si>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</si>
  <si>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</si>
  <si>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</si>
  <si>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Inc.1595_(2018)</t>
  </si>
  <si>
    <t>E.L.K. Energy Inc.1595_(2019)</t>
  </si>
  <si>
    <t>E.L.K. Energy Inc.1595_(2020)</t>
  </si>
  <si>
    <t>E.L.K. Energy Inc.1595_(2021)</t>
  </si>
  <si>
    <t>E.L.K. Energy Inc.1595_(2022)</t>
  </si>
  <si>
    <t>E.L.K. Energy Inc.1595_(2023)</t>
  </si>
  <si>
    <t>E.L.K. Energy Inc.1595_(2024)</t>
  </si>
  <si>
    <t>E.L.K. Energy Inc.1595_ccount</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</si>
  <si>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</si>
  <si>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</si>
  <si>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</si>
  <si>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</si>
  <si>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</si>
  <si>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</si>
  <si>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</si>
  <si>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</si>
  <si>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</si>
  <si>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</si>
  <si>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</si>
  <si>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Inc.1595_(2019)</t>
  </si>
  <si>
    <t>Elexicon Energy Inc.1595_(2020)</t>
  </si>
  <si>
    <t>Elexicon Energy Inc.1595_(2021)</t>
  </si>
  <si>
    <t>Elexicon Energy Inc.1595_(2022)</t>
  </si>
  <si>
    <t>Elexicon Energy Inc.1595_(2023)</t>
  </si>
  <si>
    <t>Elexicon Energy Inc.1595_(2024)</t>
  </si>
  <si>
    <t>Elexicon Energy Inc.1595_ccount</t>
  </si>
  <si>
    <t>Enova Power Corp.1595_(2008)</t>
  </si>
  <si>
    <t>Enova Power Corp.1595_(2009)</t>
  </si>
  <si>
    <t>Enova Power Corp.1595_(2010)</t>
  </si>
  <si>
    <t>Enova Power Corp.1595_(2011)</t>
  </si>
  <si>
    <t>Enova Power Corp.1595_(2012)</t>
  </si>
  <si>
    <t>Enova Power Corp.1595_(2013)</t>
  </si>
  <si>
    <t>Enova Power Corp.1595_(2014)</t>
  </si>
  <si>
    <t>Enova Power Corp.1595_(2015)</t>
  </si>
  <si>
    <t>Enova Power Corp.1595_(2016)</t>
  </si>
  <si>
    <t>Enova Power Corp.1595_(2017)</t>
  </si>
  <si>
    <t>Enova Power Corp.1595_(2018)</t>
  </si>
  <si>
    <t>Enova Power Corp.1595_(2019)</t>
  </si>
  <si>
    <t>Enova Power Corp.1595_(2020)</t>
  </si>
  <si>
    <t>Enova Power Corp.1595_(2021)</t>
  </si>
  <si>
    <t>Enova Power Corp.1595_(2022)</t>
  </si>
  <si>
    <t>Enova Power Corp.1595_(2023)</t>
  </si>
  <si>
    <t>Enova Power Corp.1595_(2024)</t>
  </si>
  <si>
    <t>Enova Power Corp.1595_ccount</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</si>
  <si>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</si>
  <si>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</si>
  <si>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</si>
  <si>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</si>
  <si>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</si>
  <si>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</si>
  <si>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</si>
  <si>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</si>
  <si>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</si>
  <si>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</si>
  <si>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Inc.1595_(2018)</t>
  </si>
  <si>
    <t>Entegrus Powerlines Inc.1595_(2019)</t>
  </si>
  <si>
    <t>Entegrus Powerlines Inc.1595_(2020)</t>
  </si>
  <si>
    <t>Entegrus Powerlines Inc.1595_(2021)</t>
  </si>
  <si>
    <t>Entegrus Powerlines Inc.1595_(2022)</t>
  </si>
  <si>
    <t>Entegrus Powerlines Inc.1595_(2023)</t>
  </si>
  <si>
    <t>Entegrus Powerlines Inc.1595_(2024)</t>
  </si>
  <si>
    <t>Entegrus Powerlines Inc.1595_ccount</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</si>
  <si>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</si>
  <si>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</si>
  <si>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</si>
  <si>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</si>
  <si>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</si>
  <si>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</si>
  <si>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</si>
  <si>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</si>
  <si>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</si>
  <si>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</si>
  <si>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</si>
  <si>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Ltd.1595_(2019)</t>
  </si>
  <si>
    <t>ENWIN Utilities Ltd.1595_(2020)</t>
  </si>
  <si>
    <t>ENWIN Utilities Ltd.1595_(2021)</t>
  </si>
  <si>
    <t>ENWIN Utilities Ltd.1595_(2022)</t>
  </si>
  <si>
    <t>ENWIN Utilities Ltd.1595_(2023)</t>
  </si>
  <si>
    <t>ENWIN Utilities Ltd.1595_(2024)</t>
  </si>
  <si>
    <t>ENWIN Utilities Ltd.1595_ccount</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</si>
  <si>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</si>
  <si>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</si>
  <si>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</si>
  <si>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</si>
  <si>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</si>
  <si>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</si>
  <si>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</si>
  <si>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</si>
  <si>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</si>
  <si>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</si>
  <si>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Inc.1595_(2018)</t>
  </si>
  <si>
    <t>EPCOR Electricity Distribution Ontario Inc.1595_(2019)</t>
  </si>
  <si>
    <t>EPCOR Electricity Distribution Ontario Inc.1595_(2020)</t>
  </si>
  <si>
    <t>EPCOR Electricity Distribution Ontario Inc.1595_(2021)</t>
  </si>
  <si>
    <t>EPCOR Electricity Distribution Ontario Inc.1595_(2022)</t>
  </si>
  <si>
    <t>EPCOR Electricity Distribution Ontario Inc.1595_(2023)</t>
  </si>
  <si>
    <t>EPCOR Electricity Distribution Ontario Inc.1595_(2024)</t>
  </si>
  <si>
    <t>EPCOR Electricity Distribution Ontario Inc.1595_ccount</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</si>
  <si>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</si>
  <si>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</si>
  <si>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</si>
  <si>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</si>
  <si>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</si>
  <si>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</si>
  <si>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</si>
  <si>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</si>
  <si>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</si>
  <si>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</si>
  <si>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</si>
  <si>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Corporation1595_(2019)</t>
  </si>
  <si>
    <t>ERTH Power Corporation1595_(2020)</t>
  </si>
  <si>
    <t>ERTH Power Corporation1595_(2021)</t>
  </si>
  <si>
    <t>ERTH Power Corporation1595_(2022)</t>
  </si>
  <si>
    <t>ERTH Power Corporation1595_(2023)</t>
  </si>
  <si>
    <t>ERTH Power Corporation1595_(2024)</t>
  </si>
  <si>
    <t>ERTH Power Corporation1595_ccount</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</si>
  <si>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</si>
  <si>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</si>
  <si>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</si>
  <si>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</si>
  <si>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</si>
  <si>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</si>
  <si>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</si>
  <si>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</si>
  <si>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</si>
  <si>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</si>
  <si>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Corporation1595_(2018)</t>
  </si>
  <si>
    <t>Essex Powerlines Corporation1595_(2019)</t>
  </si>
  <si>
    <t>Essex Powerlines Corporation1595_(2020)</t>
  </si>
  <si>
    <t>Essex Powerlines Corporation1595_(2021)</t>
  </si>
  <si>
    <t>Essex Powerlines Corporation1595_(2022)</t>
  </si>
  <si>
    <t>Essex Powerlines Corporation1595_(2023)</t>
  </si>
  <si>
    <t>Essex Powerlines Corporation1595_(2024)</t>
  </si>
  <si>
    <t>Essex Powerlines Corporation1595_ccount</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</si>
  <si>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</si>
  <si>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</si>
  <si>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</si>
  <si>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</si>
  <si>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</si>
  <si>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</si>
  <si>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</si>
  <si>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</si>
  <si>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</si>
  <si>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</si>
  <si>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Inc.1595_(2018)</t>
  </si>
  <si>
    <t>Festival Hydro Inc.1595_(2019)</t>
  </si>
  <si>
    <t>Festival Hydro Inc.1595_(2020)</t>
  </si>
  <si>
    <t>Festival Hydro Inc.1595_(2021)</t>
  </si>
  <si>
    <t>Festival Hydro Inc.1595_(2022)</t>
  </si>
  <si>
    <t>Festival Hydro Inc.1595_(2023)</t>
  </si>
  <si>
    <t>Festival Hydro Inc.1595_(2024)</t>
  </si>
  <si>
    <t>Festival Hydro Inc.1595_ccount</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</si>
  <si>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</si>
  <si>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</si>
  <si>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</si>
  <si>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</si>
  <si>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</si>
  <si>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</si>
  <si>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</si>
  <si>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</si>
  <si>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</si>
  <si>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</si>
  <si>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Corporation1595_(2018)</t>
  </si>
  <si>
    <t>Fort Frances Power Corporation1595_(2019)</t>
  </si>
  <si>
    <t>Fort Frances Power Corporation1595_(2020)</t>
  </si>
  <si>
    <t>Fort Frances Power Corporation1595_(2021)</t>
  </si>
  <si>
    <t>Fort Frances Power Corporation1595_(2022)</t>
  </si>
  <si>
    <t>Fort Frances Power Corporation1595_(2023)</t>
  </si>
  <si>
    <t>Fort Frances Power Corporation1595_(2024)</t>
  </si>
  <si>
    <t>Fort Frances Power Corporation1595_ccount</t>
  </si>
  <si>
    <t>GrandBridge Energy Inc.1595_(2008)</t>
  </si>
  <si>
    <t>GrandBridge Energy Inc.1595_(2009)</t>
  </si>
  <si>
    <t>GrandBridge Energy Inc.1595_(2010)</t>
  </si>
  <si>
    <t>GrandBridge Energy Inc.1595_(2011)</t>
  </si>
  <si>
    <t>GrandBridge Energy Inc.1595_(2012)</t>
  </si>
  <si>
    <t>GrandBridge Energy Inc.1595_(2013)</t>
  </si>
  <si>
    <t>GrandBridge Energy Inc.1595_(2014)</t>
  </si>
  <si>
    <t>GrandBridge Energy Inc.1595_(2015)</t>
  </si>
  <si>
    <t>GrandBridge Energy Inc.1595_(2016)</t>
  </si>
  <si>
    <t>GrandBridge Energy Inc.1595_(2017)</t>
  </si>
  <si>
    <t>GrandBridge Energy Inc.1595_(2018)</t>
  </si>
  <si>
    <t>GrandBridge Energy Inc.1595_(2019)</t>
  </si>
  <si>
    <t>GrandBridge Energy Inc.1595_(2020)</t>
  </si>
  <si>
    <t>GrandBridge Energy Inc.1595_(2021)</t>
  </si>
  <si>
    <t>GrandBridge Energy Inc.1595_(2022)</t>
  </si>
  <si>
    <t>GrandBridge Energy Inc.1595_(2023)</t>
  </si>
  <si>
    <t>GrandBridge Energy Inc.1595_(2024)</t>
  </si>
  <si>
    <t>GrandBridge Energy Inc.1595_ccount</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</si>
  <si>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</si>
  <si>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</si>
  <si>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</si>
  <si>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</si>
  <si>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</si>
  <si>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</si>
  <si>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</si>
  <si>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</si>
  <si>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</si>
  <si>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</si>
  <si>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Inc.1595_(2018)</t>
  </si>
  <si>
    <t>Greater Sudbury Hydro Inc.1595_(2019)</t>
  </si>
  <si>
    <t>Greater Sudbury Hydro Inc.1595_(2020)</t>
  </si>
  <si>
    <t>Greater Sudbury Hydro Inc.1595_(2021)</t>
  </si>
  <si>
    <t>Greater Sudbury Hydro Inc.1595_(2022)</t>
  </si>
  <si>
    <t>Greater Sudbury Hydro Inc.1595_(2023)</t>
  </si>
  <si>
    <t>Greater Sudbury Hydro Inc.1595_(2024)</t>
  </si>
  <si>
    <t>Greater Sudbury Hydro Inc.1595_ccount</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</si>
  <si>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</si>
  <si>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</si>
  <si>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</si>
  <si>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</si>
  <si>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</si>
  <si>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</si>
  <si>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</si>
  <si>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</si>
  <si>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</si>
  <si>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</si>
  <si>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Incorporated1595_(2018)</t>
  </si>
  <si>
    <t>Grimsby Power Incorporated1595_(2019)</t>
  </si>
  <si>
    <t>Grimsby Power Incorporated1595_(2020)</t>
  </si>
  <si>
    <t>Grimsby Power Incorporated1595_(2021)</t>
  </si>
  <si>
    <t>Grimsby Power Incorporated1595_(2022)</t>
  </si>
  <si>
    <t>Grimsby Power Incorporated1595_(2023)</t>
  </si>
  <si>
    <t>Grimsby Power Incorporated1595_(2024)</t>
  </si>
  <si>
    <t>Grimsby Power Incorporated1595_ccount</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</si>
  <si>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</si>
  <si>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</si>
  <si>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</si>
  <si>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</si>
  <si>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</si>
  <si>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</si>
  <si>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</si>
  <si>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</si>
  <si>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</si>
  <si>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</si>
  <si>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Inc.1595_(2018)</t>
  </si>
  <si>
    <t>Halton Hills Hydro Inc.1595_(2019)</t>
  </si>
  <si>
    <t>Halton Hills Hydro Inc.1595_(2020)</t>
  </si>
  <si>
    <t>Halton Hills Hydro Inc.1595_(2021)</t>
  </si>
  <si>
    <t>Halton Hills Hydro Inc.1595_(2022)</t>
  </si>
  <si>
    <t>Halton Hills Hydro Inc.1595_(2023)</t>
  </si>
  <si>
    <t>Halton Hills Hydro Inc.1595_(2024)</t>
  </si>
  <si>
    <t>Halton Hills Hydro Inc.1595_ccount</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</si>
  <si>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</si>
  <si>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</si>
  <si>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</si>
  <si>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</si>
  <si>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</si>
  <si>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</si>
  <si>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</si>
  <si>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</si>
  <si>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</si>
  <si>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</si>
  <si>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Inc.1595_(2018)</t>
  </si>
  <si>
    <t>Hydro 2000 Inc.1595_(2019)</t>
  </si>
  <si>
    <t>Hydro 2000 Inc.1595_(2020)</t>
  </si>
  <si>
    <t>Hydro 2000 Inc.1595_(2021)</t>
  </si>
  <si>
    <t>Hydro 2000 Inc.1595_(2022)</t>
  </si>
  <si>
    <t>Hydro 2000 Inc.1595_(2023)</t>
  </si>
  <si>
    <t>Hydro 2000 Inc.1595_(2024)</t>
  </si>
  <si>
    <t>Hydro 2000 Inc.1595_ccount</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</si>
  <si>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</si>
  <si>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</si>
  <si>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</si>
  <si>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</si>
  <si>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</si>
  <si>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</si>
  <si>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</si>
  <si>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</si>
  <si>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</si>
  <si>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</si>
  <si>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Inc.1595_(2018)</t>
  </si>
  <si>
    <t>Hydro Hawkesbury Inc.1595_(2019)</t>
  </si>
  <si>
    <t>Hydro Hawkesbury Inc.1595_(2020)</t>
  </si>
  <si>
    <t>Hydro Hawkesbury Inc.1595_(2021)</t>
  </si>
  <si>
    <t>Hydro Hawkesbury Inc.1595_(2022)</t>
  </si>
  <si>
    <t>Hydro Hawkesbury Inc.1595_(2023)</t>
  </si>
  <si>
    <t>Hydro Hawkesbury Inc.1595_(2024)</t>
  </si>
  <si>
    <t>Hydro Hawkesbury Inc.1595_ccount</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</si>
  <si>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</si>
  <si>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</si>
  <si>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</si>
  <si>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</si>
  <si>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</si>
  <si>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</si>
  <si>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</si>
  <si>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</si>
  <si>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</si>
  <si>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</si>
  <si>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Inc.1595_(2018)</t>
  </si>
  <si>
    <t>Hydro One Networks Inc.1595_(2019)</t>
  </si>
  <si>
    <t>Hydro One Networks Inc.1595_(2020)</t>
  </si>
  <si>
    <t>Hydro One Networks Inc.1595_(2021)</t>
  </si>
  <si>
    <t>Hydro One Networks Inc.1595_(2022)</t>
  </si>
  <si>
    <t>Hydro One Networks Inc.1595_(2023)</t>
  </si>
  <si>
    <t>Hydro One Networks Inc.1595_(2024)</t>
  </si>
  <si>
    <t>Hydro One Networks Inc.1595_ccount</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</si>
  <si>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</si>
  <si>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</si>
  <si>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</si>
  <si>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</si>
  <si>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</si>
  <si>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</si>
  <si>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</si>
  <si>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</si>
  <si>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</si>
  <si>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</si>
  <si>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Inc.1595_(2018)</t>
  </si>
  <si>
    <t>Hydro One Remote Communities Inc.1595_(2019)</t>
  </si>
  <si>
    <t>Hydro One Remote Communities Inc.1595_(2020)</t>
  </si>
  <si>
    <t>Hydro One Remote Communities Inc.1595_(2021)</t>
  </si>
  <si>
    <t>Hydro One Remote Communities Inc.1595_(2022)</t>
  </si>
  <si>
    <t>Hydro One Remote Communities Inc.1595_(2023)</t>
  </si>
  <si>
    <t>Hydro One Remote Communities Inc.1595_(2024)</t>
  </si>
  <si>
    <t>Hydro One Remote Communities Inc.1595_ccount</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</si>
  <si>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</si>
  <si>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</si>
  <si>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</si>
  <si>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</si>
  <si>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</si>
  <si>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</si>
  <si>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</si>
  <si>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</si>
  <si>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</si>
  <si>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</si>
  <si>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Limited1595_(2018)</t>
  </si>
  <si>
    <t>Hydro Ottawa Limited1595_(2019)</t>
  </si>
  <si>
    <t>Hydro Ottawa Limited1595_(2020)</t>
  </si>
  <si>
    <t>Hydro Ottawa Limited1595_(2021)</t>
  </si>
  <si>
    <t>Hydro Ottawa Limited1595_(2022)</t>
  </si>
  <si>
    <t>Hydro Ottawa Limited1595_(2023)</t>
  </si>
  <si>
    <t>Hydro Ottawa Limited1595_(2024)</t>
  </si>
  <si>
    <t>Hydro Ottawa Limited1595_ccount</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</si>
  <si>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</si>
  <si>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</si>
  <si>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</si>
  <si>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</si>
  <si>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</si>
  <si>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</si>
  <si>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</si>
  <si>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</si>
  <si>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</si>
  <si>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</si>
  <si>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Corporation1595_(2018)</t>
  </si>
  <si>
    <t>InnPower Corporation1595_(2019)</t>
  </si>
  <si>
    <t>InnPower Corporation1595_(2020)</t>
  </si>
  <si>
    <t>InnPower Corporation1595_(2021)</t>
  </si>
  <si>
    <t>InnPower Corporation1595_(2022)</t>
  </si>
  <si>
    <t>InnPower Corporation1595_(2023)</t>
  </si>
  <si>
    <t>InnPower Corporation1595_(2024)</t>
  </si>
  <si>
    <t>InnPower Corporation1595_ccount</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</si>
  <si>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</si>
  <si>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</si>
  <si>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</si>
  <si>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</si>
  <si>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</si>
  <si>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</si>
  <si>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</si>
  <si>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</si>
  <si>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</si>
  <si>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</si>
  <si>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Corporation1595_(2018)</t>
  </si>
  <si>
    <t>Kingston Hydro Corporation1595_(2019)</t>
  </si>
  <si>
    <t>Kingston Hydro Corporation1595_(2020)</t>
  </si>
  <si>
    <t>Kingston Hydro Corporation1595_(2021)</t>
  </si>
  <si>
    <t>Kingston Hydro Corporation1595_(2022)</t>
  </si>
  <si>
    <t>Kingston Hydro Corporation1595_(2023)</t>
  </si>
  <si>
    <t>Kingston Hydro Corporation1595_(2024)</t>
  </si>
  <si>
    <t>Kingston Hydro Corporation1595_ccount</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</si>
  <si>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</si>
  <si>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</si>
  <si>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</si>
  <si>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</si>
  <si>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</si>
  <si>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</si>
  <si>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</si>
  <si>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</si>
  <si>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</si>
  <si>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</si>
  <si>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Inc.1595_(2018)</t>
  </si>
  <si>
    <t>Lakefront Utilities Inc.1595_(2019)</t>
  </si>
  <si>
    <t>Lakefront Utilities Inc.1595_(2020)</t>
  </si>
  <si>
    <t>Lakefront Utilities Inc.1595_(2021)</t>
  </si>
  <si>
    <t>Lakefront Utilities Inc.1595_(2022)</t>
  </si>
  <si>
    <t>Lakefront Utilities Inc.1595_(2023)</t>
  </si>
  <si>
    <t>Lakefront Utilities Inc.1595_(2024)</t>
  </si>
  <si>
    <t>Lakefront Utilities Inc.1595_ccount</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</si>
  <si>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</si>
  <si>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</si>
  <si>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</si>
  <si>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</si>
  <si>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</si>
  <si>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</si>
  <si>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</si>
  <si>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</si>
  <si>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</si>
  <si>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</si>
  <si>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Ltd.1595_(2018)</t>
  </si>
  <si>
    <t>Lakeland Power Distribution Ltd.1595_(2019)</t>
  </si>
  <si>
    <t>Lakeland Power Distribution Ltd.1595_(2020)</t>
  </si>
  <si>
    <t>Lakeland Power Distribution Ltd.1595_(2021)</t>
  </si>
  <si>
    <t>Lakeland Power Distribution Ltd.1595_(2022)</t>
  </si>
  <si>
    <t>Lakeland Power Distribution Ltd.1595_(2023)</t>
  </si>
  <si>
    <t>Lakeland Power Distribution Ltd.1595_(2024)</t>
  </si>
  <si>
    <t>Lakeland Power Distribution Ltd.1595_ccount</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</si>
  <si>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</si>
  <si>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</si>
  <si>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</si>
  <si>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</si>
  <si>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</si>
  <si>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</si>
  <si>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</si>
  <si>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</si>
  <si>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</si>
  <si>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</si>
  <si>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Inc.1595_(2018)</t>
  </si>
  <si>
    <t>London Hydro Inc.1595_(2019)</t>
  </si>
  <si>
    <t>London Hydro Inc.1595_(2020)</t>
  </si>
  <si>
    <t>London Hydro Inc.1595_(2021)</t>
  </si>
  <si>
    <t>London Hydro Inc.1595_(2022)</t>
  </si>
  <si>
    <t>London Hydro Inc.1595_(2023)</t>
  </si>
  <si>
    <t>London Hydro Inc.1595_(2024)</t>
  </si>
  <si>
    <t>London Hydro Inc.1595_ccount</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</si>
  <si>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</si>
  <si>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</si>
  <si>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</si>
  <si>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</si>
  <si>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</si>
  <si>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</si>
  <si>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</si>
  <si>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</si>
  <si>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</si>
  <si>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</si>
  <si>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Inc.1595_(2018)</t>
  </si>
  <si>
    <t>Milton Hydro Distribution Inc.1595_(2019)</t>
  </si>
  <si>
    <t>Milton Hydro Distribution Inc.1595_(2020)</t>
  </si>
  <si>
    <t>Milton Hydro Distribution Inc.1595_(2021)</t>
  </si>
  <si>
    <t>Milton Hydro Distribution Inc.1595_(2022)</t>
  </si>
  <si>
    <t>Milton Hydro Distribution Inc.1595_(2023)</t>
  </si>
  <si>
    <t>Milton Hydro Distribution Inc.1595_(2024)</t>
  </si>
  <si>
    <t>Milton Hydro Distribution Inc.1595_ccount</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</si>
  <si>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</si>
  <si>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</si>
  <si>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</si>
  <si>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</si>
  <si>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</si>
  <si>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</si>
  <si>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</si>
  <si>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</si>
  <si>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</si>
  <si>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</si>
  <si>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Ltd.1595_(2018)</t>
  </si>
  <si>
    <t>Newmarket-Tay Power Distribution Ltd.1595_(2019)</t>
  </si>
  <si>
    <t>Newmarket-Tay Power Distribution Ltd.1595_(2020)</t>
  </si>
  <si>
    <t>Newmarket-Tay Power Distribution Ltd.1595_(2021)</t>
  </si>
  <si>
    <t>Newmarket-Tay Power Distribution Ltd.1595_(2022)</t>
  </si>
  <si>
    <t>Newmarket-Tay Power Distribution Ltd.1595_(2023)</t>
  </si>
  <si>
    <t>Newmarket-Tay Power Distribution Ltd.1595_(2024)</t>
  </si>
  <si>
    <t>Newmarket-Tay Power Distribution Ltd.1595_ccount</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</si>
  <si>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</si>
  <si>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</si>
  <si>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</si>
  <si>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</si>
  <si>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</si>
  <si>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</si>
  <si>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</si>
  <si>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</si>
  <si>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</si>
  <si>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</si>
  <si>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Inc.1595_(2018)</t>
  </si>
  <si>
    <t>Niagara Peninsula Energy Inc.1595_(2019)</t>
  </si>
  <si>
    <t>Niagara Peninsula Energy Inc.1595_(2020)</t>
  </si>
  <si>
    <t>Niagara Peninsula Energy Inc.1595_(2021)</t>
  </si>
  <si>
    <t>Niagara Peninsula Energy Inc.1595_(2022)</t>
  </si>
  <si>
    <t>Niagara Peninsula Energy Inc.1595_(2023)</t>
  </si>
  <si>
    <t>Niagara Peninsula Energy Inc.1595_(2024)</t>
  </si>
  <si>
    <t>Niagara Peninsula Energy Inc.1595_ccount</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</si>
  <si>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</si>
  <si>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</si>
  <si>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</si>
  <si>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</si>
  <si>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</si>
  <si>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</si>
  <si>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</si>
  <si>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</si>
  <si>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</si>
  <si>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</si>
  <si>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Inc.1595_(2018)</t>
  </si>
  <si>
    <t>Niagara-on-the-Lake Hydro Inc.1595_(2019)</t>
  </si>
  <si>
    <t>Niagara-on-the-Lake Hydro Inc.1595_(2020)</t>
  </si>
  <si>
    <t>Niagara-on-the-Lake Hydro Inc.1595_(2021)</t>
  </si>
  <si>
    <t>Niagara-on-the-Lake Hydro Inc.1595_(2022)</t>
  </si>
  <si>
    <t>Niagara-on-the-Lake Hydro Inc.1595_(2023)</t>
  </si>
  <si>
    <t>Niagara-on-the-Lake Hydro Inc.1595_(2024)</t>
  </si>
  <si>
    <t>Niagara-on-the-Lake Hydro Inc.1595_ccount</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</si>
  <si>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</si>
  <si>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</si>
  <si>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</si>
  <si>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</si>
  <si>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</si>
  <si>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</si>
  <si>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</si>
  <si>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</si>
  <si>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</si>
  <si>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</si>
  <si>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Limited1595_(2018)</t>
  </si>
  <si>
    <t>North Bay Hydro Distribution Limited1595_(2019)</t>
  </si>
  <si>
    <t>North Bay Hydro Distribution Limited1595_(2020)</t>
  </si>
  <si>
    <t>North Bay Hydro Distribution Limited1595_(2021)</t>
  </si>
  <si>
    <t>North Bay Hydro Distribution Limited1595_(2022)</t>
  </si>
  <si>
    <t>North Bay Hydro Distribution Limited1595_(2023)</t>
  </si>
  <si>
    <t>North Bay Hydro Distribution Limited1595_(2024)</t>
  </si>
  <si>
    <t>North Bay Hydro Distribution Limited1595_ccount</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</si>
  <si>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</si>
  <si>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</si>
  <si>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</si>
  <si>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</si>
  <si>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</si>
  <si>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</si>
  <si>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</si>
  <si>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</si>
  <si>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</si>
  <si>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</si>
  <si>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Inc.1595_(2018)</t>
  </si>
  <si>
    <t>Northern Ontario Wires Inc.1595_(2019)</t>
  </si>
  <si>
    <t>Northern Ontario Wires Inc.1595_(2020)</t>
  </si>
  <si>
    <t>Northern Ontario Wires Inc.1595_(2021)</t>
  </si>
  <si>
    <t>Northern Ontario Wires Inc.1595_(2022)</t>
  </si>
  <si>
    <t>Northern Ontario Wires Inc.1595_(2023)</t>
  </si>
  <si>
    <t>Northern Ontario Wires Inc.1595_(2024)</t>
  </si>
  <si>
    <t>Northern Ontario Wires Inc.1595_ccount</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</si>
  <si>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</si>
  <si>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</si>
  <si>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</si>
  <si>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</si>
  <si>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</si>
  <si>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</si>
  <si>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</si>
  <si>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</si>
  <si>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</si>
  <si>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</si>
  <si>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Inc.1595_(2018)</t>
  </si>
  <si>
    <t>Oakville Hydro Electricity Distribution Inc.1595_(2019)</t>
  </si>
  <si>
    <t>Oakville Hydro Electricity Distribution Inc.1595_(2020)</t>
  </si>
  <si>
    <t>Oakville Hydro Electricity Distribution Inc.1595_(2021)</t>
  </si>
  <si>
    <t>Oakville Hydro Electricity Distribution Inc.1595_(2022)</t>
  </si>
  <si>
    <t>Oakville Hydro Electricity Distribution Inc.1595_(2023)</t>
  </si>
  <si>
    <t>Oakville Hydro Electricity Distribution Inc.1595_(2024)</t>
  </si>
  <si>
    <t>Oakville Hydro Electricity Distribution Inc.1595_ccount</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</si>
  <si>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</si>
  <si>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</si>
  <si>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</si>
  <si>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</si>
  <si>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</si>
  <si>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</si>
  <si>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</si>
  <si>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</si>
  <si>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</si>
  <si>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</si>
  <si>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Limited1595_(2018)</t>
  </si>
  <si>
    <t>Orangeville Hydro Limited1595_(2019)</t>
  </si>
  <si>
    <t>Orangeville Hydro Limited1595_(2020)</t>
  </si>
  <si>
    <t>Orangeville Hydro Limited1595_(2021)</t>
  </si>
  <si>
    <t>Orangeville Hydro Limited1595_(2022)</t>
  </si>
  <si>
    <t>Orangeville Hydro Limited1595_(2023)</t>
  </si>
  <si>
    <t>Orangeville Hydro Limited1595_(2024)</t>
  </si>
  <si>
    <t>Orangeville Hydro Limited1595_ccount</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</si>
  <si>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</si>
  <si>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</si>
  <si>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</si>
  <si>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</si>
  <si>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</si>
  <si>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</si>
  <si>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</si>
  <si>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</si>
  <si>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</si>
  <si>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</si>
  <si>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Inc.1595_(2018)</t>
  </si>
  <si>
    <t>Oshawa PUC Networks Inc.1595_(2019)</t>
  </si>
  <si>
    <t>Oshawa PUC Networks Inc.1595_(2020)</t>
  </si>
  <si>
    <t>Oshawa PUC Networks Inc.1595_(2021)</t>
  </si>
  <si>
    <t>Oshawa PUC Networks Inc.1595_(2022)</t>
  </si>
  <si>
    <t>Oshawa PUC Networks Inc.1595_(2023)</t>
  </si>
  <si>
    <t>Oshawa PUC Networks Inc.1595_(2024)</t>
  </si>
  <si>
    <t>Oshawa PUC Networks Inc.1595_ccount</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</si>
  <si>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</si>
  <si>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</si>
  <si>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</si>
  <si>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</si>
  <si>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</si>
  <si>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</si>
  <si>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</si>
  <si>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</si>
  <si>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</si>
  <si>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</si>
  <si>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Corporation1595_(2018)</t>
  </si>
  <si>
    <t>Ottawa River Power Corporation1595_(2019)</t>
  </si>
  <si>
    <t>Ottawa River Power Corporation1595_(2020)</t>
  </si>
  <si>
    <t>Ottawa River Power Corporation1595_(2021)</t>
  </si>
  <si>
    <t>Ottawa River Power Corporation1595_(2022)</t>
  </si>
  <si>
    <t>Ottawa River Power Corporation1595_(2023)</t>
  </si>
  <si>
    <t>Ottawa River Power Corporation1595_(2024)</t>
  </si>
  <si>
    <t>Ottawa River Power Corporation1595_ccount</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</si>
  <si>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</si>
  <si>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</si>
  <si>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</si>
  <si>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</si>
  <si>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</si>
  <si>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</si>
  <si>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</si>
  <si>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</si>
  <si>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</si>
  <si>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</si>
  <si>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Inc.1595_(2018)</t>
  </si>
  <si>
    <t>PUC Distribution Inc.1595_(2019)</t>
  </si>
  <si>
    <t>PUC Distribution Inc.1595_(2020)</t>
  </si>
  <si>
    <t>PUC Distribution Inc.1595_(2021)</t>
  </si>
  <si>
    <t>PUC Distribution Inc.1595_(2022)</t>
  </si>
  <si>
    <t>PUC Distribution Inc.1595_(2023)</t>
  </si>
  <si>
    <t>PUC Distribution Inc.1595_(2024)</t>
  </si>
  <si>
    <t>PUC Distribution Inc.1595_ccount</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</si>
  <si>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</si>
  <si>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</si>
  <si>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</si>
  <si>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</si>
  <si>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</si>
  <si>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</si>
  <si>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</si>
  <si>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</si>
  <si>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</si>
  <si>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</si>
  <si>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Inc.1595_(2018)</t>
  </si>
  <si>
    <t>Renfrew Hydro Inc.1595_(2019)</t>
  </si>
  <si>
    <t>Renfrew Hydro Inc.1595_(2020)</t>
  </si>
  <si>
    <t>Renfrew Hydro Inc.1595_(2021)</t>
  </si>
  <si>
    <t>Renfrew Hydro Inc.1595_(2022)</t>
  </si>
  <si>
    <t>Renfrew Hydro Inc.1595_(2023)</t>
  </si>
  <si>
    <t>Renfrew Hydro Inc.1595_(2024)</t>
  </si>
  <si>
    <t>Renfrew Hydro Inc.1595_ccount</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</si>
  <si>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</si>
  <si>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</si>
  <si>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</si>
  <si>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</si>
  <si>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</si>
  <si>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</si>
  <si>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</si>
  <si>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</si>
  <si>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</si>
  <si>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</si>
  <si>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Inc.1595_(2018)</t>
  </si>
  <si>
    <t>Rideau St. Lawrence Distribution Inc.1595_(2019)</t>
  </si>
  <si>
    <t>Rideau St. Lawrence Distribution Inc.1595_(2020)</t>
  </si>
  <si>
    <t>Rideau St. Lawrence Distribution Inc.1595_(2021)</t>
  </si>
  <si>
    <t>Rideau St. Lawrence Distribution Inc.1595_(2022)</t>
  </si>
  <si>
    <t>Rideau St. Lawrence Distribution Inc.1595_(2023)</t>
  </si>
  <si>
    <t>Rideau St. Lawrence Distribution Inc.1595_(2024)</t>
  </si>
  <si>
    <t>Rideau St. Lawrence Distribution Inc.1595_ccount</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</si>
  <si>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</si>
  <si>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</si>
  <si>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</si>
  <si>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</si>
  <si>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</si>
  <si>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</si>
  <si>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</si>
  <si>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</si>
  <si>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</si>
  <si>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</si>
  <si>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Inc.1595_(2018)</t>
  </si>
  <si>
    <t>Sioux Lookout Hydro Inc.1595_(2019)</t>
  </si>
  <si>
    <t>Sioux Lookout Hydro Inc.1595_(2020)</t>
  </si>
  <si>
    <t>Sioux Lookout Hydro Inc.1595_(2021)</t>
  </si>
  <si>
    <t>Sioux Lookout Hydro Inc.1595_(2022)</t>
  </si>
  <si>
    <t>Sioux Lookout Hydro Inc.1595_(2023)</t>
  </si>
  <si>
    <t>Sioux Lookout Hydro Inc.1595_(2024)</t>
  </si>
  <si>
    <t>Sioux Lookout Hydro Inc.1595_ccount</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</si>
  <si>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</si>
  <si>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</si>
  <si>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</si>
  <si>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</si>
  <si>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</si>
  <si>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</si>
  <si>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</si>
  <si>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</si>
  <si>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</si>
  <si>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</si>
  <si>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</si>
  <si>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Corporation1595_(2019)</t>
  </si>
  <si>
    <t>Synergy North Corporation1595_(2020)</t>
  </si>
  <si>
    <t>Synergy North Corporation1595_(2021)</t>
  </si>
  <si>
    <t>Synergy North Corporation1595_(2022)</t>
  </si>
  <si>
    <t>Synergy North Corporation1595_(2023)</t>
  </si>
  <si>
    <t>Synergy North Corporation1595_(2024)</t>
  </si>
  <si>
    <t>Synergy North Corporation1595_ccount</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</si>
  <si>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</si>
  <si>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</si>
  <si>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</si>
  <si>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</si>
  <si>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</si>
  <si>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</si>
  <si>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</si>
  <si>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</si>
  <si>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</si>
  <si>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</si>
  <si>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Inc.1595_(2018)</t>
  </si>
  <si>
    <t>Tillsonburg Hydro Inc.1595_(2019)</t>
  </si>
  <si>
    <t>Tillsonburg Hydro Inc.1595_(2020)</t>
  </si>
  <si>
    <t>Tillsonburg Hydro Inc.1595_(2021)</t>
  </si>
  <si>
    <t>Tillsonburg Hydro Inc.1595_(2022)</t>
  </si>
  <si>
    <t>Tillsonburg Hydro Inc.1595_(2023)</t>
  </si>
  <si>
    <t>Tillsonburg Hydro Inc.1595_(2024)</t>
  </si>
  <si>
    <t>Tillsonburg Hydro Inc.1595_ccount</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</si>
  <si>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</si>
  <si>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</si>
  <si>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</si>
  <si>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</si>
  <si>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</si>
  <si>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</si>
  <si>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</si>
  <si>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</si>
  <si>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</si>
  <si>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</si>
  <si>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Limited1595_(2018)</t>
  </si>
  <si>
    <t>Toronto Hydro-Electric System Limited1595_(2019)</t>
  </si>
  <si>
    <t>Toronto Hydro-Electric System Limited1595_(2020)</t>
  </si>
  <si>
    <t>Toronto Hydro-Electric System Limited1595_(2021)</t>
  </si>
  <si>
    <t>Toronto Hydro-Electric System Limited1595_(2022)</t>
  </si>
  <si>
    <t>Toronto Hydro-Electric System Limited1595_(2023)</t>
  </si>
  <si>
    <t>Toronto Hydro-Electric System Limited1595_(2024)</t>
  </si>
  <si>
    <t>Toronto Hydro-Electric System Limited1595_ccount</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</si>
  <si>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</si>
  <si>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</si>
  <si>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</si>
  <si>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</si>
  <si>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</si>
  <si>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</si>
  <si>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</si>
  <si>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</si>
  <si>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</si>
  <si>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</si>
  <si>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Inc.1595_(2018)</t>
  </si>
  <si>
    <t>Wasaga Distribution Inc.1595_(2019)</t>
  </si>
  <si>
    <t>Wasaga Distribution Inc.1595_(2020)</t>
  </si>
  <si>
    <t>Wasaga Distribution Inc.1595_(2021)</t>
  </si>
  <si>
    <t>Wasaga Distribution Inc.1595_(2022)</t>
  </si>
  <si>
    <t>Wasaga Distribution Inc.1595_(2023)</t>
  </si>
  <si>
    <t>Wasaga Distribution Inc.1595_(2024)</t>
  </si>
  <si>
    <t>Wasaga Distribution Inc.1595_ccount</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</si>
  <si>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</si>
  <si>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</si>
  <si>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</si>
  <si>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</si>
  <si>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</si>
  <si>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</si>
  <si>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</si>
  <si>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</si>
  <si>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</si>
  <si>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</si>
  <si>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Corp.1595_(2018)</t>
  </si>
  <si>
    <t>Welland Hydro-Electric System Corp.1595_(2019)</t>
  </si>
  <si>
    <t>Welland Hydro-Electric System Corp.1595_(2020)</t>
  </si>
  <si>
    <t>Welland Hydro-Electric System Corp.1595_(2021)</t>
  </si>
  <si>
    <t>Welland Hydro-Electric System Corp.1595_(2022)</t>
  </si>
  <si>
    <t>Welland Hydro-Electric System Corp.1595_(2023)</t>
  </si>
  <si>
    <t>Welland Hydro-Electric System Corp.1595_(2024)</t>
  </si>
  <si>
    <t>Welland Hydro-Electric System Corp.1595_ccount</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</si>
  <si>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</si>
  <si>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</si>
  <si>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</si>
  <si>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</si>
  <si>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</si>
  <si>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</si>
  <si>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</si>
  <si>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</si>
  <si>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</si>
  <si>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</si>
  <si>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Inc.1595_(2018)</t>
  </si>
  <si>
    <t>Wellington North Power Inc.1595_(2019)</t>
  </si>
  <si>
    <t>Wellington North Power Inc.1595_(2020)</t>
  </si>
  <si>
    <t>Wellington North Power Inc.1595_(2021)</t>
  </si>
  <si>
    <t>Wellington North Power Inc.1595_(2022)</t>
  </si>
  <si>
    <t>Wellington North Power Inc.1595_(2023)</t>
  </si>
  <si>
    <t>Wellington North Power Inc.1595_(2024)</t>
  </si>
  <si>
    <t>Wellington North Power Inc.1595_ccount</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</si>
  <si>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</si>
  <si>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</si>
  <si>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</si>
  <si>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</si>
  <si>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</si>
  <si>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</si>
  <si>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</si>
  <si>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</si>
  <si>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</si>
  <si>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</si>
  <si>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Inc.1595_(2018)</t>
  </si>
  <si>
    <t>Westario Power Inc.1595_(2019)</t>
  </si>
  <si>
    <t>Westario Power Inc.1595_(2020)</t>
  </si>
  <si>
    <t>Westario Power Inc.1595_(2021)</t>
  </si>
  <si>
    <t>Westario Power Inc.1595_(2022)</t>
  </si>
  <si>
    <t>Westario Power Inc.1595_(2023)</t>
  </si>
  <si>
    <t>Westario Power Inc.1595_(2024)</t>
  </si>
  <si>
    <t>Westario Power Inc.1595_ccount</t>
  </si>
  <si>
    <t>General Service Less Than 50 kW - Enersource Rate Zone</t>
  </si>
  <si>
    <t>General Service Less Than 50 kW - Guelph Rate Zone</t>
  </si>
  <si>
    <t>General Service Less Than 50 kW - Horizon Utilities Rate Zone</t>
  </si>
  <si>
    <t>General Service Less Than 50 kW - Powerstream Rate Zone</t>
  </si>
  <si>
    <t>Alectra Utilities Corporation_Powerstream Rate Zone_General Service Less Than 50 kW Service Classification</t>
  </si>
  <si>
    <t>General Service 1,000 to 4,999 kW - Guelph Rate Zone</t>
  </si>
  <si>
    <t>General Service 50 To 999 kW - Guelph Rate Zone</t>
  </si>
  <si>
    <t>General Service 50 to 4,999 kW - Horizon Utilities Rate Zone</t>
  </si>
  <si>
    <t>General Service 50 to 4,999 kW - Powerstream Rate Zone</t>
  </si>
  <si>
    <t>Alectra Utilities Corporation_Powerstream Rate Zone_General Service 50 to 4,999 kW Service Classification</t>
  </si>
  <si>
    <t>General Service 50 to 499 kW - Enersource Rate Zone</t>
  </si>
  <si>
    <t>General Service 500 to 4,999 kW - Enersource Rate Zone</t>
  </si>
  <si>
    <t>Large Use - Enersource Rate Zone</t>
  </si>
  <si>
    <t>Large Use - Guelph Rate Zone</t>
  </si>
  <si>
    <t>Large Use - Horizon Utilities Rate Zone</t>
  </si>
  <si>
    <t>Large Use - Brampton Rate Zone</t>
  </si>
  <si>
    <t>Alectra Utilities Corporation_Brampton Rate Zone_Large Use Service Classification</t>
  </si>
  <si>
    <t>Large Use - Powerstream Rate Zone</t>
  </si>
  <si>
    <t>Alectra Utilities Corporation_Powerstream Rate Zone_Large Use Service Classification</t>
  </si>
  <si>
    <t>Large Use with Dedicated Assets - Horizon Utilities Rate Zone</t>
  </si>
  <si>
    <t>Residential - Enersource Rate Zone</t>
  </si>
  <si>
    <t>Residential - Guelph Rate Zone</t>
  </si>
  <si>
    <t>Residential - Horizon Utilities Rate Zone</t>
  </si>
  <si>
    <t>Residential - Powerstream Rate Zone</t>
  </si>
  <si>
    <t>Alectra Utilities Corporation_Powerstream Rate Zone_Residential Service Classification</t>
  </si>
  <si>
    <t>Sentinel Lighting - Guelph Rate Zone</t>
  </si>
  <si>
    <t>Sentinel Lighting - Horizon Utilities Rate Zone</t>
  </si>
  <si>
    <t>Sentinel Lighting - Powerstream Rate Zone</t>
  </si>
  <si>
    <t>Alectra Utilities Corporation_Powerstream Rate Zone_Sentinel Lighting Service Classification</t>
  </si>
  <si>
    <t>Street Lighting - Enersource Rate Zone</t>
  </si>
  <si>
    <t>Street Lighting - Guelph Rate Zone</t>
  </si>
  <si>
    <t>Street Lighting - Horizon Utilities Rate Zone</t>
  </si>
  <si>
    <t>Street Lighting - Powerstream Rate Zone</t>
  </si>
  <si>
    <t>Alectra Utilities Corporation_Powerstream Rate Zone_Street Lighting Service Classification</t>
  </si>
  <si>
    <t>Unmetered Scattered Load - Enersource Rate Zone</t>
  </si>
  <si>
    <t>Unmetered Scattered Load - Guelph Rate Zone</t>
  </si>
  <si>
    <t>Unmetered Scattered Load - Horizon Utilities Rate Zone</t>
  </si>
  <si>
    <t>Unmetered Scattered Load - Powerstream Rate Zone</t>
  </si>
  <si>
    <t>Alectra Utilities Corporation_Powerstream Rate Zone_Unmetered Scattered Load Service Classification</t>
  </si>
  <si>
    <t>Algoma Power Inc._R1ii)_Residential Service Classification</t>
  </si>
  <si>
    <t>Algoma Power Inc._R2_Residential Service Classification</t>
  </si>
  <si>
    <t>Algoma Power Inc._R1i)_Residential Service Classification</t>
  </si>
  <si>
    <t>Algoma Power Inc._Seasonal_Residential Service Classification</t>
  </si>
  <si>
    <t>Centre Wellington Hydro Ltd._General Service 50 to 4,999 kW Service Classification</t>
  </si>
  <si>
    <t>ERTH Power Corporation_Main Rate Zone_Large Use Service Classification</t>
  </si>
  <si>
    <t>General Service &lt; 50 kW - Veridian Rate Zone</t>
  </si>
  <si>
    <t>General Service &lt; 50 kW - Whitby Rate Zone</t>
  </si>
  <si>
    <t>General Service 3,000 to 4,999 kW - Veridian Rate Zone</t>
  </si>
  <si>
    <t>General Service 50 to 2,999 kW - Veridian Rate Zone</t>
  </si>
  <si>
    <t>General Service 50 to 4,999 kW - Whitby Rate Zone</t>
  </si>
  <si>
    <t>Large Use - Veridian Rate Zone</t>
  </si>
  <si>
    <t>Residential - Veridian Rate Zone</t>
  </si>
  <si>
    <t>Residential - Whitby Rate Zone</t>
  </si>
  <si>
    <t>Residential Seasonal - Veridian Rate Zone</t>
  </si>
  <si>
    <t>Sentinel Lighting - Veridian Rate Zone</t>
  </si>
  <si>
    <t>Sentinel Lighting - Whitby Rate Zone</t>
  </si>
  <si>
    <t>Street Lighting - Veridian Rate Zone</t>
  </si>
  <si>
    <t>Street Lighting - Whitby Rate Zone</t>
  </si>
  <si>
    <t>Unmetered Scattered Load - Veridian Rate Zone</t>
  </si>
  <si>
    <t>Unmetered Scattered Load - Whitby Rate Zone</t>
  </si>
  <si>
    <t>Embedded Distributor-Kitchener-Wilmot Hydro Rate Zone</t>
  </si>
  <si>
    <t>Enova Power Corp._Kitchener-Wilmot Hydro Rate Zone_Embedded Distributor Service Classification</t>
  </si>
  <si>
    <t>Embedded Distributor-Waterloo North Rate Zone</t>
  </si>
  <si>
    <t>General Service Less Than 50 kW-Kitchener-Wilmot Hydro Rate Zone</t>
  </si>
  <si>
    <t>Enova Power Corp._Kitchener-Wilmot Hydro Rate Zone_General Service Less Than 50 kW Service Classification</t>
  </si>
  <si>
    <t>General Service Less Than 50 kW-Waterloo North Rate Zone</t>
  </si>
  <si>
    <t>Enova Power Corp._Waterloo North Rate Zone_General Service Less Than 50 kW Service Classification</t>
  </si>
  <si>
    <t>General Service 50 to 4,999 kW-Kitchener-Wilmot Hydro Rate Zone</t>
  </si>
  <si>
    <t>Enova Power Corp._Kitchener-Wilmot Hydro Rate Zone_General Service 50 to 4,999 kW Service Classification</t>
  </si>
  <si>
    <t>General Service 50 to 4,999 kW-Waterloo North Rate Zone</t>
  </si>
  <si>
    <t>Enova Power Corp._Waterloo North Rate Zone_General Service 50 to 4,999 kW Service Classification</t>
  </si>
  <si>
    <t>Large Use-Kitchener-Wilmot Hydro Rate Zone</t>
  </si>
  <si>
    <t>Large Use-Waterloo North Rate Zone</t>
  </si>
  <si>
    <t>Residential-Kitchener-Wilmot Hydro Rate Zone</t>
  </si>
  <si>
    <t>Residential-Waterloo North Rate Zone</t>
  </si>
  <si>
    <t>Street Lighting-Kitchener-Wilmot Hydro Rate Zone</t>
  </si>
  <si>
    <t>Street Lighting-Waterloo North Rate Zone</t>
  </si>
  <si>
    <t>Unmetered Scattered Load-Kitchener-Wilmot Hydro Rate Zone</t>
  </si>
  <si>
    <t>Unmetered Scattered Load-Waterloo North Rate Zone</t>
  </si>
  <si>
    <t>Embedded Distributor - Waterloo North Rate Zone Hydro-Energy+</t>
  </si>
  <si>
    <t>GrandBridge Energy Inc._Brantford Power Rate Zone_General Service Less Than 50 kW Service Classification</t>
  </si>
  <si>
    <t>GrandBridge Energy Inc._Energy+ Rate Zone_General Service Less Than 50 kW Service Classification</t>
  </si>
  <si>
    <t>GrandBridge Energy Inc._Energy+ Rate Zone_General Service 50 to 999 kW Service Classification</t>
  </si>
  <si>
    <t>GrandBridge Energy Inc._Energy+ Rate Zone_Large Use Service Classification</t>
  </si>
  <si>
    <t>Hydro One Networks Inc._Hydro One_Embedded Distributor (Haldimand County) Service Classification</t>
  </si>
  <si>
    <t>Hydro One Networks Inc._Norfolk Power_Embedded Distributor Service Classification</t>
  </si>
  <si>
    <t>Hydro One Networks Inc._Embedded Distributor - Hydro One Networks_Sub Transmission Service Classification</t>
  </si>
  <si>
    <t>Hydro One Networks Inc._GSe metered - Hydro One Networks_General Service Energy Billed (less than 50 kW) Service Classification</t>
  </si>
  <si>
    <t>Hydro One Networks Inc._Haldimand County_General Service Less Than 50 kW Service Classification</t>
  </si>
  <si>
    <t>Hydro One Networks Inc._Norfolk Power_General Service Less Than 50 kW Service Classification</t>
  </si>
  <si>
    <t>Hydro One Networks Inc._Orillia_General Service Less Than 50 kW Service Classification</t>
  </si>
  <si>
    <t>Hydro One Networks Inc._Peterborough_General Service Less Than 50 kW Service Classification</t>
  </si>
  <si>
    <t>Hydro One Networks Inc._Woodstock Hydro_General Service Less Than 50 kW Service Classification</t>
  </si>
  <si>
    <t>Hydro One Networks Inc._chapleau_General Service Less Than 50 kW Service Classification</t>
  </si>
  <si>
    <t>Hydro One Networks Inc._UGe - Hydro One Networks_Urban General Service Energy Billed (less than 50 kW) Service Classification</t>
  </si>
  <si>
    <t>Hydro One Networks Inc._Haldimand County_General Service 50 to 4,999 kW Service Classification</t>
  </si>
  <si>
    <t>Hydro One Networks Inc._Norfolk Power_General Service 50 to 4,999 kW Service Classification</t>
  </si>
  <si>
    <t>Hydro One Networks Inc._Orillia_General Service 50 to 4,999 kW Service Classification</t>
  </si>
  <si>
    <t>Hydro One Networks Inc._Peterborough_General Service 50 to 4,999 kW Service Classification</t>
  </si>
  <si>
    <t>Hydro One Networks Inc._chapleau_General Service 50 to 4,999 kW Service Classification</t>
  </si>
  <si>
    <t>Hydro One Networks Inc._Woodstock Hydro_General Service 50 to 999 kW Service Classification</t>
  </si>
  <si>
    <t>Hydro One Networks Inc._GSd - Hydro One Networks_General Service Demand Billed (50 kW and above) Service Classification</t>
  </si>
  <si>
    <t>Hydro One Networks Inc._Woodstock Hydro_General Service Greater than 1,000 kW Service Classification</t>
  </si>
  <si>
    <t>Hydro One Networks Inc._UGd - Hydro One Networks_Urban General Service Demand Billed (50 kW and above) Service Classification</t>
  </si>
  <si>
    <t>Hydro One Networks Inc._Peterborough_Large Use Service Classification</t>
  </si>
  <si>
    <t>Hydro One Networks Inc._Haldimand County_Residential Service Classification</t>
  </si>
  <si>
    <t>Hydro One Networks Inc._Low Density (R2) - Hydro One Networks_Residential Service Classification</t>
  </si>
  <si>
    <t>Hydro One Networks Inc._Medium Density (R1) - Hydro One Networks_Residential Service Classification</t>
  </si>
  <si>
    <t>Hydro One Networks Inc._Norfolk Power_Residential Service Classification</t>
  </si>
  <si>
    <t>Hydro One Networks Inc._Orillia_Residential Service Classification</t>
  </si>
  <si>
    <t>Hydro One Networks Inc._Peterborough_Residential Service Classification</t>
  </si>
  <si>
    <t>Hydro One Networks Inc._Seasonal - Hydro One Networks_Residential Service Classification</t>
  </si>
  <si>
    <t>Hydro One Networks Inc._Urban (UR) - Hydro One Networks_Residential Service Classification</t>
  </si>
  <si>
    <t>Hydro One Networks Inc._Woodstock Hydro_Residential Service Classification</t>
  </si>
  <si>
    <t>Hydro One Networks Inc._chapleau_Residential Service Classification</t>
  </si>
  <si>
    <t>Hydro One Networks Inc._Haldimand County_Sentinel Lighting Service Classification</t>
  </si>
  <si>
    <t>Hydro One Networks Inc._Hydro One Networks_Sentinel Lighting Service Classification</t>
  </si>
  <si>
    <t>Hydro One Networks Inc._Norfolk Power_Sentinel Lighting Service Classification</t>
  </si>
  <si>
    <t>Hydro One Networks Inc._Orillia_Sentinel Lighting Service Classification</t>
  </si>
  <si>
    <t>Hydro One Networks Inc._Peterborough_Sentinel Lighting Service Classification</t>
  </si>
  <si>
    <t>Hydro One Networks Inc._chapleau_Sentinel Lighting Service Classification</t>
  </si>
  <si>
    <t>Hydro One Networks Inc._Haldimand County_Street Lighting Service Classification</t>
  </si>
  <si>
    <t>Hydro One Networks Inc._Hydro One Networks_Street Lighting Service Classification</t>
  </si>
  <si>
    <t>Hydro One Networks Inc._Orillia_Street Lighting Service Classification</t>
  </si>
  <si>
    <t>Hydro One Networks Inc._Peterborough_Street Lighting Service Classification</t>
  </si>
  <si>
    <t>Hydro One Networks Inc._Woodstock Hydro_Street Lighting Service Classification</t>
  </si>
  <si>
    <t>Hydro One Networks Inc._chapleau_Street Lighting Service Classification</t>
  </si>
  <si>
    <t>Hydro One Networks Inc._End Use Customer - Hydro One Networks_Sub Transmission Service Classification</t>
  </si>
  <si>
    <t>Hydro One Networks Inc._GSe unmetered - Hydro One Networks_General Service Energy Billed (less than 50 kW) Service Classification</t>
  </si>
  <si>
    <t>Hydro One Networks Inc._Haldimand County_Unmetered Scattered Load Service Classification</t>
  </si>
  <si>
    <t>Hydro One Networks Inc._Norfolk Power_Unmetered Scattered Load Service Classification</t>
  </si>
  <si>
    <t>Hydro One Networks Inc._Orillia_Unmetered Scattered Load Service Classification</t>
  </si>
  <si>
    <t>Hydro One Networks Inc._Peterborough_Unmetered Scattered Load Service Classification</t>
  </si>
  <si>
    <t>Hydro One Networks Inc._Woodstock Hydro_Unmetered Scattered Load Service Classification</t>
  </si>
  <si>
    <t>Hydro One Networks Inc._chapleau_Unmetered Scattered Load Service Classification</t>
  </si>
  <si>
    <t>InnPower Corporation_Embedded Distributor Service Classification</t>
  </si>
  <si>
    <t xml:space="preserve">General Service Less Than 50 kW </t>
  </si>
  <si>
    <t>General Service Less Than 50 kW - Midland Rate Zone</t>
  </si>
  <si>
    <t>Residential - Midland Rate Zone</t>
  </si>
  <si>
    <t>Street Lighting - Midland Rate Zone</t>
  </si>
  <si>
    <t>Unmetered Scattered Load - Midland Rate Zone</t>
  </si>
  <si>
    <t>General Service Less Than 50 kW-Espanola Rate Zone</t>
  </si>
  <si>
    <t>North Bay Hydro Distribution Limited_Espanola Rate Zone_General Service Less Than 50 kW Service Classification</t>
  </si>
  <si>
    <t>North Bay Hydro Distribution Limited_North Bay Rate Zone_General Service Less Than 50 kW Service Classification</t>
  </si>
  <si>
    <t>North Bay Hydro Distribution Limited_North Bay Rate Zone_General Service 3,000 to 4,999 kW Service Classification</t>
  </si>
  <si>
    <t>North Bay Hydro Distribution Limited_North Bay Rate Zone_General Service 50 to 2,999 kW Service Classification</t>
  </si>
  <si>
    <t>General Service 50 to 4,999 kW-Espanola Rate Zone</t>
  </si>
  <si>
    <t>North Bay Hydro Distribution Limited_Espanola Rate Zone_General Service 50 to 4,999 kW Service Classification</t>
  </si>
  <si>
    <t>Residential-Espanola Rate Zone</t>
  </si>
  <si>
    <t>Sentinel Lighting-Espanola Rate Zone</t>
  </si>
  <si>
    <t>Street Lighting-Espanola Rate Zone</t>
  </si>
  <si>
    <t>Unmetered Scattered Load-Espanola Rate Zone</t>
  </si>
  <si>
    <t>General Service &lt; 50 kW - Kenora Rate Zone</t>
  </si>
  <si>
    <t>General Service Less Than 50 kW - Thunder Bay Rate Zone</t>
  </si>
  <si>
    <t>General Service 1,000 or Greater - Thunder Bay Rate Zone</t>
  </si>
  <si>
    <t>General Service 50 to 999 kW - Thunder Bay Rate Zone</t>
  </si>
  <si>
    <t>General Service &gt;= 50 kW - Kenora Rate Zone</t>
  </si>
  <si>
    <t>Residential - Kenora Rate Zone</t>
  </si>
  <si>
    <t>Residential - Thunder Bay Rate Zone</t>
  </si>
  <si>
    <t>Sentinel Lighting - Thunder Bay Rate Zone</t>
  </si>
  <si>
    <t>Street Lighting - Thunder Bay Rate Zone</t>
  </si>
  <si>
    <t>Street Lighting Connections - Kenora Rate Zone</t>
  </si>
  <si>
    <t>Unmetered Scattered Load - Thunder Bay Rate Zone</t>
  </si>
  <si>
    <t>Unmetered Scattered Load Connections - Kenora Rate Zone</t>
  </si>
  <si>
    <t>Toronto Hydro-Electric System Limited_Competitive Sector Multi-Unit_Residential Service Classification</t>
  </si>
  <si>
    <t>9_EMBEDDED DISTRIBUTOR SERVICE CLASSIFICATION - HYDRO ONE CND</t>
  </si>
  <si>
    <t>9_EMBEDDED DISTRIBUTOR SERVICE CLASSIFICATION - HYDRO ONE CND_DVC</t>
  </si>
  <si>
    <t>9_EMBEDDED DISTRIBUTOR SERVICE CLASSIFICATION - HYDRO ONE CND_GA_kwh</t>
  </si>
  <si>
    <t>9_EMBEDDED DISTRIBUTOR SERVICE CLASSIFICATION - HYDRO ONE CND_DEFVAR_ALL</t>
  </si>
  <si>
    <t>9_EMBEDDED DISTRIBUTOR SERVICE CLASSIFICATION - HYDRO ONE CND_CBR</t>
  </si>
  <si>
    <t>9_EMBEDDED DISTRIBUTOR SERVICE CLASSIFICATION - HYDRO ONE CND_FX_RR_179</t>
  </si>
  <si>
    <t>9_EMBEDDED DISTRIBUTOR SERVICE CLASSIFICATION - HYDRO ONE CND_FX_RR_180</t>
  </si>
  <si>
    <t>9_EMBEDDED DISTRIBUTOR SERVICE CLASSIFICATION - HYDRO ONE CND_Retail Transmission Rate - Network Service Rate</t>
  </si>
  <si>
    <t>9_EMBEDDED DISTRIBUTOR SERVICE CLASSIFICATION - HYDRO ONE CND_Retail Transmission Rate - Line and Transformation Connection Service Rate</t>
  </si>
  <si>
    <t>9_EMBEDDED DISTRIBUTOR SERVICE CLASSIFICATION - HYDRO ONE CND_WMSR</t>
  </si>
  <si>
    <t>9_EMBEDDED DISTRIBUTOR SERVICE CLASSIFICATION - HYDRO ONE CND_RRRP</t>
  </si>
  <si>
    <t>9_EMBEDDED DISTRIBUTOR SERVICE CLASSIFICATION - HYDRO ONE CND_SSS</t>
  </si>
  <si>
    <t>10_EMBEDDED DISTRIBUTOR SERVICE CLASSIFICATION - WATERLOO</t>
  </si>
  <si>
    <t>10_EMBEDDED DISTRIBUTOR SERVICE CLASSIFICATION - WATERLOO_DVC</t>
  </si>
  <si>
    <t>10_EMBEDDED DISTRIBUTOR SERVICE CLASSIFICATION - WATERLOO_FX_RR_181</t>
  </si>
  <si>
    <t>10_EMBEDDED DISTRIBUTOR SERVICE CLASSIFICATION - WATERLOO_FX_RR_182</t>
  </si>
  <si>
    <t>10_EMBEDDED DISTRIBUTOR SERVICE CLASSIFICATION - WATERLOO_LV</t>
  </si>
  <si>
    <t>10_EMBEDDED DISTRIBUTOR SERVICE CLASSIFICATION - WATERLOO_DEFVAR_ALL</t>
  </si>
  <si>
    <t>10_EMBEDDED DISTRIBUTOR SERVICE CLASSIFICATION - WATERLOO_Retail Transmission Rate - Network Service Rate</t>
  </si>
  <si>
    <t>10_EMBEDDED DISTRIBUTOR SERVICE CLASSIFICATION - WATERLOO_Retail Transmission Rate - Line and Transformation Connection Service Rate</t>
  </si>
  <si>
    <t>10_EMBEDDED DISTRIBUTOR SERVICE CLASSIFICATION - WATERLOO_WMSR</t>
  </si>
  <si>
    <t>10_EMBEDDED DISTRIBUTOR SERVICE CLASSIFICATION - WATERLOO_RRRP</t>
  </si>
  <si>
    <t>10_EMBEDDED DISTRIBUTOR SERVICE CLASSIFICATION - WATERLOO_SSS</t>
  </si>
  <si>
    <t>11_EMBEDDED DISTRIBUTOR SERVICE CLASSIFICATION - BRANTFORD</t>
  </si>
  <si>
    <t>11_EMBEDDED DISTRIBUTOR SERVICE CLASSIFICATION - BRANTFORD_DVC</t>
  </si>
  <si>
    <t>11_EMBEDDED DISTRIBUTOR SERVICE CLASSIFICATION - BRANTFORD_FX_RR_183</t>
  </si>
  <si>
    <t>11_EMBEDDED DISTRIBUTOR SERVICE CLASSIFICATION - BRANTFORD_FX_RR_184</t>
  </si>
  <si>
    <t>11_EMBEDDED DISTRIBUTOR SERVICE CLASSIFICATION - BRANTFORD_LV</t>
  </si>
  <si>
    <t>11_EMBEDDED DISTRIBUTOR SERVICE CLASSIFICATION - BRANTFORD_GA_kwh</t>
  </si>
  <si>
    <t>11_EMBEDDED DISTRIBUTOR SERVICE CLASSIFICATION - BRANTFORD_DEFVAR_ALL</t>
  </si>
  <si>
    <t>11_EMBEDDED DISTRIBUTOR SERVICE CLASSIFICATION - BRANTFORD_CBR</t>
  </si>
  <si>
    <t>11_EMBEDDED DISTRIBUTOR SERVICE CLASSIFICATION - BRANTFORD_Retail Transmission Rate - Network Service Rate</t>
  </si>
  <si>
    <t>11_EMBEDDED DISTRIBUTOR SERVICE CLASSIFICATION - BRANTFORD_Retail Transmission Rate - Line and Transformation Connection Service Rate</t>
  </si>
  <si>
    <t>11_EMBEDDED DISTRIBUTOR SERVICE CLASSIFICATION - BRANTFORD_WMSR</t>
  </si>
  <si>
    <t>11_EMBEDDED DISTRIBUTOR SERVICE CLASSIFICATION - BRANTFORD_RRRP</t>
  </si>
  <si>
    <t>11_EMBEDDED DISTRIBUTOR SERVICE CLASSIFICATION - BRANTFORD_SSS</t>
  </si>
  <si>
    <t>12_EMBEDDED DISTRIBUTOR SERVICE CLASSIFICATION - HYDRO ONE #1</t>
  </si>
  <si>
    <t>12_EMBEDDED DISTRIBUTOR SERVICE CLASSIFICATION - HYDRO ONE #1_MSC</t>
  </si>
  <si>
    <t>12_EMBEDDED DISTRIBUTOR SERVICE CLASSIFICATION - HYDRO ONE #1_FX_RR_185</t>
  </si>
  <si>
    <t>12_EMBEDDED DISTRIBUTOR SERVICE CLASSIFICATION - HYDRO ONE #1_FX_RR_186</t>
  </si>
  <si>
    <t>12_EMBEDDED DISTRIBUTOR SERVICE CLASSIFICATION - HYDRO ONE #1_DVC</t>
  </si>
  <si>
    <t>12_EMBEDDED DISTRIBUTOR SERVICE CLASSIFICATION - HYDRO ONE #1_GA_kwh</t>
  </si>
  <si>
    <t>12_EMBEDDED DISTRIBUTOR SERVICE CLASSIFICATION - HYDRO ONE #1_DEFVAR_ALL</t>
  </si>
  <si>
    <t>12_EMBEDDED DISTRIBUTOR SERVICE CLASSIFICATION - HYDRO ONE #1_CBR</t>
  </si>
  <si>
    <t>12_EMBEDDED DISTRIBUTOR SERVICE CLASSIFICATION - HYDRO ONE #1_Retail Transmission Rate - Network Service Rate</t>
  </si>
  <si>
    <t>12_EMBEDDED DISTRIBUTOR SERVICE CLASSIFICATION - HYDRO ONE #1_Retail Transmission Rate - Line and Transformation Connection Service Rate</t>
  </si>
  <si>
    <t>12_EMBEDDED DISTRIBUTOR SERVICE CLASSIFICATION - HYDRO ONE #1_WMSR</t>
  </si>
  <si>
    <t>12_EMBEDDED DISTRIBUTOR SERVICE CLASSIFICATION - HYDRO ONE #1_RRRP</t>
  </si>
  <si>
    <t>12_EMBEDDED DISTRIBUTOR SERVICE CLASSIFICATION - HYDRO ONE #1_SSS</t>
  </si>
  <si>
    <t>13_EMBEDDED DISTRIBUTOR SERVICE CLASSIFICATION - HYDRO ONE #2</t>
  </si>
  <si>
    <t>13_EMBEDDED DISTRIBUTOR SERVICE CLASSIFICATION - HYDRO ONE #2_MSC</t>
  </si>
  <si>
    <t>13_EMBEDDED DISTRIBUTOR SERVICE CLASSIFICATION - HYDRO ONE #2_FX_RR_187</t>
  </si>
  <si>
    <t>13_EMBEDDED DISTRIBUTOR SERVICE CLASSIFICATION - HYDRO ONE #2_FX_RR_188</t>
  </si>
  <si>
    <t>13_EMBEDDED DISTRIBUTOR SERVICE CLASSIFICATION - HYDRO ONE #2_GA_kwh</t>
  </si>
  <si>
    <t>13_EMBEDDED DISTRIBUTOR SERVICE CLASSIFICATION - HYDRO ONE #2_DEFVAR_ALL</t>
  </si>
  <si>
    <t>13_EMBEDDED DISTRIBUTOR SERVICE CLASSIFICATION - HYDRO ONE #2_CBR</t>
  </si>
  <si>
    <t>13_EMBEDDED DISTRIBUTOR SERVICE CLASSIFICATION - HYDRO ONE #2_WMSR</t>
  </si>
  <si>
    <t>13_EMBEDDED DISTRIBUTOR SERVICE CLASSIFICATION - HYDRO ONE #2_RRRP</t>
  </si>
  <si>
    <t>13_EMBEDDED DISTRIBUTOR SERVICE CLASSIFICATION - HYDRO ONE #2_SSS</t>
  </si>
  <si>
    <t>14_microFIT SERVICE CLASSIFICATION</t>
  </si>
  <si>
    <t>14_microFIT SERVICE CLASSIFICATION_MSC</t>
  </si>
  <si>
    <t>14_APPLICATION</t>
  </si>
  <si>
    <t>General Service 1,000 to 4,999 kW-Energy+</t>
  </si>
  <si>
    <t>GrandBridge Energy Inc._Energy+ Rate Zone_General Service 1,000 to 4,999 kW Service Classification</t>
  </si>
  <si>
    <t>GrandBridge Energy Inc._Energy+ Rate Zone_Sentinel Lighting Service Classification</t>
  </si>
  <si>
    <t>GrandBridge Energy Inc._Energy+ Rate Zone_Embedded Distributor Service Classification - Brantford</t>
  </si>
  <si>
    <t>GrandBridge Energy Inc._Energy+ Rate Zone_Embedded Distributor Service Classification - Hydro One #1</t>
  </si>
  <si>
    <t>GrandBridge Energy Inc._Energy+ Rate Zone_Embedded Distributor Service Classification - Hydro One #2</t>
  </si>
  <si>
    <t>GrandBridge Energy Inc._Energy+ Rate Zone_Embedded Distributor Service Classification - Hydro One CND</t>
  </si>
  <si>
    <t>GrandBridge Energy Inc._Energy+ Rate Zone_Embedded Distributor Service Classification - Waterloo</t>
  </si>
  <si>
    <t>General Service Greater Than 50 kW-Brantford</t>
  </si>
  <si>
    <t>GrandBridge Energy Inc._Brantford Power Rate Zone_GENERAL SERVICE GREATER THAN 50 KW SERVICE CLASSIFICATION</t>
  </si>
  <si>
    <t>GrandBridge Energy Inc._Brantford Power Rate Zone_Street Lighting Service Classification</t>
  </si>
  <si>
    <t>Seasonal - Veridian</t>
  </si>
  <si>
    <t>Alectra Utilities Corporation - Enersource Rate Zone1595_(2008)</t>
  </si>
  <si>
    <t>Alectra Utilities Corporation - Enersource Rate Zone1595_(2009)</t>
  </si>
  <si>
    <t>Alectra Utilities Corporation - Enersource Rate Zone1595_(2010)</t>
  </si>
  <si>
    <t>Alectra Utilities Corporation - Enersource Rate Zone1595_(2011)</t>
  </si>
  <si>
    <t>Alectra Utilities Corporation - Enersource Rate Zone1595_(2012)</t>
  </si>
  <si>
    <t>Alectra Utilities Corporation - Enersource Rate Zone1595_(2013)</t>
  </si>
  <si>
    <t>Alectra Utilities Corporation - Enersource Rate Zone1595_(2014)</t>
  </si>
  <si>
    <t>Alectra Utilities Corporation - Enersource Rate Zone1595_(2015)</t>
  </si>
  <si>
    <t>Alectra Utilities Corporation - Enersource Rate Zone1595_(2016)</t>
  </si>
  <si>
    <t>Alectra Utilities Corporation - Enersource Rate Zone1595_(2017)</t>
  </si>
  <si>
    <t>Alectra Utilities Corporation - Enersource Rate Zone1595_(2018)</t>
  </si>
  <si>
    <t>Alectra Utilities Corporation - Enersource Rate Zone1595_(2019)</t>
  </si>
  <si>
    <t>Alectra Utilities Corporation - Enersource Rate Zone1595_(2020)</t>
  </si>
  <si>
    <t>Alectra Utilities Corporation - Enersource Rate Zone1595_(2021)</t>
  </si>
  <si>
    <t>Alectra Utilities Corporation - Enersource Rate Zone1595_(2022)</t>
  </si>
  <si>
    <t>Alectra Utilities Corporation - Enersource Rate Zone1595_(2023)</t>
  </si>
  <si>
    <t>Alectra Utilities Corporation - Enersource Rate Zone1595_(2024)</t>
  </si>
  <si>
    <t>Alectra Utilities Corporation - Enersource Rate Zone1595_n 2012</t>
  </si>
  <si>
    <t>Alectra Utilities Corporation - Enersource Rate Zone1595_n 2013</t>
  </si>
  <si>
    <t>Alectra Utilities Corporation - Enersource Rate Zone1595_n 2014</t>
  </si>
  <si>
    <t>Alectra Utilities Corporation - Guelph Hydro Rate Zone1595_(2008)</t>
  </si>
  <si>
    <t>Alectra Utilities Corporation - Guelph Hydro Rate Zone1595_(2009)</t>
  </si>
  <si>
    <t>Alectra Utilities Corporation - Guelph Hydro Rate Zone1595_(2010)</t>
  </si>
  <si>
    <t>Alectra Utilities Corporation - Guelph Hydro Rate Zone1595_(2011)</t>
  </si>
  <si>
    <t>Alectra Utilities Corporation - Guelph Hydro Rate Zone1595_(2012)</t>
  </si>
  <si>
    <t>Alectra Utilities Corporation - Guelph Hydro Rate Zone1595_(2013)</t>
  </si>
  <si>
    <t>Alectra Utilities Corporation - Guelph Hydro Rate Zone1595_(2014)</t>
  </si>
  <si>
    <t>Alectra Utilities Corporation - Guelph Hydro Rate Zone1595_(2015)</t>
  </si>
  <si>
    <t>Alectra Utilities Corporation - Guelph Hydro Rate Zone1595_(2016)</t>
  </si>
  <si>
    <t>Alectra Utilities Corporation - Guelph Hydro Rate Zone1595_(2017)</t>
  </si>
  <si>
    <t>Alectra Utilities Corporation - Guelph Hydro Rate Zone1595_(2018)</t>
  </si>
  <si>
    <t>Alectra Utilities Corporation - Guelph Hydro Rate Zone1595_(2019)</t>
  </si>
  <si>
    <t>Alectra Utilities Corporation - Guelph Hydro Rate Zone1595_(2020)</t>
  </si>
  <si>
    <t>Alectra Utilities Corporation - Guelph Hydro Rate Zone1595_(2021)</t>
  </si>
  <si>
    <t>Alectra Utilities Corporation - Guelph Hydro Rate Zone1595_(2022)</t>
  </si>
  <si>
    <t>Alectra Utilities Corporation - Guelph Hydro Rate Zone1595_(2023)</t>
  </si>
  <si>
    <t>Alectra Utilities Corporation - Guelph Hydro Rate Zone1595_(2024)</t>
  </si>
  <si>
    <t>Alectra Utilities Corporation - Guelph Hydro Rate Zone1595_n 2012</t>
  </si>
  <si>
    <t>Alectra Utilities Corporation - Guelph Hydro Rate Zone1595_n 2013</t>
  </si>
  <si>
    <t>Alectra Utilities Corporation - Guelph Hydro Rate Zone1595_n 2014</t>
  </si>
  <si>
    <t>Alectra Utilities Corporation - Horizon Rate Zone1595_(2008)</t>
  </si>
  <si>
    <t>Alectra Utilities Corporation - Horizon Rate Zone1595_(2009)</t>
  </si>
  <si>
    <t>Alectra Utilities Corporation - Horizon Rate Zone1595_(2010)</t>
  </si>
  <si>
    <t>Alectra Utilities Corporation - Horizon Rate Zone1595_(2011)</t>
  </si>
  <si>
    <t>Alectra Utilities Corporation - Horizon Rate Zone1595_(2012)</t>
  </si>
  <si>
    <t>Alectra Utilities Corporation - Horizon Rate Zone1595_(2013)</t>
  </si>
  <si>
    <t>Alectra Utilities Corporation - Horizon Rate Zone1595_(2014)</t>
  </si>
  <si>
    <t>Alectra Utilities Corporation - Horizon Rate Zone1595_(2015)</t>
  </si>
  <si>
    <t>Alectra Utilities Corporation - Horizon Rate Zone1595_(2016)</t>
  </si>
  <si>
    <t>Alectra Utilities Corporation - Horizon Rate Zone1595_(2017)</t>
  </si>
  <si>
    <t>Alectra Utilities Corporation - Horizon Rate Zone1595_(2018)</t>
  </si>
  <si>
    <t>Alectra Utilities Corporation - Horizon Rate Zone1595_(2019)</t>
  </si>
  <si>
    <t>Alectra Utilities Corporation - Horizon Rate Zone1595_(2020)</t>
  </si>
  <si>
    <t>Alectra Utilities Corporation - Horizon Rate Zone1595_(2021)</t>
  </si>
  <si>
    <t>Alectra Utilities Corporation - Horizon Rate Zone1595_(2022)</t>
  </si>
  <si>
    <t>Alectra Utilities Corporation - Horizon Rate Zone1595_(2023)</t>
  </si>
  <si>
    <t>Alectra Utilities Corporation - Horizon Rate Zone1595_(2024)</t>
  </si>
  <si>
    <t>Alectra Utilities Corporation - Horizon Rate Zone1595_n 2012</t>
  </si>
  <si>
    <t>Alectra Utilities Corporation - Horizon Rate Zone1595_n 2013</t>
  </si>
  <si>
    <t>Alectra Utilities Corporation - Horizon Rate Zone1595_n 2014</t>
  </si>
  <si>
    <t>Alectra Utilities Corporation - Brampton Rate Zone1595_(2008)</t>
  </si>
  <si>
    <t>Alectra Utilities Corporation - Brampton Rate Zone1595_(2009)</t>
  </si>
  <si>
    <t>Alectra Utilities Corporation - Brampton Rate Zone1595_(2010)</t>
  </si>
  <si>
    <t>Alectra Utilities Corporation - Brampton Rate Zone1595_(2011)</t>
  </si>
  <si>
    <t>Alectra Utilities Corporation - Brampton Rate Zone1595_(2012)</t>
  </si>
  <si>
    <t>Alectra Utilities Corporation - Brampton Rate Zone1595_(2013)</t>
  </si>
  <si>
    <t>Alectra Utilities Corporation - Brampton Rate Zone1595_(2014)</t>
  </si>
  <si>
    <t>Alectra Utilities Corporation - Brampton Rate Zone1595_(2015)</t>
  </si>
  <si>
    <t>Alectra Utilities Corporation - Brampton Rate Zone1595_(2016)</t>
  </si>
  <si>
    <t>Alectra Utilities Corporation - Brampton Rate Zone1595_(2017)</t>
  </si>
  <si>
    <t>Alectra Utilities Corporation - Brampton Rate Zone1595_(2018)</t>
  </si>
  <si>
    <t>Alectra Utilities Corporation - Brampton Rate Zone1595_(2019)</t>
  </si>
  <si>
    <t>Alectra Utilities Corporation - Brampton Rate Zone1595_(2020)</t>
  </si>
  <si>
    <t>Alectra Utilities Corporation - Brampton Rate Zone1595_(2021)</t>
  </si>
  <si>
    <t>Alectra Utilities Corporation - Brampton Rate Zone1595_(2022)</t>
  </si>
  <si>
    <t>Alectra Utilities Corporation - Brampton Rate Zone1595_(2023)</t>
  </si>
  <si>
    <t>Alectra Utilities Corporation - Brampton Rate Zone1595_(2024)</t>
  </si>
  <si>
    <t>Alectra Utilities Corporation - Brampton Rate Zone1595_n 2012</t>
  </si>
  <si>
    <t>Alectra Utilities Corporation - Brampton Rate Zone1595_n 2013</t>
  </si>
  <si>
    <t>Alectra Utilities Corporation - Brampton Rate Zone1595_n 2014</t>
  </si>
  <si>
    <t>Alectra Utilities Corporation - PowerStream Rate Zone1595_(2008)</t>
  </si>
  <si>
    <t>Alectra Utilities Corporation - PowerStream Rate Zone1595_(2009)</t>
  </si>
  <si>
    <t>Alectra Utilities Corporation - PowerStream Rate Zone1595_(2010)</t>
  </si>
  <si>
    <t>Alectra Utilities Corporation - PowerStream Rate Zone1595_(2011)</t>
  </si>
  <si>
    <t>Alectra Utilities Corporation - PowerStream Rate Zone1595_(2012)</t>
  </si>
  <si>
    <t>Alectra Utilities Corporation - PowerStream Rate Zone1595_(2013)</t>
  </si>
  <si>
    <t>Alectra Utilities Corporation - PowerStream Rate Zone1595_(2014)</t>
  </si>
  <si>
    <t>Alectra Utilities Corporation - PowerStream Rate Zone1595_(2015)</t>
  </si>
  <si>
    <t>Alectra Utilities Corporation - PowerStream Rate Zone1595_(2016)</t>
  </si>
  <si>
    <t>Alectra Utilities Corporation - PowerStream Rate Zone1595_(2017)</t>
  </si>
  <si>
    <t>Alectra Utilities Corporation - PowerStream Rate Zone1595_(2018)</t>
  </si>
  <si>
    <t>Alectra Utilities Corporation - PowerStream Rate Zone1595_(2019)</t>
  </si>
  <si>
    <t>Alectra Utilities Corporation - PowerStream Rate Zone1595_(2020)</t>
  </si>
  <si>
    <t>Alectra Utilities Corporation - PowerStream Rate Zone1595_(2021)</t>
  </si>
  <si>
    <t>Alectra Utilities Corporation - PowerStream Rate Zone1595_(2022)</t>
  </si>
  <si>
    <t>Alectra Utilities Corporation - PowerStream Rate Zone1595_(2023)</t>
  </si>
  <si>
    <t>Alectra Utilities Corporation - PowerStream Rate Zone1595_(2024)</t>
  </si>
  <si>
    <t>Alectra Utilities Corporation - PowerStream Rate Zone1595_n 2012</t>
  </si>
  <si>
    <t>Alectra Utilities Corporation - PowerStream Rate Zone1595_n 2013</t>
  </si>
  <si>
    <t>Alectra Utilities Corporation - PowerStream Rate Zone1595_n 2014</t>
  </si>
  <si>
    <t>Elexicon Energy Inc. - Veridian Rate Zone1595_(2008)</t>
  </si>
  <si>
    <t>Elexicon Energy Inc. - Veridian Rate Zone1595_(2009)</t>
  </si>
  <si>
    <t>Elexicon Energy Inc. - Veridian Rate Zone1595_(2010)</t>
  </si>
  <si>
    <t>Elexicon Energy Inc. - Veridian Rate Zone1595_(2011)</t>
  </si>
  <si>
    <t>Elexicon Energy Inc. - Veridian Rate Zone1595_(2012)</t>
  </si>
  <si>
    <t>Elexicon Energy Inc. - Veridian Rate Zone1595_(2013)</t>
  </si>
  <si>
    <t>Elexicon Energy Inc. - Veridian Rate Zone1595_(2014)</t>
  </si>
  <si>
    <t>Elexicon Energy Inc. - Veridian Rate Zone1595_(2015)</t>
  </si>
  <si>
    <t>Elexicon Energy Inc. - Veridian Rate Zone1595_(2016)</t>
  </si>
  <si>
    <t>Elexicon Energy Inc. - Veridian Rate Zone1595_(2017)</t>
  </si>
  <si>
    <t>Elexicon Energy Inc. - Veridian Rate Zone1595_(2018)</t>
  </si>
  <si>
    <t>Elexicon Energy Inc. - Veridian Rate Zone1595_(2019)</t>
  </si>
  <si>
    <t>Elexicon Energy Inc. - Veridian Rate Zone1595_(2020)</t>
  </si>
  <si>
    <t>Elexicon Energy Inc. - Veridian Rate Zone1595_(2021)</t>
  </si>
  <si>
    <t>Elexicon Energy Inc. - Veridian Rate Zone1595_(2022)</t>
  </si>
  <si>
    <t>Elexicon Energy Inc. - Veridian Rate Zone1595_(2023)</t>
  </si>
  <si>
    <t>Elexicon Energy Inc. - Veridian Rate Zone1595_(2024)</t>
  </si>
  <si>
    <t>Elexicon Energy Inc. - Veridian Rate Zone1595_n 2012</t>
  </si>
  <si>
    <t>Elexicon Energy Inc. - Veridian Rate Zone1595_n 2013</t>
  </si>
  <si>
    <t>Elexicon Energy Inc. - Veridian Rate Zone1595_n 2014</t>
  </si>
  <si>
    <t>Elexicon Energy Inc. - Whitby Rate Zone1595_(2008)</t>
  </si>
  <si>
    <t>Elexicon Energy Inc. - Whitby Rate Zone1595_(2009)</t>
  </si>
  <si>
    <t>Elexicon Energy Inc. - Whitby Rate Zone1595_(2010)</t>
  </si>
  <si>
    <t>Elexicon Energy Inc. - Whitby Rate Zone1595_(2011)</t>
  </si>
  <si>
    <t>Elexicon Energy Inc. - Whitby Rate Zone1595_(2012)</t>
  </si>
  <si>
    <t>Elexicon Energy Inc. - Whitby Rate Zone1595_(2013)</t>
  </si>
  <si>
    <t>Elexicon Energy Inc. - Whitby Rate Zone1595_(2014)</t>
  </si>
  <si>
    <t>Elexicon Energy Inc. - Whitby Rate Zone1595_(2015)</t>
  </si>
  <si>
    <t>Elexicon Energy Inc. - Whitby Rate Zone1595_(2016)</t>
  </si>
  <si>
    <t>Elexicon Energy Inc. - Whitby Rate Zone1595_(2017)</t>
  </si>
  <si>
    <t>Elexicon Energy Inc. - Whitby Rate Zone1595_(2018)</t>
  </si>
  <si>
    <t>Elexicon Energy Inc. - Whitby Rate Zone1595_(2019)</t>
  </si>
  <si>
    <t>Elexicon Energy Inc. - Whitby Rate Zone1595_(2020)</t>
  </si>
  <si>
    <t>Elexicon Energy Inc. - Whitby Rate Zone1595_(2021)</t>
  </si>
  <si>
    <t>Elexicon Energy Inc. - Whitby Rate Zone1595_(2022)</t>
  </si>
  <si>
    <t>Elexicon Energy Inc. - Whitby Rate Zone1595_(2023)</t>
  </si>
  <si>
    <t>Elexicon Energy Inc. - Whitby Rate Zone1595_(2024)</t>
  </si>
  <si>
    <t>Elexicon Energy Inc. - Whitby Rate Zone1595_n 2012</t>
  </si>
  <si>
    <t>Elexicon Energy Inc. - Whitby Rate Zone1595_n 2013</t>
  </si>
  <si>
    <t>Elexicon Energy Inc. - Whitby Rate Zone1595_n 2014</t>
  </si>
  <si>
    <t>Enova Power Corp. - Kitchener-Wilmot Hydro Rate Zone1595_(2008)</t>
  </si>
  <si>
    <t>Enova Power Corp. - Kitchener-Wilmot Hydro Rate Zone1595_(2009)</t>
  </si>
  <si>
    <t>Enova Power Corp. - Kitchener-Wilmot Hydro Rate Zone1595_(2010)</t>
  </si>
  <si>
    <t>Enova Power Corp. - Kitchener-Wilmot Hydro Rate Zone1595_(2011)</t>
  </si>
  <si>
    <t>Enova Power Corp. - Kitchener-Wilmot Hydro Rate Zone1595_(2012)</t>
  </si>
  <si>
    <t>Enova Power Corp. - Kitchener-Wilmot Hydro Rate Zone1595_(2013)</t>
  </si>
  <si>
    <t>Enova Power Corp. - Kitchener-Wilmot Hydro Rate Zone1595_(2014)</t>
  </si>
  <si>
    <t>Enova Power Corp. - Kitchener-Wilmot Hydro Rate Zone1595_(2015)</t>
  </si>
  <si>
    <t>Enova Power Corp. - Kitchener-Wilmot Hydro Rate Zone1595_(2016)</t>
  </si>
  <si>
    <t>Enova Power Corp. - Kitchener-Wilmot Hydro Rate Zone1595_(2017)</t>
  </si>
  <si>
    <t>Enova Power Corp. - Kitchener-Wilmot Hydro Rate Zone1595_(2018)</t>
  </si>
  <si>
    <t>Enova Power Corp. - Kitchener-Wilmot Hydro Rate Zone1595_(2019)</t>
  </si>
  <si>
    <t>Enova Power Corp. - Kitchener-Wilmot Hydro Rate Zone1595_(2020)</t>
  </si>
  <si>
    <t>Enova Power Corp. - Kitchener-Wilmot Hydro Rate Zone1595_(2021)</t>
  </si>
  <si>
    <t>Enova Power Corp. - Kitchener-Wilmot Hydro Rate Zone1595_(2022)</t>
  </si>
  <si>
    <t>Enova Power Corp. - Kitchener-Wilmot Hydro Rate Zone1595_(2023)</t>
  </si>
  <si>
    <t>Enova Power Corp. - Kitchener-Wilmot Hydro Rate Zone1595_(2024)</t>
  </si>
  <si>
    <t>Enova Power Corp. - Kitchener-Wilmot Hydro Rate Zone1595_n 2012</t>
  </si>
  <si>
    <t>Enova Power Corp. - Kitchener-Wilmot Hydro Rate Zone1595_n 2013</t>
  </si>
  <si>
    <t>Enova Power Corp. - Kitchener-Wilmot Hydro Rate Zone1595_n 2014</t>
  </si>
  <si>
    <t>Enova Power Corp. - Waterloo North Rate Zone1595_(2008)</t>
  </si>
  <si>
    <t>Enova Power Corp. - Waterloo North Rate Zone1595_(2009)</t>
  </si>
  <si>
    <t>Enova Power Corp. - Waterloo North Rate Zone1595_(2010)</t>
  </si>
  <si>
    <t>Enova Power Corp. - Waterloo North Rate Zone1595_(2011)</t>
  </si>
  <si>
    <t>Enova Power Corp. - Waterloo North Rate Zone1595_(2012)</t>
  </si>
  <si>
    <t>Enova Power Corp. - Waterloo North Rate Zone1595_(2013)</t>
  </si>
  <si>
    <t>Enova Power Corp. - Waterloo North Rate Zone1595_(2014)</t>
  </si>
  <si>
    <t>Enova Power Corp. - Waterloo North Rate Zone1595_(2015)</t>
  </si>
  <si>
    <t>Enova Power Corp. - Waterloo North Rate Zone1595_(2016)</t>
  </si>
  <si>
    <t>Enova Power Corp. - Waterloo North Rate Zone1595_(2017)</t>
  </si>
  <si>
    <t>Enova Power Corp. - Waterloo North Rate Zone1595_(2018)</t>
  </si>
  <si>
    <t>Enova Power Corp. - Waterloo North Rate Zone1595_(2019)</t>
  </si>
  <si>
    <t>Enova Power Corp. - Waterloo North Rate Zone1595_(2020)</t>
  </si>
  <si>
    <t>Enova Power Corp. - Waterloo North Rate Zone1595_(2021)</t>
  </si>
  <si>
    <t>Enova Power Corp. - Waterloo North Rate Zone1595_(2022)</t>
  </si>
  <si>
    <t>Enova Power Corp. - Waterloo North Rate Zone1595_(2023)</t>
  </si>
  <si>
    <t>Enova Power Corp. - Waterloo North Rate Zone1595_(2024)</t>
  </si>
  <si>
    <t>Enova Power Corp. - Waterloo North Rate Zone1595_n 2012</t>
  </si>
  <si>
    <t>Enova Power Corp. - Waterloo North Rate Zone1595_n 2013</t>
  </si>
  <si>
    <t>Enova Power Corp. - Waterloo North Rate Zone1595_n 2014</t>
  </si>
  <si>
    <t>Entegrus Powerlines Inc. - Main Rate Zone1595_(2008)</t>
  </si>
  <si>
    <t>Entegrus Powerlines Inc. - Main Rate Zone1595_(2009)</t>
  </si>
  <si>
    <t>Entegrus Powerlines Inc. - Main Rate Zone1595_(2010)</t>
  </si>
  <si>
    <t>Entegrus Powerlines Inc. - Main Rate Zone1595_(2011)</t>
  </si>
  <si>
    <t>Entegrus Powerlines Inc. - Main Rate Zone1595_(2012)</t>
  </si>
  <si>
    <t>Entegrus Powerlines Inc. - Main Rate Zone1595_(2013)</t>
  </si>
  <si>
    <t>Entegrus Powerlines Inc. - Main Rate Zone1595_(2014)</t>
  </si>
  <si>
    <t>Entegrus Powerlines Inc. - Main Rate Zone1595_(2015)</t>
  </si>
  <si>
    <t>Entegrus Powerlines Inc. - Main Rate Zone1595_(2016)</t>
  </si>
  <si>
    <t>Entegrus Powerlines Inc. - Main Rate Zone1595_(2017)</t>
  </si>
  <si>
    <t>Entegrus Powerlines Inc. - Main Rate Zone1595_(2018)</t>
  </si>
  <si>
    <t>Entegrus Powerlines Inc. - Main Rate Zone1595_(2019)</t>
  </si>
  <si>
    <t>Entegrus Powerlines Inc. - Main Rate Zone1595_(2020)</t>
  </si>
  <si>
    <t>Entegrus Powerlines Inc. - Main Rate Zone1595_(2021)</t>
  </si>
  <si>
    <t>Entegrus Powerlines Inc. - Main Rate Zone1595_(2022)</t>
  </si>
  <si>
    <t>Entegrus Powerlines Inc. - Main Rate Zone1595_(2023)</t>
  </si>
  <si>
    <t>Entegrus Powerlines Inc. - Main Rate Zone1595_(2024)</t>
  </si>
  <si>
    <t>Entegrus Powerlines Inc. - Main Rate Zone1595_n 2012</t>
  </si>
  <si>
    <t>Entegrus Powerlines Inc. - Main Rate Zone1595_n 2013</t>
  </si>
  <si>
    <t>Entegrus Powerlines Inc. - Main Rate Zone1595_n 2014</t>
  </si>
  <si>
    <t>Entegrus Powerlines Inc. - St. Thomas Energy Rate Zone1595_(2008)</t>
  </si>
  <si>
    <t>Entegrus Powerlines Inc. - St. Thomas Energy Rate Zone1595_(2009)</t>
  </si>
  <si>
    <t>Entegrus Powerlines Inc. - St. Thomas Energy Rate Zone1595_(2010)</t>
  </si>
  <si>
    <t>Entegrus Powerlines Inc. - St. Thomas Energy Rate Zone1595_(2011)</t>
  </si>
  <si>
    <t>Entegrus Powerlines Inc. - St. Thomas Energy Rate Zone1595_(2012)</t>
  </si>
  <si>
    <t>Entegrus Powerlines Inc. - St. Thomas Energy Rate Zone1595_(2013)</t>
  </si>
  <si>
    <t>Entegrus Powerlines Inc. - St. Thomas Energy Rate Zone1595_(2014)</t>
  </si>
  <si>
    <t>Entegrus Powerlines Inc. - St. Thomas Energy Rate Zone1595_(2015)</t>
  </si>
  <si>
    <t>Entegrus Powerlines Inc. - St. Thomas Energy Rate Zone1595_(2016)</t>
  </si>
  <si>
    <t>Entegrus Powerlines Inc. - St. Thomas Energy Rate Zone1595_(2017)</t>
  </si>
  <si>
    <t>Entegrus Powerlines Inc. - St. Thomas Energy Rate Zone1595_(2018)</t>
  </si>
  <si>
    <t>Entegrus Powerlines Inc. - St. Thomas Energy Rate Zone1595_(2019)</t>
  </si>
  <si>
    <t>Entegrus Powerlines Inc. - St. Thomas Energy Rate Zone1595_(2020)</t>
  </si>
  <si>
    <t>Entegrus Powerlines Inc. - St. Thomas Energy Rate Zone1595_(2021)</t>
  </si>
  <si>
    <t>Entegrus Powerlines Inc. - St. Thomas Energy Rate Zone1595_(2022)</t>
  </si>
  <si>
    <t>Entegrus Powerlines Inc. - St. Thomas Energy Rate Zone1595_(2023)</t>
  </si>
  <si>
    <t>Entegrus Powerlines Inc. - St. Thomas Energy Rate Zone1595_(2024)</t>
  </si>
  <si>
    <t>Entegrus Powerlines Inc. - St. Thomas Energy Rate Zone1595_n 2012</t>
  </si>
  <si>
    <t>Entegrus Powerlines Inc. - St. Thomas Energy Rate Zone1595_n 2013</t>
  </si>
  <si>
    <t>Entegrus Powerlines Inc. - St. Thomas Energy Rate Zone1595_n 2014</t>
  </si>
  <si>
    <t>ERTH Power Corporation - Goderich Rate Zone1595_(2008)</t>
  </si>
  <si>
    <t>ERTH Power Corporation - Goderich Rate Zone1595_(2009)</t>
  </si>
  <si>
    <t>ERTH Power Corporation - Goderich Rate Zone1595_(2010)</t>
  </si>
  <si>
    <t>ERTH Power Corporation - Goderich Rate Zone1595_(2011)</t>
  </si>
  <si>
    <t>ERTH Power Corporation - Goderich Rate Zone1595_(2012)</t>
  </si>
  <si>
    <t>ERTH Power Corporation - Goderich Rate Zone1595_(2013)</t>
  </si>
  <si>
    <t>ERTH Power Corporation - Goderich Rate Zone1595_(2014)</t>
  </si>
  <si>
    <t>ERTH Power Corporation - Goderich Rate Zone1595_(2015)</t>
  </si>
  <si>
    <t>ERTH Power Corporation - Goderich Rate Zone1595_(2016)</t>
  </si>
  <si>
    <t>ERTH Power Corporation - Goderich Rate Zone1595_(2017)</t>
  </si>
  <si>
    <t>ERTH Power Corporation - Goderich Rate Zone1595_(2018)</t>
  </si>
  <si>
    <t>ERTH Power Corporation - Goderich Rate Zone1595_(2019)</t>
  </si>
  <si>
    <t>ERTH Power Corporation - Goderich Rate Zone1595_(2020)</t>
  </si>
  <si>
    <t>ERTH Power Corporation - Goderich Rate Zone1595_(2021)</t>
  </si>
  <si>
    <t>ERTH Power Corporation - Goderich Rate Zone1595_(2022)</t>
  </si>
  <si>
    <t>ERTH Power Corporation - Goderich Rate Zone1595_(2023)</t>
  </si>
  <si>
    <t>ERTH Power Corporation - Goderich Rate Zone1595_(2024)</t>
  </si>
  <si>
    <t>ERTH Power Corporation - Goderich Rate Zone1595_n 2012</t>
  </si>
  <si>
    <t>ERTH Power Corporation - Goderich Rate Zone1595_n 2013</t>
  </si>
  <si>
    <t>ERTH Power Corporation - Goderich Rate Zone1595_n 2014</t>
  </si>
  <si>
    <t>ERTH Power Corporation - Main Rate Zone1595_(2008)</t>
  </si>
  <si>
    <t>ERTH Power Corporation - Main Rate Zone1595_(2009)</t>
  </si>
  <si>
    <t>ERTH Power Corporation - Main Rate Zone1595_(2010)</t>
  </si>
  <si>
    <t>ERTH Power Corporation - Main Rate Zone1595_(2011)</t>
  </si>
  <si>
    <t>ERTH Power Corporation - Main Rate Zone1595_(2012)</t>
  </si>
  <si>
    <t>ERTH Power Corporation - Main Rate Zone1595_(2013)</t>
  </si>
  <si>
    <t>ERTH Power Corporation - Main Rate Zone1595_(2014)</t>
  </si>
  <si>
    <t>ERTH Power Corporation - Main Rate Zone1595_(2015)</t>
  </si>
  <si>
    <t>ERTH Power Corporation - Main Rate Zone1595_(2016)</t>
  </si>
  <si>
    <t>ERTH Power Corporation - Main Rate Zone1595_(2017)</t>
  </si>
  <si>
    <t>ERTH Power Corporation - Main Rate Zone1595_(2018)</t>
  </si>
  <si>
    <t>ERTH Power Corporation - Main Rate Zone1595_(2019)</t>
  </si>
  <si>
    <t>ERTH Power Corporation - Main Rate Zone1595_(2020)</t>
  </si>
  <si>
    <t>ERTH Power Corporation - Main Rate Zone1595_(2021)</t>
  </si>
  <si>
    <t>ERTH Power Corporation - Main Rate Zone1595_(2022)</t>
  </si>
  <si>
    <t>ERTH Power Corporation - Main Rate Zone1595_(2023)</t>
  </si>
  <si>
    <t>ERTH Power Corporation - Main Rate Zone1595_(2024)</t>
  </si>
  <si>
    <t>ERTH Power Corporation - Main Rate Zone1595_n 2012</t>
  </si>
  <si>
    <t>ERTH Power Corporation - Main Rate Zone1595_n 2013</t>
  </si>
  <si>
    <t>ERTH Power Corporation - Main Rate Zone1595_n 2014</t>
  </si>
  <si>
    <t>GrandBridge Energy Inc. - Brantford Power Rate Zone1595_(2008)</t>
  </si>
  <si>
    <t>GrandBridge Energy Inc. - Brantford Power Rate Zone1595_(2009)</t>
  </si>
  <si>
    <t>GrandBridge Energy Inc. - Brantford Power Rate Zone1595_(2010)</t>
  </si>
  <si>
    <t>GrandBridge Energy Inc. - Brantford Power Rate Zone1595_(2011)</t>
  </si>
  <si>
    <t>GrandBridge Energy Inc. - Brantford Power Rate Zone1595_(2012)</t>
  </si>
  <si>
    <t>GrandBridge Energy Inc. - Brantford Power Rate Zone1595_(2013)</t>
  </si>
  <si>
    <t>GrandBridge Energy Inc. - Brantford Power Rate Zone1595_(2014)</t>
  </si>
  <si>
    <t>GrandBridge Energy Inc. - Brantford Power Rate Zone1595_(2015)</t>
  </si>
  <si>
    <t>GrandBridge Energy Inc. - Brantford Power Rate Zone1595_(2016)</t>
  </si>
  <si>
    <t>GrandBridge Energy Inc. - Brantford Power Rate Zone1595_(2017)</t>
  </si>
  <si>
    <t>GrandBridge Energy Inc. - Brantford Power Rate Zone1595_(2018)</t>
  </si>
  <si>
    <t>GrandBridge Energy Inc. - Brantford Power Rate Zone1595_(2019)</t>
  </si>
  <si>
    <t>GrandBridge Energy Inc. - Brantford Power Rate Zone1595_(2020)</t>
  </si>
  <si>
    <t>GrandBridge Energy Inc. - Brantford Power Rate Zone1595_(2021)</t>
  </si>
  <si>
    <t>GrandBridge Energy Inc. - Brantford Power Rate Zone1595_(2022)</t>
  </si>
  <si>
    <t>GrandBridge Energy Inc. - Brantford Power Rate Zone1595_(2023)</t>
  </si>
  <si>
    <t>GrandBridge Energy Inc. - Brantford Power Rate Zone1595_(2024)</t>
  </si>
  <si>
    <t>GrandBridge Energy Inc. - Brantford Power Rate Zone1595_n 2012</t>
  </si>
  <si>
    <t>GrandBridge Energy Inc. - Brantford Power Rate Zone1595_n 2013</t>
  </si>
  <si>
    <t>GrandBridge Energy Inc. - Brantford Power Rate Zone1595_n 2014</t>
  </si>
  <si>
    <t>GrandBridge Energy Inc. - Energy+ Rate Zone1595_(2008)</t>
  </si>
  <si>
    <t>GrandBridge Energy Inc. - Energy+ Rate Zone1595_(2009)</t>
  </si>
  <si>
    <t>GrandBridge Energy Inc. - Energy+ Rate Zone1595_(2010)</t>
  </si>
  <si>
    <t>GrandBridge Energy Inc. - Energy+ Rate Zone1595_(2011)</t>
  </si>
  <si>
    <t>GrandBridge Energy Inc. - Energy+ Rate Zone1595_(2012)</t>
  </si>
  <si>
    <t>GrandBridge Energy Inc. - Energy+ Rate Zone1595_(2013)</t>
  </si>
  <si>
    <t>GrandBridge Energy Inc. - Energy+ Rate Zone1595_(2014)</t>
  </si>
  <si>
    <t>GrandBridge Energy Inc. - Energy+ Rate Zone1595_(2015)</t>
  </si>
  <si>
    <t>GrandBridge Energy Inc. - Energy+ Rate Zone1595_(2016)</t>
  </si>
  <si>
    <t>GrandBridge Energy Inc. - Energy+ Rate Zone1595_(2017)</t>
  </si>
  <si>
    <t>GrandBridge Energy Inc. - Energy+ Rate Zone1595_(2018)</t>
  </si>
  <si>
    <t>GrandBridge Energy Inc. - Energy+ Rate Zone1595_(2019)</t>
  </si>
  <si>
    <t>GrandBridge Energy Inc. - Energy+ Rate Zone1595_(2020)</t>
  </si>
  <si>
    <t>GrandBridge Energy Inc. - Energy+ Rate Zone1595_(2021)</t>
  </si>
  <si>
    <t>GrandBridge Energy Inc. - Energy+ Rate Zone1595_(2022)</t>
  </si>
  <si>
    <t>GrandBridge Energy Inc. - Energy+ Rate Zone1595_(2023)</t>
  </si>
  <si>
    <t>GrandBridge Energy Inc. - Energy+ Rate Zone1595_(2024)</t>
  </si>
  <si>
    <t>GrandBridge Energy Inc. - Energy+ Rate Zone1595_n 2012</t>
  </si>
  <si>
    <t>GrandBridge Energy Inc. - Energy+ Rate Zone1595_n 2013</t>
  </si>
  <si>
    <t>GrandBridge Energy Inc. - Energy+ Rate Zone1595_n 2014</t>
  </si>
  <si>
    <t>Hydro One Networks Inc. - Haldimand County Rate Zone1595_(2008)</t>
  </si>
  <si>
    <t>Hydro One Networks Inc. - Haldimand County Rate Zone1595_(2009)</t>
  </si>
  <si>
    <t>Hydro One Networks Inc. - Haldimand County Rate Zone1595_(2010)</t>
  </si>
  <si>
    <t>Hydro One Networks Inc. - Haldimand County Rate Zone1595_(2011)</t>
  </si>
  <si>
    <t>Hydro One Networks Inc. - Haldimand County Rate Zone1595_(2012)</t>
  </si>
  <si>
    <t>Hydro One Networks Inc. - Haldimand County Rate Zone1595_(2013)</t>
  </si>
  <si>
    <t>Hydro One Networks Inc. - Haldimand County Rate Zone1595_(2014)</t>
  </si>
  <si>
    <t>Hydro One Networks Inc. - Haldimand County Rate Zone1595_(2015)</t>
  </si>
  <si>
    <t>Hydro One Networks Inc. - Haldimand County Rate Zone1595_(2016)</t>
  </si>
  <si>
    <t>Hydro One Networks Inc. - Haldimand County Rate Zone1595_(2017)</t>
  </si>
  <si>
    <t>Hydro One Networks Inc. - Haldimand County Rate Zone1595_(2018)</t>
  </si>
  <si>
    <t>Hydro One Networks Inc. - Haldimand County Rate Zone1595_(2019)</t>
  </si>
  <si>
    <t>Hydro One Networks Inc. - Haldimand County Rate Zone1595_(2020)</t>
  </si>
  <si>
    <t>Hydro One Networks Inc. - Haldimand County Rate Zone1595_(2021)</t>
  </si>
  <si>
    <t>Hydro One Networks Inc. - Haldimand County Rate Zone1595_(2022)</t>
  </si>
  <si>
    <t>Hydro One Networks Inc. - Haldimand County Rate Zone1595_(2023)</t>
  </si>
  <si>
    <t>Hydro One Networks Inc. - Haldimand County Rate Zone1595_(2024)</t>
  </si>
  <si>
    <t>Hydro One Networks Inc. - Haldimand County Rate Zone1595_n 2012</t>
  </si>
  <si>
    <t>Hydro One Networks Inc. - Haldimand County Rate Zone1595_n 2013</t>
  </si>
  <si>
    <t>Hydro One Networks Inc. - Haldimand County Rate Zone1595_n 2014</t>
  </si>
  <si>
    <t>Hydro One Networks Inc. - Main Rate Zone1595_(2008)</t>
  </si>
  <si>
    <t>Hydro One Networks Inc. - Main Rate Zone1595_(2009)</t>
  </si>
  <si>
    <t>Hydro One Networks Inc. - Main Rate Zone1595_(2010)</t>
  </si>
  <si>
    <t>Hydro One Networks Inc. - Main Rate Zone1595_(2011)</t>
  </si>
  <si>
    <t>Hydro One Networks Inc. - Main Rate Zone1595_(2012)</t>
  </si>
  <si>
    <t>Hydro One Networks Inc. - Main Rate Zone1595_(2013)</t>
  </si>
  <si>
    <t>Hydro One Networks Inc. - Main Rate Zone1595_(2014)</t>
  </si>
  <si>
    <t>Hydro One Networks Inc. - Main Rate Zone1595_(2015)</t>
  </si>
  <si>
    <t>Hydro One Networks Inc. - Main Rate Zone1595_(2016)</t>
  </si>
  <si>
    <t>Hydro One Networks Inc. - Main Rate Zone1595_(2017)</t>
  </si>
  <si>
    <t>Hydro One Networks Inc. - Main Rate Zone1595_(2018)</t>
  </si>
  <si>
    <t>Hydro One Networks Inc. - Main Rate Zone1595_(2019)</t>
  </si>
  <si>
    <t>Hydro One Networks Inc. - Main Rate Zone1595_(2020)</t>
  </si>
  <si>
    <t>Hydro One Networks Inc. - Main Rate Zone1595_(2021)</t>
  </si>
  <si>
    <t>Hydro One Networks Inc. - Main Rate Zone1595_(2022)</t>
  </si>
  <si>
    <t>Hydro One Networks Inc. - Main Rate Zone1595_(2023)</t>
  </si>
  <si>
    <t>Hydro One Networks Inc. - Main Rate Zone1595_(2024)</t>
  </si>
  <si>
    <t>Hydro One Networks Inc. - Main Rate Zone1595_n 2012</t>
  </si>
  <si>
    <t>Hydro One Networks Inc. - Main Rate Zone1595_n 2013</t>
  </si>
  <si>
    <t>Hydro One Networks Inc. - Main Rate Zone1595_n 2014</t>
  </si>
  <si>
    <t>Hydro One Networks Inc. - Norfolk Power Rate Zone1595_(2008)</t>
  </si>
  <si>
    <t>Hydro One Networks Inc. - Norfolk Power Rate Zone1595_(2009)</t>
  </si>
  <si>
    <t>Hydro One Networks Inc. - Norfolk Power Rate Zone1595_(2010)</t>
  </si>
  <si>
    <t>Hydro One Networks Inc. - Norfolk Power Rate Zone1595_(2011)</t>
  </si>
  <si>
    <t>Hydro One Networks Inc. - Norfolk Power Rate Zone1595_(2012)</t>
  </si>
  <si>
    <t>Hydro One Networks Inc. - Norfolk Power Rate Zone1595_(2013)</t>
  </si>
  <si>
    <t>Hydro One Networks Inc. - Norfolk Power Rate Zone1595_(2014)</t>
  </si>
  <si>
    <t>Hydro One Networks Inc. - Norfolk Power Rate Zone1595_(2015)</t>
  </si>
  <si>
    <t>Hydro One Networks Inc. - Norfolk Power Rate Zone1595_(2016)</t>
  </si>
  <si>
    <t>Hydro One Networks Inc. - Norfolk Power Rate Zone1595_(2017)</t>
  </si>
  <si>
    <t>Hydro One Networks Inc. - Norfolk Power Rate Zone1595_(2018)</t>
  </si>
  <si>
    <t>Hydro One Networks Inc. - Norfolk Power Rate Zone1595_(2019)</t>
  </si>
  <si>
    <t>Hydro One Networks Inc. - Norfolk Power Rate Zone1595_(2020)</t>
  </si>
  <si>
    <t>Hydro One Networks Inc. - Norfolk Power Rate Zone1595_(2021)</t>
  </si>
  <si>
    <t>Hydro One Networks Inc. - Norfolk Power Rate Zone1595_(2022)</t>
  </si>
  <si>
    <t>Hydro One Networks Inc. - Norfolk Power Rate Zone1595_(2023)</t>
  </si>
  <si>
    <t>Hydro One Networks Inc. - Norfolk Power Rate Zone1595_(2024)</t>
  </si>
  <si>
    <t>Hydro One Networks Inc. - Norfolk Power Rate Zone1595_n 2012</t>
  </si>
  <si>
    <t>Hydro One Networks Inc. - Norfolk Power Rate Zone1595_n 2013</t>
  </si>
  <si>
    <t>Hydro One Networks Inc. - Norfolk Power Rate Zone1595_n 2014</t>
  </si>
  <si>
    <t>Hydro One Networks Inc. - Orillia Rate Zone1595_(2008)</t>
  </si>
  <si>
    <t>Hydro One Networks Inc. - Orillia Rate Zone1595_(2009)</t>
  </si>
  <si>
    <t>Hydro One Networks Inc. - Orillia Rate Zone1595_(2010)</t>
  </si>
  <si>
    <t>Hydro One Networks Inc. - Orillia Rate Zone1595_(2011)</t>
  </si>
  <si>
    <t>Hydro One Networks Inc. - Orillia Rate Zone1595_(2012)</t>
  </si>
  <si>
    <t>Hydro One Networks Inc. - Orillia Rate Zone1595_(2013)</t>
  </si>
  <si>
    <t>Hydro One Networks Inc. - Orillia Rate Zone1595_(2014)</t>
  </si>
  <si>
    <t>Hydro One Networks Inc. - Orillia Rate Zone1595_(2015)</t>
  </si>
  <si>
    <t>Hydro One Networks Inc. - Orillia Rate Zone1595_(2016)</t>
  </si>
  <si>
    <t>Hydro One Networks Inc. - Orillia Rate Zone1595_(2017)</t>
  </si>
  <si>
    <t>Hydro One Networks Inc. - Orillia Rate Zone1595_(2018)</t>
  </si>
  <si>
    <t>Hydro One Networks Inc. - Orillia Rate Zone1595_(2019)</t>
  </si>
  <si>
    <t>Hydro One Networks Inc. - Orillia Rate Zone1595_(2020)</t>
  </si>
  <si>
    <t>Hydro One Networks Inc. - Orillia Rate Zone1595_(2021)</t>
  </si>
  <si>
    <t>Hydro One Networks Inc. - Orillia Rate Zone1595_(2022)</t>
  </si>
  <si>
    <t>Hydro One Networks Inc. - Orillia Rate Zone1595_(2023)</t>
  </si>
  <si>
    <t>Hydro One Networks Inc. - Orillia Rate Zone1595_(2024)</t>
  </si>
  <si>
    <t>Hydro One Networks Inc. - Orillia Rate Zone1595_n 2012</t>
  </si>
  <si>
    <t>Hydro One Networks Inc. - Orillia Rate Zone1595_n 2013</t>
  </si>
  <si>
    <t>Hydro One Networks Inc. - Orillia Rate Zone1595_n 2014</t>
  </si>
  <si>
    <t>Hydro One Networks Inc. - Peterborough Rate Zone1595_(2008)</t>
  </si>
  <si>
    <t>Hydro One Networks Inc. - Peterborough Rate Zone1595_(2009)</t>
  </si>
  <si>
    <t>Hydro One Networks Inc. - Peterborough Rate Zone1595_(2010)</t>
  </si>
  <si>
    <t>Hydro One Networks Inc. - Peterborough Rate Zone1595_(2011)</t>
  </si>
  <si>
    <t>Hydro One Networks Inc. - Peterborough Rate Zone1595_(2012)</t>
  </si>
  <si>
    <t>Hydro One Networks Inc. - Peterborough Rate Zone1595_(2013)</t>
  </si>
  <si>
    <t>Hydro One Networks Inc. - Peterborough Rate Zone1595_(2014)</t>
  </si>
  <si>
    <t>Hydro One Networks Inc. - Peterborough Rate Zone1595_(2015)</t>
  </si>
  <si>
    <t>Hydro One Networks Inc. - Peterborough Rate Zone1595_(2016)</t>
  </si>
  <si>
    <t>Hydro One Networks Inc. - Peterborough Rate Zone1595_(2017)</t>
  </si>
  <si>
    <t>Hydro One Networks Inc. - Peterborough Rate Zone1595_(2018)</t>
  </si>
  <si>
    <t>Hydro One Networks Inc. - Peterborough Rate Zone1595_(2019)</t>
  </si>
  <si>
    <t>Hydro One Networks Inc. - Peterborough Rate Zone1595_(2020)</t>
  </si>
  <si>
    <t>Hydro One Networks Inc. - Peterborough Rate Zone1595_(2021)</t>
  </si>
  <si>
    <t>Hydro One Networks Inc. - Peterborough Rate Zone1595_(2022)</t>
  </si>
  <si>
    <t>Hydro One Networks Inc. - Peterborough Rate Zone1595_(2023)</t>
  </si>
  <si>
    <t>Hydro One Networks Inc. - Peterborough Rate Zone1595_(2024)</t>
  </si>
  <si>
    <t>Hydro One Networks Inc. - Peterborough Rate Zone1595_n 2012</t>
  </si>
  <si>
    <t>Hydro One Networks Inc. - Peterborough Rate Zone1595_n 2013</t>
  </si>
  <si>
    <t>Hydro One Networks Inc. - Peterborough Rate Zone1595_n 2014</t>
  </si>
  <si>
    <t>Hydro One Networks Inc. - Woodstock Hydro Rate Zone1595_(2008)</t>
  </si>
  <si>
    <t>Hydro One Networks Inc. - Woodstock Hydro Rate Zone1595_(2009)</t>
  </si>
  <si>
    <t>Hydro One Networks Inc. - Woodstock Hydro Rate Zone1595_(2010)</t>
  </si>
  <si>
    <t>Hydro One Networks Inc. - Woodstock Hydro Rate Zone1595_(2011)</t>
  </si>
  <si>
    <t>Hydro One Networks Inc. - Woodstock Hydro Rate Zone1595_(2012)</t>
  </si>
  <si>
    <t>Hydro One Networks Inc. - Woodstock Hydro Rate Zone1595_(2013)</t>
  </si>
  <si>
    <t>Hydro One Networks Inc. - Woodstock Hydro Rate Zone1595_(2014)</t>
  </si>
  <si>
    <t>Hydro One Networks Inc. - Woodstock Hydro Rate Zone1595_(2015)</t>
  </si>
  <si>
    <t>Hydro One Networks Inc. - Woodstock Hydro Rate Zone1595_(2016)</t>
  </si>
  <si>
    <t>Hydro One Networks Inc. - Woodstock Hydro Rate Zone1595_(2017)</t>
  </si>
  <si>
    <t>Hydro One Networks Inc. - Woodstock Hydro Rate Zone1595_(2018)</t>
  </si>
  <si>
    <t>Hydro One Networks Inc. - Woodstock Hydro Rate Zone1595_(2019)</t>
  </si>
  <si>
    <t>Hydro One Networks Inc. - Woodstock Hydro Rate Zone1595_(2020)</t>
  </si>
  <si>
    <t>Hydro One Networks Inc. - Woodstock Hydro Rate Zone1595_(2021)</t>
  </si>
  <si>
    <t>Hydro One Networks Inc. - Woodstock Hydro Rate Zone1595_(2022)</t>
  </si>
  <si>
    <t>Hydro One Networks Inc. - Woodstock Hydro Rate Zone1595_(2023)</t>
  </si>
  <si>
    <t>Hydro One Networks Inc. - Woodstock Hydro Rate Zone1595_(2024)</t>
  </si>
  <si>
    <t>Hydro One Networks Inc. - Woodstock Hydro Rate Zone1595_n 2012</t>
  </si>
  <si>
    <t>Hydro One Networks Inc. - Woodstock Hydro Rate Zone1595_n 2013</t>
  </si>
  <si>
    <t>Hydro One Networks Inc. - Woodstock Hydro Rate Zone1595_n 2014</t>
  </si>
  <si>
    <t>Lakeland Power Distribution Ltd. - Main Rate Zone1595_(2008)</t>
  </si>
  <si>
    <t>Lakeland Power Distribution Ltd. - Main Rate Zone1595_(2009)</t>
  </si>
  <si>
    <t>Lakeland Power Distribution Ltd. - Main Rate Zone1595_(2010)</t>
  </si>
  <si>
    <t>Lakeland Power Distribution Ltd. - Main Rate Zone1595_(2011)</t>
  </si>
  <si>
    <t>Lakeland Power Distribution Ltd. - Main Rate Zone1595_(2012)</t>
  </si>
  <si>
    <t>Lakeland Power Distribution Ltd. - Main Rate Zone1595_(2013)</t>
  </si>
  <si>
    <t>Lakeland Power Distribution Ltd. - Main Rate Zone1595_(2014)</t>
  </si>
  <si>
    <t>Lakeland Power Distribution Ltd. - Main Rate Zone1595_(2015)</t>
  </si>
  <si>
    <t>Lakeland Power Distribution Ltd. - Main Rate Zone1595_(2016)</t>
  </si>
  <si>
    <t>Lakeland Power Distribution Ltd. - Main Rate Zone1595_(2017)</t>
  </si>
  <si>
    <t>Lakeland Power Distribution Ltd. - Main Rate Zone1595_(2018)</t>
  </si>
  <si>
    <t>Lakeland Power Distribution Ltd. - Main Rate Zone1595_(2019)</t>
  </si>
  <si>
    <t>Lakeland Power Distribution Ltd. - Main Rate Zone1595_(2020)</t>
  </si>
  <si>
    <t>Lakeland Power Distribution Ltd. - Main Rate Zone1595_(2021)</t>
  </si>
  <si>
    <t>Lakeland Power Distribution Ltd. - Main Rate Zone1595_(2022)</t>
  </si>
  <si>
    <t>Lakeland Power Distribution Ltd. - Main Rate Zone1595_(2023)</t>
  </si>
  <si>
    <t>Lakeland Power Distribution Ltd. - Main Rate Zone1595_(2024)</t>
  </si>
  <si>
    <t>Lakeland Power Distribution Ltd. - Main Rate Zone1595_n 2012</t>
  </si>
  <si>
    <t>Lakeland Power Distribution Ltd. - Main Rate Zone1595_n 2013</t>
  </si>
  <si>
    <t>Lakeland Power Distribution Ltd. - Main Rate Zone1595_n 2014</t>
  </si>
  <si>
    <t>Lakeland Power Distribution Ltd. - Parry Sound Rate Zone1595_(2008)</t>
  </si>
  <si>
    <t>Lakeland Power Distribution Ltd. - Parry Sound Rate Zone1595_(2009)</t>
  </si>
  <si>
    <t>Lakeland Power Distribution Ltd. - Parry Sound Rate Zone1595_(2010)</t>
  </si>
  <si>
    <t>Lakeland Power Distribution Ltd. - Parry Sound Rate Zone1595_(2011)</t>
  </si>
  <si>
    <t>Lakeland Power Distribution Ltd. - Parry Sound Rate Zone1595_(2012)</t>
  </si>
  <si>
    <t>Lakeland Power Distribution Ltd. - Parry Sound Rate Zone1595_(2013)</t>
  </si>
  <si>
    <t>Lakeland Power Distribution Ltd. - Parry Sound Rate Zone1595_(2014)</t>
  </si>
  <si>
    <t>Lakeland Power Distribution Ltd. - Parry Sound Rate Zone1595_(2015)</t>
  </si>
  <si>
    <t>Lakeland Power Distribution Ltd. - Parry Sound Rate Zone1595_(2016)</t>
  </si>
  <si>
    <t>Lakeland Power Distribution Ltd. - Parry Sound Rate Zone1595_(2017)</t>
  </si>
  <si>
    <t>Lakeland Power Distribution Ltd. - Parry Sound Rate Zone1595_(2018)</t>
  </si>
  <si>
    <t>Lakeland Power Distribution Ltd. - Parry Sound Rate Zone1595_(2019)</t>
  </si>
  <si>
    <t>Lakeland Power Distribution Ltd. - Parry Sound Rate Zone1595_(2020)</t>
  </si>
  <si>
    <t>Lakeland Power Distribution Ltd. - Parry Sound Rate Zone1595_(2021)</t>
  </si>
  <si>
    <t>Lakeland Power Distribution Ltd. - Parry Sound Rate Zone1595_(2022)</t>
  </si>
  <si>
    <t>Lakeland Power Distribution Ltd. - Parry Sound Rate Zone1595_(2023)</t>
  </si>
  <si>
    <t>Lakeland Power Distribution Ltd. - Parry Sound Rate Zone1595_(2024)</t>
  </si>
  <si>
    <t>Lakeland Power Distribution Ltd. - Parry Sound Rate Zone1595_n 2012</t>
  </si>
  <si>
    <t>Lakeland Power Distribution Ltd. - Parry Sound Rate Zone1595_n 2013</t>
  </si>
  <si>
    <t>Lakeland Power Distribution Ltd. - Parry Sound Rate Zone1595_n 2014</t>
  </si>
  <si>
    <t>Rate Zone 31595_(2008)</t>
  </si>
  <si>
    <t>Rate Zone 31595_(2009)</t>
  </si>
  <si>
    <t>Rate Zone 31595_(2010)</t>
  </si>
  <si>
    <t>Rate Zone 31595_(2011)</t>
  </si>
  <si>
    <t>Rate Zone 31595_(2012)</t>
  </si>
  <si>
    <t>Rate Zone 31595_(2013)</t>
  </si>
  <si>
    <t>Rate Zone 31595_(2014)</t>
  </si>
  <si>
    <t>Rate Zone 31595_(2015)</t>
  </si>
  <si>
    <t>Rate Zone 31595_(2016)</t>
  </si>
  <si>
    <t>Rate Zone 31595_(2017)</t>
  </si>
  <si>
    <t>Rate Zone 31595_(2018)</t>
  </si>
  <si>
    <t>Rate Zone 31595_(2019)</t>
  </si>
  <si>
    <t>Rate Zone 31595_(2020)</t>
  </si>
  <si>
    <t>Rate Zone 31595_(2021)</t>
  </si>
  <si>
    <t>Rate Zone 31595_(2022)</t>
  </si>
  <si>
    <t>Rate Zone 31595_(2023)</t>
  </si>
  <si>
    <t>Rate Zone 31595_(2024)</t>
  </si>
  <si>
    <t>Rate Zone 31595_n 2012</t>
  </si>
  <si>
    <t>Rate Zone 31595_n 2013</t>
  </si>
  <si>
    <t>Rate Zone 31595_n 2014</t>
  </si>
  <si>
    <t>Newmarket-Tay Power Distribution Ltd. - Midland Rate Zone1595_(2008)</t>
  </si>
  <si>
    <t>Newmarket-Tay Power Distribution Ltd. - Midland Rate Zone1595_(2009)</t>
  </si>
  <si>
    <t>Newmarket-Tay Power Distribution Ltd. - Midland Rate Zone1595_(2010)</t>
  </si>
  <si>
    <t>Newmarket-Tay Power Distribution Ltd. - Midland Rate Zone1595_(2011)</t>
  </si>
  <si>
    <t>Newmarket-Tay Power Distribution Ltd. - Midland Rate Zone1595_(2012)</t>
  </si>
  <si>
    <t>Newmarket-Tay Power Distribution Ltd. - Midland Rate Zone1595_(2013)</t>
  </si>
  <si>
    <t>Newmarket-Tay Power Distribution Ltd. - Midland Rate Zone1595_(2014)</t>
  </si>
  <si>
    <t>Newmarket-Tay Power Distribution Ltd. - Midland Rate Zone1595_(2015)</t>
  </si>
  <si>
    <t>Newmarket-Tay Power Distribution Ltd. - Midland Rate Zone1595_(2016)</t>
  </si>
  <si>
    <t>Newmarket-Tay Power Distribution Ltd. - Midland Rate Zone1595_(2017)</t>
  </si>
  <si>
    <t>Newmarket-Tay Power Distribution Ltd. - Midland Rate Zone1595_(2018)</t>
  </si>
  <si>
    <t>Newmarket-Tay Power Distribution Ltd. - Midland Rate Zone1595_(2019)</t>
  </si>
  <si>
    <t>Newmarket-Tay Power Distribution Ltd. - Midland Rate Zone1595_(2020)</t>
  </si>
  <si>
    <t>Newmarket-Tay Power Distribution Ltd. - Midland Rate Zone1595_(2021)</t>
  </si>
  <si>
    <t>Newmarket-Tay Power Distribution Ltd. - Midland Rate Zone1595_(2022)</t>
  </si>
  <si>
    <t>Newmarket-Tay Power Distribution Ltd. - Midland Rate Zone1595_(2023)</t>
  </si>
  <si>
    <t>Newmarket-Tay Power Distribution Ltd. - Midland Rate Zone1595_(2024)</t>
  </si>
  <si>
    <t>Newmarket-Tay Power Distribution Ltd. - Midland Rate Zone1595_n 2012</t>
  </si>
  <si>
    <t>Newmarket-Tay Power Distribution Ltd. - Midland Rate Zone1595_n 2013</t>
  </si>
  <si>
    <t>Newmarket-Tay Power Distribution Ltd. - Midland Rate Zone1595_n 2014</t>
  </si>
  <si>
    <t>Newmarket-Tay Power Distribution Ltd. - Newmarket-Tay Rate Zone1595_(2008)</t>
  </si>
  <si>
    <t>Newmarket-Tay Power Distribution Ltd. - Newmarket-Tay Rate Zone1595_(2009)</t>
  </si>
  <si>
    <t>Newmarket-Tay Power Distribution Ltd. - Newmarket-Tay Rate Zone1595_(2010)</t>
  </si>
  <si>
    <t>Newmarket-Tay Power Distribution Ltd. - Newmarket-Tay Rate Zone1595_(2011)</t>
  </si>
  <si>
    <t>Newmarket-Tay Power Distribution Ltd. - Newmarket-Tay Rate Zone1595_(2012)</t>
  </si>
  <si>
    <t>Newmarket-Tay Power Distribution Ltd. - Newmarket-Tay Rate Zone1595_(2013)</t>
  </si>
  <si>
    <t>Newmarket-Tay Power Distribution Ltd. - Newmarket-Tay Rate Zone1595_(2014)</t>
  </si>
  <si>
    <t>Newmarket-Tay Power Distribution Ltd. - Newmarket-Tay Rate Zone1595_(2015)</t>
  </si>
  <si>
    <t>Newmarket-Tay Power Distribution Ltd. - Newmarket-Tay Rate Zone1595_(2016)</t>
  </si>
  <si>
    <t>Newmarket-Tay Power Distribution Ltd. - Newmarket-Tay Rate Zone1595_(2017)</t>
  </si>
  <si>
    <t>Newmarket-Tay Power Distribution Ltd. - Newmarket-Tay Rate Zone1595_(2018)</t>
  </si>
  <si>
    <t>Newmarket-Tay Power Distribution Ltd. - Newmarket-Tay Rate Zone1595_(2019)</t>
  </si>
  <si>
    <t>Newmarket-Tay Power Distribution Ltd. - Newmarket-Tay Rate Zone1595_(2020)</t>
  </si>
  <si>
    <t>Newmarket-Tay Power Distribution Ltd. - Newmarket-Tay Rate Zone1595_(2021)</t>
  </si>
  <si>
    <t>Newmarket-Tay Power Distribution Ltd. - Newmarket-Tay Rate Zone1595_(2022)</t>
  </si>
  <si>
    <t>Newmarket-Tay Power Distribution Ltd. - Newmarket-Tay Rate Zone1595_(2023)</t>
  </si>
  <si>
    <t>Newmarket-Tay Power Distribution Ltd. - Newmarket-Tay Rate Zone1595_(2024)</t>
  </si>
  <si>
    <t>Newmarket-Tay Power Distribution Ltd. - Newmarket-Tay Rate Zone1595_n 2012</t>
  </si>
  <si>
    <t>Newmarket-Tay Power Distribution Ltd. - Newmarket-Tay Rate Zone1595_n 2013</t>
  </si>
  <si>
    <t>Newmarket-Tay Power Distribution Ltd. - Newmarket-Tay Rate Zone1595_n 2014</t>
  </si>
  <si>
    <t>North Bay Hydro Distribution Limited - Espanola Rate Zone1595_(2008)</t>
  </si>
  <si>
    <t>North Bay Hydro Distribution Limited - Espanola Rate Zone1595_(2009)</t>
  </si>
  <si>
    <t>North Bay Hydro Distribution Limited - Espanola Rate Zone1595_(2010)</t>
  </si>
  <si>
    <t>North Bay Hydro Distribution Limited - Espanola Rate Zone1595_(2011)</t>
  </si>
  <si>
    <t>North Bay Hydro Distribution Limited - Espanola Rate Zone1595_(2012)</t>
  </si>
  <si>
    <t>North Bay Hydro Distribution Limited - Espanola Rate Zone1595_(2013)</t>
  </si>
  <si>
    <t>North Bay Hydro Distribution Limited - Espanola Rate Zone1595_(2014)</t>
  </si>
  <si>
    <t>North Bay Hydro Distribution Limited - Espanola Rate Zone1595_(2015)</t>
  </si>
  <si>
    <t>North Bay Hydro Distribution Limited - Espanola Rate Zone1595_(2016)</t>
  </si>
  <si>
    <t>North Bay Hydro Distribution Limited - Espanola Rate Zone1595_(2017)</t>
  </si>
  <si>
    <t>North Bay Hydro Distribution Limited - Espanola Rate Zone1595_(2018)</t>
  </si>
  <si>
    <t>North Bay Hydro Distribution Limited - Espanola Rate Zone1595_(2019)</t>
  </si>
  <si>
    <t>North Bay Hydro Distribution Limited - Espanola Rate Zone1595_(2020)</t>
  </si>
  <si>
    <t>North Bay Hydro Distribution Limited - Espanola Rate Zone1595_(2021)</t>
  </si>
  <si>
    <t>North Bay Hydro Distribution Limited - Espanola Rate Zone1595_(2022)</t>
  </si>
  <si>
    <t>North Bay Hydro Distribution Limited - Espanola Rate Zone1595_(2023)</t>
  </si>
  <si>
    <t>North Bay Hydro Distribution Limited - Espanola Rate Zone1595_(2024)</t>
  </si>
  <si>
    <t>North Bay Hydro Distribution Limited - Espanola Rate Zone1595_n 2012</t>
  </si>
  <si>
    <t>North Bay Hydro Distribution Limited - Espanola Rate Zone1595_n 2013</t>
  </si>
  <si>
    <t>North Bay Hydro Distribution Limited - Espanola Rate Zone1595_n 2014</t>
  </si>
  <si>
    <t>North Bay Hydro Distribution Limited - North Bay Rate Zone1595_(2008)</t>
  </si>
  <si>
    <t>North Bay Hydro Distribution Limited - North Bay Rate Zone1595_(2009)</t>
  </si>
  <si>
    <t>North Bay Hydro Distribution Limited - North Bay Rate Zone1595_(2010)</t>
  </si>
  <si>
    <t>North Bay Hydro Distribution Limited - North Bay Rate Zone1595_(2011)</t>
  </si>
  <si>
    <t>North Bay Hydro Distribution Limited - North Bay Rate Zone1595_(2012)</t>
  </si>
  <si>
    <t>North Bay Hydro Distribution Limited - North Bay Rate Zone1595_(2013)</t>
  </si>
  <si>
    <t>North Bay Hydro Distribution Limited - North Bay Rate Zone1595_(2014)</t>
  </si>
  <si>
    <t>North Bay Hydro Distribution Limited - North Bay Rate Zone1595_(2015)</t>
  </si>
  <si>
    <t>North Bay Hydro Distribution Limited - North Bay Rate Zone1595_(2016)</t>
  </si>
  <si>
    <t>North Bay Hydro Distribution Limited - North Bay Rate Zone1595_(2017)</t>
  </si>
  <si>
    <t>North Bay Hydro Distribution Limited - North Bay Rate Zone1595_(2018)</t>
  </si>
  <si>
    <t>North Bay Hydro Distribution Limited - North Bay Rate Zone1595_(2019)</t>
  </si>
  <si>
    <t>North Bay Hydro Distribution Limited - North Bay Rate Zone1595_(2020)</t>
  </si>
  <si>
    <t>North Bay Hydro Distribution Limited - North Bay Rate Zone1595_(2021)</t>
  </si>
  <si>
    <t>North Bay Hydro Distribution Limited - North Bay Rate Zone1595_(2022)</t>
  </si>
  <si>
    <t>North Bay Hydro Distribution Limited - North Bay Rate Zone1595_(2023)</t>
  </si>
  <si>
    <t>North Bay Hydro Distribution Limited - North Bay Rate Zone1595_(2024)</t>
  </si>
  <si>
    <t>North Bay Hydro Distribution Limited - North Bay Rate Zone1595_n 2012</t>
  </si>
  <si>
    <t>North Bay Hydro Distribution Limited - North Bay Rate Zone1595_n 2013</t>
  </si>
  <si>
    <t>North Bay Hydro Distribution Limited - North Bay Rate Zone1595_n 2014</t>
  </si>
  <si>
    <t>Synergy North Corporation - Kenora Rate Zone1595_(2008)</t>
  </si>
  <si>
    <t>Synergy North Corporation - Kenora Rate Zone1595_(2009)</t>
  </si>
  <si>
    <t>Synergy North Corporation - Kenora Rate Zone1595_(2010)</t>
  </si>
  <si>
    <t>Synergy North Corporation - Kenora Rate Zone1595_(2011)</t>
  </si>
  <si>
    <t>Synergy North Corporation - Kenora Rate Zone1595_(2012)</t>
  </si>
  <si>
    <t>Synergy North Corporation - Kenora Rate Zone1595_(2013)</t>
  </si>
  <si>
    <t>Synergy North Corporation - Kenora Rate Zone1595_(2014)</t>
  </si>
  <si>
    <t>Synergy North Corporation - Kenora Rate Zone1595_(2015)</t>
  </si>
  <si>
    <t>Synergy North Corporation - Kenora Rate Zone1595_(2016)</t>
  </si>
  <si>
    <t>Synergy North Corporation - Kenora Rate Zone1595_(2017)</t>
  </si>
  <si>
    <t>Synergy North Corporation - Kenora Rate Zone1595_(2018)</t>
  </si>
  <si>
    <t>Synergy North Corporation - Kenora Rate Zone1595_(2019)</t>
  </si>
  <si>
    <t>Synergy North Corporation - Kenora Rate Zone1595_(2020)</t>
  </si>
  <si>
    <t>Synergy North Corporation - Kenora Rate Zone1595_(2021)</t>
  </si>
  <si>
    <t>Synergy North Corporation - Kenora Rate Zone1595_(2022)</t>
  </si>
  <si>
    <t>Synergy North Corporation - Kenora Rate Zone1595_(2023)</t>
  </si>
  <si>
    <t>Synergy North Corporation - Kenora Rate Zone1595_(2024)</t>
  </si>
  <si>
    <t>Synergy North Corporation - Kenora Rate Zone1595_n 2012</t>
  </si>
  <si>
    <t>Synergy North Corporation - Kenora Rate Zone1595_n 2013</t>
  </si>
  <si>
    <t>Synergy North Corporation - Kenora Rate Zone1595_n 2014</t>
  </si>
  <si>
    <t>Synergy North Corporation - Thunder Bay Rate Zone1595_(2008)</t>
  </si>
  <si>
    <t>Synergy North Corporation - Thunder Bay Rate Zone1595_(2009)</t>
  </si>
  <si>
    <t>Synergy North Corporation - Thunder Bay Rate Zone1595_(2010)</t>
  </si>
  <si>
    <t>Synergy North Corporation - Thunder Bay Rate Zone1595_(2011)</t>
  </si>
  <si>
    <t>Synergy North Corporation - Thunder Bay Rate Zone1595_(2012)</t>
  </si>
  <si>
    <t>Synergy North Corporation - Thunder Bay Rate Zone1595_(2013)</t>
  </si>
  <si>
    <t>Synergy North Corporation - Thunder Bay Rate Zone1595_(2014)</t>
  </si>
  <si>
    <t>Synergy North Corporation - Thunder Bay Rate Zone1595_(2015)</t>
  </si>
  <si>
    <t>Synergy North Corporation - Thunder Bay Rate Zone1595_(2016)</t>
  </si>
  <si>
    <t>Synergy North Corporation - Thunder Bay Rate Zone1595_(2017)</t>
  </si>
  <si>
    <t>Synergy North Corporation - Thunder Bay Rate Zone1595_(2018)</t>
  </si>
  <si>
    <t>Synergy North Corporation - Thunder Bay Rate Zone1595_(2019)</t>
  </si>
  <si>
    <t>Synergy North Corporation - Thunder Bay Rate Zone1595_(2020)</t>
  </si>
  <si>
    <t>Synergy North Corporation - Thunder Bay Rate Zone1595_(2021)</t>
  </si>
  <si>
    <t>Synergy North Corporation - Thunder Bay Rate Zone1595_(2022)</t>
  </si>
  <si>
    <t>Synergy North Corporation - Thunder Bay Rate Zone1595_(2023)</t>
  </si>
  <si>
    <t>Synergy North Corporation - Thunder Bay Rate Zone1595_(2024)</t>
  </si>
  <si>
    <t>Synergy North Corporation - Thunder Bay Rate Zone1595_n 2012</t>
  </si>
  <si>
    <t>Synergy North Corporation - Thunder Bay Rate Zone1595_n 2013</t>
  </si>
  <si>
    <t>Synergy North Corporation - Thunder Bay Rate Zone1595_n 2014</t>
  </si>
  <si>
    <t>Hearst Power Distribution Co. Ltd.1508</t>
  </si>
  <si>
    <t>Hearst Power Distribution Co. Ltd.1509</t>
  </si>
  <si>
    <t>Hearst Power Distribution Co. Ltd.1518</t>
  </si>
  <si>
    <t>Hearst Power Distribution Co. Ltd.1522</t>
  </si>
  <si>
    <t>Hearst Power Distribution Co. Ltd.1525</t>
  </si>
  <si>
    <t>Hearst Power Distribution Co. Ltd.1531</t>
  </si>
  <si>
    <t>Hearst Power Distribution Co. Ltd.1532</t>
  </si>
  <si>
    <t>Hearst Power Distribution Co. Ltd.1533</t>
  </si>
  <si>
    <t>Hearst Power Distribution Co. Ltd.1534</t>
  </si>
  <si>
    <t>Hearst Power Distribution Co. Ltd.1535</t>
  </si>
  <si>
    <t>Hearst Power Distribution Co. Ltd.1536</t>
  </si>
  <si>
    <t>Hearst Power Distribution Co. Ltd.1548</t>
  </si>
  <si>
    <t>Hearst Power Distribution Co. Ltd.1550</t>
  </si>
  <si>
    <t>Hearst Power Distribution Co. Ltd.1551</t>
  </si>
  <si>
    <t>Hearst Power Distribution Co. Ltd.1555</t>
  </si>
  <si>
    <t>Hearst Power Distribution Co. Ltd.1557</t>
  </si>
  <si>
    <t>Hearst Power Distribution Co. Ltd.1568</t>
  </si>
  <si>
    <t>Hearst Power Distribution Co. Ltd.1572</t>
  </si>
  <si>
    <t>Hearst Power Distribution Co. Ltd.1574</t>
  </si>
  <si>
    <t>Hearst Power Distribution Co. Ltd.1575</t>
  </si>
  <si>
    <t>Hearst Power Distribution Co. Ltd.1576</t>
  </si>
  <si>
    <t>Hearst Power Distribution Co. Ltd.1580</t>
  </si>
  <si>
    <t>Hearst Power Distribution Co. Ltd.1582</t>
  </si>
  <si>
    <t>Hearst Power Distribution Co. Ltd.1584</t>
  </si>
  <si>
    <t>Hearst Power Distribution Co. Ltd.1586</t>
  </si>
  <si>
    <t>Hearst Power Distribution Co. Ltd.1588</t>
  </si>
  <si>
    <t>Hearst Power Distribution Co. Ltd.1589</t>
  </si>
  <si>
    <t>Hearst Power Distribution Co. Ltd.1592</t>
  </si>
  <si>
    <t>Hearst Power Distribution Co. Ltd.1595_(2008)</t>
  </si>
  <si>
    <t>Hearst Power Distribution Co. Ltd.1595_(2009)</t>
  </si>
  <si>
    <t>Hearst Power Distribution Co. Ltd.1595_(2010)</t>
  </si>
  <si>
    <t>Hearst Power Distribution Co. Ltd.1595_(2011)</t>
  </si>
  <si>
    <t>Hearst Power Distribution Co. Ltd.1595_(2012)</t>
  </si>
  <si>
    <t>Hearst Power Distribution Co. Ltd.1595_(2013)</t>
  </si>
  <si>
    <t>Hearst Power Distribution Co. Ltd.1595_(2014)</t>
  </si>
  <si>
    <t>Hearst Power Distribution Co. Ltd.1595_(2015)</t>
  </si>
  <si>
    <t>Hearst Power Distribution Co. Ltd.1595_(2016)</t>
  </si>
  <si>
    <t>Hearst Power Distribution Co. Ltd.1595_(2017)</t>
  </si>
  <si>
    <t>Hearst Power Distribution Co. Ltd.1595_(2018)</t>
  </si>
  <si>
    <t>Hearst Power Distribution Co. Ltd.1595_(2019)</t>
  </si>
  <si>
    <t>Hearst Power Distribution Co. Ltd.1595_(2020)</t>
  </si>
  <si>
    <t>Hearst Power Distribution Co. Ltd.1595_(2021)</t>
  </si>
  <si>
    <t>Hearst Power Distribution Co. Ltd.1595_(2022)</t>
  </si>
  <si>
    <t>Hearst Power Distribution Co. Ltd.1595_(2023)</t>
  </si>
  <si>
    <t>Hearst Power Distribution Co. Ltd.1595_(2024)</t>
  </si>
  <si>
    <t>Hearst Power Distribution Co. Ltd.1595_ccount</t>
  </si>
  <si>
    <t>Hearst Power Distribution Co. Ltd.2425</t>
  </si>
  <si>
    <t>EB-2024-0309</t>
  </si>
  <si>
    <t>Rate Rider for Recovery of Incremental Capital (2024)  - effective until the effective date of the next cost of service-based rate order</t>
  </si>
  <si>
    <t>1_RESIDENTIAL SERVICE CLASSIFICATION_FX_RR_3</t>
  </si>
  <si>
    <t>Rate Rider for Disposition of Group 2 Accounts - effective until December 31, 2025</t>
  </si>
  <si>
    <t>1_RESIDENTIAL SERVICE CLASSIFICATION_FX_RR_4</t>
  </si>
  <si>
    <t>Rate Rider for Disposition of Capacity Based Recovery Account (2024) - effective until April 30, 2025 Applicable only for Class B Customers</t>
  </si>
  <si>
    <t>2_GENERAL SERVICE LESS THAN 50 KW SERVICE CLASSIFICATION_FX_RR_8</t>
  </si>
  <si>
    <t>2_GENERAL SERVICE LESS THAN 50 KW SERVICE CLASSIFICATION_FX_RR_9</t>
  </si>
  <si>
    <t>Rate Rider for Disposition of Capacity Based Recovery Account (2025) - effective until December 31, 2025   
     Applicable only for Class B Customers</t>
  </si>
  <si>
    <t>2_GENERAL SERVICE LESS THAN 50 KW SERVICE CLASSIFICATION_VR_RR_14</t>
  </si>
  <si>
    <t>2_GENERAL SERVICE LESS THAN 50 KW SERVICE CLASSIFICATION_VR_RR_16</t>
  </si>
  <si>
    <t>2_GENERAL SERVICE LESS THAN 50 KW SERVICE CLASSIFICATION_VR_RR_17</t>
  </si>
  <si>
    <t>2_GENERAL SERVICE LESS THAN 50 KW SERVICE CLASSIFICATION_VR_RR_19</t>
  </si>
  <si>
    <t>2_GENERAL SERVICE LESS THAN 50 KW SERVICE CLASSIFICATION_VR_RR_20</t>
  </si>
  <si>
    <t>3_GENERAL SERVICE 50 to 4,999 kW SERVICE CLASSIFICATION_FX_RR_11</t>
  </si>
  <si>
    <t>Rate Rider for Recovery of Incremental Capital - effective until the effective date of the next cost of 
service-based rate order</t>
  </si>
  <si>
    <t>3_GENERAL SERVICE 50 to 4,999 kW SERVICE CLASSIFICATION_VR_RR_21</t>
  </si>
  <si>
    <t>Rate Rider for Disposition of Capacity Based Recovery Account (2025) - effective until December 31, 2025
     Applicable only for Class B Customers</t>
  </si>
  <si>
    <t>3_GENERAL SERVICE 50 to 4,999 kW SERVICE CLASSIFICATION_VR_RR_30</t>
  </si>
  <si>
    <t>3_GENERAL SERVICE 50 to 4,999 kW SERVICE CLASSIFICATION_VR_RR_32</t>
  </si>
  <si>
    <t>3_GENERAL SERVICE 50 to 4,999 kW SERVICE CLASSIFICATION_VR_RR_33</t>
  </si>
  <si>
    <t>3_GENERAL SERVICE 50 to 4,999 kW SERVICE CLASSIFICATION_VR_RR_35</t>
  </si>
  <si>
    <t>3_GENERAL SERVICE 50 to 4,999 kW SERVICE CLASSIFICATION_VR_RR_36</t>
  </si>
  <si>
    <t>3_GENERAL SERVICE 50 to 4,999 kW SERVICE CLASSIFICATION_VR_RR_37</t>
  </si>
  <si>
    <t>Rate Rider for Recovery of Incremental Capital (2024)  - effective until the effective date of the next cost of 
     service-based rate order</t>
  </si>
  <si>
    <t>4_UNMETERED SCATTERED LOAD SERVICE CLASSIFICATION_FX_RR_14</t>
  </si>
  <si>
    <t>Rate Rider for Recovery of Incremental Capital - effective until the effective date of the next cost of  service-based rate order</t>
  </si>
  <si>
    <t>4_UNMETERED SCATTERED LOAD SERVICE CLASSIFICATION_FX_RR_15</t>
  </si>
  <si>
    <t>4_UNMETERED SCATTERED LOAD SERVICE CLASSIFICATION_VR_RR_38</t>
  </si>
  <si>
    <t>Rate Rider for Disposition of Capacity Based Recovery Account (2025) - effective until December 31, 2025 
     Applicable only for Class B Customers</t>
  </si>
  <si>
    <t>4_UNMETERED SCATTERED LOAD SERVICE CLASSIFICATION_VR_RR_43</t>
  </si>
  <si>
    <t>Rate Rider for Recovery of Incremental Capital (2024)  - effective until the effective date of the next cost  of  service-based rate order</t>
  </si>
  <si>
    <t>4_UNMETERED SCATTERED LOAD SERVICE CLASSIFICATION_VR_RR_45</t>
  </si>
  <si>
    <t>4_UNMETERED SCATTERED LOAD SERVICE CLASSIFICATION_VR_RR_47</t>
  </si>
  <si>
    <t>5_SENTINEL LIGHTING SERVICE CLASSIFICATION_FX_RR_17</t>
  </si>
  <si>
    <t>5_SENTINEL LIGHTING SERVICE CLASSIFICATION_FX_RR_18</t>
  </si>
  <si>
    <t>5_SENTINEL LIGHTING SERVICE CLASSIFICATION_VR_RR_48</t>
  </si>
  <si>
    <t>5_SENTINEL LIGHTING SERVICE CLASSIFICATION_VR_RR_53</t>
  </si>
  <si>
    <t>5_SENTINEL LIGHTING SERVICE CLASSIFICATION_VR_RR_55</t>
  </si>
  <si>
    <t>5_SENTINEL LIGHTING SERVICE CLASSIFICATION_VR_RR_57</t>
  </si>
  <si>
    <t>6_STREET LIGHTING SERVICE CLASSIFICATION_FX_RR_20</t>
  </si>
  <si>
    <t>6_STREET LIGHTING SERVICE CLASSIFICATION_FX_RR_21</t>
  </si>
  <si>
    <t>6_STREET LIGHTING SERVICE CLASSIFICATION_VR_RR_58</t>
  </si>
  <si>
    <t>6_STREET LIGHTING SERVICE CLASSIFICATION_VR_RR_65</t>
  </si>
  <si>
    <t>6_STREET LIGHTING SERVICE CLASSIFICATION_VR_RR_67</t>
  </si>
  <si>
    <t>6_STREET LIGHTING SERVICE CLASSIFICATION_VR_RR_69</t>
  </si>
  <si>
    <t xml:space="preserve">Late payment - per month
(effective annual rate 19.56% per annum or 0.04896% compounded daily rate) </t>
  </si>
  <si>
    <t>1_RESIDENTIAL SERVICE CLASSIFICATION_FX_RR_23</t>
  </si>
  <si>
    <t>2_GENERAL SERVICE LESS THAN 50 KW SERVICE CLASSIFICATION_VR_RR_76</t>
  </si>
  <si>
    <t>2_GENERAL SERVICE LESS THAN 50 KW SERVICE CLASSIFICATION_VR_RR_83</t>
  </si>
  <si>
    <t>2_GENERAL SERVICE LESS THAN 50 KW SERVICE CLASSIFICATION_VR_RR_84</t>
  </si>
  <si>
    <t>2_GENERAL SERVICE LESS THAN 50 KW SERVICE CLASSIFICATION_VR_RR_85</t>
  </si>
  <si>
    <t>3_GENERAL SERVICE 50 to 4,999 kW SERVICE CLASSIFICATION_VR_RR_86</t>
  </si>
  <si>
    <t>3_GENERAL SERVICE 50 to 4,999 kW SERVICE CLASSIFICATION_VR_RR_94</t>
  </si>
  <si>
    <t>3_GENERAL SERVICE 50 to 4,999 kW SERVICE CLASSIFICATION_VR_RR_95</t>
  </si>
  <si>
    <t>3_GENERAL SERVICE 50 to 4,999 kW SERVICE CLASSIFICATION_VR_RR_96</t>
  </si>
  <si>
    <t>4_UNMETERED SCATTERED LOAD SERVICE CLASSIFICATION_VR_RR_97</t>
  </si>
  <si>
    <t>4_UNMETERED SCATTERED LOAD SERVICE CLASSIFICATION_VR_RR_104</t>
  </si>
  <si>
    <t>5_STREET LIGHTING SERVICE CLASSIFICATION_VR_RR_105</t>
  </si>
  <si>
    <t>5_STREET LIGHTING SERVICE CLASSIFICATION_VR_RR_112</t>
  </si>
  <si>
    <t>Price Cap IR</t>
  </si>
  <si>
    <t>Transmission Connected</t>
  </si>
  <si>
    <t>Threshold Test</t>
  </si>
  <si>
    <t>Total Claim (including Account 1568)</t>
  </si>
  <si>
    <t>Total Claim for Threshold Test (All Group 1 Accounts)</t>
  </si>
  <si>
    <r>
      <t xml:space="preserve">Threshold Test (Total claim per kWh) </t>
    </r>
    <r>
      <rPr>
        <b/>
        <vertAlign val="superscript"/>
        <sz val="10"/>
        <color theme="1"/>
        <rFont val="Arial"/>
        <family val="2"/>
      </rPr>
      <t>2</t>
    </r>
  </si>
  <si>
    <t xml:space="preserve">Currently, the threshold test has been met and the default is that Group 1 account balances will be disposed. If you are requesting not to dispose of the Group 1 account balances, please select NO and provide detailed reasons in the manager's summary.  </t>
  </si>
  <si>
    <r>
      <t>1</t>
    </r>
    <r>
      <rPr>
        <sz val="11"/>
        <color theme="1"/>
        <rFont val="Calibri"/>
        <family val="2"/>
        <scheme val="minor"/>
      </rPr>
      <t xml:space="preserve"> Residual Account balance to be allocated to rate classes in proportion to the recovery share as established when rate riders were implemented.</t>
    </r>
  </si>
  <si>
    <r>
      <t>2</t>
    </r>
    <r>
      <rPr>
        <sz val="11"/>
        <color theme="1"/>
        <rFont val="Calibri"/>
        <family val="2"/>
        <scheme val="minor"/>
      </rPr>
      <t xml:space="preserve"> The Threshold Test does not include the amount in 1568.</t>
    </r>
  </si>
  <si>
    <r>
      <t>3</t>
    </r>
    <r>
      <rPr>
        <sz val="11"/>
        <color theme="1"/>
        <rFont val="Calibri"/>
        <family val="2"/>
        <scheme val="minor"/>
      </rPr>
      <t xml:space="preserve"> The proportion of customers for the Residential and GS&lt;50 Classes will be used to allocate Account 1551.</t>
    </r>
  </si>
  <si>
    <t>kVA</t>
  </si>
  <si>
    <t>** Used to allocate Account 1551 as this account records the variances arising from the Smart Metering Entity Charges to Residential and GS&lt;50 customers.</t>
  </si>
  <si>
    <t>Residential Service Classification</t>
  </si>
  <si>
    <t>Competitive Sector Multi-unit Residential Service 
Classification</t>
  </si>
  <si>
    <t>Large Use Service Classification</t>
  </si>
  <si>
    <t>Unmetered Scattered Load Service Classification</t>
  </si>
  <si>
    <t>Street Lighting Service Classification</t>
  </si>
  <si>
    <t>General Service Less Than 50 kW Service Classification</t>
  </si>
  <si>
    <t>General Service 50 To 999 kW Service Classification</t>
  </si>
  <si>
    <t>General Service 1,000 To 4,999 kW Service Classification</t>
  </si>
  <si>
    <t>Retail Transmission Rate - Network Service Rate - EV CHARGING</t>
  </si>
  <si>
    <t>Retail Transmission Rate - Line and Transformation Connection Service Rate - EV CHARGING</t>
  </si>
  <si>
    <t>Current RTSR-Connection</t>
  </si>
  <si>
    <t>Adjusted RTSR-Connection</t>
  </si>
  <si>
    <t>The purpose of this table is to re-align the current RTS Connection Rates to recover current wholesale connection costs.</t>
  </si>
  <si>
    <t>Forecast Wholesale Billing</t>
  </si>
  <si>
    <t>Adjusted RTSR-Network</t>
  </si>
  <si>
    <t>Proposed RTSR-Network</t>
  </si>
  <si>
    <t>The purpose of this table is to update the re-aligned RTS Network Rates to recover future wholesale network costs.</t>
  </si>
  <si>
    <t>Proposed RTSR-Connection</t>
  </si>
  <si>
    <t>The purpose of this table is to update the re-aligned RTS Connection Rates to recover future wholesale connection costs.</t>
  </si>
  <si>
    <t>If the allocated Account 1580 sub-account CBR Class B amount does not produce a rate rider in one or more rate class (except for the Standby rate class), the model will transfer the entire CBR Class B amount into Account 1580 WMS control account to be disposed through the general purpose Group 1 DVA rate riders.</t>
  </si>
  <si>
    <t>Revenue Reconcilation 1</t>
  </si>
  <si>
    <t>Total Group 1 balance including Account 1568 and Account 1509 requested for disposition</t>
  </si>
  <si>
    <t>Summary of changes in the IRM Model</t>
  </si>
  <si>
    <t>No.</t>
  </si>
  <si>
    <t>Cell Reference</t>
  </si>
  <si>
    <t>Description</t>
  </si>
  <si>
    <t>A18 : T18</t>
  </si>
  <si>
    <t xml:space="preserve">Changed to include the Competitive Sector Multi-Unit Residential (CSMUR) Service Classification </t>
  </si>
  <si>
    <t>RRR Data 2024</t>
  </si>
  <si>
    <t>A18 : W18</t>
  </si>
  <si>
    <t>C19 : C23, D19 : D20</t>
  </si>
  <si>
    <t xml:space="preserve">Formula is used, since no macro is used in the model. </t>
  </si>
  <si>
    <t>A18 : N18</t>
  </si>
  <si>
    <t>C17 : C24</t>
  </si>
  <si>
    <t>M17 : M24</t>
  </si>
  <si>
    <t>6.2a CBR B Allocation</t>
  </si>
  <si>
    <t>A18 : K18</t>
  </si>
  <si>
    <t xml:space="preserve">I17 : K19, I23 : K23 </t>
  </si>
  <si>
    <t>Rounding off to five decimal instead of four decimal.</t>
  </si>
  <si>
    <t>I20 : K22, I24 : K24</t>
  </si>
  <si>
    <t>Modified to change to rate per 30 days.</t>
  </si>
  <si>
    <t>Changed the rate from four decimal to five decimal.</t>
  </si>
  <si>
    <t>E19 : F20</t>
  </si>
  <si>
    <t>Modified to include CSMUR Metered kWh and kW</t>
  </si>
  <si>
    <t>E74</t>
  </si>
  <si>
    <t>Modified to include Historical Low Voltage Switchgear Credit</t>
  </si>
  <si>
    <t>P110</t>
  </si>
  <si>
    <t>Modified the formula to pick the correct value.</t>
  </si>
  <si>
    <t>G20 : G24, G26, G34 : G38, G40, G48 : G52, G54, G62 : G66, G68
J20 : J24, J26, J34 : J38, J40, J48 : J52, J54, J62 : J66, J68</t>
  </si>
  <si>
    <t>Modified since Toronto Hydro rates are per 30 days.</t>
  </si>
  <si>
    <t>D17:D19, D25, D31:D33, D39, D45:D47, D53, D59:D61, D67
J41 : J43, J47, J53 : J55,  J59</t>
  </si>
  <si>
    <t>I17 : I26, I31 : I40, I45:54, I59 : I68</t>
  </si>
  <si>
    <t>C17 : C24; D17:D24</t>
  </si>
  <si>
    <t>D17 : D22, D33, D34</t>
  </si>
  <si>
    <t>Value</t>
  </si>
  <si>
    <t>CRCI Components</t>
  </si>
  <si>
    <t>%age</t>
  </si>
  <si>
    <t>I - Inflation</t>
  </si>
  <si>
    <t>X - Productivity</t>
  </si>
  <si>
    <t>X - Stretch</t>
  </si>
  <si>
    <t>RGF - Revenue Growth Factor</t>
  </si>
  <si>
    <t>Revenue Deficiency</t>
  </si>
  <si>
    <t>Factor to recover revenue deficiency</t>
  </si>
  <si>
    <t>Custom Revenue Cap Index (CRCI)</t>
  </si>
  <si>
    <t>Fixed rate per month</t>
  </si>
  <si>
    <t>Revenue</t>
  </si>
  <si>
    <t>Reconciliation</t>
  </si>
  <si>
    <t>Customer Numbers</t>
  </si>
  <si>
    <t>kVA (Including WMP)</t>
  </si>
  <si>
    <t>kWh (Excluding WMP; Including line losses)</t>
  </si>
  <si>
    <t>Monthly Service Charge (per 30 days)</t>
  </si>
  <si>
    <t>Volumetric Rate</t>
  </si>
  <si>
    <t>Transformer Ownership Allowance</t>
  </si>
  <si>
    <t>Total Revenue</t>
  </si>
  <si>
    <t>Revenue Requirement by class to be recover</t>
  </si>
  <si>
    <t>Ceiling</t>
  </si>
  <si>
    <t>Floor</t>
  </si>
  <si>
    <t>Rates are higher than ceiling test</t>
  </si>
  <si>
    <t>Rates are lower than floor test</t>
  </si>
  <si>
    <t>Monthly Service Charges applicable per month</t>
  </si>
  <si>
    <t>Fixed</t>
  </si>
  <si>
    <t>Variable</t>
  </si>
  <si>
    <t>Xformer Allow.</t>
  </si>
  <si>
    <t>n/a</t>
  </si>
  <si>
    <t>Competitive Sector Multi-Unit Residential</t>
  </si>
  <si>
    <t>GS &lt;50</t>
  </si>
  <si>
    <t>GS - 50 to 999</t>
  </si>
  <si>
    <t>GS - 1000 to 4999</t>
  </si>
  <si>
    <t>Large Use &gt;5MW</t>
  </si>
  <si>
    <t>Street Light</t>
  </si>
  <si>
    <t>Unmetered Scattered Load (Connections)</t>
  </si>
  <si>
    <t>TOTAL</t>
  </si>
  <si>
    <t>22. Base Distribution Rates</t>
  </si>
  <si>
    <t>This tab is added to develop base distribution rates by adopting CRCI (Custom Revenue Cap Index).</t>
  </si>
  <si>
    <t>CRCI (Custom Revenue Cap Index)</t>
  </si>
  <si>
    <t>Pre-populated RRR data in the model was not aligned with the OEB portal. We replaced the data to match with 2024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</si>
</sst>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6">
    <numFmt numFmtId="7" formatCode="&quot;$&quot;#,##0.00;\-&quot;$&quot;#,##0.00"/>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00_);_(&quot;$&quot;* \(#,##0.00\);_(&quot;$&quot;* &quot;-&quot;??_);_(@_)"/>
    <numFmt numFmtId="169" formatCode="_(* #,##0.00_);_(* \(#,##0.00\);_(* &quot;-&quot;??_);_(@_)"/>
    <numFmt numFmtId="170" formatCode="0.0"/>
    <numFmt numFmtId="171" formatCode="[$-F800]dddd\,\ mmmm\ dd\,\ yyyy"/>
    <numFmt numFmtId="172" formatCode="_(* #,##0.0_);_(* \(#,##0.0\);_(* &quot;-&quot;??_);_(@_)"/>
    <numFmt numFmtId="173" formatCode="#,##0.0"/>
    <numFmt numFmtId="174" formatCode="mm/dd/yyyy"/>
    <numFmt numFmtId="175" formatCode="0\-0"/>
    <numFmt numFmtId="176" formatCode="##\-#"/>
    <numFmt numFmtId="177" formatCode="_(* #,##0_);_(* \(#,##0\);_(* &quot;-&quot;??_);_(@_)"/>
    <numFmt numFmtId="178" formatCode="&quot;£ &quot;#,##0.00;[Red]\-&quot;£ &quot;#,##0.00"/>
    <numFmt numFmtId="179" formatCode="#,##0.0000;[Red]\(#,##0.0000\)"/>
    <numFmt numFmtId="180" formatCode="#,##0.00;[Red]\(#,##0.00\)"/>
    <numFmt numFmtId="181" formatCode="0.0%"/>
    <numFmt numFmtId="182" formatCode="#,##0;[Red]\(#,##0\)"/>
    <numFmt numFmtId="183" formatCode="0.0000"/>
    <numFmt numFmtId="184" formatCode="#,##0.0000"/>
    <numFmt numFmtId="185" formatCode="#,##0.00_ ;\-#,##0.00\ "/>
    <numFmt numFmtId="186" formatCode="0.00%;\(0.00\)%"/>
    <numFmt numFmtId="187" formatCode="#,##0.00_ ;\(#,##0.00\)"/>
    <numFmt numFmtId="188" formatCode="#,##0.00000"/>
    <numFmt numFmtId="189" formatCode="0%;\(0%\)"/>
    <numFmt numFmtId="190" formatCode="_-* #,##0_-;\-* #,##0_-;_-* &quot;-&quot;??_-;_-@_-"/>
    <numFmt numFmtId="191" formatCode="_ #,##0;[Red]\(#,##0\)"/>
    <numFmt numFmtId="192" formatCode="_-&quot;$&quot;* #,##0.0000_-;\-&quot;$&quot;* #,##0.0000_-;_-&quot;$&quot;* &quot;-&quot;??_-;_-@_-"/>
    <numFmt numFmtId="193" formatCode="#,##0.0000_ ;\-#,##0.0000\ "/>
    <numFmt numFmtId="194" formatCode="_-&quot;$&quot;* #,##0_-;\-&quot;$&quot;* #,##0_-;_-&quot;$&quot;* &quot;-&quot;??_-;_-@_-"/>
    <numFmt numFmtId="195" formatCode="&quot;$&quot;#,##0;[Red]\(&quot;$&quot;#,##0\)"/>
    <numFmt numFmtId="196" formatCode="[$-409]mmmm\ d\,\ yyyy;@"/>
    <numFmt numFmtId="197" formatCode="_-* #,##0.0000_-;\-* #,##0.0000_-;_-* &quot;-&quot;??_-;_-@_-"/>
    <numFmt numFmtId="198" formatCode="[$-1009]mmmm\ d\,\ yyyy;@"/>
    <numFmt numFmtId="199" formatCode="&quot;$&quot;#,##0.0000_);\(&quot;$&quot;#,##0.0000\)"/>
    <numFmt numFmtId="200" formatCode="_(&quot;$&quot;* #,##0.0000_);_(&quot;$&quot;* \(#,##0.0000\);_(&quot;$&quot;* &quot;-&quot;??_);_(@_)"/>
    <numFmt numFmtId="201" formatCode="#0"/>
    <numFmt numFmtId="202" formatCode="&quot;$&quot;#,##0.0000;[Red]\(&quot;$&quot;#,##0.0000\)"/>
    <numFmt numFmtId="203" formatCode="_ &quot;$&quot;#,##0.00000;[Red]\(&quot;$&quot;#,##0.00000\)"/>
    <numFmt numFmtId="204" formatCode="_ #,##0.00000;[Red]\(#,##0.00000\)"/>
    <numFmt numFmtId="205" formatCode="_ #,##0.0000;[Red]\(#,##0.0000\)"/>
    <numFmt numFmtId="206" formatCode="_ #,##0.00;[Red]\(#,##0.00\)"/>
    <numFmt numFmtId="207" formatCode="0.00000"/>
    <numFmt numFmtId="208" formatCode="_-* #,##0_-;\-\ #,##0_-;_-* &quot;-&quot;_-;_-@_-"/>
    <numFmt numFmtId="209" formatCode="_-* #,##0.0,,_-;\-\ #,##0.0,,_-;_-* &quot;-&quot;_-;_-@_-"/>
    <numFmt numFmtId="210" formatCode="_-&quot;$&quot;* #,##0.00000_-;\-&quot;$&quot;* #,##0.00000_-;_-&quot;$&quot;* &quot;-&quot;??_-;_-@_-"/>
    <numFmt numFmtId="211" formatCode="_-\ &quot;$&quot;#,##0.00_-;\-\ &quot;$&quot;#,##0.00_-;_-* &quot;-&quot;_-;_-@_-"/>
    <numFmt numFmtId="212" formatCode="_-\ &quot;$&quot;#,##0_-;\-\ &quot;$&quot;#,##0_-;_-* &quot;-&quot;_-;_-@_-"/>
    <numFmt numFmtId="213" formatCode="0.0000%"/>
    <numFmt numFmtId="214" formatCode="0.000000%"/>
    <numFmt numFmtId="215" formatCode="_-* #,##0.0_-;\-\ #,##0.0_-;_-* &quot;-&quot;_-;_-@_-"/>
    <numFmt numFmtId="216" formatCode="#,##0.00000;[Red]#,##0.00000"/>
  </numFmts>
  <fonts count="151"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b/>
      <sz val="11"/>
      <color theme="3"/>
      <name val="Calibri"/>
      <family val="2"/>
      <scheme val="minor"/>
    </font>
    <font>
      <sz val="10"/>
      <name val="Arial"/>
      <family val="2"/>
    </font>
    <font>
      <sz val="8"/>
      <name val="Arial"/>
      <family val="2"/>
    </font>
    <font>
      <sz val="10"/>
      <color theme="1"/>
      <name val="Calibri"/>
      <family val="2"/>
      <scheme val="minor"/>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0"/>
      <color theme="1"/>
      <name val="Arial"/>
      <family val="2"/>
    </font>
    <font>
      <sz val="10"/>
      <name val="Arial"/>
      <family val="2"/>
    </font>
    <font>
      <b/>
      <sz val="10"/>
      <color indexed="9"/>
      <name val="Arial"/>
      <family val="2"/>
    </font>
    <font>
      <sz val="11"/>
      <color indexed="8"/>
      <name val="Calibri"/>
      <family val="2"/>
    </font>
    <font>
      <sz val="11"/>
      <color theme="1"/>
      <name val="Calibri"/>
      <family val="2"/>
      <scheme val="minor"/>
    </font>
    <font>
      <b/>
      <sz val="12"/>
      <name val="Arial"/>
      <family val="2"/>
    </font>
    <font>
      <b/>
      <sz val="11"/>
      <name val="Arial"/>
      <family val="2"/>
    </font>
    <font>
      <sz val="11"/>
      <name val="Arial"/>
      <family val="2"/>
    </font>
    <font>
      <b/>
      <sz val="11"/>
      <color indexed="12"/>
      <name val="Arial"/>
      <family val="2"/>
    </font>
    <font>
      <b/>
      <sz val="10"/>
      <name val="Arial"/>
      <family val="2"/>
    </font>
    <font>
      <b/>
      <vertAlign val="superscript"/>
      <sz val="10"/>
      <name val="Arial"/>
      <family val="2"/>
    </font>
    <font>
      <b/>
      <i/>
      <sz val="10"/>
      <name val="Arial"/>
      <family val="2"/>
    </font>
    <font>
      <b/>
      <sz val="14"/>
      <color indexed="10"/>
      <name val="Arial"/>
      <family val="2"/>
    </font>
    <font>
      <b/>
      <sz val="11"/>
      <color rgb="FFFF0000"/>
      <name val="Calibri"/>
      <family val="2"/>
      <scheme val="minor"/>
    </font>
    <font>
      <sz val="12"/>
      <name val="Arial"/>
      <family val="2"/>
    </font>
    <font>
      <sz val="12"/>
      <color theme="1"/>
      <name val="Calibri"/>
      <family val="2"/>
      <scheme val="minor"/>
    </font>
    <font>
      <b/>
      <sz val="10"/>
      <color theme="3"/>
      <name val="Arial"/>
      <family val="2"/>
    </font>
    <font>
      <sz val="10"/>
      <name val="Book Antiqua"/>
      <family val="1"/>
    </font>
    <font>
      <sz val="10"/>
      <name val="Arial"/>
      <family val="2"/>
    </font>
    <font>
      <b/>
      <sz val="11"/>
      <name val="Calibri"/>
      <family val="2"/>
      <scheme val="minor"/>
    </font>
    <font>
      <sz val="11"/>
      <name val="Calibri"/>
      <family val="2"/>
      <scheme val="minor"/>
    </font>
    <font>
      <sz val="12"/>
      <color theme="1"/>
      <name val="Arial"/>
      <family val="2"/>
    </font>
    <font>
      <sz val="11"/>
      <color theme="0"/>
      <name val="Calibri"/>
      <family val="2"/>
      <scheme val="minor"/>
    </font>
    <font>
      <sz val="9"/>
      <color theme="1"/>
      <name val="Arial"/>
      <family val="2"/>
    </font>
    <font>
      <b/>
      <sz val="11"/>
      <color theme="1"/>
      <name val="Arial"/>
      <family val="2"/>
    </font>
    <font>
      <b/>
      <sz val="12"/>
      <color theme="1"/>
      <name val="Arial"/>
      <family val="2"/>
    </font>
    <font>
      <b/>
      <sz val="14"/>
      <name val="Arial"/>
      <family val="2"/>
    </font>
    <font>
      <b/>
      <sz val="10"/>
      <color theme="0"/>
      <name val="Arial"/>
      <family val="2"/>
    </font>
    <font>
      <b/>
      <sz val="10"/>
      <color rgb="FFFF0000"/>
      <name val="Arial"/>
      <family val="2"/>
    </font>
    <font>
      <b/>
      <u/>
      <sz val="10"/>
      <name val="Arial"/>
      <family val="2"/>
    </font>
    <font>
      <sz val="10"/>
      <color indexed="10"/>
      <name val="Arial"/>
      <family val="2"/>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4"/>
      <name val="Arial"/>
      <family val="2"/>
    </font>
    <font>
      <b/>
      <sz val="8"/>
      <color theme="1"/>
      <name val="Arial"/>
      <family val="2"/>
    </font>
    <font>
      <sz val="9.9"/>
      <color rgb="FF000000"/>
      <name val="Arial"/>
      <family val="2"/>
    </font>
    <font>
      <b/>
      <sz val="12"/>
      <color theme="0"/>
      <name val="Arial"/>
      <family val="2"/>
    </font>
    <font>
      <sz val="8"/>
      <color rgb="FF000000"/>
      <name val="Arial"/>
      <family val="2"/>
    </font>
    <font>
      <sz val="14"/>
      <color theme="1"/>
      <name val="Calibri"/>
      <family val="2"/>
      <scheme val="minor"/>
    </font>
    <font>
      <sz val="9"/>
      <color theme="1"/>
      <name val="Calibri"/>
      <family val="2"/>
      <scheme val="minor"/>
    </font>
    <font>
      <b/>
      <sz val="11"/>
      <color rgb="FFFF0000"/>
      <name val="Arial"/>
      <family val="2"/>
    </font>
    <font>
      <b/>
      <sz val="9"/>
      <color theme="1"/>
      <name val="Arial"/>
      <family val="2"/>
    </font>
    <font>
      <sz val="13"/>
      <name val="Arial"/>
      <family val="2"/>
    </font>
    <font>
      <sz val="13"/>
      <color indexed="8"/>
      <name val="Arial"/>
      <family val="2"/>
    </font>
    <font>
      <sz val="12"/>
      <color indexed="8"/>
      <name val="Arial"/>
      <family val="2"/>
    </font>
    <font>
      <b/>
      <sz val="10"/>
      <name val="Book Antiqua"/>
      <family val="1"/>
    </font>
    <font>
      <b/>
      <i/>
      <sz val="10"/>
      <color theme="1"/>
      <name val="Arial"/>
      <family val="2"/>
    </font>
    <font>
      <b/>
      <sz val="8"/>
      <name val="Arial"/>
      <family val="2"/>
    </font>
    <font>
      <b/>
      <sz val="9"/>
      <name val="Arial"/>
      <family val="2"/>
    </font>
    <font>
      <b/>
      <i/>
      <sz val="11"/>
      <color theme="1"/>
      <name val="Arial"/>
      <family val="2"/>
    </font>
    <font>
      <sz val="10"/>
      <color theme="0"/>
      <name val="Arial"/>
      <family val="2"/>
    </font>
    <font>
      <b/>
      <sz val="22"/>
      <name val="Book Antiqua"/>
      <family val="1"/>
    </font>
    <font>
      <sz val="22"/>
      <name val="Book Antiqua"/>
      <family val="1"/>
    </font>
    <font>
      <b/>
      <sz val="10"/>
      <color rgb="FF000000"/>
      <name val="Arial"/>
      <family val="2"/>
    </font>
    <font>
      <b/>
      <sz val="12"/>
      <color indexed="8"/>
      <name val="Arial"/>
      <family val="2"/>
    </font>
    <font>
      <b/>
      <sz val="16"/>
      <name val="Book Antiqua"/>
      <family val="1"/>
    </font>
    <font>
      <b/>
      <vertAlign val="superscript"/>
      <sz val="10"/>
      <name val="Book Antiqua"/>
      <family val="1"/>
    </font>
    <font>
      <b/>
      <vertAlign val="superscript"/>
      <sz val="11"/>
      <name val="Book Antiqua"/>
      <family val="1"/>
    </font>
    <font>
      <b/>
      <sz val="18"/>
      <name val="Arial"/>
      <family val="2"/>
    </font>
    <font>
      <vertAlign val="superscript"/>
      <sz val="11"/>
      <name val="Arial"/>
      <family val="2"/>
    </font>
    <font>
      <i/>
      <sz val="11"/>
      <color rgb="FFFF0000"/>
      <name val="Arial"/>
      <family val="2"/>
    </font>
    <font>
      <strike/>
      <sz val="10"/>
      <name val="Arial"/>
      <family val="2"/>
    </font>
    <font>
      <sz val="9"/>
      <name val="Arial"/>
      <family val="2"/>
    </font>
    <font>
      <u/>
      <sz val="8"/>
      <color rgb="FF0000FF"/>
      <name val="Calibri"/>
      <family val="2"/>
      <scheme val="minor"/>
    </font>
    <font>
      <u/>
      <sz val="8"/>
      <color rgb="FF800080"/>
      <name val="Calibri"/>
      <family val="2"/>
      <scheme val="minor"/>
    </font>
    <font>
      <b/>
      <vertAlign val="superscript"/>
      <sz val="11"/>
      <color theme="1"/>
      <name val="Calibri"/>
      <family val="2"/>
      <scheme val="minor"/>
    </font>
    <font>
      <sz val="8"/>
      <color rgb="FFFF0000"/>
      <name val="Arial"/>
      <family val="2"/>
    </font>
    <font>
      <b/>
      <sz val="14"/>
      <color rgb="FF000000"/>
      <name val="Arial"/>
      <family val="2"/>
    </font>
    <font>
      <sz val="8"/>
      <color rgb="FF000000"/>
      <name val="Arial"/>
      <family val="2"/>
      <charset val="204"/>
    </font>
    <font>
      <sz val="8"/>
      <color theme="1"/>
      <name val="Arial"/>
      <family val="2"/>
      <charset val="204"/>
    </font>
    <font>
      <b/>
      <sz val="16"/>
      <name val="Arial"/>
      <family val="2"/>
    </font>
    <font>
      <sz val="11"/>
      <color rgb="FF000000"/>
      <name val="Calibri"/>
      <family val="2"/>
      <scheme val="minor"/>
    </font>
    <font>
      <sz val="14"/>
      <color theme="1"/>
      <name val="Arial"/>
      <family val="2"/>
    </font>
    <font>
      <sz val="8"/>
      <name val="Arial"/>
      <family val="2"/>
      <charset val="204"/>
    </font>
    <font>
      <b/>
      <sz val="9"/>
      <color rgb="FF000000"/>
      <name val="Arial"/>
      <family val="2"/>
    </font>
    <font>
      <b/>
      <sz val="16"/>
      <color theme="1"/>
      <name val="Arial"/>
      <family val="2"/>
    </font>
    <font>
      <b/>
      <vertAlign val="superscript"/>
      <sz val="11"/>
      <name val="Arial"/>
      <family val="2"/>
    </font>
    <font>
      <sz val="8"/>
      <color rgb="FF333399"/>
      <name val="Calibri"/>
      <family val="2"/>
    </font>
    <font>
      <sz val="8"/>
      <color theme="1"/>
      <name val="Calibri"/>
      <family val="2"/>
    </font>
    <font>
      <sz val="14"/>
      <name val="Calibri"/>
      <family val="2"/>
      <scheme val="minor"/>
    </font>
    <font>
      <sz val="10"/>
      <name val="Calibri"/>
      <family val="2"/>
      <scheme val="minor"/>
    </font>
    <font>
      <b/>
      <sz val="10"/>
      <color rgb="FF002060"/>
      <name val="Arial"/>
      <family val="2"/>
    </font>
    <font>
      <b/>
      <sz val="11"/>
      <color theme="0"/>
      <name val="Arial"/>
      <family val="2"/>
    </font>
    <font>
      <b/>
      <sz val="11"/>
      <color rgb="FFFFFFFF"/>
      <name val="Calibri"/>
      <family val="2"/>
    </font>
    <font>
      <i/>
      <sz val="10"/>
      <color rgb="FFFF0000"/>
      <name val="Arial"/>
      <family val="2"/>
    </font>
    <font>
      <i/>
      <sz val="11"/>
      <color theme="1"/>
      <name val="Calibri"/>
      <family val="2"/>
      <scheme val="minor"/>
    </font>
    <font>
      <b/>
      <u/>
      <sz val="14"/>
      <color theme="1"/>
      <name val="Calibri"/>
      <family val="2"/>
      <scheme val="minor"/>
    </font>
    <font>
      <b/>
      <sz val="14"/>
      <color theme="1"/>
      <name val="Calibri"/>
      <family val="2"/>
      <scheme val="minor"/>
    </font>
    <font>
      <b/>
      <u/>
      <sz val="12"/>
      <color theme="1"/>
      <name val="Calibri"/>
      <family val="2"/>
      <scheme val="minor"/>
    </font>
    <font>
      <u/>
      <sz val="11"/>
      <color theme="1"/>
      <name val="Calibri"/>
      <family val="2"/>
      <scheme val="minor"/>
    </font>
    <font>
      <b/>
      <sz val="10"/>
      <color theme="1"/>
      <name val="Calibri"/>
      <family val="2"/>
      <scheme val="minor"/>
    </font>
    <font>
      <sz val="8"/>
      <color theme="1"/>
      <name val="Calibri"/>
      <family val="2"/>
      <scheme val="minor"/>
    </font>
    <font>
      <b/>
      <sz val="10"/>
      <color theme="1"/>
      <name val="Calibri"/>
      <family val="2"/>
    </font>
    <font>
      <vertAlign val="superscript"/>
      <sz val="22"/>
      <name val="Book Antiqua"/>
      <family val="1"/>
    </font>
    <font>
      <sz val="11"/>
      <color rgb="FFFF0000"/>
      <name val="Arial"/>
      <family val="2"/>
    </font>
    <font>
      <i/>
      <sz val="9"/>
      <name val="Arial"/>
      <family val="2"/>
    </font>
    <font>
      <b/>
      <sz val="8"/>
      <color theme="1"/>
      <name val="Calibri"/>
      <family val="2"/>
    </font>
    <font>
      <b/>
      <vertAlign val="superscript"/>
      <sz val="11"/>
      <color rgb="FF0000FF"/>
      <name val="Arial"/>
      <family val="2"/>
    </font>
    <font>
      <sz val="11"/>
      <color theme="1"/>
      <name val="Calibri"/>
      <family val="2"/>
    </font>
    <font>
      <sz val="9"/>
      <name val="Calibri"/>
      <family val="2"/>
      <scheme val="minor"/>
    </font>
    <font>
      <sz val="8"/>
      <color theme="0" tint="-0.34998626667073579"/>
      <name val="Arial"/>
      <family val="2"/>
    </font>
    <font>
      <sz val="11"/>
      <color theme="1"/>
      <name val="Times New Roman"/>
      <family val="1"/>
    </font>
    <font>
      <b/>
      <sz val="10"/>
      <color theme="1"/>
      <name val="Calibri"/>
      <family val="2"/>
    </font>
    <font>
      <b/>
      <sz val="8"/>
      <color theme="1"/>
      <name val="Calibri"/>
      <family val="2"/>
    </font>
    <font>
      <sz val="8"/>
      <color theme="1"/>
      <name val="Calibri"/>
      <family val="2"/>
    </font>
    <font>
      <b/>
      <u/>
      <sz val="10"/>
      <color theme="1"/>
      <name val="Arial"/>
      <family val="2"/>
    </font>
    <font>
      <b/>
      <vertAlign val="superscript"/>
      <sz val="10"/>
      <color theme="1"/>
      <name val="Arial"/>
      <family val="2"/>
    </font>
    <font>
      <vertAlign val="superscript"/>
      <sz val="11"/>
      <color theme="1"/>
      <name val="Calibri"/>
      <family val="2"/>
      <scheme val="minor"/>
    </font>
    <font>
      <sz val="11"/>
      <color rgb="FF000000"/>
      <name val="Calibri"/>
      <family val="2"/>
    </font>
    <font>
      <b/>
      <sz val="14"/>
      <color rgb="FF000000"/>
      <name val="Calibri"/>
      <family val="2"/>
    </font>
    <font>
      <sz val="12"/>
      <color theme="1"/>
      <name val="Calibri"/>
      <family val="2"/>
    </font>
    <font>
      <sz val="10"/>
      <color theme="0" tint="-0.499984740745262"/>
      <name val="Arial"/>
      <family val="2"/>
    </font>
    <font>
      <b/>
      <sz val="14"/>
      <color rgb="FFFF0000"/>
      <name val="Calibri"/>
      <family val="2"/>
      <scheme val="minor"/>
    </font>
    <font>
      <sz val="11"/>
      <color rgb="FF0000FF"/>
      <name val="Calibri"/>
      <family val="2"/>
    </font>
    <font>
      <b/>
      <sz val="11"/>
      <name val="Calibri"/>
      <family val="2"/>
    </font>
    <font>
      <sz val="11"/>
      <color rgb="FFFF0000"/>
      <name val="Calibri"/>
      <family val="2"/>
    </font>
    <font>
      <sz val="12"/>
      <name val="Calibri"/>
      <family val="2"/>
      <scheme val="minor"/>
    </font>
    <font>
      <sz val="11"/>
      <color rgb="FF0000FF"/>
      <name val="Calibri"/>
      <family val="2"/>
      <scheme val="minor"/>
    </font>
    <font>
      <sz val="10"/>
      <color rgb="FF0000FF"/>
      <name val="Arial"/>
      <family val="2"/>
    </font>
    <font>
      <sz val="11"/>
      <name val="Calibri"/>
      <family val="2"/>
    </font>
    <font>
      <strike/>
      <sz val="11"/>
      <color theme="1"/>
      <name val="Calibri"/>
      <family val="2"/>
    </font>
    <font>
      <strike/>
      <sz val="11"/>
      <color rgb="FF0000FF"/>
      <name val="Calibri"/>
      <family val="2"/>
    </font>
    <font>
      <sz val="11"/>
      <color theme="0" tint="-0.499984740745262"/>
      <name val="Calibri"/>
      <family val="2"/>
    </font>
    <font>
      <b/>
      <sz val="11"/>
      <color theme="0" tint="-0.499984740745262"/>
      <name val="Calibri"/>
      <family val="2"/>
      <scheme val="minor"/>
    </font>
    <font>
      <sz val="11"/>
      <color theme="0" tint="-0.499984740745262"/>
      <name val="Calibri"/>
      <family val="2"/>
      <scheme val="minor"/>
    </font>
  </fonts>
  <fills count="6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indexed="9"/>
        <bgColor indexed="64"/>
      </patternFill>
    </fill>
    <fill>
      <patternFill patternType="solid">
        <fgColor theme="0" tint="-4.9989318521683403E-2"/>
        <bgColor indexed="64"/>
      </patternFill>
    </fill>
    <fill>
      <patternFill patternType="solid">
        <fgColor theme="4" tint="0.39997558519241921"/>
        <bgColor indexed="65"/>
      </patternFill>
    </fill>
    <fill>
      <patternFill patternType="solid">
        <fgColor theme="0" tint="-0.249977111117893"/>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rgb="FFFFFF99"/>
        <bgColor indexed="64"/>
      </patternFill>
    </fill>
    <fill>
      <patternFill patternType="solid">
        <fgColor indexed="13"/>
        <bgColor indexed="64"/>
      </patternFill>
    </fill>
    <fill>
      <patternFill patternType="solid">
        <fgColor rgb="FFF0F4FA"/>
      </patternFill>
    </fill>
    <fill>
      <patternFill patternType="solid">
        <fgColor rgb="FFFFFFFF"/>
      </patternFill>
    </fill>
    <fill>
      <patternFill patternType="solid">
        <fgColor rgb="FFFFFFFF"/>
        <bgColor indexed="64"/>
      </patternFill>
    </fill>
    <fill>
      <patternFill patternType="solid">
        <fgColor rgb="FF002060"/>
        <bgColor indexed="64"/>
      </patternFill>
    </fill>
    <fill>
      <patternFill patternType="solid">
        <fgColor rgb="FFEBF1DE"/>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2F2F2"/>
        <bgColor indexed="64"/>
      </patternFill>
    </fill>
    <fill>
      <patternFill patternType="solid">
        <fgColor theme="3"/>
        <bgColor indexed="64"/>
      </patternFill>
    </fill>
    <fill>
      <patternFill patternType="solid">
        <fgColor rgb="FFDCE6F1"/>
        <bgColor indexed="64"/>
      </patternFill>
    </fill>
    <fill>
      <patternFill patternType="solid">
        <fgColor rgb="FFA6A6A6"/>
        <bgColor indexed="64"/>
      </patternFill>
    </fill>
  </fills>
  <borders count="140">
    <border>
      <left/>
      <right/>
      <top/>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medium">
        <color theme="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ck">
        <color theme="0" tint="-0.34998626667073579"/>
      </right>
      <top/>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top style="medium">
        <color indexed="12"/>
      </top>
      <bottom/>
      <diagonal/>
    </border>
    <border>
      <left/>
      <right/>
      <top style="medium">
        <color indexed="12"/>
      </top>
      <bottom/>
      <diagonal/>
    </border>
    <border>
      <left/>
      <right style="medium">
        <color indexed="64"/>
      </right>
      <top style="medium">
        <color indexed="12"/>
      </top>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64"/>
      </left>
      <right style="medium">
        <color indexed="9"/>
      </right>
      <top/>
      <bottom/>
      <diagonal/>
    </border>
    <border>
      <left style="medium">
        <color indexed="9"/>
      </left>
      <right style="medium">
        <color indexed="9"/>
      </right>
      <top/>
      <bottom/>
      <diagonal/>
    </border>
    <border>
      <left/>
      <right/>
      <top/>
      <bottom style="medium">
        <color auto="1"/>
      </bottom>
      <diagonal/>
    </border>
    <border>
      <left/>
      <right/>
      <top style="medium">
        <color indexed="64"/>
      </top>
      <bottom/>
      <diagonal/>
    </border>
    <border>
      <left style="medium">
        <color indexed="64"/>
      </left>
      <right/>
      <top/>
      <bottom style="medium">
        <color indexed="12"/>
      </bottom>
      <diagonal/>
    </border>
    <border>
      <left/>
      <right/>
      <top/>
      <bottom style="medium">
        <color indexed="12"/>
      </bottom>
      <diagonal/>
    </border>
    <border>
      <left style="medium">
        <color indexed="64"/>
      </left>
      <right/>
      <top/>
      <bottom style="medium">
        <color indexed="64"/>
      </bottom>
      <diagonal/>
    </border>
    <border>
      <left style="medium">
        <color indexed="9"/>
      </left>
      <right/>
      <top style="medium">
        <color indexed="9"/>
      </top>
      <bottom style="medium">
        <color indexed="9"/>
      </bottom>
      <diagonal/>
    </border>
    <border>
      <left/>
      <right/>
      <top/>
      <bottom style="medium">
        <color indexed="64"/>
      </bottom>
      <diagonal/>
    </border>
    <border>
      <left/>
      <right style="medium">
        <color indexed="64"/>
      </right>
      <top/>
      <bottom style="medium">
        <color indexed="39"/>
      </bottom>
      <diagonal/>
    </border>
    <border>
      <left style="medium">
        <color auto="1"/>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theme="0"/>
      </top>
      <bottom style="medium">
        <color theme="0"/>
      </bottom>
      <diagonal/>
    </border>
    <border>
      <left style="medium">
        <color indexed="9"/>
      </left>
      <right/>
      <top/>
      <bottom style="medium">
        <color indexed="9"/>
      </bottom>
      <diagonal/>
    </border>
    <border>
      <left style="medium">
        <color indexed="9"/>
      </left>
      <right/>
      <top/>
      <bottom/>
      <diagonal/>
    </border>
    <border>
      <left/>
      <right/>
      <top/>
      <bottom style="thin">
        <color theme="0"/>
      </bottom>
      <diagonal/>
    </border>
    <border>
      <left/>
      <right/>
      <top style="thick">
        <color theme="0"/>
      </top>
      <bottom style="thick">
        <color theme="0"/>
      </bottom>
      <diagonal/>
    </border>
    <border>
      <left/>
      <right/>
      <top/>
      <bottom style="thick">
        <color theme="0"/>
      </bottom>
      <diagonal/>
    </border>
    <border>
      <left style="thick">
        <color theme="0"/>
      </left>
      <right/>
      <top/>
      <bottom style="thick">
        <color theme="0"/>
      </bottom>
      <diagonal/>
    </border>
    <border>
      <left style="thin">
        <color indexed="64"/>
      </left>
      <right/>
      <top/>
      <bottom/>
      <diagonal/>
    </border>
    <border>
      <left/>
      <right style="medium">
        <color auto="1"/>
      </right>
      <top/>
      <bottom/>
      <diagonal/>
    </border>
    <border>
      <left/>
      <right/>
      <top style="medium">
        <color theme="0"/>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bottom/>
      <diagonal/>
    </border>
    <border>
      <left/>
      <right/>
      <top style="thick">
        <color theme="0"/>
      </top>
      <bottom/>
      <diagonal/>
    </border>
    <border>
      <left style="medium">
        <color auto="1"/>
      </left>
      <right style="medium">
        <color indexed="64"/>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theme="0"/>
      </top>
      <bottom/>
      <diagonal/>
    </border>
    <border>
      <left style="medium">
        <color indexed="64"/>
      </left>
      <right/>
      <top style="medium">
        <color theme="0"/>
      </top>
      <bottom/>
      <diagonal/>
    </border>
    <border>
      <left style="thin">
        <color theme="0"/>
      </left>
      <right style="thin">
        <color theme="0"/>
      </right>
      <top style="thin">
        <color theme="0"/>
      </top>
      <bottom style="thin">
        <color theme="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ck">
        <color theme="0"/>
      </right>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bottom/>
      <diagonal/>
    </border>
    <border>
      <left style="thick">
        <color theme="0" tint="-0.34998626667073579"/>
      </left>
      <right style="thick">
        <color theme="0" tint="-0.34998626667073579"/>
      </right>
      <top/>
      <bottom style="thick">
        <color theme="0" tint="-0.34998626667073579"/>
      </bottom>
      <diagonal/>
    </border>
    <border>
      <left style="thick">
        <color theme="0" tint="-0.34998626667073579"/>
      </left>
      <right style="medium">
        <color indexed="64"/>
      </right>
      <top style="thick">
        <color theme="0" tint="-0.34998626667073579"/>
      </top>
      <bottom/>
      <diagonal/>
    </border>
    <border>
      <left style="medium">
        <color indexed="64"/>
      </left>
      <right/>
      <top/>
      <bottom style="medium">
        <color indexed="9"/>
      </bottom>
      <diagonal/>
    </border>
    <border>
      <left style="medium">
        <color indexed="64"/>
      </left>
      <right/>
      <top style="medium">
        <color indexed="9"/>
      </top>
      <bottom style="medium">
        <color indexed="9"/>
      </bottom>
      <diagonal/>
    </border>
    <border>
      <left/>
      <right style="medium">
        <color indexed="9"/>
      </right>
      <top/>
      <bottom/>
      <diagonal/>
    </border>
    <border>
      <left style="medium">
        <color rgb="FFFFFFFF"/>
      </left>
      <right/>
      <top/>
      <bottom/>
      <diagonal/>
    </border>
    <border>
      <left/>
      <right style="medium">
        <color rgb="FFFFFFFF"/>
      </right>
      <top/>
      <bottom style="medium">
        <color rgb="FFFFFFFF"/>
      </bottom>
      <diagonal/>
    </border>
    <border>
      <left style="medium">
        <color indexed="9"/>
      </left>
      <right style="medium">
        <color indexed="9"/>
      </right>
      <top style="medium">
        <color indexed="9"/>
      </top>
      <bottom style="medium">
        <color indexed="9"/>
      </bottom>
      <diagonal/>
    </border>
    <border>
      <left style="medium">
        <color indexed="9"/>
      </left>
      <right style="medium">
        <color indexed="64"/>
      </right>
      <top style="medium">
        <color indexed="9"/>
      </top>
      <bottom style="medium">
        <color indexed="9"/>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right style="medium">
        <color theme="0"/>
      </right>
      <top style="medium">
        <color theme="0"/>
      </top>
      <bottom style="medium">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medium">
        <color indexed="64"/>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325">
    <xf numFmtId="0" fontId="0" fillId="0" borderId="0"/>
    <xf numFmtId="172" fontId="5" fillId="0" borderId="0"/>
    <xf numFmtId="173" fontId="5" fillId="0" borderId="0"/>
    <xf numFmtId="174" fontId="5" fillId="0" borderId="0"/>
    <xf numFmtId="175" fontId="5" fillId="0" borderId="0"/>
    <xf numFmtId="3" fontId="5" fillId="0" borderId="0" applyFont="0" applyFill="0" applyBorder="0" applyAlignment="0" applyProtection="0"/>
    <xf numFmtId="164" fontId="5" fillId="0" borderId="0" applyFont="0" applyFill="0" applyBorder="0" applyAlignment="0" applyProtection="0"/>
    <xf numFmtId="14" fontId="5" fillId="0" borderId="0" applyFont="0" applyFill="0" applyBorder="0" applyAlignment="0" applyProtection="0"/>
    <xf numFmtId="2" fontId="5" fillId="0" borderId="0" applyFont="0" applyFill="0" applyBorder="0" applyAlignment="0" applyProtection="0"/>
    <xf numFmtId="38" fontId="6" fillId="5" borderId="0" applyNumberFormat="0" applyBorder="0" applyAlignment="0" applyProtection="0"/>
    <xf numFmtId="10" fontId="6" fillId="6" borderId="4" applyNumberFormat="0" applyBorder="0" applyAlignment="0" applyProtection="0"/>
    <xf numFmtId="176" fontId="5" fillId="0" borderId="0"/>
    <xf numFmtId="177" fontId="5" fillId="0" borderId="0"/>
    <xf numFmtId="0" fontId="5" fillId="0" borderId="0"/>
    <xf numFmtId="178" fontId="5" fillId="0" borderId="0"/>
    <xf numFmtId="10" fontId="5" fillId="0" borderId="0" applyFont="0" applyFill="0" applyBorder="0" applyAlignment="0" applyProtection="0"/>
    <xf numFmtId="0" fontId="5" fillId="0" borderId="0"/>
    <xf numFmtId="172" fontId="15" fillId="0" borderId="0"/>
    <xf numFmtId="176" fontId="15" fillId="0" borderId="0"/>
    <xf numFmtId="0" fontId="17" fillId="0" borderId="0"/>
    <xf numFmtId="169" fontId="18" fillId="0" borderId="0" applyFont="0" applyFill="0" applyBorder="0" applyAlignment="0" applyProtection="0"/>
    <xf numFmtId="9" fontId="18" fillId="0" borderId="0" applyFont="0" applyFill="0" applyBorder="0" applyAlignment="0" applyProtection="0"/>
    <xf numFmtId="172" fontId="5" fillId="0" borderId="0"/>
    <xf numFmtId="176" fontId="5" fillId="0" borderId="0"/>
    <xf numFmtId="0" fontId="5" fillId="0" borderId="0"/>
    <xf numFmtId="0" fontId="5" fillId="0" borderId="0"/>
    <xf numFmtId="0" fontId="5" fillId="0" borderId="0"/>
    <xf numFmtId="0" fontId="5" fillId="0" borderId="0"/>
    <xf numFmtId="172" fontId="32" fillId="0" borderId="0"/>
    <xf numFmtId="174" fontId="32" fillId="0" borderId="0"/>
    <xf numFmtId="176" fontId="32" fillId="0" borderId="0"/>
    <xf numFmtId="0" fontId="32" fillId="0" borderId="0"/>
    <xf numFmtId="172" fontId="32" fillId="0" borderId="0"/>
    <xf numFmtId="176" fontId="32" fillId="0" borderId="0"/>
    <xf numFmtId="0" fontId="32" fillId="0" borderId="0"/>
    <xf numFmtId="168" fontId="18" fillId="0" borderId="0" applyFont="0" applyFill="0" applyBorder="0" applyAlignment="0" applyProtection="0"/>
    <xf numFmtId="168" fontId="5" fillId="0" borderId="0" applyFont="0" applyFill="0" applyBorder="0" applyAlignment="0" applyProtection="0"/>
    <xf numFmtId="0" fontId="5" fillId="0" borderId="0"/>
    <xf numFmtId="0" fontId="17" fillId="0" borderId="0"/>
    <xf numFmtId="168" fontId="5" fillId="0" borderId="0" applyFont="0" applyFill="0" applyBorder="0" applyAlignment="0" applyProtection="0"/>
    <xf numFmtId="9" fontId="5" fillId="0" borderId="0" applyFont="0" applyFill="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38" borderId="0" applyNumberFormat="0" applyBorder="0" applyAlignment="0" applyProtection="0"/>
    <xf numFmtId="0" fontId="18" fillId="42" borderId="0" applyNumberFormat="0" applyBorder="0" applyAlignment="0" applyProtection="0"/>
    <xf numFmtId="0" fontId="36" fillId="11"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36" fillId="35" borderId="0" applyNumberFormat="0" applyBorder="0" applyAlignment="0" applyProtection="0"/>
    <xf numFmtId="0" fontId="36" fillId="39" borderId="0" applyNumberFormat="0" applyBorder="0" applyAlignment="0" applyProtection="0"/>
    <xf numFmtId="0" fontId="36" fillId="43" borderId="0" applyNumberFormat="0" applyBorder="0" applyAlignment="0" applyProtection="0"/>
    <xf numFmtId="0" fontId="36" fillId="21"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6" fillId="40" borderId="0" applyNumberFormat="0" applyBorder="0" applyAlignment="0" applyProtection="0"/>
    <xf numFmtId="0" fontId="50" fillId="15" borderId="0" applyNumberFormat="0" applyBorder="0" applyAlignment="0" applyProtection="0"/>
    <xf numFmtId="0" fontId="54" fillId="18" borderId="38" applyNumberFormat="0" applyAlignment="0" applyProtection="0"/>
    <xf numFmtId="0" fontId="56" fillId="19" borderId="41" applyNumberFormat="0" applyAlignment="0" applyProtection="0"/>
    <xf numFmtId="169" fontId="18" fillId="0" borderId="0" applyFont="0" applyFill="0" applyBorder="0" applyAlignment="0" applyProtection="0"/>
    <xf numFmtId="169" fontId="18" fillId="0" borderId="0" applyFont="0" applyFill="0" applyBorder="0" applyAlignment="0" applyProtection="0"/>
    <xf numFmtId="0" fontId="58" fillId="0" borderId="0" applyNumberFormat="0" applyFill="0" applyBorder="0" applyAlignment="0" applyProtection="0"/>
    <xf numFmtId="0" fontId="49" fillId="14" borderId="0" applyNumberFormat="0" applyBorder="0" applyAlignment="0" applyProtection="0"/>
    <xf numFmtId="0" fontId="47" fillId="0" borderId="35" applyNumberFormat="0" applyFill="0" applyAlignment="0" applyProtection="0"/>
    <xf numFmtId="0" fontId="48" fillId="0" borderId="36" applyNumberFormat="0" applyFill="0" applyAlignment="0" applyProtection="0"/>
    <xf numFmtId="0" fontId="4" fillId="0" borderId="37" applyNumberFormat="0" applyFill="0" applyAlignment="0" applyProtection="0"/>
    <xf numFmtId="0" fontId="4" fillId="0" borderId="0" applyNumberFormat="0" applyFill="0" applyBorder="0" applyAlignment="0" applyProtection="0"/>
    <xf numFmtId="0" fontId="52" fillId="17" borderId="38" applyNumberFormat="0" applyAlignment="0" applyProtection="0"/>
    <xf numFmtId="0" fontId="55" fillId="0" borderId="40" applyNumberFormat="0" applyFill="0" applyAlignment="0" applyProtection="0"/>
    <xf numFmtId="0" fontId="51" fillId="16" borderId="0" applyNumberFormat="0" applyBorder="0" applyAlignment="0" applyProtection="0"/>
    <xf numFmtId="0" fontId="18" fillId="0" borderId="0"/>
    <xf numFmtId="0" fontId="18" fillId="0" borderId="0"/>
    <xf numFmtId="0" fontId="18" fillId="0" borderId="0"/>
    <xf numFmtId="0" fontId="18" fillId="20" borderId="42" applyNumberFormat="0" applyFont="0" applyAlignment="0" applyProtection="0"/>
    <xf numFmtId="0" fontId="53" fillId="18" borderId="39" applyNumberFormat="0" applyAlignment="0" applyProtection="0"/>
    <xf numFmtId="9" fontId="18" fillId="0" borderId="0" applyFont="0" applyFill="0" applyBorder="0" applyAlignment="0" applyProtection="0"/>
    <xf numFmtId="0" fontId="46" fillId="0" borderId="0" applyNumberFormat="0" applyFill="0" applyBorder="0" applyAlignment="0" applyProtection="0"/>
    <xf numFmtId="0" fontId="3" fillId="0" borderId="43" applyNumberFormat="0" applyFill="0" applyAlignment="0" applyProtection="0"/>
    <xf numFmtId="0" fontId="57" fillId="0" borderId="0" applyNumberFormat="0" applyFill="0" applyBorder="0" applyAlignment="0" applyProtection="0"/>
    <xf numFmtId="169" fontId="5" fillId="0" borderId="0" applyFont="0" applyFill="0" applyBorder="0" applyAlignment="0" applyProtection="0"/>
    <xf numFmtId="172" fontId="5" fillId="0" borderId="0"/>
    <xf numFmtId="176" fontId="5" fillId="0" borderId="0"/>
    <xf numFmtId="172" fontId="5" fillId="0" borderId="0"/>
    <xf numFmtId="176" fontId="5" fillId="0" borderId="0"/>
    <xf numFmtId="172" fontId="5" fillId="0" borderId="0"/>
    <xf numFmtId="176" fontId="5" fillId="0" borderId="0"/>
    <xf numFmtId="0" fontId="18" fillId="0" borderId="0"/>
    <xf numFmtId="169" fontId="18" fillId="0" borderId="0" applyFont="0" applyFill="0" applyBorder="0" applyAlignment="0" applyProtection="0"/>
    <xf numFmtId="168" fontId="5"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Fill="0" applyBorder="0" applyAlignment="0" applyProtection="0"/>
    <xf numFmtId="0" fontId="47" fillId="0" borderId="35" applyNumberFormat="0" applyFill="0" applyAlignment="0" applyProtection="0"/>
    <xf numFmtId="0" fontId="48" fillId="0" borderId="36" applyNumberFormat="0" applyFill="0" applyAlignment="0" applyProtection="0"/>
    <xf numFmtId="0" fontId="4" fillId="0" borderId="37" applyNumberFormat="0" applyFill="0" applyAlignment="0" applyProtection="0"/>
    <xf numFmtId="0" fontId="4" fillId="0" borderId="0" applyNumberFormat="0" applyFill="0" applyBorder="0" applyAlignment="0" applyProtection="0"/>
    <xf numFmtId="0" fontId="49" fillId="14" borderId="0" applyNumberFormat="0" applyBorder="0" applyAlignment="0" applyProtection="0"/>
    <xf numFmtId="0" fontId="50" fillId="15" borderId="0" applyNumberFormat="0" applyBorder="0" applyAlignment="0" applyProtection="0"/>
    <xf numFmtId="0" fontId="51" fillId="16" borderId="0" applyNumberFormat="0" applyBorder="0" applyAlignment="0" applyProtection="0"/>
    <xf numFmtId="0" fontId="52" fillId="17" borderId="38" applyNumberFormat="0" applyAlignment="0" applyProtection="0"/>
    <xf numFmtId="0" fontId="53" fillId="18" borderId="39" applyNumberFormat="0" applyAlignment="0" applyProtection="0"/>
    <xf numFmtId="0" fontId="54" fillId="18" borderId="38" applyNumberFormat="0" applyAlignment="0" applyProtection="0"/>
    <xf numFmtId="0" fontId="55" fillId="0" borderId="40" applyNumberFormat="0" applyFill="0" applyAlignment="0" applyProtection="0"/>
    <xf numFmtId="0" fontId="56" fillId="19" borderId="41" applyNumberFormat="0" applyAlignment="0" applyProtection="0"/>
    <xf numFmtId="0" fontId="57" fillId="0" borderId="0" applyNumberFormat="0" applyFill="0" applyBorder="0" applyAlignment="0" applyProtection="0"/>
    <xf numFmtId="0" fontId="18" fillId="20" borderId="42" applyNumberFormat="0" applyFont="0" applyAlignment="0" applyProtection="0"/>
    <xf numFmtId="0" fontId="58" fillId="0" borderId="0" applyNumberFormat="0" applyFill="0" applyBorder="0" applyAlignment="0" applyProtection="0"/>
    <xf numFmtId="0" fontId="3" fillId="0" borderId="43" applyNumberFormat="0" applyFill="0" applyAlignment="0" applyProtection="0"/>
    <xf numFmtId="0" fontId="36"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6" fillId="11" borderId="0" applyNumberFormat="0" applyBorder="0" applyAlignment="0" applyProtection="0"/>
    <xf numFmtId="0" fontId="36"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36" fillId="43" borderId="0" applyNumberFormat="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5" fillId="0" borderId="0"/>
    <xf numFmtId="0" fontId="5" fillId="0" borderId="0"/>
    <xf numFmtId="169" fontId="18" fillId="0" borderId="0" applyFont="0" applyFill="0" applyBorder="0" applyAlignment="0" applyProtection="0"/>
    <xf numFmtId="168" fontId="18" fillId="0" borderId="0" applyFont="0" applyFill="0" applyBorder="0" applyAlignment="0" applyProtection="0"/>
    <xf numFmtId="0" fontId="5" fillId="0" borderId="0"/>
    <xf numFmtId="0" fontId="5" fillId="0" borderId="0"/>
    <xf numFmtId="168"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169" fontId="2" fillId="0" borderId="0" applyFont="0" applyFill="0" applyBorder="0" applyAlignment="0" applyProtection="0"/>
    <xf numFmtId="0" fontId="2" fillId="0" borderId="0"/>
    <xf numFmtId="0" fontId="2" fillId="0" borderId="0"/>
    <xf numFmtId="0" fontId="2" fillId="0" borderId="0"/>
    <xf numFmtId="0" fontId="2" fillId="20" borderId="42" applyNumberFormat="0" applyFont="0" applyAlignment="0" applyProtection="0"/>
    <xf numFmtId="9" fontId="2"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20" borderId="42"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5" fillId="0" borderId="0"/>
    <xf numFmtId="172" fontId="5" fillId="0" borderId="0"/>
    <xf numFmtId="172" fontId="5" fillId="0" borderId="0"/>
    <xf numFmtId="0" fontId="2" fillId="22"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176" fontId="5" fillId="0" borderId="0"/>
    <xf numFmtId="176" fontId="5" fillId="0" borderId="0"/>
    <xf numFmtId="176"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5" fillId="0" borderId="0"/>
    <xf numFmtId="172" fontId="5" fillId="0" borderId="0"/>
    <xf numFmtId="172" fontId="5" fillId="0" borderId="0"/>
    <xf numFmtId="176" fontId="5" fillId="0" borderId="0"/>
    <xf numFmtId="176" fontId="5" fillId="0" borderId="0"/>
    <xf numFmtId="176" fontId="5" fillId="0" borderId="0"/>
    <xf numFmtId="196" fontId="5"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9" fillId="0" borderId="0"/>
    <xf numFmtId="0" fontId="2" fillId="0" borderId="0"/>
    <xf numFmtId="0" fontId="5" fillId="0" borderId="0"/>
    <xf numFmtId="43" fontId="2" fillId="0" borderId="0" applyFont="0" applyFill="0" applyBorder="0" applyAlignment="0" applyProtection="0"/>
    <xf numFmtId="9" fontId="2" fillId="0" borderId="0" applyFont="0" applyFill="0" applyBorder="0" applyAlignment="0" applyProtection="0"/>
    <xf numFmtId="168" fontId="9"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5" fillId="0" borderId="0"/>
    <xf numFmtId="9" fontId="2" fillId="0" borderId="0" applyFont="0" applyFill="0" applyBorder="0" applyAlignment="0" applyProtection="0"/>
    <xf numFmtId="0" fontId="136"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1943">
    <xf numFmtId="0" fontId="0" fillId="0" borderId="0" xfId="0"/>
    <xf numFmtId="0" fontId="0" fillId="2" borderId="0" xfId="0" applyFill="1"/>
    <xf numFmtId="0" fontId="23" fillId="0" borderId="0" xfId="24" applyFont="1"/>
    <xf numFmtId="0" fontId="5" fillId="0" borderId="0" xfId="24"/>
    <xf numFmtId="4" fontId="5" fillId="0" borderId="4" xfId="37" applyNumberFormat="1" applyBorder="1" applyAlignment="1">
      <alignment horizontal="center" vertical="center"/>
    </xf>
    <xf numFmtId="186" fontId="5" fillId="0" borderId="4" xfId="21" applyNumberFormat="1" applyFont="1" applyFill="1" applyBorder="1" applyAlignment="1" applyProtection="1">
      <alignment horizontal="center" vertical="center"/>
    </xf>
    <xf numFmtId="3" fontId="5" fillId="0" borderId="4" xfId="37" applyNumberFormat="1" applyBorder="1" applyAlignment="1">
      <alignment horizontal="center" vertical="center"/>
    </xf>
    <xf numFmtId="184" fontId="5" fillId="0" borderId="4" xfId="35" applyNumberFormat="1" applyFont="1" applyFill="1" applyBorder="1" applyAlignment="1" applyProtection="1">
      <alignment horizontal="center" vertical="center"/>
    </xf>
    <xf numFmtId="184" fontId="5" fillId="0" borderId="4" xfId="37" applyNumberFormat="1" applyBorder="1" applyAlignment="1">
      <alignment horizontal="center" vertical="center"/>
    </xf>
    <xf numFmtId="4" fontId="5" fillId="0" borderId="4" xfId="20" applyNumberFormat="1" applyFont="1" applyFill="1" applyBorder="1" applyAlignment="1" applyProtection="1">
      <alignment horizontal="center" vertical="center"/>
    </xf>
    <xf numFmtId="188" fontId="5" fillId="0" borderId="4" xfId="35" applyNumberFormat="1" applyFont="1" applyFill="1" applyBorder="1" applyAlignment="1" applyProtection="1">
      <alignment horizontal="center" vertical="center"/>
    </xf>
    <xf numFmtId="185" fontId="5" fillId="0" borderId="4" xfId="35" applyNumberFormat="1" applyFont="1" applyFill="1" applyBorder="1" applyAlignment="1" applyProtection="1">
      <alignment horizontal="center" vertical="center"/>
    </xf>
    <xf numFmtId="9" fontId="5" fillId="0" borderId="4" xfId="21" applyFont="1" applyFill="1" applyBorder="1" applyAlignment="1" applyProtection="1">
      <alignment horizontal="center" vertical="center"/>
    </xf>
    <xf numFmtId="184" fontId="23" fillId="0" borderId="4" xfId="37" applyNumberFormat="1" applyFont="1" applyBorder="1" applyAlignment="1">
      <alignment horizontal="left" vertical="center"/>
    </xf>
    <xf numFmtId="0" fontId="5" fillId="0" borderId="19" xfId="37" applyBorder="1" applyAlignment="1">
      <alignment horizontal="left" vertical="top" wrapText="1"/>
    </xf>
    <xf numFmtId="184" fontId="23" fillId="0" borderId="19" xfId="37" applyNumberFormat="1" applyFont="1" applyBorder="1" applyAlignment="1">
      <alignment horizontal="left" vertical="top" wrapText="1"/>
    </xf>
    <xf numFmtId="189" fontId="42" fillId="0" borderId="4" xfId="21" applyNumberFormat="1" applyFont="1" applyFill="1" applyBorder="1" applyAlignment="1" applyProtection="1">
      <alignment horizontal="center" vertical="center"/>
    </xf>
    <xf numFmtId="0" fontId="3" fillId="0" borderId="0" xfId="0" applyFont="1"/>
    <xf numFmtId="0" fontId="0" fillId="0" borderId="0" xfId="0" applyProtection="1">
      <protection locked="0"/>
    </xf>
    <xf numFmtId="0" fontId="0" fillId="0" borderId="0" xfId="0" applyAlignment="1">
      <alignment vertical="top" wrapText="1"/>
    </xf>
    <xf numFmtId="0" fontId="11" fillId="0" borderId="0" xfId="0" applyFont="1"/>
    <xf numFmtId="0" fontId="33" fillId="0" borderId="0" xfId="27" applyFont="1" applyAlignment="1">
      <alignment horizontal="center"/>
    </xf>
    <xf numFmtId="0" fontId="9" fillId="0" borderId="0" xfId="0" applyFont="1"/>
    <xf numFmtId="184" fontId="23" fillId="0" borderId="19" xfId="37" applyNumberFormat="1" applyFont="1" applyBorder="1" applyAlignment="1">
      <alignment horizontal="left" vertical="top" wrapText="1" indent="1"/>
    </xf>
    <xf numFmtId="184" fontId="23" fillId="12" borderId="25" xfId="37" applyNumberFormat="1" applyFont="1" applyFill="1" applyBorder="1" applyAlignment="1">
      <alignment horizontal="left" vertical="top" wrapText="1"/>
    </xf>
    <xf numFmtId="0" fontId="5" fillId="12" borderId="24" xfId="37" applyFill="1" applyBorder="1"/>
    <xf numFmtId="185" fontId="23" fillId="12" borderId="24" xfId="36" applyNumberFormat="1" applyFont="1" applyFill="1" applyBorder="1" applyAlignment="1" applyProtection="1">
      <alignment horizontal="center" vertical="center"/>
    </xf>
    <xf numFmtId="187" fontId="23" fillId="12" borderId="24" xfId="36" applyNumberFormat="1" applyFont="1" applyFill="1" applyBorder="1" applyAlignment="1" applyProtection="1">
      <alignment horizontal="center" vertical="center"/>
    </xf>
    <xf numFmtId="186" fontId="5" fillId="12" borderId="24" xfId="21" applyNumberFormat="1" applyFont="1" applyFill="1" applyBorder="1" applyAlignment="1" applyProtection="1">
      <alignment horizontal="center" vertical="center"/>
    </xf>
    <xf numFmtId="186" fontId="23" fillId="0" borderId="4" xfId="21" applyNumberFormat="1" applyFont="1" applyFill="1" applyBorder="1" applyAlignment="1" applyProtection="1">
      <alignment horizontal="center" vertical="center"/>
    </xf>
    <xf numFmtId="0" fontId="5" fillId="0" borderId="4" xfId="37" applyBorder="1"/>
    <xf numFmtId="184" fontId="23" fillId="13" borderId="20" xfId="37" applyNumberFormat="1" applyFont="1" applyFill="1" applyBorder="1" applyAlignment="1">
      <alignment horizontal="left" vertical="top" wrapText="1"/>
    </xf>
    <xf numFmtId="0" fontId="5" fillId="13" borderId="21" xfId="37" applyFill="1" applyBorder="1"/>
    <xf numFmtId="187" fontId="23" fillId="13" borderId="21" xfId="36" applyNumberFormat="1" applyFont="1" applyFill="1" applyBorder="1" applyAlignment="1" applyProtection="1">
      <alignment horizontal="center" vertical="center"/>
    </xf>
    <xf numFmtId="186" fontId="5" fillId="13" borderId="21" xfId="21" applyNumberFormat="1" applyFont="1" applyFill="1" applyBorder="1" applyAlignment="1" applyProtection="1">
      <alignment horizontal="center" vertical="center"/>
    </xf>
    <xf numFmtId="186" fontId="23" fillId="13" borderId="4" xfId="21" applyNumberFormat="1" applyFont="1" applyFill="1" applyBorder="1" applyAlignment="1" applyProtection="1">
      <alignment horizontal="center" vertical="center"/>
    </xf>
    <xf numFmtId="184" fontId="23" fillId="13" borderId="19" xfId="37" applyNumberFormat="1" applyFont="1" applyFill="1" applyBorder="1" applyAlignment="1">
      <alignment horizontal="left" vertical="top" wrapText="1"/>
    </xf>
    <xf numFmtId="186" fontId="5" fillId="13" borderId="4" xfId="21" applyNumberFormat="1" applyFont="1" applyFill="1" applyBorder="1" applyAlignment="1" applyProtection="1">
      <alignment horizontal="center" vertical="center"/>
    </xf>
    <xf numFmtId="184" fontId="23" fillId="13" borderId="4" xfId="37" applyNumberFormat="1" applyFont="1" applyFill="1" applyBorder="1" applyAlignment="1">
      <alignment horizontal="left" vertical="center"/>
    </xf>
    <xf numFmtId="186" fontId="23" fillId="13" borderId="30" xfId="21" applyNumberFormat="1" applyFont="1" applyFill="1" applyBorder="1" applyAlignment="1" applyProtection="1">
      <alignment horizontal="center" vertical="center"/>
    </xf>
    <xf numFmtId="186" fontId="5" fillId="0" borderId="30" xfId="21" applyNumberFormat="1" applyFont="1" applyFill="1" applyBorder="1" applyAlignment="1" applyProtection="1">
      <alignment horizontal="center" vertical="center"/>
    </xf>
    <xf numFmtId="186" fontId="23" fillId="0" borderId="30" xfId="21" applyNumberFormat="1" applyFont="1" applyFill="1" applyBorder="1" applyAlignment="1" applyProtection="1">
      <alignment horizontal="center" vertical="center"/>
    </xf>
    <xf numFmtId="186" fontId="23" fillId="12" borderId="31" xfId="21" applyNumberFormat="1" applyFont="1" applyFill="1" applyBorder="1" applyAlignment="1" applyProtection="1">
      <alignment horizontal="center" vertical="center"/>
    </xf>
    <xf numFmtId="186" fontId="23" fillId="13" borderId="32" xfId="21" applyNumberFormat="1" applyFont="1" applyFill="1" applyBorder="1" applyAlignment="1" applyProtection="1">
      <alignment horizontal="center" vertical="center"/>
    </xf>
    <xf numFmtId="186" fontId="23" fillId="12" borderId="24" xfId="21" applyNumberFormat="1" applyFont="1" applyFill="1" applyBorder="1" applyAlignment="1" applyProtection="1">
      <alignment horizontal="center" vertical="center"/>
    </xf>
    <xf numFmtId="186" fontId="23" fillId="13" borderId="21" xfId="21" applyNumberFormat="1" applyFont="1" applyFill="1" applyBorder="1" applyAlignment="1" applyProtection="1">
      <alignment horizontal="center" vertical="center"/>
    </xf>
    <xf numFmtId="184" fontId="5" fillId="0" borderId="4" xfId="37" applyNumberFormat="1" applyBorder="1" applyAlignment="1">
      <alignment horizontal="left" vertical="center"/>
    </xf>
    <xf numFmtId="185" fontId="44" fillId="0" borderId="4" xfId="36" applyNumberFormat="1" applyFont="1" applyFill="1" applyBorder="1" applyAlignment="1" applyProtection="1">
      <alignment horizontal="center" vertical="center"/>
    </xf>
    <xf numFmtId="189" fontId="44" fillId="0" borderId="4" xfId="21" applyNumberFormat="1" applyFont="1" applyFill="1" applyBorder="1" applyAlignment="1" applyProtection="1">
      <alignment horizontal="center" vertical="center"/>
    </xf>
    <xf numFmtId="0" fontId="5" fillId="0" borderId="0" xfId="24" applyProtection="1">
      <protection locked="0"/>
    </xf>
    <xf numFmtId="0" fontId="19" fillId="0" borderId="0" xfId="24" applyFont="1" applyAlignment="1">
      <alignment horizontal="center"/>
    </xf>
    <xf numFmtId="0" fontId="23" fillId="0" borderId="0" xfId="24" applyFont="1" applyAlignment="1">
      <alignment horizontal="right"/>
    </xf>
    <xf numFmtId="0" fontId="23" fillId="0" borderId="0" xfId="24" applyFont="1" applyAlignment="1">
      <alignment horizontal="center"/>
    </xf>
    <xf numFmtId="0" fontId="23" fillId="0" borderId="24" xfId="24" applyFont="1" applyBorder="1" applyAlignment="1">
      <alignment horizontal="center"/>
    </xf>
    <xf numFmtId="0" fontId="23" fillId="0" borderId="8" xfId="24" applyFont="1" applyBorder="1" applyAlignment="1">
      <alignment horizontal="center"/>
    </xf>
    <xf numFmtId="0" fontId="23" fillId="0" borderId="7" xfId="24" applyFont="1" applyBorder="1" applyAlignment="1">
      <alignment horizontal="center"/>
    </xf>
    <xf numFmtId="0" fontId="23" fillId="0" borderId="26" xfId="24" quotePrefix="1" applyFont="1" applyBorder="1" applyAlignment="1">
      <alignment horizontal="center"/>
    </xf>
    <xf numFmtId="0" fontId="23" fillId="0" borderId="11" xfId="24" quotePrefix="1" applyFont="1" applyBorder="1" applyAlignment="1">
      <alignment horizontal="center"/>
    </xf>
    <xf numFmtId="0" fontId="5" fillId="0" borderId="0" xfId="24" applyAlignment="1">
      <alignment vertical="top"/>
    </xf>
    <xf numFmtId="0" fontId="5" fillId="0" borderId="10" xfId="24" applyBorder="1" applyAlignment="1">
      <alignment vertical="top"/>
    </xf>
    <xf numFmtId="0" fontId="23" fillId="13" borderId="9" xfId="24" applyFont="1" applyFill="1" applyBorder="1" applyAlignment="1">
      <alignment vertical="top"/>
    </xf>
    <xf numFmtId="0" fontId="5" fillId="0" borderId="0" xfId="24" applyAlignment="1">
      <alignment vertical="top" wrapText="1"/>
    </xf>
    <xf numFmtId="0" fontId="23" fillId="13" borderId="22" xfId="24" applyFont="1" applyFill="1" applyBorder="1" applyAlignment="1">
      <alignment vertical="top" wrapText="1"/>
    </xf>
    <xf numFmtId="0" fontId="5" fillId="0" borderId="0" xfId="24" applyAlignment="1">
      <alignment vertical="center"/>
    </xf>
    <xf numFmtId="0" fontId="5" fillId="44" borderId="12" xfId="24" applyFill="1" applyBorder="1"/>
    <xf numFmtId="0" fontId="23" fillId="0" borderId="0" xfId="24" applyFont="1" applyAlignment="1">
      <alignment vertical="top"/>
    </xf>
    <xf numFmtId="0" fontId="5" fillId="0" borderId="0" xfId="24" applyAlignment="1">
      <alignment horizontal="left" vertical="top" indent="1"/>
    </xf>
    <xf numFmtId="0" fontId="23" fillId="0" borderId="0" xfId="24" applyFont="1" applyAlignment="1">
      <alignment horizontal="left" vertical="top" wrapText="1" indent="1"/>
    </xf>
    <xf numFmtId="0" fontId="5" fillId="9" borderId="0" xfId="24" applyFill="1"/>
    <xf numFmtId="0" fontId="5" fillId="9" borderId="0" xfId="24" applyFill="1" applyAlignment="1">
      <alignment horizontal="center"/>
    </xf>
    <xf numFmtId="0" fontId="19" fillId="9" borderId="0" xfId="24" applyFont="1" applyFill="1" applyAlignment="1">
      <alignment horizontal="center" wrapText="1"/>
    </xf>
    <xf numFmtId="168" fontId="19" fillId="9" borderId="0" xfId="39" applyFont="1" applyFill="1" applyProtection="1"/>
    <xf numFmtId="192" fontId="19" fillId="9" borderId="0" xfId="39" applyNumberFormat="1" applyFont="1" applyFill="1" applyProtection="1"/>
    <xf numFmtId="0" fontId="19" fillId="9" borderId="0" xfId="24" applyFont="1" applyFill="1" applyAlignment="1">
      <alignment wrapText="1"/>
    </xf>
    <xf numFmtId="0" fontId="31" fillId="9" borderId="0" xfId="24" applyFont="1" applyFill="1"/>
    <xf numFmtId="190" fontId="5" fillId="3" borderId="48" xfId="88" applyNumberFormat="1" applyFont="1" applyFill="1" applyBorder="1" applyProtection="1">
      <protection locked="0"/>
    </xf>
    <xf numFmtId="194" fontId="5" fillId="3" borderId="48" xfId="39" applyNumberFormat="1" applyFont="1" applyFill="1" applyBorder="1" applyProtection="1">
      <protection locked="0"/>
    </xf>
    <xf numFmtId="194" fontId="5" fillId="9" borderId="0" xfId="39" applyNumberFormat="1" applyFont="1" applyFill="1" applyProtection="1"/>
    <xf numFmtId="190" fontId="5" fillId="9" borderId="47" xfId="88" applyNumberFormat="1" applyFont="1" applyFill="1" applyBorder="1" applyProtection="1"/>
    <xf numFmtId="168" fontId="5" fillId="9" borderId="47" xfId="39" applyFont="1" applyFill="1" applyBorder="1" applyProtection="1"/>
    <xf numFmtId="194" fontId="5" fillId="9" borderId="47" xfId="39" applyNumberFormat="1" applyFont="1" applyFill="1" applyBorder="1" applyProtection="1"/>
    <xf numFmtId="190" fontId="5" fillId="9" borderId="0" xfId="88" applyNumberFormat="1" applyFont="1" applyFill="1" applyProtection="1"/>
    <xf numFmtId="0" fontId="23" fillId="0" borderId="0" xfId="24" applyFont="1" applyAlignment="1">
      <alignment horizontal="right" vertical="top"/>
    </xf>
    <xf numFmtId="194" fontId="5" fillId="2" borderId="0" xfId="39" applyNumberFormat="1" applyFont="1" applyFill="1" applyProtection="1"/>
    <xf numFmtId="190" fontId="5" fillId="9" borderId="48" xfId="88" applyNumberFormat="1" applyFont="1" applyFill="1" applyBorder="1" applyProtection="1"/>
    <xf numFmtId="192" fontId="5" fillId="9" borderId="48" xfId="39" applyNumberFormat="1" applyFont="1" applyFill="1" applyBorder="1" applyProtection="1"/>
    <xf numFmtId="194" fontId="5" fillId="9" borderId="48" xfId="39" applyNumberFormat="1" applyFont="1" applyFill="1" applyBorder="1" applyProtection="1"/>
    <xf numFmtId="168" fontId="5" fillId="9" borderId="0" xfId="39" applyFont="1" applyFill="1" applyProtection="1"/>
    <xf numFmtId="0" fontId="19" fillId="0" borderId="0" xfId="0" applyFont="1" applyAlignment="1">
      <alignment horizontal="center"/>
    </xf>
    <xf numFmtId="0" fontId="19" fillId="9" borderId="0" xfId="0" applyFont="1" applyFill="1"/>
    <xf numFmtId="0" fontId="0" fillId="9" borderId="0" xfId="0" applyFill="1" applyAlignment="1">
      <alignment horizontal="center"/>
    </xf>
    <xf numFmtId="0" fontId="0" fillId="9" borderId="0" xfId="0" applyFill="1"/>
    <xf numFmtId="0" fontId="19" fillId="9" borderId="0" xfId="0" applyFont="1" applyFill="1" applyAlignment="1">
      <alignment horizontal="center" wrapText="1"/>
    </xf>
    <xf numFmtId="0" fontId="0" fillId="0" borderId="0" xfId="0" applyAlignment="1">
      <alignment horizontal="left" vertical="top"/>
    </xf>
    <xf numFmtId="0" fontId="9" fillId="9" borderId="0" xfId="0" applyFont="1" applyFill="1"/>
    <xf numFmtId="0" fontId="28" fillId="0" borderId="0" xfId="0" applyFont="1"/>
    <xf numFmtId="0" fontId="35" fillId="0" borderId="0" xfId="0" applyFont="1"/>
    <xf numFmtId="168" fontId="19" fillId="3" borderId="0" xfId="39" applyFont="1" applyFill="1" applyProtection="1">
      <protection locked="0"/>
    </xf>
    <xf numFmtId="0" fontId="28" fillId="9" borderId="0" xfId="0" applyFont="1" applyFill="1"/>
    <xf numFmtId="0" fontId="35" fillId="9" borderId="0" xfId="0" applyFont="1" applyFill="1"/>
    <xf numFmtId="192" fontId="19" fillId="3" borderId="0" xfId="39" applyNumberFormat="1" applyFont="1" applyFill="1" applyProtection="1">
      <protection locked="0"/>
    </xf>
    <xf numFmtId="0" fontId="19" fillId="0" borderId="0" xfId="0" applyFont="1"/>
    <xf numFmtId="0" fontId="69" fillId="9" borderId="0" xfId="0" applyFont="1" applyFill="1" applyAlignment="1">
      <alignment horizontal="left"/>
    </xf>
    <xf numFmtId="0" fontId="68" fillId="9" borderId="0" xfId="0" applyFont="1" applyFill="1" applyAlignment="1">
      <alignment horizontal="center"/>
    </xf>
    <xf numFmtId="0" fontId="70" fillId="9" borderId="0" xfId="0" applyFont="1" applyFill="1" applyAlignment="1">
      <alignment horizontal="left"/>
    </xf>
    <xf numFmtId="0" fontId="28" fillId="9" borderId="0" xfId="0" applyFont="1" applyFill="1" applyAlignment="1">
      <alignment horizontal="center"/>
    </xf>
    <xf numFmtId="0" fontId="35" fillId="9" borderId="0" xfId="0" applyFont="1" applyFill="1" applyAlignment="1">
      <alignment horizontal="center"/>
    </xf>
    <xf numFmtId="0" fontId="23" fillId="0" borderId="0" xfId="24" applyFont="1" applyAlignment="1">
      <alignment horizontal="center" vertical="center"/>
    </xf>
    <xf numFmtId="0" fontId="71" fillId="9" borderId="0" xfId="24" applyFont="1" applyFill="1" applyAlignment="1">
      <alignment horizontal="center" wrapText="1"/>
    </xf>
    <xf numFmtId="194" fontId="7" fillId="3" borderId="48" xfId="39" applyNumberFormat="1" applyFont="1" applyFill="1" applyBorder="1" applyProtection="1">
      <protection locked="0"/>
    </xf>
    <xf numFmtId="0" fontId="42" fillId="0" borderId="0" xfId="24" applyFont="1" applyAlignment="1">
      <alignment horizontal="center" wrapText="1"/>
    </xf>
    <xf numFmtId="0" fontId="23" fillId="9" borderId="0" xfId="24" applyFont="1" applyFill="1" applyAlignment="1">
      <alignment horizontal="center" wrapText="1"/>
    </xf>
    <xf numFmtId="0" fontId="23" fillId="0" borderId="0" xfId="24" applyFont="1" applyAlignment="1">
      <alignment horizontal="right" vertical="center"/>
    </xf>
    <xf numFmtId="0" fontId="74" fillId="2" borderId="0" xfId="24" applyFont="1" applyFill="1" applyAlignment="1">
      <alignment vertical="top"/>
    </xf>
    <xf numFmtId="0" fontId="23" fillId="2" borderId="4" xfId="88" applyNumberFormat="1" applyFont="1" applyFill="1" applyBorder="1" applyAlignment="1" applyProtection="1">
      <alignment horizontal="center" vertical="center"/>
    </xf>
    <xf numFmtId="0" fontId="19" fillId="2" borderId="0" xfId="24" applyFont="1" applyFill="1" applyAlignment="1">
      <alignment vertical="center"/>
    </xf>
    <xf numFmtId="0" fontId="23" fillId="0" borderId="0" xfId="24" applyFont="1" applyAlignment="1">
      <alignment horizontal="left"/>
    </xf>
    <xf numFmtId="183" fontId="23" fillId="2" borderId="4" xfId="40" applyNumberFormat="1" applyFont="1" applyFill="1" applyBorder="1" applyProtection="1"/>
    <xf numFmtId="192" fontId="5" fillId="3" borderId="45" xfId="39" applyNumberFormat="1" applyFill="1" applyBorder="1" applyAlignment="1" applyProtection="1">
      <alignment vertical="top"/>
    </xf>
    <xf numFmtId="192" fontId="5" fillId="0" borderId="45" xfId="39" applyNumberFormat="1" applyFill="1" applyBorder="1" applyAlignment="1" applyProtection="1">
      <alignment vertical="top"/>
    </xf>
    <xf numFmtId="1" fontId="5" fillId="2" borderId="45" xfId="24" applyNumberFormat="1" applyFill="1" applyBorder="1" applyAlignment="1">
      <alignment vertical="center"/>
    </xf>
    <xf numFmtId="0" fontId="5" fillId="0" borderId="10" xfId="24" applyBorder="1" applyAlignment="1">
      <alignment vertical="center" wrapText="1"/>
    </xf>
    <xf numFmtId="1" fontId="5" fillId="2" borderId="45" xfId="0" applyNumberFormat="1" applyFont="1" applyFill="1" applyBorder="1" applyAlignment="1">
      <alignment vertical="center"/>
    </xf>
    <xf numFmtId="168" fontId="11" fillId="2" borderId="45" xfId="35" applyFont="1" applyFill="1" applyBorder="1" applyAlignment="1" applyProtection="1">
      <alignment horizontal="right" vertical="center"/>
      <protection locked="0"/>
    </xf>
    <xf numFmtId="0" fontId="5" fillId="0" borderId="45" xfId="24" applyBorder="1" applyAlignment="1" applyProtection="1">
      <alignment horizontal="right" vertical="center"/>
      <protection locked="0"/>
    </xf>
    <xf numFmtId="168" fontId="11" fillId="0" borderId="8" xfId="39" applyFont="1" applyBorder="1" applyAlignment="1" applyProtection="1">
      <alignment horizontal="right" vertical="center"/>
    </xf>
    <xf numFmtId="0" fontId="5" fillId="0" borderId="8" xfId="24" applyBorder="1" applyAlignment="1" applyProtection="1">
      <alignment horizontal="right" vertical="center"/>
      <protection locked="0"/>
    </xf>
    <xf numFmtId="168" fontId="5" fillId="0" borderId="45" xfId="24" applyNumberFormat="1" applyBorder="1" applyAlignment="1">
      <alignment horizontal="right" vertical="center"/>
    </xf>
    <xf numFmtId="10" fontId="11" fillId="0" borderId="8" xfId="40" applyNumberFormat="1" applyFont="1" applyBorder="1" applyAlignment="1" applyProtection="1">
      <alignment horizontal="right" vertical="center"/>
    </xf>
    <xf numFmtId="192" fontId="11" fillId="2" borderId="45" xfId="39" applyNumberFormat="1" applyFont="1" applyFill="1" applyBorder="1" applyAlignment="1" applyProtection="1">
      <alignment horizontal="right" vertical="center"/>
      <protection locked="0"/>
    </xf>
    <xf numFmtId="190" fontId="5" fillId="0" borderId="45" xfId="24" applyNumberFormat="1" applyBorder="1" applyAlignment="1" applyProtection="1">
      <alignment horizontal="right" vertical="center"/>
      <protection locked="0"/>
    </xf>
    <xf numFmtId="168" fontId="11" fillId="2" borderId="45" xfId="39" applyFont="1" applyFill="1" applyBorder="1" applyAlignment="1" applyProtection="1">
      <alignment horizontal="right" vertical="center"/>
      <protection locked="0"/>
    </xf>
    <xf numFmtId="193" fontId="11" fillId="2" borderId="26" xfId="39" applyNumberFormat="1" applyFont="1" applyFill="1" applyBorder="1" applyAlignment="1" applyProtection="1">
      <alignment horizontal="right" vertical="center"/>
      <protection locked="0"/>
    </xf>
    <xf numFmtId="190" fontId="5" fillId="0" borderId="26" xfId="24" applyNumberFormat="1" applyBorder="1" applyAlignment="1" applyProtection="1">
      <alignment horizontal="right" vertical="center"/>
      <protection locked="0"/>
    </xf>
    <xf numFmtId="192" fontId="11" fillId="13" borderId="26" xfId="39" applyNumberFormat="1" applyFont="1" applyFill="1" applyBorder="1" applyAlignment="1" applyProtection="1">
      <alignment horizontal="right" vertical="center"/>
      <protection locked="0"/>
    </xf>
    <xf numFmtId="0" fontId="5" fillId="13" borderId="26" xfId="24" applyFill="1" applyBorder="1" applyAlignment="1" applyProtection="1">
      <alignment horizontal="right" vertical="center"/>
      <protection locked="0"/>
    </xf>
    <xf numFmtId="168" fontId="11" fillId="13" borderId="4" xfId="39" applyFont="1" applyFill="1" applyBorder="1" applyAlignment="1" applyProtection="1">
      <alignment horizontal="right" vertical="center"/>
    </xf>
    <xf numFmtId="0" fontId="5" fillId="13" borderId="11" xfId="24" applyFill="1" applyBorder="1" applyAlignment="1" applyProtection="1">
      <alignment horizontal="right" vertical="center"/>
      <protection locked="0"/>
    </xf>
    <xf numFmtId="190" fontId="5" fillId="0" borderId="45" xfId="20" applyNumberFormat="1" applyFont="1" applyFill="1" applyBorder="1" applyAlignment="1" applyProtection="1">
      <alignment horizontal="right" vertical="center"/>
      <protection locked="0"/>
    </xf>
    <xf numFmtId="193" fontId="11" fillId="2" borderId="45" xfId="39" applyNumberFormat="1" applyFont="1" applyFill="1" applyBorder="1" applyAlignment="1" applyProtection="1">
      <alignment horizontal="right" vertical="center"/>
      <protection locked="0"/>
    </xf>
    <xf numFmtId="0" fontId="5" fillId="13" borderId="4" xfId="24" applyFill="1" applyBorder="1" applyAlignment="1" applyProtection="1">
      <alignment horizontal="right" vertical="center"/>
      <protection locked="0"/>
    </xf>
    <xf numFmtId="168" fontId="23" fillId="13" borderId="23" xfId="24" applyNumberFormat="1" applyFont="1" applyFill="1" applyBorder="1" applyAlignment="1">
      <alignment horizontal="right" vertical="center"/>
    </xf>
    <xf numFmtId="0" fontId="5" fillId="13" borderId="23" xfId="24" applyFill="1" applyBorder="1" applyAlignment="1" applyProtection="1">
      <alignment horizontal="right" vertical="center"/>
      <protection locked="0"/>
    </xf>
    <xf numFmtId="10" fontId="23" fillId="13" borderId="23" xfId="40" applyNumberFormat="1" applyFont="1" applyFill="1" applyBorder="1" applyAlignment="1" applyProtection="1">
      <alignment horizontal="right" vertical="center"/>
    </xf>
    <xf numFmtId="0" fontId="23" fillId="13" borderId="4" xfId="24" applyFont="1" applyFill="1" applyBorder="1" applyAlignment="1" applyProtection="1">
      <alignment horizontal="right" vertical="center"/>
      <protection locked="0"/>
    </xf>
    <xf numFmtId="0" fontId="23" fillId="13" borderId="23" xfId="24" applyFont="1" applyFill="1" applyBorder="1" applyAlignment="1" applyProtection="1">
      <alignment horizontal="right" vertical="center"/>
      <protection locked="0"/>
    </xf>
    <xf numFmtId="192" fontId="5" fillId="2" borderId="45" xfId="39" applyNumberFormat="1" applyFont="1" applyFill="1" applyBorder="1" applyAlignment="1" applyProtection="1">
      <alignment horizontal="right" vertical="center"/>
      <protection locked="0"/>
    </xf>
    <xf numFmtId="168" fontId="5" fillId="0" borderId="8" xfId="39" applyFont="1" applyBorder="1" applyAlignment="1" applyProtection="1">
      <alignment horizontal="right" vertical="center"/>
    </xf>
    <xf numFmtId="192" fontId="5" fillId="44" borderId="46" xfId="39" applyNumberFormat="1" applyFont="1" applyFill="1" applyBorder="1" applyAlignment="1" applyProtection="1">
      <alignment horizontal="right" vertical="center"/>
      <protection locked="0"/>
    </xf>
    <xf numFmtId="0" fontId="5" fillId="44" borderId="28" xfId="24" applyFill="1" applyBorder="1" applyAlignment="1" applyProtection="1">
      <alignment horizontal="right" vertical="center"/>
      <protection locked="0"/>
    </xf>
    <xf numFmtId="168" fontId="5" fillId="44" borderId="13" xfId="39" applyFont="1" applyFill="1" applyBorder="1" applyAlignment="1" applyProtection="1">
      <alignment horizontal="right" vertical="center"/>
    </xf>
    <xf numFmtId="0" fontId="5" fillId="44" borderId="46" xfId="24" applyFill="1" applyBorder="1" applyAlignment="1" applyProtection="1">
      <alignment horizontal="right" vertical="center"/>
      <protection locked="0"/>
    </xf>
    <xf numFmtId="10" fontId="5" fillId="44" borderId="14" xfId="40" applyNumberFormat="1" applyFont="1" applyFill="1" applyBorder="1" applyAlignment="1" applyProtection="1">
      <alignment horizontal="right" vertical="center"/>
    </xf>
    <xf numFmtId="9" fontId="5" fillId="0" borderId="45" xfId="24" applyNumberFormat="1" applyBorder="1" applyAlignment="1">
      <alignment horizontal="right" vertical="center"/>
    </xf>
    <xf numFmtId="9" fontId="5" fillId="0" borderId="0" xfId="24" applyNumberFormat="1" applyAlignment="1">
      <alignment horizontal="right" vertical="center"/>
    </xf>
    <xf numFmtId="9" fontId="23" fillId="0" borderId="45" xfId="24" applyNumberFormat="1" applyFont="1" applyBorder="1" applyAlignment="1">
      <alignment horizontal="right" vertical="center"/>
    </xf>
    <xf numFmtId="0" fontId="5" fillId="0" borderId="0" xfId="24" applyAlignment="1">
      <alignment horizontal="right" vertical="center"/>
    </xf>
    <xf numFmtId="0" fontId="5" fillId="0" borderId="45" xfId="24" applyBorder="1" applyAlignment="1">
      <alignment horizontal="right" vertical="center"/>
    </xf>
    <xf numFmtId="0" fontId="5" fillId="13" borderId="26" xfId="24" applyFill="1" applyBorder="1" applyAlignment="1">
      <alignment horizontal="right" vertical="center"/>
    </xf>
    <xf numFmtId="0" fontId="5" fillId="13" borderId="10" xfId="24" applyFill="1" applyBorder="1" applyAlignment="1">
      <alignment horizontal="right" vertical="center"/>
    </xf>
    <xf numFmtId="168" fontId="23" fillId="13" borderId="9" xfId="24" applyNumberFormat="1" applyFont="1" applyFill="1" applyBorder="1" applyAlignment="1">
      <alignment horizontal="right" vertical="center"/>
    </xf>
    <xf numFmtId="0" fontId="23" fillId="13" borderId="26" xfId="24" applyFont="1" applyFill="1" applyBorder="1" applyAlignment="1">
      <alignment horizontal="right" vertical="center"/>
    </xf>
    <xf numFmtId="192" fontId="5" fillId="44" borderId="28" xfId="39" applyNumberFormat="1" applyFont="1" applyFill="1" applyBorder="1" applyAlignment="1" applyProtection="1">
      <alignment vertical="top"/>
      <protection locked="0"/>
    </xf>
    <xf numFmtId="0" fontId="5" fillId="44" borderId="13" xfId="24" applyFill="1" applyBorder="1" applyAlignment="1" applyProtection="1">
      <alignment vertical="center"/>
      <protection locked="0"/>
    </xf>
    <xf numFmtId="168" fontId="5" fillId="44" borderId="29" xfId="39" applyFont="1" applyFill="1" applyBorder="1" applyAlignment="1" applyProtection="1">
      <alignment vertical="center"/>
      <protection locked="0"/>
    </xf>
    <xf numFmtId="0" fontId="5" fillId="44" borderId="28" xfId="24" applyFill="1" applyBorder="1" applyAlignment="1" applyProtection="1">
      <alignment vertical="center"/>
      <protection locked="0"/>
    </xf>
    <xf numFmtId="168" fontId="5" fillId="44" borderId="46" xfId="39" applyFont="1" applyFill="1" applyBorder="1" applyAlignment="1" applyProtection="1">
      <alignment vertical="center"/>
      <protection locked="0"/>
    </xf>
    <xf numFmtId="168" fontId="5" fillId="44" borderId="28" xfId="24" applyNumberFormat="1" applyFill="1" applyBorder="1" applyAlignment="1" applyProtection="1">
      <alignment vertical="center"/>
      <protection locked="0"/>
    </xf>
    <xf numFmtId="10" fontId="5" fillId="44" borderId="14" xfId="40" applyNumberFormat="1" applyFont="1" applyFill="1" applyBorder="1" applyAlignment="1" applyProtection="1">
      <alignment vertical="center"/>
      <protection locked="0"/>
    </xf>
    <xf numFmtId="0" fontId="11" fillId="0" borderId="45" xfId="0" applyFont="1" applyBorder="1" applyAlignment="1">
      <alignment vertical="center"/>
    </xf>
    <xf numFmtId="1" fontId="11" fillId="0" borderId="45" xfId="0" applyNumberFormat="1" applyFont="1" applyBorder="1" applyAlignment="1">
      <alignment vertical="center"/>
    </xf>
    <xf numFmtId="9" fontId="11" fillId="0" borderId="45" xfId="0" applyNumberFormat="1" applyFont="1" applyBorder="1" applyAlignment="1">
      <alignment vertical="top"/>
    </xf>
    <xf numFmtId="192" fontId="11" fillId="47" borderId="45" xfId="39" applyNumberFormat="1" applyFont="1" applyFill="1" applyBorder="1" applyAlignment="1" applyProtection="1">
      <alignment horizontal="right" vertical="center"/>
      <protection locked="0"/>
    </xf>
    <xf numFmtId="168" fontId="23" fillId="13" borderId="45" xfId="24" applyNumberFormat="1" applyFont="1" applyFill="1" applyBorder="1" applyAlignment="1">
      <alignment horizontal="right" vertical="center"/>
    </xf>
    <xf numFmtId="10" fontId="14" fillId="13" borderId="8" xfId="40" applyNumberFormat="1" applyFont="1" applyFill="1" applyBorder="1" applyAlignment="1" applyProtection="1">
      <alignment horizontal="right" vertical="center"/>
    </xf>
    <xf numFmtId="0" fontId="23" fillId="0" borderId="0" xfId="24" applyFont="1" applyAlignment="1">
      <alignment vertical="top" wrapText="1"/>
    </xf>
    <xf numFmtId="190" fontId="5" fillId="51" borderId="45" xfId="20" applyNumberFormat="1" applyFont="1" applyFill="1" applyBorder="1" applyAlignment="1" applyProtection="1">
      <alignment horizontal="right" vertical="center"/>
      <protection locked="0"/>
    </xf>
    <xf numFmtId="190" fontId="5" fillId="51" borderId="8" xfId="20" applyNumberFormat="1" applyFont="1" applyFill="1" applyBorder="1" applyAlignment="1" applyProtection="1">
      <alignment horizontal="right" vertical="center"/>
      <protection locked="0"/>
    </xf>
    <xf numFmtId="0" fontId="11" fillId="51" borderId="45" xfId="0" applyFont="1" applyFill="1" applyBorder="1" applyAlignment="1">
      <alignment vertical="center"/>
    </xf>
    <xf numFmtId="0" fontId="41" fillId="45" borderId="0" xfId="24" applyFont="1" applyFill="1" applyAlignment="1">
      <alignment horizontal="center" vertical="center"/>
    </xf>
    <xf numFmtId="0" fontId="23" fillId="0" borderId="0" xfId="24" applyFont="1" applyAlignment="1">
      <alignment horizontal="center" wrapText="1"/>
    </xf>
    <xf numFmtId="0" fontId="41" fillId="0" borderId="0" xfId="24" applyFont="1" applyAlignment="1">
      <alignment horizontal="left" vertical="center"/>
    </xf>
    <xf numFmtId="0" fontId="41" fillId="0" borderId="0" xfId="24" applyFont="1" applyAlignment="1">
      <alignment horizontal="center" vertical="center" wrapText="1"/>
    </xf>
    <xf numFmtId="0" fontId="62" fillId="45" borderId="0" xfId="0" applyFont="1" applyFill="1" applyAlignment="1">
      <alignment horizontal="left" vertical="center"/>
    </xf>
    <xf numFmtId="0" fontId="62" fillId="45" borderId="0" xfId="0" applyFont="1" applyFill="1" applyAlignment="1">
      <alignment horizontal="center" vertical="center" wrapText="1"/>
    </xf>
    <xf numFmtId="0" fontId="41" fillId="46" borderId="0" xfId="0" applyFont="1" applyFill="1" applyAlignment="1">
      <alignment horizontal="center" vertical="center" wrapText="1"/>
    </xf>
    <xf numFmtId="0" fontId="5" fillId="0" borderId="0" xfId="0" applyFont="1"/>
    <xf numFmtId="0" fontId="68" fillId="9" borderId="0" xfId="0" applyFont="1" applyFill="1"/>
    <xf numFmtId="0" fontId="56" fillId="2" borderId="0" xfId="31" applyFont="1" applyFill="1" applyAlignment="1">
      <alignment horizontal="center" vertical="center"/>
    </xf>
    <xf numFmtId="10" fontId="23" fillId="13" borderId="4" xfId="40" applyNumberFormat="1" applyFont="1" applyFill="1" applyBorder="1" applyAlignment="1" applyProtection="1">
      <alignment horizontal="right" vertical="center"/>
    </xf>
    <xf numFmtId="0" fontId="23" fillId="0" borderId="0" xfId="24" applyFont="1" applyAlignment="1" applyProtection="1">
      <alignment horizontal="right" vertical="center"/>
      <protection locked="0"/>
    </xf>
    <xf numFmtId="0" fontId="74" fillId="2" borderId="0" xfId="24" applyFont="1" applyFill="1" applyAlignment="1" applyProtection="1">
      <alignment vertical="top"/>
      <protection locked="0"/>
    </xf>
    <xf numFmtId="0" fontId="23" fillId="2" borderId="4" xfId="88" applyNumberFormat="1" applyFont="1" applyFill="1" applyBorder="1" applyAlignment="1" applyProtection="1">
      <alignment horizontal="center" vertical="center"/>
      <protection locked="0"/>
    </xf>
    <xf numFmtId="0" fontId="23" fillId="0" borderId="0" xfId="24" applyFont="1" applyProtection="1">
      <protection locked="0"/>
    </xf>
    <xf numFmtId="0" fontId="19" fillId="2" borderId="0" xfId="24" applyFont="1" applyFill="1" applyAlignment="1" applyProtection="1">
      <alignment vertical="center"/>
      <protection locked="0"/>
    </xf>
    <xf numFmtId="0" fontId="23" fillId="0" borderId="0" xfId="24" applyFont="1" applyAlignment="1" applyProtection="1">
      <alignment horizontal="left"/>
      <protection locked="0"/>
    </xf>
    <xf numFmtId="0" fontId="23" fillId="0" borderId="0" xfId="24" applyFont="1" applyAlignment="1" applyProtection="1">
      <alignment horizontal="center"/>
      <protection locked="0"/>
    </xf>
    <xf numFmtId="0" fontId="19" fillId="0" borderId="0" xfId="24" applyFont="1" applyAlignment="1" applyProtection="1">
      <alignment horizontal="center"/>
      <protection locked="0"/>
    </xf>
    <xf numFmtId="183" fontId="23" fillId="2" borderId="4" xfId="40" applyNumberFormat="1" applyFont="1" applyFill="1" applyBorder="1" applyProtection="1">
      <protection locked="0"/>
    </xf>
    <xf numFmtId="0" fontId="23" fillId="0" borderId="24" xfId="24" applyFont="1" applyBorder="1" applyAlignment="1" applyProtection="1">
      <alignment horizontal="center"/>
      <protection locked="0"/>
    </xf>
    <xf numFmtId="0" fontId="23" fillId="0" borderId="8" xfId="24" applyFont="1" applyBorder="1" applyAlignment="1" applyProtection="1">
      <alignment horizontal="center"/>
      <protection locked="0"/>
    </xf>
    <xf numFmtId="0" fontId="23" fillId="0" borderId="7" xfId="24" applyFont="1" applyBorder="1" applyAlignment="1" applyProtection="1">
      <alignment horizontal="center"/>
      <protection locked="0"/>
    </xf>
    <xf numFmtId="0" fontId="23" fillId="0" borderId="26" xfId="24" quotePrefix="1" applyFont="1" applyBorder="1" applyAlignment="1" applyProtection="1">
      <alignment horizontal="center"/>
      <protection locked="0"/>
    </xf>
    <xf numFmtId="0" fontId="23" fillId="0" borderId="11" xfId="24" quotePrefix="1" applyFont="1" applyBorder="1" applyAlignment="1" applyProtection="1">
      <alignment horizontal="center"/>
      <protection locked="0"/>
    </xf>
    <xf numFmtId="0" fontId="5" fillId="0" borderId="0" xfId="24" applyAlignment="1" applyProtection="1">
      <alignment vertical="top"/>
      <protection locked="0"/>
    </xf>
    <xf numFmtId="0" fontId="23" fillId="10" borderId="22" xfId="24" applyFont="1" applyFill="1" applyBorder="1" applyAlignment="1" applyProtection="1">
      <alignment vertical="top"/>
      <protection locked="0"/>
    </xf>
    <xf numFmtId="0" fontId="5" fillId="10" borderId="44" xfId="24" applyFill="1" applyBorder="1" applyAlignment="1" applyProtection="1">
      <alignment vertical="top"/>
      <protection locked="0"/>
    </xf>
    <xf numFmtId="168" fontId="23" fillId="10" borderId="4" xfId="24" applyNumberFormat="1" applyFont="1" applyFill="1" applyBorder="1" applyAlignment="1" applyProtection="1">
      <alignment vertical="center"/>
      <protection locked="0"/>
    </xf>
    <xf numFmtId="10" fontId="23" fillId="10" borderId="23" xfId="40" applyNumberFormat="1" applyFont="1" applyFill="1" applyBorder="1" applyAlignment="1" applyProtection="1">
      <alignment vertical="center"/>
      <protection locked="0"/>
    </xf>
    <xf numFmtId="0" fontId="23" fillId="10" borderId="22" xfId="24" applyFont="1" applyFill="1" applyBorder="1" applyAlignment="1" applyProtection="1">
      <alignment vertical="top" wrapText="1"/>
      <protection locked="0"/>
    </xf>
    <xf numFmtId="0" fontId="5" fillId="10" borderId="44" xfId="24" applyFill="1" applyBorder="1" applyProtection="1">
      <protection locked="0"/>
    </xf>
    <xf numFmtId="168" fontId="23" fillId="10" borderId="23" xfId="24" applyNumberFormat="1" applyFont="1" applyFill="1" applyBorder="1" applyAlignment="1" applyProtection="1">
      <alignment vertical="center"/>
      <protection locked="0"/>
    </xf>
    <xf numFmtId="0" fontId="23" fillId="10" borderId="23" xfId="24" applyFont="1" applyFill="1" applyBorder="1" applyAlignment="1" applyProtection="1">
      <alignment vertical="center"/>
      <protection locked="0"/>
    </xf>
    <xf numFmtId="0" fontId="5" fillId="0" borderId="0" xfId="24" applyAlignment="1" applyProtection="1">
      <alignment vertical="top" wrapText="1"/>
      <protection locked="0"/>
    </xf>
    <xf numFmtId="190" fontId="5" fillId="2" borderId="45" xfId="88" applyNumberFormat="1" applyFont="1" applyFill="1" applyBorder="1" applyAlignment="1" applyProtection="1">
      <alignment vertical="center"/>
      <protection locked="0"/>
    </xf>
    <xf numFmtId="0" fontId="5" fillId="44" borderId="12" xfId="24" applyFill="1" applyBorder="1" applyProtection="1">
      <protection locked="0"/>
    </xf>
    <xf numFmtId="0" fontId="5" fillId="44" borderId="13" xfId="24" applyFill="1" applyBorder="1" applyAlignment="1" applyProtection="1">
      <alignment vertical="top"/>
      <protection locked="0"/>
    </xf>
    <xf numFmtId="10" fontId="5" fillId="44" borderId="14" xfId="40" applyNumberFormat="1" applyFill="1" applyBorder="1" applyAlignment="1" applyProtection="1">
      <alignment vertical="center"/>
      <protection locked="0"/>
    </xf>
    <xf numFmtId="0" fontId="23" fillId="0" borderId="0" xfId="24" applyFont="1" applyAlignment="1" applyProtection="1">
      <alignment vertical="top"/>
      <protection locked="0"/>
    </xf>
    <xf numFmtId="9" fontId="23" fillId="0" borderId="45" xfId="24" applyNumberFormat="1" applyFont="1" applyBorder="1" applyAlignment="1" applyProtection="1">
      <alignment vertical="center"/>
      <protection locked="0"/>
    </xf>
    <xf numFmtId="168" fontId="23" fillId="0" borderId="45" xfId="24" applyNumberFormat="1" applyFont="1" applyBorder="1" applyAlignment="1" applyProtection="1">
      <alignment vertical="center"/>
      <protection locked="0"/>
    </xf>
    <xf numFmtId="10" fontId="23" fillId="0" borderId="8" xfId="40" applyNumberFormat="1" applyFont="1" applyFill="1" applyBorder="1" applyAlignment="1" applyProtection="1">
      <alignment vertical="center"/>
      <protection locked="0"/>
    </xf>
    <xf numFmtId="0" fontId="5" fillId="0" borderId="0" xfId="24" applyAlignment="1" applyProtection="1">
      <alignment horizontal="left" vertical="top" indent="1"/>
      <protection locked="0"/>
    </xf>
    <xf numFmtId="9" fontId="5" fillId="0" borderId="45" xfId="24" applyNumberFormat="1" applyBorder="1" applyAlignment="1" applyProtection="1">
      <alignment vertical="center"/>
      <protection locked="0"/>
    </xf>
    <xf numFmtId="0" fontId="5" fillId="0" borderId="45" xfId="24" applyBorder="1" applyAlignment="1" applyProtection="1">
      <alignment vertical="center"/>
      <protection locked="0"/>
    </xf>
    <xf numFmtId="168" fontId="5" fillId="0" borderId="45" xfId="24" applyNumberFormat="1" applyBorder="1" applyAlignment="1" applyProtection="1">
      <alignment vertical="center"/>
      <protection locked="0"/>
    </xf>
    <xf numFmtId="10" fontId="5" fillId="0" borderId="8" xfId="40" applyNumberFormat="1" applyFont="1" applyFill="1" applyBorder="1" applyAlignment="1" applyProtection="1">
      <alignment vertical="center"/>
      <protection locked="0"/>
    </xf>
    <xf numFmtId="168" fontId="23" fillId="13" borderId="9" xfId="24" applyNumberFormat="1" applyFont="1" applyFill="1" applyBorder="1" applyAlignment="1" applyProtection="1">
      <alignment vertical="center"/>
      <protection locked="0"/>
    </xf>
    <xf numFmtId="0" fontId="23" fillId="13" borderId="26" xfId="24" applyFont="1" applyFill="1" applyBorder="1" applyAlignment="1" applyProtection="1">
      <alignment vertical="center"/>
      <protection locked="0"/>
    </xf>
    <xf numFmtId="168" fontId="23" fillId="13" borderId="26" xfId="24" applyNumberFormat="1" applyFont="1" applyFill="1" applyBorder="1" applyAlignment="1" applyProtection="1">
      <alignment vertical="center"/>
      <protection locked="0"/>
    </xf>
    <xf numFmtId="10" fontId="23" fillId="13" borderId="11" xfId="40" applyNumberFormat="1" applyFont="1" applyFill="1" applyBorder="1" applyAlignment="1" applyProtection="1">
      <alignment vertical="center"/>
      <protection locked="0"/>
    </xf>
    <xf numFmtId="9" fontId="5" fillId="0" borderId="45" xfId="24" applyNumberFormat="1" applyBorder="1" applyAlignment="1" applyProtection="1">
      <alignment vertical="top"/>
      <protection locked="0"/>
    </xf>
    <xf numFmtId="0" fontId="23" fillId="13" borderId="45" xfId="24" applyFont="1" applyFill="1" applyBorder="1" applyAlignment="1" applyProtection="1">
      <alignment vertical="center"/>
      <protection locked="0"/>
    </xf>
    <xf numFmtId="168" fontId="23" fillId="13" borderId="45" xfId="24" applyNumberFormat="1" applyFont="1" applyFill="1" applyBorder="1" applyAlignment="1" applyProtection="1">
      <alignment vertical="center"/>
      <protection locked="0"/>
    </xf>
    <xf numFmtId="10" fontId="23" fillId="13" borderId="8" xfId="40" applyNumberFormat="1" applyFont="1" applyFill="1" applyBorder="1" applyAlignment="1" applyProtection="1">
      <alignment vertical="center"/>
      <protection locked="0"/>
    </xf>
    <xf numFmtId="192" fontId="5" fillId="44" borderId="28" xfId="39" applyNumberFormat="1" applyFill="1" applyBorder="1" applyAlignment="1" applyProtection="1">
      <alignment vertical="top"/>
      <protection locked="0"/>
    </xf>
    <xf numFmtId="168" fontId="5" fillId="44" borderId="29" xfId="39" applyFill="1" applyBorder="1" applyAlignment="1" applyProtection="1">
      <alignment vertical="center"/>
      <protection locked="0"/>
    </xf>
    <xf numFmtId="168" fontId="5" fillId="0" borderId="0" xfId="24" applyNumberFormat="1" applyProtection="1">
      <protection locked="0"/>
    </xf>
    <xf numFmtId="0" fontId="5" fillId="2" borderId="0" xfId="24" applyFill="1" applyAlignment="1" applyProtection="1">
      <alignment vertical="top"/>
      <protection locked="0"/>
    </xf>
    <xf numFmtId="0" fontId="23" fillId="10" borderId="4" xfId="24" applyFont="1" applyFill="1" applyBorder="1" applyAlignment="1" applyProtection="1">
      <alignment horizontal="left" vertical="center"/>
      <protection locked="0"/>
    </xf>
    <xf numFmtId="0" fontId="30" fillId="10" borderId="4" xfId="24" applyFont="1" applyFill="1" applyBorder="1" applyAlignment="1" applyProtection="1">
      <alignment horizontal="left" vertical="center"/>
      <protection locked="0"/>
    </xf>
    <xf numFmtId="192" fontId="30" fillId="2" borderId="45" xfId="39" applyNumberFormat="1" applyFont="1" applyFill="1" applyBorder="1" applyAlignment="1" applyProtection="1">
      <alignment horizontal="left" vertical="center"/>
      <protection locked="0"/>
    </xf>
    <xf numFmtId="192" fontId="23" fillId="2" borderId="45" xfId="39" applyNumberFormat="1" applyFont="1" applyFill="1" applyBorder="1" applyAlignment="1" applyProtection="1">
      <alignment horizontal="left" vertical="center"/>
      <protection locked="0"/>
    </xf>
    <xf numFmtId="192" fontId="23" fillId="0" borderId="45" xfId="39" applyNumberFormat="1" applyFont="1" applyFill="1" applyBorder="1" applyAlignment="1" applyProtection="1">
      <alignment horizontal="left" vertical="center"/>
      <protection locked="0"/>
    </xf>
    <xf numFmtId="192" fontId="23" fillId="3" borderId="45" xfId="39" applyNumberFormat="1" applyFont="1" applyFill="1" applyBorder="1" applyAlignment="1" applyProtection="1">
      <alignment horizontal="left" vertical="center"/>
      <protection locked="0"/>
    </xf>
    <xf numFmtId="0" fontId="5" fillId="10" borderId="4" xfId="24" applyFill="1" applyBorder="1" applyAlignment="1" applyProtection="1">
      <alignment vertical="center"/>
      <protection locked="0"/>
    </xf>
    <xf numFmtId="0" fontId="5" fillId="10" borderId="23" xfId="24" applyFill="1" applyBorder="1" applyAlignment="1" applyProtection="1">
      <alignment vertical="center"/>
      <protection locked="0"/>
    </xf>
    <xf numFmtId="190" fontId="5" fillId="52" borderId="45" xfId="88" applyNumberFormat="1" applyFont="1" applyFill="1" applyBorder="1" applyAlignment="1" applyProtection="1">
      <alignment vertical="center"/>
      <protection locked="0"/>
    </xf>
    <xf numFmtId="190" fontId="5" fillId="0" borderId="45" xfId="88" applyNumberFormat="1" applyFont="1" applyFill="1" applyBorder="1" applyAlignment="1" applyProtection="1">
      <alignment vertical="center"/>
      <protection locked="0"/>
    </xf>
    <xf numFmtId="168" fontId="5" fillId="0" borderId="8" xfId="39" applyFont="1" applyBorder="1" applyAlignment="1" applyProtection="1">
      <alignment vertical="center"/>
      <protection locked="0"/>
    </xf>
    <xf numFmtId="192" fontId="5" fillId="44" borderId="46" xfId="39" applyNumberFormat="1" applyFont="1" applyFill="1" applyBorder="1" applyAlignment="1" applyProtection="1">
      <alignment vertical="top"/>
      <protection locked="0"/>
    </xf>
    <xf numFmtId="168" fontId="5" fillId="44" borderId="13" xfId="39" applyFont="1" applyFill="1" applyBorder="1" applyAlignment="1" applyProtection="1">
      <alignment vertical="center"/>
      <protection locked="0"/>
    </xf>
    <xf numFmtId="0" fontId="5" fillId="44" borderId="46" xfId="24" applyFill="1" applyBorder="1" applyAlignment="1" applyProtection="1">
      <alignment vertical="center"/>
      <protection locked="0"/>
    </xf>
    <xf numFmtId="168" fontId="5" fillId="44" borderId="46" xfId="24" applyNumberFormat="1" applyFill="1" applyBorder="1" applyAlignment="1" applyProtection="1">
      <alignment vertical="center"/>
      <protection locked="0"/>
    </xf>
    <xf numFmtId="9" fontId="5" fillId="0" borderId="0" xfId="24" applyNumberFormat="1" applyAlignment="1" applyProtection="1">
      <alignment vertical="center"/>
      <protection locked="0"/>
    </xf>
    <xf numFmtId="0" fontId="5" fillId="0" borderId="0" xfId="24" applyAlignment="1" applyProtection="1">
      <alignment vertical="center"/>
      <protection locked="0"/>
    </xf>
    <xf numFmtId="0" fontId="5" fillId="13" borderId="26" xfId="24" applyFill="1" applyBorder="1" applyAlignment="1" applyProtection="1">
      <alignment vertical="top"/>
      <protection locked="0"/>
    </xf>
    <xf numFmtId="0" fontId="5" fillId="13" borderId="10" xfId="24" applyFill="1" applyBorder="1" applyAlignment="1" applyProtection="1">
      <alignment vertical="center"/>
      <protection locked="0"/>
    </xf>
    <xf numFmtId="0" fontId="5" fillId="13" borderId="45" xfId="24" applyFill="1" applyBorder="1" applyAlignment="1" applyProtection="1">
      <alignment vertical="top"/>
      <protection locked="0"/>
    </xf>
    <xf numFmtId="0" fontId="5" fillId="13" borderId="0" xfId="24" applyFill="1" applyAlignment="1" applyProtection="1">
      <alignment vertical="center"/>
      <protection locked="0"/>
    </xf>
    <xf numFmtId="168" fontId="23" fillId="2" borderId="45" xfId="39" applyFont="1" applyFill="1" applyBorder="1" applyAlignment="1" applyProtection="1">
      <alignment horizontal="left" vertical="center"/>
      <protection locked="0"/>
    </xf>
    <xf numFmtId="168" fontId="11" fillId="0" borderId="8" xfId="39" applyFont="1" applyBorder="1" applyAlignment="1" applyProtection="1">
      <alignment vertical="center"/>
      <protection locked="0"/>
    </xf>
    <xf numFmtId="10" fontId="11" fillId="0" borderId="8" xfId="40" applyNumberFormat="1" applyFont="1" applyBorder="1" applyAlignment="1" applyProtection="1">
      <alignment vertical="center"/>
      <protection locked="0"/>
    </xf>
    <xf numFmtId="192" fontId="23" fillId="10" borderId="4" xfId="39" applyNumberFormat="1" applyFont="1" applyFill="1" applyBorder="1" applyAlignment="1" applyProtection="1">
      <alignment horizontal="left" vertical="center"/>
      <protection locked="0"/>
    </xf>
    <xf numFmtId="192" fontId="30" fillId="10" borderId="4" xfId="39" applyNumberFormat="1" applyFont="1" applyFill="1" applyBorder="1" applyAlignment="1" applyProtection="1">
      <alignment horizontal="left" vertical="center"/>
      <protection locked="0"/>
    </xf>
    <xf numFmtId="0" fontId="42" fillId="0" borderId="0" xfId="24" applyFont="1"/>
    <xf numFmtId="0" fontId="76" fillId="2" borderId="0" xfId="24" applyFont="1" applyFill="1" applyProtection="1">
      <protection locked="0"/>
    </xf>
    <xf numFmtId="180" fontId="10" fillId="2" borderId="0" xfId="0" applyNumberFormat="1" applyFont="1" applyFill="1" applyAlignment="1">
      <alignment horizontal="right" vertical="top"/>
    </xf>
    <xf numFmtId="0" fontId="10" fillId="2" borderId="0" xfId="0" applyFont="1" applyFill="1"/>
    <xf numFmtId="167" fontId="0" fillId="0" borderId="0" xfId="0" applyNumberFormat="1"/>
    <xf numFmtId="0" fontId="20" fillId="0" borderId="0" xfId="0" applyFont="1" applyAlignment="1">
      <alignment wrapText="1"/>
    </xf>
    <xf numFmtId="0" fontId="78" fillId="0" borderId="14" xfId="0" applyFont="1" applyBorder="1"/>
    <xf numFmtId="0" fontId="80" fillId="0" borderId="0" xfId="0" applyFont="1" applyAlignment="1">
      <alignment horizontal="center" vertical="center"/>
    </xf>
    <xf numFmtId="0" fontId="80" fillId="0" borderId="0" xfId="0" applyFont="1" applyAlignment="1">
      <alignment horizontal="left" wrapText="1"/>
    </xf>
    <xf numFmtId="0" fontId="28" fillId="0" borderId="0" xfId="0" applyFont="1" applyAlignment="1">
      <alignment horizontal="center"/>
    </xf>
    <xf numFmtId="192" fontId="19" fillId="0" borderId="0" xfId="39" applyNumberFormat="1" applyFont="1" applyFill="1" applyProtection="1"/>
    <xf numFmtId="0" fontId="0" fillId="2" borderId="0" xfId="0" applyFill="1" applyProtection="1">
      <protection locked="0"/>
    </xf>
    <xf numFmtId="165" fontId="21" fillId="0" borderId="0" xfId="0" applyNumberFormat="1" applyFont="1"/>
    <xf numFmtId="165" fontId="0" fillId="0" borderId="0" xfId="0" applyNumberFormat="1" applyAlignment="1">
      <alignment wrapText="1"/>
    </xf>
    <xf numFmtId="165" fontId="21" fillId="0" borderId="34" xfId="0" applyNumberFormat="1" applyFont="1" applyBorder="1"/>
    <xf numFmtId="165" fontId="0" fillId="0" borderId="52" xfId="0" applyNumberFormat="1" applyBorder="1" applyAlignment="1">
      <alignment wrapText="1"/>
    </xf>
    <xf numFmtId="165" fontId="0" fillId="0" borderId="53" xfId="0" applyNumberFormat="1" applyBorder="1" applyAlignment="1">
      <alignment wrapText="1"/>
    </xf>
    <xf numFmtId="165" fontId="0" fillId="0" borderId="0" xfId="0" applyNumberFormat="1"/>
    <xf numFmtId="165" fontId="0" fillId="0" borderId="54" xfId="0" applyNumberFormat="1" applyBorder="1"/>
    <xf numFmtId="0" fontId="21" fillId="0" borderId="0" xfId="0" applyFont="1"/>
    <xf numFmtId="0" fontId="0" fillId="0" borderId="61" xfId="0" applyBorder="1"/>
    <xf numFmtId="165" fontId="0" fillId="0" borderId="61" xfId="0" applyNumberFormat="1" applyBorder="1"/>
    <xf numFmtId="0" fontId="20" fillId="0" borderId="0" xfId="0" applyFont="1"/>
    <xf numFmtId="0" fontId="85" fillId="0" borderId="0" xfId="24" applyFont="1"/>
    <xf numFmtId="0" fontId="85" fillId="0" borderId="0" xfId="24" applyFont="1" applyAlignment="1">
      <alignment horizontal="right"/>
    </xf>
    <xf numFmtId="0" fontId="87" fillId="0" borderId="0" xfId="24" applyFont="1"/>
    <xf numFmtId="0" fontId="85" fillId="0" borderId="0" xfId="24" applyFont="1" applyAlignment="1">
      <alignment vertical="top"/>
    </xf>
    <xf numFmtId="0" fontId="88" fillId="0" borderId="0" xfId="24" applyFont="1" applyAlignment="1">
      <alignment horizontal="left" vertical="top" wrapText="1"/>
    </xf>
    <xf numFmtId="0" fontId="10" fillId="0" borderId="0" xfId="0" applyFont="1"/>
    <xf numFmtId="0" fontId="11" fillId="9" borderId="0" xfId="0" applyFont="1" applyFill="1"/>
    <xf numFmtId="191" fontId="0" fillId="0" borderId="0" xfId="0" applyNumberFormat="1" applyAlignment="1">
      <alignment wrapText="1"/>
    </xf>
    <xf numFmtId="191" fontId="21" fillId="0" borderId="34" xfId="0" applyNumberFormat="1" applyFont="1" applyBorder="1"/>
    <xf numFmtId="191" fontId="21" fillId="0" borderId="0" xfId="0" applyNumberFormat="1" applyFont="1"/>
    <xf numFmtId="165" fontId="21" fillId="0" borderId="53" xfId="0" applyNumberFormat="1" applyFont="1" applyBorder="1"/>
    <xf numFmtId="0" fontId="84" fillId="0" borderId="49" xfId="0" applyFont="1" applyBorder="1" applyAlignment="1">
      <alignment vertical="center"/>
    </xf>
    <xf numFmtId="0" fontId="21" fillId="0" borderId="50" xfId="0" applyFont="1" applyBorder="1"/>
    <xf numFmtId="0" fontId="21" fillId="0" borderId="34" xfId="0" applyFont="1" applyBorder="1"/>
    <xf numFmtId="195" fontId="21" fillId="0" borderId="34" xfId="0" applyNumberFormat="1" applyFont="1" applyBorder="1"/>
    <xf numFmtId="0" fontId="21" fillId="0" borderId="34" xfId="0" applyFont="1" applyBorder="1" applyAlignment="1">
      <alignment horizontal="left"/>
    </xf>
    <xf numFmtId="0" fontId="21" fillId="0" borderId="34" xfId="24" applyFont="1" applyBorder="1" applyAlignment="1">
      <alignment horizontal="left" wrapText="1"/>
    </xf>
    <xf numFmtId="0" fontId="20" fillId="0" borderId="34" xfId="0" applyFont="1" applyBorder="1" applyAlignment="1">
      <alignment horizontal="left"/>
    </xf>
    <xf numFmtId="0" fontId="20" fillId="0" borderId="34" xfId="0" applyFont="1" applyBorder="1"/>
    <xf numFmtId="0" fontId="22" fillId="0" borderId="34" xfId="24" applyFont="1" applyBorder="1"/>
    <xf numFmtId="0" fontId="20" fillId="0" borderId="65" xfId="0" applyFont="1" applyBorder="1"/>
    <xf numFmtId="165" fontId="20" fillId="0" borderId="0" xfId="0" applyNumberFormat="1" applyFont="1" applyAlignment="1">
      <alignment horizontal="center" vertical="center" wrapText="1"/>
    </xf>
    <xf numFmtId="191" fontId="21" fillId="0" borderId="65" xfId="0" applyNumberFormat="1" applyFont="1" applyBorder="1"/>
    <xf numFmtId="191" fontId="21" fillId="9" borderId="66" xfId="0" applyNumberFormat="1" applyFont="1" applyFill="1" applyBorder="1"/>
    <xf numFmtId="0" fontId="78" fillId="0" borderId="14" xfId="0" applyFont="1" applyBorder="1" applyAlignment="1">
      <alignment horizontal="center"/>
    </xf>
    <xf numFmtId="165" fontId="0" fillId="0" borderId="34" xfId="0" applyNumberFormat="1" applyBorder="1"/>
    <xf numFmtId="192" fontId="5" fillId="3" borderId="48" xfId="39" applyNumberFormat="1" applyFont="1" applyFill="1" applyBorder="1" applyAlignment="1" applyProtection="1">
      <alignment horizontal="center"/>
      <protection locked="0"/>
    </xf>
    <xf numFmtId="191" fontId="21" fillId="0" borderId="67" xfId="0" applyNumberFormat="1" applyFont="1" applyBorder="1"/>
    <xf numFmtId="191" fontId="21" fillId="10" borderId="67" xfId="0" applyNumberFormat="1" applyFont="1" applyFill="1" applyBorder="1"/>
    <xf numFmtId="0" fontId="0" fillId="0" borderId="0" xfId="0" applyAlignment="1">
      <alignment horizontal="center"/>
    </xf>
    <xf numFmtId="0" fontId="0" fillId="2" borderId="0" xfId="0" applyFill="1" applyAlignment="1">
      <alignment vertical="top"/>
    </xf>
    <xf numFmtId="0" fontId="10" fillId="2" borderId="0" xfId="0" applyFont="1" applyFill="1" applyAlignment="1">
      <alignment vertical="top"/>
    </xf>
    <xf numFmtId="0" fontId="7" fillId="2" borderId="0" xfId="0" applyFont="1" applyFill="1" applyAlignment="1">
      <alignment vertical="top"/>
    </xf>
    <xf numFmtId="190" fontId="0" fillId="0" borderId="0" xfId="0" applyNumberFormat="1"/>
    <xf numFmtId="191" fontId="21" fillId="0" borderId="66" xfId="0" applyNumberFormat="1" applyFont="1" applyBorder="1"/>
    <xf numFmtId="165" fontId="0" fillId="0" borderId="0" xfId="0" applyNumberFormat="1" applyProtection="1">
      <protection locked="0"/>
    </xf>
    <xf numFmtId="191" fontId="21" fillId="3" borderId="56" xfId="0" applyNumberFormat="1" applyFont="1" applyFill="1" applyBorder="1" applyProtection="1">
      <protection locked="0"/>
    </xf>
    <xf numFmtId="191" fontId="21" fillId="3" borderId="55" xfId="0" applyNumberFormat="1" applyFont="1" applyFill="1" applyBorder="1" applyProtection="1">
      <protection locked="0"/>
    </xf>
    <xf numFmtId="191" fontId="21" fillId="3" borderId="69" xfId="24" applyNumberFormat="1" applyFont="1" applyFill="1" applyBorder="1" applyProtection="1">
      <protection locked="0"/>
    </xf>
    <xf numFmtId="191" fontId="21" fillId="3" borderId="57" xfId="0" applyNumberFormat="1" applyFont="1" applyFill="1" applyBorder="1" applyProtection="1">
      <protection locked="0"/>
    </xf>
    <xf numFmtId="191" fontId="21" fillId="3" borderId="59" xfId="0" applyNumberFormat="1" applyFont="1" applyFill="1" applyBorder="1" applyProtection="1">
      <protection locked="0"/>
    </xf>
    <xf numFmtId="191" fontId="21" fillId="3" borderId="60" xfId="0" applyNumberFormat="1" applyFont="1" applyFill="1" applyBorder="1" applyProtection="1">
      <protection locked="0"/>
    </xf>
    <xf numFmtId="0" fontId="3" fillId="0" borderId="0" xfId="0" applyFont="1" applyAlignment="1">
      <alignment horizontal="left" wrapText="1"/>
    </xf>
    <xf numFmtId="0" fontId="11" fillId="0" borderId="4" xfId="0" applyFont="1" applyBorder="1" applyAlignment="1">
      <alignment wrapText="1"/>
    </xf>
    <xf numFmtId="0" fontId="11" fillId="0" borderId="10" xfId="0" applyFont="1" applyBorder="1"/>
    <xf numFmtId="0" fontId="14" fillId="0" borderId="24" xfId="0" applyFont="1" applyBorder="1" applyAlignment="1">
      <alignment wrapText="1"/>
    </xf>
    <xf numFmtId="167" fontId="0" fillId="0" borderId="0" xfId="0" applyNumberFormat="1" applyProtection="1">
      <protection locked="0"/>
    </xf>
    <xf numFmtId="165" fontId="21" fillId="0" borderId="0" xfId="0" applyNumberFormat="1" applyFont="1" applyProtection="1">
      <protection locked="0"/>
    </xf>
    <xf numFmtId="165" fontId="0" fillId="0" borderId="34" xfId="0" applyNumberFormat="1" applyBorder="1" applyProtection="1">
      <protection locked="0"/>
    </xf>
    <xf numFmtId="191" fontId="21" fillId="0" borderId="0" xfId="0" applyNumberFormat="1" applyFont="1" applyProtection="1">
      <protection locked="0"/>
    </xf>
    <xf numFmtId="191" fontId="21" fillId="9" borderId="55" xfId="0" applyNumberFormat="1" applyFont="1" applyFill="1" applyBorder="1" applyProtection="1">
      <protection locked="0"/>
    </xf>
    <xf numFmtId="165" fontId="21" fillId="0" borderId="34" xfId="0" applyNumberFormat="1" applyFont="1" applyBorder="1" applyProtection="1">
      <protection locked="0"/>
    </xf>
    <xf numFmtId="191" fontId="21" fillId="0" borderId="34" xfId="0" applyNumberFormat="1" applyFont="1" applyBorder="1" applyProtection="1">
      <protection locked="0"/>
    </xf>
    <xf numFmtId="165" fontId="34" fillId="5" borderId="0" xfId="0" applyNumberFormat="1" applyFont="1" applyFill="1" applyProtection="1">
      <protection locked="0"/>
    </xf>
    <xf numFmtId="191" fontId="21" fillId="9" borderId="56" xfId="0" applyNumberFormat="1" applyFont="1" applyFill="1" applyBorder="1" applyProtection="1">
      <protection locked="0"/>
    </xf>
    <xf numFmtId="167" fontId="0" fillId="0" borderId="0" xfId="0" applyNumberFormat="1" applyAlignment="1" applyProtection="1">
      <alignment vertical="top"/>
      <protection locked="0"/>
    </xf>
    <xf numFmtId="0" fontId="5" fillId="0" borderId="0" xfId="0" applyFont="1" applyAlignment="1" applyProtection="1">
      <alignment horizontal="left" vertical="top" wrapText="1"/>
      <protection locked="0"/>
    </xf>
    <xf numFmtId="191" fontId="21" fillId="3" borderId="66" xfId="24" applyNumberFormat="1" applyFont="1" applyFill="1" applyBorder="1" applyProtection="1">
      <protection locked="0"/>
    </xf>
    <xf numFmtId="191" fontId="21" fillId="3" borderId="73" xfId="24" applyNumberFormat="1" applyFont="1" applyFill="1" applyBorder="1" applyProtection="1">
      <protection locked="0"/>
    </xf>
    <xf numFmtId="166" fontId="5" fillId="3" borderId="48" xfId="39" applyNumberFormat="1" applyFont="1" applyFill="1" applyBorder="1" applyAlignment="1" applyProtection="1">
      <alignment horizontal="center"/>
      <protection locked="0"/>
    </xf>
    <xf numFmtId="0" fontId="97" fillId="0" borderId="0" xfId="0" applyFont="1" applyAlignment="1">
      <alignment vertical="center"/>
    </xf>
    <xf numFmtId="180" fontId="10" fillId="2" borderId="0" xfId="0" applyNumberFormat="1" applyFont="1" applyFill="1" applyAlignment="1">
      <alignment horizontal="right" vertical="center"/>
    </xf>
    <xf numFmtId="180" fontId="92" fillId="2" borderId="0" xfId="0" applyNumberFormat="1" applyFont="1" applyFill="1" applyAlignment="1">
      <alignment horizontal="right"/>
    </xf>
    <xf numFmtId="180" fontId="92" fillId="2" borderId="0" xfId="0" applyNumberFormat="1" applyFont="1" applyFill="1" applyAlignment="1">
      <alignment horizontal="right" vertical="top"/>
    </xf>
    <xf numFmtId="179" fontId="92" fillId="2" borderId="0" xfId="0" applyNumberFormat="1" applyFont="1" applyFill="1" applyAlignment="1">
      <alignment horizontal="right"/>
    </xf>
    <xf numFmtId="179" fontId="10" fillId="2" borderId="0" xfId="0" applyNumberFormat="1" applyFont="1" applyFill="1" applyAlignment="1">
      <alignment horizontal="right" vertical="center"/>
    </xf>
    <xf numFmtId="0" fontId="0" fillId="0" borderId="0" xfId="0" applyAlignment="1">
      <alignment horizontal="left"/>
    </xf>
    <xf numFmtId="0" fontId="11" fillId="0" borderId="22" xfId="0" applyFont="1" applyBorder="1" applyAlignment="1">
      <alignment wrapText="1"/>
    </xf>
    <xf numFmtId="0" fontId="3" fillId="0" borderId="24" xfId="0" applyFont="1" applyBorder="1" applyAlignment="1">
      <alignment horizontal="center" wrapText="1"/>
    </xf>
    <xf numFmtId="0" fontId="3" fillId="0" borderId="4" xfId="0" applyFont="1" applyBorder="1" applyAlignment="1">
      <alignment horizontal="center"/>
    </xf>
    <xf numFmtId="0" fontId="38" fillId="0" borderId="0" xfId="0" applyFont="1" applyAlignment="1">
      <alignment horizontal="left" vertical="center" wrapText="1"/>
    </xf>
    <xf numFmtId="0" fontId="7" fillId="2" borderId="0" xfId="0" applyFont="1" applyFill="1" applyAlignment="1">
      <alignment horizontal="left" vertical="top"/>
    </xf>
    <xf numFmtId="0" fontId="10" fillId="2" borderId="0" xfId="0" applyFont="1" applyFill="1" applyAlignment="1" applyProtection="1">
      <alignment horizontal="left"/>
      <protection locked="0"/>
    </xf>
    <xf numFmtId="191" fontId="9" fillId="0" borderId="0" xfId="0" applyNumberFormat="1" applyFont="1"/>
    <xf numFmtId="191" fontId="0" fillId="0" borderId="0" xfId="0" applyNumberFormat="1"/>
    <xf numFmtId="0" fontId="0" fillId="0" borderId="0" xfId="0" applyAlignment="1">
      <alignment wrapText="1"/>
    </xf>
    <xf numFmtId="185" fontId="5" fillId="0" borderId="4" xfId="37" applyNumberFormat="1" applyBorder="1" applyAlignment="1">
      <alignment horizontal="center" vertical="center"/>
    </xf>
    <xf numFmtId="185" fontId="23" fillId="13" borderId="4" xfId="36" applyNumberFormat="1" applyFont="1" applyFill="1" applyBorder="1" applyAlignment="1" applyProtection="1">
      <alignment horizontal="center" vertical="center"/>
    </xf>
    <xf numFmtId="185" fontId="23" fillId="13" borderId="21" xfId="36" applyNumberFormat="1" applyFont="1" applyFill="1" applyBorder="1" applyAlignment="1" applyProtection="1">
      <alignment horizontal="center" vertical="center"/>
    </xf>
    <xf numFmtId="185" fontId="5" fillId="0" borderId="4" xfId="36" applyNumberFormat="1" applyFont="1" applyFill="1" applyBorder="1" applyAlignment="1" applyProtection="1">
      <alignment horizontal="center" vertical="center"/>
    </xf>
    <xf numFmtId="0" fontId="8" fillId="0" borderId="0" xfId="0" applyFont="1"/>
    <xf numFmtId="0" fontId="32" fillId="0" borderId="0" xfId="34"/>
    <xf numFmtId="0" fontId="34" fillId="0" borderId="0" xfId="0" applyFont="1" applyAlignment="1">
      <alignment horizontal="left" vertical="top"/>
    </xf>
    <xf numFmtId="0" fontId="5" fillId="0" borderId="0" xfId="19" applyFont="1" applyAlignment="1">
      <alignment horizontal="right" vertical="center" wrapText="1"/>
    </xf>
    <xf numFmtId="0" fontId="5" fillId="0" borderId="0" xfId="13"/>
    <xf numFmtId="0" fontId="16" fillId="0" borderId="0" xfId="19" applyFont="1" applyAlignment="1">
      <alignment horizontal="center" vertical="center" wrapText="1"/>
    </xf>
    <xf numFmtId="0" fontId="5" fillId="0" borderId="0" xfId="19" applyFont="1" applyAlignment="1">
      <alignment horizontal="left" vertical="top"/>
    </xf>
    <xf numFmtId="0" fontId="5" fillId="0" borderId="0" xfId="16"/>
    <xf numFmtId="0" fontId="0" fillId="0" borderId="4" xfId="0" applyBorder="1"/>
    <xf numFmtId="0" fontId="61" fillId="0" borderId="0" xfId="0" applyFont="1" applyAlignment="1">
      <alignment vertical="top" wrapText="1"/>
    </xf>
    <xf numFmtId="0" fontId="17" fillId="0" borderId="4" xfId="38" applyBorder="1"/>
    <xf numFmtId="0" fontId="63" fillId="0" borderId="0" xfId="0" applyFont="1" applyAlignment="1">
      <alignment vertical="center"/>
    </xf>
    <xf numFmtId="0" fontId="63" fillId="0" borderId="0" xfId="0" applyFont="1"/>
    <xf numFmtId="0" fontId="64" fillId="2" borderId="0" xfId="0" applyFont="1" applyFill="1"/>
    <xf numFmtId="0" fontId="64" fillId="2" borderId="0" xfId="0" applyFont="1" applyFill="1" applyAlignment="1">
      <alignment horizontal="right"/>
    </xf>
    <xf numFmtId="0" fontId="41" fillId="0" borderId="0" xfId="0" applyFont="1" applyAlignment="1">
      <alignment horizontal="center"/>
    </xf>
    <xf numFmtId="0" fontId="9" fillId="2" borderId="0" xfId="0" applyFont="1" applyFill="1"/>
    <xf numFmtId="0" fontId="64" fillId="2" borderId="0" xfId="0" applyFont="1" applyFill="1" applyAlignment="1">
      <alignment vertical="top"/>
    </xf>
    <xf numFmtId="0" fontId="64" fillId="2" borderId="0" xfId="0" applyFont="1" applyFill="1" applyAlignment="1">
      <alignment horizontal="left" vertical="top"/>
    </xf>
    <xf numFmtId="0" fontId="94" fillId="2" borderId="0" xfId="0" applyFont="1" applyFill="1" applyAlignment="1">
      <alignment horizontal="left"/>
    </xf>
    <xf numFmtId="0" fontId="94" fillId="2" borderId="0" xfId="0" applyFont="1" applyFill="1" applyAlignment="1">
      <alignment horizontal="left" vertical="center"/>
    </xf>
    <xf numFmtId="0" fontId="95" fillId="2" borderId="0" xfId="0" applyFont="1" applyFill="1" applyAlignment="1">
      <alignment horizontal="left"/>
    </xf>
    <xf numFmtId="0" fontId="95" fillId="2" borderId="0" xfId="0" applyFont="1" applyFill="1" applyAlignment="1">
      <alignment horizontal="left" vertical="center"/>
    </xf>
    <xf numFmtId="180" fontId="95" fillId="2" borderId="0" xfId="0" applyNumberFormat="1" applyFont="1" applyFill="1" applyAlignment="1">
      <alignment horizontal="right"/>
    </xf>
    <xf numFmtId="0" fontId="95" fillId="2" borderId="0" xfId="0" applyFont="1" applyFill="1" applyAlignment="1">
      <alignment vertical="center"/>
    </xf>
    <xf numFmtId="0" fontId="63" fillId="2" borderId="0" xfId="0" applyFont="1" applyFill="1" applyAlignment="1">
      <alignment horizontal="left"/>
    </xf>
    <xf numFmtId="180" fontId="63" fillId="2" borderId="0" xfId="0" applyNumberFormat="1" applyFont="1" applyFill="1" applyAlignment="1">
      <alignment horizontal="right"/>
    </xf>
    <xf numFmtId="179" fontId="63" fillId="2" borderId="0" xfId="0" applyNumberFormat="1" applyFont="1" applyFill="1" applyAlignment="1">
      <alignment horizontal="right"/>
    </xf>
    <xf numFmtId="0" fontId="98" fillId="2" borderId="0" xfId="0" applyFont="1" applyFill="1"/>
    <xf numFmtId="180" fontId="10" fillId="2" borderId="0" xfId="0" applyNumberFormat="1" applyFont="1" applyFill="1" applyAlignment="1">
      <alignment horizontal="right" wrapText="1"/>
    </xf>
    <xf numFmtId="180" fontId="94" fillId="2" borderId="0" xfId="0" applyNumberFormat="1" applyFont="1" applyFill="1" applyAlignment="1">
      <alignment horizontal="right"/>
    </xf>
    <xf numFmtId="179" fontId="94" fillId="2" borderId="0" xfId="0" applyNumberFormat="1" applyFont="1" applyFill="1" applyAlignment="1">
      <alignment horizontal="right"/>
    </xf>
    <xf numFmtId="0" fontId="0" fillId="0" borderId="0" xfId="0" applyAlignment="1">
      <alignment vertical="top"/>
    </xf>
    <xf numFmtId="0" fontId="3" fillId="0" borderId="0" xfId="0" applyFont="1" applyAlignment="1">
      <alignment horizontal="left"/>
    </xf>
    <xf numFmtId="0" fontId="57" fillId="0" borderId="0" xfId="0" applyFont="1"/>
    <xf numFmtId="0" fontId="33" fillId="0" borderId="0" xfId="0" applyFont="1"/>
    <xf numFmtId="0" fontId="3" fillId="0" borderId="24" xfId="0" applyFont="1" applyBorder="1" applyAlignment="1">
      <alignment horizontal="center"/>
    </xf>
    <xf numFmtId="0" fontId="3" fillId="0" borderId="26" xfId="0" applyFont="1" applyBorder="1" applyAlignment="1">
      <alignment horizontal="center"/>
    </xf>
    <xf numFmtId="0" fontId="0" fillId="0" borderId="24" xfId="0" applyBorder="1" applyAlignment="1">
      <alignment horizontal="left" vertical="top"/>
    </xf>
    <xf numFmtId="0" fontId="0" fillId="0" borderId="45" xfId="0" applyBorder="1" applyAlignment="1">
      <alignment horizontal="left" vertical="top"/>
    </xf>
    <xf numFmtId="0" fontId="0" fillId="0" borderId="45" xfId="0" applyBorder="1" applyAlignment="1">
      <alignment vertical="top"/>
    </xf>
    <xf numFmtId="0" fontId="0" fillId="0" borderId="24" xfId="0" applyBorder="1" applyAlignment="1">
      <alignment vertical="top"/>
    </xf>
    <xf numFmtId="0" fontId="0" fillId="0" borderId="26" xfId="0" applyBorder="1" applyAlignment="1">
      <alignment vertical="top"/>
    </xf>
    <xf numFmtId="0" fontId="0" fillId="0" borderId="0" xfId="0" applyAlignment="1">
      <alignment horizontal="right"/>
    </xf>
    <xf numFmtId="190" fontId="0" fillId="0" borderId="0" xfId="162" applyNumberFormat="1" applyFont="1" applyFill="1"/>
    <xf numFmtId="0" fontId="0" fillId="0" borderId="4" xfId="0" applyBorder="1" applyAlignment="1">
      <alignment horizontal="left" vertical="top"/>
    </xf>
    <xf numFmtId="0" fontId="0" fillId="0" borderId="4" xfId="0" applyBorder="1" applyAlignment="1">
      <alignment horizontal="right"/>
    </xf>
    <xf numFmtId="0" fontId="0" fillId="0" borderId="4" xfId="0" applyBorder="1" applyAlignment="1">
      <alignment vertical="top"/>
    </xf>
    <xf numFmtId="191" fontId="9" fillId="10" borderId="79" xfId="0" applyNumberFormat="1" applyFont="1" applyFill="1" applyBorder="1"/>
    <xf numFmtId="0" fontId="14" fillId="0" borderId="4" xfId="0" applyFont="1" applyBorder="1" applyAlignment="1">
      <alignment vertical="center" wrapText="1"/>
    </xf>
    <xf numFmtId="0" fontId="14" fillId="0" borderId="6" xfId="0" applyFont="1" applyBorder="1"/>
    <xf numFmtId="0" fontId="11" fillId="0" borderId="4" xfId="0" applyFont="1" applyBorder="1"/>
    <xf numFmtId="0" fontId="36" fillId="0" borderId="24" xfId="0" applyFont="1" applyBorder="1"/>
    <xf numFmtId="0" fontId="36" fillId="0" borderId="4" xfId="0" applyFont="1" applyBorder="1"/>
    <xf numFmtId="0" fontId="0" fillId="0" borderId="26" xfId="0" applyBorder="1" applyAlignment="1">
      <alignment horizontal="right"/>
    </xf>
    <xf numFmtId="0" fontId="0" fillId="0" borderId="45" xfId="0" applyBorder="1" applyAlignment="1">
      <alignment horizontal="right"/>
    </xf>
    <xf numFmtId="0" fontId="0" fillId="0" borderId="24" xfId="0" applyBorder="1" applyAlignment="1">
      <alignment horizontal="right"/>
    </xf>
    <xf numFmtId="0" fontId="38" fillId="0" borderId="0" xfId="0" applyFont="1" applyAlignment="1">
      <alignment horizontal="left"/>
    </xf>
    <xf numFmtId="0" fontId="36" fillId="0" borderId="0" xfId="0" applyFont="1"/>
    <xf numFmtId="168" fontId="5" fillId="0" borderId="78" xfId="24" applyNumberFormat="1" applyBorder="1" applyAlignment="1" applyProtection="1">
      <alignment vertical="center"/>
      <protection locked="0"/>
    </xf>
    <xf numFmtId="0" fontId="76" fillId="0" borderId="0" xfId="24" applyFont="1" applyProtection="1">
      <protection locked="0"/>
    </xf>
    <xf numFmtId="0" fontId="102" fillId="0" borderId="0" xfId="0" applyFont="1"/>
    <xf numFmtId="0" fontId="23" fillId="10" borderId="4" xfId="24" applyFont="1" applyFill="1" applyBorder="1" applyAlignment="1" applyProtection="1">
      <alignment vertical="center"/>
      <protection locked="0"/>
    </xf>
    <xf numFmtId="168" fontId="14" fillId="10" borderId="23" xfId="39" applyFont="1" applyFill="1" applyBorder="1" applyAlignment="1" applyProtection="1">
      <alignment vertical="center"/>
      <protection locked="0"/>
    </xf>
    <xf numFmtId="179" fontId="10" fillId="0" borderId="0" xfId="0" applyNumberFormat="1" applyFont="1" applyAlignment="1">
      <alignment horizontal="right"/>
    </xf>
    <xf numFmtId="0" fontId="0" fillId="2" borderId="0" xfId="0" applyFill="1" applyAlignment="1">
      <alignment horizontal="right" vertical="center"/>
    </xf>
    <xf numFmtId="0" fontId="38" fillId="0" borderId="0" xfId="0" applyFont="1" applyAlignment="1">
      <alignment horizontal="left" wrapText="1"/>
    </xf>
    <xf numFmtId="194" fontId="0" fillId="0" borderId="0" xfId="168" applyNumberFormat="1" applyFont="1" applyBorder="1" applyProtection="1"/>
    <xf numFmtId="194" fontId="0" fillId="0" borderId="15" xfId="168" applyNumberFormat="1" applyFont="1" applyBorder="1" applyProtection="1"/>
    <xf numFmtId="197" fontId="0" fillId="0" borderId="0" xfId="169" applyNumberFormat="1" applyFont="1" applyProtection="1"/>
    <xf numFmtId="194" fontId="0" fillId="0" borderId="0" xfId="168" applyNumberFormat="1" applyFont="1" applyFill="1" applyBorder="1" applyAlignment="1" applyProtection="1">
      <alignment vertical="center"/>
    </xf>
    <xf numFmtId="194" fontId="0" fillId="0" borderId="15" xfId="168" applyNumberFormat="1" applyFont="1" applyFill="1" applyBorder="1" applyAlignment="1" applyProtection="1">
      <alignment vertical="center"/>
    </xf>
    <xf numFmtId="194" fontId="0" fillId="0" borderId="14" xfId="168" applyNumberFormat="1" applyFont="1" applyBorder="1" applyProtection="1"/>
    <xf numFmtId="10" fontId="3" fillId="0" borderId="4" xfId="178" applyNumberFormat="1" applyFont="1" applyBorder="1" applyProtection="1"/>
    <xf numFmtId="0" fontId="0" fillId="0" borderId="9" xfId="0" applyBorder="1"/>
    <xf numFmtId="182" fontId="0" fillId="0" borderId="9" xfId="0" applyNumberFormat="1" applyBorder="1"/>
    <xf numFmtId="10" fontId="0" fillId="0" borderId="9" xfId="0" applyNumberFormat="1" applyBorder="1"/>
    <xf numFmtId="194" fontId="0" fillId="0" borderId="9" xfId="0" applyNumberFormat="1" applyBorder="1"/>
    <xf numFmtId="194" fontId="0" fillId="0" borderId="4" xfId="0" applyNumberFormat="1" applyBorder="1"/>
    <xf numFmtId="0" fontId="0" fillId="0" borderId="6" xfId="0" applyBorder="1"/>
    <xf numFmtId="182" fontId="0" fillId="0" borderId="6" xfId="0" applyNumberFormat="1" applyBorder="1"/>
    <xf numFmtId="10" fontId="0" fillId="0" borderId="22" xfId="0" applyNumberFormat="1" applyBorder="1"/>
    <xf numFmtId="194" fontId="0" fillId="0" borderId="6" xfId="0" applyNumberFormat="1" applyBorder="1"/>
    <xf numFmtId="10" fontId="0" fillId="0" borderId="6" xfId="0" applyNumberFormat="1" applyBorder="1"/>
    <xf numFmtId="194" fontId="0" fillId="0" borderId="26" xfId="0" applyNumberFormat="1" applyBorder="1"/>
    <xf numFmtId="0" fontId="0" fillId="0" borderId="22" xfId="0" applyBorder="1"/>
    <xf numFmtId="182" fontId="0" fillId="0" borderId="22" xfId="0" applyNumberFormat="1" applyBorder="1"/>
    <xf numFmtId="194" fontId="0" fillId="0" borderId="11" xfId="0" applyNumberFormat="1" applyBorder="1"/>
    <xf numFmtId="194" fontId="0" fillId="0" borderId="22" xfId="0" applyNumberFormat="1" applyBorder="1"/>
    <xf numFmtId="194" fontId="0" fillId="0" borderId="23" xfId="0" applyNumberFormat="1" applyBorder="1"/>
    <xf numFmtId="0" fontId="0" fillId="4" borderId="4" xfId="0" applyFill="1" applyBorder="1" applyAlignment="1" applyProtection="1">
      <alignment horizontal="center"/>
      <protection locked="0"/>
    </xf>
    <xf numFmtId="190" fontId="0" fillId="3" borderId="4" xfId="162" applyNumberFormat="1" applyFont="1" applyFill="1" applyBorder="1" applyProtection="1">
      <protection locked="0"/>
    </xf>
    <xf numFmtId="0" fontId="0" fillId="4" borderId="4" xfId="0" applyFill="1" applyBorder="1" applyProtection="1">
      <protection locked="0"/>
    </xf>
    <xf numFmtId="0" fontId="0" fillId="0" borderId="4" xfId="0" applyBorder="1" applyProtection="1">
      <protection locked="0"/>
    </xf>
    <xf numFmtId="0" fontId="36" fillId="0" borderId="4" xfId="0" applyFont="1" applyBorder="1" applyProtection="1">
      <protection locked="0"/>
    </xf>
    <xf numFmtId="200" fontId="5" fillId="9" borderId="47" xfId="39" applyNumberFormat="1" applyFont="1" applyFill="1" applyBorder="1" applyProtection="1"/>
    <xf numFmtId="0" fontId="0" fillId="0" borderId="0" xfId="0" applyAlignment="1">
      <alignment horizontal="center" vertical="top" wrapText="1"/>
    </xf>
    <xf numFmtId="0" fontId="0" fillId="55" borderId="83" xfId="0" applyFill="1" applyBorder="1" applyAlignment="1">
      <alignment horizontal="right" vertical="top" wrapText="1"/>
    </xf>
    <xf numFmtId="44" fontId="23" fillId="2" borderId="45" xfId="39" applyNumberFormat="1" applyFont="1" applyFill="1" applyBorder="1" applyAlignment="1" applyProtection="1">
      <alignment horizontal="left" vertical="center"/>
      <protection locked="0"/>
    </xf>
    <xf numFmtId="0" fontId="14" fillId="0" borderId="8" xfId="0" applyFont="1" applyBorder="1" applyAlignment="1">
      <alignment wrapText="1"/>
    </xf>
    <xf numFmtId="0" fontId="0" fillId="0" borderId="10" xfId="0" applyBorder="1"/>
    <xf numFmtId="0" fontId="38" fillId="0" borderId="4" xfId="0" applyFont="1" applyBorder="1" applyAlignment="1">
      <alignment horizontal="center" vertical="center" wrapText="1"/>
    </xf>
    <xf numFmtId="168" fontId="19" fillId="0" borderId="0" xfId="39" applyFont="1" applyFill="1" applyProtection="1"/>
    <xf numFmtId="0" fontId="29" fillId="0" borderId="0" xfId="0" applyFont="1"/>
    <xf numFmtId="0" fontId="64" fillId="0" borderId="0" xfId="0" applyFont="1"/>
    <xf numFmtId="0" fontId="0" fillId="0" borderId="24" xfId="0" applyBorder="1" applyAlignment="1">
      <alignment horizontal="center"/>
    </xf>
    <xf numFmtId="0" fontId="99" fillId="2" borderId="0" xfId="0" applyFont="1" applyFill="1" applyAlignment="1">
      <alignment horizontal="left"/>
    </xf>
    <xf numFmtId="0" fontId="64" fillId="2" borderId="0" xfId="0" applyFont="1" applyFill="1" applyAlignment="1">
      <alignment horizontal="right" vertical="center"/>
    </xf>
    <xf numFmtId="0" fontId="64" fillId="2" borderId="0" xfId="0" applyFont="1" applyFill="1" applyAlignment="1">
      <alignment vertical="center"/>
    </xf>
    <xf numFmtId="1" fontId="23" fillId="3" borderId="4" xfId="27" applyNumberFormat="1" applyFont="1" applyFill="1" applyBorder="1" applyAlignment="1" applyProtection="1">
      <alignment horizontal="center"/>
      <protection locked="0"/>
    </xf>
    <xf numFmtId="0" fontId="34" fillId="0" borderId="0" xfId="0" applyFont="1"/>
    <xf numFmtId="14" fontId="0" fillId="0" borderId="0" xfId="0" applyNumberFormat="1" applyAlignment="1">
      <alignment vertical="top"/>
    </xf>
    <xf numFmtId="0" fontId="11" fillId="2" borderId="0" xfId="0" applyFont="1" applyFill="1" applyAlignment="1">
      <alignment horizontal="left" vertical="top"/>
    </xf>
    <xf numFmtId="0" fontId="10" fillId="2" borderId="0" xfId="0" applyFont="1" applyFill="1" applyAlignment="1">
      <alignment horizontal="left" vertical="center"/>
    </xf>
    <xf numFmtId="9" fontId="10" fillId="2" borderId="0" xfId="178" applyFont="1" applyFill="1" applyBorder="1" applyAlignment="1">
      <alignment horizontal="left"/>
    </xf>
    <xf numFmtId="180" fontId="6" fillId="2" borderId="0" xfId="231" applyNumberFormat="1" applyFont="1" applyFill="1" applyBorder="1" applyAlignment="1" applyProtection="1">
      <alignment horizontal="right"/>
      <protection locked="0"/>
    </xf>
    <xf numFmtId="180" fontId="10" fillId="2" borderId="0" xfId="24" applyNumberFormat="1" applyFont="1" applyFill="1" applyAlignment="1">
      <alignment horizontal="right"/>
    </xf>
    <xf numFmtId="179" fontId="10" fillId="2" borderId="0" xfId="24" applyNumberFormat="1" applyFont="1" applyFill="1" applyAlignment="1">
      <alignment horizontal="right"/>
    </xf>
    <xf numFmtId="0" fontId="2" fillId="2" borderId="0" xfId="0" applyFont="1" applyFill="1"/>
    <xf numFmtId="0" fontId="45" fillId="0" borderId="0" xfId="24" applyFont="1" applyProtection="1">
      <protection locked="0"/>
    </xf>
    <xf numFmtId="0" fontId="45" fillId="0" borderId="0" xfId="24" applyFont="1"/>
    <xf numFmtId="165" fontId="57" fillId="0" borderId="0" xfId="0" applyNumberFormat="1" applyFont="1" applyProtection="1">
      <protection locked="0"/>
    </xf>
    <xf numFmtId="0" fontId="57" fillId="0" borderId="0" xfId="0" applyFont="1" applyProtection="1">
      <protection locked="0"/>
    </xf>
    <xf numFmtId="168" fontId="107" fillId="2" borderId="45" xfId="39" applyFont="1" applyFill="1" applyBorder="1" applyAlignment="1" applyProtection="1">
      <alignment horizontal="left" vertical="center"/>
      <protection locked="0"/>
    </xf>
    <xf numFmtId="192" fontId="107" fillId="2" borderId="45" xfId="39" applyNumberFormat="1" applyFont="1" applyFill="1" applyBorder="1" applyAlignment="1" applyProtection="1">
      <alignment horizontal="left" vertical="center"/>
      <protection locked="0"/>
    </xf>
    <xf numFmtId="44" fontId="107" fillId="2" borderId="45" xfId="39" applyNumberFormat="1" applyFont="1" applyFill="1" applyBorder="1" applyAlignment="1" applyProtection="1">
      <alignment horizontal="left" vertical="center"/>
      <protection locked="0"/>
    </xf>
    <xf numFmtId="192" fontId="107" fillId="0" borderId="45" xfId="39" applyNumberFormat="1" applyFont="1" applyFill="1" applyBorder="1" applyAlignment="1" applyProtection="1">
      <alignment horizontal="left" vertical="center"/>
      <protection locked="0"/>
    </xf>
    <xf numFmtId="192" fontId="107" fillId="3" borderId="45" xfId="39" applyNumberFormat="1" applyFont="1" applyFill="1" applyBorder="1" applyAlignment="1" applyProtection="1">
      <alignment horizontal="left" vertical="center"/>
      <protection locked="0"/>
    </xf>
    <xf numFmtId="190" fontId="107" fillId="52" borderId="45" xfId="88" applyNumberFormat="1" applyFont="1" applyFill="1" applyBorder="1" applyAlignment="1" applyProtection="1">
      <alignment vertical="center"/>
      <protection locked="0"/>
    </xf>
    <xf numFmtId="168" fontId="107" fillId="0" borderId="8" xfId="39" applyFont="1" applyBorder="1" applyAlignment="1" applyProtection="1">
      <alignment vertical="center"/>
      <protection locked="0"/>
    </xf>
    <xf numFmtId="0" fontId="107" fillId="0" borderId="8" xfId="24" applyFont="1" applyBorder="1" applyAlignment="1" applyProtection="1">
      <alignment vertical="center"/>
      <protection locked="0"/>
    </xf>
    <xf numFmtId="190" fontId="107" fillId="2" borderId="45" xfId="88" applyNumberFormat="1" applyFont="1" applyFill="1" applyBorder="1" applyAlignment="1" applyProtection="1">
      <alignment vertical="center"/>
      <protection locked="0"/>
    </xf>
    <xf numFmtId="190" fontId="107" fillId="0" borderId="45" xfId="88" applyNumberFormat="1" applyFont="1" applyFill="1" applyBorder="1" applyAlignment="1" applyProtection="1">
      <alignment vertical="center"/>
      <protection locked="0"/>
    </xf>
    <xf numFmtId="0" fontId="107" fillId="0" borderId="45" xfId="24" applyFont="1" applyBorder="1" applyAlignment="1" applyProtection="1">
      <alignment vertical="center"/>
      <protection locked="0"/>
    </xf>
    <xf numFmtId="0" fontId="0" fillId="0" borderId="78" xfId="0" applyBorder="1"/>
    <xf numFmtId="182" fontId="0" fillId="0" borderId="78" xfId="0" applyNumberFormat="1" applyBorder="1"/>
    <xf numFmtId="10" fontId="0" fillId="0" borderId="78" xfId="0" applyNumberFormat="1" applyBorder="1"/>
    <xf numFmtId="194" fontId="0" fillId="0" borderId="78" xfId="0" applyNumberFormat="1" applyBorder="1"/>
    <xf numFmtId="0" fontId="11" fillId="0" borderId="4" xfId="277" applyFont="1" applyBorder="1" applyAlignment="1">
      <alignment wrapText="1"/>
    </xf>
    <xf numFmtId="0" fontId="11" fillId="0" borderId="4" xfId="278" applyFont="1" applyBorder="1" applyAlignment="1">
      <alignment wrapText="1"/>
    </xf>
    <xf numFmtId="0" fontId="14" fillId="0" borderId="4" xfId="277" applyFont="1" applyBorder="1" applyAlignment="1">
      <alignment wrapText="1"/>
    </xf>
    <xf numFmtId="0" fontId="14" fillId="0" borderId="4" xfId="277" applyFont="1" applyBorder="1" applyAlignment="1">
      <alignment horizontal="left" wrapText="1"/>
    </xf>
    <xf numFmtId="0" fontId="11" fillId="0" borderId="4" xfId="278" applyFont="1" applyBorder="1" applyAlignment="1">
      <alignment horizontal="center" wrapText="1"/>
    </xf>
    <xf numFmtId="0" fontId="109" fillId="57" borderId="15" xfId="0" applyFont="1" applyFill="1" applyBorder="1" applyAlignment="1">
      <alignment vertical="center"/>
    </xf>
    <xf numFmtId="0" fontId="109" fillId="57" borderId="14" xfId="0" applyFont="1" applyFill="1" applyBorder="1" applyAlignment="1">
      <alignment vertical="center" wrapText="1"/>
    </xf>
    <xf numFmtId="0" fontId="109" fillId="57" borderId="14" xfId="0" applyFont="1" applyFill="1" applyBorder="1" applyAlignment="1">
      <alignment vertical="center"/>
    </xf>
    <xf numFmtId="191" fontId="21" fillId="58" borderId="66" xfId="24" applyNumberFormat="1" applyFont="1" applyFill="1" applyBorder="1" applyProtection="1">
      <protection locked="0"/>
    </xf>
    <xf numFmtId="0" fontId="27" fillId="0" borderId="0" xfId="0" applyFont="1" applyAlignment="1">
      <alignment vertical="top"/>
    </xf>
    <xf numFmtId="0" fontId="38" fillId="4" borderId="96" xfId="0" applyFont="1" applyFill="1" applyBorder="1" applyAlignment="1" applyProtection="1">
      <alignment horizontal="center" vertical="center"/>
      <protection locked="0"/>
    </xf>
    <xf numFmtId="0" fontId="38" fillId="0" borderId="0" xfId="0" applyFont="1" applyAlignment="1">
      <alignment horizontal="left" vertical="center"/>
    </xf>
    <xf numFmtId="1" fontId="23" fillId="3" borderId="4" xfId="27" applyNumberFormat="1" applyFont="1" applyFill="1" applyBorder="1" applyAlignment="1" applyProtection="1">
      <alignment horizontal="center" vertical="center"/>
      <protection locked="0"/>
    </xf>
    <xf numFmtId="0" fontId="110" fillId="0" borderId="0" xfId="24" applyFont="1" applyProtection="1">
      <protection locked="0"/>
    </xf>
    <xf numFmtId="0" fontId="38" fillId="0" borderId="0" xfId="0" applyFont="1" applyAlignment="1">
      <alignment horizontal="right" vertical="center" wrapText="1" indent="2"/>
    </xf>
    <xf numFmtId="0" fontId="43" fillId="0" borderId="0" xfId="0" applyFont="1"/>
    <xf numFmtId="0" fontId="0" fillId="3" borderId="15" xfId="0" applyFill="1" applyBorder="1"/>
    <xf numFmtId="0" fontId="0" fillId="4" borderId="15" xfId="0" applyFill="1" applyBorder="1"/>
    <xf numFmtId="0" fontId="0" fillId="59" borderId="15" xfId="0" applyFill="1" applyBorder="1"/>
    <xf numFmtId="0" fontId="0" fillId="10" borderId="15" xfId="0" applyFill="1" applyBorder="1"/>
    <xf numFmtId="0" fontId="0" fillId="0" borderId="15" xfId="0" applyBorder="1"/>
    <xf numFmtId="0" fontId="38" fillId="0" borderId="0" xfId="0" applyFont="1" applyAlignment="1">
      <alignment horizontal="right" vertical="center"/>
    </xf>
    <xf numFmtId="0" fontId="0" fillId="0" borderId="0" xfId="0" applyAlignment="1">
      <alignment horizontal="right" vertical="center"/>
    </xf>
    <xf numFmtId="0" fontId="38" fillId="0" borderId="0" xfId="0" applyFont="1" applyAlignment="1">
      <alignment horizontal="right" vertical="center" indent="1"/>
    </xf>
    <xf numFmtId="0" fontId="9" fillId="0" borderId="0" xfId="0" applyFont="1" applyAlignment="1">
      <alignment horizontal="right" vertical="center"/>
    </xf>
    <xf numFmtId="0" fontId="38" fillId="0" borderId="0" xfId="0" applyFont="1" applyAlignment="1">
      <alignment horizontal="right" vertical="center" indent="2"/>
    </xf>
    <xf numFmtId="170" fontId="4" fillId="0" borderId="0" xfId="0" applyNumberFormat="1" applyFont="1" applyAlignment="1">
      <alignment horizontal="left"/>
    </xf>
    <xf numFmtId="0" fontId="36" fillId="0" borderId="0" xfId="0" applyFont="1" applyAlignment="1">
      <alignment horizontal="center" vertical="center"/>
    </xf>
    <xf numFmtId="0" fontId="111" fillId="0" borderId="0" xfId="0" applyFont="1"/>
    <xf numFmtId="0" fontId="0" fillId="0" borderId="4" xfId="0" applyBorder="1" applyAlignment="1">
      <alignment horizontal="center"/>
    </xf>
    <xf numFmtId="0" fontId="5" fillId="0" borderId="0" xfId="0" applyFont="1" applyAlignment="1">
      <alignment horizontal="left" vertical="top" wrapText="1"/>
    </xf>
    <xf numFmtId="0" fontId="0" fillId="0" borderId="0" xfId="0" applyAlignment="1">
      <alignment vertical="center"/>
    </xf>
    <xf numFmtId="171" fontId="0" fillId="0" borderId="0" xfId="0" applyNumberFormat="1"/>
    <xf numFmtId="0" fontId="0" fillId="2" borderId="0" xfId="0" applyFill="1" applyAlignment="1">
      <alignment horizontal="left"/>
    </xf>
    <xf numFmtId="2" fontId="0" fillId="0" borderId="0" xfId="0" applyNumberFormat="1"/>
    <xf numFmtId="0" fontId="112" fillId="0" borderId="0" xfId="0" applyFont="1"/>
    <xf numFmtId="0" fontId="114" fillId="0" borderId="34" xfId="0" applyFont="1" applyBorder="1"/>
    <xf numFmtId="0" fontId="29" fillId="0" borderId="79" xfId="0" applyFont="1" applyBorder="1" applyAlignment="1">
      <alignment vertical="top" wrapText="1"/>
    </xf>
    <xf numFmtId="0" fontId="0" fillId="0" borderId="4" xfId="0" applyBorder="1" applyAlignment="1">
      <alignment wrapText="1"/>
    </xf>
    <xf numFmtId="0" fontId="0" fillId="62" borderId="4" xfId="0" applyFill="1" applyBorder="1"/>
    <xf numFmtId="0" fontId="0" fillId="62" borderId="4" xfId="0" applyFill="1" applyBorder="1" applyAlignment="1">
      <alignment wrapText="1"/>
    </xf>
    <xf numFmtId="0" fontId="0" fillId="63" borderId="4" xfId="0" applyFill="1" applyBorder="1" applyAlignment="1">
      <alignment wrapText="1"/>
    </xf>
    <xf numFmtId="0" fontId="7" fillId="0" borderId="0" xfId="0" applyFont="1"/>
    <xf numFmtId="0" fontId="14" fillId="0" borderId="0" xfId="0" applyFont="1" applyAlignment="1">
      <alignment horizontal="left" wrapText="1"/>
    </xf>
    <xf numFmtId="0" fontId="7" fillId="0" borderId="0" xfId="0" applyFont="1" applyAlignment="1">
      <alignment wrapText="1"/>
    </xf>
    <xf numFmtId="0" fontId="14" fillId="0" borderId="0" xfId="0" applyFont="1" applyAlignment="1">
      <alignment horizontal="left" vertical="center" wrapText="1"/>
    </xf>
    <xf numFmtId="0" fontId="14" fillId="0" borderId="4" xfId="0" applyFont="1" applyBorder="1" applyAlignment="1">
      <alignment horizontal="center" vertical="center" wrapText="1"/>
    </xf>
    <xf numFmtId="0" fontId="116" fillId="0" borderId="0" xfId="0" applyFont="1" applyAlignment="1">
      <alignment horizontal="left" wrapText="1"/>
    </xf>
    <xf numFmtId="0" fontId="116" fillId="0" borderId="24" xfId="0" applyFont="1" applyBorder="1" applyAlignment="1">
      <alignment horizontal="center" wrapText="1"/>
    </xf>
    <xf numFmtId="0" fontId="116" fillId="0" borderId="0" xfId="0" applyFont="1"/>
    <xf numFmtId="190" fontId="7" fillId="0" borderId="0" xfId="0" applyNumberFormat="1" applyFont="1"/>
    <xf numFmtId="0" fontId="14" fillId="0" borderId="4" xfId="0" applyFont="1" applyBorder="1" applyAlignment="1">
      <alignment horizontal="left" wrapText="1"/>
    </xf>
    <xf numFmtId="0" fontId="11" fillId="0" borderId="4" xfId="0" applyFont="1" applyBorder="1" applyAlignment="1">
      <alignment horizontal="center" wrapText="1"/>
    </xf>
    <xf numFmtId="0" fontId="0" fillId="0" borderId="93" xfId="0" applyBorder="1" applyAlignment="1">
      <alignment horizontal="right" vertical="top"/>
    </xf>
    <xf numFmtId="0" fontId="3" fillId="61" borderId="27" xfId="0" applyFont="1" applyFill="1" applyBorder="1" applyAlignment="1">
      <alignment horizontal="center" vertical="center" wrapText="1"/>
    </xf>
    <xf numFmtId="0" fontId="3" fillId="61" borderId="28" xfId="0" applyFont="1" applyFill="1" applyBorder="1" applyAlignment="1">
      <alignment horizontal="center" vertical="top"/>
    </xf>
    <xf numFmtId="0" fontId="3" fillId="61" borderId="14" xfId="0" applyFont="1" applyFill="1" applyBorder="1" applyAlignment="1">
      <alignment vertical="top" wrapText="1"/>
    </xf>
    <xf numFmtId="194" fontId="11" fillId="0" borderId="14" xfId="168" applyNumberFormat="1" applyFont="1" applyFill="1" applyBorder="1" applyProtection="1"/>
    <xf numFmtId="0" fontId="45" fillId="0" borderId="0" xfId="0" applyFont="1"/>
    <xf numFmtId="194" fontId="11" fillId="0" borderId="14" xfId="168" applyNumberFormat="1" applyFont="1" applyFill="1" applyBorder="1" applyAlignment="1" applyProtection="1">
      <alignment vertical="center"/>
    </xf>
    <xf numFmtId="197" fontId="11" fillId="0" borderId="0" xfId="169" applyNumberFormat="1" applyFont="1" applyFill="1" applyProtection="1"/>
    <xf numFmtId="0" fontId="14" fillId="0" borderId="24" xfId="0" applyFont="1" applyBorder="1" applyAlignment="1">
      <alignment horizontal="center" wrapText="1"/>
    </xf>
    <xf numFmtId="190" fontId="11" fillId="0" borderId="4" xfId="0" applyNumberFormat="1" applyFont="1" applyBorder="1" applyAlignment="1">
      <alignment horizontal="center" wrapText="1"/>
    </xf>
    <xf numFmtId="190" fontId="11" fillId="0" borderId="4" xfId="0" applyNumberFormat="1" applyFont="1" applyBorder="1" applyAlignment="1">
      <alignment horizontal="center"/>
    </xf>
    <xf numFmtId="10" fontId="11" fillId="0" borderId="4" xfId="0" applyNumberFormat="1" applyFont="1" applyBorder="1"/>
    <xf numFmtId="194" fontId="11" fillId="0" borderId="4" xfId="0" applyNumberFormat="1" applyFont="1" applyBorder="1"/>
    <xf numFmtId="0" fontId="11" fillId="0" borderId="22" xfId="0" applyFont="1" applyBorder="1"/>
    <xf numFmtId="10" fontId="11" fillId="0" borderId="22" xfId="0" applyNumberFormat="1" applyFont="1" applyBorder="1"/>
    <xf numFmtId="194" fontId="11" fillId="0" borderId="22" xfId="0" applyNumberFormat="1" applyFont="1" applyBorder="1"/>
    <xf numFmtId="0" fontId="38" fillId="0" borderId="4" xfId="0" applyFont="1" applyBorder="1" applyAlignment="1" applyProtection="1">
      <alignment horizontal="center" vertical="center" wrapText="1"/>
      <protection locked="0"/>
    </xf>
    <xf numFmtId="180" fontId="10" fillId="2" borderId="0" xfId="0" applyNumberFormat="1" applyFont="1" applyFill="1" applyAlignment="1">
      <alignment horizontal="right"/>
    </xf>
    <xf numFmtId="179" fontId="10" fillId="2" borderId="0" xfId="0" applyNumberFormat="1" applyFont="1" applyFill="1" applyAlignment="1">
      <alignment horizontal="right"/>
    </xf>
    <xf numFmtId="0" fontId="6" fillId="2" borderId="0" xfId="0" applyFont="1" applyFill="1" applyAlignment="1">
      <alignment horizontal="left"/>
    </xf>
    <xf numFmtId="179" fontId="6" fillId="2" borderId="0" xfId="0" applyNumberFormat="1" applyFont="1" applyFill="1" applyAlignment="1">
      <alignment horizontal="right"/>
    </xf>
    <xf numFmtId="180" fontId="6" fillId="2" borderId="0" xfId="0" applyNumberFormat="1" applyFont="1" applyFill="1" applyAlignment="1">
      <alignment horizontal="right"/>
    </xf>
    <xf numFmtId="49" fontId="41" fillId="0" borderId="0" xfId="0" applyNumberFormat="1" applyFont="1" applyAlignment="1">
      <alignment horizontal="center"/>
    </xf>
    <xf numFmtId="0" fontId="10" fillId="2" borderId="0" xfId="0" applyFont="1" applyFill="1" applyAlignment="1">
      <alignment horizontal="left" vertical="top"/>
    </xf>
    <xf numFmtId="0" fontId="0" fillId="2" borderId="0" xfId="0" applyFill="1" applyAlignment="1">
      <alignment wrapText="1"/>
    </xf>
    <xf numFmtId="0" fontId="10" fillId="2" borderId="0" xfId="0" applyFont="1" applyFill="1" applyAlignment="1">
      <alignment horizontal="left"/>
    </xf>
    <xf numFmtId="0" fontId="10" fillId="2" borderId="0" xfId="0" applyFont="1" applyFill="1" applyAlignment="1">
      <alignment vertical="center"/>
    </xf>
    <xf numFmtId="180" fontId="10" fillId="2" borderId="0" xfId="0" applyNumberFormat="1" applyFont="1" applyFill="1" applyAlignment="1">
      <alignment horizontal="left"/>
    </xf>
    <xf numFmtId="0" fontId="60" fillId="2" borderId="0" xfId="0" applyFont="1" applyFill="1" applyAlignment="1">
      <alignment horizontal="left"/>
    </xf>
    <xf numFmtId="0" fontId="10" fillId="2" borderId="77" xfId="106" applyFont="1" applyFill="1" applyBorder="1" applyAlignment="1" applyProtection="1">
      <alignment horizontal="left"/>
      <protection locked="0"/>
    </xf>
    <xf numFmtId="0" fontId="12" fillId="2" borderId="0" xfId="0" applyFont="1" applyFill="1" applyAlignment="1">
      <alignment vertical="center"/>
    </xf>
    <xf numFmtId="0" fontId="108" fillId="2" borderId="96" xfId="0" applyFont="1" applyFill="1" applyBorder="1" applyAlignment="1">
      <alignment horizontal="center" vertical="center"/>
    </xf>
    <xf numFmtId="10" fontId="3" fillId="0" borderId="4" xfId="279" applyNumberFormat="1" applyFont="1" applyBorder="1" applyProtection="1"/>
    <xf numFmtId="0" fontId="38"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38" fillId="4" borderId="107" xfId="0" applyFont="1" applyFill="1" applyBorder="1" applyAlignment="1" applyProtection="1">
      <alignment horizontal="center" vertical="center"/>
      <protection locked="0"/>
    </xf>
    <xf numFmtId="0" fontId="0" fillId="0" borderId="0" xfId="0" applyAlignment="1">
      <alignment horizontal="left" indent="1"/>
    </xf>
    <xf numFmtId="0" fontId="38" fillId="0" borderId="0" xfId="0" applyFont="1" applyAlignment="1">
      <alignment horizontal="left" vertical="center" wrapText="1" indent="1"/>
    </xf>
    <xf numFmtId="0" fontId="66" fillId="0" borderId="0" xfId="0" applyFont="1" applyAlignment="1">
      <alignment horizontal="left" vertical="center" wrapText="1"/>
    </xf>
    <xf numFmtId="0" fontId="3" fillId="0" borderId="0" xfId="0" applyFont="1" applyAlignment="1">
      <alignment vertical="center" wrapText="1"/>
    </xf>
    <xf numFmtId="0" fontId="0" fillId="4" borderId="4" xfId="0" applyFill="1" applyBorder="1" applyAlignment="1" applyProtection="1">
      <alignment horizontal="center" vertical="center"/>
      <protection locked="0"/>
    </xf>
    <xf numFmtId="190" fontId="0" fillId="3" borderId="4" xfId="162" applyNumberFormat="1" applyFont="1" applyFill="1" applyBorder="1" applyAlignment="1" applyProtection="1">
      <alignment horizontal="center" vertical="center"/>
      <protection locked="0"/>
    </xf>
    <xf numFmtId="0" fontId="29" fillId="0" borderId="93" xfId="0" applyFont="1" applyBorder="1" applyAlignment="1">
      <alignment horizontal="right" vertical="top"/>
    </xf>
    <xf numFmtId="0" fontId="29" fillId="0" borderId="90" xfId="0" applyFont="1" applyBorder="1" applyAlignment="1">
      <alignment horizontal="right" vertical="top"/>
    </xf>
    <xf numFmtId="0" fontId="0" fillId="0" borderId="62" xfId="0" applyBorder="1" applyAlignment="1">
      <alignment horizontal="right" vertical="top"/>
    </xf>
    <xf numFmtId="180" fontId="10" fillId="2" borderId="0" xfId="0" applyNumberFormat="1" applyFont="1" applyFill="1" applyAlignment="1" applyProtection="1">
      <alignment horizontal="right"/>
      <protection locked="0"/>
    </xf>
    <xf numFmtId="179" fontId="10" fillId="2" borderId="0" xfId="0" applyNumberFormat="1" applyFont="1" applyFill="1" applyAlignment="1" applyProtection="1">
      <alignment horizontal="right"/>
      <protection locked="0"/>
    </xf>
    <xf numFmtId="0" fontId="64" fillId="2" borderId="0" xfId="0" applyFont="1" applyFill="1" applyAlignment="1" applyProtection="1">
      <alignment vertical="top"/>
      <protection locked="0"/>
    </xf>
    <xf numFmtId="0" fontId="64" fillId="2" borderId="0" xfId="0" applyFont="1" applyFill="1" applyAlignment="1" applyProtection="1">
      <alignment horizontal="right" vertical="top"/>
      <protection locked="0"/>
    </xf>
    <xf numFmtId="179" fontId="6" fillId="2" borderId="0" xfId="0" applyNumberFormat="1" applyFont="1" applyFill="1" applyAlignment="1" applyProtection="1">
      <alignment horizontal="right"/>
      <protection locked="0"/>
    </xf>
    <xf numFmtId="0" fontId="0" fillId="2" borderId="0" xfId="0" applyFill="1" applyAlignment="1" applyProtection="1">
      <alignment vertical="top"/>
      <protection locked="0"/>
    </xf>
    <xf numFmtId="0" fontId="0" fillId="2" borderId="0" xfId="0" applyFill="1" applyAlignment="1" applyProtection="1">
      <alignment horizontal="right" vertical="top"/>
      <protection locked="0"/>
    </xf>
    <xf numFmtId="0" fontId="10" fillId="2" borderId="0" xfId="0" applyFont="1" applyFill="1" applyAlignment="1" applyProtection="1">
      <alignment horizontal="left" vertical="top"/>
      <protection locked="0"/>
    </xf>
    <xf numFmtId="0" fontId="10" fillId="2" borderId="0" xfId="0" applyFont="1" applyFill="1" applyAlignment="1" applyProtection="1">
      <alignment vertical="top"/>
      <protection locked="0"/>
    </xf>
    <xf numFmtId="0" fontId="10" fillId="2" borderId="0" xfId="0" applyFont="1" applyFill="1" applyAlignment="1" applyProtection="1">
      <alignment horizontal="right" vertical="top"/>
      <protection locked="0"/>
    </xf>
    <xf numFmtId="180" fontId="10" fillId="2" borderId="0" xfId="0" applyNumberFormat="1" applyFont="1" applyFill="1" applyAlignment="1" applyProtection="1">
      <alignment horizontal="right" vertical="top"/>
      <protection locked="0"/>
    </xf>
    <xf numFmtId="0" fontId="10" fillId="2" borderId="0" xfId="0" applyFont="1" applyFill="1" applyProtection="1">
      <protection locked="0"/>
    </xf>
    <xf numFmtId="0" fontId="10" fillId="2" borderId="0" xfId="0" applyFont="1" applyFill="1" applyAlignment="1" applyProtection="1">
      <alignment horizontal="right"/>
      <protection locked="0"/>
    </xf>
    <xf numFmtId="0" fontId="10" fillId="2" borderId="0" xfId="24" applyFont="1" applyFill="1" applyAlignment="1" applyProtection="1">
      <alignment horizontal="left"/>
      <protection locked="0"/>
    </xf>
    <xf numFmtId="180" fontId="10" fillId="2" borderId="0" xfId="24" applyNumberFormat="1" applyFont="1" applyFill="1" applyAlignment="1" applyProtection="1">
      <alignment horizontal="right"/>
      <protection locked="0"/>
    </xf>
    <xf numFmtId="179" fontId="10" fillId="2" borderId="0" xfId="24" applyNumberFormat="1" applyFont="1" applyFill="1" applyAlignment="1" applyProtection="1">
      <alignment horizontal="right"/>
      <protection locked="0"/>
    </xf>
    <xf numFmtId="0" fontId="6" fillId="2" borderId="0" xfId="24" applyFont="1" applyFill="1" applyAlignment="1" applyProtection="1">
      <alignment horizontal="left"/>
      <protection locked="0"/>
    </xf>
    <xf numFmtId="179" fontId="6" fillId="2" borderId="0" xfId="24" applyNumberFormat="1" applyFont="1" applyFill="1" applyAlignment="1" applyProtection="1">
      <alignment horizontal="right"/>
      <protection locked="0"/>
    </xf>
    <xf numFmtId="180" fontId="6" fillId="2" borderId="0" xfId="24" applyNumberFormat="1" applyFont="1" applyFill="1" applyAlignment="1" applyProtection="1">
      <alignment horizontal="right"/>
      <protection locked="0"/>
    </xf>
    <xf numFmtId="0" fontId="59" fillId="2" borderId="0" xfId="160" applyFont="1" applyFill="1" applyProtection="1">
      <protection locked="0"/>
    </xf>
    <xf numFmtId="196" fontId="6" fillId="2" borderId="0" xfId="160" applyNumberFormat="1" applyFont="1" applyFill="1" applyAlignment="1" applyProtection="1">
      <alignment horizontal="left"/>
      <protection locked="0"/>
    </xf>
    <xf numFmtId="0" fontId="59" fillId="2" borderId="0" xfId="160" applyFont="1" applyFill="1" applyAlignment="1" applyProtection="1">
      <alignment horizontal="left" indent="2"/>
      <protection locked="0"/>
    </xf>
    <xf numFmtId="15" fontId="23" fillId="2" borderId="0" xfId="160" applyNumberFormat="1" applyFont="1" applyFill="1" applyAlignment="1" applyProtection="1">
      <alignment horizontal="left" vertical="top"/>
      <protection locked="0"/>
    </xf>
    <xf numFmtId="0" fontId="5" fillId="2" borderId="0" xfId="160" applyFill="1" applyProtection="1">
      <protection locked="0"/>
    </xf>
    <xf numFmtId="0" fontId="5" fillId="2" borderId="0" xfId="160" applyFill="1" applyAlignment="1" applyProtection="1">
      <alignment horizontal="left" indent="2"/>
      <protection locked="0"/>
    </xf>
    <xf numFmtId="0" fontId="6" fillId="2" borderId="0" xfId="160" applyFont="1" applyFill="1" applyAlignment="1" applyProtection="1">
      <alignment horizontal="left" indent="2"/>
      <protection locked="0"/>
    </xf>
    <xf numFmtId="0" fontId="10" fillId="2" borderId="0" xfId="24" applyFont="1" applyFill="1" applyAlignment="1" applyProtection="1">
      <alignment horizontal="right"/>
      <protection locked="0"/>
    </xf>
    <xf numFmtId="0" fontId="5" fillId="2" borderId="0" xfId="24" applyFill="1" applyAlignment="1" applyProtection="1">
      <alignment horizontal="left" vertical="center"/>
      <protection locked="0"/>
    </xf>
    <xf numFmtId="0" fontId="10" fillId="2" borderId="0" xfId="24" applyFont="1" applyFill="1" applyAlignment="1" applyProtection="1">
      <alignment horizontal="right" vertical="center"/>
      <protection locked="0"/>
    </xf>
    <xf numFmtId="0" fontId="6" fillId="2" borderId="0" xfId="160" applyFont="1" applyFill="1" applyAlignment="1" applyProtection="1">
      <alignment horizontal="left" vertical="top"/>
      <protection locked="0"/>
    </xf>
    <xf numFmtId="180" fontId="6" fillId="2" borderId="0" xfId="160" applyNumberFormat="1" applyFont="1" applyFill="1" applyAlignment="1" applyProtection="1">
      <alignment horizontal="right" vertical="top"/>
      <protection locked="0"/>
    </xf>
    <xf numFmtId="0" fontId="6" fillId="2" borderId="0" xfId="24" applyFont="1" applyFill="1" applyProtection="1">
      <protection locked="0"/>
    </xf>
    <xf numFmtId="0" fontId="6" fillId="2" borderId="0" xfId="160" applyFont="1" applyFill="1" applyAlignment="1" applyProtection="1">
      <alignment horizontal="right" vertical="top"/>
      <protection locked="0"/>
    </xf>
    <xf numFmtId="0" fontId="6" fillId="2" borderId="0" xfId="160" applyFont="1" applyFill="1" applyAlignment="1" applyProtection="1">
      <alignment horizontal="left"/>
      <protection locked="0"/>
    </xf>
    <xf numFmtId="180" fontId="6" fillId="2" borderId="0" xfId="160" applyNumberFormat="1" applyFont="1" applyFill="1" applyAlignment="1" applyProtection="1">
      <alignment horizontal="right"/>
      <protection locked="0"/>
    </xf>
    <xf numFmtId="0" fontId="64" fillId="2" borderId="0" xfId="0" applyFont="1" applyFill="1" applyProtection="1">
      <protection locked="0"/>
    </xf>
    <xf numFmtId="0" fontId="64" fillId="2" borderId="0" xfId="0" applyFont="1" applyFill="1" applyAlignment="1" applyProtection="1">
      <alignment horizontal="right"/>
      <protection locked="0"/>
    </xf>
    <xf numFmtId="0" fontId="0" fillId="2" borderId="0" xfId="0" applyFill="1" applyAlignment="1" applyProtection="1">
      <alignment horizontal="right"/>
      <protection locked="0"/>
    </xf>
    <xf numFmtId="180" fontId="10" fillId="2" borderId="0" xfId="0" applyNumberFormat="1" applyFont="1" applyFill="1" applyAlignment="1" applyProtection="1">
      <alignment horizontal="right" vertical="center"/>
      <protection locked="0"/>
    </xf>
    <xf numFmtId="0" fontId="10" fillId="2" borderId="0" xfId="0" applyFont="1" applyFill="1" applyAlignment="1" applyProtection="1">
      <alignment vertical="center"/>
      <protection locked="0"/>
    </xf>
    <xf numFmtId="0" fontId="10" fillId="2" borderId="0" xfId="0" applyFont="1" applyFill="1" applyAlignment="1" applyProtection="1">
      <alignment horizontal="right" vertical="center"/>
      <protection locked="0"/>
    </xf>
    <xf numFmtId="0" fontId="10" fillId="2" borderId="0" xfId="106" applyFont="1" applyFill="1" applyAlignment="1" applyProtection="1">
      <alignment horizontal="left"/>
      <protection locked="0"/>
    </xf>
    <xf numFmtId="0" fontId="6" fillId="2" borderId="0" xfId="106" applyFont="1" applyFill="1" applyAlignment="1" applyProtection="1">
      <alignment horizontal="left"/>
      <protection locked="0"/>
    </xf>
    <xf numFmtId="0" fontId="98" fillId="2" borderId="0" xfId="0" applyFont="1" applyFill="1" applyAlignment="1" applyProtection="1">
      <alignment horizontal="left"/>
      <protection locked="0"/>
    </xf>
    <xf numFmtId="0" fontId="98" fillId="2" borderId="0" xfId="0" applyFont="1" applyFill="1" applyAlignment="1" applyProtection="1">
      <alignment horizontal="right"/>
      <protection locked="0"/>
    </xf>
    <xf numFmtId="0" fontId="0" fillId="2" borderId="0" xfId="0" applyFill="1" applyAlignment="1">
      <alignment horizontal="right"/>
    </xf>
    <xf numFmtId="0" fontId="10" fillId="2" borderId="0" xfId="0" applyFont="1" applyFill="1" applyAlignment="1">
      <alignment horizontal="right"/>
    </xf>
    <xf numFmtId="0" fontId="10" fillId="2" borderId="0" xfId="0" applyFont="1" applyFill="1" applyAlignment="1">
      <alignment horizontal="right" vertical="center"/>
    </xf>
    <xf numFmtId="180" fontId="92" fillId="2" borderId="0" xfId="0" applyNumberFormat="1" applyFont="1" applyFill="1" applyAlignment="1" applyProtection="1">
      <alignment horizontal="right"/>
      <protection locked="0"/>
    </xf>
    <xf numFmtId="0" fontId="2" fillId="2" borderId="0" xfId="0" applyFont="1" applyFill="1" applyAlignment="1">
      <alignment horizontal="right"/>
    </xf>
    <xf numFmtId="0" fontId="10" fillId="2" borderId="0" xfId="0" applyFont="1" applyFill="1" applyAlignment="1" applyProtection="1">
      <alignment horizontal="left" indent="2"/>
      <protection locked="0"/>
    </xf>
    <xf numFmtId="0" fontId="64" fillId="2" borderId="0" xfId="0" applyFont="1" applyFill="1" applyAlignment="1">
      <alignment horizontal="right" vertical="top"/>
    </xf>
    <xf numFmtId="0" fontId="0" fillId="2" borderId="0" xfId="0" applyFill="1" applyAlignment="1">
      <alignment horizontal="right" vertical="top"/>
    </xf>
    <xf numFmtId="0" fontId="10" fillId="2" borderId="0" xfId="0" applyFont="1" applyFill="1" applyAlignment="1">
      <alignment horizontal="right" vertical="top"/>
    </xf>
    <xf numFmtId="0" fontId="63" fillId="2" borderId="0" xfId="0" applyFont="1" applyFill="1" applyAlignment="1" applyProtection="1">
      <alignment horizontal="left"/>
      <protection locked="0"/>
    </xf>
    <xf numFmtId="0" fontId="0" fillId="2" borderId="0" xfId="0" applyFill="1" applyAlignment="1" applyProtection="1">
      <alignment vertical="center"/>
      <protection locked="0"/>
    </xf>
    <xf numFmtId="0" fontId="64" fillId="2" borderId="0" xfId="0" applyFont="1" applyFill="1" applyAlignment="1" applyProtection="1">
      <alignment vertical="center"/>
      <protection locked="0"/>
    </xf>
    <xf numFmtId="0" fontId="64" fillId="2" borderId="0" xfId="0" applyFont="1" applyFill="1" applyAlignment="1" applyProtection="1">
      <alignment horizontal="right" vertical="center"/>
      <protection locked="0"/>
    </xf>
    <xf numFmtId="0" fontId="6" fillId="2" borderId="0" xfId="0" applyFont="1" applyFill="1" applyAlignment="1" applyProtection="1">
      <alignment horizontal="left"/>
      <protection locked="0"/>
    </xf>
    <xf numFmtId="180" fontId="6" fillId="2" borderId="0" xfId="0" applyNumberFormat="1" applyFont="1" applyFill="1" applyAlignment="1" applyProtection="1">
      <alignment horizontal="right"/>
      <protection locked="0"/>
    </xf>
    <xf numFmtId="0" fontId="0" fillId="2" borderId="0" xfId="0" applyFill="1" applyAlignment="1" applyProtection="1">
      <alignment horizontal="right" vertical="center"/>
      <protection locked="0"/>
    </xf>
    <xf numFmtId="181" fontId="5" fillId="0" borderId="45" xfId="24" applyNumberFormat="1" applyBorder="1" applyAlignment="1" applyProtection="1">
      <alignment vertical="top"/>
      <protection locked="0"/>
    </xf>
    <xf numFmtId="0" fontId="29" fillId="0" borderId="0" xfId="317" applyFont="1" applyAlignment="1">
      <alignment wrapText="1"/>
    </xf>
    <xf numFmtId="0" fontId="29" fillId="0" borderId="0" xfId="0" applyFont="1" applyAlignment="1">
      <alignment vertical="top" wrapText="1"/>
    </xf>
    <xf numFmtId="0" fontId="112" fillId="0" borderId="65" xfId="0" applyFont="1" applyBorder="1"/>
    <xf numFmtId="0" fontId="0" fillId="0" borderId="45" xfId="0" applyBorder="1" applyAlignment="1">
      <alignment horizontal="center" vertical="top"/>
    </xf>
    <xf numFmtId="0" fontId="0" fillId="0" borderId="79" xfId="0" applyBorder="1" applyAlignment="1">
      <alignment vertical="top" wrapText="1"/>
    </xf>
    <xf numFmtId="0" fontId="115" fillId="0" borderId="79" xfId="0" applyFont="1" applyBorder="1" applyAlignment="1">
      <alignment vertical="top" wrapText="1"/>
    </xf>
    <xf numFmtId="0" fontId="0" fillId="0" borderId="26" xfId="0" applyBorder="1" applyAlignment="1">
      <alignment horizontal="center" vertical="top"/>
    </xf>
    <xf numFmtId="0" fontId="0" fillId="0" borderId="99" xfId="0" applyBorder="1" applyAlignment="1">
      <alignment vertical="top" wrapText="1"/>
    </xf>
    <xf numFmtId="0" fontId="0" fillId="0" borderId="79" xfId="0" applyBorder="1" applyAlignment="1">
      <alignment horizontal="left" vertical="top" wrapText="1"/>
    </xf>
    <xf numFmtId="0" fontId="0" fillId="0" borderId="24" xfId="0" applyBorder="1" applyAlignment="1">
      <alignment horizontal="center" vertical="top"/>
    </xf>
    <xf numFmtId="0" fontId="0" fillId="0" borderId="100" xfId="0" applyBorder="1" applyAlignment="1">
      <alignment horizontal="left" vertical="top" wrapText="1"/>
    </xf>
    <xf numFmtId="0" fontId="0" fillId="0" borderId="101" xfId="0" applyBorder="1" applyAlignment="1">
      <alignment horizontal="left" vertical="top" wrapText="1"/>
    </xf>
    <xf numFmtId="0" fontId="0" fillId="0" borderId="31" xfId="0" applyBorder="1" applyAlignment="1">
      <alignment vertical="top" wrapText="1"/>
    </xf>
    <xf numFmtId="0" fontId="34" fillId="0" borderId="79" xfId="0" applyFont="1" applyBorder="1" applyAlignment="1">
      <alignment vertical="top" wrapText="1"/>
    </xf>
    <xf numFmtId="0" fontId="34" fillId="0" borderId="79" xfId="0" applyFont="1" applyBorder="1" applyAlignment="1">
      <alignment horizontal="left" vertical="top" wrapText="1"/>
    </xf>
    <xf numFmtId="0" fontId="0" fillId="0" borderId="31" xfId="0" applyBorder="1" applyAlignment="1">
      <alignment horizontal="left" vertical="top" wrapText="1"/>
    </xf>
    <xf numFmtId="0" fontId="34" fillId="0" borderId="31" xfId="0" applyFont="1" applyBorder="1" applyAlignment="1">
      <alignment horizontal="left" vertical="top" wrapText="1"/>
    </xf>
    <xf numFmtId="0" fontId="0" fillId="0" borderId="105" xfId="0" applyBorder="1" applyAlignment="1">
      <alignment horizontal="center" vertical="top"/>
    </xf>
    <xf numFmtId="0" fontId="0" fillId="0" borderId="91" xfId="0" applyBorder="1" applyAlignment="1">
      <alignment vertical="top" wrapText="1"/>
    </xf>
    <xf numFmtId="15" fontId="40" fillId="2" borderId="0" xfId="160" applyNumberFormat="1" applyFont="1" applyFill="1" applyAlignment="1">
      <alignment horizontal="left" vertical="top" wrapText="1"/>
    </xf>
    <xf numFmtId="15" fontId="23" fillId="2" borderId="0" xfId="160" applyNumberFormat="1" applyFont="1" applyFill="1" applyAlignment="1">
      <alignment horizontal="left" vertical="top" wrapText="1"/>
    </xf>
    <xf numFmtId="15" fontId="84" fillId="2" borderId="0" xfId="160" applyNumberFormat="1" applyFont="1" applyFill="1" applyAlignment="1">
      <alignment horizontal="left" vertical="center" wrapText="1"/>
    </xf>
    <xf numFmtId="0" fontId="64" fillId="2" borderId="0" xfId="0" applyFont="1" applyFill="1" applyAlignment="1">
      <alignment horizontal="center" vertical="center"/>
    </xf>
    <xf numFmtId="15" fontId="40" fillId="2" borderId="0" xfId="160" applyNumberFormat="1" applyFont="1" applyFill="1" applyAlignment="1">
      <alignment horizontal="left" vertical="center" wrapText="1"/>
    </xf>
    <xf numFmtId="15" fontId="23" fillId="2" borderId="0" xfId="160" applyNumberFormat="1" applyFont="1" applyFill="1" applyAlignment="1">
      <alignment horizontal="left" wrapText="1"/>
    </xf>
    <xf numFmtId="0" fontId="7" fillId="2" borderId="0" xfId="0" applyFont="1" applyFill="1" applyAlignment="1">
      <alignment horizontal="center" vertical="center"/>
    </xf>
    <xf numFmtId="0" fontId="7" fillId="2" borderId="0" xfId="0" applyFont="1" applyFill="1" applyAlignment="1">
      <alignment horizontal="right" vertical="top"/>
    </xf>
    <xf numFmtId="0" fontId="6" fillId="2" borderId="0" xfId="161" applyFont="1" applyFill="1" applyAlignment="1" applyProtection="1">
      <alignment horizontal="left"/>
      <protection locked="0"/>
    </xf>
    <xf numFmtId="0" fontId="6" fillId="2" borderId="0" xfId="24" applyFont="1" applyFill="1" applyAlignment="1">
      <alignment horizontal="left"/>
    </xf>
    <xf numFmtId="0" fontId="6" fillId="2" borderId="0" xfId="160" applyFont="1" applyFill="1" applyAlignment="1" applyProtection="1">
      <alignment horizontal="right"/>
      <protection locked="0"/>
    </xf>
    <xf numFmtId="0" fontId="117" fillId="2" borderId="0" xfId="0" applyFont="1" applyFill="1" applyAlignment="1">
      <alignment horizontal="left"/>
    </xf>
    <xf numFmtId="0" fontId="117" fillId="2" borderId="0" xfId="0" applyFont="1" applyFill="1" applyAlignment="1">
      <alignment horizontal="right"/>
    </xf>
    <xf numFmtId="0" fontId="63" fillId="2" borderId="0" xfId="0" applyFont="1" applyFill="1" applyAlignment="1">
      <alignment horizontal="right"/>
    </xf>
    <xf numFmtId="0" fontId="10" fillId="2" borderId="0" xfId="0" applyFont="1" applyFill="1" applyAlignment="1">
      <alignment horizontal="right" wrapText="1"/>
    </xf>
    <xf numFmtId="0" fontId="6" fillId="2" borderId="0" xfId="24" applyFont="1" applyFill="1" applyAlignment="1" applyProtection="1">
      <alignment horizontal="right"/>
      <protection locked="0"/>
    </xf>
    <xf numFmtId="15" fontId="40" fillId="2" borderId="0" xfId="160" applyNumberFormat="1" applyFont="1" applyFill="1" applyAlignment="1">
      <alignment horizontal="left" vertical="top"/>
    </xf>
    <xf numFmtId="15" fontId="40" fillId="2" borderId="0" xfId="160" applyNumberFormat="1" applyFont="1" applyFill="1" applyAlignment="1">
      <alignment vertical="center"/>
    </xf>
    <xf numFmtId="0" fontId="5" fillId="2" borderId="0" xfId="160" applyFill="1" applyAlignment="1">
      <alignment vertical="center"/>
    </xf>
    <xf numFmtId="0" fontId="5" fillId="2" borderId="0" xfId="160" applyFill="1"/>
    <xf numFmtId="15" fontId="23" fillId="2" borderId="0" xfId="160" applyNumberFormat="1" applyFont="1" applyFill="1" applyAlignment="1">
      <alignment horizontal="left" vertical="top"/>
    </xf>
    <xf numFmtId="15" fontId="23" fillId="2" borderId="0" xfId="160" applyNumberFormat="1" applyFont="1" applyFill="1" applyAlignment="1">
      <alignment vertical="center"/>
    </xf>
    <xf numFmtId="0" fontId="6" fillId="2" borderId="0" xfId="160" applyFont="1" applyFill="1" applyAlignment="1" applyProtection="1">
      <alignment horizontal="center" vertical="top"/>
      <protection locked="0"/>
    </xf>
    <xf numFmtId="0" fontId="6" fillId="2" borderId="0" xfId="24" applyFont="1" applyFill="1" applyAlignment="1">
      <alignment horizontal="center"/>
    </xf>
    <xf numFmtId="15" fontId="96" fillId="2" borderId="0" xfId="160" applyNumberFormat="1" applyFont="1" applyFill="1" applyAlignment="1">
      <alignment vertical="center"/>
    </xf>
    <xf numFmtId="0" fontId="64" fillId="2" borderId="0" xfId="0" applyFont="1" applyFill="1" applyAlignment="1">
      <alignment horizontal="center"/>
    </xf>
    <xf numFmtId="0" fontId="93" fillId="2" borderId="0" xfId="0" applyFont="1" applyFill="1" applyAlignment="1">
      <alignment horizontal="left" vertical="center"/>
    </xf>
    <xf numFmtId="0" fontId="14" fillId="2" borderId="0" xfId="0" applyFont="1" applyFill="1"/>
    <xf numFmtId="0" fontId="0" fillId="2" borderId="0" xfId="0" applyFill="1" applyAlignment="1">
      <alignment horizontal="center"/>
    </xf>
    <xf numFmtId="0" fontId="12" fillId="2" borderId="0" xfId="0" applyFont="1" applyFill="1" applyAlignment="1">
      <alignment horizontal="left" vertical="center"/>
    </xf>
    <xf numFmtId="0" fontId="6" fillId="2" borderId="0" xfId="160" applyFont="1" applyFill="1" applyAlignment="1" applyProtection="1">
      <alignment horizontal="center"/>
      <protection locked="0"/>
    </xf>
    <xf numFmtId="0" fontId="117" fillId="2" borderId="0" xfId="0" applyFont="1" applyFill="1" applyAlignment="1">
      <alignment horizontal="center"/>
    </xf>
    <xf numFmtId="0" fontId="64" fillId="2" borderId="0" xfId="0" applyFont="1" applyFill="1" applyAlignment="1" applyProtection="1">
      <alignment horizontal="left" vertical="center"/>
      <protection locked="0"/>
    </xf>
    <xf numFmtId="0" fontId="59" fillId="2" borderId="0" xfId="160" applyFont="1" applyFill="1" applyAlignment="1">
      <alignment vertical="center"/>
    </xf>
    <xf numFmtId="0" fontId="59" fillId="2" borderId="0" xfId="160" applyFont="1" applyFill="1" applyAlignment="1">
      <alignment horizontal="left" vertical="center"/>
    </xf>
    <xf numFmtId="0" fontId="5" fillId="2" borderId="0" xfId="160" applyFill="1" applyAlignment="1">
      <alignment horizontal="left" vertical="center"/>
    </xf>
    <xf numFmtId="0" fontId="59" fillId="2" borderId="0" xfId="160" applyFont="1" applyFill="1"/>
    <xf numFmtId="0" fontId="5" fillId="2" borderId="0" xfId="160" applyFill="1" applyAlignment="1" applyProtection="1">
      <alignment vertical="center"/>
      <protection locked="0"/>
    </xf>
    <xf numFmtId="0" fontId="5" fillId="2" borderId="0" xfId="160" applyFill="1" applyAlignment="1" applyProtection="1">
      <alignment horizontal="left" vertical="center"/>
      <protection locked="0"/>
    </xf>
    <xf numFmtId="180" fontId="6" fillId="2" borderId="0" xfId="160" applyNumberFormat="1" applyFont="1" applyFill="1" applyAlignment="1" applyProtection="1">
      <alignment horizontal="right" vertical="center"/>
      <protection locked="0"/>
    </xf>
    <xf numFmtId="0" fontId="6" fillId="2" borderId="0" xfId="0" applyFont="1" applyFill="1" applyAlignment="1" applyProtection="1">
      <alignment vertical="center"/>
      <protection locked="0"/>
    </xf>
    <xf numFmtId="0" fontId="6" fillId="2" borderId="0" xfId="160" applyFont="1" applyFill="1" applyAlignment="1" applyProtection="1">
      <alignment horizontal="right" vertical="center"/>
      <protection locked="0"/>
    </xf>
    <xf numFmtId="0" fontId="105" fillId="2" borderId="0" xfId="0" applyFont="1" applyFill="1"/>
    <xf numFmtId="0" fontId="106" fillId="2" borderId="0" xfId="0" applyFont="1" applyFill="1"/>
    <xf numFmtId="0" fontId="6" fillId="2" borderId="0" xfId="0" applyFont="1" applyFill="1" applyAlignment="1">
      <alignment horizontal="right"/>
    </xf>
    <xf numFmtId="0" fontId="10" fillId="2" borderId="0" xfId="0" applyFont="1" applyFill="1" applyAlignment="1">
      <alignment horizontal="right" vertical="center" wrapText="1"/>
    </xf>
    <xf numFmtId="179" fontId="6" fillId="2" borderId="0" xfId="160" applyNumberFormat="1" applyFont="1" applyFill="1" applyAlignment="1" applyProtection="1">
      <alignment horizontal="right"/>
      <protection locked="0"/>
    </xf>
    <xf numFmtId="0" fontId="59" fillId="2" borderId="0" xfId="160" applyFont="1" applyFill="1" applyAlignment="1" applyProtection="1">
      <alignment vertical="center"/>
      <protection locked="0"/>
    </xf>
    <xf numFmtId="0" fontId="59" fillId="2" borderId="0" xfId="160" applyFont="1" applyFill="1" applyAlignment="1" applyProtection="1">
      <alignment horizontal="left" vertical="center"/>
      <protection locked="0"/>
    </xf>
    <xf numFmtId="0" fontId="6" fillId="2" borderId="0" xfId="160" applyFont="1" applyFill="1" applyAlignment="1" applyProtection="1">
      <alignment horizontal="right" vertical="center" indent="2"/>
      <protection locked="0"/>
    </xf>
    <xf numFmtId="0" fontId="6" fillId="2" borderId="0" xfId="160" applyFont="1" applyFill="1" applyAlignment="1" applyProtection="1">
      <alignment horizontal="left" vertical="center"/>
      <protection locked="0"/>
    </xf>
    <xf numFmtId="0" fontId="6" fillId="2" borderId="0" xfId="160" applyFont="1" applyFill="1" applyProtection="1">
      <protection locked="0"/>
    </xf>
    <xf numFmtId="0" fontId="10" fillId="2" borderId="0" xfId="165" applyFont="1" applyFill="1" applyAlignment="1" applyProtection="1">
      <alignment horizontal="left"/>
      <protection locked="0"/>
    </xf>
    <xf numFmtId="180" fontId="10" fillId="2" borderId="0" xfId="165" applyNumberFormat="1" applyFont="1" applyFill="1" applyAlignment="1" applyProtection="1">
      <alignment horizontal="right"/>
      <protection locked="0"/>
    </xf>
    <xf numFmtId="179" fontId="10" fillId="2" borderId="0" xfId="165" applyNumberFormat="1" applyFont="1" applyFill="1" applyAlignment="1" applyProtection="1">
      <alignment horizontal="right"/>
      <protection locked="0"/>
    </xf>
    <xf numFmtId="0" fontId="6" fillId="2" borderId="0" xfId="165" applyFont="1" applyFill="1" applyAlignment="1" applyProtection="1">
      <alignment horizontal="left"/>
      <protection locked="0"/>
    </xf>
    <xf numFmtId="179" fontId="6" fillId="2" borderId="0" xfId="165" applyNumberFormat="1" applyFont="1" applyFill="1" applyAlignment="1" applyProtection="1">
      <alignment horizontal="right"/>
      <protection locked="0"/>
    </xf>
    <xf numFmtId="180" fontId="6" fillId="2" borderId="0" xfId="165" applyNumberFormat="1" applyFont="1" applyFill="1" applyAlignment="1" applyProtection="1">
      <alignment horizontal="right"/>
      <protection locked="0"/>
    </xf>
    <xf numFmtId="0" fontId="5" fillId="2" borderId="0" xfId="160" applyFill="1" applyAlignment="1" applyProtection="1">
      <alignment horizontal="center"/>
      <protection locked="0"/>
    </xf>
    <xf numFmtId="0" fontId="6" fillId="2" borderId="0" xfId="165" applyFont="1" applyFill="1" applyProtection="1">
      <protection locked="0"/>
    </xf>
    <xf numFmtId="0" fontId="10" fillId="2" borderId="0" xfId="165" applyFont="1" applyFill="1" applyAlignment="1" applyProtection="1">
      <alignment horizontal="right"/>
      <protection locked="0"/>
    </xf>
    <xf numFmtId="0" fontId="12" fillId="2" borderId="0" xfId="0" applyFont="1" applyFill="1" applyAlignment="1">
      <alignment horizontal="center"/>
    </xf>
    <xf numFmtId="0" fontId="12" fillId="2" borderId="0" xfId="0" applyFont="1" applyFill="1" applyAlignment="1">
      <alignment horizontal="center" vertical="center"/>
    </xf>
    <xf numFmtId="15" fontId="23" fillId="2" borderId="0" xfId="160" applyNumberFormat="1" applyFont="1" applyFill="1"/>
    <xf numFmtId="0" fontId="6" fillId="2" borderId="0" xfId="0" applyFont="1" applyFill="1" applyAlignment="1">
      <alignment vertical="center"/>
    </xf>
    <xf numFmtId="0" fontId="10" fillId="2" borderId="74" xfId="0" applyFont="1" applyFill="1" applyBorder="1" applyAlignment="1" applyProtection="1">
      <alignment horizontal="right"/>
      <protection locked="0"/>
    </xf>
    <xf numFmtId="0" fontId="10" fillId="2" borderId="5" xfId="0" applyFont="1" applyFill="1" applyBorder="1" applyAlignment="1" applyProtection="1">
      <alignment horizontal="right"/>
      <protection locked="0"/>
    </xf>
    <xf numFmtId="0" fontId="11" fillId="2" borderId="0" xfId="0" applyFont="1" applyFill="1" applyAlignment="1">
      <alignment horizontal="right" vertical="top"/>
    </xf>
    <xf numFmtId="0" fontId="95" fillId="2" borderId="0" xfId="0" applyFont="1" applyFill="1" applyAlignment="1">
      <alignment horizontal="right" vertical="center"/>
    </xf>
    <xf numFmtId="0" fontId="11" fillId="2" borderId="0" xfId="0" applyFont="1" applyFill="1" applyAlignment="1">
      <alignment horizontal="left"/>
    </xf>
    <xf numFmtId="0" fontId="11" fillId="2" borderId="0" xfId="0" applyFont="1" applyFill="1" applyAlignment="1">
      <alignment horizontal="right"/>
    </xf>
    <xf numFmtId="0" fontId="7" fillId="2" borderId="0" xfId="0" applyFont="1" applyFill="1"/>
    <xf numFmtId="0" fontId="11" fillId="2" borderId="0" xfId="0" applyFont="1" applyFill="1" applyAlignment="1">
      <alignment horizontal="right" wrapText="1"/>
    </xf>
    <xf numFmtId="0" fontId="11"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right" vertical="center"/>
    </xf>
    <xf numFmtId="15" fontId="40" fillId="2" borderId="0" xfId="160" applyNumberFormat="1" applyFont="1" applyFill="1" applyAlignment="1" applyProtection="1">
      <alignment horizontal="left"/>
      <protection locked="0"/>
    </xf>
    <xf numFmtId="15" fontId="23" fillId="2" borderId="0" xfId="160" applyNumberFormat="1" applyFont="1" applyFill="1" applyAlignment="1" applyProtection="1">
      <alignment horizontal="left"/>
      <protection locked="0"/>
    </xf>
    <xf numFmtId="15" fontId="23" fillId="2" borderId="0" xfId="160" applyNumberFormat="1" applyFont="1" applyFill="1" applyAlignment="1">
      <alignment horizontal="left"/>
    </xf>
    <xf numFmtId="196" fontId="5" fillId="2" borderId="0" xfId="276" applyFill="1"/>
    <xf numFmtId="0" fontId="5" fillId="2" borderId="0" xfId="276" applyNumberFormat="1" applyFill="1"/>
    <xf numFmtId="179" fontId="6" fillId="2" borderId="0" xfId="276" applyNumberFormat="1" applyFont="1" applyFill="1" applyAlignment="1" applyProtection="1">
      <alignment horizontal="right"/>
      <protection locked="0"/>
    </xf>
    <xf numFmtId="180" fontId="6" fillId="2" borderId="0" xfId="276" applyNumberFormat="1" applyFont="1" applyFill="1" applyAlignment="1" applyProtection="1">
      <alignment horizontal="right"/>
      <protection locked="0"/>
    </xf>
    <xf numFmtId="0" fontId="5" fillId="2" borderId="0" xfId="276" applyNumberFormat="1" applyFill="1" applyAlignment="1">
      <alignment horizontal="left" indent="2"/>
    </xf>
    <xf numFmtId="180" fontId="6" fillId="2" borderId="0" xfId="24" applyNumberFormat="1" applyFont="1" applyFill="1" applyAlignment="1">
      <alignment horizontal="right"/>
    </xf>
    <xf numFmtId="196" fontId="6" fillId="2" borderId="0" xfId="276" applyFont="1" applyFill="1"/>
    <xf numFmtId="0" fontId="6" fillId="2" borderId="0" xfId="276" applyNumberFormat="1" applyFont="1" applyFill="1" applyAlignment="1">
      <alignment horizontal="left" indent="2"/>
    </xf>
    <xf numFmtId="196" fontId="6" fillId="2" borderId="0" xfId="276" applyFont="1" applyFill="1" applyAlignment="1" applyProtection="1">
      <alignment horizontal="left" vertical="top"/>
      <protection locked="0"/>
    </xf>
    <xf numFmtId="180" fontId="6" fillId="2" borderId="0" xfId="276" applyNumberFormat="1" applyFont="1" applyFill="1" applyAlignment="1" applyProtection="1">
      <alignment horizontal="right" vertical="top"/>
      <protection locked="0"/>
    </xf>
    <xf numFmtId="0" fontId="6" fillId="2" borderId="0" xfId="24" applyFont="1" applyFill="1"/>
    <xf numFmtId="0" fontId="6" fillId="2" borderId="0" xfId="276" applyNumberFormat="1" applyFont="1" applyFill="1" applyAlignment="1" applyProtection="1">
      <alignment horizontal="right" vertical="top"/>
      <protection locked="0"/>
    </xf>
    <xf numFmtId="0" fontId="9" fillId="2" borderId="0" xfId="0" applyFont="1" applyFill="1" applyAlignment="1">
      <alignment vertical="center"/>
    </xf>
    <xf numFmtId="0" fontId="98" fillId="2" borderId="0" xfId="0" applyFont="1" applyFill="1" applyAlignment="1">
      <alignment horizontal="right"/>
    </xf>
    <xf numFmtId="0" fontId="98" fillId="2" borderId="0" xfId="0" applyFont="1" applyFill="1" applyAlignment="1">
      <alignment horizontal="left" vertical="center"/>
    </xf>
    <xf numFmtId="0" fontId="98" fillId="2" borderId="0" xfId="0" applyFont="1" applyFill="1" applyAlignment="1">
      <alignment horizontal="right" vertical="center"/>
    </xf>
    <xf numFmtId="198" fontId="6" fillId="2" borderId="0" xfId="160" applyNumberFormat="1" applyFont="1" applyFill="1" applyAlignment="1" applyProtection="1">
      <alignment horizontal="left"/>
      <protection locked="0"/>
    </xf>
    <xf numFmtId="0" fontId="10" fillId="2" borderId="0" xfId="24" applyFont="1" applyFill="1" applyAlignment="1" applyProtection="1">
      <alignment horizontal="left" vertical="top"/>
      <protection locked="0"/>
    </xf>
    <xf numFmtId="180" fontId="6" fillId="2" borderId="0" xfId="0" applyNumberFormat="1" applyFont="1" applyFill="1" applyAlignment="1">
      <alignment horizontal="right" vertical="center"/>
    </xf>
    <xf numFmtId="0" fontId="6" fillId="2" borderId="0" xfId="0" applyFont="1" applyFill="1" applyAlignment="1">
      <alignment horizontal="right" vertical="center"/>
    </xf>
    <xf numFmtId="0" fontId="6" fillId="2" borderId="0" xfId="161" applyFont="1" applyFill="1" applyAlignment="1" applyProtection="1">
      <alignment horizontal="left" vertical="center"/>
      <protection locked="0"/>
    </xf>
    <xf numFmtId="0" fontId="9" fillId="3" borderId="107" xfId="0" applyFont="1" applyFill="1" applyBorder="1" applyAlignment="1" applyProtection="1">
      <alignment horizontal="center" vertical="center"/>
      <protection locked="0"/>
    </xf>
    <xf numFmtId="0" fontId="21" fillId="0" borderId="34" xfId="0" applyFont="1" applyBorder="1" applyAlignment="1">
      <alignment horizontal="left" vertical="top" wrapText="1"/>
    </xf>
    <xf numFmtId="0" fontId="38" fillId="0" borderId="96" xfId="0" applyFont="1" applyBorder="1" applyAlignment="1">
      <alignment horizontal="center" vertical="center"/>
    </xf>
    <xf numFmtId="191" fontId="21" fillId="0" borderId="79" xfId="0" applyNumberFormat="1" applyFont="1" applyBorder="1"/>
    <xf numFmtId="191" fontId="21" fillId="0" borderId="112" xfId="0" applyNumberFormat="1" applyFont="1" applyBorder="1"/>
    <xf numFmtId="190" fontId="2" fillId="0" borderId="4" xfId="231" applyNumberFormat="1" applyFont="1" applyBorder="1" applyAlignment="1" applyProtection="1"/>
    <xf numFmtId="190" fontId="2" fillId="3" borderId="4" xfId="169" applyNumberFormat="1" applyFont="1" applyFill="1" applyBorder="1" applyAlignment="1" applyProtection="1">
      <protection locked="0"/>
    </xf>
    <xf numFmtId="190" fontId="2" fillId="0" borderId="23" xfId="169" applyNumberFormat="1" applyFont="1" applyBorder="1" applyAlignment="1" applyProtection="1"/>
    <xf numFmtId="190" fontId="2" fillId="0" borderId="4" xfId="231" applyNumberFormat="1" applyFont="1" applyFill="1" applyBorder="1" applyAlignment="1" applyProtection="1"/>
    <xf numFmtId="191" fontId="21" fillId="9" borderId="34" xfId="0" applyNumberFormat="1" applyFont="1" applyFill="1" applyBorder="1"/>
    <xf numFmtId="191" fontId="21" fillId="10" borderId="79" xfId="0" applyNumberFormat="1" applyFont="1" applyFill="1" applyBorder="1"/>
    <xf numFmtId="191" fontId="9" fillId="0" borderId="79" xfId="0" applyNumberFormat="1" applyFont="1" applyBorder="1"/>
    <xf numFmtId="165" fontId="9" fillId="10" borderId="79" xfId="0" applyNumberFormat="1" applyFont="1" applyFill="1" applyBorder="1"/>
    <xf numFmtId="165" fontId="9" fillId="0" borderId="79" xfId="0" applyNumberFormat="1" applyFont="1" applyBorder="1"/>
    <xf numFmtId="191" fontId="21" fillId="3" borderId="114" xfId="0" applyNumberFormat="1" applyFont="1" applyFill="1" applyBorder="1" applyProtection="1">
      <protection locked="0"/>
    </xf>
    <xf numFmtId="0" fontId="112" fillId="0" borderId="67" xfId="0" applyFont="1" applyBorder="1"/>
    <xf numFmtId="0" fontId="0" fillId="0" borderId="67" xfId="0" applyBorder="1"/>
    <xf numFmtId="0" fontId="0" fillId="0" borderId="67" xfId="0" applyBorder="1" applyAlignment="1">
      <alignment vertical="top" wrapText="1"/>
    </xf>
    <xf numFmtId="165" fontId="9" fillId="0" borderId="0" xfId="0" applyNumberFormat="1" applyFont="1"/>
    <xf numFmtId="165" fontId="120" fillId="0" borderId="0" xfId="0" applyNumberFormat="1" applyFont="1" applyProtection="1">
      <protection locked="0"/>
    </xf>
    <xf numFmtId="165" fontId="9" fillId="0" borderId="0" xfId="0" applyNumberFormat="1" applyFont="1" applyProtection="1">
      <protection locked="0"/>
    </xf>
    <xf numFmtId="168" fontId="19" fillId="2" borderId="0" xfId="39" applyFont="1" applyFill="1" applyProtection="1">
      <protection locked="0"/>
    </xf>
    <xf numFmtId="0" fontId="10" fillId="2" borderId="0" xfId="0" applyFont="1" applyFill="1" applyAlignment="1">
      <alignment horizontal="left" indent="2"/>
    </xf>
    <xf numFmtId="0" fontId="9" fillId="2" borderId="0" xfId="0" applyFont="1" applyFill="1" applyAlignment="1">
      <alignment vertical="top" wrapText="1"/>
    </xf>
    <xf numFmtId="0" fontId="23" fillId="2" borderId="0" xfId="161" applyFont="1" applyFill="1" applyAlignment="1" applyProtection="1">
      <alignment horizontal="left" vertical="top"/>
      <protection locked="0"/>
    </xf>
    <xf numFmtId="0" fontId="2" fillId="2" borderId="0" xfId="0" applyFont="1" applyFill="1" applyAlignment="1">
      <alignment vertical="center"/>
    </xf>
    <xf numFmtId="0" fontId="2" fillId="2" borderId="0" xfId="0" applyFont="1" applyFill="1" applyAlignment="1">
      <alignment horizontal="right" vertical="center"/>
    </xf>
    <xf numFmtId="15" fontId="40" fillId="2" borderId="0" xfId="276" applyNumberFormat="1" applyFont="1" applyFill="1" applyAlignment="1">
      <alignment horizontal="left" vertical="top"/>
    </xf>
    <xf numFmtId="15" fontId="23" fillId="2" borderId="0" xfId="276" applyNumberFormat="1" applyFont="1" applyFill="1" applyAlignment="1">
      <alignment horizontal="left" vertical="top"/>
    </xf>
    <xf numFmtId="0" fontId="94" fillId="2" borderId="0" xfId="0" applyFont="1" applyFill="1" applyAlignment="1">
      <alignment horizontal="right"/>
    </xf>
    <xf numFmtId="192" fontId="19" fillId="2" borderId="0" xfId="39" applyNumberFormat="1" applyFont="1" applyFill="1" applyProtection="1">
      <protection locked="0"/>
    </xf>
    <xf numFmtId="0" fontId="104" fillId="55" borderId="83" xfId="0" applyFont="1" applyFill="1" applyBorder="1" applyAlignment="1">
      <alignment horizontal="left" vertical="top" wrapText="1"/>
    </xf>
    <xf numFmtId="0" fontId="62" fillId="0" borderId="0" xfId="0" applyFont="1" applyAlignment="1">
      <alignment horizontal="center" vertical="center" wrapText="1"/>
    </xf>
    <xf numFmtId="168" fontId="19" fillId="0" borderId="0" xfId="39" applyFont="1" applyFill="1" applyProtection="1">
      <protection locked="0"/>
    </xf>
    <xf numFmtId="0" fontId="62" fillId="46" borderId="0" xfId="0" applyFont="1" applyFill="1" applyAlignment="1">
      <alignment horizontal="center" vertical="center" wrapText="1"/>
    </xf>
    <xf numFmtId="0" fontId="6" fillId="2" borderId="0" xfId="0" applyFont="1" applyFill="1" applyAlignment="1" applyProtection="1">
      <alignment horizontal="right"/>
      <protection locked="0"/>
    </xf>
    <xf numFmtId="0" fontId="10" fillId="2" borderId="0" xfId="231" applyNumberFormat="1" applyFont="1" applyFill="1" applyAlignment="1" applyProtection="1">
      <alignment horizontal="right"/>
      <protection locked="0"/>
    </xf>
    <xf numFmtId="0" fontId="6" fillId="2" borderId="0" xfId="0" applyFont="1" applyFill="1" applyProtection="1">
      <protection locked="0"/>
    </xf>
    <xf numFmtId="0" fontId="104" fillId="54" borderId="81" xfId="0" applyFont="1" applyFill="1" applyBorder="1" applyAlignment="1">
      <alignment horizontal="left" vertical="top" wrapText="1"/>
    </xf>
    <xf numFmtId="0" fontId="104" fillId="54" borderId="82" xfId="0" applyFont="1" applyFill="1" applyBorder="1" applyAlignment="1">
      <alignment horizontal="left" vertical="top" wrapText="1"/>
    </xf>
    <xf numFmtId="2" fontId="104" fillId="55" borderId="83" xfId="0" applyNumberFormat="1" applyFont="1" applyFill="1" applyBorder="1" applyAlignment="1">
      <alignment horizontal="right" vertical="top" wrapText="1"/>
    </xf>
    <xf numFmtId="3" fontId="104" fillId="55" borderId="83" xfId="0" applyNumberFormat="1" applyFont="1" applyFill="1" applyBorder="1" applyAlignment="1">
      <alignment horizontal="right" vertical="top" wrapText="1"/>
    </xf>
    <xf numFmtId="0" fontId="22" fillId="0" borderId="34" xfId="24" applyFont="1" applyBorder="1" applyAlignment="1">
      <alignment wrapText="1"/>
    </xf>
    <xf numFmtId="4" fontId="0" fillId="0" borderId="4" xfId="0" applyNumberFormat="1" applyBorder="1" applyAlignment="1">
      <alignment horizontal="center"/>
    </xf>
    <xf numFmtId="183" fontId="0" fillId="0" borderId="4" xfId="0" applyNumberFormat="1" applyBorder="1" applyAlignment="1">
      <alignment horizontal="center"/>
    </xf>
    <xf numFmtId="3" fontId="0" fillId="0" borderId="4" xfId="0" applyNumberFormat="1" applyBorder="1" applyAlignment="1">
      <alignment horizontal="center"/>
    </xf>
    <xf numFmtId="0" fontId="3" fillId="0" borderId="4" xfId="0" applyFont="1" applyBorder="1"/>
    <xf numFmtId="4" fontId="0" fillId="0" borderId="4" xfId="0" applyNumberFormat="1" applyBorder="1"/>
    <xf numFmtId="0" fontId="12" fillId="2" borderId="0" xfId="0" applyFont="1" applyFill="1" applyAlignment="1">
      <alignment horizontal="left" vertical="top"/>
    </xf>
    <xf numFmtId="0" fontId="93" fillId="2" borderId="0" xfId="0" applyFont="1" applyFill="1" applyAlignment="1">
      <alignment horizontal="left" vertical="top" wrapText="1"/>
    </xf>
    <xf numFmtId="0" fontId="14" fillId="2" borderId="0" xfId="0" applyFont="1" applyFill="1" applyAlignment="1">
      <alignment horizontal="left" vertical="top" wrapText="1"/>
    </xf>
    <xf numFmtId="0" fontId="12" fillId="2" borderId="0" xfId="0" applyFont="1" applyFill="1" applyAlignment="1">
      <alignment horizontal="left" vertical="top" wrapText="1"/>
    </xf>
    <xf numFmtId="0" fontId="10" fillId="2" borderId="0" xfId="0" applyFont="1" applyFill="1" applyAlignment="1">
      <alignment horizontal="left" wrapText="1"/>
    </xf>
    <xf numFmtId="0" fontId="0" fillId="2" borderId="0" xfId="0" applyFill="1" applyAlignment="1">
      <alignment vertical="center"/>
    </xf>
    <xf numFmtId="0" fontId="14" fillId="2" borderId="0" xfId="0" applyFont="1" applyFill="1" applyAlignment="1">
      <alignment horizontal="left" wrapText="1"/>
    </xf>
    <xf numFmtId="0" fontId="12" fillId="2" borderId="0" xfId="0" applyFont="1" applyFill="1" applyAlignment="1">
      <alignment horizontal="left" wrapText="1"/>
    </xf>
    <xf numFmtId="0" fontId="0" fillId="2" borderId="0" xfId="0" applyFill="1" applyAlignment="1">
      <alignment horizontal="left" wrapText="1"/>
    </xf>
    <xf numFmtId="0" fontId="12" fillId="2" borderId="0" xfId="0" applyFont="1" applyFill="1" applyAlignment="1" applyProtection="1">
      <alignment horizontal="left" vertical="top" wrapText="1"/>
      <protection locked="0"/>
    </xf>
    <xf numFmtId="0" fontId="12" fillId="2" borderId="0" xfId="0" applyFont="1" applyFill="1" applyAlignment="1" applyProtection="1">
      <alignment horizontal="left" wrapText="1"/>
      <protection locked="0"/>
    </xf>
    <xf numFmtId="0" fontId="14" fillId="2" borderId="0" xfId="0" applyFont="1" applyFill="1" applyAlignment="1" applyProtection="1">
      <alignment horizontal="left" vertical="top" wrapText="1"/>
      <protection locked="0"/>
    </xf>
    <xf numFmtId="0" fontId="40" fillId="2" borderId="0" xfId="0" applyFont="1" applyFill="1" applyAlignment="1">
      <alignment horizontal="left" vertical="top" wrapText="1"/>
    </xf>
    <xf numFmtId="0" fontId="10" fillId="2" borderId="0" xfId="0" applyFont="1" applyFill="1" applyAlignment="1" applyProtection="1">
      <alignment horizontal="left" wrapText="1"/>
      <protection locked="0"/>
    </xf>
    <xf numFmtId="0" fontId="14" fillId="2" borderId="0" xfId="0" applyFont="1" applyFill="1" applyAlignment="1">
      <alignment horizontal="left" vertical="top"/>
    </xf>
    <xf numFmtId="0" fontId="37" fillId="2" borderId="0" xfId="0" applyFont="1" applyFill="1" applyAlignment="1">
      <alignment horizontal="left"/>
    </xf>
    <xf numFmtId="0" fontId="14" fillId="2" borderId="0" xfId="0" applyFont="1" applyFill="1" applyAlignment="1" applyProtection="1">
      <alignment horizontal="left" wrapText="1"/>
      <protection locked="0"/>
    </xf>
    <xf numFmtId="0" fontId="63" fillId="2" borderId="0" xfId="0" applyFont="1" applyFill="1" applyAlignment="1">
      <alignment horizontal="left" wrapText="1"/>
    </xf>
    <xf numFmtId="0" fontId="14" fillId="2" borderId="0" xfId="0" applyFont="1" applyFill="1" applyAlignment="1" applyProtection="1">
      <alignment horizontal="left" vertical="top"/>
      <protection locked="0"/>
    </xf>
    <xf numFmtId="0" fontId="0" fillId="2" borderId="0" xfId="0" applyFill="1" applyAlignment="1">
      <alignment vertical="top" wrapText="1"/>
    </xf>
    <xf numFmtId="0" fontId="10" fillId="2" borderId="0" xfId="0" applyFont="1" applyFill="1" applyAlignment="1">
      <alignment vertical="top" wrapText="1"/>
    </xf>
    <xf numFmtId="0" fontId="11" fillId="2" borderId="0" xfId="0" applyFont="1" applyFill="1" applyAlignment="1">
      <alignment horizontal="left" wrapText="1"/>
    </xf>
    <xf numFmtId="0" fontId="11" fillId="2" borderId="0" xfId="0" applyFont="1" applyFill="1" applyAlignment="1">
      <alignment horizontal="left" vertical="center"/>
    </xf>
    <xf numFmtId="0" fontId="38" fillId="2" borderId="0" xfId="0" applyFont="1" applyFill="1" applyAlignment="1">
      <alignment horizontal="left"/>
    </xf>
    <xf numFmtId="15" fontId="40" fillId="2" borderId="0" xfId="160" applyNumberFormat="1" applyFont="1" applyFill="1" applyAlignment="1" applyProtection="1">
      <alignment horizontal="left" vertical="top" wrapText="1"/>
      <protection locked="0"/>
    </xf>
    <xf numFmtId="15" fontId="40" fillId="2" borderId="0" xfId="160" applyNumberFormat="1" applyFont="1" applyFill="1" applyAlignment="1" applyProtection="1">
      <alignment horizontal="left" vertical="top"/>
      <protection locked="0"/>
    </xf>
    <xf numFmtId="0" fontId="14" fillId="2" borderId="0" xfId="0" applyFont="1" applyFill="1" applyAlignment="1">
      <alignment horizontal="left"/>
    </xf>
    <xf numFmtId="0" fontId="12" fillId="2" borderId="0" xfId="0" applyFont="1" applyFill="1" applyAlignment="1">
      <alignment horizontal="left"/>
    </xf>
    <xf numFmtId="0" fontId="98" fillId="2" borderId="0" xfId="0" applyFont="1" applyFill="1" applyAlignment="1">
      <alignment horizontal="left"/>
    </xf>
    <xf numFmtId="0" fontId="10" fillId="2" borderId="0" xfId="0" applyFont="1" applyFill="1" applyAlignment="1">
      <alignment horizontal="left" wrapText="1" indent="6"/>
    </xf>
    <xf numFmtId="0" fontId="38" fillId="4" borderId="111" xfId="0" applyFont="1" applyFill="1" applyBorder="1" applyAlignment="1" applyProtection="1">
      <alignment horizontal="center" vertical="center"/>
      <protection locked="0"/>
    </xf>
    <xf numFmtId="15" fontId="23" fillId="2" borderId="0" xfId="160" applyNumberFormat="1" applyFont="1" applyFill="1" applyAlignment="1" applyProtection="1">
      <alignment horizontal="left" vertical="top" wrapText="1"/>
      <protection locked="0"/>
    </xf>
    <xf numFmtId="0" fontId="10" fillId="2" borderId="0" xfId="0" applyFont="1" applyFill="1" applyAlignment="1">
      <alignment horizontal="right" vertical="top" wrapText="1"/>
    </xf>
    <xf numFmtId="179" fontId="10" fillId="2" borderId="0" xfId="0" applyNumberFormat="1" applyFont="1" applyFill="1" applyAlignment="1">
      <alignment horizontal="right" wrapText="1"/>
    </xf>
    <xf numFmtId="0" fontId="10" fillId="0" borderId="0" xfId="0" applyFont="1" applyAlignment="1" applyProtection="1">
      <alignment horizontal="left"/>
      <protection locked="0"/>
    </xf>
    <xf numFmtId="179" fontId="92" fillId="2" borderId="0" xfId="24" applyNumberFormat="1" applyFont="1" applyFill="1" applyAlignment="1">
      <alignment horizontal="right"/>
    </xf>
    <xf numFmtId="180" fontId="92" fillId="2" borderId="0" xfId="24" applyNumberFormat="1" applyFont="1" applyFill="1" applyAlignment="1">
      <alignment horizontal="right"/>
    </xf>
    <xf numFmtId="0" fontId="11" fillId="2" borderId="0" xfId="0" applyFont="1" applyFill="1"/>
    <xf numFmtId="4" fontId="36" fillId="65" borderId="0" xfId="0" applyNumberFormat="1" applyFont="1" applyFill="1"/>
    <xf numFmtId="183" fontId="36" fillId="65" borderId="0" xfId="0" applyNumberFormat="1" applyFont="1" applyFill="1"/>
    <xf numFmtId="3" fontId="36" fillId="65" borderId="0" xfId="0" applyNumberFormat="1" applyFont="1" applyFill="1"/>
    <xf numFmtId="0" fontId="36" fillId="65" borderId="0" xfId="0" applyFont="1" applyFill="1"/>
    <xf numFmtId="0" fontId="0" fillId="66" borderId="0" xfId="0" applyFill="1" applyProtection="1">
      <protection locked="0"/>
    </xf>
    <xf numFmtId="0" fontId="122" fillId="54" borderId="81" xfId="0" applyFont="1" applyFill="1" applyBorder="1" applyAlignment="1">
      <alignment horizontal="left" vertical="top" wrapText="1"/>
    </xf>
    <xf numFmtId="0" fontId="104" fillId="54" borderId="83" xfId="0" applyFont="1" applyFill="1" applyBorder="1" applyAlignment="1">
      <alignment horizontal="left" vertical="top" wrapText="1"/>
    </xf>
    <xf numFmtId="0" fontId="0" fillId="55" borderId="84" xfId="0" applyFill="1" applyBorder="1" applyAlignment="1">
      <alignment horizontal="right" vertical="top" wrapText="1"/>
    </xf>
    <xf numFmtId="0" fontId="122" fillId="54" borderId="82" xfId="0" applyFont="1" applyFill="1" applyBorder="1" applyAlignment="1">
      <alignment horizontal="left" vertical="top" wrapText="1"/>
    </xf>
    <xf numFmtId="201" fontId="104" fillId="55" borderId="83" xfId="0" applyNumberFormat="1" applyFont="1" applyFill="1" applyBorder="1" applyAlignment="1">
      <alignment horizontal="right" vertical="top" wrapText="1"/>
    </xf>
    <xf numFmtId="3" fontId="104" fillId="55" borderId="84" xfId="0" applyNumberFormat="1" applyFont="1" applyFill="1" applyBorder="1" applyAlignment="1">
      <alignment horizontal="right" vertical="top" wrapText="1"/>
    </xf>
    <xf numFmtId="0" fontId="124" fillId="0" borderId="0" xfId="0" applyFont="1"/>
    <xf numFmtId="0" fontId="0" fillId="0" borderId="0" xfId="0" applyAlignment="1" applyProtection="1">
      <alignment horizontal="center"/>
      <protection locked="0"/>
    </xf>
    <xf numFmtId="191" fontId="21" fillId="58" borderId="58" xfId="0" applyNumberFormat="1" applyFont="1" applyFill="1" applyBorder="1" applyProtection="1">
      <protection locked="0"/>
    </xf>
    <xf numFmtId="191" fontId="21" fillId="58" borderId="57" xfId="0" applyNumberFormat="1" applyFont="1" applyFill="1" applyBorder="1" applyProtection="1">
      <protection locked="0"/>
    </xf>
    <xf numFmtId="0" fontId="14" fillId="2" borderId="0" xfId="0" applyFont="1" applyFill="1" applyAlignment="1">
      <alignment vertical="top"/>
    </xf>
    <xf numFmtId="0" fontId="10" fillId="2" borderId="0" xfId="0" applyFont="1" applyFill="1" applyAlignment="1">
      <alignment horizontal="left" vertical="top" wrapText="1"/>
    </xf>
    <xf numFmtId="15" fontId="74" fillId="2" borderId="0" xfId="160" applyNumberFormat="1" applyFont="1" applyFill="1" applyAlignment="1">
      <alignment horizontal="left" vertical="top" wrapText="1"/>
    </xf>
    <xf numFmtId="3" fontId="0" fillId="0" borderId="0" xfId="0" applyNumberFormat="1"/>
    <xf numFmtId="0" fontId="62" fillId="46" borderId="0" xfId="0" applyFont="1" applyFill="1" applyAlignment="1" applyProtection="1">
      <alignment horizontal="left" vertical="center"/>
      <protection locked="0"/>
    </xf>
    <xf numFmtId="180" fontId="10" fillId="0" borderId="0" xfId="0" applyNumberFormat="1" applyFont="1" applyAlignment="1">
      <alignment horizontal="right" vertical="center"/>
    </xf>
    <xf numFmtId="0" fontId="10" fillId="2" borderId="0" xfId="0" applyFont="1" applyFill="1" applyAlignment="1" applyProtection="1">
      <alignment horizontal="left" vertical="center"/>
      <protection locked="0"/>
    </xf>
    <xf numFmtId="0" fontId="6" fillId="2" borderId="0" xfId="0" applyFont="1" applyFill="1" applyAlignment="1">
      <alignment horizontal="left" vertical="center"/>
    </xf>
    <xf numFmtId="0" fontId="95" fillId="2" borderId="0" xfId="0" applyFont="1" applyFill="1" applyAlignment="1">
      <alignment horizontal="right"/>
    </xf>
    <xf numFmtId="0" fontId="10" fillId="0" borderId="0" xfId="0" applyFont="1" applyAlignment="1">
      <alignment vertical="center"/>
    </xf>
    <xf numFmtId="0" fontId="10" fillId="0" borderId="0" xfId="0" applyFont="1" applyAlignment="1">
      <alignment horizontal="right" vertical="center"/>
    </xf>
    <xf numFmtId="0" fontId="88" fillId="2" borderId="0" xfId="0" applyFont="1" applyFill="1" applyAlignment="1">
      <alignment horizontal="left"/>
    </xf>
    <xf numFmtId="180" fontId="37" fillId="2" borderId="0" xfId="0" applyNumberFormat="1" applyFont="1" applyFill="1" applyAlignment="1">
      <alignment horizontal="right"/>
    </xf>
    <xf numFmtId="180" fontId="88" fillId="2" borderId="0" xfId="0" applyNumberFormat="1" applyFont="1" applyFill="1" applyAlignment="1">
      <alignment horizontal="right"/>
    </xf>
    <xf numFmtId="0" fontId="125" fillId="2" borderId="0" xfId="0" applyFont="1" applyFill="1"/>
    <xf numFmtId="0" fontId="88" fillId="2" borderId="0" xfId="0" applyFont="1" applyFill="1"/>
    <xf numFmtId="0" fontId="88" fillId="2" borderId="0" xfId="0" applyFont="1" applyFill="1" applyAlignment="1">
      <alignment horizontal="right"/>
    </xf>
    <xf numFmtId="0" fontId="0" fillId="2" borderId="0" xfId="0" applyFill="1" applyAlignment="1">
      <alignment horizontal="left" vertical="top"/>
    </xf>
    <xf numFmtId="179" fontId="10" fillId="2" borderId="0" xfId="0" applyNumberFormat="1" applyFont="1" applyFill="1" applyAlignment="1" applyProtection="1">
      <alignment horizontal="right" vertical="center"/>
      <protection locked="0"/>
    </xf>
    <xf numFmtId="180" fontId="10" fillId="2" borderId="0" xfId="0" applyNumberFormat="1" applyFont="1" applyFill="1" applyAlignment="1">
      <alignment vertical="center"/>
    </xf>
    <xf numFmtId="0" fontId="64" fillId="2" borderId="0" xfId="0"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10" fillId="2" borderId="0" xfId="0" applyFont="1" applyFill="1" applyAlignment="1" applyProtection="1">
      <alignment horizontal="center" vertical="center"/>
      <protection locked="0"/>
    </xf>
    <xf numFmtId="180" fontId="37" fillId="2" borderId="0" xfId="0" applyNumberFormat="1" applyFont="1" applyFill="1" applyAlignment="1">
      <alignment horizontal="right" vertical="center"/>
    </xf>
    <xf numFmtId="0" fontId="37" fillId="2" borderId="0" xfId="0" applyFont="1" applyFill="1" applyAlignment="1">
      <alignment horizontal="right" vertical="center"/>
    </xf>
    <xf numFmtId="0" fontId="37" fillId="2" borderId="0" xfId="0" applyFont="1" applyFill="1" applyAlignment="1">
      <alignment vertical="center"/>
    </xf>
    <xf numFmtId="201" fontId="104" fillId="55" borderId="83" xfId="24" applyNumberFormat="1" applyFont="1" applyFill="1" applyBorder="1" applyAlignment="1">
      <alignment horizontal="right" vertical="top" wrapText="1"/>
    </xf>
    <xf numFmtId="0" fontId="104" fillId="55" borderId="83" xfId="24" applyFont="1" applyFill="1" applyBorder="1" applyAlignment="1">
      <alignment horizontal="left" vertical="top" wrapText="1"/>
    </xf>
    <xf numFmtId="3" fontId="104" fillId="55" borderId="83" xfId="24" applyNumberFormat="1" applyFont="1" applyFill="1" applyBorder="1" applyAlignment="1">
      <alignment horizontal="right" vertical="top" wrapText="1"/>
    </xf>
    <xf numFmtId="3" fontId="104" fillId="55" borderId="84" xfId="24" applyNumberFormat="1" applyFont="1" applyFill="1" applyBorder="1" applyAlignment="1">
      <alignment horizontal="right" vertical="top" wrapText="1"/>
    </xf>
    <xf numFmtId="0" fontId="5" fillId="55" borderId="83" xfId="24" applyFill="1" applyBorder="1" applyAlignment="1">
      <alignment horizontal="right" vertical="top" wrapText="1"/>
    </xf>
    <xf numFmtId="0" fontId="5" fillId="55" borderId="84" xfId="24" applyFill="1" applyBorder="1" applyAlignment="1">
      <alignment horizontal="right" vertical="top" wrapText="1"/>
    </xf>
    <xf numFmtId="167" fontId="0" fillId="0" borderId="67" xfId="0" applyNumberFormat="1" applyBorder="1" applyProtection="1">
      <protection locked="0"/>
    </xf>
    <xf numFmtId="0" fontId="20" fillId="0" borderId="67" xfId="24" applyFont="1" applyBorder="1" applyAlignment="1" applyProtection="1">
      <alignment horizontal="center" vertical="center" wrapText="1"/>
      <protection locked="0"/>
    </xf>
    <xf numFmtId="165" fontId="0" fillId="10" borderId="79" xfId="0" applyNumberFormat="1" applyFill="1" applyBorder="1"/>
    <xf numFmtId="191" fontId="21" fillId="9" borderId="113" xfId="0" applyNumberFormat="1" applyFont="1" applyFill="1" applyBorder="1"/>
    <xf numFmtId="191" fontId="21" fillId="9" borderId="69" xfId="0" applyNumberFormat="1" applyFont="1" applyFill="1" applyBorder="1"/>
    <xf numFmtId="0" fontId="22" fillId="0" borderId="79" xfId="24" applyFont="1" applyBorder="1" applyAlignment="1">
      <alignment horizontal="center"/>
    </xf>
    <xf numFmtId="165" fontId="34" fillId="5" borderId="79" xfId="0" applyNumberFormat="1" applyFont="1" applyFill="1" applyBorder="1" applyProtection="1">
      <protection locked="0"/>
    </xf>
    <xf numFmtId="191" fontId="21" fillId="9" borderId="118" xfId="0" applyNumberFormat="1" applyFont="1" applyFill="1" applyBorder="1"/>
    <xf numFmtId="0" fontId="21" fillId="0" borderId="91" xfId="0" applyFont="1" applyBorder="1"/>
    <xf numFmtId="191" fontId="21" fillId="0" borderId="91" xfId="0" applyNumberFormat="1" applyFont="1" applyBorder="1"/>
    <xf numFmtId="191" fontId="21" fillId="0" borderId="90" xfId="0" applyNumberFormat="1" applyFont="1" applyBorder="1"/>
    <xf numFmtId="165" fontId="57" fillId="0" borderId="67" xfId="0" applyNumberFormat="1" applyFont="1" applyBorder="1"/>
    <xf numFmtId="165" fontId="0" fillId="0" borderId="67" xfId="0" applyNumberFormat="1" applyBorder="1"/>
    <xf numFmtId="168" fontId="23" fillId="0" borderId="78" xfId="24" applyNumberFormat="1" applyFont="1" applyBorder="1" applyAlignment="1" applyProtection="1">
      <alignment vertical="center"/>
      <protection locked="0"/>
    </xf>
    <xf numFmtId="168" fontId="23" fillId="13" borderId="78" xfId="24" applyNumberFormat="1" applyFont="1" applyFill="1" applyBorder="1" applyAlignment="1" applyProtection="1">
      <alignment vertical="center"/>
      <protection locked="0"/>
    </xf>
    <xf numFmtId="168" fontId="23" fillId="0" borderId="78" xfId="24" applyNumberFormat="1" applyFont="1" applyBorder="1" applyAlignment="1">
      <alignment horizontal="right" vertical="center"/>
    </xf>
    <xf numFmtId="168" fontId="5" fillId="0" borderId="78" xfId="24" applyNumberFormat="1" applyBorder="1" applyAlignment="1">
      <alignment horizontal="right" vertical="center"/>
    </xf>
    <xf numFmtId="0" fontId="23" fillId="13" borderId="67" xfId="24" applyFont="1" applyFill="1" applyBorder="1" applyAlignment="1">
      <alignment vertical="top" wrapText="1"/>
    </xf>
    <xf numFmtId="0" fontId="5" fillId="13" borderId="105" xfId="24" applyFill="1" applyBorder="1" applyAlignment="1">
      <alignment horizontal="right" vertical="center"/>
    </xf>
    <xf numFmtId="0" fontId="5" fillId="13" borderId="67" xfId="24" applyFill="1" applyBorder="1" applyAlignment="1">
      <alignment horizontal="right" vertical="center"/>
    </xf>
    <xf numFmtId="168" fontId="23" fillId="13" borderId="103" xfId="24" applyNumberFormat="1" applyFont="1" applyFill="1" applyBorder="1" applyAlignment="1">
      <alignment horizontal="right" vertical="center"/>
    </xf>
    <xf numFmtId="0" fontId="23" fillId="13" borderId="105" xfId="24" applyFont="1" applyFill="1" applyBorder="1" applyAlignment="1">
      <alignment horizontal="right" vertical="center"/>
    </xf>
    <xf numFmtId="168" fontId="23" fillId="13" borderId="105" xfId="24" applyNumberFormat="1" applyFont="1" applyFill="1" applyBorder="1" applyAlignment="1">
      <alignment horizontal="right" vertical="center"/>
    </xf>
    <xf numFmtId="10" fontId="14" fillId="13" borderId="104" xfId="40" applyNumberFormat="1" applyFont="1" applyFill="1" applyBorder="1" applyAlignment="1" applyProtection="1">
      <alignment horizontal="right" vertical="center"/>
    </xf>
    <xf numFmtId="0" fontId="37" fillId="2" borderId="0" xfId="0" applyFont="1" applyFill="1" applyAlignment="1">
      <alignment horizontal="left" wrapText="1"/>
    </xf>
    <xf numFmtId="0" fontId="10" fillId="2" borderId="0" xfId="0" applyFont="1" applyFill="1" applyAlignment="1" applyProtection="1">
      <alignment horizontal="left" vertical="top" wrapText="1"/>
      <protection locked="0"/>
    </xf>
    <xf numFmtId="0" fontId="38" fillId="2" borderId="0" xfId="0" applyFont="1" applyFill="1" applyAlignment="1">
      <alignment horizontal="left" wrapText="1"/>
    </xf>
    <xf numFmtId="0" fontId="14" fillId="2" borderId="0" xfId="0" applyFont="1" applyFill="1" applyAlignment="1" applyProtection="1">
      <alignment horizontal="left"/>
      <protection locked="0"/>
    </xf>
    <xf numFmtId="0" fontId="10" fillId="2" borderId="0" xfId="0" applyFont="1" applyFill="1" applyAlignment="1">
      <alignment horizontal="left" vertical="center" wrapText="1"/>
    </xf>
    <xf numFmtId="0" fontId="23" fillId="2" borderId="0" xfId="0" applyFont="1" applyFill="1" applyAlignment="1">
      <alignment horizontal="left" vertical="top" wrapText="1"/>
    </xf>
    <xf numFmtId="0" fontId="10" fillId="2" borderId="0" xfId="0" applyFont="1" applyFill="1" applyAlignment="1" applyProtection="1">
      <alignment horizontal="left" vertical="center" wrapText="1"/>
      <protection locked="0"/>
    </xf>
    <xf numFmtId="0" fontId="6" fillId="2" borderId="0" xfId="161" applyFont="1" applyFill="1" applyAlignment="1" applyProtection="1">
      <alignment horizontal="left" vertical="top"/>
      <protection locked="0"/>
    </xf>
    <xf numFmtId="0" fontId="94" fillId="0" borderId="0" xfId="0" applyFont="1" applyAlignment="1">
      <alignment horizontal="right"/>
    </xf>
    <xf numFmtId="180" fontId="92" fillId="2" borderId="0" xfId="0" applyNumberFormat="1" applyFont="1" applyFill="1" applyAlignment="1">
      <alignment horizontal="right" vertical="center"/>
    </xf>
    <xf numFmtId="0" fontId="10" fillId="0" borderId="0" xfId="0" applyFont="1" applyAlignment="1">
      <alignment horizontal="left"/>
    </xf>
    <xf numFmtId="180" fontId="10" fillId="0" borderId="0" xfId="0" applyNumberFormat="1" applyFont="1" applyAlignment="1">
      <alignment horizontal="right"/>
    </xf>
    <xf numFmtId="15" fontId="40" fillId="2" borderId="0" xfId="276" applyNumberFormat="1" applyFont="1" applyFill="1" applyAlignment="1">
      <alignment horizontal="left"/>
    </xf>
    <xf numFmtId="179" fontId="6" fillId="0" borderId="0" xfId="0" applyNumberFormat="1" applyFont="1" applyAlignment="1" applyProtection="1">
      <alignment horizontal="right"/>
      <protection locked="0"/>
    </xf>
    <xf numFmtId="180" fontId="6" fillId="0" borderId="0" xfId="0" applyNumberFormat="1" applyFont="1" applyAlignment="1" applyProtection="1">
      <alignment horizontal="right"/>
      <protection locked="0"/>
    </xf>
    <xf numFmtId="0" fontId="12" fillId="0" borderId="0" xfId="0" applyFont="1" applyAlignment="1" applyProtection="1">
      <alignment horizontal="left"/>
      <protection locked="0"/>
    </xf>
    <xf numFmtId="0" fontId="64" fillId="0" borderId="0" xfId="0" applyFont="1" applyAlignment="1" applyProtection="1">
      <alignment horizontal="left" vertical="center"/>
      <protection locked="0"/>
    </xf>
    <xf numFmtId="0" fontId="12" fillId="0" borderId="0" xfId="0" applyFont="1" applyAlignment="1">
      <alignment horizontal="left"/>
    </xf>
    <xf numFmtId="0" fontId="59" fillId="0" borderId="0" xfId="160" applyFont="1" applyAlignment="1">
      <alignment horizontal="left" vertical="center"/>
    </xf>
    <xf numFmtId="15" fontId="23" fillId="0" borderId="0" xfId="160" applyNumberFormat="1" applyFont="1" applyAlignment="1">
      <alignment horizontal="left"/>
    </xf>
    <xf numFmtId="0" fontId="5" fillId="0" borderId="0" xfId="160" applyAlignment="1">
      <alignment horizontal="left" vertical="center"/>
    </xf>
    <xf numFmtId="0" fontId="10" fillId="0" borderId="0" xfId="0" applyFont="1" applyAlignment="1">
      <alignment horizontal="right"/>
    </xf>
    <xf numFmtId="15" fontId="40" fillId="0" borderId="0" xfId="160" applyNumberFormat="1" applyFont="1" applyAlignment="1">
      <alignment horizontal="left"/>
    </xf>
    <xf numFmtId="0" fontId="59" fillId="0" borderId="0" xfId="160" applyFont="1" applyAlignment="1">
      <alignment horizontal="left" indent="2"/>
    </xf>
    <xf numFmtId="180" fontId="10" fillId="2" borderId="0" xfId="0" applyNumberFormat="1" applyFont="1" applyFill="1" applyAlignment="1" applyProtection="1">
      <alignment horizontal="right" wrapText="1"/>
      <protection locked="0"/>
    </xf>
    <xf numFmtId="179" fontId="10" fillId="2" borderId="0" xfId="0" applyNumberFormat="1" applyFont="1" applyFill="1" applyAlignment="1" applyProtection="1">
      <alignment horizontal="right" wrapText="1"/>
      <protection locked="0"/>
    </xf>
    <xf numFmtId="0" fontId="10" fillId="2" borderId="116" xfId="0" applyFont="1" applyFill="1" applyBorder="1" applyAlignment="1" applyProtection="1">
      <alignment horizontal="left" wrapText="1"/>
      <protection locked="0"/>
    </xf>
    <xf numFmtId="179" fontId="10" fillId="2" borderId="116" xfId="0" applyNumberFormat="1" applyFont="1" applyFill="1" applyBorder="1" applyAlignment="1" applyProtection="1">
      <alignment horizontal="right" wrapText="1"/>
      <protection locked="0"/>
    </xf>
    <xf numFmtId="180" fontId="10" fillId="2" borderId="116" xfId="0" applyNumberFormat="1" applyFont="1" applyFill="1" applyBorder="1" applyAlignment="1" applyProtection="1">
      <alignment horizontal="right" wrapText="1"/>
      <protection locked="0"/>
    </xf>
    <xf numFmtId="0" fontId="10" fillId="2" borderId="0" xfId="0" applyFont="1" applyFill="1" applyAlignment="1" applyProtection="1">
      <alignment horizontal="right" wrapText="1"/>
      <protection locked="0"/>
    </xf>
    <xf numFmtId="180" fontId="10" fillId="2" borderId="0" xfId="0" applyNumberFormat="1" applyFont="1" applyFill="1" applyAlignment="1" applyProtection="1">
      <alignment horizontal="right" vertical="center" wrapText="1"/>
      <protection locked="0"/>
    </xf>
    <xf numFmtId="0" fontId="0" fillId="2" borderId="0" xfId="0" applyFill="1" applyAlignment="1" applyProtection="1">
      <alignment vertical="center" wrapText="1"/>
      <protection locked="0"/>
    </xf>
    <xf numFmtId="0" fontId="10" fillId="2" borderId="0" xfId="0" applyFont="1" applyFill="1" applyAlignment="1" applyProtection="1">
      <alignment horizontal="right" vertical="center" wrapText="1"/>
      <protection locked="0"/>
    </xf>
    <xf numFmtId="179" fontId="126" fillId="2" borderId="0" xfId="0" applyNumberFormat="1" applyFont="1" applyFill="1" applyAlignment="1">
      <alignment horizontal="right"/>
    </xf>
    <xf numFmtId="0" fontId="126" fillId="2" borderId="0" xfId="0" applyFont="1" applyFill="1" applyAlignment="1">
      <alignment horizontal="left"/>
    </xf>
    <xf numFmtId="180" fontId="10" fillId="0" borderId="0" xfId="0" applyNumberFormat="1" applyFont="1" applyAlignment="1">
      <alignment vertical="center"/>
    </xf>
    <xf numFmtId="180" fontId="10" fillId="2" borderId="0" xfId="231" applyNumberFormat="1" applyFont="1" applyFill="1" applyAlignment="1">
      <alignment horizontal="right"/>
    </xf>
    <xf numFmtId="0" fontId="6" fillId="2" borderId="0" xfId="160" applyFont="1" applyFill="1" applyAlignment="1" applyProtection="1">
      <alignment vertical="center"/>
      <protection locked="0"/>
    </xf>
    <xf numFmtId="0" fontId="6" fillId="2" borderId="0" xfId="0" applyFont="1" applyFill="1" applyAlignment="1">
      <alignment horizontal="left" vertical="center" wrapText="1"/>
    </xf>
    <xf numFmtId="0" fontId="127" fillId="2" borderId="0" xfId="0" applyFont="1" applyFill="1" applyAlignment="1">
      <alignment wrapText="1"/>
    </xf>
    <xf numFmtId="0" fontId="6" fillId="2" borderId="0" xfId="0" applyFont="1" applyFill="1" applyAlignment="1">
      <alignment horizontal="left" vertical="center" wrapText="1" indent="4"/>
    </xf>
    <xf numFmtId="40" fontId="6" fillId="2" borderId="0" xfId="0" applyNumberFormat="1" applyFont="1" applyFill="1" applyAlignment="1">
      <alignment horizontal="left" vertical="center"/>
    </xf>
    <xf numFmtId="40" fontId="6" fillId="2" borderId="0" xfId="0" applyNumberFormat="1" applyFont="1" applyFill="1" applyAlignment="1">
      <alignment horizontal="left" vertical="center" wrapText="1"/>
    </xf>
    <xf numFmtId="0" fontId="6" fillId="2" borderId="0" xfId="0" applyFont="1" applyFill="1" applyAlignment="1">
      <alignment horizontal="right" vertical="center" wrapText="1"/>
    </xf>
    <xf numFmtId="40" fontId="73"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wrapText="1"/>
    </xf>
    <xf numFmtId="180" fontId="6" fillId="2" borderId="0" xfId="0" applyNumberFormat="1" applyFont="1" applyFill="1" applyAlignment="1">
      <alignment horizontal="right" indent="1" shrinkToFit="1"/>
    </xf>
    <xf numFmtId="179" fontId="6" fillId="2" borderId="0" xfId="0" applyNumberFormat="1" applyFont="1" applyFill="1" applyAlignment="1">
      <alignment horizontal="right" indent="1" shrinkToFit="1"/>
    </xf>
    <xf numFmtId="179" fontId="6" fillId="2" borderId="0" xfId="0" applyNumberFormat="1" applyFont="1" applyFill="1" applyAlignment="1">
      <alignment horizontal="right" vertical="center" indent="1" shrinkToFit="1"/>
    </xf>
    <xf numFmtId="0" fontId="73" fillId="2" borderId="0" xfId="0" applyFont="1" applyFill="1" applyAlignment="1">
      <alignment wrapText="1"/>
    </xf>
    <xf numFmtId="0" fontId="73" fillId="2" borderId="0" xfId="0" applyFont="1" applyFill="1" applyAlignment="1">
      <alignment horizontal="left" wrapText="1" indent="2"/>
    </xf>
    <xf numFmtId="180" fontId="6" fillId="2" borderId="0" xfId="0" applyNumberFormat="1" applyFont="1" applyFill="1" applyAlignment="1">
      <alignment shrinkToFit="1"/>
    </xf>
    <xf numFmtId="0" fontId="11" fillId="0" borderId="0" xfId="0" applyFont="1" applyAlignment="1">
      <alignment horizontal="right"/>
    </xf>
    <xf numFmtId="0" fontId="11" fillId="56" borderId="0" xfId="0" applyFont="1" applyFill="1" applyAlignment="1">
      <alignment horizontal="left" wrapText="1"/>
    </xf>
    <xf numFmtId="0" fontId="11" fillId="56" borderId="0" xfId="0" applyFont="1" applyFill="1" applyAlignment="1">
      <alignment horizontal="left"/>
    </xf>
    <xf numFmtId="0" fontId="11" fillId="2" borderId="0" xfId="0" applyFont="1" applyFill="1" applyAlignment="1">
      <alignment horizontal="left" wrapText="1" indent="2"/>
    </xf>
    <xf numFmtId="168" fontId="19" fillId="2" borderId="0" xfId="39" applyFont="1" applyFill="1" applyProtection="1"/>
    <xf numFmtId="0" fontId="128" fillId="0" borderId="0" xfId="0" applyFont="1" applyAlignment="1">
      <alignment horizontal="left" vertical="top" wrapText="1"/>
    </xf>
    <xf numFmtId="0" fontId="129" fillId="54" borderId="81" xfId="0" applyFont="1" applyFill="1" applyBorder="1" applyAlignment="1">
      <alignment horizontal="left" vertical="top" wrapText="1"/>
    </xf>
    <xf numFmtId="201" fontId="129" fillId="54" borderId="84" xfId="0" applyNumberFormat="1" applyFont="1" applyFill="1" applyBorder="1" applyAlignment="1">
      <alignment horizontal="right" vertical="top" wrapText="1"/>
    </xf>
    <xf numFmtId="0" fontId="130" fillId="54" borderId="83" xfId="0" applyFont="1" applyFill="1" applyBorder="1" applyAlignment="1">
      <alignment horizontal="left" vertical="top" wrapText="1"/>
    </xf>
    <xf numFmtId="201" fontId="130" fillId="55" borderId="84" xfId="0" applyNumberFormat="1" applyFont="1" applyFill="1" applyBorder="1" applyAlignment="1">
      <alignment horizontal="right" vertical="top" wrapText="1"/>
    </xf>
    <xf numFmtId="0" fontId="129" fillId="54" borderId="82" xfId="0" applyFont="1" applyFill="1" applyBorder="1" applyAlignment="1">
      <alignment horizontal="left" vertical="top" wrapText="1"/>
    </xf>
    <xf numFmtId="0" fontId="130" fillId="55" borderId="83" xfId="0" applyFont="1" applyFill="1" applyBorder="1" applyAlignment="1">
      <alignment horizontal="left" vertical="top" wrapText="1"/>
    </xf>
    <xf numFmtId="201" fontId="130" fillId="55" borderId="83" xfId="0" applyNumberFormat="1" applyFont="1" applyFill="1" applyBorder="1" applyAlignment="1">
      <alignment horizontal="right" vertical="top" wrapText="1"/>
    </xf>
    <xf numFmtId="3" fontId="130" fillId="55" borderId="83" xfId="0" applyNumberFormat="1" applyFont="1" applyFill="1" applyBorder="1" applyAlignment="1">
      <alignment horizontal="right" vertical="top" wrapText="1"/>
    </xf>
    <xf numFmtId="3" fontId="130" fillId="55" borderId="84" xfId="0" applyNumberFormat="1" applyFont="1" applyFill="1" applyBorder="1" applyAlignment="1">
      <alignment horizontal="right" vertical="top" wrapText="1"/>
    </xf>
    <xf numFmtId="201" fontId="104" fillId="47" borderId="83" xfId="0" applyNumberFormat="1" applyFont="1" applyFill="1" applyBorder="1" applyAlignment="1">
      <alignment horizontal="right" vertical="top" wrapText="1"/>
    </xf>
    <xf numFmtId="0" fontId="104" fillId="47" borderId="83" xfId="0" applyFont="1" applyFill="1" applyBorder="1" applyAlignment="1">
      <alignment horizontal="left" vertical="top" wrapText="1"/>
    </xf>
    <xf numFmtId="3" fontId="104" fillId="47" borderId="83" xfId="0" applyNumberFormat="1" applyFont="1" applyFill="1" applyBorder="1" applyAlignment="1">
      <alignment horizontal="right" vertical="top" wrapText="1"/>
    </xf>
    <xf numFmtId="3" fontId="104" fillId="47" borderId="84" xfId="0" applyNumberFormat="1" applyFont="1" applyFill="1" applyBorder="1" applyAlignment="1">
      <alignment horizontal="right" vertical="top" wrapText="1"/>
    </xf>
    <xf numFmtId="0" fontId="0" fillId="47" borderId="0" xfId="0" applyFill="1"/>
    <xf numFmtId="201" fontId="104" fillId="2" borderId="83" xfId="0" applyNumberFormat="1" applyFont="1" applyFill="1" applyBorder="1" applyAlignment="1">
      <alignment horizontal="right" vertical="top" wrapText="1"/>
    </xf>
    <xf numFmtId="0" fontId="104" fillId="2" borderId="83" xfId="0" applyFont="1" applyFill="1" applyBorder="1" applyAlignment="1">
      <alignment horizontal="left" vertical="top" wrapText="1"/>
    </xf>
    <xf numFmtId="3" fontId="104" fillId="2" borderId="83" xfId="0" applyNumberFormat="1" applyFont="1" applyFill="1" applyBorder="1" applyAlignment="1">
      <alignment horizontal="right" vertical="top" wrapText="1"/>
    </xf>
    <xf numFmtId="3" fontId="104" fillId="2" borderId="84" xfId="0" applyNumberFormat="1" applyFont="1" applyFill="1" applyBorder="1" applyAlignment="1">
      <alignment horizontal="right" vertical="top" wrapText="1"/>
    </xf>
    <xf numFmtId="0" fontId="3" fillId="0" borderId="0" xfId="0" applyFont="1" applyAlignment="1">
      <alignment horizontal="center"/>
    </xf>
    <xf numFmtId="0" fontId="23" fillId="0" borderId="0" xfId="27" applyFont="1" applyAlignment="1">
      <alignment horizontal="center"/>
    </xf>
    <xf numFmtId="0" fontId="20" fillId="0" borderId="0" xfId="24" applyFont="1" applyAlignment="1">
      <alignment horizontal="center" vertical="center" wrapText="1"/>
    </xf>
    <xf numFmtId="0" fontId="20" fillId="0" borderId="0" xfId="24" applyFont="1" applyAlignment="1">
      <alignment horizontal="left" vertical="center" wrapText="1"/>
    </xf>
    <xf numFmtId="0" fontId="27" fillId="0" borderId="0" xfId="0" applyFont="1"/>
    <xf numFmtId="0" fontId="23" fillId="2" borderId="4" xfId="27" applyFont="1" applyFill="1" applyBorder="1" applyAlignment="1">
      <alignment horizontal="center"/>
    </xf>
    <xf numFmtId="0" fontId="9" fillId="0" borderId="0" xfId="0" applyFont="1" applyAlignment="1">
      <alignment vertical="top" wrapText="1"/>
    </xf>
    <xf numFmtId="0" fontId="0" fillId="0" borderId="0" xfId="0" applyAlignment="1">
      <alignment horizontal="center" vertical="center"/>
    </xf>
    <xf numFmtId="0" fontId="23" fillId="0" borderId="0" xfId="27" applyFont="1"/>
    <xf numFmtId="0" fontId="23" fillId="0" borderId="0" xfId="27" applyFont="1" applyAlignment="1">
      <alignment horizontal="right" wrapText="1"/>
    </xf>
    <xf numFmtId="0" fontId="23" fillId="0" borderId="18" xfId="27" applyFont="1" applyBorder="1" applyAlignment="1">
      <alignment horizontal="right" wrapText="1"/>
    </xf>
    <xf numFmtId="0" fontId="23" fillId="0" borderId="0" xfId="27" applyFont="1" applyAlignment="1">
      <alignment horizontal="center" wrapText="1"/>
    </xf>
    <xf numFmtId="0" fontId="23" fillId="48" borderId="0" xfId="27" applyFont="1" applyFill="1" applyAlignment="1">
      <alignment horizontal="center" wrapText="1"/>
    </xf>
    <xf numFmtId="191" fontId="21" fillId="58" borderId="117" xfId="0" applyNumberFormat="1" applyFont="1" applyFill="1" applyBorder="1" applyProtection="1">
      <protection locked="0"/>
    </xf>
    <xf numFmtId="0" fontId="12" fillId="0" borderId="0" xfId="0" applyFont="1" applyAlignment="1">
      <alignment horizontal="left" vertical="top" wrapText="1"/>
    </xf>
    <xf numFmtId="0" fontId="14" fillId="0" borderId="0" xfId="0" applyFont="1" applyAlignment="1">
      <alignment horizontal="left" vertical="top" wrapText="1"/>
    </xf>
    <xf numFmtId="180" fontId="6" fillId="0" borderId="0" xfId="0" applyNumberFormat="1" applyFont="1" applyAlignment="1">
      <alignment horizontal="right"/>
    </xf>
    <xf numFmtId="179" fontId="6" fillId="0" borderId="0" xfId="0" applyNumberFormat="1" applyFont="1" applyAlignment="1">
      <alignment horizontal="right"/>
    </xf>
    <xf numFmtId="0" fontId="12" fillId="0" borderId="0" xfId="0" applyFont="1" applyAlignment="1">
      <alignment horizontal="left" wrapText="1"/>
    </xf>
    <xf numFmtId="0" fontId="6" fillId="0" borderId="0" xfId="0" applyFont="1" applyAlignment="1">
      <alignment horizontal="right"/>
    </xf>
    <xf numFmtId="0" fontId="10" fillId="0" borderId="0" xfId="0" applyFont="1" applyAlignment="1">
      <alignment horizontal="left" vertical="top"/>
    </xf>
    <xf numFmtId="180" fontId="10" fillId="0" borderId="0" xfId="0" applyNumberFormat="1" applyFont="1" applyAlignment="1">
      <alignment horizontal="right" vertical="top"/>
    </xf>
    <xf numFmtId="0" fontId="64" fillId="0" borderId="0" xfId="0" applyFont="1" applyAlignment="1">
      <alignment horizontal="right"/>
    </xf>
    <xf numFmtId="0" fontId="0" fillId="0" borderId="0" xfId="0" applyProtection="1">
      <protection locked="0"/>
    </xf>
    <xf numFmtId="0" fontId="39" fillId="7" borderId="15" xfId="0" applyFont="1" applyFill="1" applyBorder="1" applyAlignment="1" applyProtection="1">
      <alignment horizontal="center" vertical="center"/>
      <protection locked="0"/>
    </xf>
    <xf numFmtId="0" fontId="0" fillId="2" borderId="0" xfId="0" applyFill="1" applyProtection="1"/>
    <xf numFmtId="0" fontId="3" fillId="2" borderId="34" xfId="0" applyFont="1" applyFill="1" applyBorder="1" applyAlignment="1" applyProtection="1">
      <alignment vertical="top" wrapText="1"/>
    </xf>
    <xf numFmtId="0" fontId="3" fillId="2" borderId="34" xfId="0" applyFont="1" applyFill="1" applyBorder="1" applyProtection="1"/>
    <xf numFmtId="0" fontId="3" fillId="2" borderId="0" xfId="0" applyFont="1" applyFill="1" applyProtection="1"/>
    <xf numFmtId="0" fontId="3" fillId="0" borderId="34" xfId="0" applyFont="1" applyBorder="1" applyProtection="1"/>
    <xf numFmtId="0" fontId="0" fillId="2" borderId="17" xfId="0" applyFill="1" applyBorder="1" applyProtection="1"/>
    <xf numFmtId="0" fontId="0" fillId="64" borderId="80" xfId="0" applyFill="1" applyBorder="1" applyProtection="1"/>
    <xf numFmtId="0" fontId="0" fillId="2" borderId="80" xfId="0" applyFill="1" applyBorder="1" applyProtection="1"/>
    <xf numFmtId="0" fontId="3" fillId="2" borderId="95" xfId="0" applyFont="1" applyFill="1" applyBorder="1" applyProtection="1"/>
    <xf numFmtId="0" fontId="3" fillId="2" borderId="80" xfId="0" applyFont="1" applyFill="1" applyBorder="1" applyProtection="1"/>
    <xf numFmtId="0" fontId="3" fillId="2" borderId="94" xfId="0" applyFont="1" applyFill="1" applyBorder="1" applyProtection="1"/>
    <xf numFmtId="0" fontId="0" fillId="2" borderId="87" xfId="0" applyFill="1" applyBorder="1" applyProtection="1"/>
    <xf numFmtId="0" fontId="0" fillId="0" borderId="0" xfId="0" applyProtection="1"/>
    <xf numFmtId="0" fontId="0" fillId="0" borderId="17" xfId="0" applyBorder="1" applyProtection="1"/>
    <xf numFmtId="0" fontId="0" fillId="0" borderId="80" xfId="0" applyBorder="1" applyProtection="1"/>
    <xf numFmtId="0" fontId="3" fillId="0" borderId="0" xfId="0" applyFont="1" applyProtection="1"/>
    <xf numFmtId="3" fontId="0" fillId="64" borderId="80" xfId="0" applyNumberFormat="1" applyFill="1" applyBorder="1" applyProtection="1"/>
    <xf numFmtId="0" fontId="0" fillId="56" borderId="0" xfId="0" applyFill="1" applyProtection="1"/>
    <xf numFmtId="0" fontId="0" fillId="56" borderId="17" xfId="0" applyFill="1" applyBorder="1" applyProtection="1"/>
    <xf numFmtId="0" fontId="0" fillId="56" borderId="80" xfId="0" applyFill="1" applyBorder="1" applyProtection="1"/>
    <xf numFmtId="0" fontId="3" fillId="56" borderId="95" xfId="0" applyFont="1" applyFill="1" applyBorder="1" applyProtection="1"/>
    <xf numFmtId="0" fontId="0" fillId="56" borderId="87" xfId="0" applyFill="1" applyBorder="1" applyProtection="1"/>
    <xf numFmtId="0" fontId="0" fillId="56" borderId="17" xfId="0" applyFill="1" applyBorder="1" applyAlignment="1" applyProtection="1">
      <alignment horizontal="center" vertical="center"/>
    </xf>
    <xf numFmtId="0" fontId="0" fillId="56" borderId="80" xfId="0" applyFill="1" applyBorder="1" applyAlignment="1" applyProtection="1">
      <alignment horizontal="left" vertical="top" wrapText="1"/>
    </xf>
    <xf numFmtId="0" fontId="3" fillId="56" borderId="95" xfId="0" applyFont="1" applyFill="1" applyBorder="1" applyAlignment="1" applyProtection="1">
      <alignment vertical="top" wrapText="1"/>
    </xf>
    <xf numFmtId="0" fontId="0" fillId="56" borderId="80" xfId="0" applyFill="1" applyBorder="1" applyAlignment="1" applyProtection="1">
      <alignment vertical="top" wrapText="1"/>
    </xf>
    <xf numFmtId="0" fontId="0" fillId="56" borderId="87" xfId="0" applyFill="1" applyBorder="1" applyAlignment="1" applyProtection="1">
      <alignment vertical="top" wrapText="1"/>
    </xf>
    <xf numFmtId="0" fontId="0" fillId="56" borderId="17" xfId="0" applyFill="1" applyBorder="1" applyAlignment="1" applyProtection="1">
      <alignment vertical="top" wrapText="1"/>
    </xf>
    <xf numFmtId="0" fontId="11" fillId="56" borderId="0" xfId="0" applyFont="1" applyFill="1" applyProtection="1"/>
    <xf numFmtId="0" fontId="11" fillId="56" borderId="17" xfId="0" applyFont="1" applyFill="1" applyBorder="1" applyProtection="1"/>
    <xf numFmtId="0" fontId="23" fillId="56" borderId="0" xfId="25" applyFont="1" applyFill="1" applyAlignment="1" applyProtection="1">
      <alignment horizontal="left" vertical="center"/>
    </xf>
    <xf numFmtId="0" fontId="23" fillId="56" borderId="88" xfId="25" applyFont="1" applyFill="1" applyBorder="1" applyAlignment="1" applyProtection="1">
      <alignment horizontal="center" vertical="center"/>
    </xf>
    <xf numFmtId="0" fontId="0" fillId="56" borderId="0" xfId="0" applyFill="1" applyAlignment="1" applyProtection="1">
      <alignment horizontal="center" vertical="center"/>
    </xf>
    <xf numFmtId="0" fontId="0" fillId="0" borderId="0" xfId="0" applyAlignment="1" applyProtection="1">
      <alignment wrapText="1"/>
    </xf>
    <xf numFmtId="182" fontId="0" fillId="2" borderId="86" xfId="0" applyNumberFormat="1" applyFill="1" applyBorder="1" applyProtection="1"/>
    <xf numFmtId="0" fontId="0" fillId="0" borderId="67" xfId="0" applyBorder="1" applyAlignment="1" applyProtection="1">
      <alignment wrapText="1"/>
    </xf>
    <xf numFmtId="0" fontId="27" fillId="0" borderId="0" xfId="0" applyFont="1" applyAlignment="1" applyProtection="1">
      <alignment vertical="center"/>
    </xf>
    <xf numFmtId="3" fontId="0" fillId="0" borderId="0" xfId="0" applyNumberFormat="1" applyProtection="1"/>
    <xf numFmtId="3" fontId="0" fillId="0" borderId="0" xfId="21" applyNumberFormat="1" applyFont="1" applyProtection="1"/>
    <xf numFmtId="9" fontId="0" fillId="0" borderId="0" xfId="21" applyFont="1" applyProtection="1"/>
    <xf numFmtId="3" fontId="0" fillId="0" borderId="62" xfId="0" applyNumberFormat="1" applyBorder="1" applyProtection="1"/>
    <xf numFmtId="0" fontId="27" fillId="0" borderId="0" xfId="0" applyFont="1" applyProtection="1"/>
    <xf numFmtId="0" fontId="131" fillId="0" borderId="0" xfId="0" applyFont="1" applyProtection="1"/>
    <xf numFmtId="0" fontId="14" fillId="0" borderId="0" xfId="0" applyFont="1" applyProtection="1"/>
    <xf numFmtId="195" fontId="11" fillId="0" borderId="0" xfId="0" applyNumberFormat="1" applyFont="1" applyProtection="1"/>
    <xf numFmtId="0" fontId="14" fillId="0" borderId="0" xfId="0" applyFont="1" applyAlignment="1" applyProtection="1">
      <alignment wrapText="1"/>
    </xf>
    <xf numFmtId="0" fontId="133" fillId="0" borderId="0" xfId="0" applyFont="1" applyProtection="1"/>
    <xf numFmtId="3" fontId="0" fillId="8" borderId="86" xfId="21" applyNumberFormat="1" applyFont="1" applyFill="1" applyBorder="1" applyProtection="1">
      <protection locked="0"/>
    </xf>
    <xf numFmtId="9" fontId="0" fillId="8" borderId="86" xfId="21" applyFont="1" applyFill="1" applyBorder="1" applyProtection="1">
      <protection locked="0"/>
    </xf>
    <xf numFmtId="0" fontId="0" fillId="7" borderId="67" xfId="0" applyFill="1" applyBorder="1" applyAlignment="1" applyProtection="1">
      <alignment horizontal="center" vertical="center"/>
      <protection locked="0"/>
    </xf>
    <xf numFmtId="0" fontId="0" fillId="7" borderId="17" xfId="0" applyFill="1" applyBorder="1" applyAlignment="1" applyProtection="1">
      <alignment horizontal="center" vertical="center"/>
      <protection locked="0"/>
    </xf>
    <xf numFmtId="0" fontId="0" fillId="7" borderId="85" xfId="0" applyFill="1" applyBorder="1" applyAlignment="1" applyProtection="1">
      <alignment horizontal="center" vertical="center"/>
      <protection locked="0"/>
    </xf>
    <xf numFmtId="182" fontId="0" fillId="2" borderId="16" xfId="0" applyNumberFormat="1" applyFill="1" applyBorder="1" applyProtection="1"/>
    <xf numFmtId="3" fontId="0" fillId="8" borderId="16" xfId="21" applyNumberFormat="1" applyFont="1" applyFill="1" applyBorder="1" applyProtection="1">
      <protection locked="0"/>
    </xf>
    <xf numFmtId="9" fontId="0" fillId="8" borderId="16" xfId="21" applyFont="1" applyFill="1" applyBorder="1" applyProtection="1">
      <protection locked="0"/>
    </xf>
    <xf numFmtId="182" fontId="0" fillId="2" borderId="120" xfId="0" applyNumberFormat="1" applyFill="1" applyBorder="1" applyProtection="1"/>
    <xf numFmtId="3" fontId="0" fillId="8" borderId="120" xfId="21" applyNumberFormat="1" applyFont="1" applyFill="1" applyBorder="1" applyProtection="1">
      <protection locked="0"/>
    </xf>
    <xf numFmtId="9" fontId="0" fillId="8" borderId="120" xfId="21" applyFont="1" applyFill="1" applyBorder="1" applyProtection="1">
      <protection locked="0"/>
    </xf>
    <xf numFmtId="3" fontId="0" fillId="58" borderId="16" xfId="0" applyNumberFormat="1" applyFill="1" applyBorder="1" applyProtection="1">
      <protection locked="0"/>
    </xf>
    <xf numFmtId="3" fontId="0" fillId="58" borderId="86" xfId="0" applyNumberFormat="1" applyFill="1" applyBorder="1" applyProtection="1">
      <protection locked="0"/>
    </xf>
    <xf numFmtId="3" fontId="0" fillId="58" borderId="120" xfId="0" applyNumberFormat="1" applyFill="1" applyBorder="1" applyProtection="1">
      <protection locked="0"/>
    </xf>
    <xf numFmtId="0" fontId="0" fillId="0" borderId="67" xfId="0" applyBorder="1" applyProtection="1"/>
    <xf numFmtId="0" fontId="0" fillId="0" borderId="0" xfId="0" applyAlignment="1" applyProtection="1">
      <alignment horizontal="left" vertical="top"/>
    </xf>
    <xf numFmtId="0" fontId="26" fillId="0" borderId="0" xfId="26" applyFont="1" applyAlignment="1" applyProtection="1">
      <alignment horizontal="left" vertical="top"/>
    </xf>
    <xf numFmtId="0" fontId="28" fillId="0" borderId="0" xfId="26" applyFont="1" applyAlignment="1" applyProtection="1">
      <alignment horizontal="left" vertical="top"/>
    </xf>
    <xf numFmtId="0" fontId="28" fillId="0" borderId="0" xfId="26" applyFont="1" applyProtection="1"/>
    <xf numFmtId="0" fontId="5" fillId="0" borderId="0" xfId="26" applyAlignment="1" applyProtection="1">
      <alignment horizontal="right"/>
    </xf>
    <xf numFmtId="0" fontId="6" fillId="0" borderId="0" xfId="26" applyFont="1" applyAlignment="1" applyProtection="1">
      <alignment horizontal="right" wrapText="1"/>
    </xf>
    <xf numFmtId="0" fontId="29" fillId="0" borderId="0" xfId="0" applyFont="1" applyProtection="1"/>
    <xf numFmtId="0" fontId="19" fillId="0" borderId="10" xfId="26" applyFont="1" applyBorder="1" applyAlignment="1" applyProtection="1">
      <alignment horizontal="left" vertical="top"/>
    </xf>
    <xf numFmtId="0" fontId="28" fillId="0" borderId="10" xfId="26" applyFont="1" applyBorder="1" applyProtection="1"/>
    <xf numFmtId="0" fontId="23" fillId="0" borderId="10" xfId="26" applyFont="1" applyBorder="1" applyAlignment="1" applyProtection="1">
      <alignment horizontal="right"/>
    </xf>
    <xf numFmtId="0" fontId="23" fillId="47" borderId="10" xfId="26" applyFont="1" applyFill="1" applyBorder="1" applyAlignment="1" applyProtection="1">
      <alignment horizontal="right"/>
    </xf>
    <xf numFmtId="0" fontId="0" fillId="0" borderId="0" xfId="0" applyAlignment="1" applyProtection="1">
      <alignment horizontal="left" vertical="top" wrapText="1"/>
    </xf>
    <xf numFmtId="181" fontId="0" fillId="0" borderId="0" xfId="21" applyNumberFormat="1" applyFont="1" applyProtection="1"/>
    <xf numFmtId="191" fontId="0" fillId="0" borderId="0" xfId="0" applyNumberFormat="1" applyProtection="1"/>
    <xf numFmtId="0" fontId="0" fillId="0" borderId="67" xfId="0" applyBorder="1" applyAlignment="1" applyProtection="1">
      <alignment horizontal="left" vertical="top" wrapText="1"/>
    </xf>
    <xf numFmtId="181" fontId="0" fillId="0" borderId="0" xfId="0" applyNumberFormat="1" applyProtection="1"/>
    <xf numFmtId="0" fontId="111" fillId="0" borderId="0" xfId="0" applyFont="1" applyAlignment="1" applyProtection="1">
      <alignment horizontal="left" vertical="top"/>
    </xf>
    <xf numFmtId="0" fontId="14" fillId="0" borderId="24" xfId="0" applyFont="1" applyBorder="1"/>
    <xf numFmtId="0" fontId="14" fillId="0" borderId="24" xfId="0" applyFont="1" applyBorder="1" applyAlignment="1">
      <alignment vertical="center" wrapText="1"/>
    </xf>
    <xf numFmtId="0" fontId="14" fillId="0" borderId="7" xfId="0" applyFont="1" applyBorder="1" applyAlignment="1">
      <alignment wrapText="1"/>
    </xf>
    <xf numFmtId="0" fontId="0" fillId="0" borderId="0" xfId="0" applyAlignment="1" applyProtection="1">
      <alignment horizontal="center"/>
    </xf>
    <xf numFmtId="0" fontId="9" fillId="0" borderId="0" xfId="0" applyFont="1" applyAlignment="1" applyProtection="1">
      <alignment vertical="center"/>
    </xf>
    <xf numFmtId="0" fontId="23" fillId="2" borderId="4" xfId="27" applyFont="1" applyFill="1" applyBorder="1" applyAlignment="1" applyProtection="1">
      <alignment horizontal="center" vertical="center"/>
    </xf>
    <xf numFmtId="0" fontId="9" fillId="0" borderId="0" xfId="0" applyFont="1" applyProtection="1"/>
    <xf numFmtId="0" fontId="0" fillId="0" borderId="0" xfId="0" applyAlignment="1" applyProtection="1">
      <alignment vertical="center"/>
    </xf>
    <xf numFmtId="0" fontId="3" fillId="0" borderId="10" xfId="0" applyFont="1" applyBorder="1" applyProtection="1"/>
    <xf numFmtId="0" fontId="14" fillId="0" borderId="10" xfId="0" applyFont="1" applyBorder="1" applyAlignment="1" applyProtection="1">
      <alignment horizontal="center" wrapText="1"/>
    </xf>
    <xf numFmtId="0" fontId="0" fillId="0" borderId="10" xfId="0" applyBorder="1" applyAlignment="1" applyProtection="1">
      <alignment horizontal="center" wrapText="1"/>
    </xf>
    <xf numFmtId="0" fontId="14" fillId="0" borderId="10" xfId="0" applyFont="1" applyBorder="1" applyAlignment="1" applyProtection="1">
      <alignment horizontal="center"/>
    </xf>
    <xf numFmtId="0" fontId="3" fillId="0" borderId="0" xfId="0" applyFont="1" applyAlignment="1" applyProtection="1">
      <alignment horizontal="center"/>
    </xf>
    <xf numFmtId="0" fontId="27" fillId="0" borderId="0" xfId="0" applyFont="1" applyAlignment="1" applyProtection="1">
      <alignment horizontal="center"/>
    </xf>
    <xf numFmtId="0" fontId="0" fillId="0" borderId="0" xfId="0" applyAlignment="1" applyProtection="1">
      <alignment horizontal="center" vertical="center"/>
    </xf>
    <xf numFmtId="182" fontId="0" fillId="0" borderId="0" xfId="0" applyNumberFormat="1" applyProtection="1"/>
    <xf numFmtId="0" fontId="3" fillId="0" borderId="62" xfId="0" applyFont="1" applyBorder="1" applyProtection="1"/>
    <xf numFmtId="182" fontId="0" fillId="0" borderId="62" xfId="0" applyNumberFormat="1" applyBorder="1" applyProtection="1"/>
    <xf numFmtId="0" fontId="0" fillId="0" borderId="62" xfId="0" applyBorder="1" applyProtection="1"/>
    <xf numFmtId="181" fontId="0" fillId="0" borderId="62" xfId="21" applyNumberFormat="1" applyFont="1" applyBorder="1" applyProtection="1"/>
    <xf numFmtId="195" fontId="0" fillId="0" borderId="62" xfId="0" applyNumberFormat="1" applyBorder="1" applyProtection="1"/>
    <xf numFmtId="203" fontId="0" fillId="0" borderId="62" xfId="35" applyNumberFormat="1" applyFont="1" applyBorder="1" applyProtection="1"/>
    <xf numFmtId="182" fontId="0" fillId="0" borderId="0" xfId="0" applyNumberFormat="1" applyProtection="1">
      <protection locked="0"/>
    </xf>
    <xf numFmtId="0" fontId="0" fillId="0" borderId="0" xfId="0" applyProtection="1">
      <protection locked="0"/>
    </xf>
    <xf numFmtId="0" fontId="0" fillId="0" borderId="0" xfId="0" applyAlignment="1">
      <alignment horizontal="left" vertical="top" wrapText="1"/>
    </xf>
    <xf numFmtId="0" fontId="3" fillId="0" borderId="0" xfId="0" applyFont="1" applyProtection="1"/>
    <xf numFmtId="0" fontId="23" fillId="0" borderId="10" xfId="26" applyFont="1" applyBorder="1" applyAlignment="1" applyProtection="1">
      <alignment horizontal="right" wrapText="1"/>
    </xf>
    <xf numFmtId="0" fontId="0" fillId="0" borderId="0" xfId="0" applyAlignment="1" applyProtection="1">
      <alignment wrapText="1"/>
    </xf>
    <xf numFmtId="0" fontId="5" fillId="0" borderId="0" xfId="24" applyProtection="1"/>
    <xf numFmtId="0" fontId="76" fillId="0" borderId="0" xfId="24" applyFont="1" applyProtection="1"/>
    <xf numFmtId="0" fontId="23" fillId="0" borderId="0" xfId="24" applyFont="1" applyAlignment="1" applyProtection="1">
      <alignment vertical="center" wrapText="1"/>
    </xf>
    <xf numFmtId="0" fontId="40" fillId="0" borderId="12" xfId="0" applyFont="1" applyBorder="1" applyAlignment="1" applyProtection="1">
      <alignment horizontal="right"/>
    </xf>
    <xf numFmtId="0" fontId="40" fillId="0" borderId="14" xfId="0" applyFont="1" applyBorder="1" applyAlignment="1" applyProtection="1">
      <alignment horizontal="left"/>
    </xf>
    <xf numFmtId="0" fontId="20" fillId="0" borderId="0" xfId="24" applyFont="1" applyProtection="1"/>
    <xf numFmtId="0" fontId="20" fillId="0" borderId="0" xfId="24" applyFont="1" applyAlignment="1" applyProtection="1">
      <alignment horizontal="center" vertical="center"/>
    </xf>
    <xf numFmtId="183" fontId="20" fillId="0" borderId="0" xfId="24" applyNumberFormat="1" applyFont="1" applyAlignment="1" applyProtection="1">
      <alignment horizontal="center" vertical="center"/>
    </xf>
    <xf numFmtId="3" fontId="20" fillId="0" borderId="0" xfId="24" applyNumberFormat="1" applyFont="1" applyAlignment="1" applyProtection="1">
      <alignment horizontal="center" vertical="center" wrapText="1"/>
    </xf>
    <xf numFmtId="183" fontId="20" fillId="0" borderId="0" xfId="24" applyNumberFormat="1" applyFont="1" applyAlignment="1" applyProtection="1">
      <alignment horizontal="center" vertical="center" wrapText="1"/>
    </xf>
    <xf numFmtId="0" fontId="20" fillId="0" borderId="0" xfId="24" applyFont="1" applyAlignment="1" applyProtection="1">
      <alignment horizontal="center" vertical="center" wrapText="1"/>
    </xf>
    <xf numFmtId="183" fontId="5" fillId="0" borderId="0" xfId="24" applyNumberFormat="1" applyProtection="1"/>
    <xf numFmtId="3" fontId="5" fillId="0" borderId="0" xfId="24" applyNumberFormat="1" applyProtection="1"/>
    <xf numFmtId="0" fontId="5" fillId="0" borderId="0" xfId="24" applyAlignment="1" applyProtection="1">
      <alignment horizontal="center"/>
    </xf>
    <xf numFmtId="183" fontId="5" fillId="0" borderId="0" xfId="24" applyNumberFormat="1" applyProtection="1">
      <protection locked="0"/>
    </xf>
    <xf numFmtId="183" fontId="5" fillId="0" borderId="0" xfId="24" applyNumberFormat="1" applyAlignment="1" applyProtection="1">
      <alignment horizontal="center"/>
    </xf>
    <xf numFmtId="182" fontId="5" fillId="0" borderId="0" xfId="24" applyNumberFormat="1" applyProtection="1"/>
    <xf numFmtId="199" fontId="5" fillId="59" borderId="48" xfId="39" applyNumberFormat="1" applyFont="1" applyFill="1" applyBorder="1" applyAlignment="1" applyProtection="1">
      <alignment horizontal="center"/>
      <protection locked="0"/>
    </xf>
    <xf numFmtId="0" fontId="5" fillId="0" borderId="0" xfId="24" applyAlignment="1" applyProtection="1">
      <alignment horizontal="center" vertical="center"/>
    </xf>
    <xf numFmtId="183" fontId="5" fillId="0" borderId="0" xfId="24" applyNumberFormat="1" applyAlignment="1" applyProtection="1">
      <alignment horizontal="center" vertical="center"/>
    </xf>
    <xf numFmtId="190" fontId="5" fillId="0" borderId="0" xfId="24" applyNumberFormat="1" applyAlignment="1" applyProtection="1">
      <alignment horizontal="center" vertical="center"/>
    </xf>
    <xf numFmtId="181" fontId="5" fillId="0" borderId="0" xfId="24" applyNumberFormat="1" applyAlignment="1" applyProtection="1">
      <alignment horizontal="center" vertical="center"/>
    </xf>
    <xf numFmtId="0" fontId="19" fillId="0" borderId="0" xfId="24" applyFont="1" applyProtection="1"/>
    <xf numFmtId="0" fontId="19" fillId="0" borderId="0" xfId="24" applyFont="1" applyAlignment="1" applyProtection="1">
      <alignment horizontal="left" vertical="center" wrapText="1"/>
    </xf>
    <xf numFmtId="0" fontId="19" fillId="0" borderId="0" xfId="24" applyFont="1" applyAlignment="1" applyProtection="1">
      <alignment horizontal="center" vertical="center" wrapText="1"/>
    </xf>
    <xf numFmtId="183" fontId="19" fillId="0" borderId="0" xfId="24" applyNumberFormat="1" applyFont="1" applyAlignment="1" applyProtection="1">
      <alignment horizontal="center" vertical="center" wrapText="1"/>
    </xf>
    <xf numFmtId="190" fontId="19" fillId="0" borderId="0" xfId="24" applyNumberFormat="1" applyFont="1" applyAlignment="1" applyProtection="1">
      <alignment horizontal="center" vertical="center" wrapText="1"/>
    </xf>
    <xf numFmtId="190" fontId="19" fillId="2" borderId="0" xfId="24" applyNumberFormat="1" applyFont="1" applyFill="1" applyAlignment="1" applyProtection="1">
      <alignment horizontal="center" vertical="center" wrapText="1"/>
    </xf>
    <xf numFmtId="3" fontId="19" fillId="2" borderId="0" xfId="24" applyNumberFormat="1" applyFont="1" applyFill="1" applyAlignment="1" applyProtection="1">
      <alignment horizontal="center" vertical="center" wrapText="1"/>
    </xf>
    <xf numFmtId="181" fontId="19" fillId="2" borderId="0" xfId="24" applyNumberFormat="1" applyFont="1" applyFill="1" applyAlignment="1" applyProtection="1">
      <alignment horizontal="center" vertical="center" wrapText="1"/>
    </xf>
    <xf numFmtId="183" fontId="19" fillId="2" borderId="0" xfId="24" applyNumberFormat="1" applyFont="1" applyFill="1" applyAlignment="1" applyProtection="1">
      <alignment horizontal="center" vertical="center" wrapText="1"/>
    </xf>
    <xf numFmtId="3" fontId="5" fillId="0" borderId="0" xfId="24" applyNumberFormat="1" applyAlignment="1" applyProtection="1">
      <alignment horizontal="center" vertical="center"/>
    </xf>
    <xf numFmtId="0" fontId="0" fillId="0" borderId="0" xfId="0"/>
    <xf numFmtId="0" fontId="21" fillId="0" borderId="0" xfId="0" applyFont="1" applyAlignment="1" applyProtection="1">
      <alignment vertical="top"/>
    </xf>
    <xf numFmtId="0" fontId="0" fillId="0" borderId="0" xfId="0" applyAlignment="1" applyProtection="1">
      <alignment vertical="top"/>
    </xf>
    <xf numFmtId="0" fontId="38" fillId="0" borderId="0" xfId="0" applyFont="1" applyAlignment="1" applyProtection="1">
      <alignment horizontal="left" vertical="center" wrapText="1"/>
    </xf>
    <xf numFmtId="0" fontId="23" fillId="0" borderId="0" xfId="27" applyFont="1" applyAlignment="1" applyProtection="1">
      <alignment horizontal="center"/>
    </xf>
    <xf numFmtId="182" fontId="0" fillId="0" borderId="62" xfId="0" applyNumberFormat="1" applyBorder="1" applyProtection="1">
      <protection locked="0"/>
    </xf>
    <xf numFmtId="0" fontId="0" fillId="0" borderId="0" xfId="0" applyAlignment="1">
      <alignment horizontal="center" vertical="top"/>
    </xf>
    <xf numFmtId="206" fontId="0" fillId="0" borderId="0" xfId="0" applyNumberFormat="1" applyAlignment="1">
      <alignment horizontal="right" vertical="center"/>
    </xf>
    <xf numFmtId="206" fontId="3" fillId="0" borderId="0" xfId="0" applyNumberFormat="1" applyFont="1" applyAlignment="1">
      <alignment horizontal="right" vertical="center"/>
    </xf>
    <xf numFmtId="0" fontId="91" fillId="0" borderId="0" xfId="0" applyFont="1"/>
    <xf numFmtId="202" fontId="11" fillId="47" borderId="0" xfId="0" applyNumberFormat="1" applyFont="1" applyFill="1" applyProtection="1"/>
    <xf numFmtId="182" fontId="0" fillId="47" borderId="87" xfId="0" applyNumberFormat="1" applyFill="1" applyBorder="1"/>
    <xf numFmtId="182" fontId="0" fillId="47" borderId="16" xfId="0" applyNumberFormat="1" applyFill="1" applyBorder="1"/>
    <xf numFmtId="182" fontId="0" fillId="47" borderId="121" xfId="0" applyNumberFormat="1" applyFill="1" applyBorder="1"/>
    <xf numFmtId="182" fontId="0" fillId="47" borderId="86" xfId="0" applyNumberFormat="1" applyFill="1" applyBorder="1"/>
    <xf numFmtId="182" fontId="0" fillId="47" borderId="119" xfId="0" applyNumberFormat="1" applyFill="1" applyBorder="1"/>
    <xf numFmtId="182" fontId="0" fillId="47" borderId="120" xfId="0" applyNumberFormat="1" applyFill="1" applyBorder="1"/>
    <xf numFmtId="9" fontId="0" fillId="8" borderId="16" xfId="178" applyFont="1" applyFill="1" applyBorder="1" applyProtection="1">
      <protection locked="0"/>
    </xf>
    <xf numFmtId="9" fontId="0" fillId="47" borderId="16" xfId="178" applyFont="1" applyFill="1" applyBorder="1" applyProtection="1">
      <protection locked="0"/>
    </xf>
    <xf numFmtId="9" fontId="0" fillId="8" borderId="86" xfId="178" applyFont="1" applyFill="1" applyBorder="1" applyProtection="1">
      <protection locked="0"/>
    </xf>
    <xf numFmtId="9" fontId="0" fillId="8" borderId="120" xfId="178" applyFont="1" applyFill="1" applyBorder="1" applyProtection="1">
      <protection locked="0"/>
    </xf>
    <xf numFmtId="3" fontId="0" fillId="47" borderId="18" xfId="0" applyNumberFormat="1" applyFill="1" applyBorder="1"/>
    <xf numFmtId="0" fontId="0" fillId="47" borderId="0" xfId="0" applyFill="1" applyAlignment="1" applyProtection="1"/>
    <xf numFmtId="0" fontId="0" fillId="47" borderId="17" xfId="0" applyFill="1" applyBorder="1" applyAlignment="1" applyProtection="1">
      <alignment horizontal="center" vertical="center"/>
      <protection locked="0"/>
    </xf>
    <xf numFmtId="182" fontId="0" fillId="47" borderId="16" xfId="0" applyNumberFormat="1" applyFill="1" applyBorder="1" applyProtection="1"/>
    <xf numFmtId="3" fontId="0" fillId="47" borderId="16" xfId="21" applyNumberFormat="1" applyFont="1" applyFill="1" applyBorder="1" applyProtection="1">
      <protection locked="0"/>
    </xf>
    <xf numFmtId="9" fontId="0" fillId="47" borderId="16" xfId="21" applyFont="1" applyFill="1" applyBorder="1" applyProtection="1">
      <protection locked="0"/>
    </xf>
    <xf numFmtId="3" fontId="0" fillId="47" borderId="16" xfId="0" applyNumberFormat="1" applyFill="1" applyBorder="1" applyProtection="1">
      <protection locked="0"/>
    </xf>
    <xf numFmtId="181" fontId="0" fillId="47" borderId="0" xfId="21" applyNumberFormat="1" applyFont="1" applyFill="1" applyProtection="1"/>
    <xf numFmtId="191" fontId="0" fillId="47" borderId="0" xfId="0" applyNumberFormat="1" applyFill="1" applyProtection="1"/>
    <xf numFmtId="190" fontId="2" fillId="47" borderId="4" xfId="231" applyNumberFormat="1" applyFont="1" applyFill="1" applyBorder="1" applyAlignment="1" applyProtection="1"/>
    <xf numFmtId="0" fontId="0" fillId="47" borderId="0" xfId="0" applyFill="1" applyAlignment="1" applyProtection="1">
      <alignment horizontal="center" vertical="center"/>
    </xf>
    <xf numFmtId="182" fontId="0" fillId="47" borderId="0" xfId="0" applyNumberFormat="1" applyFill="1" applyProtection="1"/>
    <xf numFmtId="182" fontId="0" fillId="47" borderId="0" xfId="0" applyNumberFormat="1" applyFill="1" applyProtection="1">
      <protection locked="0"/>
    </xf>
    <xf numFmtId="0" fontId="0" fillId="47" borderId="0" xfId="0" applyFill="1" applyProtection="1"/>
    <xf numFmtId="195" fontId="0" fillId="47" borderId="0" xfId="0" applyNumberFormat="1" applyFill="1" applyProtection="1"/>
    <xf numFmtId="203" fontId="0" fillId="47" borderId="0" xfId="35" applyNumberFormat="1" applyFont="1" applyFill="1" applyProtection="1"/>
    <xf numFmtId="0" fontId="0" fillId="47" borderId="0" xfId="0" applyFill="1" applyAlignment="1" applyProtection="1">
      <alignment horizontal="center"/>
    </xf>
    <xf numFmtId="190" fontId="2" fillId="47" borderId="23" xfId="169" applyNumberFormat="1" applyFont="1" applyFill="1" applyBorder="1" applyAlignment="1" applyProtection="1"/>
    <xf numFmtId="182" fontId="57" fillId="47" borderId="62" xfId="0" applyNumberFormat="1" applyFont="1" applyFill="1" applyBorder="1" applyProtection="1"/>
    <xf numFmtId="191" fontId="0" fillId="47" borderId="0" xfId="0" applyNumberFormat="1" applyFill="1" applyAlignment="1">
      <alignment horizontal="right" vertical="top"/>
    </xf>
    <xf numFmtId="0" fontId="0" fillId="47" borderId="0" xfId="0" applyFill="1" applyAlignment="1">
      <alignment horizontal="left" vertical="top"/>
    </xf>
    <xf numFmtId="0" fontId="0" fillId="47" borderId="0" xfId="0" applyFill="1" applyAlignment="1">
      <alignment horizontal="center" vertical="top"/>
    </xf>
    <xf numFmtId="191" fontId="0" fillId="47" borderId="0" xfId="0" applyNumberFormat="1" applyFill="1" applyAlignment="1">
      <alignment horizontal="center" vertical="center"/>
    </xf>
    <xf numFmtId="204" fontId="0" fillId="47" borderId="0" xfId="0" applyNumberFormat="1" applyFill="1" applyAlignment="1">
      <alignment horizontal="center" vertical="center"/>
    </xf>
    <xf numFmtId="205" fontId="0" fillId="47" borderId="0" xfId="0" applyNumberFormat="1" applyFill="1" applyAlignment="1">
      <alignment horizontal="center" vertical="center"/>
    </xf>
    <xf numFmtId="0" fontId="0" fillId="47" borderId="0" xfId="0" applyFill="1" applyAlignment="1">
      <alignment horizontal="center"/>
    </xf>
    <xf numFmtId="206" fontId="3" fillId="0" borderId="0" xfId="0" applyNumberFormat="1" applyFont="1" applyFill="1" applyAlignment="1">
      <alignment horizontal="right" vertical="center"/>
    </xf>
    <xf numFmtId="206" fontId="0" fillId="47" borderId="0" xfId="0" applyNumberFormat="1" applyFill="1" applyAlignment="1">
      <alignment horizontal="right" vertical="center"/>
    </xf>
    <xf numFmtId="182" fontId="5" fillId="47" borderId="0" xfId="24" applyNumberFormat="1" applyFill="1" applyProtection="1"/>
    <xf numFmtId="0" fontId="5" fillId="0" borderId="0" xfId="24" applyAlignment="1" applyProtection="1"/>
    <xf numFmtId="194" fontId="5" fillId="47" borderId="0" xfId="39" applyNumberFormat="1" applyFont="1" applyFill="1" applyProtection="1"/>
    <xf numFmtId="3" fontId="5" fillId="47" borderId="0" xfId="24" applyNumberFormat="1" applyFill="1" applyAlignment="1" applyProtection="1">
      <alignment horizontal="center" vertical="center"/>
    </xf>
    <xf numFmtId="3" fontId="5" fillId="47" borderId="0" xfId="24" applyNumberFormat="1" applyFill="1" applyAlignment="1">
      <alignment horizontal="center" vertical="center"/>
    </xf>
    <xf numFmtId="3" fontId="5" fillId="0" borderId="0" xfId="24" applyNumberFormat="1" applyAlignment="1">
      <alignment horizontal="center" vertical="center"/>
    </xf>
    <xf numFmtId="181" fontId="5" fillId="0" borderId="0" xfId="178" applyNumberFormat="1" applyFont="1" applyAlignment="1" applyProtection="1">
      <alignment horizontal="center" vertical="center"/>
    </xf>
    <xf numFmtId="183" fontId="5" fillId="47" borderId="0" xfId="24" applyNumberFormat="1" applyFill="1" applyAlignment="1">
      <alignment horizontal="center" vertical="center"/>
    </xf>
    <xf numFmtId="207" fontId="5" fillId="47" borderId="0" xfId="24" applyNumberFormat="1" applyFill="1" applyAlignment="1" applyProtection="1">
      <alignment horizontal="center" vertical="center"/>
    </xf>
    <xf numFmtId="0" fontId="78" fillId="0" borderId="50" xfId="0" applyFont="1" applyBorder="1" applyAlignment="1">
      <alignment horizontal="center"/>
    </xf>
    <xf numFmtId="191" fontId="20" fillId="0" borderId="126" xfId="0" applyNumberFormat="1" applyFont="1" applyBorder="1" applyAlignment="1">
      <alignment horizontal="center" vertical="center" wrapText="1"/>
    </xf>
    <xf numFmtId="165" fontId="20" fillId="0" borderId="126" xfId="0" applyNumberFormat="1" applyFont="1" applyBorder="1" applyAlignment="1">
      <alignment horizontal="center" vertical="center" wrapText="1"/>
    </xf>
    <xf numFmtId="0" fontId="21" fillId="0" borderId="126" xfId="0" applyFont="1" applyBorder="1" applyAlignment="1">
      <alignment horizontal="center"/>
    </xf>
    <xf numFmtId="191" fontId="21" fillId="67" borderId="56" xfId="0" applyNumberFormat="1" applyFont="1" applyFill="1" applyBorder="1"/>
    <xf numFmtId="191" fontId="21" fillId="67" borderId="117" xfId="0" applyNumberFormat="1" applyFont="1" applyFill="1" applyBorder="1"/>
    <xf numFmtId="191" fontId="21" fillId="0" borderId="126" xfId="0" applyNumberFormat="1" applyFont="1" applyBorder="1"/>
    <xf numFmtId="191" fontId="21" fillId="9" borderId="117" xfId="0" applyNumberFormat="1" applyFont="1" applyFill="1" applyBorder="1"/>
    <xf numFmtId="191" fontId="21" fillId="67" borderId="70" xfId="24" applyNumberFormat="1" applyFont="1" applyFill="1" applyBorder="1"/>
    <xf numFmtId="191" fontId="21" fillId="67" borderId="60" xfId="24" applyNumberFormat="1" applyFont="1" applyFill="1" applyBorder="1"/>
    <xf numFmtId="191" fontId="21" fillId="58" borderId="117" xfId="24" applyNumberFormat="1" applyFont="1" applyFill="1" applyBorder="1" applyProtection="1">
      <protection locked="0"/>
    </xf>
    <xf numFmtId="191" fontId="21" fillId="3" borderId="117" xfId="0" applyNumberFormat="1" applyFont="1" applyFill="1" applyBorder="1" applyProtection="1">
      <protection locked="0"/>
    </xf>
    <xf numFmtId="191" fontId="21" fillId="3" borderId="117" xfId="24" applyNumberFormat="1" applyFont="1" applyFill="1" applyBorder="1" applyProtection="1">
      <protection locked="0"/>
    </xf>
    <xf numFmtId="191" fontId="9" fillId="0" borderId="0" xfId="0" applyNumberFormat="1" applyFont="1" applyAlignment="1">
      <alignment shrinkToFit="1"/>
    </xf>
    <xf numFmtId="191" fontId="21" fillId="67" borderId="58" xfId="0" applyNumberFormat="1" applyFont="1" applyFill="1" applyBorder="1"/>
    <xf numFmtId="191" fontId="21" fillId="67" borderId="57" xfId="0" applyNumberFormat="1" applyFont="1" applyFill="1" applyBorder="1"/>
    <xf numFmtId="191" fontId="21" fillId="67" borderId="71" xfId="24" applyNumberFormat="1" applyFont="1" applyFill="1" applyBorder="1"/>
    <xf numFmtId="191" fontId="21" fillId="67" borderId="117" xfId="24" applyNumberFormat="1" applyFont="1" applyFill="1" applyBorder="1"/>
    <xf numFmtId="191" fontId="21" fillId="67" borderId="72" xfId="24" applyNumberFormat="1" applyFont="1" applyFill="1" applyBorder="1"/>
    <xf numFmtId="191" fontId="21" fillId="3" borderId="69" xfId="0" applyNumberFormat="1" applyFont="1" applyFill="1" applyBorder="1" applyProtection="1">
      <protection locked="0"/>
    </xf>
    <xf numFmtId="191" fontId="21" fillId="67" borderId="66" xfId="24" applyNumberFormat="1" applyFont="1" applyFill="1" applyBorder="1"/>
    <xf numFmtId="191" fontId="21" fillId="67" borderId="58" xfId="24" applyNumberFormat="1" applyFont="1" applyFill="1" applyBorder="1"/>
    <xf numFmtId="0" fontId="21" fillId="0" borderId="126" xfId="0" applyFont="1" applyBorder="1" applyAlignment="1">
      <alignment horizontal="center" vertical="center"/>
    </xf>
    <xf numFmtId="165" fontId="21" fillId="0" borderId="126" xfId="0" applyNumberFormat="1" applyFont="1" applyBorder="1" applyProtection="1">
      <protection locked="0"/>
    </xf>
    <xf numFmtId="191" fontId="21" fillId="0" borderId="126" xfId="0" applyNumberFormat="1" applyFont="1" applyBorder="1" applyProtection="1">
      <protection locked="0"/>
    </xf>
    <xf numFmtId="0" fontId="20" fillId="0" borderId="126" xfId="0" applyFont="1" applyBorder="1" applyAlignment="1">
      <alignment horizontal="center"/>
    </xf>
    <xf numFmtId="165" fontId="0" fillId="0" borderId="126" xfId="0" applyNumberFormat="1" applyBorder="1"/>
    <xf numFmtId="191" fontId="21" fillId="0" borderId="113" xfId="0" applyNumberFormat="1" applyFont="1" applyBorder="1"/>
    <xf numFmtId="191" fontId="21" fillId="9" borderId="55" xfId="0" applyNumberFormat="1" applyFont="1" applyFill="1" applyBorder="1"/>
    <xf numFmtId="0" fontId="21" fillId="0" borderId="126" xfId="0" applyFont="1" applyBorder="1"/>
    <xf numFmtId="0" fontId="22" fillId="0" borderId="126" xfId="24" applyFont="1" applyBorder="1" applyAlignment="1">
      <alignment horizontal="center"/>
    </xf>
    <xf numFmtId="165" fontId="34" fillId="5" borderId="126" xfId="0" applyNumberFormat="1" applyFont="1" applyFill="1" applyBorder="1" applyProtection="1">
      <protection locked="0"/>
    </xf>
    <xf numFmtId="0" fontId="39" fillId="2" borderId="0" xfId="319" applyFont="1" applyFill="1" applyAlignment="1">
      <alignment horizontal="left" vertical="center"/>
    </xf>
    <xf numFmtId="0" fontId="136" fillId="2" borderId="0" xfId="319" applyFill="1"/>
    <xf numFmtId="0" fontId="62" fillId="50" borderId="4" xfId="319" applyFont="1" applyFill="1" applyBorder="1" applyAlignment="1">
      <alignment horizontal="center"/>
    </xf>
    <xf numFmtId="0" fontId="62" fillId="50" borderId="4" xfId="319" applyFont="1" applyFill="1" applyBorder="1" applyAlignment="1">
      <alignment horizontal="center" wrapText="1"/>
    </xf>
    <xf numFmtId="0" fontId="136" fillId="2" borderId="4" xfId="319" applyFill="1" applyBorder="1" applyAlignment="1">
      <alignment horizontal="center" vertical="center"/>
    </xf>
    <xf numFmtId="0" fontId="136" fillId="4" borderId="4" xfId="319" applyFill="1" applyBorder="1" applyAlignment="1">
      <alignment horizontal="left" vertical="center" wrapText="1"/>
    </xf>
    <xf numFmtId="0" fontId="29" fillId="3" borderId="4" xfId="319" applyFont="1" applyFill="1" applyBorder="1" applyAlignment="1">
      <alignment horizontal="left" vertical="center" wrapText="1"/>
    </xf>
    <xf numFmtId="0" fontId="136" fillId="4" borderId="4" xfId="319" applyFill="1" applyBorder="1" applyAlignment="1">
      <alignment vertical="center" wrapText="1"/>
    </xf>
    <xf numFmtId="0" fontId="136" fillId="3" borderId="4" xfId="319" applyFill="1" applyBorder="1" applyAlignment="1">
      <alignment vertical="center" wrapText="1"/>
    </xf>
    <xf numFmtId="0" fontId="136" fillId="3" borderId="4" xfId="319" applyFill="1" applyBorder="1" applyAlignment="1">
      <alignment horizontal="left" vertical="center" wrapText="1"/>
    </xf>
    <xf numFmtId="0" fontId="0" fillId="4" borderId="4" xfId="319" applyFont="1" applyFill="1" applyBorder="1" applyAlignment="1">
      <alignment vertical="center" wrapText="1"/>
    </xf>
    <xf numFmtId="0" fontId="29" fillId="3" borderId="4" xfId="319" applyFont="1" applyFill="1" applyBorder="1" applyAlignment="1">
      <alignment vertical="center" wrapText="1"/>
    </xf>
    <xf numFmtId="181" fontId="0" fillId="0" borderId="0" xfId="21" applyNumberFormat="1" applyFont="1" applyFill="1" applyProtection="1"/>
    <xf numFmtId="191" fontId="0" fillId="0" borderId="0" xfId="0" applyNumberFormat="1" applyFill="1" applyProtection="1"/>
    <xf numFmtId="181" fontId="0" fillId="0" borderId="67" xfId="21" applyNumberFormat="1" applyFont="1" applyFill="1" applyBorder="1" applyProtection="1"/>
    <xf numFmtId="191" fontId="0" fillId="0" borderId="67" xfId="0" applyNumberFormat="1" applyFill="1" applyBorder="1" applyProtection="1"/>
    <xf numFmtId="182" fontId="0" fillId="0" borderId="62" xfId="0" applyNumberFormat="1" applyFill="1" applyBorder="1" applyProtection="1"/>
    <xf numFmtId="195" fontId="0" fillId="0" borderId="0" xfId="0" applyNumberFormat="1" applyFill="1" applyProtection="1"/>
    <xf numFmtId="194" fontId="11" fillId="0" borderId="4" xfId="0" applyNumberFormat="1" applyFont="1" applyFill="1" applyBorder="1"/>
    <xf numFmtId="191" fontId="0" fillId="0" borderId="0" xfId="0" applyNumberFormat="1" applyFill="1" applyAlignment="1">
      <alignment horizontal="right" vertical="top"/>
    </xf>
    <xf numFmtId="191" fontId="0" fillId="0" borderId="0" xfId="0" applyNumberFormat="1" applyFill="1" applyAlignment="1">
      <alignment horizontal="center" vertical="center"/>
    </xf>
    <xf numFmtId="0" fontId="0" fillId="0" borderId="0" xfId="0" applyFill="1" applyAlignment="1">
      <alignment horizontal="center"/>
    </xf>
    <xf numFmtId="182" fontId="5" fillId="0" borderId="0" xfId="24" applyNumberFormat="1" applyFill="1" applyProtection="1"/>
    <xf numFmtId="182" fontId="5" fillId="0" borderId="124" xfId="24" applyNumberFormat="1" applyFill="1" applyBorder="1" applyProtection="1">
      <protection locked="0"/>
    </xf>
    <xf numFmtId="182" fontId="5" fillId="0" borderId="125" xfId="24" applyNumberFormat="1" applyFill="1" applyBorder="1" applyProtection="1">
      <protection locked="0"/>
    </xf>
    <xf numFmtId="182" fontId="5" fillId="0" borderId="122" xfId="24" applyNumberFormat="1" applyFill="1" applyBorder="1" applyProtection="1">
      <protection locked="0"/>
    </xf>
    <xf numFmtId="182" fontId="5" fillId="0" borderId="123" xfId="24" applyNumberFormat="1" applyFill="1" applyBorder="1" applyProtection="1">
      <protection locked="0"/>
    </xf>
    <xf numFmtId="182" fontId="5" fillId="0" borderId="0" xfId="24" applyNumberFormat="1" applyFill="1"/>
    <xf numFmtId="207" fontId="5" fillId="47" borderId="0" xfId="24" applyNumberFormat="1" applyFill="1" applyAlignment="1" applyProtection="1">
      <alignment horizontal="center"/>
    </xf>
    <xf numFmtId="183" fontId="137" fillId="0" borderId="0" xfId="24" applyNumberFormat="1" applyFont="1" applyAlignment="1" applyProtection="1">
      <alignment horizontal="center"/>
    </xf>
    <xf numFmtId="3" fontId="5" fillId="47" borderId="0" xfId="24" applyNumberFormat="1" applyFill="1" applyProtection="1"/>
    <xf numFmtId="0" fontId="35" fillId="0" borderId="0" xfId="0" applyFont="1" applyFill="1"/>
    <xf numFmtId="194" fontId="19" fillId="3" borderId="0" xfId="39" applyNumberFormat="1" applyFont="1" applyFill="1" applyProtection="1">
      <protection locked="0"/>
    </xf>
    <xf numFmtId="3" fontId="5" fillId="0" borderId="0" xfId="24" applyNumberFormat="1" applyFill="1" applyAlignment="1" applyProtection="1">
      <alignment horizontal="center" vertical="center"/>
    </xf>
    <xf numFmtId="0" fontId="1" fillId="0" borderId="0" xfId="320"/>
    <xf numFmtId="0" fontId="138" fillId="0" borderId="0" xfId="320" applyFont="1" applyAlignment="1">
      <alignment horizontal="left"/>
    </xf>
    <xf numFmtId="0" fontId="1" fillId="49" borderId="127" xfId="320" applyFill="1" applyBorder="1" applyAlignment="1">
      <alignment horizontal="left"/>
    </xf>
    <xf numFmtId="0" fontId="1" fillId="49" borderId="128" xfId="320" applyFill="1" applyBorder="1"/>
    <xf numFmtId="208" fontId="1" fillId="49" borderId="129" xfId="320" applyNumberFormat="1" applyFill="1" applyBorder="1" applyAlignment="1">
      <alignment horizontal="right"/>
    </xf>
    <xf numFmtId="0" fontId="1" fillId="49" borderId="127" xfId="320" applyFill="1" applyBorder="1"/>
    <xf numFmtId="0" fontId="1" fillId="0" borderId="130" xfId="320" applyBorder="1" applyAlignment="1">
      <alignment horizontal="left"/>
    </xf>
    <xf numFmtId="0" fontId="1" fillId="0" borderId="131" xfId="320" applyBorder="1"/>
    <xf numFmtId="208" fontId="139" fillId="0" borderId="132" xfId="320" applyNumberFormat="1" applyFont="1" applyBorder="1" applyAlignment="1">
      <alignment shrinkToFit="1"/>
    </xf>
    <xf numFmtId="0" fontId="1" fillId="0" borderId="133" xfId="320" applyBorder="1"/>
    <xf numFmtId="10" fontId="139" fillId="0" borderId="134" xfId="320" applyNumberFormat="1" applyFont="1" applyBorder="1"/>
    <xf numFmtId="0" fontId="1" fillId="0" borderId="133" xfId="320" applyBorder="1" applyAlignment="1">
      <alignment horizontal="left"/>
    </xf>
    <xf numFmtId="10" fontId="1" fillId="0" borderId="134" xfId="320" applyNumberFormat="1" applyBorder="1" applyAlignment="1">
      <alignment shrinkToFit="1"/>
    </xf>
    <xf numFmtId="0" fontId="33" fillId="0" borderId="133" xfId="320" applyFont="1" applyBorder="1" applyAlignment="1">
      <alignment horizontal="left"/>
    </xf>
    <xf numFmtId="0" fontId="140" fillId="0" borderId="0" xfId="320" applyFont="1"/>
    <xf numFmtId="208" fontId="33" fillId="0" borderId="134" xfId="320" applyNumberFormat="1" applyFont="1" applyBorder="1" applyAlignment="1">
      <alignment shrinkToFit="1"/>
    </xf>
    <xf numFmtId="208" fontId="1" fillId="0" borderId="134" xfId="320" applyNumberFormat="1" applyBorder="1" applyAlignment="1">
      <alignment shrinkToFit="1"/>
    </xf>
    <xf numFmtId="0" fontId="1" fillId="0" borderId="135" xfId="320" applyBorder="1" applyAlignment="1">
      <alignment horizontal="left"/>
    </xf>
    <xf numFmtId="0" fontId="1" fillId="0" borderId="136" xfId="320" applyBorder="1"/>
    <xf numFmtId="197" fontId="1" fillId="0" borderId="137" xfId="320" applyNumberFormat="1" applyBorder="1" applyAlignment="1">
      <alignment shrinkToFit="1"/>
    </xf>
    <xf numFmtId="0" fontId="1" fillId="10" borderId="127" xfId="320" applyFill="1" applyBorder="1"/>
    <xf numFmtId="0" fontId="1" fillId="10" borderId="128" xfId="320" applyFill="1" applyBorder="1"/>
    <xf numFmtId="10" fontId="1" fillId="10" borderId="129" xfId="320" applyNumberFormat="1" applyFill="1" applyBorder="1"/>
    <xf numFmtId="0" fontId="1" fillId="0" borderId="136" xfId="320" applyBorder="1" applyAlignment="1">
      <alignment horizontal="centerContinuous" vertical="center"/>
    </xf>
    <xf numFmtId="0" fontId="1" fillId="0" borderId="127" xfId="320" applyBorder="1" applyAlignment="1">
      <alignment horizontal="centerContinuous" vertical="center"/>
    </xf>
    <xf numFmtId="0" fontId="1" fillId="0" borderId="128" xfId="320" applyBorder="1" applyAlignment="1">
      <alignment horizontal="centerContinuous" vertical="center"/>
    </xf>
    <xf numFmtId="0" fontId="1" fillId="0" borderId="129" xfId="320" applyBorder="1" applyAlignment="1">
      <alignment horizontal="centerContinuous" vertical="center"/>
    </xf>
    <xf numFmtId="0" fontId="1" fillId="0" borderId="0" xfId="320" applyAlignment="1">
      <alignment vertical="center"/>
    </xf>
    <xf numFmtId="0" fontId="5" fillId="0" borderId="127" xfId="320" applyFont="1" applyBorder="1" applyAlignment="1">
      <alignment horizontal="centerContinuous" vertical="center"/>
    </xf>
    <xf numFmtId="0" fontId="23" fillId="0" borderId="127" xfId="320" applyFont="1" applyBorder="1" applyAlignment="1">
      <alignment horizontal="centerContinuous" vertical="center" wrapText="1"/>
    </xf>
    <xf numFmtId="0" fontId="1" fillId="0" borderId="129" xfId="320" applyBorder="1" applyAlignment="1">
      <alignment horizontal="centerContinuous" vertical="center" wrapText="1"/>
    </xf>
    <xf numFmtId="0" fontId="142" fillId="0" borderId="138" xfId="320" applyFont="1" applyBorder="1" applyAlignment="1">
      <alignment horizontal="left"/>
    </xf>
    <xf numFmtId="0" fontId="1" fillId="0" borderId="138" xfId="320" applyBorder="1" applyAlignment="1">
      <alignment horizontal="center" wrapText="1"/>
    </xf>
    <xf numFmtId="0" fontId="5" fillId="0" borderId="138" xfId="320" applyFont="1" applyBorder="1" applyAlignment="1">
      <alignment horizontal="center" wrapText="1"/>
    </xf>
    <xf numFmtId="0" fontId="1" fillId="0" borderId="139" xfId="320" applyBorder="1" applyAlignment="1">
      <alignment horizontal="center" wrapText="1"/>
    </xf>
    <xf numFmtId="0" fontId="34" fillId="0" borderId="138" xfId="320" applyFont="1" applyBorder="1" applyAlignment="1">
      <alignment horizontal="center" wrapText="1"/>
    </xf>
    <xf numFmtId="0" fontId="23" fillId="0" borderId="138" xfId="320" applyFont="1" applyBorder="1" applyAlignment="1">
      <alignment horizontal="center" wrapText="1"/>
    </xf>
    <xf numFmtId="0" fontId="141" fillId="0" borderId="0" xfId="320" applyFont="1" applyAlignment="1">
      <alignment horizontal="center" vertical="center" wrapText="1"/>
    </xf>
    <xf numFmtId="208" fontId="141" fillId="0" borderId="0" xfId="320" applyNumberFormat="1" applyFont="1" applyAlignment="1">
      <alignment horizontal="center" vertical="center" wrapText="1"/>
    </xf>
    <xf numFmtId="0" fontId="142" fillId="0" borderId="138" xfId="320" applyFont="1" applyBorder="1" applyAlignment="1">
      <alignment horizontal="left" vertical="center" wrapText="1"/>
    </xf>
    <xf numFmtId="190" fontId="143" fillId="0" borderId="138" xfId="321" applyNumberFormat="1" applyFont="1" applyFill="1" applyBorder="1" applyAlignment="1">
      <alignment shrinkToFit="1"/>
    </xf>
    <xf numFmtId="44" fontId="144" fillId="0" borderId="138" xfId="322" applyFont="1" applyBorder="1"/>
    <xf numFmtId="210" fontId="144" fillId="0" borderId="138" xfId="322" applyNumberFormat="1" applyFont="1" applyFill="1" applyBorder="1"/>
    <xf numFmtId="208" fontId="34" fillId="0" borderId="138" xfId="323" applyNumberFormat="1" applyFont="1" applyFill="1" applyBorder="1"/>
    <xf numFmtId="44" fontId="5" fillId="0" borderId="138" xfId="322" applyFont="1" applyBorder="1"/>
    <xf numFmtId="210" fontId="5" fillId="0" borderId="138" xfId="322" applyNumberFormat="1" applyFont="1" applyFill="1" applyBorder="1"/>
    <xf numFmtId="211" fontId="34" fillId="0" borderId="138" xfId="322" applyNumberFormat="1" applyFont="1" applyFill="1" applyBorder="1"/>
    <xf numFmtId="211" fontId="34" fillId="0" borderId="138" xfId="322" applyNumberFormat="1" applyFont="1" applyFill="1" applyBorder="1" applyAlignment="1">
      <alignment shrinkToFit="1"/>
    </xf>
    <xf numFmtId="212" fontId="34" fillId="0" borderId="138" xfId="322" applyNumberFormat="1" applyFont="1" applyFill="1" applyBorder="1" applyAlignment="1">
      <alignment horizontal="right"/>
    </xf>
    <xf numFmtId="208" fontId="34" fillId="0" borderId="138" xfId="322" applyNumberFormat="1" applyFont="1" applyFill="1" applyBorder="1" applyAlignment="1">
      <alignment shrinkToFit="1"/>
    </xf>
    <xf numFmtId="44" fontId="23" fillId="0" borderId="138" xfId="322" applyFont="1" applyBorder="1"/>
    <xf numFmtId="192" fontId="23" fillId="0" borderId="138" xfId="322" applyNumberFormat="1" applyFont="1" applyFill="1" applyBorder="1"/>
    <xf numFmtId="209" fontId="141" fillId="0" borderId="0" xfId="320" applyNumberFormat="1" applyFont="1"/>
    <xf numFmtId="0" fontId="142" fillId="0" borderId="138" xfId="320" applyFont="1" applyBorder="1" applyAlignment="1">
      <alignment horizontal="left" vertical="center"/>
    </xf>
    <xf numFmtId="210" fontId="23" fillId="0" borderId="138" xfId="322" applyNumberFormat="1" applyFont="1" applyFill="1" applyBorder="1"/>
    <xf numFmtId="190" fontId="143" fillId="0" borderId="138" xfId="321" applyNumberFormat="1" applyFont="1" applyFill="1" applyBorder="1" applyAlignment="1">
      <alignment horizontal="center" shrinkToFit="1"/>
    </xf>
    <xf numFmtId="44" fontId="144" fillId="0" borderId="138" xfId="322" applyFont="1" applyFill="1" applyBorder="1"/>
    <xf numFmtId="192" fontId="144" fillId="0" borderId="138" xfId="322" applyNumberFormat="1" applyFont="1" applyFill="1" applyBorder="1"/>
    <xf numFmtId="208" fontId="143" fillId="0" borderId="138" xfId="322" applyNumberFormat="1" applyFont="1" applyFill="1" applyBorder="1" applyAlignment="1">
      <alignment shrinkToFit="1"/>
    </xf>
    <xf numFmtId="44" fontId="5" fillId="0" borderId="138" xfId="322" applyFont="1" applyFill="1" applyBorder="1"/>
    <xf numFmtId="192" fontId="5" fillId="0" borderId="138" xfId="322" applyNumberFormat="1" applyFont="1" applyFill="1" applyBorder="1"/>
    <xf numFmtId="44" fontId="23" fillId="0" borderId="138" xfId="322" applyFont="1" applyFill="1" applyBorder="1"/>
    <xf numFmtId="44" fontId="1" fillId="0" borderId="0" xfId="320" applyNumberFormat="1"/>
    <xf numFmtId="192" fontId="1" fillId="0" borderId="0" xfId="320" applyNumberFormat="1"/>
    <xf numFmtId="208" fontId="1" fillId="0" borderId="0" xfId="320" applyNumberFormat="1"/>
    <xf numFmtId="44" fontId="33" fillId="0" borderId="138" xfId="322" applyFont="1" applyFill="1" applyBorder="1"/>
    <xf numFmtId="44" fontId="33" fillId="0" borderId="138" xfId="322" applyFont="1" applyBorder="1"/>
    <xf numFmtId="192" fontId="23" fillId="0" borderId="138" xfId="322" applyNumberFormat="1" applyFont="1" applyBorder="1"/>
    <xf numFmtId="192" fontId="33" fillId="0" borderId="138" xfId="322" applyNumberFormat="1" applyFont="1" applyFill="1" applyBorder="1"/>
    <xf numFmtId="210" fontId="33" fillId="0" borderId="138" xfId="322" applyNumberFormat="1" applyFont="1" applyFill="1" applyBorder="1"/>
    <xf numFmtId="0" fontId="141" fillId="0" borderId="0" xfId="320" applyFont="1"/>
    <xf numFmtId="190" fontId="1" fillId="0" borderId="138" xfId="320" applyNumberFormat="1" applyBorder="1"/>
    <xf numFmtId="190" fontId="1" fillId="0" borderId="138" xfId="320" applyNumberFormat="1" applyBorder="1" applyAlignment="1">
      <alignment shrinkToFit="1"/>
    </xf>
    <xf numFmtId="0" fontId="145" fillId="0" borderId="138" xfId="320" applyFont="1" applyBorder="1"/>
    <xf numFmtId="208" fontId="34" fillId="0" borderId="138" xfId="323" applyNumberFormat="1" applyFont="1" applyFill="1" applyBorder="1" applyAlignment="1">
      <alignment shrinkToFit="1"/>
    </xf>
    <xf numFmtId="0" fontId="1" fillId="0" borderId="138" xfId="320" applyBorder="1"/>
    <xf numFmtId="190" fontId="1" fillId="0" borderId="0" xfId="320" applyNumberFormat="1"/>
    <xf numFmtId="213" fontId="0" fillId="0" borderId="0" xfId="324" applyNumberFormat="1" applyFont="1"/>
    <xf numFmtId="7" fontId="1" fillId="0" borderId="0" xfId="320" applyNumberFormat="1"/>
    <xf numFmtId="214" fontId="0" fillId="0" borderId="0" xfId="324" applyNumberFormat="1" applyFont="1"/>
    <xf numFmtId="0" fontId="1" fillId="0" borderId="0" xfId="320" applyAlignment="1">
      <alignment horizontal="right"/>
    </xf>
    <xf numFmtId="208" fontId="139" fillId="0" borderId="0" xfId="320" applyNumberFormat="1" applyFont="1"/>
    <xf numFmtId="0" fontId="146" fillId="0" borderId="0" xfId="320" applyFont="1" applyAlignment="1">
      <alignment horizontal="right"/>
    </xf>
    <xf numFmtId="215" fontId="147" fillId="0" borderId="0" xfId="320" applyNumberFormat="1" applyFont="1"/>
    <xf numFmtId="190" fontId="139" fillId="0" borderId="0" xfId="320" applyNumberFormat="1" applyFont="1"/>
    <xf numFmtId="0" fontId="29" fillId="3" borderId="4" xfId="319" applyFont="1" applyFill="1" applyBorder="1" applyAlignment="1">
      <alignment horizontal="center" vertical="center" wrapText="1"/>
    </xf>
    <xf numFmtId="0" fontId="148" fillId="0" borderId="127" xfId="320" applyFont="1" applyBorder="1" applyAlignment="1">
      <alignment horizontal="centerContinuous" vertical="center"/>
    </xf>
    <xf numFmtId="0" fontId="148" fillId="0" borderId="128" xfId="320" applyFont="1" applyBorder="1" applyAlignment="1">
      <alignment horizontal="centerContinuous" vertical="center"/>
    </xf>
    <xf numFmtId="0" fontId="148" fillId="0" borderId="129" xfId="320" applyFont="1" applyBorder="1" applyAlignment="1">
      <alignment horizontal="centerContinuous" vertical="center"/>
    </xf>
    <xf numFmtId="208" fontId="148" fillId="0" borderId="138" xfId="320" applyNumberFormat="1" applyFont="1" applyBorder="1" applyAlignment="1">
      <alignment horizontal="right" wrapText="1"/>
    </xf>
    <xf numFmtId="209" fontId="148" fillId="0" borderId="138" xfId="320" applyNumberFormat="1" applyFont="1" applyBorder="1" applyAlignment="1">
      <alignment horizontal="right" wrapText="1"/>
    </xf>
    <xf numFmtId="209" fontId="148" fillId="0" borderId="138" xfId="320" applyNumberFormat="1" applyFont="1" applyBorder="1"/>
    <xf numFmtId="0" fontId="148" fillId="0" borderId="0" xfId="320" applyFont="1"/>
    <xf numFmtId="208" fontId="148" fillId="0" borderId="0" xfId="320" applyNumberFormat="1" applyFont="1"/>
    <xf numFmtId="0" fontId="149" fillId="0" borderId="0" xfId="0" applyFont="1" applyProtection="1"/>
    <xf numFmtId="0" fontId="150" fillId="0" borderId="0" xfId="0" applyFont="1" applyAlignment="1" applyProtection="1">
      <alignment horizontal="center"/>
    </xf>
    <xf numFmtId="0" fontId="150" fillId="0" borderId="0" xfId="0" applyFont="1" applyProtection="1"/>
    <xf numFmtId="208" fontId="150" fillId="0" borderId="0" xfId="0" applyNumberFormat="1" applyFont="1"/>
    <xf numFmtId="0" fontId="0" fillId="0" borderId="0" xfId="0"/>
    <xf numFmtId="216" fontId="0" fillId="0" borderId="0" xfId="0" applyNumberFormat="1"/>
    <xf numFmtId="3" fontId="0" fillId="0" borderId="18" xfId="0" applyNumberFormat="1" applyFill="1" applyBorder="1"/>
    <xf numFmtId="182" fontId="0" fillId="0" borderId="16" xfId="0" applyNumberFormat="1" applyFill="1" applyBorder="1" applyProtection="1">
      <protection locked="0"/>
    </xf>
    <xf numFmtId="182" fontId="0" fillId="0" borderId="86" xfId="0" applyNumberFormat="1" applyFill="1" applyBorder="1" applyProtection="1">
      <protection locked="0"/>
    </xf>
    <xf numFmtId="182" fontId="0" fillId="0" borderId="120" xfId="0" applyNumberFormat="1" applyFill="1" applyBorder="1" applyProtection="1">
      <protection locked="0"/>
    </xf>
    <xf numFmtId="0" fontId="0" fillId="0" borderId="25" xfId="0" applyBorder="1" applyAlignment="1">
      <alignment horizontal="center" vertical="top" wrapText="1"/>
    </xf>
    <xf numFmtId="0" fontId="0" fillId="0" borderId="97" xfId="0" applyBorder="1" applyAlignment="1">
      <alignment horizontal="center" vertical="top" wrapText="1"/>
    </xf>
    <xf numFmtId="0" fontId="0" fillId="0" borderId="98"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78"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2" xfId="0" applyBorder="1" applyAlignment="1">
      <alignment horizontal="center" vertical="top" wrapText="1"/>
    </xf>
    <xf numFmtId="0" fontId="0" fillId="0" borderId="103" xfId="0" applyBorder="1" applyAlignment="1">
      <alignment horizontal="center" vertical="center" wrapText="1"/>
    </xf>
    <xf numFmtId="0" fontId="0" fillId="0" borderId="104" xfId="0" applyBorder="1" applyAlignment="1">
      <alignment horizontal="center" vertical="center" wrapText="1"/>
    </xf>
    <xf numFmtId="0" fontId="113" fillId="60" borderId="12" xfId="0" applyFont="1" applyFill="1" applyBorder="1" applyAlignment="1">
      <alignment horizontal="center"/>
    </xf>
    <xf numFmtId="0" fontId="113" fillId="60" borderId="13" xfId="0" applyFont="1" applyFill="1" applyBorder="1" applyAlignment="1">
      <alignment horizontal="center"/>
    </xf>
    <xf numFmtId="0" fontId="113" fillId="60" borderId="14" xfId="0" applyFont="1" applyFill="1" applyBorder="1" applyAlignment="1">
      <alignment horizontal="center"/>
    </xf>
    <xf numFmtId="0" fontId="29" fillId="0" borderId="34" xfId="317" applyFont="1" applyBorder="1" applyAlignment="1">
      <alignment horizontal="left" wrapText="1"/>
    </xf>
    <xf numFmtId="0" fontId="29" fillId="0" borderId="0" xfId="317" applyFont="1" applyAlignment="1">
      <alignment horizontal="left" wrapText="1"/>
    </xf>
    <xf numFmtId="0" fontId="29" fillId="0" borderId="79" xfId="317" applyFont="1" applyBorder="1" applyAlignment="1">
      <alignment horizontal="left" wrapText="1"/>
    </xf>
    <xf numFmtId="0" fontId="29" fillId="0" borderId="65" xfId="317" applyFont="1" applyBorder="1" applyAlignment="1">
      <alignment horizontal="left" wrapText="1"/>
    </xf>
    <xf numFmtId="0" fontId="29" fillId="0" borderId="67" xfId="317" applyFont="1" applyBorder="1" applyAlignment="1">
      <alignment horizontal="left" wrapText="1"/>
    </xf>
    <xf numFmtId="0" fontId="29" fillId="0" borderId="91" xfId="317" applyFont="1" applyBorder="1" applyAlignment="1">
      <alignment horizontal="left" wrapText="1"/>
    </xf>
    <xf numFmtId="0" fontId="3" fillId="61" borderId="29" xfId="0" applyFont="1" applyFill="1" applyBorder="1" applyAlignment="1">
      <alignment horizontal="center" vertical="center" wrapText="1"/>
    </xf>
    <xf numFmtId="0" fontId="3" fillId="61" borderId="46" xfId="0" applyFont="1" applyFill="1" applyBorder="1" applyAlignment="1">
      <alignment horizontal="center" vertical="center" wrapText="1"/>
    </xf>
    <xf numFmtId="0" fontId="38" fillId="0" borderId="0" xfId="0" applyFont="1" applyAlignment="1">
      <alignment horizontal="left" vertical="center" wrapText="1" indent="1"/>
    </xf>
    <xf numFmtId="0" fontId="38" fillId="4" borderId="1" xfId="0" applyFont="1" applyFill="1" applyBorder="1" applyAlignment="1" applyProtection="1">
      <alignment horizontal="center" vertical="center"/>
      <protection locked="0"/>
    </xf>
    <xf numFmtId="0" fontId="38" fillId="4" borderId="2" xfId="0" applyFont="1" applyFill="1" applyBorder="1" applyAlignment="1" applyProtection="1">
      <alignment horizontal="center" vertical="center"/>
      <protection locked="0"/>
    </xf>
    <xf numFmtId="0" fontId="38" fillId="4" borderId="3" xfId="0" applyFont="1" applyFill="1" applyBorder="1" applyAlignment="1" applyProtection="1">
      <alignment horizontal="center" vertical="center"/>
      <protection locked="0"/>
    </xf>
    <xf numFmtId="0" fontId="38" fillId="4" borderId="108" xfId="0" applyFont="1" applyFill="1" applyBorder="1" applyAlignment="1" applyProtection="1">
      <alignment horizontal="center" vertical="center"/>
      <protection locked="0"/>
    </xf>
    <xf numFmtId="0" fontId="38" fillId="4" borderId="109" xfId="0" applyFont="1" applyFill="1" applyBorder="1" applyAlignment="1" applyProtection="1">
      <alignment horizontal="center" vertical="center"/>
      <protection locked="0"/>
    </xf>
    <xf numFmtId="0" fontId="38" fillId="4" borderId="110" xfId="0" applyFont="1" applyFill="1" applyBorder="1" applyAlignment="1" applyProtection="1">
      <alignment horizontal="center" vertical="center"/>
      <protection locked="0"/>
    </xf>
    <xf numFmtId="0" fontId="38" fillId="0" borderId="33" xfId="0" applyFont="1" applyBorder="1" applyAlignment="1">
      <alignment horizontal="left" vertical="center" wrapText="1" indent="1"/>
    </xf>
    <xf numFmtId="0" fontId="38" fillId="0" borderId="0" xfId="0" applyFont="1" applyAlignment="1">
      <alignment horizontal="left" vertical="center" wrapText="1" indent="6"/>
    </xf>
    <xf numFmtId="0" fontId="11" fillId="0" borderId="0" xfId="0" applyFont="1" applyAlignment="1">
      <alignment horizontal="left" vertical="center" wrapText="1"/>
    </xf>
    <xf numFmtId="0" fontId="11" fillId="0" borderId="0" xfId="0" applyFont="1" applyAlignment="1">
      <alignment horizontal="left"/>
    </xf>
    <xf numFmtId="0" fontId="5" fillId="0" borderId="34"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0" fillId="0" borderId="0" xfId="0" applyAlignment="1">
      <alignment horizontal="left" wrapText="1"/>
    </xf>
    <xf numFmtId="0" fontId="0" fillId="0" borderId="0" xfId="0" applyProtection="1">
      <protection locked="0"/>
    </xf>
    <xf numFmtId="0" fontId="9" fillId="4" borderId="1"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protection locked="0"/>
    </xf>
    <xf numFmtId="0" fontId="9" fillId="4" borderId="2" xfId="0" applyFont="1" applyFill="1" applyBorder="1" applyAlignment="1" applyProtection="1">
      <alignment horizontal="left" vertical="center"/>
      <protection locked="0"/>
    </xf>
    <xf numFmtId="0" fontId="9" fillId="4" borderId="3" xfId="0" applyFont="1" applyFill="1" applyBorder="1" applyAlignment="1" applyProtection="1">
      <alignment horizontal="left" vertical="center"/>
      <protection locked="0"/>
    </xf>
    <xf numFmtId="0" fontId="9" fillId="3" borderId="1" xfId="0" applyFont="1" applyFill="1" applyBorder="1" applyAlignment="1" applyProtection="1">
      <alignment horizontal="left" vertical="center"/>
      <protection locked="0"/>
    </xf>
    <xf numFmtId="0" fontId="9" fillId="3" borderId="2" xfId="0" applyFont="1" applyFill="1" applyBorder="1" applyAlignment="1" applyProtection="1">
      <alignment horizontal="left" vertical="center"/>
      <protection locked="0"/>
    </xf>
    <xf numFmtId="0" fontId="9" fillId="3" borderId="108" xfId="0" applyFont="1" applyFill="1" applyBorder="1" applyAlignment="1" applyProtection="1">
      <alignment horizontal="center" vertical="center"/>
      <protection locked="0"/>
    </xf>
    <xf numFmtId="0" fontId="9" fillId="3" borderId="110" xfId="0" applyFont="1" applyFill="1" applyBorder="1" applyAlignment="1" applyProtection="1">
      <alignment horizontal="center" vertical="center"/>
      <protection locked="0"/>
    </xf>
    <xf numFmtId="0" fontId="72" fillId="0" borderId="0" xfId="0" applyFont="1" applyAlignment="1">
      <alignment horizontal="left" vertical="top" wrapText="1" indent="1"/>
    </xf>
    <xf numFmtId="171" fontId="9" fillId="4" borderId="1" xfId="0" applyNumberFormat="1" applyFont="1" applyFill="1" applyBorder="1" applyAlignment="1">
      <alignment horizontal="left" vertical="center"/>
    </xf>
    <xf numFmtId="171" fontId="9" fillId="4" borderId="2" xfId="0" applyNumberFormat="1" applyFont="1" applyFill="1" applyBorder="1" applyAlignment="1">
      <alignment horizontal="left" vertical="center"/>
    </xf>
    <xf numFmtId="0" fontId="10" fillId="0" borderId="0" xfId="0" applyFont="1" applyAlignment="1">
      <alignment horizontal="left" vertical="top" wrapText="1"/>
    </xf>
    <xf numFmtId="0" fontId="0" fillId="0" borderId="0" xfId="0"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wrapText="1"/>
    </xf>
    <xf numFmtId="0" fontId="98" fillId="0" borderId="0" xfId="0" applyFont="1" applyAlignment="1">
      <alignment horizontal="left" wrapText="1"/>
    </xf>
    <xf numFmtId="0" fontId="37" fillId="0" borderId="0" xfId="0" applyFont="1" applyAlignment="1">
      <alignment horizontal="left" vertical="top" wrapText="1"/>
    </xf>
    <xf numFmtId="0" fontId="10" fillId="0" borderId="0" xfId="0" applyFont="1" applyAlignment="1">
      <alignment horizontal="left" vertical="top" wrapText="1" indent="6"/>
    </xf>
    <xf numFmtId="0" fontId="10" fillId="0" borderId="0" xfId="0" applyFont="1" applyAlignment="1">
      <alignment horizontal="left" vertical="top" wrapText="1" indent="2"/>
    </xf>
    <xf numFmtId="0" fontId="14" fillId="0" borderId="0" xfId="0" applyFont="1" applyAlignment="1">
      <alignment horizontal="left" wrapText="1"/>
    </xf>
    <xf numFmtId="0" fontId="37" fillId="0" borderId="0" xfId="0" applyFont="1" applyAlignment="1">
      <alignment horizontal="left" wrapText="1"/>
    </xf>
    <xf numFmtId="0" fontId="60" fillId="0" borderId="0" xfId="0" applyFont="1" applyAlignment="1">
      <alignment horizontal="right" vertical="top" wrapText="1"/>
    </xf>
    <xf numFmtId="0" fontId="12" fillId="0" borderId="0" xfId="0" applyFont="1" applyAlignment="1">
      <alignment horizontal="left" vertical="top" wrapText="1"/>
    </xf>
    <xf numFmtId="0" fontId="60" fillId="0" borderId="0" xfId="0" applyFont="1" applyAlignment="1">
      <alignment horizontal="left" vertical="top" wrapText="1"/>
    </xf>
    <xf numFmtId="0" fontId="64" fillId="0" borderId="0" xfId="0" applyFont="1" applyAlignment="1">
      <alignment horizontal="left" wrapText="1"/>
    </xf>
    <xf numFmtId="0" fontId="64" fillId="0" borderId="0" xfId="0" applyFont="1" applyAlignment="1">
      <alignment horizontal="left" vertical="top" wrapText="1"/>
    </xf>
    <xf numFmtId="0" fontId="13" fillId="0" borderId="0" xfId="0" applyFont="1" applyAlignment="1">
      <alignment horizontal="center" vertical="top" wrapText="1"/>
    </xf>
    <xf numFmtId="0" fontId="12" fillId="0" borderId="0" xfId="0" applyFont="1" applyAlignment="1">
      <alignment horizontal="center" vertical="top" wrapText="1"/>
    </xf>
    <xf numFmtId="0" fontId="39" fillId="0" borderId="0" xfId="0" applyFont="1" applyAlignment="1">
      <alignment horizontal="center" vertical="top" wrapText="1"/>
    </xf>
    <xf numFmtId="0" fontId="14" fillId="0" borderId="0" xfId="0" applyFont="1" applyAlignment="1">
      <alignment horizontal="center" vertical="top" wrapText="1"/>
    </xf>
    <xf numFmtId="0" fontId="10" fillId="0" borderId="0" xfId="0" applyFont="1" applyAlignment="1" applyProtection="1">
      <alignment horizontal="left" vertical="top" wrapText="1"/>
      <protection locked="0"/>
    </xf>
    <xf numFmtId="0" fontId="10" fillId="2" borderId="0" xfId="0" applyFont="1" applyFill="1" applyAlignment="1" applyProtection="1">
      <alignment horizontal="left" wrapText="1" indent="2"/>
      <protection locked="0"/>
    </xf>
    <xf numFmtId="0" fontId="14"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12" fillId="2" borderId="0" xfId="0" applyFont="1" applyFill="1" applyAlignment="1" applyProtection="1">
      <alignment horizontal="left" wrapText="1"/>
      <protection locked="0"/>
    </xf>
    <xf numFmtId="0" fontId="64" fillId="2" borderId="0" xfId="0" applyFont="1" applyFill="1" applyAlignment="1" applyProtection="1">
      <alignment horizontal="left" wrapText="1"/>
      <protection locked="0"/>
    </xf>
    <xf numFmtId="0" fontId="12" fillId="2" borderId="0" xfId="0" applyFont="1" applyFill="1" applyAlignment="1">
      <alignment horizontal="left" vertical="top" wrapText="1"/>
    </xf>
    <xf numFmtId="0" fontId="98" fillId="2" borderId="0" xfId="0" applyFont="1" applyFill="1" applyAlignment="1">
      <alignment horizontal="left" vertical="top" wrapText="1"/>
    </xf>
    <xf numFmtId="40" fontId="6" fillId="2" borderId="0" xfId="0" applyNumberFormat="1" applyFont="1" applyFill="1" applyAlignment="1">
      <alignment horizontal="left" vertical="center" wrapText="1"/>
    </xf>
    <xf numFmtId="0" fontId="10" fillId="2" borderId="0" xfId="0" applyFont="1" applyFill="1" applyAlignment="1" applyProtection="1">
      <alignment horizontal="left" wrapText="1"/>
      <protection locked="0"/>
    </xf>
    <xf numFmtId="0" fontId="37" fillId="2" borderId="0" xfId="0" applyFont="1" applyFill="1" applyAlignment="1" applyProtection="1">
      <alignment horizontal="left" vertical="top" wrapText="1"/>
      <protection locked="0"/>
    </xf>
    <xf numFmtId="0" fontId="9" fillId="2" borderId="0" xfId="0" applyFont="1" applyFill="1" applyAlignment="1">
      <alignment horizontal="left" vertical="top" wrapText="1"/>
    </xf>
    <xf numFmtId="0" fontId="9" fillId="2" borderId="0" xfId="0" applyFont="1" applyFill="1" applyAlignment="1">
      <alignment horizontal="left" wrapText="1"/>
    </xf>
    <xf numFmtId="0" fontId="12" fillId="2" borderId="0" xfId="0" applyFont="1" applyFill="1" applyAlignment="1">
      <alignment horizontal="left" vertical="top"/>
    </xf>
    <xf numFmtId="0" fontId="98" fillId="2" borderId="0" xfId="0" applyFont="1" applyFill="1" applyAlignment="1">
      <alignment horizontal="left" vertical="top"/>
    </xf>
    <xf numFmtId="0" fontId="38" fillId="2" borderId="0" xfId="0" applyFont="1" applyFill="1" applyAlignment="1">
      <alignment horizontal="left" vertical="top"/>
    </xf>
    <xf numFmtId="0" fontId="9" fillId="2" borderId="0" xfId="0" applyFont="1" applyFill="1" applyAlignment="1">
      <alignment horizontal="left" vertical="top"/>
    </xf>
    <xf numFmtId="0" fontId="38" fillId="2" borderId="0" xfId="0" applyFont="1" applyFill="1" applyAlignment="1">
      <alignment horizontal="left"/>
    </xf>
    <xf numFmtId="0" fontId="9" fillId="2" borderId="0" xfId="0" applyFont="1" applyFill="1" applyAlignment="1">
      <alignment horizontal="left"/>
    </xf>
    <xf numFmtId="0" fontId="38" fillId="2" borderId="0" xfId="0" applyFont="1" applyFill="1" applyAlignment="1">
      <alignment horizontal="left" vertical="top" wrapText="1"/>
    </xf>
    <xf numFmtId="0" fontId="9" fillId="2" borderId="0" xfId="0" applyFont="1" applyFill="1" applyAlignment="1">
      <alignment horizontal="left" vertical="center" wrapText="1"/>
    </xf>
    <xf numFmtId="0" fontId="10" fillId="2" borderId="0" xfId="0" applyFont="1" applyFill="1" applyAlignment="1">
      <alignment horizontal="left" vertical="top" wrapText="1"/>
    </xf>
    <xf numFmtId="0" fontId="10" fillId="2" borderId="0" xfId="24" applyFont="1" applyFill="1" applyAlignment="1" applyProtection="1">
      <alignment horizontal="left" vertical="top" wrapText="1"/>
      <protection locked="0"/>
    </xf>
    <xf numFmtId="0" fontId="6" fillId="2" borderId="0" xfId="161" applyFont="1" applyFill="1" applyAlignment="1" applyProtection="1">
      <alignment horizontal="left" vertical="top" wrapText="1" indent="2"/>
      <protection locked="0"/>
    </xf>
    <xf numFmtId="0" fontId="0" fillId="2" borderId="0" xfId="0" applyFill="1" applyAlignment="1">
      <alignment horizontal="left" vertical="top" wrapText="1"/>
    </xf>
    <xf numFmtId="0" fontId="10" fillId="2" borderId="0" xfId="0" applyFont="1" applyFill="1" applyAlignment="1">
      <alignment horizontal="left" vertical="top" wrapText="1" indent="6"/>
    </xf>
    <xf numFmtId="0" fontId="14" fillId="2" borderId="0" xfId="24" applyFont="1" applyFill="1" applyAlignment="1" applyProtection="1">
      <alignment horizontal="center" vertical="top" wrapText="1"/>
      <protection locked="0"/>
    </xf>
    <xf numFmtId="0" fontId="60" fillId="2" borderId="0" xfId="0" applyFont="1" applyFill="1" applyAlignment="1">
      <alignment horizontal="right" vertical="top" wrapText="1"/>
    </xf>
    <xf numFmtId="0" fontId="60" fillId="2" borderId="0" xfId="0" applyFont="1" applyFill="1" applyAlignment="1">
      <alignment horizontal="right" vertical="top"/>
    </xf>
    <xf numFmtId="0" fontId="14" fillId="2" borderId="0" xfId="0" applyFont="1" applyFill="1" applyAlignment="1">
      <alignment horizontal="left" vertical="top" wrapText="1"/>
    </xf>
    <xf numFmtId="0" fontId="37" fillId="2" borderId="0" xfId="0" applyFont="1" applyFill="1" applyAlignment="1">
      <alignment horizontal="left" vertical="top" wrapText="1"/>
    </xf>
    <xf numFmtId="0" fontId="10" fillId="2" borderId="0" xfId="0" applyFont="1" applyFill="1" applyAlignment="1">
      <alignment horizontal="left" vertical="top" wrapText="1" indent="2"/>
    </xf>
    <xf numFmtId="0" fontId="88" fillId="2" borderId="0" xfId="24" applyFont="1" applyFill="1" applyAlignment="1" applyProtection="1">
      <alignment horizontal="left" vertical="top" wrapText="1"/>
      <protection locked="0"/>
    </xf>
    <xf numFmtId="179" fontId="88" fillId="2" borderId="0" xfId="24" applyNumberFormat="1" applyFont="1" applyFill="1" applyAlignment="1" applyProtection="1">
      <alignment horizontal="left" vertical="top" wrapText="1"/>
      <protection locked="0"/>
    </xf>
    <xf numFmtId="0" fontId="14" fillId="2" borderId="0" xfId="24" applyFont="1" applyFill="1" applyAlignment="1" applyProtection="1">
      <alignment horizontal="left" vertical="top"/>
      <protection locked="0"/>
    </xf>
    <xf numFmtId="0" fontId="37" fillId="2" borderId="0" xfId="24" applyFont="1" applyFill="1" applyAlignment="1">
      <alignment horizontal="left" vertical="top"/>
    </xf>
    <xf numFmtId="0" fontId="10" fillId="2" borderId="0" xfId="24" applyFont="1" applyFill="1" applyAlignment="1">
      <alignment horizontal="left" vertical="top" wrapText="1"/>
    </xf>
    <xf numFmtId="0" fontId="14" fillId="2" borderId="0" xfId="24" applyFont="1" applyFill="1" applyAlignment="1" applyProtection="1">
      <alignment horizontal="left" vertical="top" wrapText="1"/>
      <protection locked="0"/>
    </xf>
    <xf numFmtId="0" fontId="10" fillId="2" borderId="0" xfId="0" applyFont="1" applyFill="1" applyAlignment="1" applyProtection="1">
      <alignment horizontal="left" vertical="top" wrapText="1"/>
      <protection locked="0"/>
    </xf>
    <xf numFmtId="0" fontId="10" fillId="2" borderId="0" xfId="0" applyFont="1" applyFill="1" applyAlignment="1" applyProtection="1">
      <alignment horizontal="left" vertical="top" wrapText="1" indent="2"/>
      <protection locked="0"/>
    </xf>
    <xf numFmtId="0" fontId="63" fillId="2" borderId="0" xfId="0" applyFont="1" applyFill="1" applyAlignment="1">
      <alignment horizontal="left" vertical="top" wrapText="1"/>
    </xf>
    <xf numFmtId="0" fontId="93" fillId="2" borderId="0" xfId="0" applyFont="1" applyFill="1" applyAlignment="1">
      <alignment horizontal="left" vertical="top" wrapText="1"/>
    </xf>
    <xf numFmtId="0" fontId="64" fillId="2" borderId="0" xfId="0" applyFont="1" applyFill="1" applyAlignment="1">
      <alignment horizontal="left" vertical="top" wrapText="1"/>
    </xf>
    <xf numFmtId="0" fontId="13" fillId="2" borderId="0" xfId="24" applyFont="1" applyFill="1" applyAlignment="1">
      <alignment horizontal="center" vertical="top" wrapText="1"/>
    </xf>
    <xf numFmtId="0" fontId="37" fillId="2" borderId="0" xfId="0" applyFont="1" applyFill="1" applyAlignment="1">
      <alignment horizontal="left" vertical="top"/>
    </xf>
    <xf numFmtId="0" fontId="88" fillId="2" borderId="0" xfId="0" applyFont="1" applyFill="1" applyAlignment="1" applyProtection="1">
      <alignment horizontal="left" vertical="top" wrapText="1"/>
      <protection locked="0"/>
    </xf>
    <xf numFmtId="179" fontId="88" fillId="2" borderId="0" xfId="0" applyNumberFormat="1" applyFont="1" applyFill="1" applyAlignment="1" applyProtection="1">
      <alignment horizontal="left" vertical="top" wrapText="1"/>
      <protection locked="0"/>
    </xf>
    <xf numFmtId="0" fontId="14" fillId="2" borderId="0" xfId="0" applyFont="1" applyFill="1" applyAlignment="1" applyProtection="1">
      <alignment horizontal="left" vertical="top" wrapText="1"/>
      <protection locked="0"/>
    </xf>
    <xf numFmtId="0" fontId="60" fillId="2" borderId="0" xfId="0" applyFont="1" applyFill="1" applyAlignment="1" applyProtection="1">
      <alignment horizontal="right" vertical="top" wrapText="1"/>
      <protection locked="0"/>
    </xf>
    <xf numFmtId="15" fontId="74" fillId="2" borderId="0" xfId="160" applyNumberFormat="1" applyFont="1" applyFill="1" applyAlignment="1" applyProtection="1">
      <alignment horizontal="left" vertical="top" wrapText="1"/>
      <protection locked="0"/>
    </xf>
    <xf numFmtId="179" fontId="37" fillId="2" borderId="0" xfId="0" applyNumberFormat="1" applyFont="1" applyFill="1" applyAlignment="1" applyProtection="1">
      <alignment horizontal="left" vertical="top" wrapText="1"/>
      <protection locked="0"/>
    </xf>
    <xf numFmtId="0" fontId="67" fillId="2" borderId="0" xfId="0" applyFont="1" applyFill="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179" fontId="12" fillId="2" borderId="0" xfId="0" applyNumberFormat="1" applyFont="1" applyFill="1" applyAlignment="1" applyProtection="1">
      <alignment horizontal="left" vertical="top" wrapText="1"/>
      <protection locked="0"/>
    </xf>
    <xf numFmtId="0" fontId="13" fillId="2" borderId="0" xfId="0" applyFont="1" applyFill="1" applyAlignment="1">
      <alignment horizontal="center" vertical="top"/>
    </xf>
    <xf numFmtId="0" fontId="13" fillId="2" borderId="0" xfId="0" applyFont="1" applyFill="1" applyAlignment="1">
      <alignment horizontal="center" vertical="center"/>
    </xf>
    <xf numFmtId="0" fontId="12" fillId="2" borderId="0" xfId="0" applyFont="1" applyFill="1" applyAlignment="1">
      <alignment horizontal="center" vertical="top"/>
    </xf>
    <xf numFmtId="0" fontId="39" fillId="2" borderId="0" xfId="0" applyFont="1" applyFill="1" applyAlignment="1">
      <alignment horizontal="center" vertical="top" wrapText="1"/>
    </xf>
    <xf numFmtId="0" fontId="14" fillId="2" borderId="0" xfId="0" applyFont="1" applyFill="1" applyAlignment="1">
      <alignment horizontal="center" vertical="top" wrapText="1"/>
    </xf>
    <xf numFmtId="15" fontId="6" fillId="2" borderId="0" xfId="160" applyNumberFormat="1" applyFont="1" applyFill="1" applyAlignment="1" applyProtection="1">
      <alignment horizontal="left" vertical="top" wrapText="1"/>
      <protection locked="0"/>
    </xf>
    <xf numFmtId="15" fontId="6" fillId="2" borderId="0" xfId="160" applyNumberFormat="1" applyFont="1" applyFill="1" applyAlignment="1" applyProtection="1">
      <alignment horizontal="left" vertical="top" wrapText="1" indent="6"/>
      <protection locked="0"/>
    </xf>
    <xf numFmtId="0" fontId="6" fillId="2" borderId="0" xfId="0" applyFont="1" applyFill="1" applyAlignment="1">
      <alignment horizontal="left" vertical="top" wrapText="1"/>
    </xf>
    <xf numFmtId="15" fontId="6" fillId="2" borderId="0" xfId="160" applyNumberFormat="1" applyFont="1" applyFill="1" applyAlignment="1" applyProtection="1">
      <alignment horizontal="left" vertical="top" wrapText="1" indent="2"/>
      <protection locked="0"/>
    </xf>
    <xf numFmtId="0" fontId="67" fillId="2" borderId="0" xfId="0" applyFont="1" applyFill="1" applyAlignment="1">
      <alignment horizontal="left" vertical="top" wrapText="1"/>
    </xf>
    <xf numFmtId="0" fontId="13" fillId="2" borderId="0" xfId="0" applyFont="1" applyFill="1" applyAlignment="1">
      <alignment horizontal="center" vertical="top" wrapText="1"/>
    </xf>
    <xf numFmtId="0" fontId="12" fillId="2" borderId="0" xfId="0" applyFont="1" applyFill="1" applyAlignment="1">
      <alignment horizontal="center" vertical="top" wrapText="1"/>
    </xf>
    <xf numFmtId="0" fontId="60" fillId="2" borderId="0" xfId="0" applyFont="1" applyFill="1" applyAlignment="1" applyProtection="1">
      <alignment horizontal="left" vertical="top" wrapText="1"/>
      <protection locked="0"/>
    </xf>
    <xf numFmtId="0" fontId="14" fillId="2" borderId="0" xfId="0" applyFont="1" applyFill="1" applyAlignment="1">
      <alignment horizontal="left" vertical="top"/>
    </xf>
    <xf numFmtId="0" fontId="10" fillId="2" borderId="0" xfId="165" applyFont="1" applyFill="1" applyAlignment="1" applyProtection="1">
      <alignment horizontal="left" vertical="top" wrapText="1"/>
      <protection locked="0"/>
    </xf>
    <xf numFmtId="0" fontId="13" fillId="2" borderId="0" xfId="165" applyFont="1" applyFill="1" applyAlignment="1" applyProtection="1">
      <alignment horizontal="center" vertical="top" wrapText="1"/>
      <protection locked="0"/>
    </xf>
    <xf numFmtId="0" fontId="11" fillId="2" borderId="0" xfId="0" applyFont="1" applyFill="1" applyAlignment="1">
      <alignment horizontal="left" vertical="top" wrapText="1"/>
    </xf>
    <xf numFmtId="0" fontId="10" fillId="2" borderId="0" xfId="0" applyFont="1" applyFill="1" applyAlignment="1" applyProtection="1">
      <alignment horizontal="left" vertical="top" wrapText="1" indent="6"/>
      <protection locked="0"/>
    </xf>
    <xf numFmtId="0" fontId="101" fillId="2" borderId="0" xfId="0" applyFont="1" applyFill="1" applyAlignment="1">
      <alignment horizontal="center" vertical="top" wrapText="1"/>
    </xf>
    <xf numFmtId="179" fontId="10" fillId="2" borderId="0" xfId="0" applyNumberFormat="1" applyFont="1" applyFill="1" applyAlignment="1" applyProtection="1">
      <alignment horizontal="left" vertical="top" wrapText="1"/>
      <protection locked="0"/>
    </xf>
    <xf numFmtId="15" fontId="40" fillId="2" borderId="0" xfId="160" applyNumberFormat="1" applyFont="1" applyFill="1" applyAlignment="1" applyProtection="1">
      <alignment horizontal="left" vertical="top" wrapText="1"/>
      <protection locked="0"/>
    </xf>
    <xf numFmtId="0" fontId="10" fillId="2" borderId="0" xfId="0" applyFont="1" applyFill="1" applyAlignment="1">
      <alignment horizontal="left" wrapText="1"/>
    </xf>
    <xf numFmtId="0" fontId="14" fillId="2" borderId="0" xfId="0" applyFont="1" applyFill="1" applyAlignment="1" applyProtection="1">
      <alignment horizontal="left" vertical="top"/>
      <protection locked="0"/>
    </xf>
    <xf numFmtId="0" fontId="37"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indent="6"/>
    </xf>
    <xf numFmtId="0" fontId="14" fillId="2" borderId="0" xfId="0" applyFont="1" applyFill="1" applyAlignment="1" applyProtection="1">
      <alignment horizontal="left"/>
      <protection locked="0"/>
    </xf>
    <xf numFmtId="0" fontId="37" fillId="2" borderId="0" xfId="0" applyFont="1" applyFill="1" applyAlignment="1">
      <alignment horizontal="left"/>
    </xf>
    <xf numFmtId="0" fontId="6" fillId="2" borderId="0" xfId="161" applyFont="1" applyFill="1" applyAlignment="1" applyProtection="1">
      <alignment horizontal="left" wrapText="1" indent="2"/>
      <protection locked="0"/>
    </xf>
    <xf numFmtId="0" fontId="10" fillId="2" borderId="0" xfId="0" applyFont="1" applyFill="1" applyAlignment="1">
      <alignment horizontal="left" wrapText="1" indent="2"/>
    </xf>
    <xf numFmtId="0" fontId="121" fillId="2" borderId="0" xfId="0" applyFont="1" applyFill="1" applyAlignment="1" applyProtection="1">
      <alignment horizontal="left" vertical="top" wrapText="1"/>
      <protection locked="0"/>
    </xf>
    <xf numFmtId="0" fontId="98" fillId="2" borderId="0" xfId="0" applyFont="1" applyFill="1" applyAlignment="1" applyProtection="1">
      <alignment horizontal="left" vertical="top" wrapText="1"/>
      <protection locked="0"/>
    </xf>
    <xf numFmtId="0" fontId="37" fillId="2" borderId="0" xfId="0" applyFont="1" applyFill="1" applyAlignment="1">
      <alignment horizontal="left" wrapText="1"/>
    </xf>
    <xf numFmtId="0" fontId="65" fillId="2" borderId="0" xfId="0" applyFont="1" applyFill="1" applyAlignment="1">
      <alignment horizontal="left" vertical="top" wrapText="1"/>
    </xf>
    <xf numFmtId="0" fontId="10" fillId="2" borderId="0" xfId="0" applyFont="1" applyFill="1" applyAlignment="1">
      <alignment horizontal="left" wrapText="1" indent="6"/>
    </xf>
    <xf numFmtId="0" fontId="14" fillId="2" borderId="0" xfId="0" applyFont="1" applyFill="1" applyAlignment="1" applyProtection="1">
      <alignment horizontal="center" vertical="top" wrapText="1"/>
      <protection locked="0"/>
    </xf>
    <xf numFmtId="0" fontId="13" fillId="2" borderId="0" xfId="0" applyFont="1" applyFill="1" applyAlignment="1" applyProtection="1">
      <alignment horizontal="center" vertical="top" wrapText="1"/>
      <protection locked="0"/>
    </xf>
    <xf numFmtId="0" fontId="12" fillId="2" borderId="0" xfId="0" applyFont="1" applyFill="1" applyAlignment="1" applyProtection="1">
      <alignment horizontal="center" vertical="top" wrapText="1"/>
      <protection locked="0"/>
    </xf>
    <xf numFmtId="0" fontId="10" fillId="2" borderId="0" xfId="0" applyFont="1" applyFill="1" applyAlignment="1" applyProtection="1">
      <alignment horizontal="left" vertical="center"/>
      <protection locked="0"/>
    </xf>
    <xf numFmtId="0" fontId="0" fillId="0" borderId="0" xfId="0" applyAlignment="1">
      <alignment horizontal="left" vertical="center"/>
    </xf>
    <xf numFmtId="179" fontId="10" fillId="2" borderId="0" xfId="0" applyNumberFormat="1" applyFont="1" applyFill="1" applyAlignment="1" applyProtection="1">
      <alignment horizontal="right" vertical="center"/>
      <protection locked="0"/>
    </xf>
    <xf numFmtId="0" fontId="0" fillId="0" borderId="0" xfId="0" applyAlignment="1">
      <alignment horizontal="right" vertical="center"/>
    </xf>
    <xf numFmtId="0" fontId="67" fillId="2" borderId="0" xfId="24" applyFont="1" applyFill="1" applyAlignment="1" applyProtection="1">
      <alignment horizontal="left" vertical="top" wrapText="1"/>
      <protection locked="0"/>
    </xf>
    <xf numFmtId="0" fontId="37" fillId="2" borderId="0" xfId="24" applyFont="1" applyFill="1" applyAlignment="1">
      <alignment horizontal="left" vertical="top" wrapText="1"/>
    </xf>
    <xf numFmtId="0" fontId="10" fillId="2" borderId="0" xfId="24" applyFont="1" applyFill="1" applyAlignment="1">
      <alignment horizontal="left" vertical="top" wrapText="1" indent="2"/>
    </xf>
    <xf numFmtId="0" fontId="39" fillId="2" borderId="0" xfId="0" applyFont="1" applyFill="1" applyAlignment="1" applyProtection="1">
      <alignment horizontal="center" vertical="top" wrapText="1"/>
      <protection locked="0"/>
    </xf>
    <xf numFmtId="0" fontId="10" fillId="2" borderId="0" xfId="24" applyFont="1" applyFill="1" applyAlignment="1" applyProtection="1">
      <alignment horizontal="left" vertical="top" wrapText="1" indent="6"/>
      <protection locked="0"/>
    </xf>
    <xf numFmtId="0" fontId="37" fillId="2" borderId="0" xfId="24" applyFont="1" applyFill="1" applyAlignment="1" applyProtection="1">
      <alignment horizontal="left" vertical="top" wrapText="1"/>
      <protection locked="0"/>
    </xf>
    <xf numFmtId="179" fontId="37" fillId="2" borderId="0" xfId="24" applyNumberFormat="1" applyFont="1" applyFill="1" applyAlignment="1" applyProtection="1">
      <alignment horizontal="left" vertical="top" wrapText="1"/>
      <protection locked="0"/>
    </xf>
    <xf numFmtId="179" fontId="10" fillId="2" borderId="0" xfId="24" applyNumberFormat="1" applyFont="1" applyFill="1" applyAlignment="1" applyProtection="1">
      <alignment horizontal="left" vertical="top" wrapText="1"/>
      <protection locked="0"/>
    </xf>
    <xf numFmtId="0" fontId="37" fillId="2" borderId="0" xfId="0" applyFont="1" applyFill="1" applyAlignment="1" applyProtection="1">
      <alignment horizontal="left" wrapText="1"/>
      <protection locked="0"/>
    </xf>
    <xf numFmtId="0" fontId="10" fillId="2" borderId="0" xfId="0" applyFont="1" applyFill="1" applyAlignment="1" applyProtection="1">
      <alignment horizontal="left" wrapText="1" indent="6"/>
      <protection locked="0"/>
    </xf>
    <xf numFmtId="0" fontId="64"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60" fillId="2" borderId="0" xfId="0" applyFont="1" applyFill="1" applyAlignment="1" applyProtection="1">
      <alignment horizontal="left" wrapText="1"/>
      <protection locked="0"/>
    </xf>
    <xf numFmtId="0" fontId="98" fillId="2" borderId="0" xfId="0" applyFont="1" applyFill="1" applyAlignment="1" applyProtection="1">
      <alignment horizontal="left" wrapText="1"/>
      <protection locked="0"/>
    </xf>
    <xf numFmtId="0" fontId="14" fillId="2" borderId="0" xfId="0" applyFont="1" applyFill="1" applyAlignment="1">
      <alignment horizontal="left" wrapText="1"/>
    </xf>
    <xf numFmtId="0" fontId="10" fillId="2" borderId="0" xfId="0" applyFont="1" applyFill="1" applyAlignment="1" applyProtection="1">
      <alignment horizontal="left" vertical="center" wrapText="1"/>
      <protection locked="0"/>
    </xf>
    <xf numFmtId="0" fontId="10" fillId="2" borderId="0" xfId="0" applyFont="1" applyFill="1" applyAlignment="1">
      <alignment horizontal="left" vertical="center" wrapText="1"/>
    </xf>
    <xf numFmtId="40" fontId="40" fillId="2" borderId="0" xfId="0" applyNumberFormat="1" applyFont="1" applyFill="1" applyAlignment="1">
      <alignment horizontal="left" wrapText="1"/>
    </xf>
    <xf numFmtId="40" fontId="105" fillId="2" borderId="0" xfId="0" applyNumberFormat="1" applyFont="1" applyFill="1" applyAlignment="1">
      <alignment horizontal="left" wrapText="1"/>
    </xf>
    <xf numFmtId="0" fontId="6" fillId="2" borderId="0" xfId="0" applyFont="1" applyFill="1" applyAlignment="1">
      <alignment horizontal="left" vertical="center" wrapText="1"/>
    </xf>
    <xf numFmtId="0" fontId="40" fillId="2" borderId="0" xfId="0" applyFont="1" applyFill="1" applyAlignment="1">
      <alignment horizontal="left" wrapText="1"/>
    </xf>
    <xf numFmtId="0" fontId="105" fillId="2" borderId="0" xfId="0" applyFont="1" applyFill="1" applyAlignment="1">
      <alignment horizontal="left" wrapText="1"/>
    </xf>
    <xf numFmtId="40" fontId="6" fillId="2" borderId="0" xfId="0" quotePrefix="1" applyNumberFormat="1" applyFont="1" applyFill="1" applyAlignment="1">
      <alignment horizontal="left" vertical="center" wrapText="1"/>
    </xf>
    <xf numFmtId="0" fontId="88" fillId="2" borderId="0" xfId="0" applyFont="1" applyFill="1" applyAlignment="1">
      <alignment horizontal="left" vertical="top" wrapText="1"/>
    </xf>
    <xf numFmtId="0" fontId="6" fillId="2" borderId="0" xfId="0" applyFont="1" applyFill="1" applyAlignment="1">
      <alignment horizontal="left" wrapText="1"/>
    </xf>
    <xf numFmtId="0" fontId="67" fillId="2" borderId="0" xfId="0" applyFont="1" applyFill="1" applyAlignment="1" applyProtection="1">
      <alignment horizontal="left" wrapText="1"/>
      <protection locked="0"/>
    </xf>
    <xf numFmtId="15" fontId="40" fillId="2" borderId="0" xfId="160" applyNumberFormat="1" applyFont="1" applyFill="1" applyAlignment="1" applyProtection="1">
      <alignment horizontal="left" wrapText="1"/>
      <protection locked="0"/>
    </xf>
    <xf numFmtId="0" fontId="23" fillId="2" borderId="0" xfId="0" applyFont="1" applyFill="1" applyAlignment="1">
      <alignment horizontal="left" wrapText="1"/>
    </xf>
    <xf numFmtId="0" fontId="10" fillId="0" borderId="0" xfId="0" applyFont="1" applyAlignment="1">
      <alignment horizontal="left" wrapText="1"/>
    </xf>
    <xf numFmtId="0" fontId="6" fillId="2" borderId="0" xfId="0" applyFont="1" applyFill="1" applyAlignment="1">
      <alignment horizontal="left" wrapText="1" indent="2"/>
    </xf>
    <xf numFmtId="0" fontId="60" fillId="2" borderId="0" xfId="0" applyFont="1" applyFill="1" applyAlignment="1">
      <alignment horizontal="left" vertical="top" wrapText="1"/>
    </xf>
    <xf numFmtId="0" fontId="67" fillId="2" borderId="0" xfId="0" applyFont="1" applyFill="1" applyAlignment="1">
      <alignment horizontal="left" vertical="top"/>
    </xf>
    <xf numFmtId="180" fontId="10" fillId="2" borderId="0" xfId="0" applyNumberFormat="1" applyFont="1" applyFill="1" applyAlignment="1">
      <alignment horizontal="left" vertical="top" wrapText="1"/>
    </xf>
    <xf numFmtId="0" fontId="14" fillId="2" borderId="89" xfId="0" applyFont="1" applyFill="1" applyBorder="1" applyAlignment="1" applyProtection="1">
      <alignment horizontal="left" vertical="top" wrapText="1"/>
      <protection locked="0"/>
    </xf>
    <xf numFmtId="0" fontId="10" fillId="2" borderId="89" xfId="0" applyFont="1" applyFill="1" applyBorder="1" applyAlignment="1">
      <alignment horizontal="left" vertical="top" wrapText="1"/>
    </xf>
    <xf numFmtId="0" fontId="6" fillId="2" borderId="0" xfId="0" applyFont="1" applyFill="1" applyAlignment="1">
      <alignment horizontal="left" vertical="top" wrapText="1" indent="2"/>
    </xf>
    <xf numFmtId="0" fontId="14" fillId="2" borderId="0" xfId="106" applyFont="1" applyFill="1" applyAlignment="1" applyProtection="1">
      <alignment horizontal="left" vertical="top"/>
      <protection locked="0"/>
    </xf>
    <xf numFmtId="0" fontId="40" fillId="2" borderId="0" xfId="0" applyFont="1" applyFill="1" applyAlignment="1">
      <alignment horizontal="left" vertical="top" wrapText="1"/>
    </xf>
    <xf numFmtId="0" fontId="59" fillId="2" borderId="0" xfId="0" applyFont="1" applyFill="1" applyAlignment="1">
      <alignment horizontal="left" vertical="top" wrapText="1"/>
    </xf>
    <xf numFmtId="0" fontId="23" fillId="2" borderId="0" xfId="0" applyFont="1" applyFill="1" applyAlignment="1">
      <alignment horizontal="left" vertical="top" wrapText="1"/>
    </xf>
    <xf numFmtId="0" fontId="6" fillId="2" borderId="0" xfId="0" applyFont="1" applyFill="1" applyAlignment="1" applyProtection="1">
      <alignment horizontal="left" vertical="top" wrapText="1"/>
      <protection locked="0"/>
    </xf>
    <xf numFmtId="0" fontId="6" fillId="2" borderId="0" xfId="0" applyFont="1" applyFill="1" applyAlignment="1">
      <alignment horizontal="left" vertical="top" wrapText="1" indent="6"/>
    </xf>
    <xf numFmtId="0" fontId="117" fillId="2" borderId="0" xfId="0" applyFont="1" applyFill="1" applyAlignment="1">
      <alignment horizontal="left" vertical="top" wrapText="1"/>
    </xf>
    <xf numFmtId="0" fontId="88" fillId="2" borderId="0" xfId="0" applyFont="1" applyFill="1" applyAlignment="1">
      <alignment horizontal="left" vertical="top" wrapText="1" indent="2"/>
    </xf>
    <xf numFmtId="0" fontId="6" fillId="2" borderId="0" xfId="0" applyFont="1" applyFill="1" applyAlignment="1">
      <alignment vertical="top" wrapText="1"/>
    </xf>
    <xf numFmtId="0" fontId="88" fillId="2" borderId="0" xfId="0" applyFont="1" applyFill="1" applyAlignment="1">
      <alignment vertical="top" wrapText="1"/>
    </xf>
    <xf numFmtId="168" fontId="6" fillId="2" borderId="0" xfId="168" applyFont="1" applyFill="1" applyAlignment="1">
      <alignment horizontal="left" vertical="top" wrapText="1" indent="2"/>
    </xf>
    <xf numFmtId="168" fontId="88" fillId="2" borderId="0" xfId="168" applyFont="1" applyFill="1" applyAlignment="1">
      <alignment horizontal="left" vertical="top" wrapText="1" indent="2"/>
    </xf>
    <xf numFmtId="0" fontId="14" fillId="2" borderId="0" xfId="0" applyFont="1" applyFill="1" applyAlignment="1">
      <alignment horizontal="center" vertical="top"/>
    </xf>
    <xf numFmtId="0" fontId="60" fillId="2" borderId="0" xfId="0" applyFont="1" applyFill="1" applyAlignment="1">
      <alignment horizontal="left" vertical="top" wrapText="1" indent="2"/>
    </xf>
    <xf numFmtId="0" fontId="12" fillId="2" borderId="0" xfId="165" applyFont="1" applyFill="1" applyAlignment="1" applyProtection="1">
      <alignment horizontal="center" vertical="top" wrapText="1"/>
      <protection locked="0"/>
    </xf>
    <xf numFmtId="0" fontId="39" fillId="2" borderId="0" xfId="165" applyFont="1" applyFill="1" applyAlignment="1" applyProtection="1">
      <alignment horizontal="center" vertical="top" wrapText="1"/>
      <protection locked="0"/>
    </xf>
    <xf numFmtId="0" fontId="14" fillId="2" borderId="0" xfId="165" applyFont="1" applyFill="1" applyAlignment="1" applyProtection="1">
      <alignment horizontal="center" vertical="top" wrapText="1"/>
      <protection locked="0"/>
    </xf>
    <xf numFmtId="0" fontId="60" fillId="2" borderId="0" xfId="165" applyFont="1" applyFill="1" applyAlignment="1" applyProtection="1">
      <alignment horizontal="right" vertical="top" wrapText="1"/>
      <protection locked="0"/>
    </xf>
    <xf numFmtId="0" fontId="12" fillId="2" borderId="0" xfId="165" applyFont="1" applyFill="1" applyAlignment="1" applyProtection="1">
      <alignment horizontal="left" vertical="top" wrapText="1"/>
      <protection locked="0"/>
    </xf>
    <xf numFmtId="0" fontId="67" fillId="2" borderId="0" xfId="165" applyFont="1" applyFill="1" applyAlignment="1" applyProtection="1">
      <alignment horizontal="left" vertical="top" wrapText="1"/>
      <protection locked="0"/>
    </xf>
    <xf numFmtId="0" fontId="14" fillId="2" borderId="0" xfId="165" applyFont="1" applyFill="1" applyAlignment="1" applyProtection="1">
      <alignment horizontal="left" vertical="top"/>
      <protection locked="0"/>
    </xf>
    <xf numFmtId="0" fontId="14" fillId="2" borderId="0" xfId="24" applyFont="1" applyFill="1" applyAlignment="1">
      <alignment horizontal="center" vertical="top" wrapText="1"/>
    </xf>
    <xf numFmtId="0" fontId="12" fillId="2" borderId="0" xfId="24" applyFont="1" applyFill="1" applyAlignment="1">
      <alignment horizontal="center" vertical="top" wrapText="1"/>
    </xf>
    <xf numFmtId="0" fontId="39" fillId="2" borderId="0" xfId="24" applyFont="1" applyFill="1" applyAlignment="1">
      <alignment horizontal="center" vertical="top" wrapText="1"/>
    </xf>
    <xf numFmtId="0" fontId="12" fillId="2" borderId="0" xfId="24" applyFont="1" applyFill="1" applyAlignment="1" applyProtection="1">
      <alignment horizontal="left" vertical="top" wrapText="1"/>
      <protection locked="0"/>
    </xf>
    <xf numFmtId="179" fontId="12" fillId="2" borderId="0" xfId="24" applyNumberFormat="1" applyFont="1" applyFill="1" applyAlignment="1" applyProtection="1">
      <alignment horizontal="left" vertical="top" wrapText="1"/>
      <protection locked="0"/>
    </xf>
    <xf numFmtId="179" fontId="37" fillId="2" borderId="0" xfId="24" applyNumberFormat="1" applyFont="1" applyFill="1" applyAlignment="1">
      <alignment horizontal="left" vertical="top" wrapText="1"/>
    </xf>
    <xf numFmtId="0" fontId="10" fillId="0" borderId="0" xfId="0" applyFont="1" applyAlignment="1" applyProtection="1">
      <alignment horizontal="left" wrapText="1"/>
      <protection locked="0"/>
    </xf>
    <xf numFmtId="0" fontId="126" fillId="2" borderId="0" xfId="0" applyFont="1" applyFill="1" applyAlignment="1">
      <alignment horizontal="left" wrapText="1"/>
    </xf>
    <xf numFmtId="0" fontId="12" fillId="2" borderId="0" xfId="0" applyFont="1" applyFill="1" applyAlignment="1">
      <alignment horizontal="left" wrapText="1"/>
    </xf>
    <xf numFmtId="0" fontId="98" fillId="2" borderId="0" xfId="0" applyFont="1" applyFill="1" applyAlignment="1">
      <alignment horizontal="left" wrapText="1"/>
    </xf>
    <xf numFmtId="0" fontId="60" fillId="2" borderId="0" xfId="0" applyFont="1" applyFill="1" applyAlignment="1">
      <alignment horizontal="left" wrapText="1"/>
    </xf>
    <xf numFmtId="0" fontId="37" fillId="2" borderId="0" xfId="0" applyFont="1" applyFill="1" applyAlignment="1" applyProtection="1">
      <alignment horizontal="left" vertical="top"/>
      <protection locked="0"/>
    </xf>
    <xf numFmtId="0" fontId="12" fillId="2" borderId="0" xfId="0" applyFont="1" applyFill="1" applyAlignment="1" applyProtection="1">
      <alignment horizontal="left" vertical="top"/>
      <protection locked="0"/>
    </xf>
    <xf numFmtId="0" fontId="37" fillId="2" borderId="0" xfId="211" applyFont="1" applyFill="1" applyAlignment="1">
      <alignment horizontal="left" vertical="top" wrapText="1"/>
    </xf>
    <xf numFmtId="0" fontId="37" fillId="2" borderId="0" xfId="214" applyFont="1" applyFill="1" applyAlignment="1">
      <alignment horizontal="left" vertical="top" wrapText="1"/>
    </xf>
    <xf numFmtId="0" fontId="37" fillId="2" borderId="0" xfId="106" applyFont="1" applyFill="1" applyAlignment="1" applyProtection="1">
      <alignment horizontal="left" vertical="top" wrapText="1"/>
      <protection locked="0"/>
    </xf>
    <xf numFmtId="0" fontId="10" fillId="2" borderId="106" xfId="0" applyFont="1" applyFill="1" applyBorder="1" applyAlignment="1">
      <alignment horizontal="left" wrapText="1"/>
    </xf>
    <xf numFmtId="0" fontId="12" fillId="2" borderId="0" xfId="106" applyFont="1" applyFill="1" applyAlignment="1" applyProtection="1">
      <alignment horizontal="left" vertical="top" wrapText="1"/>
      <protection locked="0"/>
    </xf>
    <xf numFmtId="0" fontId="10" fillId="2" borderId="106" xfId="0" applyFont="1" applyFill="1" applyBorder="1" applyAlignment="1" applyProtection="1">
      <alignment horizontal="left" wrapText="1"/>
      <protection locked="0"/>
    </xf>
    <xf numFmtId="0" fontId="14" fillId="2" borderId="0" xfId="106" applyFont="1" applyFill="1" applyAlignment="1" applyProtection="1">
      <alignment horizontal="left" wrapText="1"/>
      <protection locked="0"/>
    </xf>
    <xf numFmtId="0" fontId="20" fillId="2" borderId="0" xfId="0" applyFont="1" applyFill="1" applyAlignment="1">
      <alignment horizontal="left" wrapText="1"/>
    </xf>
    <xf numFmtId="0" fontId="21" fillId="2" borderId="0" xfId="0" applyFont="1" applyFill="1" applyAlignment="1">
      <alignment horizontal="left" wrapText="1"/>
    </xf>
    <xf numFmtId="0" fontId="37" fillId="2" borderId="0" xfId="0" applyFont="1" applyFill="1" applyAlignment="1">
      <alignment horizontal="left" vertical="top" wrapText="1" indent="2"/>
    </xf>
    <xf numFmtId="0" fontId="88" fillId="2" borderId="0" xfId="0" applyFont="1" applyFill="1" applyAlignment="1">
      <alignment horizontal="left" vertical="top" wrapText="1" indent="4"/>
    </xf>
    <xf numFmtId="0" fontId="88" fillId="2" borderId="0" xfId="0" applyFont="1" applyFill="1" applyAlignment="1">
      <alignment horizontal="left" wrapText="1"/>
    </xf>
    <xf numFmtId="0" fontId="20" fillId="2" borderId="0" xfId="0" applyFont="1" applyFill="1" applyAlignment="1">
      <alignment horizontal="left" vertical="center" wrapText="1"/>
    </xf>
    <xf numFmtId="0" fontId="10" fillId="2" borderId="0" xfId="0" applyFont="1" applyFill="1" applyAlignment="1">
      <alignment wrapText="1"/>
    </xf>
    <xf numFmtId="0" fontId="10" fillId="2" borderId="0" xfId="0" quotePrefix="1" applyFont="1" applyFill="1" applyAlignment="1">
      <alignment horizontal="left" wrapText="1"/>
    </xf>
    <xf numFmtId="0" fontId="13" fillId="2" borderId="0" xfId="0" applyFont="1" applyFill="1" applyAlignment="1">
      <alignment horizontal="center" vertical="center" wrapText="1"/>
    </xf>
    <xf numFmtId="0" fontId="6" fillId="2" borderId="0" xfId="164" applyFont="1" applyFill="1" applyAlignment="1" applyProtection="1">
      <alignment horizontal="left" vertical="top" wrapText="1" indent="2"/>
      <protection locked="0"/>
    </xf>
    <xf numFmtId="0" fontId="39" fillId="2" borderId="0" xfId="0" applyFont="1" applyFill="1" applyAlignment="1">
      <alignment horizontal="center" vertical="top"/>
    </xf>
    <xf numFmtId="0" fontId="10" fillId="2" borderId="76" xfId="0" applyFont="1" applyFill="1" applyBorder="1" applyAlignment="1" applyProtection="1">
      <alignment horizontal="left" vertical="top" wrapText="1"/>
      <protection locked="0"/>
    </xf>
    <xf numFmtId="0" fontId="10" fillId="2" borderId="76" xfId="0" applyFont="1" applyFill="1" applyBorder="1" applyAlignment="1">
      <alignment horizontal="left" vertical="top" wrapText="1"/>
    </xf>
    <xf numFmtId="0" fontId="10" fillId="2" borderId="75" xfId="0" applyFont="1" applyFill="1" applyBorder="1" applyAlignment="1" applyProtection="1">
      <alignment horizontal="left" vertical="top" wrapText="1"/>
      <protection locked="0"/>
    </xf>
    <xf numFmtId="0" fontId="0" fillId="2" borderId="75" xfId="0" applyFill="1" applyBorder="1" applyAlignment="1">
      <alignment horizontal="left" vertical="top" wrapText="1"/>
    </xf>
    <xf numFmtId="0" fontId="14" fillId="2" borderId="76" xfId="0" applyFont="1" applyFill="1" applyBorder="1" applyAlignment="1" applyProtection="1">
      <alignment horizontal="left" vertical="top" wrapText="1"/>
      <protection locked="0"/>
    </xf>
    <xf numFmtId="0" fontId="10" fillId="2" borderId="89" xfId="0" applyFont="1" applyFill="1" applyBorder="1" applyAlignment="1" applyProtection="1">
      <alignment horizontal="left" vertical="top" wrapText="1"/>
      <protection locked="0"/>
    </xf>
    <xf numFmtId="0" fontId="0" fillId="2" borderId="76" xfId="0" applyFill="1" applyBorder="1" applyAlignment="1">
      <alignment horizontal="left" vertical="top" wrapText="1"/>
    </xf>
    <xf numFmtId="179" fontId="67" fillId="2" borderId="0" xfId="0" applyNumberFormat="1" applyFont="1" applyFill="1" applyAlignment="1" applyProtection="1">
      <alignment horizontal="left" vertical="top" wrapText="1"/>
      <protection locked="0"/>
    </xf>
    <xf numFmtId="0" fontId="13" fillId="2" borderId="0" xfId="0" applyFont="1" applyFill="1" applyAlignment="1" applyProtection="1">
      <alignment horizontal="center" vertical="center" wrapText="1"/>
      <protection locked="0"/>
    </xf>
    <xf numFmtId="0" fontId="14" fillId="2" borderId="0" xfId="0" applyFont="1" applyFill="1" applyAlignment="1" applyProtection="1">
      <alignment horizontal="center" vertical="top"/>
      <protection locked="0"/>
    </xf>
    <xf numFmtId="0" fontId="60" fillId="2" borderId="0" xfId="0" applyFont="1" applyFill="1" applyAlignment="1" applyProtection="1">
      <alignment horizontal="right" vertical="top"/>
      <protection locked="0"/>
    </xf>
    <xf numFmtId="0" fontId="10" fillId="2" borderId="0" xfId="0" applyFont="1" applyFill="1"/>
    <xf numFmtId="0" fontId="23" fillId="2" borderId="0" xfId="0" applyFont="1" applyFill="1" applyAlignment="1" applyProtection="1">
      <alignment horizontal="left"/>
      <protection locked="0"/>
    </xf>
    <xf numFmtId="0" fontId="10" fillId="2" borderId="0" xfId="0" applyFont="1" applyFill="1" applyAlignment="1" applyProtection="1">
      <alignment wrapText="1"/>
      <protection locked="0"/>
    </xf>
    <xf numFmtId="0" fontId="10" fillId="2" borderId="0" xfId="0" applyFont="1" applyFill="1" applyAlignment="1">
      <alignment horizontal="left" vertical="top" indent="2"/>
    </xf>
    <xf numFmtId="0" fontId="13" fillId="2" borderId="0" xfId="0" applyFont="1" applyFill="1" applyAlignment="1" applyProtection="1">
      <alignment horizontal="center" vertical="top"/>
      <protection locked="0"/>
    </xf>
    <xf numFmtId="0" fontId="12" fillId="2" borderId="0" xfId="0" applyFont="1" applyFill="1" applyAlignment="1" applyProtection="1">
      <alignment horizontal="center" vertical="top"/>
      <protection locked="0"/>
    </xf>
    <xf numFmtId="0" fontId="67" fillId="2" borderId="0" xfId="0" applyFont="1" applyFill="1" applyAlignment="1" applyProtection="1">
      <alignment horizontal="left" vertical="top"/>
      <protection locked="0"/>
    </xf>
    <xf numFmtId="0" fontId="13" fillId="2" borderId="0" xfId="24" applyFont="1" applyFill="1" applyAlignment="1" applyProtection="1">
      <alignment horizontal="center" vertical="top" wrapText="1"/>
      <protection locked="0"/>
    </xf>
    <xf numFmtId="0" fontId="12" fillId="2" borderId="0" xfId="24" applyFont="1" applyFill="1" applyAlignment="1" applyProtection="1">
      <alignment horizontal="center" vertical="top" wrapText="1"/>
      <protection locked="0"/>
    </xf>
    <xf numFmtId="0" fontId="39" fillId="2" borderId="0" xfId="24" applyFont="1" applyFill="1" applyAlignment="1" applyProtection="1">
      <alignment horizontal="center" vertical="top" wrapText="1"/>
      <protection locked="0"/>
    </xf>
    <xf numFmtId="0" fontId="98" fillId="2" borderId="0" xfId="24" applyFont="1" applyFill="1" applyAlignment="1">
      <alignment horizontal="left" vertical="top" wrapText="1"/>
    </xf>
    <xf numFmtId="0" fontId="37" fillId="2" borderId="0" xfId="212" applyFont="1" applyFill="1" applyAlignment="1">
      <alignment horizontal="left" vertical="top" wrapText="1"/>
    </xf>
    <xf numFmtId="15" fontId="40" fillId="2" borderId="0" xfId="160" applyNumberFormat="1" applyFont="1" applyFill="1" applyAlignment="1" applyProtection="1">
      <alignment horizontal="left" vertical="top"/>
      <protection locked="0"/>
    </xf>
    <xf numFmtId="0" fontId="98" fillId="2" borderId="0" xfId="24" applyFont="1" applyFill="1" applyAlignment="1">
      <alignment horizontal="left" vertical="top"/>
    </xf>
    <xf numFmtId="0" fontId="37" fillId="2" borderId="0" xfId="213" applyFont="1" applyFill="1" applyAlignment="1">
      <alignment horizontal="left" vertical="top" wrapText="1"/>
    </xf>
    <xf numFmtId="0" fontId="23" fillId="2" borderId="0" xfId="24" applyFont="1" applyFill="1" applyAlignment="1" applyProtection="1">
      <alignment horizontal="left" vertical="top"/>
      <protection locked="0"/>
    </xf>
    <xf numFmtId="0" fontId="14" fillId="2" borderId="0" xfId="106" applyFont="1" applyFill="1" applyAlignment="1" applyProtection="1">
      <alignment horizontal="left"/>
      <protection locked="0"/>
    </xf>
    <xf numFmtId="0" fontId="37" fillId="2" borderId="0" xfId="0" applyFont="1" applyFill="1" applyAlignment="1" applyProtection="1">
      <alignment horizontal="left"/>
      <protection locked="0"/>
    </xf>
    <xf numFmtId="0" fontId="0" fillId="2" borderId="0" xfId="0" applyFill="1" applyAlignment="1">
      <alignment horizontal="left" vertical="center" wrapText="1"/>
    </xf>
    <xf numFmtId="0" fontId="23" fillId="2" borderId="0" xfId="0" quotePrefix="1" applyFont="1" applyFill="1" applyAlignment="1">
      <alignment horizontal="left" vertical="top" wrapText="1"/>
    </xf>
    <xf numFmtId="0" fontId="37" fillId="2" borderId="0" xfId="0" applyFont="1" applyFill="1" applyAlignment="1">
      <alignment horizontal="left" vertical="center" wrapText="1"/>
    </xf>
    <xf numFmtId="0" fontId="0" fillId="2" borderId="0" xfId="0" applyFill="1" applyAlignment="1" applyProtection="1">
      <alignment horizontal="left" wrapText="1" indent="6"/>
      <protection locked="0"/>
    </xf>
    <xf numFmtId="0" fontId="34" fillId="2" borderId="0" xfId="0" applyFont="1" applyFill="1" applyAlignment="1">
      <alignment horizontal="left" wrapText="1"/>
    </xf>
    <xf numFmtId="40" fontId="23" fillId="2" borderId="0" xfId="0" applyNumberFormat="1" applyFont="1" applyFill="1" applyAlignment="1">
      <alignment horizontal="left" wrapText="1"/>
    </xf>
    <xf numFmtId="40" fontId="34" fillId="2" borderId="0" xfId="0" applyNumberFormat="1" applyFont="1" applyFill="1" applyAlignment="1">
      <alignment horizontal="left" wrapText="1"/>
    </xf>
    <xf numFmtId="0" fontId="88" fillId="2" borderId="0" xfId="0" applyFont="1" applyFill="1" applyAlignment="1">
      <alignment horizontal="left" vertical="center" wrapText="1"/>
    </xf>
    <xf numFmtId="0" fontId="125" fillId="2" borderId="0" xfId="0" applyFont="1" applyFill="1" applyAlignment="1">
      <alignment horizontal="left" vertical="center" wrapText="1"/>
    </xf>
    <xf numFmtId="40" fontId="73" fillId="2" borderId="0" xfId="0" applyNumberFormat="1" applyFont="1" applyFill="1" applyAlignment="1">
      <alignment horizontal="left" vertical="center" wrapText="1"/>
    </xf>
    <xf numFmtId="40" fontId="6" fillId="2" borderId="0" xfId="0" applyNumberFormat="1" applyFont="1" applyFill="1" applyAlignment="1">
      <alignment vertical="center"/>
    </xf>
    <xf numFmtId="40" fontId="34" fillId="2" borderId="0" xfId="0" applyNumberFormat="1" applyFont="1" applyFill="1" applyAlignment="1">
      <alignment vertical="center"/>
    </xf>
    <xf numFmtId="0" fontId="40" fillId="2" borderId="0" xfId="0" applyFont="1" applyFill="1" applyAlignment="1">
      <alignment horizontal="left" vertical="center" wrapText="1"/>
    </xf>
    <xf numFmtId="0" fontId="105" fillId="2" borderId="0" xfId="0" applyFont="1" applyFill="1" applyAlignment="1">
      <alignment horizontal="left" vertical="center" wrapText="1"/>
    </xf>
    <xf numFmtId="0" fontId="6" fillId="2" borderId="0" xfId="0" applyFont="1" applyFill="1" applyAlignment="1">
      <alignment vertical="center" wrapText="1"/>
    </xf>
    <xf numFmtId="0" fontId="67" fillId="2" borderId="0" xfId="0" applyFont="1" applyFill="1" applyAlignment="1">
      <alignment horizontal="left" wrapText="1"/>
    </xf>
    <xf numFmtId="0" fontId="12" fillId="2" borderId="0" xfId="0" applyFont="1" applyFill="1" applyAlignment="1">
      <alignment horizontal="left" vertical="center"/>
    </xf>
    <xf numFmtId="0" fontId="37" fillId="2" borderId="0" xfId="0" applyFont="1" applyFill="1" applyAlignment="1">
      <alignment horizontal="left" vertical="center"/>
    </xf>
    <xf numFmtId="0" fontId="38" fillId="2" borderId="0" xfId="0" applyFont="1" applyFill="1" applyAlignment="1">
      <alignment horizontal="left" wrapText="1"/>
    </xf>
    <xf numFmtId="0" fontId="10" fillId="2" borderId="0" xfId="0" applyFont="1" applyFill="1" applyAlignment="1">
      <alignment horizontal="left" vertical="center" wrapText="1" indent="2"/>
    </xf>
    <xf numFmtId="15" fontId="74" fillId="2" borderId="0" xfId="160" applyNumberFormat="1" applyFont="1" applyFill="1" applyAlignment="1">
      <alignment horizontal="left" vertical="top" wrapText="1"/>
    </xf>
    <xf numFmtId="0" fontId="100" fillId="2" borderId="0" xfId="0" applyFont="1" applyFill="1" applyAlignment="1">
      <alignment horizontal="left" vertical="top" wrapText="1"/>
    </xf>
    <xf numFmtId="0" fontId="6" fillId="2" borderId="0" xfId="24" applyFont="1" applyFill="1" applyAlignment="1">
      <alignment horizontal="left" vertical="top" wrapText="1" indent="2"/>
    </xf>
    <xf numFmtId="0" fontId="14" fillId="2" borderId="89" xfId="106" applyFont="1" applyFill="1" applyBorder="1" applyAlignment="1" applyProtection="1">
      <alignment horizontal="left" vertical="top" wrapText="1"/>
      <protection locked="0"/>
    </xf>
    <xf numFmtId="179" fontId="37" fillId="2" borderId="0" xfId="0" applyNumberFormat="1" applyFont="1" applyFill="1" applyAlignment="1">
      <alignment horizontal="left" vertical="top" wrapText="1"/>
    </xf>
    <xf numFmtId="179" fontId="10" fillId="2" borderId="0" xfId="0" applyNumberFormat="1" applyFont="1" applyFill="1" applyAlignment="1">
      <alignment horizontal="left" vertical="top" wrapText="1"/>
    </xf>
    <xf numFmtId="0" fontId="10" fillId="2" borderId="0" xfId="0" applyFont="1" applyFill="1" applyAlignment="1">
      <alignment vertical="top" wrapText="1"/>
    </xf>
    <xf numFmtId="0" fontId="12" fillId="2" borderId="0" xfId="0" applyFont="1" applyFill="1" applyAlignment="1">
      <alignment horizontal="center" vertical="center" wrapText="1"/>
    </xf>
    <xf numFmtId="0" fontId="84" fillId="2" borderId="0" xfId="0" applyFont="1" applyFill="1" applyAlignment="1">
      <alignment horizontal="center" vertical="top" wrapText="1"/>
    </xf>
    <xf numFmtId="0" fontId="84" fillId="2" borderId="0" xfId="0" applyFont="1" applyFill="1" applyAlignment="1">
      <alignment horizontal="center" vertical="top"/>
    </xf>
    <xf numFmtId="0" fontId="40" fillId="2" borderId="0" xfId="0" applyFont="1" applyFill="1" applyAlignment="1">
      <alignment horizontal="center" vertical="top" wrapText="1"/>
    </xf>
    <xf numFmtId="0" fontId="40" fillId="2" borderId="0" xfId="0" applyFont="1" applyFill="1" applyAlignment="1">
      <alignment horizontal="center" vertical="top"/>
    </xf>
    <xf numFmtId="0" fontId="19" fillId="2" borderId="0" xfId="0" applyFont="1" applyFill="1" applyAlignment="1">
      <alignment horizontal="center" vertical="top" wrapText="1"/>
    </xf>
    <xf numFmtId="0" fontId="19" fillId="2" borderId="0" xfId="0" applyFont="1" applyFill="1" applyAlignment="1">
      <alignment horizontal="center" vertical="top"/>
    </xf>
    <xf numFmtId="0" fontId="23" fillId="2" borderId="0" xfId="0" applyFont="1" applyFill="1" applyAlignment="1">
      <alignment horizontal="center" vertical="top" wrapText="1"/>
    </xf>
    <xf numFmtId="0" fontId="23" fillId="2" borderId="0" xfId="0" applyFont="1" applyFill="1" applyAlignment="1">
      <alignment horizontal="center" vertical="top"/>
    </xf>
    <xf numFmtId="0" fontId="73" fillId="2" borderId="0" xfId="0" applyFont="1" applyFill="1" applyAlignment="1">
      <alignment horizontal="right" vertical="top" wrapText="1"/>
    </xf>
    <xf numFmtId="0" fontId="93" fillId="2" borderId="0" xfId="0" applyFont="1" applyFill="1" applyAlignment="1">
      <alignment vertical="top" wrapText="1"/>
    </xf>
    <xf numFmtId="0" fontId="14" fillId="2" borderId="0" xfId="165" applyFont="1" applyFill="1" applyAlignment="1" applyProtection="1">
      <alignment horizontal="left" vertical="top" wrapText="1"/>
      <protection locked="0"/>
    </xf>
    <xf numFmtId="0" fontId="88" fillId="2" borderId="0" xfId="165" applyFont="1" applyFill="1" applyAlignment="1" applyProtection="1">
      <alignment horizontal="left" vertical="top" wrapText="1"/>
      <protection locked="0"/>
    </xf>
    <xf numFmtId="179" fontId="88" fillId="2" borderId="0" xfId="165" applyNumberFormat="1" applyFont="1" applyFill="1" applyAlignment="1" applyProtection="1">
      <alignment horizontal="left" vertical="top" wrapText="1"/>
      <protection locked="0"/>
    </xf>
    <xf numFmtId="179" fontId="12" fillId="2" borderId="0" xfId="165" applyNumberFormat="1" applyFont="1" applyFill="1" applyAlignment="1" applyProtection="1">
      <alignment horizontal="left" vertical="top" wrapText="1"/>
      <protection locked="0"/>
    </xf>
    <xf numFmtId="0" fontId="6" fillId="2" borderId="0" xfId="165" applyFont="1" applyFill="1" applyAlignment="1" applyProtection="1">
      <alignment horizontal="left" vertical="top" wrapText="1"/>
      <protection locked="0"/>
    </xf>
    <xf numFmtId="179" fontId="6" fillId="2" borderId="0" xfId="165" applyNumberFormat="1" applyFont="1" applyFill="1" applyAlignment="1" applyProtection="1">
      <alignment horizontal="left" vertical="top" wrapText="1"/>
      <protection locked="0"/>
    </xf>
    <xf numFmtId="0" fontId="5" fillId="2" borderId="0" xfId="165" applyFill="1" applyAlignment="1" applyProtection="1">
      <alignment horizontal="left" vertical="top" wrapText="1"/>
      <protection locked="0"/>
    </xf>
    <xf numFmtId="0" fontId="37" fillId="2" borderId="0" xfId="165" applyFont="1" applyFill="1" applyAlignment="1" applyProtection="1">
      <alignment horizontal="left" vertical="top" wrapText="1"/>
      <protection locked="0"/>
    </xf>
    <xf numFmtId="179" fontId="37" fillId="2" borderId="0" xfId="165" applyNumberFormat="1" applyFont="1" applyFill="1" applyAlignment="1" applyProtection="1">
      <alignment horizontal="left" vertical="top" wrapText="1"/>
      <protection locked="0"/>
    </xf>
    <xf numFmtId="0" fontId="10" fillId="2" borderId="0" xfId="165" applyFont="1" applyFill="1" applyAlignment="1" applyProtection="1">
      <alignment horizontal="left" vertical="top" wrapText="1" indent="6"/>
      <protection locked="0"/>
    </xf>
    <xf numFmtId="179" fontId="10" fillId="2" borderId="0" xfId="165" applyNumberFormat="1" applyFont="1" applyFill="1" applyAlignment="1" applyProtection="1">
      <alignment horizontal="left" vertical="top" wrapText="1"/>
      <protection locked="0"/>
    </xf>
    <xf numFmtId="0" fontId="60" fillId="2" borderId="0" xfId="24" applyFont="1" applyFill="1" applyAlignment="1">
      <alignment horizontal="right" vertical="top" wrapText="1"/>
    </xf>
    <xf numFmtId="0" fontId="101" fillId="2" borderId="0" xfId="0" applyFont="1" applyFill="1" applyAlignment="1">
      <alignment horizontal="center" vertical="center" wrapText="1"/>
    </xf>
    <xf numFmtId="179" fontId="10" fillId="2" borderId="0" xfId="24" applyNumberFormat="1" applyFont="1" applyFill="1" applyAlignment="1">
      <alignment horizontal="left" vertical="top" wrapText="1"/>
    </xf>
    <xf numFmtId="15" fontId="74" fillId="2" borderId="0" xfId="276" applyNumberFormat="1" applyFont="1" applyFill="1" applyAlignment="1">
      <alignment horizontal="left" vertical="top" wrapText="1"/>
    </xf>
    <xf numFmtId="0" fontId="10" fillId="2" borderId="0" xfId="165" applyFont="1" applyFill="1" applyAlignment="1" applyProtection="1">
      <alignment horizontal="left" vertical="center" wrapText="1"/>
      <protection locked="0"/>
    </xf>
    <xf numFmtId="0" fontId="10" fillId="2" borderId="115" xfId="0" applyFont="1" applyFill="1" applyBorder="1" applyAlignment="1" applyProtection="1">
      <alignment horizontal="left" vertical="top" wrapText="1"/>
      <protection locked="0"/>
    </xf>
    <xf numFmtId="0" fontId="0" fillId="2" borderId="0" xfId="0" applyFill="1" applyAlignment="1">
      <alignment horizontal="left" wrapText="1"/>
    </xf>
    <xf numFmtId="0" fontId="39" fillId="2" borderId="0" xfId="0" quotePrefix="1" applyFont="1" applyFill="1" applyAlignment="1" applyProtection="1">
      <alignment horizontal="center" vertical="top" wrapText="1"/>
      <protection locked="0"/>
    </xf>
    <xf numFmtId="0" fontId="10" fillId="2" borderId="0" xfId="0" quotePrefix="1" applyFont="1" applyFill="1" applyAlignment="1" applyProtection="1">
      <alignment horizontal="left" vertical="top" wrapText="1"/>
      <protection locked="0"/>
    </xf>
    <xf numFmtId="0" fontId="10" fillId="2" borderId="0" xfId="0" quotePrefix="1" applyFont="1" applyFill="1" applyAlignment="1" applyProtection="1">
      <alignment horizontal="left" vertical="top" wrapText="1" indent="2"/>
      <protection locked="0"/>
    </xf>
    <xf numFmtId="0" fontId="60" fillId="2" borderId="0" xfId="24" applyFont="1" applyFill="1" applyAlignment="1" applyProtection="1">
      <alignment horizontal="right" vertical="top" wrapText="1"/>
      <protection locked="0"/>
    </xf>
    <xf numFmtId="0" fontId="37" fillId="2" borderId="0" xfId="210" applyFont="1" applyFill="1" applyAlignment="1">
      <alignment horizontal="left" vertical="top" wrapText="1"/>
    </xf>
    <xf numFmtId="0" fontId="98" fillId="0" borderId="0" xfId="0" applyFont="1" applyAlignment="1">
      <alignment horizontal="left" vertical="top" wrapText="1"/>
    </xf>
    <xf numFmtId="0" fontId="19" fillId="2" borderId="0" xfId="0" quotePrefix="1" applyFont="1" applyFill="1" applyAlignment="1">
      <alignment horizontal="center" vertical="top" wrapText="1"/>
    </xf>
    <xf numFmtId="0" fontId="73" fillId="2" borderId="0" xfId="0" applyFont="1" applyFill="1" applyAlignment="1">
      <alignment horizontal="right" vertical="top"/>
    </xf>
    <xf numFmtId="0" fontId="20" fillId="0" borderId="0" xfId="0" applyFont="1" applyAlignment="1">
      <alignment horizontal="left" wrapText="1"/>
    </xf>
    <xf numFmtId="0" fontId="21" fillId="0" borderId="0" xfId="0" applyFont="1" applyAlignment="1">
      <alignment horizontal="left" wrapText="1"/>
    </xf>
    <xf numFmtId="184" fontId="98" fillId="2" borderId="0" xfId="0" applyNumberFormat="1" applyFont="1" applyFill="1" applyAlignment="1">
      <alignment horizontal="left" vertical="top" wrapText="1"/>
    </xf>
    <xf numFmtId="0" fontId="64" fillId="2" borderId="0" xfId="0" applyFont="1" applyFill="1" applyAlignment="1">
      <alignment horizontal="left" wrapText="1"/>
    </xf>
    <xf numFmtId="169" fontId="10" fillId="2" borderId="0" xfId="169" applyFont="1" applyFill="1" applyAlignment="1">
      <alignment horizontal="left" wrapText="1" indent="2"/>
    </xf>
    <xf numFmtId="191" fontId="71" fillId="0" borderId="62" xfId="0" applyNumberFormat="1" applyFont="1" applyBorder="1" applyAlignment="1">
      <alignment horizontal="center" vertical="center" wrapText="1"/>
    </xf>
    <xf numFmtId="191" fontId="31" fillId="0" borderId="0" xfId="0" applyNumberFormat="1" applyFont="1" applyAlignment="1">
      <alignment horizontal="center" vertical="center" wrapText="1"/>
    </xf>
    <xf numFmtId="191" fontId="31" fillId="0" borderId="64" xfId="0" applyNumberFormat="1" applyFont="1" applyBorder="1" applyAlignment="1">
      <alignment horizontal="center" vertical="center" wrapText="1"/>
    </xf>
    <xf numFmtId="191" fontId="71" fillId="0" borderId="0" xfId="0" applyNumberFormat="1" applyFont="1" applyAlignment="1">
      <alignment horizontal="center" vertical="center" wrapText="1"/>
    </xf>
    <xf numFmtId="191" fontId="71" fillId="0" borderId="64" xfId="0" applyNumberFormat="1" applyFont="1" applyBorder="1" applyAlignment="1">
      <alignment horizontal="center" vertical="center" wrapText="1"/>
    </xf>
    <xf numFmtId="191" fontId="71" fillId="0" borderId="50" xfId="0" applyNumberFormat="1" applyFont="1" applyBorder="1" applyAlignment="1">
      <alignment horizontal="center" vertical="center" wrapText="1"/>
    </xf>
    <xf numFmtId="191" fontId="71" fillId="0" borderId="126" xfId="0" applyNumberFormat="1" applyFont="1" applyBorder="1" applyAlignment="1">
      <alignment horizontal="center" vertical="center" wrapText="1"/>
    </xf>
    <xf numFmtId="191" fontId="71" fillId="0" borderId="51" xfId="0" applyNumberFormat="1" applyFont="1" applyBorder="1" applyAlignment="1">
      <alignment horizontal="center" vertical="center" wrapText="1"/>
    </xf>
    <xf numFmtId="167" fontId="71" fillId="0" borderId="62" xfId="0" applyNumberFormat="1" applyFont="1" applyBorder="1" applyAlignment="1">
      <alignment horizontal="center" vertical="center" wrapText="1"/>
    </xf>
    <xf numFmtId="167" fontId="71" fillId="0" borderId="0" xfId="0" applyNumberFormat="1" applyFont="1" applyAlignment="1">
      <alignment horizontal="center" vertical="center" wrapText="1"/>
    </xf>
    <xf numFmtId="167" fontId="71" fillId="0" borderId="64" xfId="0" applyNumberFormat="1" applyFont="1" applyBorder="1" applyAlignment="1">
      <alignment horizontal="center" vertical="center" wrapText="1"/>
    </xf>
    <xf numFmtId="167" fontId="71" fillId="0" borderId="50" xfId="0" applyNumberFormat="1" applyFont="1" applyBorder="1" applyAlignment="1">
      <alignment horizontal="center" vertical="center" wrapText="1"/>
    </xf>
    <xf numFmtId="167" fontId="71" fillId="0" borderId="79" xfId="0" applyNumberFormat="1" applyFont="1" applyBorder="1" applyAlignment="1">
      <alignment horizontal="center" vertical="center" wrapText="1"/>
    </xf>
    <xf numFmtId="167" fontId="71" fillId="0" borderId="68" xfId="0" applyNumberFormat="1" applyFont="1" applyBorder="1" applyAlignment="1">
      <alignment horizontal="center" vertical="center" wrapText="1"/>
    </xf>
    <xf numFmtId="167" fontId="71" fillId="0" borderId="92" xfId="0" applyNumberFormat="1" applyFont="1" applyBorder="1" applyAlignment="1">
      <alignment horizontal="center" vertical="center" wrapText="1"/>
    </xf>
    <xf numFmtId="167" fontId="71" fillId="0" borderId="93" xfId="0" applyNumberFormat="1" applyFont="1" applyBorder="1" applyAlignment="1">
      <alignment horizontal="center" vertical="center" wrapText="1"/>
    </xf>
    <xf numFmtId="167" fontId="71" fillId="0" borderId="90" xfId="0" applyNumberFormat="1" applyFont="1" applyBorder="1" applyAlignment="1">
      <alignment horizontal="center" vertical="center" wrapText="1"/>
    </xf>
    <xf numFmtId="0" fontId="20" fillId="53" borderId="0" xfId="24" applyFont="1" applyFill="1" applyAlignment="1">
      <alignment horizontal="left" vertical="top" wrapText="1"/>
    </xf>
    <xf numFmtId="167" fontId="71" fillId="0" borderId="49" xfId="0" applyNumberFormat="1" applyFont="1" applyBorder="1" applyAlignment="1">
      <alignment horizontal="center" vertical="center" wrapText="1"/>
    </xf>
    <xf numFmtId="167" fontId="31" fillId="0" borderId="34" xfId="0" applyNumberFormat="1" applyFont="1" applyBorder="1" applyAlignment="1">
      <alignment horizontal="center" vertical="center" wrapText="1"/>
    </xf>
    <xf numFmtId="167" fontId="31" fillId="0" borderId="63"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7" fontId="31" fillId="0" borderId="64" xfId="0" applyNumberFormat="1" applyFont="1" applyBorder="1" applyAlignment="1">
      <alignment horizontal="center" vertical="center" wrapText="1"/>
    </xf>
    <xf numFmtId="167" fontId="71" fillId="0" borderId="34" xfId="0" applyNumberFormat="1" applyFont="1" applyBorder="1" applyAlignment="1">
      <alignment horizontal="center" vertical="center" wrapText="1"/>
    </xf>
    <xf numFmtId="167" fontId="71" fillId="0" borderId="63" xfId="0" applyNumberFormat="1" applyFont="1" applyBorder="1" applyAlignment="1">
      <alignment horizontal="center" vertical="center" wrapText="1"/>
    </xf>
    <xf numFmtId="0" fontId="78" fillId="0" borderId="12" xfId="0" applyFont="1" applyBorder="1" applyAlignment="1">
      <alignment horizontal="center"/>
    </xf>
    <xf numFmtId="0" fontId="78" fillId="0" borderId="13" xfId="0" applyFont="1" applyBorder="1" applyAlignment="1">
      <alignment horizontal="center"/>
    </xf>
    <xf numFmtId="0" fontId="78" fillId="0" borderId="50" xfId="0" applyFont="1" applyBorder="1" applyAlignment="1">
      <alignment horizontal="center"/>
    </xf>
    <xf numFmtId="0" fontId="81" fillId="0" borderId="49" xfId="0" applyFont="1" applyBorder="1" applyAlignment="1">
      <alignment horizontal="left" vertical="center"/>
    </xf>
    <xf numFmtId="0" fontId="81" fillId="0" borderId="34" xfId="0" applyFont="1" applyBorder="1" applyAlignment="1">
      <alignment horizontal="left" vertical="center"/>
    </xf>
    <xf numFmtId="0" fontId="71" fillId="0" borderId="50" xfId="0" applyFont="1" applyBorder="1" applyAlignment="1">
      <alignment horizontal="center" vertical="center" wrapText="1"/>
    </xf>
    <xf numFmtId="0" fontId="71" fillId="0" borderId="126" xfId="0" applyFont="1" applyBorder="1" applyAlignment="1">
      <alignment horizontal="center" vertical="center" wrapText="1"/>
    </xf>
    <xf numFmtId="0" fontId="77" fillId="0" borderId="12" xfId="0" applyFont="1" applyBorder="1" applyAlignment="1">
      <alignment horizontal="center" vertical="center"/>
    </xf>
    <xf numFmtId="0" fontId="77" fillId="0" borderId="13" xfId="0" applyFont="1" applyBorder="1" applyAlignment="1">
      <alignment horizontal="center" vertical="center"/>
    </xf>
    <xf numFmtId="0" fontId="77" fillId="0" borderId="14" xfId="0" applyFont="1" applyBorder="1" applyAlignment="1">
      <alignment horizontal="center" vertical="center"/>
    </xf>
    <xf numFmtId="0" fontId="20" fillId="0" borderId="0" xfId="24" applyFont="1" applyAlignment="1">
      <alignment horizontal="left" vertical="top" wrapText="1"/>
    </xf>
    <xf numFmtId="0" fontId="3" fillId="2" borderId="49" xfId="0" applyFont="1" applyFill="1" applyBorder="1" applyAlignment="1" applyProtection="1">
      <alignment horizontal="left" vertical="top" wrapText="1"/>
    </xf>
    <xf numFmtId="0" fontId="3" fillId="2" borderId="62" xfId="0" applyFont="1" applyFill="1" applyBorder="1" applyAlignment="1" applyProtection="1">
      <alignment horizontal="left" vertical="top" wrapText="1"/>
    </xf>
    <xf numFmtId="0" fontId="3" fillId="2" borderId="50" xfId="0" applyFont="1" applyFill="1" applyBorder="1" applyAlignment="1" applyProtection="1">
      <alignment horizontal="left" vertical="top" wrapText="1"/>
    </xf>
    <xf numFmtId="0" fontId="3" fillId="2" borderId="34" xfId="0" applyFont="1" applyFill="1" applyBorder="1" applyAlignment="1" applyProtection="1">
      <alignment horizontal="left" vertical="top" wrapText="1"/>
    </xf>
    <xf numFmtId="0" fontId="3" fillId="2" borderId="0" xfId="0" applyFont="1" applyFill="1" applyAlignment="1" applyProtection="1">
      <alignment horizontal="left" vertical="top" wrapText="1"/>
    </xf>
    <xf numFmtId="0" fontId="3" fillId="2" borderId="79" xfId="0" applyFont="1" applyFill="1" applyBorder="1" applyAlignment="1" applyProtection="1">
      <alignment horizontal="left" vertical="top" wrapText="1"/>
    </xf>
    <xf numFmtId="0" fontId="3" fillId="0" borderId="95" xfId="0" applyFont="1" applyBorder="1" applyAlignment="1" applyProtection="1">
      <alignment wrapText="1"/>
    </xf>
    <xf numFmtId="0" fontId="3" fillId="0" borderId="80" xfId="0" applyFont="1" applyBorder="1" applyProtection="1"/>
    <xf numFmtId="0" fontId="3" fillId="0" borderId="94" xfId="0" applyFont="1" applyBorder="1" applyProtection="1"/>
    <xf numFmtId="0" fontId="3" fillId="0" borderId="34" xfId="0" applyFont="1" applyBorder="1" applyProtection="1"/>
    <xf numFmtId="0" fontId="3" fillId="0" borderId="0" xfId="0" applyFont="1" applyProtection="1"/>
    <xf numFmtId="0" fontId="3" fillId="0" borderId="79" xfId="0" applyFont="1" applyBorder="1" applyProtection="1"/>
    <xf numFmtId="10" fontId="23" fillId="56" borderId="86" xfId="25" applyNumberFormat="1" applyFont="1" applyFill="1" applyBorder="1" applyAlignment="1" applyProtection="1">
      <alignment horizontal="center" vertical="center" wrapText="1"/>
    </xf>
    <xf numFmtId="10" fontId="23" fillId="56" borderId="16" xfId="25" applyNumberFormat="1" applyFont="1" applyFill="1" applyBorder="1" applyAlignment="1" applyProtection="1">
      <alignment horizontal="center" vertical="center" wrapText="1"/>
    </xf>
    <xf numFmtId="182" fontId="23" fillId="56" borderId="86" xfId="25" applyNumberFormat="1" applyFont="1" applyFill="1" applyBorder="1" applyAlignment="1" applyProtection="1">
      <alignment horizontal="center" vertical="center" wrapText="1"/>
    </xf>
    <xf numFmtId="182" fontId="23" fillId="56" borderId="16" xfId="25" applyNumberFormat="1" applyFont="1" applyFill="1" applyBorder="1" applyAlignment="1" applyProtection="1">
      <alignment horizontal="center" vertical="center" wrapText="1"/>
    </xf>
    <xf numFmtId="0" fontId="75" fillId="56" borderId="80" xfId="0" applyFont="1" applyFill="1" applyBorder="1" applyAlignment="1" applyProtection="1">
      <alignment horizontal="center" vertical="top" wrapText="1"/>
    </xf>
    <xf numFmtId="0" fontId="0" fillId="56" borderId="85" xfId="0" applyFill="1" applyBorder="1" applyAlignment="1" applyProtection="1">
      <alignment horizontal="left" vertical="top" wrapText="1"/>
    </xf>
    <xf numFmtId="0" fontId="0" fillId="56" borderId="80" xfId="0" applyFill="1" applyBorder="1" applyAlignment="1" applyProtection="1">
      <alignment horizontal="left" vertical="top" wrapText="1"/>
    </xf>
    <xf numFmtId="0" fontId="3" fillId="56" borderId="95" xfId="0" applyFont="1" applyFill="1" applyBorder="1" applyAlignment="1" applyProtection="1">
      <alignment wrapText="1"/>
    </xf>
    <xf numFmtId="0" fontId="3" fillId="56" borderId="80" xfId="0" applyFont="1" applyFill="1" applyBorder="1" applyProtection="1"/>
    <xf numFmtId="0" fontId="3" fillId="56" borderId="94" xfId="0" applyFont="1" applyFill="1" applyBorder="1" applyProtection="1"/>
    <xf numFmtId="0" fontId="3" fillId="56" borderId="34" xfId="0" applyFont="1" applyFill="1" applyBorder="1" applyProtection="1"/>
    <xf numFmtId="0" fontId="3" fillId="56" borderId="0" xfId="0" applyFont="1" applyFill="1" applyProtection="1"/>
    <xf numFmtId="0" fontId="3" fillId="56" borderId="79" xfId="0" applyFont="1" applyFill="1" applyBorder="1" applyProtection="1"/>
    <xf numFmtId="0" fontId="3" fillId="56" borderId="0" xfId="0" applyFont="1" applyFill="1" applyAlignment="1" applyProtection="1">
      <alignment horizontal="center" vertical="center" wrapText="1"/>
    </xf>
    <xf numFmtId="0" fontId="3" fillId="56" borderId="0" xfId="0" applyFont="1" applyFill="1" applyAlignment="1" applyProtection="1">
      <alignment wrapText="1"/>
    </xf>
    <xf numFmtId="0" fontId="75" fillId="56" borderId="80" xfId="0" applyFont="1" applyFill="1" applyBorder="1" applyAlignment="1" applyProtection="1">
      <alignment horizontal="center" vertical="center" wrapText="1"/>
    </xf>
    <xf numFmtId="0" fontId="75" fillId="56" borderId="87" xfId="0" applyFont="1" applyFill="1" applyBorder="1" applyAlignment="1" applyProtection="1">
      <alignment horizontal="center" vertical="center" wrapText="1"/>
    </xf>
    <xf numFmtId="0" fontId="23" fillId="56" borderId="86" xfId="25" applyFont="1" applyFill="1" applyBorder="1" applyAlignment="1" applyProtection="1">
      <alignment horizontal="center" vertical="center" wrapText="1"/>
    </xf>
    <xf numFmtId="0" fontId="23" fillId="56" borderId="16" xfId="25" applyFont="1" applyFill="1" applyBorder="1" applyAlignment="1" applyProtection="1">
      <alignment horizontal="center" vertical="center" wrapText="1"/>
    </xf>
    <xf numFmtId="0" fontId="9" fillId="0" borderId="0" xfId="0" applyFont="1" applyAlignment="1" applyProtection="1">
      <alignment horizontal="left" vertical="top" wrapText="1"/>
    </xf>
    <xf numFmtId="0" fontId="23" fillId="0" borderId="0" xfId="26" applyFont="1" applyAlignment="1" applyProtection="1">
      <alignment horizontal="center" wrapText="1"/>
    </xf>
    <xf numFmtId="0" fontId="23" fillId="0" borderId="10" xfId="26" applyFont="1" applyBorder="1" applyAlignment="1" applyProtection="1">
      <alignment horizontal="center" wrapText="1"/>
    </xf>
    <xf numFmtId="0" fontId="23" fillId="0" borderId="0" xfId="26" applyFont="1" applyAlignment="1" applyProtection="1">
      <alignment horizontal="right" wrapText="1"/>
    </xf>
    <xf numFmtId="0" fontId="23" fillId="0" borderId="10" xfId="26" applyFont="1" applyBorder="1" applyAlignment="1" applyProtection="1">
      <alignment horizontal="right" wrapText="1"/>
    </xf>
    <xf numFmtId="190" fontId="0" fillId="3" borderId="22" xfId="162" applyNumberFormat="1" applyFont="1" applyFill="1" applyBorder="1" applyAlignment="1" applyProtection="1">
      <protection locked="0"/>
    </xf>
    <xf numFmtId="0" fontId="0" fillId="0" borderId="23" xfId="0" applyBorder="1" applyProtection="1">
      <protection locked="0"/>
    </xf>
    <xf numFmtId="0" fontId="3" fillId="0" borderId="22" xfId="0" applyFont="1"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23" xfId="0" applyBorder="1"/>
    <xf numFmtId="0" fontId="38" fillId="0" borderId="78" xfId="0" applyFont="1" applyBorder="1" applyAlignment="1">
      <alignment horizontal="left" vertical="center" wrapText="1" indent="1"/>
    </xf>
    <xf numFmtId="0" fontId="3" fillId="0" borderId="24" xfId="0" applyFont="1" applyBorder="1" applyAlignment="1">
      <alignment horizontal="center"/>
    </xf>
    <xf numFmtId="0" fontId="3" fillId="0" borderId="26" xfId="0" applyFont="1" applyBorder="1" applyAlignment="1">
      <alignment horizontal="center"/>
    </xf>
    <xf numFmtId="0" fontId="38" fillId="0" borderId="0" xfId="0" applyFont="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38" fillId="0" borderId="0" xfId="0" applyFont="1" applyAlignment="1">
      <alignment horizontal="left"/>
    </xf>
    <xf numFmtId="0" fontId="38" fillId="0" borderId="10" xfId="0" applyFont="1" applyBorder="1" applyAlignment="1">
      <alignment horizontal="left" wrapText="1"/>
    </xf>
    <xf numFmtId="0" fontId="38" fillId="0" borderId="0" xfId="0" applyFont="1" applyAlignment="1">
      <alignment horizontal="left" wrapText="1"/>
    </xf>
    <xf numFmtId="0" fontId="38" fillId="0" borderId="0" xfId="0" applyFont="1" applyAlignment="1" applyProtection="1">
      <alignment vertical="center" wrapText="1"/>
    </xf>
    <xf numFmtId="0" fontId="0" fillId="0" borderId="0" xfId="0" applyAlignment="1" applyProtection="1">
      <alignment vertical="center"/>
    </xf>
    <xf numFmtId="0" fontId="23" fillId="0" borderId="22" xfId="27" applyFont="1" applyBorder="1" applyAlignment="1" applyProtection="1">
      <alignment horizontal="left" vertical="center" wrapText="1"/>
    </xf>
    <xf numFmtId="0" fontId="23" fillId="0" borderId="23" xfId="27" applyFont="1" applyBorder="1" applyAlignment="1" applyProtection="1">
      <alignment horizontal="left" vertical="center" wrapText="1"/>
    </xf>
    <xf numFmtId="0" fontId="23" fillId="0" borderId="4" xfId="27" applyFont="1" applyBorder="1" applyAlignment="1" applyProtection="1">
      <alignment horizontal="left" vertical="center" wrapText="1"/>
    </xf>
    <xf numFmtId="0" fontId="27" fillId="0" borderId="78" xfId="0" applyFont="1" applyBorder="1" applyAlignment="1" applyProtection="1">
      <alignment wrapText="1"/>
    </xf>
    <xf numFmtId="0" fontId="0" fillId="0" borderId="0" xfId="0" applyAlignment="1" applyProtection="1">
      <alignment wrapText="1"/>
    </xf>
    <xf numFmtId="0" fontId="14" fillId="0" borderId="12" xfId="0" applyFont="1" applyBorder="1" applyAlignment="1">
      <alignment vertical="top" wrapText="1"/>
    </xf>
    <xf numFmtId="0" fontId="14" fillId="0" borderId="13" xfId="0" applyFont="1" applyBorder="1" applyAlignment="1">
      <alignment vertical="top" wrapText="1"/>
    </xf>
    <xf numFmtId="0" fontId="14" fillId="0" borderId="14" xfId="0" applyFont="1" applyBorder="1" applyAlignment="1">
      <alignment vertical="top" wrapText="1"/>
    </xf>
    <xf numFmtId="0" fontId="7" fillId="0" borderId="0" xfId="0" applyFont="1" applyAlignment="1">
      <alignment wrapText="1"/>
    </xf>
    <xf numFmtId="0" fontId="14" fillId="0" borderId="78"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left"/>
    </xf>
    <xf numFmtId="0" fontId="14" fillId="0" borderId="10" xfId="0" applyFont="1" applyBorder="1" applyAlignment="1">
      <alignment horizontal="left" wrapText="1"/>
    </xf>
    <xf numFmtId="0" fontId="35" fillId="10" borderId="49" xfId="0" applyFont="1" applyFill="1" applyBorder="1" applyAlignment="1" applyProtection="1">
      <alignment horizontal="center" vertical="center" wrapText="1"/>
    </xf>
    <xf numFmtId="0" fontId="35" fillId="10" borderId="62" xfId="0" applyFont="1" applyFill="1" applyBorder="1" applyAlignment="1" applyProtection="1">
      <alignment horizontal="center" vertical="center" wrapText="1"/>
    </xf>
    <xf numFmtId="0" fontId="35" fillId="10" borderId="50" xfId="0" applyFont="1" applyFill="1" applyBorder="1" applyAlignment="1" applyProtection="1">
      <alignment horizontal="center" vertical="center" wrapText="1"/>
    </xf>
    <xf numFmtId="0" fontId="35" fillId="10" borderId="34" xfId="0" applyFont="1" applyFill="1" applyBorder="1" applyAlignment="1" applyProtection="1">
      <alignment horizontal="center" vertical="center" wrapText="1"/>
    </xf>
    <xf numFmtId="0" fontId="35" fillId="10" borderId="0" xfId="0" applyFont="1" applyFill="1" applyBorder="1" applyAlignment="1" applyProtection="1">
      <alignment horizontal="center" vertical="center" wrapText="1"/>
    </xf>
    <xf numFmtId="0" fontId="35" fillId="10" borderId="126" xfId="0" applyFont="1" applyFill="1" applyBorder="1" applyAlignment="1" applyProtection="1">
      <alignment horizontal="center" vertical="center" wrapText="1"/>
    </xf>
    <xf numFmtId="0" fontId="35" fillId="10" borderId="65" xfId="0" applyFont="1" applyFill="1" applyBorder="1" applyAlignment="1" applyProtection="1">
      <alignment horizontal="center" vertical="center" wrapText="1"/>
    </xf>
    <xf numFmtId="0" fontId="35" fillId="10" borderId="67" xfId="0" applyFont="1" applyFill="1" applyBorder="1" applyAlignment="1" applyProtection="1">
      <alignment horizontal="center" vertical="center" wrapText="1"/>
    </xf>
    <xf numFmtId="0" fontId="35" fillId="10" borderId="91" xfId="0" applyFont="1" applyFill="1" applyBorder="1" applyAlignment="1" applyProtection="1">
      <alignment horizontal="center" vertical="center" wrapText="1"/>
    </xf>
    <xf numFmtId="0" fontId="20" fillId="0" borderId="0" xfId="0" applyFont="1" applyAlignment="1" applyProtection="1">
      <alignment vertical="top" wrapText="1"/>
    </xf>
    <xf numFmtId="0" fontId="0" fillId="0" borderId="0" xfId="0" applyAlignment="1" applyProtection="1">
      <alignment vertical="top"/>
    </xf>
    <xf numFmtId="0" fontId="14" fillId="0" borderId="10" xfId="0" applyFont="1" applyBorder="1" applyAlignment="1" applyProtection="1">
      <alignment horizontal="center" wrapText="1"/>
    </xf>
    <xf numFmtId="0" fontId="38" fillId="0" borderId="78" xfId="0" applyFont="1" applyBorder="1" applyAlignment="1" applyProtection="1">
      <alignment horizontal="left" vertical="center" wrapText="1" indent="1"/>
    </xf>
    <xf numFmtId="0" fontId="38" fillId="0" borderId="0" xfId="0" applyFont="1" applyAlignment="1" applyProtection="1">
      <alignment horizontal="left" vertical="center" wrapText="1" indent="1"/>
    </xf>
    <xf numFmtId="0" fontId="23" fillId="0" borderId="0" xfId="27" applyFont="1" applyAlignment="1">
      <alignment horizontal="right" vertical="top" indent="2"/>
    </xf>
    <xf numFmtId="0" fontId="23" fillId="0" borderId="8" xfId="27" applyFont="1" applyBorder="1" applyAlignment="1">
      <alignment horizontal="right" vertical="top" indent="2"/>
    </xf>
    <xf numFmtId="0" fontId="3" fillId="0" borderId="0" xfId="0" applyFont="1" applyAlignment="1">
      <alignment horizontal="center"/>
    </xf>
    <xf numFmtId="0" fontId="91" fillId="0" borderId="0" xfId="0" applyFont="1" applyAlignment="1">
      <alignment horizontal="center"/>
    </xf>
    <xf numFmtId="0" fontId="9" fillId="0" borderId="0" xfId="0" applyFont="1" applyAlignment="1">
      <alignment horizontal="left" vertical="top" wrapText="1"/>
    </xf>
    <xf numFmtId="0" fontId="20" fillId="0" borderId="0" xfId="24" applyFont="1" applyAlignment="1" applyProtection="1">
      <alignment horizontal="left" vertical="top" wrapText="1"/>
    </xf>
    <xf numFmtId="192" fontId="19" fillId="9" borderId="0" xfId="39" applyNumberFormat="1" applyFont="1" applyFill="1" applyAlignment="1" applyProtection="1"/>
    <xf numFmtId="168" fontId="19" fillId="9" borderId="0" xfId="39" applyFont="1" applyFill="1" applyAlignment="1" applyProtection="1"/>
    <xf numFmtId="0" fontId="19" fillId="0" borderId="0" xfId="0" applyFont="1" applyAlignment="1">
      <alignment horizontal="center"/>
    </xf>
    <xf numFmtId="0" fontId="0" fillId="0" borderId="0" xfId="0"/>
    <xf numFmtId="0" fontId="62" fillId="45" borderId="0" xfId="0" applyFont="1" applyFill="1" applyAlignment="1">
      <alignment horizontal="center" vertical="center" wrapText="1"/>
    </xf>
    <xf numFmtId="192" fontId="19" fillId="9" borderId="0" xfId="39" applyNumberFormat="1" applyFont="1" applyFill="1" applyAlignment="1" applyProtection="1">
      <alignment horizontal="right"/>
    </xf>
    <xf numFmtId="194" fontId="39" fillId="47" borderId="0" xfId="0" applyNumberFormat="1" applyFont="1" applyFill="1" applyAlignment="1">
      <alignment horizontal="center"/>
    </xf>
    <xf numFmtId="168" fontId="19" fillId="9" borderId="0" xfId="39" applyFont="1" applyFill="1" applyAlignment="1" applyProtection="1">
      <alignment horizontal="center"/>
    </xf>
    <xf numFmtId="0" fontId="41" fillId="46" borderId="0" xfId="0" applyFont="1" applyFill="1" applyAlignment="1">
      <alignment horizontal="center" vertical="center" wrapText="1"/>
    </xf>
    <xf numFmtId="0" fontId="80" fillId="0" borderId="0" xfId="0" applyFont="1" applyAlignment="1">
      <alignment horizontal="center" vertical="center"/>
    </xf>
    <xf numFmtId="168" fontId="19" fillId="3" borderId="0" xfId="0" applyNumberFormat="1" applyFont="1" applyFill="1" applyAlignment="1" applyProtection="1">
      <alignment horizontal="center"/>
      <protection locked="0"/>
    </xf>
    <xf numFmtId="168" fontId="19" fillId="3" borderId="0" xfId="0" applyNumberFormat="1" applyFont="1" applyFill="1" applyAlignment="1">
      <alignment horizontal="center"/>
    </xf>
    <xf numFmtId="168" fontId="19" fillId="3" borderId="0" xfId="39" applyFont="1" applyFill="1" applyAlignment="1" applyProtection="1">
      <alignment horizontal="center"/>
      <protection locked="0"/>
    </xf>
    <xf numFmtId="0" fontId="62" fillId="46" borderId="0" xfId="0" applyFont="1" applyFill="1" applyAlignment="1">
      <alignment horizontal="center" vertical="center" wrapText="1"/>
    </xf>
    <xf numFmtId="192" fontId="19" fillId="0" borderId="0" xfId="39" applyNumberFormat="1" applyFont="1" applyFill="1" applyAlignment="1" applyProtection="1">
      <alignment horizontal="center"/>
    </xf>
    <xf numFmtId="0" fontId="23" fillId="0" borderId="0" xfId="24" applyFont="1" applyAlignment="1">
      <alignment horizontal="left" vertical="top" wrapText="1"/>
    </xf>
    <xf numFmtId="0" fontId="0" fillId="0" borderId="0" xfId="0" applyAlignment="1">
      <alignment wrapText="1"/>
    </xf>
    <xf numFmtId="0" fontId="23" fillId="9" borderId="0" xfId="24" applyFont="1" applyFill="1" applyAlignment="1">
      <alignment horizontal="center" wrapText="1"/>
    </xf>
    <xf numFmtId="0" fontId="41" fillId="45" borderId="0" xfId="24" applyFont="1" applyFill="1" applyAlignment="1">
      <alignment horizontal="center" vertical="center"/>
    </xf>
    <xf numFmtId="0" fontId="79" fillId="0" borderId="0" xfId="24" applyFont="1" applyAlignment="1">
      <alignment horizontal="left" vertical="top" wrapText="1"/>
    </xf>
    <xf numFmtId="0" fontId="23" fillId="0" borderId="0" xfId="24" applyFont="1" applyAlignment="1">
      <alignment horizontal="left" vertical="center" wrapText="1"/>
    </xf>
    <xf numFmtId="0" fontId="36" fillId="65" borderId="0" xfId="0" applyFont="1" applyFill="1"/>
    <xf numFmtId="0" fontId="118" fillId="0" borderId="0" xfId="0" applyFont="1" applyAlignment="1">
      <alignment horizontal="left" vertical="top" wrapText="1"/>
    </xf>
    <xf numFmtId="0" fontId="103" fillId="0" borderId="0" xfId="0" applyFont="1" applyAlignment="1">
      <alignment horizontal="left" vertical="top" wrapText="1"/>
    </xf>
    <xf numFmtId="0" fontId="23" fillId="2" borderId="26" xfId="24" applyFont="1" applyFill="1" applyBorder="1" applyAlignment="1" applyProtection="1">
      <alignment horizontal="left" vertical="top"/>
      <protection locked="0"/>
    </xf>
    <xf numFmtId="0" fontId="23" fillId="0" borderId="22" xfId="24" applyFont="1" applyBorder="1" applyAlignment="1" applyProtection="1">
      <alignment horizontal="center"/>
      <protection locked="0"/>
    </xf>
    <xf numFmtId="0" fontId="23" fillId="0" borderId="44" xfId="24" applyFont="1" applyBorder="1" applyAlignment="1" applyProtection="1">
      <alignment horizontal="center"/>
      <protection locked="0"/>
    </xf>
    <xf numFmtId="0" fontId="23" fillId="0" borderId="23" xfId="24" applyFont="1" applyBorder="1" applyAlignment="1" applyProtection="1">
      <alignment horizontal="center"/>
      <protection locked="0"/>
    </xf>
    <xf numFmtId="0" fontId="42" fillId="2" borderId="4" xfId="24" applyFont="1" applyFill="1" applyBorder="1" applyAlignment="1" applyProtection="1">
      <alignment horizontal="left" vertical="top"/>
      <protection locked="0"/>
    </xf>
    <xf numFmtId="0" fontId="23" fillId="2" borderId="0" xfId="24" applyFont="1" applyFill="1" applyAlignment="1" applyProtection="1">
      <alignment horizontal="center" wrapText="1"/>
      <protection locked="0"/>
    </xf>
    <xf numFmtId="0" fontId="5" fillId="2" borderId="0" xfId="24" applyFill="1" applyAlignment="1" applyProtection="1">
      <alignment horizontal="center" wrapText="1"/>
      <protection locked="0"/>
    </xf>
    <xf numFmtId="0" fontId="23" fillId="0" borderId="45" xfId="24" applyFont="1" applyBorder="1" applyAlignment="1" applyProtection="1">
      <alignment horizontal="center" wrapText="1"/>
      <protection locked="0"/>
    </xf>
    <xf numFmtId="0" fontId="5" fillId="0" borderId="26" xfId="24" applyBorder="1" applyAlignment="1" applyProtection="1">
      <alignment wrapText="1"/>
      <protection locked="0"/>
    </xf>
    <xf numFmtId="0" fontId="23" fillId="0" borderId="8" xfId="24" applyFont="1" applyBorder="1" applyAlignment="1" applyProtection="1">
      <alignment horizontal="center" wrapText="1"/>
      <protection locked="0"/>
    </xf>
    <xf numFmtId="0" fontId="5" fillId="0" borderId="11" xfId="24" applyBorder="1" applyAlignment="1" applyProtection="1">
      <alignment wrapText="1"/>
      <protection locked="0"/>
    </xf>
    <xf numFmtId="0" fontId="23" fillId="13" borderId="0" xfId="24" applyFont="1" applyFill="1" applyAlignment="1" applyProtection="1">
      <alignment horizontal="left" vertical="top" wrapText="1"/>
      <protection locked="0"/>
    </xf>
    <xf numFmtId="0" fontId="23" fillId="0" borderId="45" xfId="24" applyFont="1" applyBorder="1" applyAlignment="1">
      <alignment horizontal="center" wrapText="1"/>
    </xf>
    <xf numFmtId="0" fontId="5" fillId="0" borderId="26" xfId="24" applyBorder="1" applyAlignment="1">
      <alignment wrapText="1"/>
    </xf>
    <xf numFmtId="0" fontId="23" fillId="0" borderId="8" xfId="24" applyFont="1" applyBorder="1" applyAlignment="1">
      <alignment horizontal="center" wrapText="1"/>
    </xf>
    <xf numFmtId="0" fontId="5" fillId="0" borderId="11" xfId="24" applyBorder="1" applyAlignment="1">
      <alignment wrapText="1"/>
    </xf>
    <xf numFmtId="0" fontId="23" fillId="2" borderId="26" xfId="24" applyFont="1" applyFill="1" applyBorder="1" applyAlignment="1">
      <alignment horizontal="left" vertical="top"/>
    </xf>
    <xf numFmtId="0" fontId="23" fillId="2" borderId="4" xfId="24" applyFont="1" applyFill="1" applyBorder="1" applyAlignment="1">
      <alignment horizontal="left" vertical="top"/>
    </xf>
    <xf numFmtId="0" fontId="23" fillId="0" borderId="22" xfId="24" applyFont="1" applyBorder="1" applyAlignment="1">
      <alignment horizontal="center"/>
    </xf>
    <xf numFmtId="0" fontId="23" fillId="0" borderId="44" xfId="24" applyFont="1" applyBorder="1" applyAlignment="1">
      <alignment horizontal="center"/>
    </xf>
    <xf numFmtId="0" fontId="23" fillId="0" borderId="23" xfId="24" applyFont="1" applyBorder="1" applyAlignment="1">
      <alignment horizontal="center"/>
    </xf>
    <xf numFmtId="185" fontId="23" fillId="12" borderId="22" xfId="36" applyNumberFormat="1" applyFont="1" applyFill="1" applyBorder="1" applyAlignment="1" applyProtection="1">
      <alignment horizontal="center" vertical="center"/>
    </xf>
    <xf numFmtId="185" fontId="23" fillId="12" borderId="23" xfId="36" applyNumberFormat="1" applyFont="1" applyFill="1" applyBorder="1" applyAlignment="1" applyProtection="1">
      <alignment horizontal="center" vertical="center"/>
    </xf>
    <xf numFmtId="185" fontId="5" fillId="0" borderId="4" xfId="37" applyNumberFormat="1" applyBorder="1" applyAlignment="1">
      <alignment horizontal="center" vertical="center"/>
    </xf>
    <xf numFmtId="185" fontId="23" fillId="13" borderId="4" xfId="36" applyNumberFormat="1" applyFont="1" applyFill="1" applyBorder="1" applyAlignment="1" applyProtection="1">
      <alignment horizontal="center" vertical="center"/>
    </xf>
    <xf numFmtId="185" fontId="23" fillId="13" borderId="21" xfId="36" applyNumberFormat="1" applyFont="1" applyFill="1" applyBorder="1" applyAlignment="1" applyProtection="1">
      <alignment horizontal="center" vertical="center"/>
    </xf>
    <xf numFmtId="185" fontId="45" fillId="0" borderId="4" xfId="36" applyNumberFormat="1" applyFont="1" applyFill="1" applyBorder="1" applyAlignment="1" applyProtection="1">
      <alignment horizontal="center" vertical="center"/>
    </xf>
    <xf numFmtId="185" fontId="5" fillId="0" borderId="4" xfId="36" applyNumberFormat="1" applyFont="1" applyFill="1" applyBorder="1" applyAlignment="1" applyProtection="1">
      <alignment horizontal="center" vertical="center"/>
    </xf>
    <xf numFmtId="185" fontId="23" fillId="0" borderId="4" xfId="36" applyNumberFormat="1" applyFont="1" applyFill="1" applyBorder="1" applyAlignment="1" applyProtection="1">
      <alignment horizontal="center" vertical="center"/>
    </xf>
  </cellXfs>
  <cellStyles count="325">
    <cellStyle name="$" xfId="1" xr:uid="{00000000-0005-0000-0000-000000000000}"/>
    <cellStyle name="$.00" xfId="2" xr:uid="{00000000-0005-0000-0000-000001000000}"/>
    <cellStyle name="$_9. Rev2Cost_GDPIPI" xfId="28" xr:uid="{00000000-0005-0000-0000-000002000000}"/>
    <cellStyle name="$_9. Rev2Cost_GDPIPI 2" xfId="91" xr:uid="{00000000-0005-0000-0000-000003000000}"/>
    <cellStyle name="$_9. Rev2Cost_GDPIPI_6.2 CBR B" xfId="242" xr:uid="{00000000-0005-0000-0000-000004000000}"/>
    <cellStyle name="$_9. Rev2Cost_GDPIPI_9. Shared Tax - Rate Rider" xfId="270" xr:uid="{00000000-0005-0000-0000-000005000000}"/>
    <cellStyle name="$_lists" xfId="17" xr:uid="{00000000-0005-0000-0000-000006000000}"/>
    <cellStyle name="$_lists 2" xfId="89" xr:uid="{00000000-0005-0000-0000-000007000000}"/>
    <cellStyle name="$_lists_4. Current Monthly Fixed Charge" xfId="22" xr:uid="{00000000-0005-0000-0000-000008000000}"/>
    <cellStyle name="$_lists_6.2 CBR B" xfId="243" xr:uid="{00000000-0005-0000-0000-000009000000}"/>
    <cellStyle name="$_lists_9. Shared Tax - Rate Rider" xfId="271" xr:uid="{00000000-0005-0000-0000-00000A000000}"/>
    <cellStyle name="$_Sheet4" xfId="32" xr:uid="{00000000-0005-0000-0000-00000B000000}"/>
    <cellStyle name="$_Sheet4 2" xfId="93" xr:uid="{00000000-0005-0000-0000-00000C000000}"/>
    <cellStyle name="$_Sheet4_6.2 CBR B" xfId="244" xr:uid="{00000000-0005-0000-0000-00000D000000}"/>
    <cellStyle name="$_Sheet4_9. Shared Tax - Rate Rider" xfId="272" xr:uid="{00000000-0005-0000-0000-00000E000000}"/>
    <cellStyle name="$M" xfId="3" xr:uid="{00000000-0005-0000-0000-00000F000000}"/>
    <cellStyle name="$M.00" xfId="4" xr:uid="{00000000-0005-0000-0000-000010000000}"/>
    <cellStyle name="$M_9. Rev2Cost_GDPIPI" xfId="29" xr:uid="{00000000-0005-0000-0000-000011000000}"/>
    <cellStyle name="20% - Accent1" xfId="135" builtinId="30" customBuiltin="1"/>
    <cellStyle name="20% - Accent1 2" xfId="41" xr:uid="{00000000-0005-0000-0000-000013000000}"/>
    <cellStyle name="20% - Accent1 2 2" xfId="187" xr:uid="{00000000-0005-0000-0000-000014000000}"/>
    <cellStyle name="20% - Accent1 2_6.2 CBR B" xfId="245" xr:uid="{00000000-0005-0000-0000-000015000000}"/>
    <cellStyle name="20% - Accent1 3" xfId="216" xr:uid="{00000000-0005-0000-0000-000016000000}"/>
    <cellStyle name="20% - Accent2" xfId="139" builtinId="34" customBuiltin="1"/>
    <cellStyle name="20% - Accent2 2" xfId="42" xr:uid="{00000000-0005-0000-0000-000018000000}"/>
    <cellStyle name="20% - Accent2 2 2" xfId="188" xr:uid="{00000000-0005-0000-0000-000019000000}"/>
    <cellStyle name="20% - Accent2 2_6.2 CBR B" xfId="246" xr:uid="{00000000-0005-0000-0000-00001A000000}"/>
    <cellStyle name="20% - Accent2 3" xfId="218" xr:uid="{00000000-0005-0000-0000-00001B000000}"/>
    <cellStyle name="20% - Accent3" xfId="143" builtinId="38" customBuiltin="1"/>
    <cellStyle name="20% - Accent3 2" xfId="43" xr:uid="{00000000-0005-0000-0000-00001D000000}"/>
    <cellStyle name="20% - Accent3 2 2" xfId="189" xr:uid="{00000000-0005-0000-0000-00001E000000}"/>
    <cellStyle name="20% - Accent3 2_6.2 CBR B" xfId="247" xr:uid="{00000000-0005-0000-0000-00001F000000}"/>
    <cellStyle name="20% - Accent3 3" xfId="220" xr:uid="{00000000-0005-0000-0000-000020000000}"/>
    <cellStyle name="20% - Accent4" xfId="147" builtinId="42" customBuiltin="1"/>
    <cellStyle name="20% - Accent4 2" xfId="44" xr:uid="{00000000-0005-0000-0000-000022000000}"/>
    <cellStyle name="20% - Accent4 2 2" xfId="190" xr:uid="{00000000-0005-0000-0000-000023000000}"/>
    <cellStyle name="20% - Accent4 2_6.2 CBR B" xfId="248" xr:uid="{00000000-0005-0000-0000-000024000000}"/>
    <cellStyle name="20% - Accent4 3" xfId="222" xr:uid="{00000000-0005-0000-0000-000025000000}"/>
    <cellStyle name="20% - Accent5" xfId="151" builtinId="46" customBuiltin="1"/>
    <cellStyle name="20% - Accent5 2" xfId="45" xr:uid="{00000000-0005-0000-0000-000027000000}"/>
    <cellStyle name="20% - Accent5 2 2" xfId="191" xr:uid="{00000000-0005-0000-0000-000028000000}"/>
    <cellStyle name="20% - Accent5 2_6.2 CBR B" xfId="249" xr:uid="{00000000-0005-0000-0000-000029000000}"/>
    <cellStyle name="20% - Accent5 3" xfId="224" xr:uid="{00000000-0005-0000-0000-00002A000000}"/>
    <cellStyle name="20% - Accent6" xfId="155" builtinId="50" customBuiltin="1"/>
    <cellStyle name="20% - Accent6 2" xfId="46" xr:uid="{00000000-0005-0000-0000-00002C000000}"/>
    <cellStyle name="20% - Accent6 2 2" xfId="192" xr:uid="{00000000-0005-0000-0000-00002D000000}"/>
    <cellStyle name="20% - Accent6 2_6.2 CBR B" xfId="250" xr:uid="{00000000-0005-0000-0000-00002E000000}"/>
    <cellStyle name="20% - Accent6 3" xfId="226" xr:uid="{00000000-0005-0000-0000-00002F000000}"/>
    <cellStyle name="40% - Accent1" xfId="136" builtinId="31" customBuiltin="1"/>
    <cellStyle name="40% - Accent1 2" xfId="47" xr:uid="{00000000-0005-0000-0000-000031000000}"/>
    <cellStyle name="40% - Accent1 2 2" xfId="193" xr:uid="{00000000-0005-0000-0000-000032000000}"/>
    <cellStyle name="40% - Accent1 2_6.2 CBR B" xfId="251" xr:uid="{00000000-0005-0000-0000-000033000000}"/>
    <cellStyle name="40% - Accent1 3" xfId="217" xr:uid="{00000000-0005-0000-0000-000034000000}"/>
    <cellStyle name="40% - Accent2" xfId="140" builtinId="35" customBuiltin="1"/>
    <cellStyle name="40% - Accent2 2" xfId="48" xr:uid="{00000000-0005-0000-0000-000036000000}"/>
    <cellStyle name="40% - Accent2 2 2" xfId="194" xr:uid="{00000000-0005-0000-0000-000037000000}"/>
    <cellStyle name="40% - Accent2 2_6.2 CBR B" xfId="252" xr:uid="{00000000-0005-0000-0000-000038000000}"/>
    <cellStyle name="40% - Accent2 3" xfId="219" xr:uid="{00000000-0005-0000-0000-000039000000}"/>
    <cellStyle name="40% - Accent3" xfId="144" builtinId="39" customBuiltin="1"/>
    <cellStyle name="40% - Accent3 2" xfId="49" xr:uid="{00000000-0005-0000-0000-00003B000000}"/>
    <cellStyle name="40% - Accent3 2 2" xfId="195" xr:uid="{00000000-0005-0000-0000-00003C000000}"/>
    <cellStyle name="40% - Accent3 2_6.2 CBR B" xfId="253" xr:uid="{00000000-0005-0000-0000-00003D000000}"/>
    <cellStyle name="40% - Accent3 3" xfId="221" xr:uid="{00000000-0005-0000-0000-00003E000000}"/>
    <cellStyle name="40% - Accent4" xfId="148" builtinId="43" customBuiltin="1"/>
    <cellStyle name="40% - Accent4 2" xfId="50" xr:uid="{00000000-0005-0000-0000-000040000000}"/>
    <cellStyle name="40% - Accent4 2 2" xfId="196" xr:uid="{00000000-0005-0000-0000-000041000000}"/>
    <cellStyle name="40% - Accent4 2_6.2 CBR B" xfId="254" xr:uid="{00000000-0005-0000-0000-000042000000}"/>
    <cellStyle name="40% - Accent4 3" xfId="223" xr:uid="{00000000-0005-0000-0000-000043000000}"/>
    <cellStyle name="40% - Accent5" xfId="152" builtinId="47" customBuiltin="1"/>
    <cellStyle name="40% - Accent5 2" xfId="51" xr:uid="{00000000-0005-0000-0000-000045000000}"/>
    <cellStyle name="40% - Accent5 2 2" xfId="197" xr:uid="{00000000-0005-0000-0000-000046000000}"/>
    <cellStyle name="40% - Accent5 2_6.2 CBR B" xfId="255" xr:uid="{00000000-0005-0000-0000-000047000000}"/>
    <cellStyle name="40% - Accent5 3" xfId="225" xr:uid="{00000000-0005-0000-0000-000048000000}"/>
    <cellStyle name="40% - Accent6" xfId="156" builtinId="51" customBuiltin="1"/>
    <cellStyle name="40% - Accent6 2" xfId="52" xr:uid="{00000000-0005-0000-0000-00004A000000}"/>
    <cellStyle name="40% - Accent6 2 2" xfId="198" xr:uid="{00000000-0005-0000-0000-00004B000000}"/>
    <cellStyle name="40% - Accent6 2_6.2 CBR B" xfId="256" xr:uid="{00000000-0005-0000-0000-00004C000000}"/>
    <cellStyle name="40% - Accent6 3" xfId="227" xr:uid="{00000000-0005-0000-0000-00004D000000}"/>
    <cellStyle name="60% - Accent1" xfId="137" builtinId="32" customBuiltin="1"/>
    <cellStyle name="60% - Accent1 2" xfId="53" xr:uid="{00000000-0005-0000-0000-00004F000000}"/>
    <cellStyle name="60% - Accent2" xfId="141" builtinId="36" customBuiltin="1"/>
    <cellStyle name="60% - Accent2 2" xfId="54" xr:uid="{00000000-0005-0000-0000-000051000000}"/>
    <cellStyle name="60% - Accent3" xfId="145" builtinId="40" customBuiltin="1"/>
    <cellStyle name="60% - Accent3 2" xfId="55" xr:uid="{00000000-0005-0000-0000-000053000000}"/>
    <cellStyle name="60% - Accent4" xfId="149" builtinId="44" customBuiltin="1"/>
    <cellStyle name="60% - Accent4 2" xfId="56" xr:uid="{00000000-0005-0000-0000-000055000000}"/>
    <cellStyle name="60% - Accent5" xfId="153" builtinId="48" customBuiltin="1"/>
    <cellStyle name="60% - Accent5 2" xfId="57" xr:uid="{00000000-0005-0000-0000-000057000000}"/>
    <cellStyle name="60% - Accent6" xfId="157" builtinId="52" customBuiltin="1"/>
    <cellStyle name="60% - Accent6 2" xfId="58" xr:uid="{00000000-0005-0000-0000-000059000000}"/>
    <cellStyle name="Accent1" xfId="134" builtinId="29" customBuiltin="1"/>
    <cellStyle name="Accent1 2" xfId="59" xr:uid="{00000000-0005-0000-0000-00005B000000}"/>
    <cellStyle name="Accent2" xfId="138" builtinId="33" customBuiltin="1"/>
    <cellStyle name="Accent2 2" xfId="60" xr:uid="{00000000-0005-0000-0000-00005D000000}"/>
    <cellStyle name="Accent3" xfId="142" builtinId="37" customBuiltin="1"/>
    <cellStyle name="Accent3 2" xfId="61" xr:uid="{00000000-0005-0000-0000-00005F000000}"/>
    <cellStyle name="Accent4" xfId="146" builtinId="41" customBuiltin="1"/>
    <cellStyle name="Accent4 2" xfId="62" xr:uid="{00000000-0005-0000-0000-000061000000}"/>
    <cellStyle name="Accent5" xfId="150" builtinId="45" customBuiltin="1"/>
    <cellStyle name="Accent5 2" xfId="63" xr:uid="{00000000-0005-0000-0000-000063000000}"/>
    <cellStyle name="Accent6" xfId="154" builtinId="49" customBuiltin="1"/>
    <cellStyle name="Accent6 2" xfId="64" xr:uid="{00000000-0005-0000-0000-000065000000}"/>
    <cellStyle name="Bad" xfId="123" builtinId="27" customBuiltin="1"/>
    <cellStyle name="Bad 2" xfId="65" xr:uid="{00000000-0005-0000-0000-000067000000}"/>
    <cellStyle name="Calculation" xfId="127" builtinId="22" customBuiltin="1"/>
    <cellStyle name="Calculation 2" xfId="66" xr:uid="{00000000-0005-0000-0000-000069000000}"/>
    <cellStyle name="Check Cell" xfId="129" builtinId="23" customBuiltin="1"/>
    <cellStyle name="Check Cell 2" xfId="67" xr:uid="{00000000-0005-0000-0000-00006B000000}"/>
    <cellStyle name="Comma" xfId="20" builtinId="3"/>
    <cellStyle name="Comma 2" xfId="68" xr:uid="{00000000-0005-0000-0000-00006D000000}"/>
    <cellStyle name="Comma 2 2" xfId="162" xr:uid="{00000000-0005-0000-0000-00006E000000}"/>
    <cellStyle name="Comma 2 2 2" xfId="169" xr:uid="{00000000-0005-0000-0000-00006F000000}"/>
    <cellStyle name="Comma 2 2 2 2" xfId="296" xr:uid="{00000000-0005-0000-0000-000070000000}"/>
    <cellStyle name="Comma 2 2 3" xfId="174" xr:uid="{00000000-0005-0000-0000-000071000000}"/>
    <cellStyle name="Comma 2 2 3 2" xfId="306" xr:uid="{00000000-0005-0000-0000-000072000000}"/>
    <cellStyle name="Comma 2 2 4" xfId="231" xr:uid="{00000000-0005-0000-0000-000073000000}"/>
    <cellStyle name="Comma 2 2 5" xfId="289" xr:uid="{00000000-0005-0000-0000-000074000000}"/>
    <cellStyle name="Comma 2 2 6" xfId="314" xr:uid="{00000000-0005-0000-0000-000075000000}"/>
    <cellStyle name="Comma 2 2_Database" xfId="229" xr:uid="{00000000-0005-0000-0000-000076000000}"/>
    <cellStyle name="Comma 3" xfId="69" xr:uid="{00000000-0005-0000-0000-000077000000}"/>
    <cellStyle name="Comma 3 2" xfId="96" xr:uid="{00000000-0005-0000-0000-000078000000}"/>
    <cellStyle name="Comma 3 2 2" xfId="206" xr:uid="{00000000-0005-0000-0000-000079000000}"/>
    <cellStyle name="Comma 3 3" xfId="199" xr:uid="{00000000-0005-0000-0000-00007A000000}"/>
    <cellStyle name="Comma 3 4" xfId="305" xr:uid="{00000000-0005-0000-0000-00007B000000}"/>
    <cellStyle name="Comma 4" xfId="88" xr:uid="{00000000-0005-0000-0000-00007C000000}"/>
    <cellStyle name="Comma 4 2" xfId="299" xr:uid="{00000000-0005-0000-0000-00007D000000}"/>
    <cellStyle name="Comma 4 3" xfId="292" xr:uid="{00000000-0005-0000-0000-00007E000000}"/>
    <cellStyle name="Comma 4 6" xfId="284" xr:uid="{00000000-0005-0000-0000-00007F000000}"/>
    <cellStyle name="Comma 4 6 2" xfId="300" xr:uid="{00000000-0005-0000-0000-000080000000}"/>
    <cellStyle name="Comma 4 6 3" xfId="308" xr:uid="{00000000-0005-0000-0000-000081000000}"/>
    <cellStyle name="Comma 4 6 4" xfId="311" xr:uid="{00000000-0005-0000-0000-000082000000}"/>
    <cellStyle name="Comma 4 6 5" xfId="293" xr:uid="{00000000-0005-0000-0000-000083000000}"/>
    <cellStyle name="Comma 4 6 6" xfId="316" xr:uid="{00000000-0005-0000-0000-000084000000}"/>
    <cellStyle name="Comma 5" xfId="177" xr:uid="{00000000-0005-0000-0000-000085000000}"/>
    <cellStyle name="Comma 5 2" xfId="310" xr:uid="{00000000-0005-0000-0000-000086000000}"/>
    <cellStyle name="Comma 6" xfId="288" xr:uid="{00000000-0005-0000-0000-000087000000}"/>
    <cellStyle name="Comma 7" xfId="313" xr:uid="{00000000-0005-0000-0000-000088000000}"/>
    <cellStyle name="Comma 8" xfId="321" xr:uid="{8FC5B72E-B788-4D20-AF03-2B5ACA5194E9}"/>
    <cellStyle name="Comma0" xfId="5" xr:uid="{00000000-0005-0000-0000-000089000000}"/>
    <cellStyle name="Currency" xfId="35" builtinId="4"/>
    <cellStyle name="Currency 10" xfId="322" xr:uid="{CC058A7B-8F87-42ED-8D43-CB042B4C49D9}"/>
    <cellStyle name="Currency 11" xfId="302" xr:uid="{00000000-0005-0000-0000-00008B000000}"/>
    <cellStyle name="Currency 2" xfId="39" xr:uid="{00000000-0005-0000-0000-00008C000000}"/>
    <cellStyle name="Currency 2 2" xfId="298" xr:uid="{00000000-0005-0000-0000-00008D000000}"/>
    <cellStyle name="Currency 2 3" xfId="291" xr:uid="{00000000-0005-0000-0000-00008E000000}"/>
    <cellStyle name="Currency 3" xfId="97" xr:uid="{00000000-0005-0000-0000-00008F000000}"/>
    <cellStyle name="Currency 3 2" xfId="301" xr:uid="{00000000-0005-0000-0000-000090000000}"/>
    <cellStyle name="Currency 3 3" xfId="294" xr:uid="{00000000-0005-0000-0000-000091000000}"/>
    <cellStyle name="Currency 3 4" xfId="286" xr:uid="{00000000-0005-0000-0000-000092000000}"/>
    <cellStyle name="Currency 4" xfId="163" xr:uid="{00000000-0005-0000-0000-000093000000}"/>
    <cellStyle name="Currency 4 2" xfId="168" xr:uid="{00000000-0005-0000-0000-000094000000}"/>
    <cellStyle name="Currency 4 2 2" xfId="297" xr:uid="{00000000-0005-0000-0000-000095000000}"/>
    <cellStyle name="Currency 4 3" xfId="175" xr:uid="{00000000-0005-0000-0000-000096000000}"/>
    <cellStyle name="Currency 4 3 2" xfId="307" xr:uid="{00000000-0005-0000-0000-000097000000}"/>
    <cellStyle name="Currency 4 4" xfId="232" xr:uid="{00000000-0005-0000-0000-000098000000}"/>
    <cellStyle name="Currency 4 5" xfId="290" xr:uid="{00000000-0005-0000-0000-000099000000}"/>
    <cellStyle name="Currency 4 6" xfId="315" xr:uid="{00000000-0005-0000-0000-00009A000000}"/>
    <cellStyle name="Currency 5" xfId="166" xr:uid="{00000000-0005-0000-0000-00009B000000}"/>
    <cellStyle name="Currency 5 2" xfId="295" xr:uid="{00000000-0005-0000-0000-00009C000000}"/>
    <cellStyle name="Currency 6" xfId="171" xr:uid="{00000000-0005-0000-0000-00009D000000}"/>
    <cellStyle name="Currency 6 2" xfId="304" xr:uid="{00000000-0005-0000-0000-00009E000000}"/>
    <cellStyle name="Currency 7" xfId="309" xr:uid="{00000000-0005-0000-0000-00009F000000}"/>
    <cellStyle name="Currency 8" xfId="287" xr:uid="{00000000-0005-0000-0000-0000A0000000}"/>
    <cellStyle name="Currency 9" xfId="312" xr:uid="{00000000-0005-0000-0000-0000A1000000}"/>
    <cellStyle name="Currency_Final - 2004 RAM for rate schedule - milton_2008_IRM_Model_Final Model_Version2.0" xfId="36" xr:uid="{00000000-0005-0000-0000-0000A2000000}"/>
    <cellStyle name="Currency0" xfId="6" xr:uid="{00000000-0005-0000-0000-0000A3000000}"/>
    <cellStyle name="Date" xfId="7" xr:uid="{00000000-0005-0000-0000-0000A4000000}"/>
    <cellStyle name="Explanatory Text" xfId="132" builtinId="53" customBuiltin="1"/>
    <cellStyle name="Explanatory Text 2" xfId="70" xr:uid="{00000000-0005-0000-0000-0000A6000000}"/>
    <cellStyle name="Fixed" xfId="8" xr:uid="{00000000-0005-0000-0000-0000A7000000}"/>
    <cellStyle name="Followed Hyperlink" xfId="159" builtinId="9" customBuiltin="1"/>
    <cellStyle name="Good" xfId="122" builtinId="26" customBuiltin="1"/>
    <cellStyle name="Good 2" xfId="71" xr:uid="{00000000-0005-0000-0000-0000AA000000}"/>
    <cellStyle name="Grey" xfId="9" xr:uid="{00000000-0005-0000-0000-0000AB000000}"/>
    <cellStyle name="Heading 1" xfId="118" builtinId="16" customBuiltin="1"/>
    <cellStyle name="Heading 1 2" xfId="72" xr:uid="{00000000-0005-0000-0000-0000AD000000}"/>
    <cellStyle name="Heading 2" xfId="119" builtinId="17" customBuiltin="1"/>
    <cellStyle name="Heading 2 2" xfId="73" xr:uid="{00000000-0005-0000-0000-0000AF000000}"/>
    <cellStyle name="Heading 3" xfId="120" builtinId="18" customBuiltin="1"/>
    <cellStyle name="Heading 3 2" xfId="74" xr:uid="{00000000-0005-0000-0000-0000B1000000}"/>
    <cellStyle name="Heading 4" xfId="121" builtinId="19" customBuiltin="1"/>
    <cellStyle name="Heading 4 2" xfId="75" xr:uid="{00000000-0005-0000-0000-0000B3000000}"/>
    <cellStyle name="Hyperlink 2" xfId="158" xr:uid="{00000000-0005-0000-0000-0000B4000000}"/>
    <cellStyle name="Input" xfId="125" builtinId="20" customBuiltin="1"/>
    <cellStyle name="Input [yellow]" xfId="10" xr:uid="{00000000-0005-0000-0000-0000B6000000}"/>
    <cellStyle name="Input 2" xfId="76" xr:uid="{00000000-0005-0000-0000-0000B7000000}"/>
    <cellStyle name="Linked Cell" xfId="128" builtinId="24" customBuiltin="1"/>
    <cellStyle name="Linked Cell 2" xfId="77" xr:uid="{00000000-0005-0000-0000-0000B9000000}"/>
    <cellStyle name="M" xfId="11" xr:uid="{00000000-0005-0000-0000-0000BA000000}"/>
    <cellStyle name="M.00" xfId="12" xr:uid="{00000000-0005-0000-0000-0000BB000000}"/>
    <cellStyle name="M_9. Rev2Cost_GDPIPI" xfId="30" xr:uid="{00000000-0005-0000-0000-0000BC000000}"/>
    <cellStyle name="M_9. Rev2Cost_GDPIPI 2" xfId="92" xr:uid="{00000000-0005-0000-0000-0000BD000000}"/>
    <cellStyle name="M_9. Rev2Cost_GDPIPI_6.2 CBR B" xfId="257" xr:uid="{00000000-0005-0000-0000-0000BE000000}"/>
    <cellStyle name="M_9. Rev2Cost_GDPIPI_9. Shared Tax - Rate Rider" xfId="273" xr:uid="{00000000-0005-0000-0000-0000BF000000}"/>
    <cellStyle name="M_lists" xfId="18" xr:uid="{00000000-0005-0000-0000-0000C0000000}"/>
    <cellStyle name="M_lists 2" xfId="90" xr:uid="{00000000-0005-0000-0000-0000C1000000}"/>
    <cellStyle name="M_lists_4. Current Monthly Fixed Charge" xfId="23" xr:uid="{00000000-0005-0000-0000-0000C2000000}"/>
    <cellStyle name="M_lists_6.2 CBR B" xfId="258" xr:uid="{00000000-0005-0000-0000-0000C3000000}"/>
    <cellStyle name="M_lists_9. Shared Tax - Rate Rider" xfId="274" xr:uid="{00000000-0005-0000-0000-0000C4000000}"/>
    <cellStyle name="M_Sheet4" xfId="33" xr:uid="{00000000-0005-0000-0000-0000C5000000}"/>
    <cellStyle name="M_Sheet4 2" xfId="94" xr:uid="{00000000-0005-0000-0000-0000C6000000}"/>
    <cellStyle name="M_Sheet4_6.2 CBR B" xfId="259" xr:uid="{00000000-0005-0000-0000-0000C7000000}"/>
    <cellStyle name="M_Sheet4_9. Shared Tax - Rate Rider" xfId="275" xr:uid="{00000000-0005-0000-0000-0000C8000000}"/>
    <cellStyle name="Neutral" xfId="124" builtinId="28" customBuiltin="1"/>
    <cellStyle name="Neutral 2" xfId="78" xr:uid="{00000000-0005-0000-0000-0000CA000000}"/>
    <cellStyle name="Normal" xfId="0" builtinId="0"/>
    <cellStyle name="Normal - Style1" xfId="14" xr:uid="{00000000-0005-0000-0000-0000CC000000}"/>
    <cellStyle name="Normal 10 12" xfId="165" xr:uid="{00000000-0005-0000-0000-0000CD000000}"/>
    <cellStyle name="Normal 11" xfId="277" xr:uid="{00000000-0005-0000-0000-0000CE000000}"/>
    <cellStyle name="Normal 12" xfId="278" xr:uid="{00000000-0005-0000-0000-0000CF000000}"/>
    <cellStyle name="Normal 13 6" xfId="282" xr:uid="{00000000-0005-0000-0000-0000D0000000}"/>
    <cellStyle name="Normal 15" xfId="283" xr:uid="{00000000-0005-0000-0000-0000D1000000}"/>
    <cellStyle name="Normal 167" xfId="101" xr:uid="{00000000-0005-0000-0000-0000D2000000}"/>
    <cellStyle name="Normal 167 2" xfId="210" xr:uid="{00000000-0005-0000-0000-0000D3000000}"/>
    <cellStyle name="Normal 167_6.2 CBR B" xfId="260" xr:uid="{00000000-0005-0000-0000-0000D4000000}"/>
    <cellStyle name="Normal 168" xfId="102" xr:uid="{00000000-0005-0000-0000-0000D5000000}"/>
    <cellStyle name="Normal 168 2" xfId="211" xr:uid="{00000000-0005-0000-0000-0000D6000000}"/>
    <cellStyle name="Normal 168_6.2 CBR B" xfId="261" xr:uid="{00000000-0005-0000-0000-0000D7000000}"/>
    <cellStyle name="Normal 169" xfId="103" xr:uid="{00000000-0005-0000-0000-0000D8000000}"/>
    <cellStyle name="Normal 169 2" xfId="212" xr:uid="{00000000-0005-0000-0000-0000D9000000}"/>
    <cellStyle name="Normal 169_6.2 CBR B" xfId="262" xr:uid="{00000000-0005-0000-0000-0000DA000000}"/>
    <cellStyle name="Normal 170" xfId="104" xr:uid="{00000000-0005-0000-0000-0000DB000000}"/>
    <cellStyle name="Normal 170 2" xfId="213" xr:uid="{00000000-0005-0000-0000-0000DC000000}"/>
    <cellStyle name="Normal 170_6.2 CBR B" xfId="263" xr:uid="{00000000-0005-0000-0000-0000DD000000}"/>
    <cellStyle name="Normal 171" xfId="105" xr:uid="{00000000-0005-0000-0000-0000DE000000}"/>
    <cellStyle name="Normal 171 2" xfId="214" xr:uid="{00000000-0005-0000-0000-0000DF000000}"/>
    <cellStyle name="Normal 171_6.2 CBR B" xfId="264" xr:uid="{00000000-0005-0000-0000-0000E0000000}"/>
    <cellStyle name="Normal 19" xfId="106" xr:uid="{00000000-0005-0000-0000-0000E1000000}"/>
    <cellStyle name="Normal 2" xfId="24" xr:uid="{00000000-0005-0000-0000-0000E2000000}"/>
    <cellStyle name="Normal 25" xfId="107" xr:uid="{00000000-0005-0000-0000-0000E3000000}"/>
    <cellStyle name="Normal 3" xfId="79" xr:uid="{00000000-0005-0000-0000-0000E4000000}"/>
    <cellStyle name="Normal 3 2" xfId="200" xr:uid="{00000000-0005-0000-0000-0000E5000000}"/>
    <cellStyle name="Normal 3 3" xfId="317" xr:uid="{A314046F-EE3A-4458-B8CC-CA316E763B73}"/>
    <cellStyle name="Normal 3_6.2 CBR B" xfId="265" xr:uid="{00000000-0005-0000-0000-0000E6000000}"/>
    <cellStyle name="Normal 30" xfId="108" xr:uid="{00000000-0005-0000-0000-0000E7000000}"/>
    <cellStyle name="Normal 31" xfId="113" xr:uid="{00000000-0005-0000-0000-0000E8000000}"/>
    <cellStyle name="Normal 4" xfId="80" xr:uid="{00000000-0005-0000-0000-0000E9000000}"/>
    <cellStyle name="Normal 4 2" xfId="201" xr:uid="{00000000-0005-0000-0000-0000EA000000}"/>
    <cellStyle name="Normal 4 3" xfId="319" xr:uid="{F6DDF0D5-8E03-45D7-9400-D8CC9285F42B}"/>
    <cellStyle name="Normal 4_6.2 CBR B" xfId="266" xr:uid="{00000000-0005-0000-0000-0000EB000000}"/>
    <cellStyle name="Normal 41" xfId="109" xr:uid="{00000000-0005-0000-0000-0000EC000000}"/>
    <cellStyle name="Normal 42" xfId="114" xr:uid="{00000000-0005-0000-0000-0000ED000000}"/>
    <cellStyle name="Normal 5" xfId="81" xr:uid="{00000000-0005-0000-0000-0000EE000000}"/>
    <cellStyle name="Normal 5 2" xfId="98" xr:uid="{00000000-0005-0000-0000-0000EF000000}"/>
    <cellStyle name="Normal 5 2 2" xfId="207" xr:uid="{00000000-0005-0000-0000-0000F0000000}"/>
    <cellStyle name="Normal 5 2_6.2 CBR B" xfId="268" xr:uid="{00000000-0005-0000-0000-0000F1000000}"/>
    <cellStyle name="Normal 5 3" xfId="202" xr:uid="{00000000-0005-0000-0000-0000F2000000}"/>
    <cellStyle name="Normal 5_6.2 CBR B" xfId="267" xr:uid="{00000000-0005-0000-0000-0000F3000000}"/>
    <cellStyle name="Normal 50" xfId="110" xr:uid="{00000000-0005-0000-0000-0000F4000000}"/>
    <cellStyle name="Normal 51" xfId="112" xr:uid="{00000000-0005-0000-0000-0000F5000000}"/>
    <cellStyle name="Normal 52" xfId="115" xr:uid="{00000000-0005-0000-0000-0000F6000000}"/>
    <cellStyle name="Normal 6" xfId="95" xr:uid="{00000000-0005-0000-0000-0000F7000000}"/>
    <cellStyle name="Normal 6 2" xfId="205" xr:uid="{00000000-0005-0000-0000-0000F8000000}"/>
    <cellStyle name="Normal 6 3" xfId="303" xr:uid="{00000000-0005-0000-0000-0000F9000000}"/>
    <cellStyle name="Normal 6 4" xfId="281" xr:uid="{00000000-0005-0000-0000-0000FA000000}"/>
    <cellStyle name="Normal 6_6.2 CBR B" xfId="269" xr:uid="{00000000-0005-0000-0000-0000FB000000}"/>
    <cellStyle name="Normal 60" xfId="111" xr:uid="{00000000-0005-0000-0000-0000FC000000}"/>
    <cellStyle name="Normal 61" xfId="116" xr:uid="{00000000-0005-0000-0000-0000FD000000}"/>
    <cellStyle name="Normal 7" xfId="320" xr:uid="{2B541E0E-8ADC-4E2A-A6FF-A651808616B3}"/>
    <cellStyle name="Normal_14. Bill Impacts" xfId="37" xr:uid="{00000000-0005-0000-0000-0000FE000000}"/>
    <cellStyle name="Normal_3. Rate Class Selection" xfId="13" xr:uid="{00000000-0005-0000-0000-0000FF000000}"/>
    <cellStyle name="Normal_6. Cost Allocation for Def-Var" xfId="25" xr:uid="{00000000-0005-0000-0000-000000010000}"/>
    <cellStyle name="Normal_9. Rev2Cost_GDPIPI" xfId="31" xr:uid="{00000000-0005-0000-0000-000001010000}"/>
    <cellStyle name="Normal_lists" xfId="16" xr:uid="{00000000-0005-0000-0000-000002010000}"/>
    <cellStyle name="Normal_lists_1" xfId="34" xr:uid="{00000000-0005-0000-0000-000003010000}"/>
    <cellStyle name="Normal_lists_1 2" xfId="161" xr:uid="{00000000-0005-0000-0000-000004010000}"/>
    <cellStyle name="Normal_lists_1 3" xfId="164" xr:uid="{00000000-0005-0000-0000-000005010000}"/>
    <cellStyle name="Normal_Sheet1" xfId="19" xr:uid="{00000000-0005-0000-0000-000006010000}"/>
    <cellStyle name="Normal_Sheet3" xfId="38" xr:uid="{00000000-0005-0000-0000-000007010000}"/>
    <cellStyle name="Normal_Sheet4" xfId="276" xr:uid="{00000000-0005-0000-0000-000008010000}"/>
    <cellStyle name="Normal_Sheet4 2" xfId="160" xr:uid="{00000000-0005-0000-0000-000009010000}"/>
    <cellStyle name="Normal_Sheet6" xfId="26" xr:uid="{00000000-0005-0000-0000-00000A010000}"/>
    <cellStyle name="Normal_Sheet7" xfId="27" xr:uid="{00000000-0005-0000-0000-00000B010000}"/>
    <cellStyle name="Note" xfId="131" builtinId="10" customBuiltin="1"/>
    <cellStyle name="Note 2" xfId="82" xr:uid="{00000000-0005-0000-0000-00000E010000}"/>
    <cellStyle name="Note 2 2" xfId="203" xr:uid="{00000000-0005-0000-0000-00000F010000}"/>
    <cellStyle name="Note 3" xfId="215" xr:uid="{00000000-0005-0000-0000-000010010000}"/>
    <cellStyle name="Output" xfId="126" builtinId="21" customBuiltin="1"/>
    <cellStyle name="Output 2" xfId="83" xr:uid="{00000000-0005-0000-0000-000012010000}"/>
    <cellStyle name="Percent" xfId="21" builtinId="5"/>
    <cellStyle name="Percent [2]" xfId="15" xr:uid="{00000000-0005-0000-0000-000014010000}"/>
    <cellStyle name="Percent 10" xfId="178" xr:uid="{00000000-0005-0000-0000-000015010000}"/>
    <cellStyle name="Percent 11" xfId="179" xr:uid="{00000000-0005-0000-0000-000016010000}"/>
    <cellStyle name="Percent 12" xfId="180" xr:uid="{00000000-0005-0000-0000-000017010000}"/>
    <cellStyle name="Percent 13" xfId="181" xr:uid="{00000000-0005-0000-0000-000018010000}"/>
    <cellStyle name="Percent 13 6" xfId="285" xr:uid="{00000000-0005-0000-0000-000019010000}"/>
    <cellStyle name="Percent 14" xfId="182" xr:uid="{00000000-0005-0000-0000-00001A010000}"/>
    <cellStyle name="Percent 15" xfId="183" xr:uid="{00000000-0005-0000-0000-00001B010000}"/>
    <cellStyle name="Percent 16" xfId="184" xr:uid="{00000000-0005-0000-0000-00001C010000}"/>
    <cellStyle name="Percent 17" xfId="186" xr:uid="{00000000-0005-0000-0000-00001D010000}"/>
    <cellStyle name="Percent 18" xfId="185" xr:uid="{00000000-0005-0000-0000-00001E010000}"/>
    <cellStyle name="Percent 19" xfId="228" xr:uid="{00000000-0005-0000-0000-00001F010000}"/>
    <cellStyle name="Percent 2" xfId="40" xr:uid="{00000000-0005-0000-0000-000020010000}"/>
    <cellStyle name="Percent 20" xfId="230" xr:uid="{00000000-0005-0000-0000-000021010000}"/>
    <cellStyle name="Percent 21" xfId="233" xr:uid="{00000000-0005-0000-0000-000022010000}"/>
    <cellStyle name="Percent 22" xfId="234" xr:uid="{00000000-0005-0000-0000-000023010000}"/>
    <cellStyle name="Percent 226" xfId="323" xr:uid="{1342B5C3-7144-41EC-B490-A8A6E50847F6}"/>
    <cellStyle name="Percent 23" xfId="235" xr:uid="{00000000-0005-0000-0000-000024010000}"/>
    <cellStyle name="Percent 24" xfId="236" xr:uid="{00000000-0005-0000-0000-000025010000}"/>
    <cellStyle name="Percent 25" xfId="237" xr:uid="{00000000-0005-0000-0000-000026010000}"/>
    <cellStyle name="Percent 26" xfId="238" xr:uid="{00000000-0005-0000-0000-000027010000}"/>
    <cellStyle name="Percent 27" xfId="239" xr:uid="{00000000-0005-0000-0000-000028010000}"/>
    <cellStyle name="Percent 28" xfId="240" xr:uid="{00000000-0005-0000-0000-000029010000}"/>
    <cellStyle name="Percent 29" xfId="241" xr:uid="{00000000-0005-0000-0000-00002A010000}"/>
    <cellStyle name="Percent 3" xfId="84" xr:uid="{00000000-0005-0000-0000-00002B010000}"/>
    <cellStyle name="Percent 3 2" xfId="99" xr:uid="{00000000-0005-0000-0000-00002C010000}"/>
    <cellStyle name="Percent 3 2 2" xfId="208" xr:uid="{00000000-0005-0000-0000-00002D010000}"/>
    <cellStyle name="Percent 3 3" xfId="204" xr:uid="{00000000-0005-0000-0000-00002E010000}"/>
    <cellStyle name="Percent 30" xfId="280" xr:uid="{00000000-0005-0000-0000-00002F010000}"/>
    <cellStyle name="Percent 31" xfId="318" xr:uid="{E90BAC55-4E24-4EAF-8A1E-12D05AD0B680}"/>
    <cellStyle name="Percent 32" xfId="324" xr:uid="{E0FCA874-B60B-4AF1-ABCC-C52C7F9ABADE}"/>
    <cellStyle name="Percent 4" xfId="100" xr:uid="{00000000-0005-0000-0000-000030010000}"/>
    <cellStyle name="Percent 4 2" xfId="209" xr:uid="{00000000-0005-0000-0000-000031010000}"/>
    <cellStyle name="Percent 5" xfId="167" xr:uid="{00000000-0005-0000-0000-000032010000}"/>
    <cellStyle name="Percent 54" xfId="279" xr:uid="{00000000-0005-0000-0000-000033010000}"/>
    <cellStyle name="Percent 6" xfId="172" xr:uid="{00000000-0005-0000-0000-000034010000}"/>
    <cellStyle name="Percent 7" xfId="173" xr:uid="{00000000-0005-0000-0000-000035010000}"/>
    <cellStyle name="Percent 8" xfId="170" xr:uid="{00000000-0005-0000-0000-000036010000}"/>
    <cellStyle name="Percent 9" xfId="176" xr:uid="{00000000-0005-0000-0000-000037010000}"/>
    <cellStyle name="Title" xfId="117" builtinId="15" customBuiltin="1"/>
    <cellStyle name="Title 2" xfId="85" xr:uid="{00000000-0005-0000-0000-000039010000}"/>
    <cellStyle name="Total" xfId="133" builtinId="25" customBuiltin="1"/>
    <cellStyle name="Total 2" xfId="86" xr:uid="{00000000-0005-0000-0000-00003B010000}"/>
    <cellStyle name="Warning Text" xfId="130" builtinId="11" customBuiltin="1"/>
    <cellStyle name="Warning Text 2" xfId="87" xr:uid="{00000000-0005-0000-0000-00003D010000}"/>
  </cellStyles>
  <dxfs count="1">
    <dxf>
      <fill>
        <patternFill>
          <bgColor theme="6" tint="0.59996337778862885"/>
        </patternFill>
      </fill>
    </dxf>
  </dxfs>
  <tableStyles count="0" defaultTableStyle="TableStyleMedium2" defaultPivotStyle="PivotStyleLight16"/>
  <colors>
    <mruColors>
      <color rgb="FFA6A6A6"/>
      <color rgb="FFDCE6F1"/>
      <color rgb="FFDDDDDD"/>
      <color rgb="FFEAEAEA"/>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50" Type="http://schemas.openxmlformats.org/officeDocument/2006/relationships/externalLink" Target="externalLinks/externalLink16.xml"/><Relationship Id="rId55"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styles" Target="styles.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theme" Target="theme/theme1.xml"/><Relationship Id="rId60" Type="http://schemas.microsoft.com/office/2017/10/relationships/person" Target="persons/perso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C2"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https://www.oeb.ca/applications/applications-oeb/electricity-distribution-rates/2026-electricity-distribution-rate" TargetMode="External"/><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78</xdr:row>
      <xdr:rowOff>57964</xdr:rowOff>
    </xdr:from>
    <xdr:to>
      <xdr:col>12</xdr:col>
      <xdr:colOff>124239</xdr:colOff>
      <xdr:row>85</xdr:row>
      <xdr:rowOff>107577</xdr:rowOff>
    </xdr:to>
    <xdr:sp macro="" textlink="">
      <xdr:nvSpPr>
        <xdr:cNvPr id="6" name="Text Box 50">
          <a:extLst>
            <a:ext uri="{FF2B5EF4-FFF2-40B4-BE49-F238E27FC236}">
              <a16:creationId xmlns:a16="http://schemas.microsoft.com/office/drawing/2014/main" id="{00000000-0008-0000-0200-000006000000}"/>
            </a:ext>
          </a:extLst>
        </xdr:cNvPr>
        <xdr:cNvSpPr txBox="1">
          <a:spLocks noChangeArrowheads="1"/>
        </xdr:cNvSpPr>
      </xdr:nvSpPr>
      <xdr:spPr bwMode="auto">
        <a:xfrm>
          <a:off x="49694" y="8852340"/>
          <a:ext cx="7497321" cy="1304672"/>
        </a:xfrm>
        <a:prstGeom prst="rect">
          <a:avLst/>
        </a:prstGeom>
        <a:noFill/>
        <a:ln>
          <a:noFill/>
        </a:ln>
        <a:effectLst>
          <a:softEdge rad="31750"/>
        </a:effec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IRM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21" name="Group 20">
          <a:extLst>
            <a:ext uri="{FF2B5EF4-FFF2-40B4-BE49-F238E27FC236}">
              <a16:creationId xmlns:a16="http://schemas.microsoft.com/office/drawing/2014/main" id="{00000000-0008-0000-0200-000015000000}"/>
            </a:ext>
          </a:extLst>
        </xdr:cNvPr>
        <xdr:cNvGrpSpPr/>
      </xdr:nvGrpSpPr>
      <xdr:grpSpPr>
        <a:xfrm>
          <a:off x="9524" y="19051"/>
          <a:ext cx="12184105" cy="1924049"/>
          <a:chOff x="9524" y="19051"/>
          <a:chExt cx="8857420" cy="1915766"/>
        </a:xfrm>
      </xdr:grpSpPr>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10" name="Rectangle 9">
            <a:extLst>
              <a:ext uri="{FF2B5EF4-FFF2-40B4-BE49-F238E27FC236}">
                <a16:creationId xmlns:a16="http://schemas.microsoft.com/office/drawing/2014/main" id="{00000000-0008-0000-0200-00000A000000}"/>
              </a:ext>
            </a:extLst>
          </xdr:cNvPr>
          <xdr:cNvSpPr/>
        </xdr:nvSpPr>
        <xdr:spPr>
          <a:xfrm>
            <a:off x="122475" y="41939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a:extLst>
              <a:ext uri="{FF2B5EF4-FFF2-40B4-BE49-F238E27FC236}">
                <a16:creationId xmlns:a16="http://schemas.microsoft.com/office/drawing/2014/main" id="{00000000-0008-0000-0200-000014000000}"/>
              </a:ext>
            </a:extLst>
          </xdr:cNvPr>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14</xdr:col>
      <xdr:colOff>57978</xdr:colOff>
      <xdr:row>0</xdr:row>
      <xdr:rowOff>107673</xdr:rowOff>
    </xdr:from>
    <xdr:to>
      <xdr:col>18</xdr:col>
      <xdr:colOff>520975</xdr:colOff>
      <xdr:row>7</xdr:row>
      <xdr:rowOff>114301</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12238772" y="107673"/>
          <a:ext cx="2928291" cy="1340128"/>
          <a:chOff x="9342782" y="2435086"/>
          <a:chExt cx="2914650" cy="1639957"/>
        </a:xfrm>
      </xdr:grpSpPr>
      <xdr:sp macro="" textlink="">
        <xdr:nvSpPr>
          <xdr:cNvPr id="8" name="Rounded Rectangle 7">
            <a:extLst>
              <a:ext uri="{FF2B5EF4-FFF2-40B4-BE49-F238E27FC236}">
                <a16:creationId xmlns:a16="http://schemas.microsoft.com/office/drawing/2014/main" id="{00000000-0008-0000-0200-000008000000}"/>
              </a:ext>
            </a:extLst>
          </xdr:cNvPr>
          <xdr:cNvSpPr/>
        </xdr:nvSpPr>
        <xdr:spPr>
          <a:xfrm>
            <a:off x="9342782" y="2435086"/>
            <a:ext cx="2914650" cy="163995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n-CA" sz="1200" baseline="0">
              <a:solidFill>
                <a:schemeClr val="tx1"/>
              </a:solidFill>
              <a:latin typeface="Arial" pitchFamily="34" charset="0"/>
              <a:cs typeface="Arial" pitchFamily="34" charset="0"/>
            </a:endParaRPr>
          </a:p>
          <a:p>
            <a:pPr algn="l"/>
            <a:endParaRPr lang="en-CA" sz="1200" baseline="0">
              <a:solidFill>
                <a:schemeClr val="tx1"/>
              </a:solidFill>
              <a:latin typeface="Arial" pitchFamily="34" charset="0"/>
              <a:cs typeface="Arial" pitchFamily="34" charset="0"/>
            </a:endParaRPr>
          </a:p>
        </xdr:txBody>
      </xdr:sp>
      <xdr:sp macro="" textlink="">
        <xdr:nvSpPr>
          <xdr:cNvPr id="2" name="TextBox 1">
            <a:hlinkClick xmlns:r="http://schemas.openxmlformats.org/officeDocument/2006/relationships" r:id="rId3"/>
            <a:extLst>
              <a:ext uri="{FF2B5EF4-FFF2-40B4-BE49-F238E27FC236}">
                <a16:creationId xmlns:a16="http://schemas.microsoft.com/office/drawing/2014/main" id="{00000000-0008-0000-0200-000002000000}"/>
              </a:ext>
            </a:extLst>
          </xdr:cNvPr>
          <xdr:cNvSpPr txBox="1"/>
        </xdr:nvSpPr>
        <xdr:spPr>
          <a:xfrm>
            <a:off x="9475304" y="2857501"/>
            <a:ext cx="2501348" cy="966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aseline="0">
                <a:solidFill>
                  <a:schemeClr val="dk1"/>
                </a:solidFill>
                <a:effectLst/>
                <a:latin typeface="+mn-lt"/>
                <a:ea typeface="+mn-ea"/>
                <a:cs typeface="+mn-cs"/>
              </a:rPr>
              <a:t>Ontario Energy Board's 2026 Electricity Distribution Rate Applications Webpage</a:t>
            </a:r>
            <a:endParaRPr lang="en-CA">
              <a:effectLst/>
            </a:endParaRPr>
          </a:p>
          <a:p>
            <a:endParaRPr lang="en-CA" sz="1100"/>
          </a:p>
        </xdr:txBody>
      </xdr:sp>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9478617" y="2471532"/>
            <a:ext cx="1048578" cy="327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baseline="0">
                <a:solidFill>
                  <a:schemeClr val="dk1"/>
                </a:solidFill>
                <a:effectLst/>
                <a:latin typeface="+mn-lt"/>
                <a:ea typeface="+mn-ea"/>
                <a:cs typeface="+mn-cs"/>
              </a:rPr>
              <a:t>Quick Link</a:t>
            </a:r>
            <a:endParaRPr lang="en-CA" sz="1400" b="1">
              <a:effectLst/>
            </a:endParaRPr>
          </a:p>
          <a:p>
            <a:endParaRPr lang="en-CA" sz="1100"/>
          </a:p>
        </xdr:txBody>
      </xdr:sp>
    </xdr:grpSp>
    <xdr:clientData/>
  </xdr:twoCellAnchor>
  <mc:AlternateContent xmlns:mc="http://schemas.openxmlformats.org/markup-compatibility/2006">
    <mc:Choice xmlns:a14="http://schemas.microsoft.com/office/drawing/2010/main" Requires="a14">
      <xdr:twoCellAnchor>
        <xdr:from>
          <xdr:col>8</xdr:col>
          <xdr:colOff>47625</xdr:colOff>
          <xdr:row>25</xdr:row>
          <xdr:rowOff>0</xdr:rowOff>
        </xdr:from>
        <xdr:to>
          <xdr:col>8</xdr:col>
          <xdr:colOff>333375</xdr:colOff>
          <xdr:row>25</xdr:row>
          <xdr:rowOff>257175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t>
              </a:r>
            </a:p>
          </xdr:txBody>
        </xdr:sp>
        <xdr:clientData fPrintsWithSheet="0"/>
      </xdr:twoCellAnchor>
    </mc:Choice>
    <mc:Fallback/>
  </mc:AlternateContent>
  <xdr:twoCellAnchor>
    <xdr:from>
      <xdr:col>15</xdr:col>
      <xdr:colOff>0</xdr:colOff>
      <xdr:row>24</xdr:row>
      <xdr:rowOff>0</xdr:rowOff>
    </xdr:from>
    <xdr:to>
      <xdr:col>23</xdr:col>
      <xdr:colOff>503764</xdr:colOff>
      <xdr:row>63</xdr:row>
      <xdr:rowOff>190499</xdr:rowOff>
    </xdr:to>
    <xdr:sp macro="" textlink="">
      <xdr:nvSpPr>
        <xdr:cNvPr id="15" name="Rounded Rectangle 14" hidden="1">
          <a:extLst>
            <a:ext uri="{FF2B5EF4-FFF2-40B4-BE49-F238E27FC236}">
              <a16:creationId xmlns:a16="http://schemas.microsoft.com/office/drawing/2014/main" id="{00000000-0008-0000-0200-00000F000000}"/>
            </a:ext>
          </a:extLst>
        </xdr:cNvPr>
        <xdr:cNvSpPr/>
      </xdr:nvSpPr>
      <xdr:spPr>
        <a:xfrm>
          <a:off x="9458325" y="4743450"/>
          <a:ext cx="5380564" cy="244792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If you had</a:t>
          </a:r>
          <a:r>
            <a:rPr lang="en-CA" sz="1200" baseline="0">
              <a:solidFill>
                <a:schemeClr val="dk1"/>
              </a:solidFill>
              <a:effectLst/>
              <a:latin typeface="Arial" panose="020B0604020202020204" pitchFamily="34" charset="0"/>
              <a:ea typeface="+mn-ea"/>
              <a:cs typeface="Arial" panose="020B0604020202020204" pitchFamily="34" charset="0"/>
            </a:rPr>
            <a:t> any customers classified as Class A at any point during the period where Account 1580, sub-account CBR Class B balance accumulated (i.e. from the year the balance was last disposed to the current year), check off the checkbox.</a:t>
          </a:r>
          <a:endParaRPr lang="en-CA" sz="1200">
            <a:effectLst/>
            <a:latin typeface="Arial" panose="020B0604020202020204" pitchFamily="34" charset="0"/>
            <a:cs typeface="Arial" panose="020B0604020202020204" pitchFamily="34" charset="0"/>
          </a:endParaRP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had Class A customer(s) during this period, Tab 6.2 will be generated. Account 1580, sub-account CBR Class B will be disposed through a separate rate rider calculated in Tab 6.2.</a:t>
          </a: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only had Class B customers during this period, the balance in 1580 sub-account CBR Class B will be allocated and disposed with Account 1580 WMS.</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228600</xdr:colOff>
          <xdr:row>27</xdr:row>
          <xdr:rowOff>28575</xdr:rowOff>
        </xdr:from>
        <xdr:to>
          <xdr:col>20</xdr:col>
          <xdr:colOff>114300</xdr:colOff>
          <xdr:row>28</xdr:row>
          <xdr:rowOff>85725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EAEAEA"/>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0</xdr:colOff>
      <xdr:row>30</xdr:row>
      <xdr:rowOff>0</xdr:rowOff>
    </xdr:from>
    <xdr:to>
      <xdr:col>16</xdr:col>
      <xdr:colOff>182850</xdr:colOff>
      <xdr:row>31</xdr:row>
      <xdr:rowOff>347382</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10668000" y="5782235"/>
          <a:ext cx="2928291" cy="1333500"/>
          <a:chOff x="9342782" y="2435086"/>
          <a:chExt cx="2914650" cy="1639957"/>
        </a:xfrm>
      </xdr:grpSpPr>
      <xdr:sp macro="" textlink="">
        <xdr:nvSpPr>
          <xdr:cNvPr id="16" name="Rounded Rectangle 7">
            <a:extLst>
              <a:ext uri="{FF2B5EF4-FFF2-40B4-BE49-F238E27FC236}">
                <a16:creationId xmlns:a16="http://schemas.microsoft.com/office/drawing/2014/main" id="{00000000-0008-0000-0200-000010000000}"/>
              </a:ext>
            </a:extLst>
          </xdr:cNvPr>
          <xdr:cNvSpPr/>
        </xdr:nvSpPr>
        <xdr:spPr>
          <a:xfrm>
            <a:off x="9342782" y="2435086"/>
            <a:ext cx="2914650" cy="1639957"/>
          </a:xfrm>
          <a:prstGeom prst="roundRect">
            <a:avLst/>
          </a:prstGeom>
          <a:gradFill rotWithShape="1">
            <a:gsLst>
              <a:gs pos="0">
                <a:srgbClr val="4F81BD">
                  <a:tint val="50000"/>
                  <a:satMod val="300000"/>
                </a:srgbClr>
              </a:gs>
              <a:gs pos="35000">
                <a:srgbClr val="4F81BD">
                  <a:tint val="37000"/>
                  <a:satMod val="300000"/>
                </a:srgbClr>
              </a:gs>
              <a:gs pos="100000">
                <a:srgbClr val="4F81BD">
                  <a:tint val="15000"/>
                  <a:satMod val="350000"/>
                </a:srgbClr>
              </a:gs>
            </a:gsLst>
            <a:lin ang="16200000" scaled="1"/>
          </a:gradFill>
          <a:ln w="9525" cap="flat" cmpd="sng" algn="ctr">
            <a:solidFill>
              <a:srgbClr val="4F81B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9519919" y="2542103"/>
            <a:ext cx="2501348" cy="139512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For instructions to complete tabs 3 to 7 of the IRM Rate Generator Model, refer to the IRM Rate Generator Model Tabs 3-7 Instructions document posted on the OEB's 2026 Electricity Distribution Rates webpage.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10</xdr:row>
      <xdr:rowOff>10766</xdr:rowOff>
    </xdr:to>
    <xdr:grpSp>
      <xdr:nvGrpSpPr>
        <xdr:cNvPr id="8" name="Group 7">
          <a:extLst>
            <a:ext uri="{FF2B5EF4-FFF2-40B4-BE49-F238E27FC236}">
              <a16:creationId xmlns:a16="http://schemas.microsoft.com/office/drawing/2014/main" id="{00000000-0008-0000-0F00-000008000000}"/>
            </a:ext>
          </a:extLst>
        </xdr:cNvPr>
        <xdr:cNvGrpSpPr/>
      </xdr:nvGrpSpPr>
      <xdr:grpSpPr>
        <a:xfrm>
          <a:off x="0" y="0"/>
          <a:ext cx="14258925" cy="1915766"/>
          <a:chOff x="200024" y="4499942"/>
          <a:chExt cx="8857420" cy="1915766"/>
        </a:xfrm>
      </xdr:grpSpPr>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F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F00-00000B000000}"/>
              </a:ext>
            </a:extLst>
          </xdr:cNvPr>
          <xdr:cNvSpPr/>
        </xdr:nvSpPr>
        <xdr:spPr>
          <a:xfrm>
            <a:off x="324975"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F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781050</xdr:colOff>
      <xdr:row>11</xdr:row>
      <xdr:rowOff>134591</xdr:rowOff>
    </xdr:to>
    <xdr:grpSp>
      <xdr:nvGrpSpPr>
        <xdr:cNvPr id="6" name="Group 5">
          <a:extLst>
            <a:ext uri="{FF2B5EF4-FFF2-40B4-BE49-F238E27FC236}">
              <a16:creationId xmlns:a16="http://schemas.microsoft.com/office/drawing/2014/main" id="{00000000-0008-0000-1000-000006000000}"/>
            </a:ext>
          </a:extLst>
        </xdr:cNvPr>
        <xdr:cNvGrpSpPr>
          <a:grpSpLocks noChangeAspect="1"/>
        </xdr:cNvGrpSpPr>
      </xdr:nvGrpSpPr>
      <xdr:grpSpPr>
        <a:xfrm>
          <a:off x="0" y="0"/>
          <a:ext cx="14401800" cy="1915766"/>
          <a:chOff x="200024" y="4499942"/>
          <a:chExt cx="8857420" cy="1915766"/>
        </a:xfrm>
      </xdr:grpSpPr>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0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000-000009000000}"/>
              </a:ext>
            </a:extLst>
          </xdr:cNvPr>
          <xdr:cNvSpPr/>
        </xdr:nvSpPr>
        <xdr:spPr>
          <a:xfrm>
            <a:off x="296174" y="49729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0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21167</xdr:colOff>
      <xdr:row>0</xdr:row>
      <xdr:rowOff>21166</xdr:rowOff>
    </xdr:from>
    <xdr:to>
      <xdr:col>11</xdr:col>
      <xdr:colOff>1669676</xdr:colOff>
      <xdr:row>13</xdr:row>
      <xdr:rowOff>22410</xdr:rowOff>
    </xdr:to>
    <xdr:grpSp>
      <xdr:nvGrpSpPr>
        <xdr:cNvPr id="2" name="Group 1">
          <a:extLst>
            <a:ext uri="{FF2B5EF4-FFF2-40B4-BE49-F238E27FC236}">
              <a16:creationId xmlns:a16="http://schemas.microsoft.com/office/drawing/2014/main" id="{00000000-0008-0000-1100-000002000000}"/>
            </a:ext>
          </a:extLst>
        </xdr:cNvPr>
        <xdr:cNvGrpSpPr/>
      </xdr:nvGrpSpPr>
      <xdr:grpSpPr>
        <a:xfrm>
          <a:off x="802217" y="21166"/>
          <a:ext cx="13364259" cy="2106269"/>
          <a:chOff x="200024" y="4499942"/>
          <a:chExt cx="8857420" cy="1915766"/>
        </a:xfrm>
      </xdr:grpSpPr>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11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100-000005000000}"/>
              </a:ext>
            </a:extLst>
          </xdr:cNvPr>
          <xdr:cNvSpPr/>
        </xdr:nvSpPr>
        <xdr:spPr>
          <a:xfrm>
            <a:off x="337235" y="491746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1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38099</xdr:colOff>
      <xdr:row>0</xdr:row>
      <xdr:rowOff>28575</xdr:rowOff>
    </xdr:from>
    <xdr:to>
      <xdr:col>16</xdr:col>
      <xdr:colOff>76199</xdr:colOff>
      <xdr:row>11</xdr:row>
      <xdr:rowOff>47626</xdr:rowOff>
    </xdr:to>
    <xdr:grpSp>
      <xdr:nvGrpSpPr>
        <xdr:cNvPr id="9" name="Group 8">
          <a:extLst>
            <a:ext uri="{FF2B5EF4-FFF2-40B4-BE49-F238E27FC236}">
              <a16:creationId xmlns:a16="http://schemas.microsoft.com/office/drawing/2014/main" id="{00000000-0008-0000-1200-000009000000}"/>
            </a:ext>
          </a:extLst>
        </xdr:cNvPr>
        <xdr:cNvGrpSpPr/>
      </xdr:nvGrpSpPr>
      <xdr:grpSpPr>
        <a:xfrm>
          <a:off x="38099" y="28575"/>
          <a:ext cx="11820525" cy="1800226"/>
          <a:chOff x="200024" y="4499942"/>
          <a:chExt cx="8857420" cy="1915766"/>
        </a:xfrm>
      </xdr:grpSpPr>
      <xdr:pic>
        <xdr:nvPicPr>
          <xdr:cNvPr id="10" name="Picture 9">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2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200-00000C000000}"/>
              </a:ext>
            </a:extLst>
          </xdr:cNvPr>
          <xdr:cNvSpPr/>
        </xdr:nvSpPr>
        <xdr:spPr>
          <a:xfrm>
            <a:off x="322821" y="495823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2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25</xdr:col>
      <xdr:colOff>152400</xdr:colOff>
      <xdr:row>2</xdr:row>
      <xdr:rowOff>85722</xdr:rowOff>
    </xdr:from>
    <xdr:to>
      <xdr:col>27</xdr:col>
      <xdr:colOff>114300</xdr:colOff>
      <xdr:row>5</xdr:row>
      <xdr:rowOff>28360</xdr:rowOff>
    </xdr:to>
    <xdr:sp macro="" textlink="">
      <xdr:nvSpPr>
        <xdr:cNvPr id="2" name="Text Box 16">
          <a:extLst>
            <a:ext uri="{FF2B5EF4-FFF2-40B4-BE49-F238E27FC236}">
              <a16:creationId xmlns:a16="http://schemas.microsoft.com/office/drawing/2014/main" id="{00000000-0008-0000-1300-000002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Effective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885825</xdr:colOff>
      <xdr:row>11</xdr:row>
      <xdr:rowOff>134591</xdr:rowOff>
    </xdr:to>
    <xdr:grpSp>
      <xdr:nvGrpSpPr>
        <xdr:cNvPr id="7" name="Group 6">
          <a:extLst>
            <a:ext uri="{FF2B5EF4-FFF2-40B4-BE49-F238E27FC236}">
              <a16:creationId xmlns:a16="http://schemas.microsoft.com/office/drawing/2014/main" id="{00000000-0008-0000-1300-000007000000}"/>
            </a:ext>
          </a:extLst>
        </xdr:cNvPr>
        <xdr:cNvGrpSpPr/>
      </xdr:nvGrpSpPr>
      <xdr:grpSpPr>
        <a:xfrm>
          <a:off x="0" y="0"/>
          <a:ext cx="11620500" cy="1915766"/>
          <a:chOff x="200024" y="4499942"/>
          <a:chExt cx="8857420" cy="1915766"/>
        </a:xfrm>
      </xdr:grpSpPr>
      <xdr:pic>
        <xdr:nvPicPr>
          <xdr:cNvPr id="8" name="Picture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9" name="TextBox 8">
            <a:extLst>
              <a:ext uri="{FF2B5EF4-FFF2-40B4-BE49-F238E27FC236}">
                <a16:creationId xmlns:a16="http://schemas.microsoft.com/office/drawing/2014/main" id="{00000000-0008-0000-1300-000009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0" name="Rectangle 9">
            <a:extLst>
              <a:ext uri="{FF2B5EF4-FFF2-40B4-BE49-F238E27FC236}">
                <a16:creationId xmlns:a16="http://schemas.microsoft.com/office/drawing/2014/main" id="{00000000-0008-0000-1300-00000A000000}"/>
              </a:ext>
            </a:extLst>
          </xdr:cNvPr>
          <xdr:cNvSpPr/>
        </xdr:nvSpPr>
        <xdr:spPr>
          <a:xfrm>
            <a:off x="424072" y="4877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1" name="Picture 10">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Rectangle 11">
            <a:extLst>
              <a:ext uri="{FF2B5EF4-FFF2-40B4-BE49-F238E27FC236}">
                <a16:creationId xmlns:a16="http://schemas.microsoft.com/office/drawing/2014/main" id="{00000000-0008-0000-1300-00000C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25</xdr:col>
      <xdr:colOff>371475</xdr:colOff>
      <xdr:row>2</xdr:row>
      <xdr:rowOff>85722</xdr:rowOff>
    </xdr:from>
    <xdr:to>
      <xdr:col>27</xdr:col>
      <xdr:colOff>333375</xdr:colOff>
      <xdr:row>5</xdr:row>
      <xdr:rowOff>28360</xdr:rowOff>
    </xdr:to>
    <xdr:sp macro="" textlink="">
      <xdr:nvSpPr>
        <xdr:cNvPr id="4" name="Text Box 16">
          <a:extLst>
            <a:ext uri="{FF2B5EF4-FFF2-40B4-BE49-F238E27FC236}">
              <a16:creationId xmlns:a16="http://schemas.microsoft.com/office/drawing/2014/main" id="{00000000-0008-0000-1400-000004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1019175</xdr:colOff>
      <xdr:row>12</xdr:row>
      <xdr:rowOff>95250</xdr:rowOff>
    </xdr:to>
    <xdr:grpSp>
      <xdr:nvGrpSpPr>
        <xdr:cNvPr id="9" name="Group 8">
          <a:extLst>
            <a:ext uri="{FF2B5EF4-FFF2-40B4-BE49-F238E27FC236}">
              <a16:creationId xmlns:a16="http://schemas.microsoft.com/office/drawing/2014/main" id="{00000000-0008-0000-1400-000009000000}"/>
            </a:ext>
          </a:extLst>
        </xdr:cNvPr>
        <xdr:cNvGrpSpPr/>
      </xdr:nvGrpSpPr>
      <xdr:grpSpPr>
        <a:xfrm>
          <a:off x="0" y="0"/>
          <a:ext cx="11687175" cy="2038350"/>
          <a:chOff x="200024" y="4499942"/>
          <a:chExt cx="8857420" cy="1915766"/>
        </a:xfrm>
      </xdr:grpSpPr>
      <xdr:pic>
        <xdr:nvPicPr>
          <xdr:cNvPr id="10" name="Picture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4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400-00000C000000}"/>
              </a:ext>
            </a:extLst>
          </xdr:cNvPr>
          <xdr:cNvSpPr/>
        </xdr:nvSpPr>
        <xdr:spPr>
          <a:xfrm>
            <a:off x="315561" y="497769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4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19049</xdr:colOff>
      <xdr:row>0</xdr:row>
      <xdr:rowOff>0</xdr:rowOff>
    </xdr:from>
    <xdr:to>
      <xdr:col>9</xdr:col>
      <xdr:colOff>781049</xdr:colOff>
      <xdr:row>11</xdr:row>
      <xdr:rowOff>38100</xdr:rowOff>
    </xdr:to>
    <xdr:grpSp>
      <xdr:nvGrpSpPr>
        <xdr:cNvPr id="6" name="Group 5">
          <a:extLst>
            <a:ext uri="{FF2B5EF4-FFF2-40B4-BE49-F238E27FC236}">
              <a16:creationId xmlns:a16="http://schemas.microsoft.com/office/drawing/2014/main" id="{00000000-0008-0000-1500-000006000000}"/>
            </a:ext>
          </a:extLst>
        </xdr:cNvPr>
        <xdr:cNvGrpSpPr/>
      </xdr:nvGrpSpPr>
      <xdr:grpSpPr>
        <a:xfrm>
          <a:off x="19049" y="0"/>
          <a:ext cx="16506825" cy="1819275"/>
          <a:chOff x="200024" y="4499942"/>
          <a:chExt cx="9312502" cy="1915766"/>
        </a:xfrm>
      </xdr:grpSpPr>
      <xdr:pic>
        <xdr:nvPicPr>
          <xdr:cNvPr id="7" name="Picture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9312502"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5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500-000009000000}"/>
              </a:ext>
            </a:extLst>
          </xdr:cNvPr>
          <xdr:cNvSpPr/>
        </xdr:nvSpPr>
        <xdr:spPr>
          <a:xfrm>
            <a:off x="310336" y="4930688"/>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5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0</xdr:rowOff>
    </xdr:to>
    <xdr:grpSp>
      <xdr:nvGrpSpPr>
        <xdr:cNvPr id="2" name="Group 1">
          <a:extLst>
            <a:ext uri="{FF2B5EF4-FFF2-40B4-BE49-F238E27FC236}">
              <a16:creationId xmlns:a16="http://schemas.microsoft.com/office/drawing/2014/main" id="{00000000-0008-0000-1600-000002000000}"/>
            </a:ext>
          </a:extLst>
        </xdr:cNvPr>
        <xdr:cNvGrpSpPr/>
      </xdr:nvGrpSpPr>
      <xdr:grpSpPr>
        <a:xfrm>
          <a:off x="0" y="19050"/>
          <a:ext cx="13830300" cy="1885950"/>
          <a:chOff x="200024" y="4499942"/>
          <a:chExt cx="8857420" cy="1915766"/>
        </a:xfrm>
      </xdr:grpSpPr>
      <xdr:pic>
        <xdr:nvPicPr>
          <xdr:cNvPr id="3" name="Picture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6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600-000005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6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absolute">
        <xdr:from>
          <xdr:col>3</xdr:col>
          <xdr:colOff>38100</xdr:colOff>
          <xdr:row>13</xdr:row>
          <xdr:rowOff>9525</xdr:rowOff>
        </xdr:from>
        <xdr:to>
          <xdr:col>3</xdr:col>
          <xdr:colOff>200025</xdr:colOff>
          <xdr:row>14</xdr:row>
          <xdr:rowOff>47625</xdr:rowOff>
        </xdr:to>
        <xdr:sp macro="" textlink="">
          <xdr:nvSpPr>
            <xdr:cNvPr id="95234" name="Button 2" hidden="1">
              <a:extLst>
                <a:ext uri="{63B3BB69-23CF-44E3-9099-C40C66FF867C}">
                  <a14:compatExt spid="_x0000_s95234"/>
                </a:ext>
                <a:ext uri="{FF2B5EF4-FFF2-40B4-BE49-F238E27FC236}">
                  <a16:creationId xmlns:a16="http://schemas.microsoft.com/office/drawing/2014/main" id="{00000000-0008-0000-1600-000002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238125</xdr:colOff>
          <xdr:row>13</xdr:row>
          <xdr:rowOff>9525</xdr:rowOff>
        </xdr:from>
        <xdr:to>
          <xdr:col>3</xdr:col>
          <xdr:colOff>400050</xdr:colOff>
          <xdr:row>14</xdr:row>
          <xdr:rowOff>47625</xdr:rowOff>
        </xdr:to>
        <xdr:sp macro="" textlink="">
          <xdr:nvSpPr>
            <xdr:cNvPr id="95235" name="Button 3" hidden="1">
              <a:extLst>
                <a:ext uri="{63B3BB69-23CF-44E3-9099-C40C66FF867C}">
                  <a14:compatExt spid="_x0000_s95235"/>
                </a:ext>
                <a:ext uri="{FF2B5EF4-FFF2-40B4-BE49-F238E27FC236}">
                  <a16:creationId xmlns:a16="http://schemas.microsoft.com/office/drawing/2014/main" id="{00000000-0008-0000-1600-000003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133350</xdr:colOff>
          <xdr:row>21</xdr:row>
          <xdr:rowOff>66675</xdr:rowOff>
        </xdr:from>
        <xdr:to>
          <xdr:col>10</xdr:col>
          <xdr:colOff>47625</xdr:colOff>
          <xdr:row>22</xdr:row>
          <xdr:rowOff>104775</xdr:rowOff>
        </xdr:to>
        <xdr:sp macro="" textlink="">
          <xdr:nvSpPr>
            <xdr:cNvPr id="95245" name="Button 13" hidden="1">
              <a:extLst>
                <a:ext uri="{63B3BB69-23CF-44E3-9099-C40C66FF867C}">
                  <a14:compatExt spid="_x0000_s95245"/>
                </a:ext>
                <a:ext uri="{FF2B5EF4-FFF2-40B4-BE49-F238E27FC236}">
                  <a16:creationId xmlns:a16="http://schemas.microsoft.com/office/drawing/2014/main" id="{00000000-0008-0000-1600-00000D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21</xdr:row>
          <xdr:rowOff>66675</xdr:rowOff>
        </xdr:from>
        <xdr:to>
          <xdr:col>10</xdr:col>
          <xdr:colOff>266700</xdr:colOff>
          <xdr:row>22</xdr:row>
          <xdr:rowOff>104775</xdr:rowOff>
        </xdr:to>
        <xdr:sp macro="" textlink="">
          <xdr:nvSpPr>
            <xdr:cNvPr id="95246" name="Button 14" hidden="1">
              <a:extLst>
                <a:ext uri="{63B3BB69-23CF-44E3-9099-C40C66FF867C}">
                  <a14:compatExt spid="_x0000_s95246"/>
                </a:ext>
                <a:ext uri="{FF2B5EF4-FFF2-40B4-BE49-F238E27FC236}">
                  <a16:creationId xmlns:a16="http://schemas.microsoft.com/office/drawing/2014/main" id="{00000000-0008-0000-1600-00000E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133350</xdr:colOff>
          <xdr:row>25</xdr:row>
          <xdr:rowOff>76200</xdr:rowOff>
        </xdr:from>
        <xdr:to>
          <xdr:col>10</xdr:col>
          <xdr:colOff>47625</xdr:colOff>
          <xdr:row>26</xdr:row>
          <xdr:rowOff>114300</xdr:rowOff>
        </xdr:to>
        <xdr:sp macro="" textlink="">
          <xdr:nvSpPr>
            <xdr:cNvPr id="95261" name="Button 29" hidden="1">
              <a:extLst>
                <a:ext uri="{63B3BB69-23CF-44E3-9099-C40C66FF867C}">
                  <a14:compatExt spid="_x0000_s95261"/>
                </a:ext>
                <a:ext uri="{FF2B5EF4-FFF2-40B4-BE49-F238E27FC236}">
                  <a16:creationId xmlns:a16="http://schemas.microsoft.com/office/drawing/2014/main" id="{00000000-0008-0000-1600-00001D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29</xdr:row>
          <xdr:rowOff>47625</xdr:rowOff>
        </xdr:from>
        <xdr:to>
          <xdr:col>10</xdr:col>
          <xdr:colOff>47625</xdr:colOff>
          <xdr:row>30</xdr:row>
          <xdr:rowOff>85725</xdr:rowOff>
        </xdr:to>
        <xdr:sp macro="" textlink="">
          <xdr:nvSpPr>
            <xdr:cNvPr id="95262" name="Button 30" hidden="1">
              <a:extLst>
                <a:ext uri="{63B3BB69-23CF-44E3-9099-C40C66FF867C}">
                  <a14:compatExt spid="_x0000_s95262"/>
                </a:ext>
                <a:ext uri="{FF2B5EF4-FFF2-40B4-BE49-F238E27FC236}">
                  <a16:creationId xmlns:a16="http://schemas.microsoft.com/office/drawing/2014/main" id="{00000000-0008-0000-1600-00001E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33</xdr:row>
          <xdr:rowOff>47625</xdr:rowOff>
        </xdr:from>
        <xdr:to>
          <xdr:col>10</xdr:col>
          <xdr:colOff>47625</xdr:colOff>
          <xdr:row>34</xdr:row>
          <xdr:rowOff>85725</xdr:rowOff>
        </xdr:to>
        <xdr:sp macro="" textlink="">
          <xdr:nvSpPr>
            <xdr:cNvPr id="95263" name="Button 31" hidden="1">
              <a:extLst>
                <a:ext uri="{63B3BB69-23CF-44E3-9099-C40C66FF867C}">
                  <a14:compatExt spid="_x0000_s95263"/>
                </a:ext>
                <a:ext uri="{FF2B5EF4-FFF2-40B4-BE49-F238E27FC236}">
                  <a16:creationId xmlns:a16="http://schemas.microsoft.com/office/drawing/2014/main" id="{00000000-0008-0000-1600-00001F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37</xdr:row>
          <xdr:rowOff>85725</xdr:rowOff>
        </xdr:from>
        <xdr:to>
          <xdr:col>10</xdr:col>
          <xdr:colOff>47625</xdr:colOff>
          <xdr:row>39</xdr:row>
          <xdr:rowOff>0</xdr:rowOff>
        </xdr:to>
        <xdr:sp macro="" textlink="">
          <xdr:nvSpPr>
            <xdr:cNvPr id="95264" name="Button 32" hidden="1">
              <a:extLst>
                <a:ext uri="{63B3BB69-23CF-44E3-9099-C40C66FF867C}">
                  <a14:compatExt spid="_x0000_s95264"/>
                </a:ext>
                <a:ext uri="{FF2B5EF4-FFF2-40B4-BE49-F238E27FC236}">
                  <a16:creationId xmlns:a16="http://schemas.microsoft.com/office/drawing/2014/main" id="{00000000-0008-0000-1600-000020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41</xdr:row>
          <xdr:rowOff>85725</xdr:rowOff>
        </xdr:from>
        <xdr:to>
          <xdr:col>10</xdr:col>
          <xdr:colOff>47625</xdr:colOff>
          <xdr:row>43</xdr:row>
          <xdr:rowOff>0</xdr:rowOff>
        </xdr:to>
        <xdr:sp macro="" textlink="">
          <xdr:nvSpPr>
            <xdr:cNvPr id="95265" name="Button 33" hidden="1">
              <a:extLst>
                <a:ext uri="{63B3BB69-23CF-44E3-9099-C40C66FF867C}">
                  <a14:compatExt spid="_x0000_s95265"/>
                </a:ext>
                <a:ext uri="{FF2B5EF4-FFF2-40B4-BE49-F238E27FC236}">
                  <a16:creationId xmlns:a16="http://schemas.microsoft.com/office/drawing/2014/main" id="{00000000-0008-0000-1600-000021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45</xdr:row>
          <xdr:rowOff>85725</xdr:rowOff>
        </xdr:from>
        <xdr:to>
          <xdr:col>10</xdr:col>
          <xdr:colOff>47625</xdr:colOff>
          <xdr:row>47</xdr:row>
          <xdr:rowOff>0</xdr:rowOff>
        </xdr:to>
        <xdr:sp macro="" textlink="">
          <xdr:nvSpPr>
            <xdr:cNvPr id="95266" name="Button 34" hidden="1">
              <a:extLst>
                <a:ext uri="{63B3BB69-23CF-44E3-9099-C40C66FF867C}">
                  <a14:compatExt spid="_x0000_s95266"/>
                </a:ext>
                <a:ext uri="{FF2B5EF4-FFF2-40B4-BE49-F238E27FC236}">
                  <a16:creationId xmlns:a16="http://schemas.microsoft.com/office/drawing/2014/main" id="{00000000-0008-0000-1600-000022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49</xdr:row>
          <xdr:rowOff>85725</xdr:rowOff>
        </xdr:from>
        <xdr:to>
          <xdr:col>10</xdr:col>
          <xdr:colOff>47625</xdr:colOff>
          <xdr:row>51</xdr:row>
          <xdr:rowOff>0</xdr:rowOff>
        </xdr:to>
        <xdr:sp macro="" textlink="">
          <xdr:nvSpPr>
            <xdr:cNvPr id="95267" name="Button 35" hidden="1">
              <a:extLst>
                <a:ext uri="{63B3BB69-23CF-44E3-9099-C40C66FF867C}">
                  <a14:compatExt spid="_x0000_s95267"/>
                </a:ext>
                <a:ext uri="{FF2B5EF4-FFF2-40B4-BE49-F238E27FC236}">
                  <a16:creationId xmlns:a16="http://schemas.microsoft.com/office/drawing/2014/main" id="{00000000-0008-0000-1600-000023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53</xdr:row>
          <xdr:rowOff>76200</xdr:rowOff>
        </xdr:from>
        <xdr:to>
          <xdr:col>10</xdr:col>
          <xdr:colOff>47625</xdr:colOff>
          <xdr:row>54</xdr:row>
          <xdr:rowOff>114300</xdr:rowOff>
        </xdr:to>
        <xdr:sp macro="" textlink="">
          <xdr:nvSpPr>
            <xdr:cNvPr id="95268" name="Button 36" hidden="1">
              <a:extLst>
                <a:ext uri="{63B3BB69-23CF-44E3-9099-C40C66FF867C}">
                  <a14:compatExt spid="_x0000_s95268"/>
                </a:ext>
                <a:ext uri="{FF2B5EF4-FFF2-40B4-BE49-F238E27FC236}">
                  <a16:creationId xmlns:a16="http://schemas.microsoft.com/office/drawing/2014/main" id="{00000000-0008-0000-1600-000024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57</xdr:row>
          <xdr:rowOff>76200</xdr:rowOff>
        </xdr:from>
        <xdr:to>
          <xdr:col>10</xdr:col>
          <xdr:colOff>47625</xdr:colOff>
          <xdr:row>58</xdr:row>
          <xdr:rowOff>114300</xdr:rowOff>
        </xdr:to>
        <xdr:sp macro="" textlink="">
          <xdr:nvSpPr>
            <xdr:cNvPr id="95269" name="Button 37" hidden="1">
              <a:extLst>
                <a:ext uri="{63B3BB69-23CF-44E3-9099-C40C66FF867C}">
                  <a14:compatExt spid="_x0000_s95269"/>
                </a:ext>
                <a:ext uri="{FF2B5EF4-FFF2-40B4-BE49-F238E27FC236}">
                  <a16:creationId xmlns:a16="http://schemas.microsoft.com/office/drawing/2014/main" id="{00000000-0008-0000-1600-000025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61</xdr:row>
          <xdr:rowOff>66675</xdr:rowOff>
        </xdr:from>
        <xdr:to>
          <xdr:col>10</xdr:col>
          <xdr:colOff>47625</xdr:colOff>
          <xdr:row>62</xdr:row>
          <xdr:rowOff>104775</xdr:rowOff>
        </xdr:to>
        <xdr:sp macro="" textlink="">
          <xdr:nvSpPr>
            <xdr:cNvPr id="95270" name="Button 38" hidden="1">
              <a:extLst>
                <a:ext uri="{63B3BB69-23CF-44E3-9099-C40C66FF867C}">
                  <a14:compatExt spid="_x0000_s95270"/>
                </a:ext>
                <a:ext uri="{FF2B5EF4-FFF2-40B4-BE49-F238E27FC236}">
                  <a16:creationId xmlns:a16="http://schemas.microsoft.com/office/drawing/2014/main" id="{00000000-0008-0000-1600-000026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65</xdr:row>
          <xdr:rowOff>57150</xdr:rowOff>
        </xdr:from>
        <xdr:to>
          <xdr:col>10</xdr:col>
          <xdr:colOff>47625</xdr:colOff>
          <xdr:row>66</xdr:row>
          <xdr:rowOff>95250</xdr:rowOff>
        </xdr:to>
        <xdr:sp macro="" textlink="">
          <xdr:nvSpPr>
            <xdr:cNvPr id="95271" name="Button 39" hidden="1">
              <a:extLst>
                <a:ext uri="{63B3BB69-23CF-44E3-9099-C40C66FF867C}">
                  <a14:compatExt spid="_x0000_s95271"/>
                </a:ext>
                <a:ext uri="{FF2B5EF4-FFF2-40B4-BE49-F238E27FC236}">
                  <a16:creationId xmlns:a16="http://schemas.microsoft.com/office/drawing/2014/main" id="{00000000-0008-0000-1600-000027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25</xdr:row>
          <xdr:rowOff>66675</xdr:rowOff>
        </xdr:from>
        <xdr:to>
          <xdr:col>10</xdr:col>
          <xdr:colOff>257175</xdr:colOff>
          <xdr:row>26</xdr:row>
          <xdr:rowOff>104775</xdr:rowOff>
        </xdr:to>
        <xdr:sp macro="" textlink="">
          <xdr:nvSpPr>
            <xdr:cNvPr id="95274" name="Button 42" hidden="1">
              <a:extLst>
                <a:ext uri="{63B3BB69-23CF-44E3-9099-C40C66FF867C}">
                  <a14:compatExt spid="_x0000_s95274"/>
                </a:ext>
                <a:ext uri="{FF2B5EF4-FFF2-40B4-BE49-F238E27FC236}">
                  <a16:creationId xmlns:a16="http://schemas.microsoft.com/office/drawing/2014/main" id="{00000000-0008-0000-1600-00002A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29</xdr:row>
          <xdr:rowOff>57150</xdr:rowOff>
        </xdr:from>
        <xdr:to>
          <xdr:col>10</xdr:col>
          <xdr:colOff>266700</xdr:colOff>
          <xdr:row>30</xdr:row>
          <xdr:rowOff>95250</xdr:rowOff>
        </xdr:to>
        <xdr:sp macro="" textlink="">
          <xdr:nvSpPr>
            <xdr:cNvPr id="95276" name="Button 44" hidden="1">
              <a:extLst>
                <a:ext uri="{63B3BB69-23CF-44E3-9099-C40C66FF867C}">
                  <a14:compatExt spid="_x0000_s95276"/>
                </a:ext>
                <a:ext uri="{FF2B5EF4-FFF2-40B4-BE49-F238E27FC236}">
                  <a16:creationId xmlns:a16="http://schemas.microsoft.com/office/drawing/2014/main" id="{00000000-0008-0000-1600-00002C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33</xdr:row>
          <xdr:rowOff>47625</xdr:rowOff>
        </xdr:from>
        <xdr:to>
          <xdr:col>10</xdr:col>
          <xdr:colOff>266700</xdr:colOff>
          <xdr:row>34</xdr:row>
          <xdr:rowOff>85725</xdr:rowOff>
        </xdr:to>
        <xdr:sp macro="" textlink="">
          <xdr:nvSpPr>
            <xdr:cNvPr id="95277" name="Button 45" hidden="1">
              <a:extLst>
                <a:ext uri="{63B3BB69-23CF-44E3-9099-C40C66FF867C}">
                  <a14:compatExt spid="_x0000_s95277"/>
                </a:ext>
                <a:ext uri="{FF2B5EF4-FFF2-40B4-BE49-F238E27FC236}">
                  <a16:creationId xmlns:a16="http://schemas.microsoft.com/office/drawing/2014/main" id="{00000000-0008-0000-1600-00002D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37</xdr:row>
          <xdr:rowOff>85725</xdr:rowOff>
        </xdr:from>
        <xdr:to>
          <xdr:col>10</xdr:col>
          <xdr:colOff>266700</xdr:colOff>
          <xdr:row>39</xdr:row>
          <xdr:rowOff>0</xdr:rowOff>
        </xdr:to>
        <xdr:sp macro="" textlink="">
          <xdr:nvSpPr>
            <xdr:cNvPr id="95279" name="Button 47" hidden="1">
              <a:extLst>
                <a:ext uri="{63B3BB69-23CF-44E3-9099-C40C66FF867C}">
                  <a14:compatExt spid="_x0000_s95279"/>
                </a:ext>
                <a:ext uri="{FF2B5EF4-FFF2-40B4-BE49-F238E27FC236}">
                  <a16:creationId xmlns:a16="http://schemas.microsoft.com/office/drawing/2014/main" id="{00000000-0008-0000-1600-00002F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85725</xdr:colOff>
          <xdr:row>41</xdr:row>
          <xdr:rowOff>85725</xdr:rowOff>
        </xdr:from>
        <xdr:to>
          <xdr:col>10</xdr:col>
          <xdr:colOff>247650</xdr:colOff>
          <xdr:row>42</xdr:row>
          <xdr:rowOff>123825</xdr:rowOff>
        </xdr:to>
        <xdr:sp macro="" textlink="">
          <xdr:nvSpPr>
            <xdr:cNvPr id="95280" name="Button 48" hidden="1">
              <a:extLst>
                <a:ext uri="{63B3BB69-23CF-44E3-9099-C40C66FF867C}">
                  <a14:compatExt spid="_x0000_s95280"/>
                </a:ext>
                <a:ext uri="{FF2B5EF4-FFF2-40B4-BE49-F238E27FC236}">
                  <a16:creationId xmlns:a16="http://schemas.microsoft.com/office/drawing/2014/main" id="{00000000-0008-0000-1600-000030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45</xdr:row>
          <xdr:rowOff>85725</xdr:rowOff>
        </xdr:from>
        <xdr:to>
          <xdr:col>10</xdr:col>
          <xdr:colOff>266700</xdr:colOff>
          <xdr:row>46</xdr:row>
          <xdr:rowOff>123825</xdr:rowOff>
        </xdr:to>
        <xdr:sp macro="" textlink="">
          <xdr:nvSpPr>
            <xdr:cNvPr id="95281" name="Button 49" hidden="1">
              <a:extLst>
                <a:ext uri="{63B3BB69-23CF-44E3-9099-C40C66FF867C}">
                  <a14:compatExt spid="_x0000_s95281"/>
                </a:ext>
                <a:ext uri="{FF2B5EF4-FFF2-40B4-BE49-F238E27FC236}">
                  <a16:creationId xmlns:a16="http://schemas.microsoft.com/office/drawing/2014/main" id="{00000000-0008-0000-1600-000031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95250</xdr:colOff>
          <xdr:row>49</xdr:row>
          <xdr:rowOff>85725</xdr:rowOff>
        </xdr:from>
        <xdr:to>
          <xdr:col>10</xdr:col>
          <xdr:colOff>257175</xdr:colOff>
          <xdr:row>51</xdr:row>
          <xdr:rowOff>0</xdr:rowOff>
        </xdr:to>
        <xdr:sp macro="" textlink="">
          <xdr:nvSpPr>
            <xdr:cNvPr id="95282" name="Button 50" hidden="1">
              <a:extLst>
                <a:ext uri="{63B3BB69-23CF-44E3-9099-C40C66FF867C}">
                  <a14:compatExt spid="_x0000_s95282"/>
                </a:ext>
                <a:ext uri="{FF2B5EF4-FFF2-40B4-BE49-F238E27FC236}">
                  <a16:creationId xmlns:a16="http://schemas.microsoft.com/office/drawing/2014/main" id="{00000000-0008-0000-1600-000032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53</xdr:row>
          <xdr:rowOff>66675</xdr:rowOff>
        </xdr:from>
        <xdr:to>
          <xdr:col>10</xdr:col>
          <xdr:colOff>257175</xdr:colOff>
          <xdr:row>54</xdr:row>
          <xdr:rowOff>104775</xdr:rowOff>
        </xdr:to>
        <xdr:sp macro="" textlink="">
          <xdr:nvSpPr>
            <xdr:cNvPr id="95283" name="Button 51" hidden="1">
              <a:extLst>
                <a:ext uri="{63B3BB69-23CF-44E3-9099-C40C66FF867C}">
                  <a14:compatExt spid="_x0000_s95283"/>
                </a:ext>
                <a:ext uri="{FF2B5EF4-FFF2-40B4-BE49-F238E27FC236}">
                  <a16:creationId xmlns:a16="http://schemas.microsoft.com/office/drawing/2014/main" id="{00000000-0008-0000-1600-000033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95250</xdr:colOff>
          <xdr:row>57</xdr:row>
          <xdr:rowOff>66675</xdr:rowOff>
        </xdr:from>
        <xdr:to>
          <xdr:col>10</xdr:col>
          <xdr:colOff>257175</xdr:colOff>
          <xdr:row>58</xdr:row>
          <xdr:rowOff>104775</xdr:rowOff>
        </xdr:to>
        <xdr:sp macro="" textlink="">
          <xdr:nvSpPr>
            <xdr:cNvPr id="95284" name="Button 52" hidden="1">
              <a:extLst>
                <a:ext uri="{63B3BB69-23CF-44E3-9099-C40C66FF867C}">
                  <a14:compatExt spid="_x0000_s95284"/>
                </a:ext>
                <a:ext uri="{FF2B5EF4-FFF2-40B4-BE49-F238E27FC236}">
                  <a16:creationId xmlns:a16="http://schemas.microsoft.com/office/drawing/2014/main" id="{00000000-0008-0000-1600-000034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85725</xdr:colOff>
          <xdr:row>61</xdr:row>
          <xdr:rowOff>66675</xdr:rowOff>
        </xdr:from>
        <xdr:to>
          <xdr:col>10</xdr:col>
          <xdr:colOff>247650</xdr:colOff>
          <xdr:row>62</xdr:row>
          <xdr:rowOff>104775</xdr:rowOff>
        </xdr:to>
        <xdr:sp macro="" textlink="">
          <xdr:nvSpPr>
            <xdr:cNvPr id="95286" name="Button 54" hidden="1">
              <a:extLst>
                <a:ext uri="{63B3BB69-23CF-44E3-9099-C40C66FF867C}">
                  <a14:compatExt spid="_x0000_s95286"/>
                </a:ext>
                <a:ext uri="{FF2B5EF4-FFF2-40B4-BE49-F238E27FC236}">
                  <a16:creationId xmlns:a16="http://schemas.microsoft.com/office/drawing/2014/main" id="{00000000-0008-0000-1600-000036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85725</xdr:colOff>
          <xdr:row>65</xdr:row>
          <xdr:rowOff>57150</xdr:rowOff>
        </xdr:from>
        <xdr:to>
          <xdr:col>10</xdr:col>
          <xdr:colOff>247650</xdr:colOff>
          <xdr:row>66</xdr:row>
          <xdr:rowOff>95250</xdr:rowOff>
        </xdr:to>
        <xdr:sp macro="" textlink="">
          <xdr:nvSpPr>
            <xdr:cNvPr id="95287" name="Button 55" hidden="1">
              <a:extLst>
                <a:ext uri="{63B3BB69-23CF-44E3-9099-C40C66FF867C}">
                  <a14:compatExt spid="_x0000_s95287"/>
                </a:ext>
                <a:ext uri="{FF2B5EF4-FFF2-40B4-BE49-F238E27FC236}">
                  <a16:creationId xmlns:a16="http://schemas.microsoft.com/office/drawing/2014/main" id="{00000000-0008-0000-1600-000037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28575</xdr:colOff>
          <xdr:row>13</xdr:row>
          <xdr:rowOff>28575</xdr:rowOff>
        </xdr:from>
        <xdr:to>
          <xdr:col>6</xdr:col>
          <xdr:colOff>190500</xdr:colOff>
          <xdr:row>14</xdr:row>
          <xdr:rowOff>66675</xdr:rowOff>
        </xdr:to>
        <xdr:sp macro="" textlink="">
          <xdr:nvSpPr>
            <xdr:cNvPr id="95288" name="Button 56" hidden="1">
              <a:extLst>
                <a:ext uri="{63B3BB69-23CF-44E3-9099-C40C66FF867C}">
                  <a14:compatExt spid="_x0000_s95288"/>
                </a:ext>
                <a:ext uri="{FF2B5EF4-FFF2-40B4-BE49-F238E27FC236}">
                  <a16:creationId xmlns:a16="http://schemas.microsoft.com/office/drawing/2014/main" id="{00000000-0008-0000-1600-000038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228600</xdr:colOff>
          <xdr:row>13</xdr:row>
          <xdr:rowOff>28575</xdr:rowOff>
        </xdr:from>
        <xdr:to>
          <xdr:col>6</xdr:col>
          <xdr:colOff>390525</xdr:colOff>
          <xdr:row>14</xdr:row>
          <xdr:rowOff>66675</xdr:rowOff>
        </xdr:to>
        <xdr:sp macro="" textlink="">
          <xdr:nvSpPr>
            <xdr:cNvPr id="95289" name="Button 57" hidden="1">
              <a:extLst>
                <a:ext uri="{63B3BB69-23CF-44E3-9099-C40C66FF867C}">
                  <a14:compatExt spid="_x0000_s95289"/>
                </a:ext>
                <a:ext uri="{FF2B5EF4-FFF2-40B4-BE49-F238E27FC236}">
                  <a16:creationId xmlns:a16="http://schemas.microsoft.com/office/drawing/2014/main" id="{00000000-0008-0000-1600-000039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0</xdr:rowOff>
    </xdr:to>
    <xdr:grpSp>
      <xdr:nvGrpSpPr>
        <xdr:cNvPr id="2" name="Group 1">
          <a:extLst>
            <a:ext uri="{FF2B5EF4-FFF2-40B4-BE49-F238E27FC236}">
              <a16:creationId xmlns:a16="http://schemas.microsoft.com/office/drawing/2014/main" id="{00000000-0008-0000-1700-000002000000}"/>
            </a:ext>
          </a:extLst>
        </xdr:cNvPr>
        <xdr:cNvGrpSpPr/>
      </xdr:nvGrpSpPr>
      <xdr:grpSpPr>
        <a:xfrm>
          <a:off x="0" y="19050"/>
          <a:ext cx="13068300" cy="1885950"/>
          <a:chOff x="200024" y="4499942"/>
          <a:chExt cx="8857420" cy="1915766"/>
        </a:xfrm>
      </xdr:grpSpPr>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7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700-000005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7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126996</xdr:colOff>
      <xdr:row>0</xdr:row>
      <xdr:rowOff>0</xdr:rowOff>
    </xdr:from>
    <xdr:to>
      <xdr:col>3</xdr:col>
      <xdr:colOff>1057276</xdr:colOff>
      <xdr:row>10</xdr:row>
      <xdr:rowOff>164059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26996" y="0"/>
          <a:ext cx="6931030" cy="1897609"/>
        </a:xfrm>
        <a:prstGeom prst="rect">
          <a:avLst/>
        </a:prstGeom>
        <a:ln>
          <a:noFill/>
        </a:ln>
        <a:effectLst>
          <a:softEdge rad="112500"/>
        </a:effectLst>
      </xdr:spPr>
    </xdr:pic>
    <xdr:clientData/>
  </xdr:twoCellAnchor>
  <xdr:twoCellAnchor>
    <xdr:from>
      <xdr:col>1</xdr:col>
      <xdr:colOff>71158</xdr:colOff>
      <xdr:row>4</xdr:row>
      <xdr:rowOff>14078</xdr:rowOff>
    </xdr:from>
    <xdr:to>
      <xdr:col>3</xdr:col>
      <xdr:colOff>400050</xdr:colOff>
      <xdr:row>7</xdr:row>
      <xdr:rowOff>12327</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71158" y="661778"/>
          <a:ext cx="6329642" cy="512599"/>
        </a:xfrm>
        <a:prstGeom prst="rect">
          <a:avLst/>
        </a:prstGeom>
        <a:noFill/>
      </xdr:spPr>
      <xdr:txBody>
        <a:bodyPr wrap="none" lIns="91440" tIns="45720" rIns="91440" bIns="45720" anchor="ctr">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baseline="0">
              <a:effectLst>
                <a:outerShdw blurRad="50800" dist="38100" algn="tr" rotWithShape="0">
                  <a:prstClr val="black">
                    <a:alpha val="40000"/>
                  </a:prstClr>
                </a:outerShdw>
              </a:effectLst>
              <a:latin typeface="+mn-lt"/>
              <a:ea typeface="+mn-ea"/>
              <a:cs typeface="+mn-cs"/>
            </a:rPr>
            <a:t>Incentive Rate-setting Mechanism Rate </a:t>
          </a:r>
        </a:p>
        <a:p>
          <a:pPr algn="ctr" rtl="0"/>
          <a:r>
            <a:rPr lang="en-CA" sz="2800" b="1" i="0" baseline="0">
              <a:effectLst>
                <a:outerShdw blurRad="50800" dist="38100" algn="tr" rotWithShape="0">
                  <a:prstClr val="black">
                    <a:alpha val="40000"/>
                  </a:prstClr>
                </a:outerShdw>
              </a:effectLst>
              <a:latin typeface="+mn-lt"/>
              <a:ea typeface="+mn-ea"/>
              <a:cs typeface="+mn-cs"/>
            </a:rPr>
            <a:t>Generator for 2026 Filers</a:t>
          </a:r>
          <a:endParaRPr lang="en-CA" sz="2800" b="1">
            <a:effectLst>
              <a:outerShdw blurRad="50800" dist="38100" algn="tr" rotWithShape="0">
                <a:prstClr val="black">
                  <a:alpha val="40000"/>
                </a:prstClr>
              </a:outerShdw>
            </a:effectLst>
            <a:latin typeface="+mn-lt"/>
            <a:ea typeface="+mn-ea"/>
            <a:cs typeface="+mn-cs"/>
          </a:endParaRPr>
        </a:p>
      </xdr:txBody>
    </xdr:sp>
    <xdr:clientData/>
  </xdr:twoCellAnchor>
  <xdr:twoCellAnchor>
    <xdr:from>
      <xdr:col>1</xdr:col>
      <xdr:colOff>129624</xdr:colOff>
      <xdr:row>0</xdr:row>
      <xdr:rowOff>153177</xdr:rowOff>
    </xdr:from>
    <xdr:to>
      <xdr:col>2</xdr:col>
      <xdr:colOff>328406</xdr:colOff>
      <xdr:row>3</xdr:row>
      <xdr:rowOff>45547</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29624" y="15317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279671</xdr:colOff>
      <xdr:row>0</xdr:row>
      <xdr:rowOff>122923</xdr:rowOff>
    </xdr:from>
    <xdr:to>
      <xdr:col>2</xdr:col>
      <xdr:colOff>2862885</xdr:colOff>
      <xdr:row>2</xdr:row>
      <xdr:rowOff>144848</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470171" y="122923"/>
          <a:ext cx="2583214" cy="3457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28575</xdr:rowOff>
    </xdr:from>
    <xdr:to>
      <xdr:col>5</xdr:col>
      <xdr:colOff>970720</xdr:colOff>
      <xdr:row>10</xdr:row>
      <xdr:rowOff>48866</xdr:rowOff>
    </xdr:to>
    <xdr:grpSp>
      <xdr:nvGrpSpPr>
        <xdr:cNvPr id="8" name="Group 7">
          <a:extLst>
            <a:ext uri="{FF2B5EF4-FFF2-40B4-BE49-F238E27FC236}">
              <a16:creationId xmlns:a16="http://schemas.microsoft.com/office/drawing/2014/main" id="{00000000-0008-0000-0800-000008000000}"/>
            </a:ext>
          </a:extLst>
        </xdr:cNvPr>
        <xdr:cNvGrpSpPr/>
      </xdr:nvGrpSpPr>
      <xdr:grpSpPr>
        <a:xfrm>
          <a:off x="0" y="28575"/>
          <a:ext cx="8887053" cy="2052291"/>
          <a:chOff x="200024" y="4499942"/>
          <a:chExt cx="8857420" cy="1915766"/>
        </a:xfrm>
      </xdr:grpSpPr>
      <xdr:pic>
        <xdr:nvPicPr>
          <xdr:cNvPr id="9" name="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8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800-00000B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a:t>
            </a:r>
          </a:p>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 for 2026 Filers</a:t>
            </a:r>
            <a:endParaRPr lang="en-CA" sz="2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8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31750</xdr:rowOff>
    </xdr:from>
    <xdr:to>
      <xdr:col>8</xdr:col>
      <xdr:colOff>967545</xdr:colOff>
      <xdr:row>10</xdr:row>
      <xdr:rowOff>42516</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0" y="31750"/>
          <a:ext cx="10387770" cy="1915766"/>
          <a:chOff x="200024" y="4499942"/>
          <a:chExt cx="8857420"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900-000005000000}"/>
              </a:ext>
            </a:extLst>
          </xdr:cNvPr>
          <xdr:cNvSpPr/>
        </xdr:nvSpPr>
        <xdr:spPr>
          <a:xfrm>
            <a:off x="345334"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 y="0"/>
          <a:ext cx="11468099" cy="2143124"/>
          <a:chOff x="200024" y="4499942"/>
          <a:chExt cx="8891405"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A00-000005000000}"/>
              </a:ext>
            </a:extLst>
          </xdr:cNvPr>
          <xdr:cNvSpPr/>
        </xdr:nvSpPr>
        <xdr:spPr>
          <a:xfrm>
            <a:off x="337235" y="49716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333375</xdr:colOff>
          <xdr:row>24</xdr:row>
          <xdr:rowOff>19050</xdr:rowOff>
        </xdr:from>
        <xdr:to>
          <xdr:col>3</xdr:col>
          <xdr:colOff>1476375</xdr:colOff>
          <xdr:row>25</xdr:row>
          <xdr:rowOff>0</xdr:rowOff>
        </xdr:to>
        <xdr:sp macro="" textlink="">
          <xdr:nvSpPr>
            <xdr:cNvPr id="79877" name="Button 5" hidden="1">
              <a:extLst>
                <a:ext uri="{63B3BB69-23CF-44E3-9099-C40C66FF867C}">
                  <a14:compatExt spid="_x0000_s79877"/>
                </a:ext>
                <a:ext uri="{FF2B5EF4-FFF2-40B4-BE49-F238E27FC236}">
                  <a16:creationId xmlns:a16="http://schemas.microsoft.com/office/drawing/2014/main" id="{00000000-0008-0000-0A00-0000053801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314325</xdr:colOff>
          <xdr:row>486</xdr:row>
          <xdr:rowOff>123825</xdr:rowOff>
        </xdr:from>
        <xdr:to>
          <xdr:col>3</xdr:col>
          <xdr:colOff>1457325</xdr:colOff>
          <xdr:row>486</xdr:row>
          <xdr:rowOff>352425</xdr:rowOff>
        </xdr:to>
        <xdr:sp macro="" textlink="">
          <xdr:nvSpPr>
            <xdr:cNvPr id="79878" name="Button 6" hidden="1">
              <a:extLst>
                <a:ext uri="{63B3BB69-23CF-44E3-9099-C40C66FF867C}">
                  <a14:compatExt spid="_x0000_s79878"/>
                </a:ext>
                <a:ext uri="{FF2B5EF4-FFF2-40B4-BE49-F238E27FC236}">
                  <a16:creationId xmlns:a16="http://schemas.microsoft.com/office/drawing/2014/main" id="{00000000-0008-0000-0A00-0000063801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1" y="0"/>
          <a:ext cx="8496299" cy="2038350"/>
          <a:chOff x="200024" y="4499942"/>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B00-000005000000}"/>
              </a:ext>
            </a:extLst>
          </xdr:cNvPr>
          <xdr:cNvSpPr/>
        </xdr:nvSpPr>
        <xdr:spPr>
          <a:xfrm>
            <a:off x="294956" y="49956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104774</xdr:colOff>
      <xdr:row>10</xdr:row>
      <xdr:rowOff>619126</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0" y="1"/>
          <a:ext cx="11259607" cy="2111375"/>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52802" y="4973017"/>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21166</xdr:colOff>
      <xdr:row>13</xdr:row>
      <xdr:rowOff>43391</xdr:rowOff>
    </xdr:to>
    <xdr:grpSp>
      <xdr:nvGrpSpPr>
        <xdr:cNvPr id="2" name="Group 1">
          <a:extLst>
            <a:ext uri="{FF2B5EF4-FFF2-40B4-BE49-F238E27FC236}">
              <a16:creationId xmlns:a16="http://schemas.microsoft.com/office/drawing/2014/main" id="{00000000-0008-0000-0D00-000002000000}"/>
            </a:ext>
          </a:extLst>
        </xdr:cNvPr>
        <xdr:cNvGrpSpPr/>
      </xdr:nvGrpSpPr>
      <xdr:grpSpPr>
        <a:xfrm>
          <a:off x="0" y="47625"/>
          <a:ext cx="9124950" cy="2100791"/>
          <a:chOff x="200024" y="4536847"/>
          <a:chExt cx="8857420" cy="1915766"/>
        </a:xfrm>
      </xdr:grpSpPr>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D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D00-000005000000}"/>
              </a:ext>
            </a:extLst>
          </xdr:cNvPr>
          <xdr:cNvSpPr/>
        </xdr:nvSpPr>
        <xdr:spPr>
          <a:xfrm>
            <a:off x="275343" y="4980074"/>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D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1733550</xdr:colOff>
      <xdr:row>10</xdr:row>
      <xdr:rowOff>95250</xdr:rowOff>
    </xdr:to>
    <xdr:grpSp>
      <xdr:nvGrpSpPr>
        <xdr:cNvPr id="2" name="Group 1">
          <a:extLst>
            <a:ext uri="{FF2B5EF4-FFF2-40B4-BE49-F238E27FC236}">
              <a16:creationId xmlns:a16="http://schemas.microsoft.com/office/drawing/2014/main" id="{00000000-0008-0000-0E00-000002000000}"/>
            </a:ext>
          </a:extLst>
        </xdr:cNvPr>
        <xdr:cNvGrpSpPr/>
      </xdr:nvGrpSpPr>
      <xdr:grpSpPr>
        <a:xfrm>
          <a:off x="1" y="0"/>
          <a:ext cx="14126632" cy="2000250"/>
          <a:chOff x="200024" y="4499942"/>
          <a:chExt cx="8857420" cy="1915766"/>
        </a:xfrm>
      </xdr:grpSpPr>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E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E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E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FPS02\Groups\Wangka\%7bprofile%7d\Desktop\Applications%20Department\Department%20Applications\Application%20Review%20Process\Rec%20#1 - Application Filing Requirements\Testing Protocols for Models and Appendices\2014 IRM Rate Generator_V2.3_FOR TESTING.xlsm?8419C37F" TargetMode="External"/><Relationship Id="rId1" Type="http://schemas.openxmlformats.org/officeDocument/2006/relationships/externalLinkPath" Target="file:///\\8419C37F\2014%20IRM%20Rate%20Generator_V2.3_FOR%20TESTING.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FPS02\Groups\Wangka\%7bprofile%7d\Desktop\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bramoMa\Downloads\2016_Filing_Requirements_Chapter2_Appendices_DRAFT%20(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FPS02\Groups\Users\AbramoMa\Downloads\2016_Filing_Requirements_Chapter2_Appendices_DRAFT%20(1).xlsm"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ontarioenergyboard-my.sharepoint.com/Users/janmohsi/AppData/Local/Microsoft/Windows/Temporary%20Internet%20Files/Content.Outlook/O0R69CL9/Users/AbramoMa/Downloads/2016_Filing_Requirements_Chapter2_Appendices_DRAFT%20(1).xlsm?57624A5B" TargetMode="External"/><Relationship Id="rId1" Type="http://schemas.openxmlformats.org/officeDocument/2006/relationships/externalLinkPath" Target="file:///\\57624A5B\2016_Filing_Requirements_Chapter2_Appendices_DRAFT%20(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FPS02\Groups\Wangka\%7bprofile%7d\Desktop\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16,%202016%20-%20Master_KW.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6,%202016%20-%20Maste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_OEB_Module\2016_IRM_RateGen_Model_blankmodel%20-%20Serguei%20-%20Cop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April%2029,%202016%20-%20Master.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Test%20Models\Test_Orillia_2016_IRM_Rate%20Generator_February%204%20CONFIDENTI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tarioenergyboard-my.sharepoint.com/Users/janmohsi/AppData/Local/Microsoft/Windows/Temporary%20Internet%20Files/Content.Outlook/O0R69CL9/2018_IRM_RateGen_Model_V2.6_RRR.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 val="2016_IRM_RateGen_Model_blankmo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 val="Sheet8"/>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Corporation</v>
          </cell>
        </row>
        <row r="7">
          <cell r="AA7" t="str">
            <v>Brant County Power Inc.</v>
          </cell>
        </row>
        <row r="8">
          <cell r="AA8" t="str">
            <v>Brantford Power Inc.</v>
          </cell>
        </row>
        <row r="9">
          <cell r="AA9" t="str">
            <v>Burlington Hydro Inc.</v>
          </cell>
        </row>
        <row r="10">
          <cell r="AA10" t="str">
            <v>Cambridge and North Dumfries Hydro Inc.</v>
          </cell>
        </row>
        <row r="11">
          <cell r="AA11" t="str">
            <v>Canadian Niagara Power Inc.</v>
          </cell>
        </row>
        <row r="12">
          <cell r="AA12" t="str">
            <v>Centre Wellington Hydro Ltd.</v>
          </cell>
        </row>
        <row r="13">
          <cell r="AA13" t="str">
            <v>Chapleau Public Utilities Corporation</v>
          </cell>
        </row>
        <row r="14">
          <cell r="AA14" t="str">
            <v>COLLUS PowerStream Corp.</v>
          </cell>
        </row>
        <row r="15">
          <cell r="AA15" t="str">
            <v>Cooperative Hydro Embrun Inc.</v>
          </cell>
        </row>
        <row r="16">
          <cell r="E16">
            <v>0</v>
          </cell>
          <cell r="AA16" t="str">
            <v>E.L.K. Energy Inc.</v>
          </cell>
        </row>
        <row r="17">
          <cell r="AA17" t="str">
            <v>Enersource Hydro Mississauga Inc.</v>
          </cell>
        </row>
        <row r="18">
          <cell r="AA18" t="str">
            <v>Entegrus Powerlines Inc.</v>
          </cell>
        </row>
        <row r="19">
          <cell r="AA19" t="str">
            <v>EnWin Utilities Ltd.</v>
          </cell>
        </row>
        <row r="20">
          <cell r="AA20" t="str">
            <v>Erie Thames Powerlines Corporation</v>
          </cell>
        </row>
        <row r="21">
          <cell r="AA21" t="str">
            <v>Espanola Regional Hydro Distribution Corporation</v>
          </cell>
        </row>
        <row r="22">
          <cell r="AA22" t="str">
            <v>Essex Powerlines Corporation</v>
          </cell>
        </row>
        <row r="23">
          <cell r="AA23" t="str">
            <v>Festival Hydro Inc.</v>
          </cell>
        </row>
        <row r="24">
          <cell r="E24">
            <v>2016</v>
          </cell>
          <cell r="AA24" t="str">
            <v>Fort Albany Power Corporation</v>
          </cell>
        </row>
        <row r="25">
          <cell r="AA25" t="str">
            <v>Fort Frances Power Corporation</v>
          </cell>
        </row>
        <row r="26">
          <cell r="E26">
            <v>2015</v>
          </cell>
          <cell r="AA26" t="str">
            <v>Greater Sudbury Hydro Inc.</v>
          </cell>
        </row>
        <row r="27">
          <cell r="AA27" t="str">
            <v>Grimsby Power Inc.</v>
          </cell>
        </row>
        <row r="28">
          <cell r="E28">
            <v>2011</v>
          </cell>
          <cell r="AA28" t="str">
            <v>Guelph Hydro Electric Systems Inc.</v>
          </cell>
        </row>
        <row r="29">
          <cell r="AA29" t="str">
            <v>Haldimand County Hydro Inc.</v>
          </cell>
        </row>
        <row r="30">
          <cell r="AA30" t="str">
            <v>Halton Hills Hydro Inc.</v>
          </cell>
        </row>
        <row r="31">
          <cell r="AA31" t="str">
            <v>Hearst Power Distribution Company Limited</v>
          </cell>
        </row>
        <row r="32">
          <cell r="AA32" t="str">
            <v>Horizon Utilities Corporation</v>
          </cell>
        </row>
        <row r="33">
          <cell r="AA33" t="str">
            <v>Hydro 2000 Inc.</v>
          </cell>
        </row>
        <row r="34">
          <cell r="AA34" t="str">
            <v>Hydro Hawkesbury Inc.</v>
          </cell>
        </row>
        <row r="35">
          <cell r="AA35" t="str">
            <v>Hydro One Brampton Networks Inc.</v>
          </cell>
        </row>
        <row r="36">
          <cell r="AA36" t="str">
            <v>Hydro One Networks Inc.</v>
          </cell>
        </row>
        <row r="37">
          <cell r="AA37" t="str">
            <v>Hydro One Remote Communities Inc.</v>
          </cell>
        </row>
        <row r="38">
          <cell r="AA38" t="str">
            <v>Hydro Ottawa Limited</v>
          </cell>
        </row>
        <row r="39">
          <cell r="AA39" t="str">
            <v>Innpower Corporation</v>
          </cell>
        </row>
        <row r="40">
          <cell r="AA40" t="str">
            <v>Kashechewan Power Corporation</v>
          </cell>
        </row>
        <row r="41">
          <cell r="AA41" t="str">
            <v>Kenora Hydro Electric Corporation Ltd.</v>
          </cell>
        </row>
        <row r="42">
          <cell r="AA42" t="str">
            <v>Kingston Hydro Corporation</v>
          </cell>
        </row>
        <row r="43">
          <cell r="AA43" t="str">
            <v>Kitchener-Wilmot Hydro Inc.</v>
          </cell>
        </row>
        <row r="44">
          <cell r="AA44" t="str">
            <v>Lakefront Utilities Inc.</v>
          </cell>
        </row>
        <row r="45">
          <cell r="AA45" t="str">
            <v>Lakeland Power Distribution Ltd.</v>
          </cell>
        </row>
        <row r="46">
          <cell r="AA46" t="str">
            <v>London Hydro Inc.</v>
          </cell>
        </row>
        <row r="47">
          <cell r="AA47" t="str">
            <v>Midland Power Utility Corporation</v>
          </cell>
        </row>
        <row r="48">
          <cell r="AA48" t="str">
            <v>Milton Hydro Distribution Inc.</v>
          </cell>
        </row>
        <row r="49">
          <cell r="AA49" t="str">
            <v>Newmarket-Tay Power Distribution Ltd.</v>
          </cell>
        </row>
        <row r="50">
          <cell r="AA50" t="str">
            <v>Niagara Peninsula Energy Inc.</v>
          </cell>
        </row>
        <row r="51">
          <cell r="AA51" t="str">
            <v>Niagara-on-the-Lake Hydro Inc.</v>
          </cell>
        </row>
        <row r="52">
          <cell r="AA52" t="str">
            <v>Norfolk Power Distribution Inc.</v>
          </cell>
        </row>
        <row r="53">
          <cell r="AA53" t="str">
            <v>North Bay Hydro Distribution Limited</v>
          </cell>
        </row>
        <row r="54">
          <cell r="AA54" t="str">
            <v>Northern Ontario Wires Inc.</v>
          </cell>
        </row>
        <row r="55">
          <cell r="AA55" t="str">
            <v>Oakville Hydro Electricity Distribution Inc.</v>
          </cell>
        </row>
        <row r="56">
          <cell r="AA56" t="str">
            <v>Orangeville Hydro Limited</v>
          </cell>
        </row>
        <row r="57">
          <cell r="AA57" t="str">
            <v>Orillia Power Distribution Corporation</v>
          </cell>
        </row>
        <row r="58">
          <cell r="AA58" t="str">
            <v>Oshawa PUC Networks Inc.</v>
          </cell>
        </row>
        <row r="59">
          <cell r="AA59" t="str">
            <v>Ottawa River Power Corporation</v>
          </cell>
        </row>
        <row r="60">
          <cell r="AA60" t="str">
            <v>Peterborough Distribution Incorporated</v>
          </cell>
        </row>
        <row r="61">
          <cell r="AA61" t="str">
            <v>PowerStream Inc.</v>
          </cell>
        </row>
        <row r="62">
          <cell r="AA62" t="str">
            <v>PUC Distribution Inc.</v>
          </cell>
        </row>
        <row r="63">
          <cell r="AA63" t="str">
            <v>Renfrew Hydro Inc.</v>
          </cell>
        </row>
        <row r="64">
          <cell r="AA64" t="str">
            <v>Rideau St. Lawrence Distribution Inc.</v>
          </cell>
        </row>
        <row r="65">
          <cell r="AA65" t="str">
            <v>Sioux Lookout Hydro Inc.</v>
          </cell>
        </row>
        <row r="66">
          <cell r="AA66" t="str">
            <v>St. Thomas Energy Inc.</v>
          </cell>
        </row>
        <row r="67">
          <cell r="AA67" t="str">
            <v>Thunder Bay Hydro Electricity Distribution Inc.</v>
          </cell>
        </row>
        <row r="68">
          <cell r="AA68" t="str">
            <v>Tillsonburg Hydro Inc.</v>
          </cell>
        </row>
        <row r="69">
          <cell r="AA69" t="str">
            <v>Toronto Hydro-Electric System Limited</v>
          </cell>
        </row>
        <row r="70">
          <cell r="AA70" t="str">
            <v>Veridian Connections Inc.</v>
          </cell>
        </row>
        <row r="71">
          <cell r="AA71" t="str">
            <v>Wasaga Distribution Inc.</v>
          </cell>
        </row>
        <row r="72">
          <cell r="AA72" t="str">
            <v>Waterloo North Hydro Inc.</v>
          </cell>
        </row>
        <row r="73">
          <cell r="AA73" t="str">
            <v>Welland Hydro-Electric System Corp.</v>
          </cell>
        </row>
        <row r="74">
          <cell r="AA74" t="str">
            <v>Wellington North Power Inc.</v>
          </cell>
        </row>
        <row r="75">
          <cell r="AA75" t="str">
            <v>West Coast Huron Energy Inc.</v>
          </cell>
        </row>
        <row r="76">
          <cell r="AA76" t="str">
            <v>Westario Power Inc.</v>
          </cell>
        </row>
        <row r="77">
          <cell r="AA77" t="str">
            <v>Whitby Hydro Electric Corporation</v>
          </cell>
        </row>
        <row r="78">
          <cell r="AA78" t="str">
            <v>Woodstock Hydro Services Inc.</v>
          </cell>
        </row>
        <row r="79">
          <cell r="AA79">
            <v>0</v>
          </cell>
        </row>
        <row r="80">
          <cell r="AA80">
            <v>0</v>
          </cell>
        </row>
        <row r="81">
          <cell r="AA81">
            <v>0</v>
          </cell>
        </row>
        <row r="82">
          <cell r="AA82">
            <v>0</v>
          </cell>
        </row>
        <row r="83">
          <cell r="AA83">
            <v>0</v>
          </cell>
        </row>
        <row r="84">
          <cell r="AA84">
            <v>0</v>
          </cell>
        </row>
        <row r="85">
          <cell r="AA85">
            <v>0</v>
          </cell>
        </row>
        <row r="86">
          <cell r="AA86">
            <v>0</v>
          </cell>
        </row>
        <row r="87">
          <cell r="AA87">
            <v>0</v>
          </cell>
        </row>
        <row r="88">
          <cell r="AA88">
            <v>0</v>
          </cell>
        </row>
        <row r="89">
          <cell r="AA89">
            <v>0</v>
          </cell>
        </row>
        <row r="90">
          <cell r="AA90">
            <v>0</v>
          </cell>
        </row>
        <row r="91">
          <cell r="AA91">
            <v>0</v>
          </cell>
        </row>
        <row r="92">
          <cell r="AA92">
            <v>0</v>
          </cell>
        </row>
        <row r="93">
          <cell r="AA93">
            <v>0</v>
          </cell>
        </row>
        <row r="94">
          <cell r="AA94">
            <v>0</v>
          </cell>
        </row>
        <row r="95">
          <cell r="AA95">
            <v>0</v>
          </cell>
        </row>
        <row r="96">
          <cell r="AA96">
            <v>0</v>
          </cell>
        </row>
        <row r="97">
          <cell r="AA97">
            <v>0</v>
          </cell>
        </row>
        <row r="98">
          <cell r="AA98">
            <v>0</v>
          </cell>
        </row>
        <row r="99">
          <cell r="AA99">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cell r="AA1" t="str">
            <v>Account set up charge/change of occupancy charge (plus credit agency costs if applicable)</v>
          </cell>
        </row>
        <row r="2">
          <cell r="A2" t="str">
            <v>DISTRIBUTED GENERATION [DGEN]</v>
          </cell>
          <cell r="L2" t="str">
            <v>Total Loss Factor – Primary Metered Customer</v>
          </cell>
          <cell r="N2" t="str">
            <v>$</v>
          </cell>
          <cell r="Z2" t="str">
            <v>Account set up charge/change of occupancy charge</v>
          </cell>
          <cell r="AA2" t="str">
            <v>Administrative Billing Charge</v>
          </cell>
        </row>
        <row r="3">
          <cell r="A3" t="str">
            <v>EMBEDDED DISTRIBUTOR</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EMBEDDED DISTRIBUTOR</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SINGLE PHASE ENERGY-BILLED [F1]</v>
          </cell>
          <cell r="L5" t="str">
            <v>Total Loss Factor – Secondary Metered Customer</v>
          </cell>
          <cell r="N5" t="str">
            <v>$/kVA</v>
          </cell>
          <cell r="Z5" t="str">
            <v>Arrears certificate</v>
          </cell>
          <cell r="AA5" t="str">
            <v>Collection of account charge – no disconnection</v>
          </cell>
        </row>
        <row r="6">
          <cell r="A6" t="str">
            <v>FARMS - THREE PHASE ENERGY-BILLED [F3]</v>
          </cell>
          <cell r="L6" t="str">
            <v>Total Loss Factor – Secondary Metered Customer &lt; 5,000 kW</v>
          </cell>
          <cell r="Z6" t="str">
            <v>Arrears certificate (credit reference)</v>
          </cell>
          <cell r="AA6" t="str">
            <v>Collection of account charge – no disconnection – after regular hours</v>
          </cell>
        </row>
        <row r="7">
          <cell r="A7" t="str">
            <v>GENERAL SERVICE - COMMERCIAL</v>
          </cell>
          <cell r="L7">
            <v>0</v>
          </cell>
          <cell r="Z7">
            <v>0</v>
          </cell>
          <cell r="AA7">
            <v>0</v>
          </cell>
        </row>
        <row r="8">
          <cell r="A8" t="str">
            <v>GENERAL SERVICE - INSTITUTIONAL</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2,999 KW</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 INTERVAL METERS</v>
          </cell>
          <cell r="L11" t="str">
            <v>Distribution Loss Factor - Primary Metered Customer &lt; 5,000 kW</v>
          </cell>
          <cell r="Z11" t="str">
            <v>Credit check (plus credit agency costs)</v>
          </cell>
          <cell r="AA11" t="str">
            <v>Credit Card Convenience Charge</v>
          </cell>
        </row>
        <row r="12">
          <cell r="A12" t="str">
            <v>GENERAL SERVICE 1,000 TO 4,999 KW (CO-GENERATION)</v>
          </cell>
          <cell r="L12" t="str">
            <v>Distribution Loss Factor - Primary Metered Customer &gt; 5,000 kW</v>
          </cell>
          <cell r="Z12" t="str">
            <v>Credit reference Letter</v>
          </cell>
          <cell r="AA12" t="str">
            <v>Disconnect/Reconnect at meter – after regular hours</v>
          </cell>
        </row>
        <row r="13">
          <cell r="A13" t="str">
            <v>GENERAL SERVICE 1,500 TO 4,999 KW</v>
          </cell>
          <cell r="L13">
            <v>0</v>
          </cell>
          <cell r="Z13">
            <v>0</v>
          </cell>
          <cell r="AA13">
            <v>0</v>
          </cell>
        </row>
        <row r="14">
          <cell r="A14" t="str">
            <v>GENERAL SERVICE 2,500 TO 4,999 KW</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INTERMEDIATE USE</v>
          </cell>
          <cell r="Z16" t="str">
            <v>Dispute Test – Commercial self contained -- MC</v>
          </cell>
          <cell r="AA16" t="str">
            <v>Disconnect/Reconnect at pole – during regular hours</v>
          </cell>
        </row>
        <row r="17">
          <cell r="A17" t="str">
            <v>GENERAL SERVICE 3,000 TO 4,999 KW - INTERVAL METERED</v>
          </cell>
          <cell r="Z17" t="str">
            <v>Dispute Test – Commercial TT -- MC</v>
          </cell>
          <cell r="AA17" t="str">
            <v>Disconnect/Reconnect Charge – At Meter – After Hours</v>
          </cell>
        </row>
        <row r="18">
          <cell r="A18" t="str">
            <v>GENERAL SERVICE 3,000 TO 4,999 KW - TIME OF USE</v>
          </cell>
          <cell r="Z18" t="str">
            <v>Dispute Test – Residential</v>
          </cell>
          <cell r="AA18" t="str">
            <v>Disconnect/Reconnect Charge – At Meter – During Regular Hours</v>
          </cell>
        </row>
        <row r="19">
          <cell r="A19" t="str">
            <v>GENERAL SERVICE 50 TO 1,000 KW</v>
          </cell>
          <cell r="Z19" t="str">
            <v>Duplicate Invoices for previous billing</v>
          </cell>
          <cell r="AA19" t="str">
            <v>Disconnect/Reconnect Charge – At Pole – After Hours</v>
          </cell>
        </row>
        <row r="20">
          <cell r="A20" t="str">
            <v>GENERAL SERVICE 50 TO 1,000 KW - INTERVAL METERS</v>
          </cell>
          <cell r="Z20" t="str">
            <v>Easement Letter</v>
          </cell>
          <cell r="AA20" t="str">
            <v>Disconnect/Reconnect Charge – At Pole – During Regular Hours</v>
          </cell>
        </row>
        <row r="21">
          <cell r="A21" t="str">
            <v>GENERAL SERVICE 50 TO 1,000 KW - NON INTERVAL METERS</v>
          </cell>
          <cell r="Z21" t="str">
            <v>Income Tax Letter</v>
          </cell>
          <cell r="AA21" t="str">
            <v>Disconnect/Reconnect Charges for non payment of account - At Meter After Hours</v>
          </cell>
        </row>
        <row r="22">
          <cell r="A22" t="str">
            <v>GENERAL SERVICE 50 TO 1,499 KW</v>
          </cell>
          <cell r="Z22" t="str">
            <v>Interval Meter Interrogation</v>
          </cell>
          <cell r="AA22" t="str">
            <v>Disconnect/Reconnect charges for non payment of account – at meter after regular hours</v>
          </cell>
        </row>
        <row r="23">
          <cell r="A23" t="str">
            <v>GENERAL SERVICE 50 TO 1,499 KW - INTERVAL METERED</v>
          </cell>
          <cell r="Z23" t="str">
            <v>Interval meter request change</v>
          </cell>
          <cell r="AA23" t="str">
            <v>Disconnect/Reconnect Charges for non payment of account - At Meter During Regular Hours</v>
          </cell>
        </row>
        <row r="24">
          <cell r="A24" t="str">
            <v>GENERAL SERVICE 50 TO 2,499 KW</v>
          </cell>
          <cell r="Z24" t="str">
            <v>Legal letter</v>
          </cell>
          <cell r="AA24" t="str">
            <v>Disconnect/Reconnect charges for non payment of account – at meter during regular hours</v>
          </cell>
        </row>
        <row r="25">
          <cell r="A25" t="str">
            <v>GENERAL SERVICE 50 TO 2,999 KW</v>
          </cell>
          <cell r="Z25" t="str">
            <v>Legal letter charge</v>
          </cell>
          <cell r="AA25" t="str">
            <v>Disconnect/Reconnect charges for non payment of account – at pole after regular hours</v>
          </cell>
        </row>
        <row r="26">
          <cell r="A26" t="str">
            <v>GENERAL SERVICE 50 TO 2,999 KW - INTERVAL METERED</v>
          </cell>
          <cell r="Z26" t="str">
            <v>Meter dispute charge plus Measurement Canada fees (if meter found correct)</v>
          </cell>
          <cell r="AA26" t="str">
            <v>Disconnect/Reconnect charges for non payment of account – at pole during regular hours</v>
          </cell>
        </row>
        <row r="27">
          <cell r="A27" t="str">
            <v>GENERAL SERVICE 50 TO 2,999 KW - TIME OF USE</v>
          </cell>
          <cell r="Z27" t="str">
            <v>Notification charge</v>
          </cell>
          <cell r="AA27" t="str">
            <v>Disconnect/Reconnection for &gt;300 volts - after regular hours</v>
          </cell>
        </row>
        <row r="28">
          <cell r="A28" t="str">
            <v>GENERAL SERVICE 50 TO 4,999 KW</v>
          </cell>
          <cell r="Z28" t="str">
            <v>Pulling Post Dated Cheques</v>
          </cell>
          <cell r="AA28" t="str">
            <v>Disconnect/Reconnection for &gt;300 volts - during regular hours</v>
          </cell>
        </row>
        <row r="29">
          <cell r="A29" t="str">
            <v>GENERAL SERVICE 50 TO 4,999 KW - INTERVAL METERED</v>
          </cell>
          <cell r="Z29" t="str">
            <v>Request for other billing information</v>
          </cell>
          <cell r="AA29" t="str">
            <v>Disposal of Concrete Poles</v>
          </cell>
        </row>
        <row r="30">
          <cell r="A30" t="str">
            <v>GENERAL SERVICE 50 TO 4,999 KW - TIME OF USE</v>
          </cell>
          <cell r="Z30" t="str">
            <v>Returned cheque (plus bank charges)</v>
          </cell>
          <cell r="AA30" t="str">
            <v>Dispute Test – Commercial TT -- MC</v>
          </cell>
        </row>
        <row r="31">
          <cell r="A31" t="str">
            <v>GENERAL SERVICE 50 TO 4,999 KW (COGENERATION)</v>
          </cell>
          <cell r="Z31" t="str">
            <v>Returned cheque charge (plus bank charges)</v>
          </cell>
          <cell r="AA31" t="str">
            <v>Install/Remove load control device – after regular hours</v>
          </cell>
        </row>
        <row r="32">
          <cell r="A32" t="str">
            <v>GENERAL SERVICE 50 TO 4,999 KW (FORMERLY TIME OF USE)</v>
          </cell>
          <cell r="Z32" t="str">
            <v>Special Billing Service (aggregation)</v>
          </cell>
          <cell r="AA32" t="str">
            <v>Install/Remove load control device – during regular hours</v>
          </cell>
        </row>
        <row r="33">
          <cell r="A33" t="str">
            <v>GENERAL SERVICE 50 TO 499 KW</v>
          </cell>
          <cell r="Z33" t="str">
            <v>Special Billing Service (sub-metering charge per meter)</v>
          </cell>
          <cell r="AA33" t="str">
            <v>Interval Meter Interrogation</v>
          </cell>
        </row>
        <row r="34">
          <cell r="A34" t="str">
            <v>GENERAL SERVICE 50 TO 699 KW</v>
          </cell>
          <cell r="Z34" t="str">
            <v>Special meter reads</v>
          </cell>
          <cell r="AA34" t="str">
            <v>Interval Meter Load Management Tool Charge $/month</v>
          </cell>
        </row>
        <row r="35">
          <cell r="A35" t="str">
            <v>GENERAL SERVICE 50 TO 999 KW</v>
          </cell>
          <cell r="Z35" t="str">
            <v>Statement of Account</v>
          </cell>
          <cell r="AA35" t="str">
            <v>Interval meter request change</v>
          </cell>
        </row>
        <row r="36">
          <cell r="A36" t="str">
            <v>GENERAL SERVICE 50 TO 999 KW - INTERVAL METERED</v>
          </cell>
          <cell r="Z36" t="str">
            <v>Unprocessed Payment Charge (plus bank charges)</v>
          </cell>
          <cell r="AA36" t="str">
            <v>Late Payment – per annum</v>
          </cell>
        </row>
        <row r="37">
          <cell r="A37" t="str">
            <v>GENERAL SERVICE 500 TO 4,999 KW</v>
          </cell>
          <cell r="AA37" t="str">
            <v>Late Payment – per month</v>
          </cell>
        </row>
        <row r="38">
          <cell r="A38" t="str">
            <v>GENERAL SERVICE 700 TO 4,999 KW</v>
          </cell>
          <cell r="AA38" t="str">
            <v>Layout fees</v>
          </cell>
        </row>
        <row r="39">
          <cell r="A39" t="str">
            <v>GENERAL SERVICE DEMAND BILLED (50 KW AND ABOVE) [GSD]</v>
          </cell>
          <cell r="AA39" t="str">
            <v>Meter dispute charge plus Measurement Canada fees (if meter found correct)</v>
          </cell>
        </row>
        <row r="40">
          <cell r="A40" t="str">
            <v>GENERAL SERVICE ENERGY BILLED (LESS THAN 50 KW) [GSE-METERED]</v>
          </cell>
          <cell r="AA40" t="str">
            <v>Meter Interrogation Charge</v>
          </cell>
        </row>
        <row r="41">
          <cell r="A41" t="str">
            <v>GENERAL SERVICE ENERGY BILLED (LESS THAN TO 50 KW) [GSE-UNMETERED]</v>
          </cell>
          <cell r="AA41" t="str">
            <v>Missed Service Appointment</v>
          </cell>
        </row>
        <row r="42">
          <cell r="A42" t="str">
            <v>GENERAL SERVICE EQUAL TO OR GREATER THAN 1,500 KW</v>
          </cell>
          <cell r="AA42" t="str">
            <v>Norfolk Pole Rentals – Billed</v>
          </cell>
        </row>
        <row r="43">
          <cell r="A43" t="str">
            <v>GENERAL SERVICE EQUAL TO OR GREATER THAN 1,500 KW - INTERVAL METERED</v>
          </cell>
          <cell r="AA43" t="str">
            <v>Optional Interval/TOU Meter charge $/month</v>
          </cell>
        </row>
        <row r="44">
          <cell r="A44" t="str">
            <v>GENERAL SERVICE GREATER THAN 1,000 KW</v>
          </cell>
          <cell r="AA44" t="str">
            <v>Overtime Locate</v>
          </cell>
        </row>
        <row r="45">
          <cell r="A45" t="str">
            <v>GENERAL SERVICE GREATER THAN 50 kW - WMP</v>
          </cell>
          <cell r="AA45" t="str">
            <v>Owner Requested Disconnection/Reconnection – after regular hours</v>
          </cell>
        </row>
        <row r="46">
          <cell r="A46" t="str">
            <v>GENERAL SERVICE INTERMEDIATE 1,000 TO 4,999 KW</v>
          </cell>
          <cell r="AA46" t="str">
            <v>Owner Requested Disconnection/Reconnection – during regular hours</v>
          </cell>
        </row>
        <row r="47">
          <cell r="A47" t="str">
            <v>GENERAL SERVICE INTERMEDIATE RATE CLASS 1,000 TO 4,999 KW (FORMERLY GENERAL SERVICE &gt; 50 KW CUSTOMERS)</v>
          </cell>
          <cell r="AA47" t="str">
            <v>Returned cheque (plus bank charges)</v>
          </cell>
        </row>
        <row r="48">
          <cell r="A48" t="str">
            <v>GENERAL SERVICE INTERMEDIATE RATE CLASS 1,000 TO 4,999 KW (FORMERLY LARGE USE CUSTOMERS)</v>
          </cell>
          <cell r="AA48" t="str">
            <v>Rural system expansion / line connection fee</v>
          </cell>
        </row>
        <row r="49">
          <cell r="A49" t="str">
            <v>GENERAL SERVICE LESS THAN 50 KW</v>
          </cell>
          <cell r="AA49" t="str">
            <v>Same Day Open Trench</v>
          </cell>
        </row>
        <row r="50">
          <cell r="A50" t="str">
            <v>GENERAL SERVICE LESS THAN 50 KW - SINGLE PHASE ENERGY-BILLED [G1]</v>
          </cell>
          <cell r="AA50" t="str">
            <v>Scheduled Day Open Trench</v>
          </cell>
        </row>
        <row r="51">
          <cell r="A51" t="str">
            <v>GENERAL SERVICE LESS THAN 50 KW - THREE PHASE ENERGY-BILLED [G3]</v>
          </cell>
          <cell r="AA51" t="str">
            <v>Service call – after regular hours</v>
          </cell>
        </row>
        <row r="52">
          <cell r="A52" t="str">
            <v>GENERAL SERVICE LESS THAN 50 KW - TRANSMISSION CLASS ENERGY-BILLED [T]</v>
          </cell>
          <cell r="AA52" t="str">
            <v>Service call – customer owned equipment</v>
          </cell>
        </row>
        <row r="53">
          <cell r="A53" t="str">
            <v>GENERAL SERVICE LESS THAN 50 KW - URBAN ENERGY-BILLED [UG]</v>
          </cell>
          <cell r="AA53" t="str">
            <v>Service Call – Customer-owned Equipment – After Regular Hours</v>
          </cell>
        </row>
        <row r="54">
          <cell r="A54" t="str">
            <v>GENERAL SERVICE SINGLE PHASE - G1</v>
          </cell>
          <cell r="AA54" t="str">
            <v>Service Call – Customer-owned Equipment – During Regular Hours</v>
          </cell>
        </row>
        <row r="55">
          <cell r="A55" t="str">
            <v>GENERAL SERVICE THREE PHASE - G3</v>
          </cell>
          <cell r="AA55" t="str">
            <v>Service Charge for onsite interrogation of interval meter due to customer phone line failure - required weekly until line repaired $ 6</v>
          </cell>
        </row>
        <row r="56">
          <cell r="A56" t="str">
            <v>INTERMEDIATE USERS</v>
          </cell>
          <cell r="AA56" t="str">
            <v>Service Layout - Commercial</v>
          </cell>
        </row>
        <row r="57">
          <cell r="A57" t="str">
            <v>INTERMEDIATE WITH SELF GENERATION</v>
          </cell>
          <cell r="AA57" t="str">
            <v>Service Layout - ResidentiaI</v>
          </cell>
        </row>
        <row r="58">
          <cell r="A58" t="str">
            <v>LARGE USE</v>
          </cell>
          <cell r="AA58" t="str">
            <v>Special Billing Service (sub-metering charge per meter)</v>
          </cell>
        </row>
        <row r="59">
          <cell r="A59" t="str">
            <v>LARGE USE - 3TS</v>
          </cell>
          <cell r="AA59" t="str">
            <v>Special meter reads</v>
          </cell>
        </row>
        <row r="60">
          <cell r="A60" t="str">
            <v>LARGE USE - FORD ANNEX</v>
          </cell>
          <cell r="AA60" t="str">
            <v>Specific Charge for Access to the Power Poles - $/pole/year</v>
          </cell>
        </row>
        <row r="61">
          <cell r="A61" t="str">
            <v>LARGE USE - REGULAR</v>
          </cell>
          <cell r="AA61" t="str">
            <v>Specific Charge for Bell Canada Access to the Power Poles – per pole/year</v>
          </cell>
        </row>
        <row r="62">
          <cell r="A62" t="str">
            <v>LARGE USE &gt; 5000 KW</v>
          </cell>
          <cell r="AA62" t="str">
            <v>Switching for company maintenance – Charge based on Time and Materials</v>
          </cell>
        </row>
        <row r="63">
          <cell r="A63" t="str">
            <v>microFIT</v>
          </cell>
          <cell r="AA63" t="str">
            <v>Temporary Service – Install &amp; remove – overhead – no transformer</v>
          </cell>
        </row>
        <row r="64">
          <cell r="A64" t="str">
            <v>RESIDENTIAL</v>
          </cell>
          <cell r="AA64" t="str">
            <v>Temporary Service – Install &amp; remove – overhead – with transformer</v>
          </cell>
        </row>
        <row r="65">
          <cell r="A65" t="str">
            <v>RESIDENTIAL - HENSALL</v>
          </cell>
          <cell r="AA65" t="str">
            <v>Temporary Service – Install &amp; remove – underground – no transformer</v>
          </cell>
        </row>
        <row r="66">
          <cell r="A66" t="str">
            <v>RESIDENTIAL - HIGH DENSITY [R1]</v>
          </cell>
          <cell r="AA66" t="str">
            <v>Temporary service install &amp; remove – overhead – no transformer</v>
          </cell>
        </row>
        <row r="67">
          <cell r="A67" t="str">
            <v>RESIDENTIAL - LOW DENSITY [R2]</v>
          </cell>
          <cell r="AA67" t="str">
            <v>Temporary Service Install &amp; Remove – Overhead – With Transformer</v>
          </cell>
        </row>
        <row r="68">
          <cell r="A68" t="str">
            <v>RESIDENTIAL - MEDIUM DENSITY [R1]</v>
          </cell>
          <cell r="AA68" t="str">
            <v>Temporary Service Install &amp; Remove – Underground – No Transformer</v>
          </cell>
        </row>
        <row r="69">
          <cell r="A69" t="str">
            <v>RESIDENTIAL - NORMAL DENSITY [R2]</v>
          </cell>
          <cell r="AA69" t="str">
            <v>Temporary service installation and removal – overhead – no transformer</v>
          </cell>
        </row>
        <row r="70">
          <cell r="A70" t="str">
            <v>RESIDENTIAL - TIME OF USE</v>
          </cell>
          <cell r="AA70" t="str">
            <v>Temporary service installation and removal – overhead – with transformer</v>
          </cell>
        </row>
        <row r="71">
          <cell r="A71" t="str">
            <v>RESIDENTIAL - URBAN [UR]</v>
          </cell>
          <cell r="AA71" t="str">
            <v>Temporary service installation and removal – underground – no transformer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sheetData sheetId="2"/>
      <sheetData sheetId="3"/>
      <sheetData sheetId="4">
        <row r="5">
          <cell r="C5" t="str">
            <v>Former Chatham-Kent Hydro Service Area</v>
          </cell>
        </row>
      </sheetData>
      <sheetData sheetId="5"/>
      <sheetData sheetId="6"/>
      <sheetData sheetId="7"/>
      <sheetData sheetId="8"/>
      <sheetData sheetId="9"/>
      <sheetData sheetId="10"/>
      <sheetData sheetId="11"/>
      <sheetData sheetId="12">
        <row r="19">
          <cell r="N19">
            <v>20805750</v>
          </cell>
        </row>
      </sheetData>
      <sheetData sheetId="13"/>
      <sheetData sheetId="14"/>
      <sheetData sheetId="15"/>
      <sheetData sheetId="16"/>
      <sheetData sheetId="17">
        <row r="109">
          <cell r="F109">
            <v>1659633.076749</v>
          </cell>
        </row>
      </sheetData>
      <sheetData sheetId="18">
        <row r="109">
          <cell r="F109">
            <v>1656231.0048239999</v>
          </cell>
        </row>
      </sheetData>
      <sheetData sheetId="19"/>
      <sheetData sheetId="20">
        <row r="12">
          <cell r="F12">
            <v>11409</v>
          </cell>
        </row>
        <row r="13">
          <cell r="F13">
            <v>109779129</v>
          </cell>
        </row>
        <row r="14">
          <cell r="F14">
            <v>3</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0</v>
          </cell>
        </row>
      </sheetData>
      <sheetData sheetId="13"/>
      <sheetData sheetId="14"/>
      <sheetData sheetId="15"/>
      <sheetData sheetId="16"/>
      <sheetData sheetId="17">
        <row r="109">
          <cell r="F109">
            <v>0</v>
          </cell>
        </row>
        <row r="113">
          <cell r="P113">
            <v>0</v>
          </cell>
        </row>
      </sheetData>
      <sheetData sheetId="18">
        <row r="109">
          <cell r="F109">
            <v>0</v>
          </cell>
        </row>
        <row r="113">
          <cell r="P113">
            <v>0</v>
          </cell>
        </row>
      </sheetData>
      <sheetData sheetId="19"/>
      <sheetData sheetId="20">
        <row r="12">
          <cell r="F12">
            <v>0</v>
          </cell>
        </row>
        <row r="13">
          <cell r="F13">
            <v>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refreshError="1"/>
      <sheetData sheetId="2" refreshError="1"/>
      <sheetData sheetId="3">
        <row r="28">
          <cell r="BT28">
            <v>276051</v>
          </cell>
        </row>
      </sheetData>
      <sheetData sheetId="4">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5" refreshError="1"/>
      <sheetData sheetId="6" refreshError="1"/>
      <sheetData sheetId="7" refreshError="1"/>
      <sheetData sheetId="8" refreshError="1"/>
      <sheetData sheetId="9">
        <row r="24">
          <cell r="C24">
            <v>151165193</v>
          </cell>
        </row>
      </sheetData>
      <sheetData sheetId="10" refreshError="1"/>
      <sheetData sheetId="11" refreshError="1"/>
      <sheetData sheetId="12">
        <row r="19">
          <cell r="N19">
            <v>20805750</v>
          </cell>
        </row>
      </sheetData>
      <sheetData sheetId="13" refreshError="1"/>
      <sheetData sheetId="14" refreshError="1"/>
      <sheetData sheetId="15" refreshError="1"/>
      <sheetData sheetId="16" refreshError="1"/>
      <sheetData sheetId="17">
        <row r="109">
          <cell r="F109">
            <v>1661097.1355030003</v>
          </cell>
        </row>
      </sheetData>
      <sheetData sheetId="18">
        <row r="109">
          <cell r="F109">
            <v>1692186.4329740002</v>
          </cell>
        </row>
      </sheetData>
      <sheetData sheetId="19" refreshError="1"/>
      <sheetData sheetId="20">
        <row r="12">
          <cell r="F12">
            <v>11409</v>
          </cell>
        </row>
        <row r="13">
          <cell r="F13">
            <v>109779129</v>
          </cell>
        </row>
        <row r="14">
          <cell r="F1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GA allocation_Class A"/>
      <sheetName val="Mock-up GA calculation"/>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row r="29">
          <cell r="AY29">
            <v>276051.38000000012</v>
          </cell>
        </row>
      </sheetData>
      <sheetData sheetId="5"/>
      <sheetData sheetId="6"/>
      <sheetData sheetId="7"/>
      <sheetData sheetId="8"/>
      <sheetData sheetId="9"/>
      <sheetData sheetId="10"/>
      <sheetData sheetId="11"/>
      <sheetData sheetId="12"/>
      <sheetData sheetId="13">
        <row r="20">
          <cell r="C20">
            <v>147660365</v>
          </cell>
        </row>
      </sheetData>
      <sheetData sheetId="14">
        <row r="19">
          <cell r="N19">
            <v>20805750</v>
          </cell>
        </row>
      </sheetData>
      <sheetData sheetId="15"/>
      <sheetData sheetId="16"/>
      <sheetData sheetId="17"/>
      <sheetData sheetId="18"/>
      <sheetData sheetId="19">
        <row r="109">
          <cell r="F109">
            <v>1686108.5692180004</v>
          </cell>
        </row>
        <row r="113">
          <cell r="P113">
            <v>1266247.3363220003</v>
          </cell>
        </row>
      </sheetData>
      <sheetData sheetId="20">
        <row r="109">
          <cell r="F109">
            <v>1656231.0048239999</v>
          </cell>
        </row>
        <row r="113">
          <cell r="P113">
            <v>1290749.9418240001</v>
          </cell>
        </row>
      </sheetData>
      <sheetData sheetId="21"/>
      <sheetData sheetId="22">
        <row r="12">
          <cell r="F12">
            <v>11409</v>
          </cell>
        </row>
        <row r="13">
          <cell r="F13">
            <v>109779129</v>
          </cell>
        </row>
        <row r="14">
          <cell r="F14">
            <v>4</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cell r="C6" t="str">
            <v>Former Chatham-Kent Hydro Service Area</v>
          </cell>
        </row>
        <row r="7">
          <cell r="A7" t="str">
            <v>Canadian Niagara Power Inc.</v>
          </cell>
          <cell r="C7" t="str">
            <v>Strathroy, Mount Brydges &amp; Parkhill Service Area</v>
          </cell>
        </row>
        <row r="8">
          <cell r="A8" t="str">
            <v>Centre Wellington Hydro Ltd.</v>
          </cell>
          <cell r="C8" t="str">
            <v>Dutton Service Area</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cell r="C13" t="str">
            <v>For Former Parry Sound Power Service Area</v>
          </cell>
        </row>
        <row r="14">
          <cell r="A14" t="str">
            <v>Enersource Hydro Mississauga Inc.</v>
          </cell>
          <cell r="C14" t="str">
            <v>Except for the Former Parry Sound Power Service Area</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row r="113">
          <cell r="P113">
            <v>0</v>
          </cell>
        </row>
      </sheetData>
      <sheetData sheetId="21">
        <row r="109">
          <cell r="F109">
            <v>0</v>
          </cell>
        </row>
        <row r="113">
          <cell r="P113">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Sibtain Janmohamed" id="{F3F4BA5B-815F-4BAD-BB53-F2F7C954805F}" userId="S::JanmohSi@oeb.ca::bae8347b-54d8-430b-bc0e-f3382709642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5-05-13T15:07:49.62" personId="{F3F4BA5B-815F-4BAD-BB53-F2F7C954805F}" id="{23081D54-F35D-4DA8-8F68-E23FB185E1C7}">
    <text>VALUES FROM THIS COLUMN SHOULD BE REMOVED AFTER TESTING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drawing" Target="../drawings/drawing17.x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customProperty" Target="../customProperty23.bin"/><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2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vmlDrawing" Target="../drawings/vmlDrawing4.v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A21E-9681-4FF9-82EF-F0724DCAE323}">
  <sheetPr codeName="Sheet34"/>
  <dimension ref="A1:F66"/>
  <sheetViews>
    <sheetView zoomScale="85" zoomScaleNormal="85" workbookViewId="0">
      <selection sqref="A1:XFD1048576"/>
    </sheetView>
  </sheetViews>
  <sheetFormatPr defaultColWidth="9.140625" defaultRowHeight="15" x14ac:dyDescent="0.25"/>
  <cols>
    <col min="1" max="1" width="18.85546875" customWidth="1"/>
    <col min="2" max="2" width="4.140625" customWidth="1"/>
    <col min="3" max="3" width="41.5703125" customWidth="1"/>
    <col min="5" max="5" width="124.140625" style="19" customWidth="1"/>
  </cols>
  <sheetData>
    <row r="1" spans="1:6" ht="18.75" x14ac:dyDescent="0.3">
      <c r="A1" s="541" t="s">
        <v>0</v>
      </c>
      <c r="B1" s="541"/>
    </row>
    <row r="2" spans="1:6" ht="15.75" thickBot="1" x14ac:dyDescent="0.3"/>
    <row r="3" spans="1:6" ht="15" customHeight="1" thickBot="1" x14ac:dyDescent="0.35">
      <c r="B3" s="1427" t="s">
        <v>1</v>
      </c>
      <c r="C3" s="1428"/>
      <c r="D3" s="1428"/>
      <c r="E3" s="1429"/>
    </row>
    <row r="4" spans="1:6" ht="15.75" x14ac:dyDescent="0.25">
      <c r="B4" s="559"/>
      <c r="C4" s="542"/>
      <c r="D4" s="471"/>
      <c r="E4" s="543"/>
    </row>
    <row r="5" spans="1:6" s="471" customFormat="1" ht="15.75" x14ac:dyDescent="0.25">
      <c r="B5" s="601">
        <v>1</v>
      </c>
      <c r="C5" s="1430" t="s">
        <v>2</v>
      </c>
      <c r="D5" s="1431"/>
      <c r="E5" s="1432"/>
      <c r="F5" s="666"/>
    </row>
    <row r="6" spans="1:6" s="471" customFormat="1" ht="16.5" thickBot="1" x14ac:dyDescent="0.3">
      <c r="B6" s="602"/>
      <c r="C6" s="1433"/>
      <c r="D6" s="1434"/>
      <c r="E6" s="1435"/>
      <c r="F6" s="666"/>
    </row>
    <row r="7" spans="1:6" ht="15.75" x14ac:dyDescent="0.25">
      <c r="B7" s="603"/>
      <c r="C7" s="471"/>
      <c r="D7" s="471"/>
      <c r="E7" s="667"/>
    </row>
    <row r="8" spans="1:6" ht="15.75" x14ac:dyDescent="0.25">
      <c r="C8" s="471"/>
      <c r="D8" s="471"/>
      <c r="E8" s="667"/>
    </row>
    <row r="9" spans="1:6" ht="15.75" x14ac:dyDescent="0.25">
      <c r="C9" s="471"/>
      <c r="D9" s="471"/>
      <c r="E9" s="667"/>
    </row>
    <row r="11" spans="1:6" ht="19.5" thickBot="1" x14ac:dyDescent="0.35">
      <c r="A11" s="668" t="s">
        <v>3</v>
      </c>
      <c r="B11" s="800"/>
      <c r="C11" s="801"/>
      <c r="D11" s="801"/>
      <c r="E11" s="802"/>
    </row>
    <row r="12" spans="1:6" ht="15.75" thickBot="1" x14ac:dyDescent="0.3">
      <c r="A12" s="560" t="s">
        <v>4</v>
      </c>
      <c r="B12" s="1436" t="s">
        <v>5</v>
      </c>
      <c r="C12" s="1437"/>
      <c r="D12" s="561" t="s">
        <v>6</v>
      </c>
      <c r="E12" s="562" t="s">
        <v>7</v>
      </c>
    </row>
    <row r="13" spans="1:6" x14ac:dyDescent="0.25">
      <c r="A13" s="1412" t="s">
        <v>8</v>
      </c>
      <c r="B13" s="1416" t="s">
        <v>9</v>
      </c>
      <c r="C13" s="1417"/>
      <c r="D13" s="669">
        <v>1</v>
      </c>
      <c r="E13" s="670" t="s">
        <v>10</v>
      </c>
    </row>
    <row r="14" spans="1:6" x14ac:dyDescent="0.25">
      <c r="A14" s="1412"/>
      <c r="B14" s="1416"/>
      <c r="C14" s="1417"/>
      <c r="D14" s="669"/>
      <c r="E14" s="671" t="s">
        <v>11</v>
      </c>
    </row>
    <row r="15" spans="1:6" ht="30" x14ac:dyDescent="0.25">
      <c r="A15" s="1412"/>
      <c r="B15" s="1416"/>
      <c r="C15" s="1417"/>
      <c r="D15" s="669"/>
      <c r="E15" s="670" t="s">
        <v>12</v>
      </c>
    </row>
    <row r="16" spans="1:6" ht="60" x14ac:dyDescent="0.25">
      <c r="A16" s="1412"/>
      <c r="B16" s="1416"/>
      <c r="C16" s="1417"/>
      <c r="D16" s="669"/>
      <c r="E16" s="670" t="s">
        <v>13</v>
      </c>
    </row>
    <row r="17" spans="1:5" x14ac:dyDescent="0.25">
      <c r="A17" s="1412"/>
      <c r="B17" s="1416"/>
      <c r="C17" s="1417"/>
      <c r="D17" s="669"/>
      <c r="E17" s="670"/>
    </row>
    <row r="18" spans="1:5" x14ac:dyDescent="0.25">
      <c r="A18" s="1412"/>
      <c r="B18" s="1416"/>
      <c r="C18" s="1417"/>
      <c r="D18" s="669"/>
      <c r="E18" s="670" t="s">
        <v>14</v>
      </c>
    </row>
    <row r="19" spans="1:5" x14ac:dyDescent="0.25">
      <c r="A19" s="1412"/>
      <c r="B19" s="1416"/>
      <c r="C19" s="1417"/>
      <c r="D19" s="669"/>
      <c r="E19" s="670" t="s">
        <v>15</v>
      </c>
    </row>
    <row r="20" spans="1:5" ht="30" x14ac:dyDescent="0.25">
      <c r="A20" s="1412"/>
      <c r="B20" s="1416"/>
      <c r="C20" s="1417"/>
      <c r="D20" s="669"/>
      <c r="E20" s="670" t="s">
        <v>16</v>
      </c>
    </row>
    <row r="21" spans="1:5" ht="30" x14ac:dyDescent="0.25">
      <c r="A21" s="1412"/>
      <c r="B21" s="1416"/>
      <c r="C21" s="1417"/>
      <c r="D21" s="669"/>
      <c r="E21" s="670" t="s">
        <v>17</v>
      </c>
    </row>
    <row r="22" spans="1:5" x14ac:dyDescent="0.25">
      <c r="A22" s="1413"/>
      <c r="B22" s="1418"/>
      <c r="C22" s="1419"/>
      <c r="D22" s="672"/>
      <c r="E22" s="673"/>
    </row>
    <row r="23" spans="1:5" x14ac:dyDescent="0.25">
      <c r="A23" s="1411" t="s">
        <v>18</v>
      </c>
      <c r="B23" s="1414" t="s">
        <v>19</v>
      </c>
      <c r="C23" s="1415"/>
      <c r="D23" s="669">
        <v>2</v>
      </c>
      <c r="E23" s="670" t="s">
        <v>20</v>
      </c>
    </row>
    <row r="24" spans="1:5" x14ac:dyDescent="0.25">
      <c r="A24" s="1412"/>
      <c r="B24" s="1416"/>
      <c r="C24" s="1417"/>
      <c r="D24" s="669"/>
      <c r="E24" s="670"/>
    </row>
    <row r="25" spans="1:5" ht="75" x14ac:dyDescent="0.25">
      <c r="A25" s="1412"/>
      <c r="B25" s="1416"/>
      <c r="C25" s="1417"/>
      <c r="D25" s="669"/>
      <c r="E25" s="670" t="s">
        <v>21</v>
      </c>
    </row>
    <row r="26" spans="1:5" x14ac:dyDescent="0.25">
      <c r="A26" s="1412"/>
      <c r="B26" s="1416"/>
      <c r="C26" s="1417"/>
      <c r="D26" s="669"/>
      <c r="E26" s="670"/>
    </row>
    <row r="27" spans="1:5" ht="180" x14ac:dyDescent="0.25">
      <c r="A27" s="1412"/>
      <c r="B27" s="1416"/>
      <c r="C27" s="1417"/>
      <c r="D27" s="669"/>
      <c r="E27" s="674" t="s">
        <v>22</v>
      </c>
    </row>
    <row r="28" spans="1:5" x14ac:dyDescent="0.25">
      <c r="A28" s="1412"/>
      <c r="B28" s="1416"/>
      <c r="C28" s="1417"/>
      <c r="D28" s="669"/>
      <c r="E28" s="674"/>
    </row>
    <row r="29" spans="1:5" x14ac:dyDescent="0.25">
      <c r="A29" s="1412"/>
      <c r="B29" s="1416"/>
      <c r="C29" s="1417"/>
      <c r="D29" s="669">
        <v>3</v>
      </c>
      <c r="E29" s="674" t="s">
        <v>23</v>
      </c>
    </row>
    <row r="30" spans="1:5" x14ac:dyDescent="0.25">
      <c r="A30" s="1413"/>
      <c r="B30" s="1418"/>
      <c r="C30" s="1419"/>
      <c r="D30" s="669"/>
      <c r="E30" s="674"/>
    </row>
    <row r="31" spans="1:5" x14ac:dyDescent="0.25">
      <c r="A31" s="1411" t="s">
        <v>24</v>
      </c>
      <c r="B31" s="1414" t="s">
        <v>25</v>
      </c>
      <c r="C31" s="1415"/>
      <c r="D31" s="675">
        <v>4</v>
      </c>
      <c r="E31" s="676" t="s">
        <v>26</v>
      </c>
    </row>
    <row r="32" spans="1:5" x14ac:dyDescent="0.25">
      <c r="A32" s="1412"/>
      <c r="B32" s="1416"/>
      <c r="C32" s="1417"/>
      <c r="D32" s="669"/>
      <c r="E32" s="674"/>
    </row>
    <row r="33" spans="1:5" x14ac:dyDescent="0.25">
      <c r="A33" s="1412"/>
      <c r="B33" s="1416"/>
      <c r="C33" s="1417"/>
      <c r="D33" s="669">
        <v>5</v>
      </c>
      <c r="E33" s="677" t="s">
        <v>27</v>
      </c>
    </row>
    <row r="34" spans="1:5" x14ac:dyDescent="0.25">
      <c r="A34" s="1413"/>
      <c r="B34" s="1418"/>
      <c r="C34" s="1419"/>
      <c r="D34" s="672"/>
      <c r="E34" s="673"/>
    </row>
    <row r="35" spans="1:5" ht="30" customHeight="1" x14ac:dyDescent="0.25">
      <c r="A35" s="1411" t="s">
        <v>28</v>
      </c>
      <c r="B35" s="1414" t="s">
        <v>29</v>
      </c>
      <c r="C35" s="1415"/>
      <c r="D35" s="675">
        <v>6</v>
      </c>
      <c r="E35" s="678" t="s">
        <v>30</v>
      </c>
    </row>
    <row r="36" spans="1:5" x14ac:dyDescent="0.25">
      <c r="A36" s="1412"/>
      <c r="B36" s="1416"/>
      <c r="C36" s="1417"/>
      <c r="D36" s="669"/>
      <c r="E36" s="679"/>
    </row>
    <row r="37" spans="1:5" ht="30" x14ac:dyDescent="0.25">
      <c r="A37" s="1412"/>
      <c r="B37" s="1416"/>
      <c r="C37" s="1417"/>
      <c r="D37" s="669">
        <v>7</v>
      </c>
      <c r="E37" s="670" t="s">
        <v>31</v>
      </c>
    </row>
    <row r="38" spans="1:5" x14ac:dyDescent="0.25">
      <c r="A38" s="1412"/>
      <c r="B38" s="1416"/>
      <c r="C38" s="1417"/>
      <c r="D38" s="669"/>
      <c r="E38" s="670"/>
    </row>
    <row r="39" spans="1:5" ht="30" x14ac:dyDescent="0.25">
      <c r="A39" s="1412"/>
      <c r="B39" s="1416"/>
      <c r="C39" s="1417"/>
      <c r="D39" s="669"/>
      <c r="E39" s="670" t="s">
        <v>32</v>
      </c>
    </row>
    <row r="40" spans="1:5" x14ac:dyDescent="0.25">
      <c r="A40" s="1412"/>
      <c r="B40" s="1416"/>
      <c r="C40" s="1417"/>
      <c r="D40" s="669"/>
      <c r="E40" s="670"/>
    </row>
    <row r="41" spans="1:5" ht="184.7" customHeight="1" x14ac:dyDescent="0.25">
      <c r="A41" s="1412"/>
      <c r="B41" s="1416"/>
      <c r="C41" s="1417"/>
      <c r="D41" s="669">
        <v>8</v>
      </c>
      <c r="E41" s="680" t="s">
        <v>33</v>
      </c>
    </row>
    <row r="42" spans="1:5" x14ac:dyDescent="0.25">
      <c r="A42" s="1412"/>
      <c r="B42" s="1416"/>
      <c r="C42" s="1417"/>
      <c r="D42" s="669"/>
      <c r="E42" s="670"/>
    </row>
    <row r="43" spans="1:5" ht="75" x14ac:dyDescent="0.25">
      <c r="A43" s="1412"/>
      <c r="B43" s="1416"/>
      <c r="C43" s="1417"/>
      <c r="D43" s="669">
        <v>9</v>
      </c>
      <c r="E43" s="680" t="s">
        <v>34</v>
      </c>
    </row>
    <row r="44" spans="1:5" x14ac:dyDescent="0.25">
      <c r="A44" s="1413"/>
      <c r="B44" s="1418"/>
      <c r="C44" s="1419"/>
      <c r="D44" s="672"/>
      <c r="E44" s="673"/>
    </row>
    <row r="45" spans="1:5" ht="30" customHeight="1" x14ac:dyDescent="0.25">
      <c r="A45" s="1411" t="s">
        <v>35</v>
      </c>
      <c r="B45" s="1414" t="s">
        <v>36</v>
      </c>
      <c r="C45" s="1415"/>
      <c r="D45" s="675">
        <v>10</v>
      </c>
      <c r="E45" s="681" t="s">
        <v>37</v>
      </c>
    </row>
    <row r="46" spans="1:5" x14ac:dyDescent="0.25">
      <c r="A46" s="1412"/>
      <c r="B46" s="1416"/>
      <c r="C46" s="1417"/>
      <c r="D46" s="669"/>
      <c r="E46" s="674"/>
    </row>
    <row r="47" spans="1:5" x14ac:dyDescent="0.25">
      <c r="A47" s="1412"/>
      <c r="B47" s="1416"/>
      <c r="C47" s="1417"/>
      <c r="D47" s="669"/>
      <c r="E47" s="674" t="s">
        <v>38</v>
      </c>
    </row>
    <row r="48" spans="1:5" x14ac:dyDescent="0.25">
      <c r="A48" s="1412"/>
      <c r="B48" s="1416"/>
      <c r="C48" s="1417"/>
      <c r="D48" s="669"/>
      <c r="E48" s="674"/>
    </row>
    <row r="49" spans="1:5" ht="54.95" customHeight="1" x14ac:dyDescent="0.25">
      <c r="A49" s="1412"/>
      <c r="B49" s="1416"/>
      <c r="C49" s="1417"/>
      <c r="D49" s="669"/>
      <c r="E49" s="674" t="s">
        <v>39</v>
      </c>
    </row>
    <row r="50" spans="1:5" x14ac:dyDescent="0.25">
      <c r="A50" s="1413"/>
      <c r="B50" s="1418"/>
      <c r="C50" s="1419"/>
      <c r="D50" s="672"/>
      <c r="E50" s="673"/>
    </row>
    <row r="51" spans="1:5" ht="45" customHeight="1" x14ac:dyDescent="0.25">
      <c r="A51" s="1411" t="s">
        <v>40</v>
      </c>
      <c r="B51" s="1420" t="s">
        <v>41</v>
      </c>
      <c r="C51" s="1421"/>
      <c r="D51" s="675">
        <v>11</v>
      </c>
      <c r="E51" s="681" t="s">
        <v>42</v>
      </c>
    </row>
    <row r="52" spans="1:5" x14ac:dyDescent="0.25">
      <c r="A52" s="1413"/>
      <c r="B52" s="1422"/>
      <c r="C52" s="1423"/>
      <c r="D52" s="672"/>
      <c r="E52" s="673"/>
    </row>
    <row r="53" spans="1:5" ht="30" customHeight="1" x14ac:dyDescent="0.25">
      <c r="A53" s="1411" t="s">
        <v>43</v>
      </c>
      <c r="B53" s="1414" t="s">
        <v>44</v>
      </c>
      <c r="C53" s="1415"/>
      <c r="D53" s="675">
        <v>12</v>
      </c>
      <c r="E53" s="681" t="s">
        <v>45</v>
      </c>
    </row>
    <row r="54" spans="1:5" x14ac:dyDescent="0.25">
      <c r="A54" s="1412"/>
      <c r="B54" s="1416"/>
      <c r="C54" s="1417"/>
      <c r="D54" s="669"/>
      <c r="E54" s="674"/>
    </row>
    <row r="55" spans="1:5" x14ac:dyDescent="0.25">
      <c r="A55" s="1412"/>
      <c r="B55" s="1416"/>
      <c r="C55" s="1417"/>
      <c r="D55" s="669"/>
      <c r="E55" s="680" t="s">
        <v>46</v>
      </c>
    </row>
    <row r="56" spans="1:5" x14ac:dyDescent="0.25">
      <c r="A56" s="1412"/>
      <c r="B56" s="1416"/>
      <c r="C56" s="1417"/>
      <c r="D56" s="669"/>
      <c r="E56" s="680"/>
    </row>
    <row r="57" spans="1:5" ht="45" x14ac:dyDescent="0.25">
      <c r="A57" s="1412"/>
      <c r="B57" s="1416"/>
      <c r="C57" s="1417"/>
      <c r="D57" s="669"/>
      <c r="E57" s="674" t="s">
        <v>47</v>
      </c>
    </row>
    <row r="58" spans="1:5" x14ac:dyDescent="0.25">
      <c r="A58" s="1413"/>
      <c r="B58" s="1418"/>
      <c r="C58" s="1419"/>
      <c r="D58" s="672"/>
      <c r="E58" s="673"/>
    </row>
    <row r="59" spans="1:5" ht="30" customHeight="1" x14ac:dyDescent="0.25">
      <c r="A59" s="1411" t="s">
        <v>48</v>
      </c>
      <c r="B59" s="1414" t="s">
        <v>49</v>
      </c>
      <c r="C59" s="1415"/>
      <c r="D59" s="675">
        <v>13</v>
      </c>
      <c r="E59" s="682" t="s">
        <v>50</v>
      </c>
    </row>
    <row r="60" spans="1:5" x14ac:dyDescent="0.25">
      <c r="A60" s="1412"/>
      <c r="B60" s="1416"/>
      <c r="C60" s="1417"/>
      <c r="D60" s="669"/>
      <c r="E60" s="680"/>
    </row>
    <row r="61" spans="1:5" ht="45" x14ac:dyDescent="0.25">
      <c r="A61" s="1412"/>
      <c r="B61" s="1416"/>
      <c r="C61" s="1417"/>
      <c r="D61" s="669"/>
      <c r="E61" s="674" t="s">
        <v>51</v>
      </c>
    </row>
    <row r="62" spans="1:5" x14ac:dyDescent="0.25">
      <c r="A62" s="1413"/>
      <c r="B62" s="1418"/>
      <c r="C62" s="1419"/>
      <c r="D62" s="672"/>
      <c r="E62" s="673"/>
    </row>
    <row r="63" spans="1:5" ht="30" customHeight="1" x14ac:dyDescent="0.25">
      <c r="A63" s="1411" t="s">
        <v>52</v>
      </c>
      <c r="B63" s="1420" t="s">
        <v>53</v>
      </c>
      <c r="C63" s="1421"/>
      <c r="D63" s="669">
        <v>14</v>
      </c>
      <c r="E63" s="676" t="s">
        <v>54</v>
      </c>
    </row>
    <row r="64" spans="1:5" x14ac:dyDescent="0.25">
      <c r="A64" s="1413"/>
      <c r="B64" s="1422"/>
      <c r="C64" s="1423"/>
      <c r="D64" s="669"/>
      <c r="E64" s="670"/>
    </row>
    <row r="65" spans="1:5" ht="30" customHeight="1" x14ac:dyDescent="0.25">
      <c r="A65" s="1411" t="s">
        <v>55</v>
      </c>
      <c r="B65" s="1420" t="s">
        <v>56</v>
      </c>
      <c r="C65" s="1421"/>
      <c r="D65" s="675">
        <v>15</v>
      </c>
      <c r="E65" s="681" t="s">
        <v>57</v>
      </c>
    </row>
    <row r="66" spans="1:5" ht="15.75" thickBot="1" x14ac:dyDescent="0.3">
      <c r="A66" s="1424"/>
      <c r="B66" s="1425"/>
      <c r="C66" s="1426"/>
      <c r="D66" s="683"/>
      <c r="E66" s="684"/>
    </row>
  </sheetData>
  <sheetProtection algorithmName="SHA-512" hashValue="IYBHKI4X+YbyQt0E5FvkKY1m1wEEq16L37Ia/vMrtI0SZ487kwcIX/xsP8Qf6RN+RJXEfKhN25nMwExEaK3J1A==" saltValue="2O2hJAiCWM6z60Dbxk9fUw==" spinCount="100000" sheet="1" objects="1" scenarios="1"/>
  <mergeCells count="24">
    <mergeCell ref="B3:E3"/>
    <mergeCell ref="C5:E5"/>
    <mergeCell ref="C6:E6"/>
    <mergeCell ref="B12:C12"/>
    <mergeCell ref="A13:A22"/>
    <mergeCell ref="B13:C22"/>
    <mergeCell ref="A23:A30"/>
    <mergeCell ref="B23:C30"/>
    <mergeCell ref="A31:A34"/>
    <mergeCell ref="B31:C34"/>
    <mergeCell ref="A35:A44"/>
    <mergeCell ref="B35:C44"/>
    <mergeCell ref="A45:A50"/>
    <mergeCell ref="B45:C50"/>
    <mergeCell ref="A51:A52"/>
    <mergeCell ref="B51:C52"/>
    <mergeCell ref="A53:A58"/>
    <mergeCell ref="B53:C58"/>
    <mergeCell ref="A59:A62"/>
    <mergeCell ref="B59:C62"/>
    <mergeCell ref="A63:A64"/>
    <mergeCell ref="B63:C64"/>
    <mergeCell ref="A65:A66"/>
    <mergeCell ref="B65:C66"/>
  </mergeCells>
  <pageMargins left="0.7" right="0.7" top="0.75" bottom="0.75" header="0.3" footer="0.3"/>
  <pageSetup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C1000"/>
  <sheetViews>
    <sheetView showGridLines="0" zoomScaleNormal="100" workbookViewId="0"/>
  </sheetViews>
  <sheetFormatPr defaultColWidth="9.28515625" defaultRowHeight="15" x14ac:dyDescent="0.25"/>
  <cols>
    <col min="1" max="1" width="61.42578125" style="93" customWidth="1"/>
    <col min="3" max="3" width="14.7109375" customWidth="1"/>
    <col min="4" max="4" width="14.7109375" hidden="1" customWidth="1"/>
    <col min="5" max="5" width="11.7109375" customWidth="1"/>
    <col min="6" max="9" width="14.7109375" customWidth="1"/>
    <col min="10" max="11" width="14.7109375" hidden="1" customWidth="1"/>
    <col min="12" max="14" width="14.7109375" customWidth="1"/>
    <col min="15" max="15" width="15.140625" hidden="1" customWidth="1"/>
    <col min="16" max="16" width="14.85546875" hidden="1" customWidth="1"/>
    <col min="17" max="17" width="10.85546875" customWidth="1"/>
    <col min="18" max="18" width="11" hidden="1" customWidth="1"/>
    <col min="19" max="19" width="10.85546875" customWidth="1"/>
    <col min="20" max="20" width="11" hidden="1" customWidth="1"/>
    <col min="21" max="21" width="11.28515625" hidden="1" customWidth="1"/>
    <col min="22" max="22" width="10.85546875" hidden="1" customWidth="1"/>
    <col min="23" max="23" width="9.42578125" bestFit="1" customWidth="1"/>
  </cols>
  <sheetData>
    <row r="1" spans="1:29" x14ac:dyDescent="0.25">
      <c r="A1" s="1106"/>
      <c r="B1" s="1056"/>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056"/>
      <c r="AB1" s="1056"/>
      <c r="AC1" s="1056"/>
    </row>
    <row r="2" spans="1:29" x14ac:dyDescent="0.25">
      <c r="A2" s="1106"/>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row>
    <row r="3" spans="1:29" x14ac:dyDescent="0.25">
      <c r="A3" s="1106"/>
      <c r="B3" s="1056"/>
      <c r="C3" s="1056"/>
      <c r="D3" s="1056"/>
      <c r="E3" s="1056"/>
      <c r="F3" s="1056"/>
      <c r="G3" s="1056"/>
      <c r="H3" s="1056"/>
      <c r="I3" s="1056"/>
      <c r="J3" s="1056"/>
      <c r="K3" s="1056"/>
      <c r="L3" s="1056"/>
      <c r="M3" s="1056"/>
      <c r="N3" s="1056"/>
      <c r="O3" s="1056"/>
      <c r="P3" s="1056"/>
      <c r="Q3" s="1056"/>
      <c r="R3" s="1056"/>
      <c r="S3" s="1056"/>
      <c r="T3" s="1056"/>
      <c r="U3" s="1056"/>
      <c r="V3" s="1056"/>
      <c r="W3" s="1056"/>
      <c r="X3" s="1056"/>
      <c r="Y3" s="1056"/>
      <c r="Z3" s="1056"/>
      <c r="AA3" s="1056"/>
      <c r="AB3" s="1056"/>
      <c r="AC3" s="1056"/>
    </row>
    <row r="4" spans="1:29" x14ac:dyDescent="0.25">
      <c r="A4" s="110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row>
    <row r="5" spans="1:29" x14ac:dyDescent="0.25">
      <c r="A5" s="1106"/>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29" x14ac:dyDescent="0.25">
      <c r="A6" s="1106"/>
      <c r="B6" s="1056"/>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row>
    <row r="7" spans="1:29" x14ac:dyDescent="0.25">
      <c r="A7" s="1106"/>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row>
    <row r="8" spans="1:29" x14ac:dyDescent="0.25">
      <c r="A8" s="1106"/>
      <c r="B8" s="1056"/>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row>
    <row r="9" spans="1:29" x14ac:dyDescent="0.25">
      <c r="A9" s="1106"/>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A9" s="1056"/>
      <c r="AB9" s="1056"/>
      <c r="AC9" s="1056"/>
    </row>
    <row r="10" spans="1:29" x14ac:dyDescent="0.25">
      <c r="A10" s="1106"/>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6"/>
      <c r="AC10" s="1056"/>
    </row>
    <row r="11" spans="1:29" ht="20.25" customHeight="1" x14ac:dyDescent="0.25">
      <c r="A11" s="1835" t="s">
        <v>345</v>
      </c>
      <c r="B11" s="1835"/>
      <c r="C11" s="1835"/>
      <c r="D11" s="1835"/>
      <c r="E11" s="1835"/>
      <c r="F11" s="1835"/>
      <c r="G11" s="1835"/>
      <c r="H11" s="1835"/>
      <c r="I11" s="1835"/>
      <c r="J11" s="1835"/>
      <c r="K11" s="1835"/>
      <c r="L11" s="1835"/>
      <c r="M11" s="1056"/>
      <c r="N11" s="1056"/>
      <c r="O11" s="1056"/>
      <c r="P11" s="1056"/>
      <c r="Q11" s="1056"/>
      <c r="R11" s="1056"/>
      <c r="S11" s="1056"/>
      <c r="T11" s="1056"/>
      <c r="U11" s="1056"/>
      <c r="V11" s="1056"/>
      <c r="W11" s="1056"/>
      <c r="X11" s="1056"/>
      <c r="Y11" s="1056"/>
      <c r="Z11" s="1056"/>
      <c r="AA11" s="1056"/>
      <c r="AB11" s="1056"/>
      <c r="AC11" s="1056"/>
    </row>
    <row r="12" spans="1:29" ht="21" customHeight="1" x14ac:dyDescent="0.25">
      <c r="A12" s="1835"/>
      <c r="B12" s="1835"/>
      <c r="C12" s="1835"/>
      <c r="D12" s="1835"/>
      <c r="E12" s="1835"/>
      <c r="F12" s="1835"/>
      <c r="G12" s="1835"/>
      <c r="H12" s="1835"/>
      <c r="I12" s="1835"/>
      <c r="J12" s="1835"/>
      <c r="K12" s="1835"/>
      <c r="L12" s="1835"/>
      <c r="M12" s="1056"/>
      <c r="N12" s="1056"/>
      <c r="O12" s="1056"/>
      <c r="P12" s="1056"/>
      <c r="Q12" s="1056"/>
      <c r="R12" s="1056"/>
      <c r="S12" s="1056"/>
      <c r="T12" s="1056"/>
      <c r="U12" s="1056"/>
      <c r="V12" s="1056"/>
      <c r="W12" s="1056"/>
      <c r="X12" s="1056"/>
      <c r="Y12" s="1056"/>
      <c r="Z12" s="1056"/>
      <c r="AA12" s="1056"/>
      <c r="AB12" s="1056"/>
      <c r="AC12" s="1056"/>
    </row>
    <row r="13" spans="1:29" ht="18" x14ac:dyDescent="0.25">
      <c r="A13" s="1107" t="s">
        <v>346</v>
      </c>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row>
    <row r="14" spans="1:29" s="471" customFormat="1" ht="24" customHeight="1" x14ac:dyDescent="0.25">
      <c r="A14" s="1108"/>
      <c r="B14" s="1109"/>
      <c r="C14" s="1836" t="s">
        <v>347</v>
      </c>
      <c r="D14" s="1836" t="s">
        <v>348</v>
      </c>
      <c r="E14" s="1836" t="s">
        <v>349</v>
      </c>
      <c r="F14" s="1838" t="s">
        <v>350</v>
      </c>
      <c r="G14" s="1110"/>
      <c r="H14" s="1111"/>
      <c r="I14" s="1111" t="s">
        <v>351</v>
      </c>
      <c r="J14" s="1111"/>
      <c r="K14" s="1111"/>
      <c r="L14" s="1110"/>
      <c r="M14" s="1110"/>
      <c r="N14" s="1111" t="s">
        <v>351</v>
      </c>
      <c r="O14" s="1111" t="s">
        <v>352</v>
      </c>
      <c r="P14" s="1112"/>
      <c r="Q14" s="1112"/>
      <c r="R14" s="1112"/>
      <c r="S14" s="1112"/>
      <c r="T14" s="1112"/>
      <c r="U14" s="1112"/>
      <c r="V14" s="1112"/>
      <c r="W14" s="1112"/>
      <c r="X14" s="1112"/>
      <c r="Y14" s="1112"/>
      <c r="Z14" s="1112"/>
      <c r="AA14" s="1112"/>
      <c r="AB14" s="1112"/>
      <c r="AC14" s="1112"/>
    </row>
    <row r="15" spans="1:29" s="471" customFormat="1" ht="35.25" customHeight="1" x14ac:dyDescent="0.25">
      <c r="A15" s="1113" t="s">
        <v>343</v>
      </c>
      <c r="B15" s="1114"/>
      <c r="C15" s="1837"/>
      <c r="D15" s="1837"/>
      <c r="E15" s="1837"/>
      <c r="F15" s="1839"/>
      <c r="G15" s="1115">
        <v>1550</v>
      </c>
      <c r="H15" s="1115">
        <v>1551</v>
      </c>
      <c r="I15" s="1115">
        <v>1580</v>
      </c>
      <c r="J15" s="1116" t="s">
        <v>353</v>
      </c>
      <c r="K15" s="1116" t="s">
        <v>354</v>
      </c>
      <c r="L15" s="1115">
        <v>1584</v>
      </c>
      <c r="M15" s="1115">
        <v>1586</v>
      </c>
      <c r="N15" s="1115">
        <v>1588</v>
      </c>
      <c r="O15" s="1115">
        <v>1509</v>
      </c>
      <c r="P15" s="1149" t="s">
        <v>6507</v>
      </c>
      <c r="Q15" s="1149" t="s">
        <v>355</v>
      </c>
      <c r="R15" s="1149" t="s">
        <v>356</v>
      </c>
      <c r="S15" s="1149" t="s">
        <v>357</v>
      </c>
      <c r="T15" s="1149" t="s">
        <v>358</v>
      </c>
      <c r="U15" s="1149" t="s">
        <v>359</v>
      </c>
      <c r="V15" s="1149" t="s">
        <v>6508</v>
      </c>
      <c r="W15" s="1115">
        <v>1568</v>
      </c>
      <c r="X15" s="1112"/>
      <c r="Y15" s="1112"/>
      <c r="Z15" s="1112"/>
      <c r="AA15" s="1112"/>
      <c r="AB15" s="1112"/>
      <c r="AC15" s="1112"/>
    </row>
    <row r="16" spans="1:29" x14ac:dyDescent="0.25">
      <c r="A16" s="1106"/>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row>
    <row r="17" spans="1:29" ht="15.75" customHeight="1" x14ac:dyDescent="0.25">
      <c r="A17" s="1117" t="s">
        <v>170</v>
      </c>
      <c r="B17" s="1056"/>
      <c r="C17" s="1285">
        <f>'4. Billing Det. for Def-Var'!C17/'4. Billing Det. for Def-Var'!$C$25</f>
        <v>0.20460379857649078</v>
      </c>
      <c r="D17" s="1285">
        <v>9.4896483597746857E-6</v>
      </c>
      <c r="E17" s="1285">
        <f>'4. Billing Det. for Def-Var'!T17/SUM('4. Billing Det. for Def-Var'!$T$17:$T$19)</f>
        <v>0.7865390888610253</v>
      </c>
      <c r="F17" s="1285">
        <f>'4. Billing Det. for Def-Var'!I17/'4. Billing Det. for Def-Var'!$I$25</f>
        <v>0.20705637286278208</v>
      </c>
      <c r="G17" s="1286">
        <f>IF('4. Billing Det. for Def-Var'!$C$32="NO",0,SUMIFS('3. Continuity Schedule'!$BT:$BT,'3. Continuity Schedule'!$D:$D,G$15)*C17)</f>
        <v>93114.377537093693</v>
      </c>
      <c r="H17" s="1286">
        <f>IF('4. Billing Det. for Def-Var'!$C$32="NO",0,SUMIFS('3. Continuity Schedule'!$BT:$BT,'3. Continuity Schedule'!$D:$D,H$15)*E17)</f>
        <v>-515411.18100414955</v>
      </c>
      <c r="I17" s="1286">
        <f>IF('4. Billing Det. for Def-Var'!$C$32="NO",0,'3. Continuity Schedule'!$BT$23*F17)</f>
        <v>-1589603.4302944301</v>
      </c>
      <c r="J17" s="1286">
        <v>0</v>
      </c>
      <c r="K17" s="1286"/>
      <c r="L17" s="1286">
        <f>IF('4. Billing Det. for Def-Var'!$C$32="NO",0,SUMIFS('3. Continuity Schedule'!$BT:$BT,'3. Continuity Schedule'!$D:$D,L$15)*C17)</f>
        <v>4694233.7212466868</v>
      </c>
      <c r="M17" s="1286">
        <f>IF('4. Billing Det. for Def-Var'!$C$32="NO",0,SUMIFS('3. Continuity Schedule'!$BT:$BT,'3. Continuity Schedule'!$D:$D,M$15)*C17)</f>
        <v>1095864.4085940958</v>
      </c>
      <c r="N17" s="1286">
        <f>IF('4. Billing Det. for Def-Var'!$C$32="NO",0,SUMIFS('3. Continuity Schedule'!$BT:$BT,'3. Continuity Schedule'!$D:$D,N$15)*F17)</f>
        <v>2766573.277437659</v>
      </c>
      <c r="O17" s="1286"/>
      <c r="P17" s="1286">
        <v>0</v>
      </c>
      <c r="Q17" s="1286">
        <f>IF('4. Billing Det. for Def-Var'!$C$32="NO",0,'3. Continuity Schedule'!$BT$32*'4. Billing Det. for Def-Var'!M17)</f>
        <v>-1053800.0923675369</v>
      </c>
      <c r="R17" s="1286">
        <v>0</v>
      </c>
      <c r="S17" s="1286">
        <f>IF('4. Billing Det. for Def-Var'!$C$32="NO",0,'3. Continuity Schedule'!$BT$34*'4. Billing Det. for Def-Var'!O17)</f>
        <v>-13032.104913726025</v>
      </c>
      <c r="T17" s="1286">
        <v>0</v>
      </c>
      <c r="U17" s="1286">
        <v>0</v>
      </c>
      <c r="V17" s="1286">
        <v>0</v>
      </c>
      <c r="W17" s="1286">
        <v>0</v>
      </c>
      <c r="X17" s="1119"/>
      <c r="Y17" s="1056"/>
      <c r="Z17" s="1056"/>
      <c r="AA17" s="1056"/>
      <c r="AB17" s="1056"/>
      <c r="AC17" s="1056"/>
    </row>
    <row r="18" spans="1:29" s="1183" customFormat="1" ht="15.75" customHeight="1" x14ac:dyDescent="0.25">
      <c r="A18" s="1205" t="s">
        <v>5914</v>
      </c>
      <c r="B18" s="1217"/>
      <c r="C18" s="1211">
        <f>'4. Billing Det. for Def-Var'!C18/'4. Billing Det. for Def-Var'!$C$25</f>
        <v>1.3763121107124616E-2</v>
      </c>
      <c r="D18" s="1211"/>
      <c r="E18" s="1211">
        <f>'4. Billing Det. for Def-Var'!T18/SUM('4. Billing Det. for Def-Var'!$T$17:$T$19)</f>
        <v>0.12092622608234707</v>
      </c>
      <c r="F18" s="1211">
        <f>'4. Billing Det. for Def-Var'!I18/'4. Billing Det. for Def-Var'!$I$25</f>
        <v>1.3928098869811794E-2</v>
      </c>
      <c r="G18" s="1212">
        <f>IF('4. Billing Det. for Def-Var'!$C$32="NO",0,SUMIFS('3. Continuity Schedule'!$BT:$BT,'3. Continuity Schedule'!$D:$D,G$15)*C18)</f>
        <v>6263.5418490455904</v>
      </c>
      <c r="H18" s="1212">
        <f>IF('4. Billing Det. for Def-Var'!$C$32="NO",0,SUMIFS('3. Continuity Schedule'!$BT:$BT,'3. Continuity Schedule'!$D:$D,H$15)*E18)</f>
        <v>-79241.743839751987</v>
      </c>
      <c r="I18" s="1212">
        <f>IF('4. Billing Det. for Def-Var'!$C$32="NO",0,'3. Continuity Schedule'!$BT$23*F18)</f>
        <v>-106928.14442183463</v>
      </c>
      <c r="J18" s="1212"/>
      <c r="K18" s="1212"/>
      <c r="L18" s="1212">
        <f>IF('4. Billing Det. for Def-Var'!$C$32="NO",0,SUMIFS('3. Continuity Schedule'!$BT:$BT,'3. Continuity Schedule'!$D:$D,L$15)*C18)</f>
        <v>315767.87752800726</v>
      </c>
      <c r="M18" s="1212">
        <f>IF('4. Billing Det. for Def-Var'!$C$32="NO",0,SUMIFS('3. Continuity Schedule'!$BT:$BT,'3. Continuity Schedule'!$D:$D,M$15)*C18)</f>
        <v>73715.711425706802</v>
      </c>
      <c r="N18" s="1212">
        <f>IF('4. Billing Det. for Def-Var'!$C$32="NO",0,SUMIFS('3. Continuity Schedule'!$BT:$BT,'3. Continuity Schedule'!$D:$D,N$15)*F18)</f>
        <v>186099.59020323012</v>
      </c>
      <c r="O18" s="1212"/>
      <c r="P18" s="1212"/>
      <c r="Q18" s="1212">
        <f>IF('4. Billing Det. for Def-Var'!$C$32="NO",0,'3. Continuity Schedule'!$BT$32*'4. Billing Det. for Def-Var'!M18)</f>
        <v>-153778.10706645856</v>
      </c>
      <c r="R18" s="1212"/>
      <c r="S18" s="1212">
        <f>IF('4. Billing Det. for Def-Var'!$C$32="NO",0,'3. Continuity Schedule'!$BT$34*'4. Billing Det. for Def-Var'!O18)</f>
        <v>-1311.2849058172901</v>
      </c>
      <c r="T18" s="1212"/>
      <c r="U18" s="1212"/>
      <c r="V18" s="1212"/>
      <c r="W18" s="1212">
        <v>0</v>
      </c>
      <c r="X18" s="1119"/>
      <c r="Y18" s="1056"/>
      <c r="Z18" s="1056"/>
      <c r="AA18" s="1056"/>
      <c r="AB18" s="1056"/>
      <c r="AC18" s="1056"/>
    </row>
    <row r="19" spans="1:29" ht="15.75" customHeight="1" x14ac:dyDescent="0.25">
      <c r="A19" s="1117" t="s">
        <v>174</v>
      </c>
      <c r="B19" s="1056"/>
      <c r="C19" s="1285">
        <f>'4. Billing Det. for Def-Var'!C19/'4. Billing Det. for Def-Var'!$C$25</f>
        <v>9.7513150378777683E-2</v>
      </c>
      <c r="D19" s="1285">
        <v>1.9020866908970389E-3</v>
      </c>
      <c r="E19" s="1285">
        <f>'4. Billing Det. for Def-Var'!T19/SUM('4. Billing Det. for Def-Var'!$T$17:$T$19)</f>
        <v>9.2534685056627625E-2</v>
      </c>
      <c r="F19" s="1285">
        <f>'4. Billing Det. for Def-Var'!I19/'4. Billing Det. for Def-Var'!$I$25</f>
        <v>9.8682035056668144E-2</v>
      </c>
      <c r="G19" s="1286">
        <f>IF('4. Billing Det. for Def-Var'!$C$32="NO",0,SUMIFS('3. Continuity Schedule'!$BT:$BT,'3. Continuity Schedule'!$D:$D,G$15)*C19)</f>
        <v>44377.84812585677</v>
      </c>
      <c r="H19" s="1286">
        <f>IF('4. Billing Det. for Def-Var'!$C$32="NO",0,SUMIFS('3. Continuity Schedule'!$BT:$BT,'3. Continuity Schedule'!$D:$D,H$15)*E19)</f>
        <v>-60637.051590083764</v>
      </c>
      <c r="I19" s="1286">
        <f>IF('4. Billing Det. for Def-Var'!$C$32="NO",0,'3. Continuity Schedule'!$BT$23*F19)</f>
        <v>-757597.07013930345</v>
      </c>
      <c r="J19" s="1286">
        <v>0</v>
      </c>
      <c r="K19" s="1286"/>
      <c r="L19" s="1286">
        <f>IF('4. Billing Det. for Def-Var'!$C$32="NO",0,SUMIFS('3. Continuity Schedule'!$BT:$BT,'3. Continuity Schedule'!$D:$D,L$15)*C19)</f>
        <v>2237248.3891198556</v>
      </c>
      <c r="M19" s="1286">
        <f>IF('4. Billing Det. for Def-Var'!$C$32="NO",0,SUMIFS('3. Continuity Schedule'!$BT:$BT,'3. Continuity Schedule'!$D:$D,M$15)*C19)</f>
        <v>522283.51386172557</v>
      </c>
      <c r="N19" s="1286">
        <f>IF('4. Billing Det. for Def-Var'!$C$32="NO",0,SUMIFS('3. Continuity Schedule'!$BT:$BT,'3. Continuity Schedule'!$D:$D,N$15)*F19)</f>
        <v>1318535.0316740598</v>
      </c>
      <c r="O19" s="1286"/>
      <c r="P19" s="1286">
        <v>0</v>
      </c>
      <c r="Q19" s="1286">
        <f>IF('4. Billing Det. for Def-Var'!$C$32="NO",0,'3. Continuity Schedule'!$BT$32*'4. Billing Det. for Def-Var'!M19)</f>
        <v>-411292.51438677515</v>
      </c>
      <c r="R19" s="1286">
        <v>0</v>
      </c>
      <c r="S19" s="1286">
        <f>IF('4. Billing Det. for Def-Var'!$C$32="NO",0,'3. Continuity Schedule'!$BT$34*'4. Billing Det. for Def-Var'!O19)</f>
        <v>-4841.4189010347736</v>
      </c>
      <c r="T19" s="1286">
        <v>0</v>
      </c>
      <c r="U19" s="1286">
        <v>0</v>
      </c>
      <c r="V19" s="1286">
        <v>0</v>
      </c>
      <c r="W19" s="1286">
        <v>0</v>
      </c>
      <c r="X19" s="1119"/>
      <c r="Y19" s="1056"/>
      <c r="Z19" s="1056"/>
      <c r="AA19" s="1056"/>
      <c r="AB19" s="1056"/>
      <c r="AC19" s="1056"/>
    </row>
    <row r="20" spans="1:29" ht="15.75" customHeight="1" x14ac:dyDescent="0.25">
      <c r="A20" s="1117" t="s">
        <v>990</v>
      </c>
      <c r="B20" s="1056"/>
      <c r="C20" s="1285">
        <f>'4. Billing Det. for Def-Var'!C20/'4. Billing Det. for Def-Var'!$C$25</f>
        <v>0.40837243752824781</v>
      </c>
      <c r="D20" s="1285">
        <v>0.50836953040489063</v>
      </c>
      <c r="E20" s="1285">
        <v>0</v>
      </c>
      <c r="F20" s="1285">
        <f>'4. Billing Det. for Def-Var'!I20/'4. Billing Det. for Def-Var'!$I$25</f>
        <v>0.41119162466150233</v>
      </c>
      <c r="G20" s="1286">
        <f>IF('4. Billing Det. for Def-Var'!$C$32="NO",0,SUMIFS('3. Continuity Schedule'!$BT:$BT,'3. Continuity Schedule'!$D:$D,G$15)*C20)</f>
        <v>185848.67724013817</v>
      </c>
      <c r="H20" s="1286">
        <f>IF('4. Billing Det. for Def-Var'!$C$32="NO",0,SUMIFS('3. Continuity Schedule'!$BT:$BT,'3. Continuity Schedule'!$D:$D,H$15)*E20)</f>
        <v>0</v>
      </c>
      <c r="I20" s="1286">
        <f>IF('4. Billing Det. for Def-Var'!$C$32="NO",0,'3. Continuity Schedule'!$BT$23*F20)</f>
        <v>-3156780.9675842761</v>
      </c>
      <c r="J20" s="1286">
        <v>0</v>
      </c>
      <c r="K20" s="1286"/>
      <c r="L20" s="1286">
        <f>IF('4. Billing Det. for Def-Var'!$C$32="NO",0,SUMIFS('3. Continuity Schedule'!$BT:$BT,'3. Continuity Schedule'!$D:$D,L$15)*C20)</f>
        <v>9369306.3394233193</v>
      </c>
      <c r="M20" s="1286">
        <f>IF('4. Billing Det. for Def-Var'!$C$32="NO",0,SUMIFS('3. Continuity Schedule'!$BT:$BT,'3. Continuity Schedule'!$D:$D,M$15)*C20)</f>
        <v>2187255.6758554885</v>
      </c>
      <c r="N20" s="1286">
        <f>IF('4. Billing Det. for Def-Var'!$C$32="NO",0,SUMIFS('3. Continuity Schedule'!$BT:$BT,'3. Continuity Schedule'!$D:$D,N$15)*F20)</f>
        <v>5494116.1431847326</v>
      </c>
      <c r="O20" s="1286"/>
      <c r="P20" s="1286">
        <v>0</v>
      </c>
      <c r="Q20" s="1286">
        <f>IF('4. Billing Det. for Def-Var'!$C$32="NO",0,'3. Continuity Schedule'!$BT$32*'4. Billing Det. for Def-Var'!M20)</f>
        <v>-1541068.4886303768</v>
      </c>
      <c r="R20" s="1286">
        <v>0</v>
      </c>
      <c r="S20" s="1286">
        <f>IF('4. Billing Det. for Def-Var'!$C$32="NO",0,'3. Continuity Schedule'!$BT$34*'4. Billing Det. for Def-Var'!O20)</f>
        <v>-8510.4328247008852</v>
      </c>
      <c r="T20" s="1286">
        <v>0</v>
      </c>
      <c r="U20" s="1286">
        <v>0</v>
      </c>
      <c r="V20" s="1286">
        <v>0</v>
      </c>
      <c r="W20" s="1286">
        <v>0</v>
      </c>
      <c r="X20" s="1056"/>
      <c r="Y20" s="1056"/>
      <c r="Z20" s="1056"/>
      <c r="AA20" s="1056"/>
      <c r="AB20" s="1056"/>
      <c r="AC20" s="1056"/>
    </row>
    <row r="21" spans="1:29" ht="15.75" customHeight="1" x14ac:dyDescent="0.25">
      <c r="A21" s="1117" t="s">
        <v>1008</v>
      </c>
      <c r="B21" s="1056"/>
      <c r="C21" s="1285">
        <f>'4. Billing Det. for Def-Var'!C21/'4. Billing Det. for Def-Var'!$C$25</f>
        <v>0.17947247047358295</v>
      </c>
      <c r="D21" s="1285">
        <v>0.33497464050935466</v>
      </c>
      <c r="E21" s="1285">
        <v>0</v>
      </c>
      <c r="F21" s="1285">
        <f>'4. Billing Det. for Def-Var'!I21/'4. Billing Det. for Def-Var'!$I$25</f>
        <v>0.18162379693596106</v>
      </c>
      <c r="G21" s="1286">
        <f>IF('4. Billing Det. for Def-Var'!$C$32="NO",0,SUMIFS('3. Continuity Schedule'!$BT:$BT,'3. Continuity Schedule'!$D:$D,G$15)*C21)</f>
        <v>81677.209755930075</v>
      </c>
      <c r="H21" s="1286">
        <f>IF('4. Billing Det. for Def-Var'!$C$32="NO",0,SUMIFS('3. Continuity Schedule'!$BT:$BT,'3. Continuity Schedule'!$D:$D,H$15)*E21)</f>
        <v>0</v>
      </c>
      <c r="I21" s="1286">
        <f>IF('4. Billing Det. for Def-Var'!$C$32="NO",0,'3. Continuity Schedule'!$BT$23*F21)</f>
        <v>-1394353.6566432226</v>
      </c>
      <c r="J21" s="1286">
        <v>0</v>
      </c>
      <c r="K21" s="1286"/>
      <c r="L21" s="1286">
        <f>IF('4. Billing Det. for Def-Var'!$C$32="NO",0,SUMIFS('3. Continuity Schedule'!$BT:$BT,'3. Continuity Schedule'!$D:$D,L$15)*C21)</f>
        <v>4117644.5833070963</v>
      </c>
      <c r="M21" s="1286">
        <f>IF('4. Billing Det. for Def-Var'!$C$32="NO",0,SUMIFS('3. Continuity Schedule'!$BT:$BT,'3. Continuity Schedule'!$D:$D,M$15)*C21)</f>
        <v>961260.22137818101</v>
      </c>
      <c r="N21" s="1286">
        <f>IF('4. Billing Det. for Def-Var'!$C$32="NO",0,SUMIFS('3. Continuity Schedule'!$BT:$BT,'3. Continuity Schedule'!$D:$D,N$15)*F21)</f>
        <v>2426757.1975811059</v>
      </c>
      <c r="O21" s="1286"/>
      <c r="P21" s="1286">
        <v>0</v>
      </c>
      <c r="Q21" s="1286">
        <f>IF('4. Billing Det. for Def-Var'!$C$32="NO",0,'3. Continuity Schedule'!$BT$32*'4. Billing Det. for Def-Var'!M21)</f>
        <v>-263723.9745890334</v>
      </c>
      <c r="R21" s="1286">
        <v>0</v>
      </c>
      <c r="S21" s="1286">
        <f>IF('4. Billing Det. for Def-Var'!$C$32="NO",0,'3. Continuity Schedule'!$BT$34*'4. Billing Det. for Def-Var'!O21)</f>
        <v>-2470.7708200744505</v>
      </c>
      <c r="T21" s="1286">
        <v>0</v>
      </c>
      <c r="U21" s="1286">
        <v>0</v>
      </c>
      <c r="V21" s="1286">
        <v>0</v>
      </c>
      <c r="W21" s="1286">
        <v>0</v>
      </c>
      <c r="X21" s="1056"/>
      <c r="Y21" s="1056"/>
      <c r="Z21" s="1056"/>
      <c r="AA21" s="1056"/>
      <c r="AB21" s="1056"/>
      <c r="AC21" s="1056"/>
    </row>
    <row r="22" spans="1:29" ht="15.75" customHeight="1" x14ac:dyDescent="0.25">
      <c r="A22" s="1117" t="s">
        <v>189</v>
      </c>
      <c r="B22" s="1056"/>
      <c r="C22" s="1285">
        <f>'4. Billing Det. for Def-Var'!C22/'4. Billing Det. for Def-Var'!$C$25</f>
        <v>8.9729105790948102E-2</v>
      </c>
      <c r="D22" s="1285">
        <v>0.1445389186260165</v>
      </c>
      <c r="E22" s="1285">
        <v>0</v>
      </c>
      <c r="F22" s="1285">
        <f>'4. Billing Det. for Def-Var'!I22/'4. Billing Det. for Def-Var'!$I$25</f>
        <v>8.0893689937851621E-2</v>
      </c>
      <c r="G22" s="1286">
        <f>IF('4. Billing Det. for Def-Var'!$C$32="NO",0,SUMIFS('3. Continuity Schedule'!$BT:$BT,'3. Continuity Schedule'!$D:$D,G$15)*C22)</f>
        <v>40835.360295427912</v>
      </c>
      <c r="H22" s="1286">
        <f>IF('4. Billing Det. for Def-Var'!$C$32="NO",0,SUMIFS('3. Continuity Schedule'!$BT:$BT,'3. Continuity Schedule'!$D:$D,H$15)*E22)</f>
        <v>0</v>
      </c>
      <c r="I22" s="1286">
        <f>IF('4. Billing Det. for Def-Var'!$C$32="NO",0,'3. Continuity Schedule'!$BT$23*F22)</f>
        <v>-621033.22508986399</v>
      </c>
      <c r="J22" s="1286">
        <v>0</v>
      </c>
      <c r="K22" s="1286"/>
      <c r="L22" s="1286">
        <f>IF('4. Billing Det. for Def-Var'!$C$32="NO",0,SUMIFS('3. Continuity Schedule'!$BT:$BT,'3. Continuity Schedule'!$D:$D,L$15)*C22)</f>
        <v>2058658.7204719542</v>
      </c>
      <c r="M22" s="1286">
        <f>IF('4. Billing Det. for Def-Var'!$C$32="NO",0,SUMIFS('3. Continuity Schedule'!$BT:$BT,'3. Continuity Schedule'!$D:$D,M$15)*C22)</f>
        <v>480591.92515193479</v>
      </c>
      <c r="N22" s="1286">
        <f>IF('4. Billing Det. for Def-Var'!$C$32="NO",0,SUMIFS('3. Continuity Schedule'!$BT:$BT,'3. Continuity Schedule'!$D:$D,N$15)*F22)</f>
        <v>1080856.9560121719</v>
      </c>
      <c r="O22" s="1286"/>
      <c r="P22" s="1286">
        <v>0</v>
      </c>
      <c r="Q22" s="1286">
        <f>IF('4. Billing Det. for Def-Var'!$C$32="NO",0,'3. Continuity Schedule'!$BT$32*'4. Billing Det. for Def-Var'!M22)</f>
        <v>-115424.89746556035</v>
      </c>
      <c r="R22" s="1286">
        <v>0</v>
      </c>
      <c r="S22" s="1286">
        <f>IF('4. Billing Det. for Def-Var'!$C$32="NO",0,'3. Continuity Schedule'!$BT$34*'4. Billing Det. for Def-Var'!O22)</f>
        <v>-1304.82537426154</v>
      </c>
      <c r="T22" s="1286">
        <v>0</v>
      </c>
      <c r="U22" s="1286">
        <v>0</v>
      </c>
      <c r="V22" s="1286">
        <v>0</v>
      </c>
      <c r="W22" s="1286">
        <v>0</v>
      </c>
      <c r="X22" s="1056"/>
      <c r="Y22" s="1056"/>
      <c r="Z22" s="1056"/>
      <c r="AA22" s="1056"/>
      <c r="AB22" s="1056"/>
      <c r="AC22" s="1056"/>
    </row>
    <row r="23" spans="1:29" ht="15.75" customHeight="1" x14ac:dyDescent="0.25">
      <c r="A23" s="1117" t="s">
        <v>194</v>
      </c>
      <c r="B23" s="1056"/>
      <c r="C23" s="1285">
        <f>'4. Billing Det. for Def-Var'!C23/'4. Billing Det. for Def-Var'!$C$25</f>
        <v>1.7412695602401745E-3</v>
      </c>
      <c r="D23" s="1285">
        <v>2.9582509980423338E-5</v>
      </c>
      <c r="E23" s="1285">
        <v>0</v>
      </c>
      <c r="F23" s="1285">
        <f>'4. Billing Det. for Def-Var'!I23/'4. Billing Det. for Def-Var'!$I$25</f>
        <v>1.7621420610376133E-3</v>
      </c>
      <c r="G23" s="1286">
        <f>IF('4. Billing Det. for Def-Var'!$C$32="NO",0,SUMIFS('3. Continuity Schedule'!$BT:$BT,'3. Continuity Schedule'!$D:$D,G$15)*C23)</f>
        <v>792.44487323356316</v>
      </c>
      <c r="H23" s="1286">
        <f>IF('4. Billing Det. for Def-Var'!$C$32="NO",0,SUMIFS('3. Continuity Schedule'!$BT:$BT,'3. Continuity Schedule'!$D:$D,H$15)*E23)</f>
        <v>0</v>
      </c>
      <c r="I23" s="1286">
        <f>IF('4. Billing Det. for Def-Var'!$C$32="NO",0,'3. Continuity Schedule'!$BT$23*F23)</f>
        <v>-13528.234007787836</v>
      </c>
      <c r="J23" s="1286">
        <v>0</v>
      </c>
      <c r="K23" s="1286"/>
      <c r="L23" s="1286">
        <f>IF('4. Billing Det. for Def-Var'!$C$32="NO",0,SUMIFS('3. Continuity Schedule'!$BT:$BT,'3. Continuity Schedule'!$D:$D,L$15)*C23)</f>
        <v>39950.02216150942</v>
      </c>
      <c r="M23" s="1286">
        <f>IF('4. Billing Det. for Def-Var'!$C$32="NO",0,SUMIFS('3. Continuity Schedule'!$BT:$BT,'3. Continuity Schedule'!$D:$D,M$15)*C23)</f>
        <v>9326.2947712191399</v>
      </c>
      <c r="N23" s="1286">
        <f>IF('4. Billing Det. for Def-Var'!$C$32="NO",0,SUMIFS('3. Continuity Schedule'!$BT:$BT,'3. Continuity Schedule'!$D:$D,N$15)*F23)</f>
        <v>23544.772226577858</v>
      </c>
      <c r="O23" s="1286"/>
      <c r="P23" s="1286">
        <v>0</v>
      </c>
      <c r="Q23" s="1286">
        <f>IF('4. Billing Det. for Def-Var'!$C$32="NO",0,'3. Continuity Schedule'!$BT$32*'4. Billing Det. for Def-Var'!M23)</f>
        <v>-23011.925760538928</v>
      </c>
      <c r="R23" s="1286">
        <v>0</v>
      </c>
      <c r="S23" s="1286">
        <f>IF('4. Billing Det. for Def-Var'!$C$32="NO",0,'3. Continuity Schedule'!$BT$34*'4. Billing Det. for Def-Var'!O23)</f>
        <v>-174.40735200525535</v>
      </c>
      <c r="T23" s="1286">
        <v>0</v>
      </c>
      <c r="U23" s="1286">
        <v>0</v>
      </c>
      <c r="V23" s="1286">
        <v>0</v>
      </c>
      <c r="W23" s="1286">
        <v>0</v>
      </c>
      <c r="X23" s="1056"/>
      <c r="Y23" s="1056"/>
      <c r="Z23" s="1056"/>
      <c r="AA23" s="1056"/>
      <c r="AB23" s="1056"/>
      <c r="AC23" s="1056"/>
    </row>
    <row r="24" spans="1:29" ht="15.75" customHeight="1" thickBot="1" x14ac:dyDescent="0.3">
      <c r="A24" s="1120" t="s">
        <v>202</v>
      </c>
      <c r="B24" s="1105"/>
      <c r="C24" s="1287">
        <f>'4. Billing Det. for Def-Var'!C24/'4. Billing Det. for Def-Var'!$C$25</f>
        <v>4.8046465845879172E-3</v>
      </c>
      <c r="D24" s="1287">
        <v>1.0175751610500956E-2</v>
      </c>
      <c r="E24" s="1287">
        <v>0</v>
      </c>
      <c r="F24" s="1287">
        <f>'4. Billing Det. for Def-Var'!I24/'4. Billing Det. for Def-Var'!$I$25</f>
        <v>4.8622396143853204E-3</v>
      </c>
      <c r="G24" s="1288">
        <f>IF('4. Billing Det. for Def-Var'!$C$32="NO",0,SUMIFS('3. Continuity Schedule'!$BT:$BT,'3. Continuity Schedule'!$D:$D,G$15)*C24)</f>
        <v>2186.5756116075931</v>
      </c>
      <c r="H24" s="1288">
        <f>IF('4. Billing Det. for Def-Var'!$C$32="NO",0,SUMIFS('3. Continuity Schedule'!$BT:$BT,'3. Continuity Schedule'!$D:$D,H$15)*E24)</f>
        <v>0</v>
      </c>
      <c r="I24" s="1288">
        <f>IF('4. Billing Det. for Def-Var'!$C$32="NO",0,'3. Continuity Schedule'!$BT$23*F24)</f>
        <v>-37328.156883451564</v>
      </c>
      <c r="J24" s="1288">
        <v>0</v>
      </c>
      <c r="K24" s="1288"/>
      <c r="L24" s="1288">
        <f>IF('4. Billing Det. for Def-Var'!$C$32="NO",0,SUMIFS('3. Continuity Schedule'!$BT:$BT,'3. Continuity Schedule'!$D:$D,L$15)*C24)</f>
        <v>110233.21254523777</v>
      </c>
      <c r="M24" s="1288">
        <f>IF('4. Billing Det. for Def-Var'!$C$32="NO",0,SUMIFS('3. Continuity Schedule'!$BT:$BT,'3. Continuity Schedule'!$D:$D,M$15)*C24)</f>
        <v>25733.838885472494</v>
      </c>
      <c r="N24" s="1288">
        <f>IF('4. Billing Det. for Def-Var'!$C$32="NO",0,SUMIFS('3. Continuity Schedule'!$BT:$BT,'3. Continuity Schedule'!$D:$D,N$15)*F24)</f>
        <v>64966.569247167252</v>
      </c>
      <c r="O24" s="1288"/>
      <c r="P24" s="1288">
        <v>0</v>
      </c>
      <c r="Q24" s="1288">
        <f>IF('4. Billing Det. for Def-Var'!$C$32="NO",0,'3. Continuity Schedule'!$BT$32*'4. Billing Det. for Def-Var'!M24)</f>
        <v>-90586.628390692917</v>
      </c>
      <c r="R24" s="1288">
        <v>0</v>
      </c>
      <c r="S24" s="1288">
        <f>IF('4. Billing Det. for Def-Var'!$C$32="NO",0,'3. Continuity Schedule'!$BT$34*'4. Billing Det. for Def-Var'!O24)</f>
        <v>-652.41268713077</v>
      </c>
      <c r="T24" s="1288">
        <v>0</v>
      </c>
      <c r="U24" s="1288">
        <v>0</v>
      </c>
      <c r="V24" s="1288">
        <v>0</v>
      </c>
      <c r="W24" s="1288">
        <v>0</v>
      </c>
      <c r="X24" s="1056"/>
      <c r="Y24" s="1056"/>
      <c r="Z24" s="1056"/>
      <c r="AA24" s="1056"/>
      <c r="AB24" s="1056"/>
      <c r="AC24" s="1056"/>
    </row>
    <row r="25" spans="1:29" x14ac:dyDescent="0.25">
      <c r="A25" s="1106"/>
      <c r="B25" s="1056"/>
      <c r="C25" s="1056"/>
      <c r="D25" s="1056"/>
      <c r="E25" s="1056"/>
      <c r="F25" s="1056"/>
      <c r="G25" s="1119"/>
      <c r="H25" s="1119"/>
      <c r="I25" s="1119"/>
      <c r="J25" s="1119"/>
      <c r="K25" s="1119"/>
      <c r="L25" s="1119"/>
      <c r="M25" s="1119"/>
      <c r="N25" s="1119"/>
      <c r="O25" s="1119"/>
      <c r="P25" s="1119"/>
      <c r="Q25" s="1119"/>
      <c r="R25" s="1119"/>
      <c r="S25" s="1119"/>
      <c r="T25" s="1119"/>
      <c r="U25" s="1119"/>
      <c r="V25" s="1119"/>
      <c r="W25" s="1119"/>
      <c r="X25" s="1056"/>
      <c r="Y25" s="1056"/>
      <c r="Z25" s="1056"/>
      <c r="AA25" s="1056"/>
      <c r="AB25" s="1056"/>
      <c r="AC25" s="1056"/>
    </row>
    <row r="26" spans="1:29" x14ac:dyDescent="0.25">
      <c r="A26" s="1106" t="s">
        <v>688</v>
      </c>
      <c r="B26" s="1056"/>
      <c r="C26" s="1121">
        <f>SUM($C$17:$C$24)</f>
        <v>0.99999999999999989</v>
      </c>
      <c r="D26" s="1121">
        <f>SUM($D$17:$D$24)</f>
        <v>1</v>
      </c>
      <c r="E26" s="1121">
        <f>SUM($E$17:$E$24)</f>
        <v>1</v>
      </c>
      <c r="F26" s="1121">
        <f>SUM($F$17:$F$24)</f>
        <v>1</v>
      </c>
      <c r="G26" s="1119">
        <f>SUM($G$17:$G$24)</f>
        <v>455096.03528833337</v>
      </c>
      <c r="H26" s="1119">
        <f>SUM($H$17:$H$24)</f>
        <v>-655289.97643398528</v>
      </c>
      <c r="I26" s="1119">
        <f>SUM($I$17:$I$24)</f>
        <v>-7677152.8850641707</v>
      </c>
      <c r="J26" s="1119">
        <f>SUM($J$17:$J$24)</f>
        <v>0</v>
      </c>
      <c r="K26" s="1119">
        <f>SUM($K$17:$K$24)</f>
        <v>0</v>
      </c>
      <c r="L26" s="1119">
        <f>SUM($L$17:$L$24)</f>
        <v>22943042.86580367</v>
      </c>
      <c r="M26" s="1119">
        <f>SUM($M$17:$M$24)</f>
        <v>5356031.5899238242</v>
      </c>
      <c r="N26" s="1119">
        <f>SUM($N$17:$N$24)</f>
        <v>13361449.537566707</v>
      </c>
      <c r="O26" s="1119">
        <f>SUM($O$17:$O$24)</f>
        <v>0</v>
      </c>
      <c r="P26" s="1119">
        <f>SUM($P$17:$P$24)</f>
        <v>0</v>
      </c>
      <c r="Q26" s="1119">
        <f>SUM($Q$17:$Q$24)</f>
        <v>-3652686.6286569727</v>
      </c>
      <c r="R26" s="1119">
        <f>SUM($R$17:$R$24)</f>
        <v>0</v>
      </c>
      <c r="S26" s="1119">
        <f>SUM($S$17:$S$24)</f>
        <v>-32297.657778750992</v>
      </c>
      <c r="T26" s="1119">
        <f>SUM($T$17:$T$24)</f>
        <v>0</v>
      </c>
      <c r="U26" s="1119">
        <f>SUM($U$17:$U$24)</f>
        <v>0</v>
      </c>
      <c r="V26" s="1119">
        <f>SUM($V$17:$V$24)</f>
        <v>0</v>
      </c>
      <c r="W26" s="1119">
        <f>SUM($W$17:$W$24)</f>
        <v>0</v>
      </c>
      <c r="X26" s="1056"/>
      <c r="Y26" s="1056"/>
      <c r="Z26" s="1056"/>
      <c r="AA26" s="1056"/>
      <c r="AB26" s="1056"/>
      <c r="AC26" s="1056"/>
    </row>
    <row r="27" spans="1:29" x14ac:dyDescent="0.25">
      <c r="A27" s="1106"/>
      <c r="B27" s="1056"/>
      <c r="C27" s="1056"/>
      <c r="D27" s="1056"/>
      <c r="E27" s="1056"/>
      <c r="F27" s="1056"/>
      <c r="G27" s="1056"/>
      <c r="H27" s="1056"/>
      <c r="I27" s="1056"/>
      <c r="J27" s="1056"/>
      <c r="K27" s="1056"/>
      <c r="L27" s="1056"/>
      <c r="M27" s="1056"/>
      <c r="N27" s="1056"/>
      <c r="O27" s="1056"/>
      <c r="P27" s="1056"/>
      <c r="Q27" s="1056"/>
      <c r="R27" s="1056"/>
      <c r="S27" s="1056"/>
      <c r="T27" s="1056"/>
      <c r="U27" s="1056"/>
      <c r="V27" s="1056"/>
      <c r="W27" s="1056"/>
      <c r="X27" s="1056"/>
      <c r="Y27" s="1056"/>
      <c r="Z27" s="1056"/>
      <c r="AA27" s="1056"/>
      <c r="AB27" s="1056"/>
      <c r="AC27" s="1056"/>
    </row>
    <row r="28" spans="1:29" x14ac:dyDescent="0.25">
      <c r="A28" s="1106"/>
      <c r="B28" s="1056"/>
      <c r="C28" s="1056"/>
      <c r="D28" s="1056"/>
      <c r="E28" s="1056"/>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row>
    <row r="29" spans="1:29" x14ac:dyDescent="0.25">
      <c r="A29" s="1122" t="s">
        <v>9735</v>
      </c>
      <c r="B29" s="1056"/>
      <c r="C29" s="1056"/>
      <c r="D29" s="1056"/>
      <c r="E29" s="1056"/>
      <c r="F29" s="1056"/>
      <c r="G29" s="1056"/>
      <c r="H29" s="1056"/>
      <c r="I29" s="1056"/>
      <c r="J29" s="1056"/>
      <c r="K29" s="1056"/>
      <c r="L29" s="1056"/>
      <c r="M29" s="1056"/>
      <c r="N29" s="1056"/>
      <c r="O29" s="1056"/>
      <c r="P29" s="1056"/>
      <c r="Q29" s="1056"/>
      <c r="R29" s="1056"/>
      <c r="S29" s="1056"/>
      <c r="T29" s="1056"/>
      <c r="U29" s="1056"/>
      <c r="V29" s="1056"/>
      <c r="W29" s="1056"/>
      <c r="X29" s="1056"/>
      <c r="Y29" s="1056"/>
      <c r="Z29" s="1056"/>
      <c r="AA29" s="1056"/>
      <c r="AB29" s="1056"/>
      <c r="AC29" s="1056"/>
    </row>
    <row r="30" spans="1:29" x14ac:dyDescent="0.25">
      <c r="A30" s="1106"/>
      <c r="B30" s="1056"/>
      <c r="C30" s="1056"/>
      <c r="D30" s="1056"/>
      <c r="E30" s="1056"/>
      <c r="F30" s="1056"/>
      <c r="G30" s="1056"/>
      <c r="H30" s="1056"/>
      <c r="I30" s="1056"/>
      <c r="J30" s="1056"/>
      <c r="K30" s="1056"/>
      <c r="L30" s="1056"/>
      <c r="M30" s="1056"/>
      <c r="N30" s="1056"/>
      <c r="O30" s="1056"/>
      <c r="P30" s="1056"/>
      <c r="Q30" s="1056"/>
      <c r="R30" s="1056"/>
      <c r="S30" s="1056"/>
      <c r="T30" s="1056"/>
      <c r="U30" s="1056"/>
      <c r="V30" s="1056"/>
      <c r="W30" s="1056"/>
      <c r="X30" s="1056"/>
      <c r="Y30" s="1056"/>
      <c r="Z30" s="1056"/>
      <c r="AA30" s="1056"/>
      <c r="AB30" s="1056"/>
      <c r="AC30" s="1056"/>
    </row>
    <row r="31" spans="1:29" x14ac:dyDescent="0.25">
      <c r="A31" s="1106"/>
      <c r="B31" s="1056"/>
      <c r="C31" s="1056"/>
      <c r="D31" s="1056"/>
      <c r="E31" s="1056"/>
      <c r="F31" s="1056"/>
      <c r="G31" s="1056"/>
      <c r="H31" s="1056"/>
      <c r="I31" s="1056"/>
      <c r="J31" s="1056"/>
      <c r="K31" s="1056"/>
      <c r="L31" s="1056"/>
      <c r="M31" s="1056"/>
      <c r="N31" s="1056"/>
      <c r="O31" s="1056"/>
      <c r="P31" s="1056"/>
      <c r="Q31" s="1056"/>
      <c r="R31" s="1056"/>
      <c r="S31" s="1056"/>
      <c r="T31" s="1056"/>
      <c r="U31" s="1056"/>
      <c r="V31" s="1056"/>
      <c r="W31" s="1056"/>
      <c r="X31" s="1056"/>
      <c r="Y31" s="1056"/>
      <c r="Z31" s="1056"/>
      <c r="AA31" s="1056"/>
      <c r="AB31" s="1056"/>
      <c r="AC31" s="1056"/>
    </row>
    <row r="32" spans="1:29" x14ac:dyDescent="0.25">
      <c r="A32" s="1106"/>
      <c r="B32" s="1056"/>
      <c r="C32" s="1056"/>
      <c r="D32" s="1056"/>
      <c r="E32" s="1056"/>
      <c r="F32" s="1056"/>
      <c r="G32" s="1056"/>
      <c r="H32" s="1056"/>
      <c r="I32" s="1056"/>
      <c r="J32" s="1056"/>
      <c r="K32" s="1056"/>
      <c r="L32" s="1056"/>
      <c r="M32" s="1056"/>
      <c r="N32" s="1056"/>
      <c r="O32" s="1056"/>
      <c r="P32" s="1056"/>
      <c r="Q32" s="1056"/>
      <c r="R32" s="1056"/>
      <c r="S32" s="1056"/>
      <c r="T32" s="1056"/>
      <c r="U32" s="1056"/>
      <c r="V32" s="1056"/>
      <c r="W32" s="1056"/>
      <c r="X32" s="1056"/>
      <c r="Y32" s="1056"/>
      <c r="Z32" s="1056"/>
      <c r="AA32" s="1056"/>
      <c r="AB32" s="1056"/>
      <c r="AC32" s="1056"/>
    </row>
    <row r="33" spans="1:29" x14ac:dyDescent="0.25">
      <c r="A33" s="1106"/>
      <c r="B33" s="1056"/>
      <c r="C33" s="1056"/>
      <c r="D33" s="1056"/>
      <c r="E33" s="1056"/>
      <c r="F33" s="1056"/>
      <c r="G33" s="1056"/>
      <c r="H33" s="1056"/>
      <c r="I33" s="1056"/>
      <c r="J33" s="1056"/>
      <c r="K33" s="1056"/>
      <c r="L33" s="1056"/>
      <c r="M33" s="1056"/>
      <c r="N33" s="1056"/>
      <c r="O33" s="1056"/>
      <c r="P33" s="1056"/>
      <c r="Q33" s="1056"/>
      <c r="R33" s="1056"/>
      <c r="S33" s="1056"/>
      <c r="T33" s="1056"/>
      <c r="U33" s="1056"/>
      <c r="V33" s="1056"/>
      <c r="W33" s="1056"/>
      <c r="X33" s="1056"/>
      <c r="Y33" s="1056"/>
      <c r="Z33" s="1056"/>
      <c r="AA33" s="1056"/>
      <c r="AB33" s="1056"/>
      <c r="AC33" s="1056"/>
    </row>
    <row r="34" spans="1:29" x14ac:dyDescent="0.25">
      <c r="A34" s="1106"/>
      <c r="B34" s="1056"/>
      <c r="C34" s="1056"/>
      <c r="D34" s="1056"/>
      <c r="E34" s="1056"/>
      <c r="F34" s="1056"/>
      <c r="G34" s="1056"/>
      <c r="H34" s="1056"/>
      <c r="I34" s="1056"/>
      <c r="J34" s="1056"/>
      <c r="K34" s="1056"/>
      <c r="L34" s="1056"/>
      <c r="M34" s="1056"/>
      <c r="N34" s="1056"/>
      <c r="O34" s="1056"/>
      <c r="P34" s="1056"/>
      <c r="Q34" s="1056"/>
      <c r="R34" s="1056"/>
      <c r="S34" s="1056"/>
      <c r="T34" s="1056"/>
      <c r="U34" s="1056"/>
      <c r="V34" s="1056"/>
      <c r="W34" s="1056"/>
      <c r="X34" s="1056"/>
      <c r="Y34" s="1056"/>
      <c r="Z34" s="1056"/>
      <c r="AA34" s="1056"/>
      <c r="AB34" s="1056"/>
      <c r="AC34" s="1056"/>
    </row>
    <row r="35" spans="1:29" x14ac:dyDescent="0.25">
      <c r="A35" s="1106"/>
      <c r="B35" s="1056"/>
      <c r="C35" s="1056"/>
      <c r="D35" s="1056"/>
      <c r="E35" s="1056"/>
      <c r="F35" s="1056"/>
      <c r="G35" s="1056"/>
      <c r="H35" s="1056"/>
      <c r="I35" s="1056"/>
      <c r="J35" s="1056"/>
      <c r="K35" s="1056"/>
      <c r="L35" s="1056"/>
      <c r="M35" s="1056"/>
      <c r="N35" s="1056"/>
      <c r="O35" s="1056"/>
      <c r="P35" s="1056"/>
      <c r="Q35" s="1056"/>
      <c r="R35" s="1056"/>
      <c r="S35" s="1056"/>
      <c r="T35" s="1056"/>
      <c r="U35" s="1056"/>
      <c r="V35" s="1056"/>
      <c r="W35" s="1056"/>
      <c r="X35" s="1056"/>
      <c r="Y35" s="1056"/>
      <c r="Z35" s="1056"/>
      <c r="AA35" s="1056"/>
      <c r="AB35" s="1056"/>
      <c r="AC35" s="1056"/>
    </row>
    <row r="36" spans="1:29" x14ac:dyDescent="0.25">
      <c r="A36" s="1106"/>
      <c r="B36" s="1056"/>
      <c r="C36" s="1056"/>
      <c r="D36" s="1056"/>
      <c r="E36" s="1056"/>
      <c r="F36" s="1056"/>
      <c r="G36" s="1056"/>
      <c r="H36" s="1056"/>
      <c r="I36" s="1056"/>
      <c r="J36" s="1056"/>
      <c r="K36" s="1056"/>
      <c r="L36" s="1056"/>
      <c r="M36" s="1056"/>
      <c r="N36" s="1056"/>
      <c r="O36" s="1056"/>
      <c r="P36" s="1056"/>
      <c r="Q36" s="1056"/>
      <c r="R36" s="1056"/>
      <c r="S36" s="1056"/>
      <c r="T36" s="1056"/>
      <c r="U36" s="1056"/>
      <c r="V36" s="1056"/>
      <c r="W36" s="1056"/>
      <c r="X36" s="1056"/>
      <c r="Y36" s="1056"/>
      <c r="Z36" s="1056"/>
      <c r="AA36" s="1056"/>
      <c r="AB36" s="1056"/>
      <c r="AC36" s="1056"/>
    </row>
    <row r="37" spans="1:29" x14ac:dyDescent="0.25">
      <c r="A37" s="1106"/>
      <c r="B37" s="1056"/>
      <c r="C37" s="1056"/>
      <c r="D37" s="1056"/>
      <c r="E37" s="1056"/>
      <c r="F37" s="1056"/>
      <c r="G37" s="1056"/>
      <c r="H37" s="1056"/>
      <c r="I37" s="1056"/>
      <c r="J37" s="1056"/>
      <c r="K37" s="1056"/>
      <c r="L37" s="1056"/>
      <c r="M37" s="1056"/>
      <c r="N37" s="1056"/>
      <c r="O37" s="1056"/>
      <c r="P37" s="1056"/>
      <c r="Q37" s="1056"/>
      <c r="R37" s="1056"/>
      <c r="S37" s="1056"/>
      <c r="T37" s="1056"/>
      <c r="U37" s="1056"/>
      <c r="V37" s="1056"/>
      <c r="W37" s="1056"/>
      <c r="X37" s="1056"/>
      <c r="Y37" s="1056"/>
      <c r="Z37" s="1056"/>
      <c r="AA37" s="1056"/>
      <c r="AB37" s="1056"/>
      <c r="AC37" s="1056"/>
    </row>
    <row r="38" spans="1:29" x14ac:dyDescent="0.25">
      <c r="A38" s="1106"/>
      <c r="B38" s="1056"/>
      <c r="C38" s="1056"/>
      <c r="D38" s="1056"/>
      <c r="E38" s="1056"/>
      <c r="F38" s="1056"/>
      <c r="G38" s="1056"/>
      <c r="H38" s="1056"/>
      <c r="I38" s="1056"/>
      <c r="J38" s="1056"/>
      <c r="K38" s="1056"/>
      <c r="L38" s="1056"/>
      <c r="M38" s="1056"/>
      <c r="N38" s="1056"/>
      <c r="O38" s="1056"/>
      <c r="P38" s="1056"/>
      <c r="Q38" s="1056"/>
      <c r="R38" s="1056"/>
      <c r="S38" s="1056"/>
      <c r="T38" s="1056"/>
      <c r="U38" s="1056"/>
      <c r="V38" s="1056"/>
      <c r="W38" s="1056"/>
      <c r="X38" s="1056"/>
      <c r="Y38" s="1056"/>
      <c r="Z38" s="1056"/>
      <c r="AA38" s="1056"/>
      <c r="AB38" s="1056"/>
      <c r="AC38" s="1056"/>
    </row>
    <row r="39" spans="1:29" x14ac:dyDescent="0.25">
      <c r="A39" s="1106"/>
      <c r="B39" s="1056"/>
      <c r="C39" s="1056"/>
      <c r="D39" s="1056"/>
      <c r="E39" s="1056"/>
      <c r="F39" s="1056"/>
      <c r="G39" s="1056"/>
      <c r="H39" s="1056"/>
      <c r="I39" s="1056"/>
      <c r="J39" s="1056"/>
      <c r="K39" s="1056"/>
      <c r="L39" s="1056"/>
      <c r="M39" s="1056"/>
      <c r="N39" s="1056"/>
      <c r="O39" s="1056"/>
      <c r="P39" s="1056"/>
      <c r="Q39" s="1056"/>
      <c r="R39" s="1056"/>
      <c r="S39" s="1056"/>
      <c r="T39" s="1056"/>
      <c r="U39" s="1056"/>
      <c r="V39" s="1056"/>
      <c r="W39" s="1056"/>
      <c r="X39" s="1056"/>
      <c r="Y39" s="1056"/>
      <c r="Z39" s="1056"/>
      <c r="AA39" s="1056"/>
      <c r="AB39" s="1056"/>
      <c r="AC39" s="1056"/>
    </row>
    <row r="40" spans="1:29" x14ac:dyDescent="0.25">
      <c r="A40" s="1106"/>
      <c r="B40" s="1056"/>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6"/>
      <c r="Y40" s="1056"/>
      <c r="Z40" s="1056"/>
      <c r="AA40" s="1056"/>
      <c r="AB40" s="1056"/>
      <c r="AC40" s="1056"/>
    </row>
    <row r="41" spans="1:29" x14ac:dyDescent="0.25">
      <c r="A41" s="1106"/>
      <c r="B41" s="1056"/>
      <c r="C41" s="1056"/>
      <c r="D41" s="1056"/>
      <c r="E41" s="1056"/>
      <c r="F41" s="1056"/>
      <c r="G41" s="1056"/>
      <c r="H41" s="1056"/>
      <c r="I41" s="1056"/>
      <c r="J41" s="1056"/>
      <c r="K41" s="1056"/>
      <c r="L41" s="1056"/>
      <c r="M41" s="1056"/>
      <c r="N41" s="1056"/>
      <c r="O41" s="1056"/>
      <c r="P41" s="1056"/>
      <c r="Q41" s="1056"/>
      <c r="R41" s="1056"/>
      <c r="S41" s="1056"/>
      <c r="T41" s="1056"/>
      <c r="U41" s="1056"/>
      <c r="V41" s="1056"/>
      <c r="W41" s="1056"/>
      <c r="X41" s="1056"/>
      <c r="Y41" s="1056"/>
      <c r="Z41" s="1056"/>
      <c r="AA41" s="1056"/>
      <c r="AB41" s="1056"/>
      <c r="AC41" s="1056"/>
    </row>
    <row r="42" spans="1:29" x14ac:dyDescent="0.25">
      <c r="A42" s="1106"/>
      <c r="B42" s="1056"/>
      <c r="C42" s="1056"/>
      <c r="D42" s="1056"/>
      <c r="E42" s="1056"/>
      <c r="F42" s="1056"/>
      <c r="G42" s="1056"/>
      <c r="H42" s="1056"/>
      <c r="I42" s="1056"/>
      <c r="J42" s="1056"/>
      <c r="K42" s="1056"/>
      <c r="L42" s="1056"/>
      <c r="M42" s="1056"/>
      <c r="N42" s="1056"/>
      <c r="O42" s="1056"/>
      <c r="P42" s="1056"/>
      <c r="Q42" s="1056"/>
      <c r="R42" s="1056"/>
      <c r="S42" s="1056"/>
      <c r="T42" s="1056"/>
      <c r="U42" s="1056"/>
      <c r="V42" s="1056"/>
      <c r="W42" s="1056"/>
      <c r="X42" s="1056"/>
      <c r="Y42" s="1056"/>
      <c r="Z42" s="1056"/>
      <c r="AA42" s="1056"/>
      <c r="AB42" s="1056"/>
      <c r="AC42" s="1056"/>
    </row>
    <row r="43" spans="1:29" x14ac:dyDescent="0.25">
      <c r="A43" s="1106"/>
      <c r="B43" s="1056"/>
      <c r="C43" s="1056"/>
      <c r="D43" s="1056"/>
      <c r="E43" s="1056"/>
      <c r="F43" s="1056"/>
      <c r="G43" s="1056"/>
      <c r="H43" s="1056"/>
      <c r="I43" s="1056"/>
      <c r="J43" s="1056"/>
      <c r="K43" s="1056"/>
      <c r="L43" s="1056"/>
      <c r="M43" s="1056"/>
      <c r="N43" s="1056"/>
      <c r="O43" s="1056"/>
      <c r="P43" s="1056"/>
      <c r="Q43" s="1056"/>
      <c r="R43" s="1056"/>
      <c r="S43" s="1056"/>
      <c r="T43" s="1056"/>
      <c r="U43" s="1056"/>
      <c r="V43" s="1056"/>
      <c r="W43" s="1056"/>
      <c r="X43" s="1056"/>
      <c r="Y43" s="1056"/>
      <c r="Z43" s="1056"/>
      <c r="AA43" s="1056"/>
      <c r="AB43" s="1056"/>
      <c r="AC43" s="1056"/>
    </row>
    <row r="44" spans="1:29" x14ac:dyDescent="0.25">
      <c r="A44" s="1106"/>
      <c r="B44" s="1056"/>
      <c r="C44" s="1056"/>
      <c r="D44" s="1056"/>
      <c r="E44" s="1056"/>
      <c r="F44" s="1056"/>
      <c r="G44" s="1056"/>
      <c r="H44" s="1056"/>
      <c r="I44" s="1056"/>
      <c r="J44" s="1056"/>
      <c r="K44" s="1056"/>
      <c r="L44" s="1056"/>
      <c r="M44" s="1056"/>
      <c r="N44" s="1056"/>
      <c r="O44" s="1056"/>
      <c r="P44" s="1056"/>
      <c r="Q44" s="1056"/>
      <c r="R44" s="1056"/>
      <c r="S44" s="1056"/>
      <c r="T44" s="1056"/>
      <c r="U44" s="1056"/>
      <c r="V44" s="1056"/>
      <c r="W44" s="1056"/>
      <c r="X44" s="1056"/>
      <c r="Y44" s="1056"/>
      <c r="Z44" s="1056"/>
      <c r="AA44" s="1056"/>
      <c r="AB44" s="1056"/>
      <c r="AC44" s="1056"/>
    </row>
    <row r="45" spans="1:29" x14ac:dyDescent="0.25">
      <c r="A45" s="1106"/>
      <c r="B45" s="1056"/>
      <c r="C45" s="1056"/>
      <c r="D45" s="1056"/>
      <c r="E45" s="1056"/>
      <c r="F45" s="1056"/>
      <c r="G45" s="1056"/>
      <c r="H45" s="1056"/>
      <c r="I45" s="1056"/>
      <c r="J45" s="1056"/>
      <c r="K45" s="1056"/>
      <c r="L45" s="1056"/>
      <c r="M45" s="1056"/>
      <c r="N45" s="1056"/>
      <c r="O45" s="1056"/>
      <c r="P45" s="1056"/>
      <c r="Q45" s="1056"/>
      <c r="R45" s="1056"/>
      <c r="S45" s="1056"/>
      <c r="T45" s="1056"/>
      <c r="U45" s="1056"/>
      <c r="V45" s="1056"/>
      <c r="W45" s="1056"/>
      <c r="X45" s="1056"/>
      <c r="Y45" s="1056"/>
      <c r="Z45" s="1056"/>
      <c r="AA45" s="1056"/>
      <c r="AB45" s="1056"/>
      <c r="AC45" s="1056"/>
    </row>
    <row r="46" spans="1:29" x14ac:dyDescent="0.25">
      <c r="A46" s="1106"/>
      <c r="B46" s="1056"/>
      <c r="C46" s="1056"/>
      <c r="D46" s="1056"/>
      <c r="E46" s="1056"/>
      <c r="F46" s="1056"/>
      <c r="G46" s="1056"/>
      <c r="H46" s="1056"/>
      <c r="I46" s="1056"/>
      <c r="J46" s="1056"/>
      <c r="K46" s="1056"/>
      <c r="L46" s="1056"/>
      <c r="M46" s="1056"/>
      <c r="N46" s="1056"/>
      <c r="O46" s="1056"/>
      <c r="P46" s="1056"/>
      <c r="Q46" s="1056"/>
      <c r="R46" s="1056"/>
      <c r="S46" s="1056"/>
      <c r="T46" s="1056"/>
      <c r="U46" s="1056"/>
      <c r="V46" s="1056"/>
      <c r="W46" s="1056"/>
      <c r="X46" s="1056"/>
      <c r="Y46" s="1056"/>
      <c r="Z46" s="1056"/>
      <c r="AA46" s="1056"/>
      <c r="AB46" s="1056"/>
      <c r="AC46" s="1056"/>
    </row>
    <row r="47" spans="1:29" x14ac:dyDescent="0.25">
      <c r="A47" s="1106"/>
      <c r="B47" s="1056"/>
      <c r="C47" s="1056"/>
      <c r="D47" s="1056"/>
      <c r="E47" s="1056"/>
      <c r="F47" s="1056"/>
      <c r="G47" s="1056"/>
      <c r="H47" s="1056"/>
      <c r="I47" s="1056"/>
      <c r="J47" s="1056"/>
      <c r="K47" s="1056"/>
      <c r="L47" s="1056"/>
      <c r="M47" s="1056"/>
      <c r="N47" s="1056"/>
      <c r="O47" s="1056"/>
      <c r="P47" s="1056"/>
      <c r="Q47" s="1056"/>
      <c r="R47" s="1056"/>
      <c r="S47" s="1056"/>
      <c r="T47" s="1056"/>
      <c r="U47" s="1056"/>
      <c r="V47" s="1056"/>
      <c r="W47" s="1056"/>
      <c r="X47" s="1056"/>
      <c r="Y47" s="1056"/>
      <c r="Z47" s="1056"/>
      <c r="AA47" s="1056"/>
      <c r="AB47" s="1056"/>
      <c r="AC47" s="1056"/>
    </row>
    <row r="48" spans="1:29" x14ac:dyDescent="0.25">
      <c r="A48" s="1106"/>
      <c r="B48" s="1056"/>
      <c r="C48" s="1056"/>
      <c r="D48" s="1056"/>
      <c r="E48" s="1056"/>
      <c r="F48" s="1056"/>
      <c r="G48" s="1056"/>
      <c r="H48" s="1056"/>
      <c r="I48" s="1056"/>
      <c r="J48" s="1056"/>
      <c r="K48" s="1056"/>
      <c r="L48" s="1056"/>
      <c r="M48" s="1056"/>
      <c r="N48" s="1056"/>
      <c r="O48" s="1056"/>
      <c r="P48" s="1056"/>
      <c r="Q48" s="1056"/>
      <c r="R48" s="1056"/>
      <c r="S48" s="1056"/>
      <c r="T48" s="1056"/>
      <c r="U48" s="1056"/>
      <c r="V48" s="1056"/>
      <c r="W48" s="1056"/>
      <c r="X48" s="1056"/>
      <c r="Y48" s="1056"/>
      <c r="Z48" s="1056"/>
      <c r="AA48" s="1056"/>
      <c r="AB48" s="1056"/>
      <c r="AC48" s="1056"/>
    </row>
    <row r="49" spans="1:29" x14ac:dyDescent="0.25">
      <c r="A49" s="1106"/>
      <c r="B49" s="1056"/>
      <c r="C49" s="1056"/>
      <c r="D49" s="1056"/>
      <c r="E49" s="1056"/>
      <c r="F49" s="1056"/>
      <c r="G49" s="1056"/>
      <c r="H49" s="1056"/>
      <c r="I49" s="1056"/>
      <c r="J49" s="1056"/>
      <c r="K49" s="1056"/>
      <c r="L49" s="1056"/>
      <c r="M49" s="1056"/>
      <c r="N49" s="1056"/>
      <c r="O49" s="1056"/>
      <c r="P49" s="1056"/>
      <c r="Q49" s="1056"/>
      <c r="R49" s="1056"/>
      <c r="S49" s="1056"/>
      <c r="T49" s="1056"/>
      <c r="U49" s="1056"/>
      <c r="V49" s="1056"/>
      <c r="W49" s="1056"/>
      <c r="X49" s="1056"/>
      <c r="Y49" s="1056"/>
      <c r="Z49" s="1056"/>
      <c r="AA49" s="1056"/>
      <c r="AB49" s="1056"/>
      <c r="AC49" s="1056"/>
    </row>
    <row r="50" spans="1:29" x14ac:dyDescent="0.25">
      <c r="A50" s="1106"/>
      <c r="B50" s="1056"/>
      <c r="C50" s="1056"/>
      <c r="D50" s="1056"/>
      <c r="E50" s="1056"/>
      <c r="F50" s="1056"/>
      <c r="G50" s="1056"/>
      <c r="H50" s="1056"/>
      <c r="I50" s="1056"/>
      <c r="J50" s="1056"/>
      <c r="K50" s="1056"/>
      <c r="L50" s="1056"/>
      <c r="M50" s="1056"/>
      <c r="N50" s="1056"/>
      <c r="O50" s="1056"/>
      <c r="P50" s="1056"/>
      <c r="Q50" s="1056"/>
      <c r="R50" s="1056"/>
      <c r="S50" s="1056"/>
      <c r="T50" s="1056"/>
      <c r="U50" s="1056"/>
      <c r="V50" s="1056"/>
      <c r="W50" s="1056"/>
      <c r="X50" s="1056"/>
      <c r="Y50" s="1056"/>
      <c r="Z50" s="1056"/>
      <c r="AA50" s="1056"/>
      <c r="AB50" s="1056"/>
      <c r="AC50" s="1056"/>
    </row>
    <row r="51" spans="1:29" x14ac:dyDescent="0.25">
      <c r="A51" s="1106"/>
      <c r="B51" s="1056"/>
      <c r="C51" s="1056"/>
      <c r="D51" s="1056"/>
      <c r="E51" s="1056"/>
      <c r="F51" s="1056"/>
      <c r="G51" s="1056"/>
      <c r="H51" s="1056"/>
      <c r="I51" s="1056"/>
      <c r="J51" s="1056"/>
      <c r="K51" s="1056"/>
      <c r="L51" s="1056"/>
      <c r="M51" s="1056"/>
      <c r="N51" s="1056"/>
      <c r="O51" s="1056"/>
      <c r="P51" s="1056"/>
      <c r="Q51" s="1056"/>
      <c r="R51" s="1056"/>
      <c r="S51" s="1056"/>
      <c r="T51" s="1056"/>
      <c r="U51" s="1056"/>
      <c r="V51" s="1056"/>
      <c r="W51" s="1056"/>
      <c r="X51" s="1056"/>
      <c r="Y51" s="1056"/>
      <c r="Z51" s="1056"/>
      <c r="AA51" s="1056"/>
      <c r="AB51" s="1056"/>
      <c r="AC51" s="1056"/>
    </row>
    <row r="52" spans="1:29" x14ac:dyDescent="0.25">
      <c r="A52" s="1106"/>
      <c r="B52" s="1056"/>
      <c r="C52" s="1056"/>
      <c r="D52" s="1056"/>
      <c r="E52" s="1056"/>
      <c r="F52" s="1056"/>
      <c r="G52" s="1056"/>
      <c r="H52" s="1056"/>
      <c r="I52" s="1056"/>
      <c r="J52" s="1056"/>
      <c r="K52" s="1056"/>
      <c r="L52" s="1056"/>
      <c r="M52" s="1056"/>
      <c r="N52" s="1056"/>
      <c r="O52" s="1056"/>
      <c r="P52" s="1056"/>
      <c r="Q52" s="1056"/>
      <c r="R52" s="1056"/>
      <c r="S52" s="1056"/>
      <c r="T52" s="1056"/>
      <c r="U52" s="1056"/>
      <c r="V52" s="1056"/>
      <c r="W52" s="1056"/>
      <c r="X52" s="1056"/>
      <c r="Y52" s="1056"/>
      <c r="Z52" s="1056"/>
      <c r="AA52" s="1056"/>
      <c r="AB52" s="1056"/>
      <c r="AC52" s="1056"/>
    </row>
    <row r="53" spans="1:29" x14ac:dyDescent="0.25">
      <c r="A53" s="1106"/>
      <c r="B53" s="1056"/>
      <c r="C53" s="1056"/>
      <c r="D53" s="1056"/>
      <c r="E53" s="1056"/>
      <c r="F53" s="1056"/>
      <c r="G53" s="1056"/>
      <c r="H53" s="1056"/>
      <c r="I53" s="1056"/>
      <c r="J53" s="1056"/>
      <c r="K53" s="1056"/>
      <c r="L53" s="1056"/>
      <c r="M53" s="1056"/>
      <c r="N53" s="1056"/>
      <c r="O53" s="1056"/>
      <c r="P53" s="1056"/>
      <c r="Q53" s="1056"/>
      <c r="R53" s="1056"/>
      <c r="S53" s="1056"/>
      <c r="T53" s="1056"/>
      <c r="U53" s="1056"/>
      <c r="V53" s="1056"/>
      <c r="W53" s="1056"/>
      <c r="X53" s="1056"/>
      <c r="Y53" s="1056"/>
      <c r="Z53" s="1056"/>
      <c r="AA53" s="1056"/>
      <c r="AB53" s="1056"/>
      <c r="AC53" s="1056"/>
    </row>
    <row r="54" spans="1:29" x14ac:dyDescent="0.25">
      <c r="A54" s="1106"/>
      <c r="B54" s="1056"/>
      <c r="C54" s="1056"/>
      <c r="D54" s="1056"/>
      <c r="E54" s="1056"/>
      <c r="F54" s="1056"/>
      <c r="G54" s="1056"/>
      <c r="H54" s="1056"/>
      <c r="I54" s="1056"/>
      <c r="J54" s="1056"/>
      <c r="K54" s="1056"/>
      <c r="L54" s="1056"/>
      <c r="M54" s="1056"/>
      <c r="N54" s="1056"/>
      <c r="O54" s="1056"/>
      <c r="P54" s="1056"/>
      <c r="Q54" s="1056"/>
      <c r="R54" s="1056"/>
      <c r="S54" s="1056"/>
      <c r="T54" s="1056"/>
      <c r="U54" s="1056"/>
      <c r="V54" s="1056"/>
      <c r="W54" s="1056"/>
      <c r="X54" s="1056"/>
      <c r="Y54" s="1056"/>
      <c r="Z54" s="1056"/>
      <c r="AA54" s="1056"/>
      <c r="AB54" s="1056"/>
      <c r="AC54" s="1056"/>
    </row>
    <row r="55" spans="1:29" x14ac:dyDescent="0.25">
      <c r="A55" s="1106"/>
      <c r="B55" s="1056"/>
      <c r="C55" s="1056"/>
      <c r="D55" s="1056"/>
      <c r="E55" s="1056"/>
      <c r="F55" s="1056"/>
      <c r="G55" s="1056"/>
      <c r="H55" s="1056"/>
      <c r="I55" s="1056"/>
      <c r="J55" s="1056"/>
      <c r="K55" s="1056"/>
      <c r="L55" s="1056"/>
      <c r="M55" s="1056"/>
      <c r="N55" s="1056"/>
      <c r="O55" s="1056"/>
      <c r="P55" s="1056"/>
      <c r="Q55" s="1056"/>
      <c r="R55" s="1056"/>
      <c r="S55" s="1056"/>
      <c r="T55" s="1056"/>
      <c r="U55" s="1056"/>
      <c r="V55" s="1056"/>
      <c r="W55" s="1056"/>
      <c r="X55" s="1056"/>
      <c r="Y55" s="1056"/>
      <c r="Z55" s="1056"/>
      <c r="AA55" s="1056"/>
      <c r="AB55" s="1056"/>
      <c r="AC55" s="1056"/>
    </row>
    <row r="56" spans="1:29" x14ac:dyDescent="0.25">
      <c r="A56" s="1106"/>
      <c r="B56" s="1056"/>
      <c r="C56" s="1056"/>
      <c r="D56" s="1056"/>
      <c r="E56" s="1056"/>
      <c r="F56" s="1056"/>
      <c r="G56" s="1056"/>
      <c r="H56" s="1056"/>
      <c r="I56" s="1056"/>
      <c r="J56" s="1056"/>
      <c r="K56" s="1056"/>
      <c r="L56" s="1056"/>
      <c r="M56" s="1056"/>
      <c r="N56" s="1056"/>
      <c r="O56" s="1056"/>
      <c r="P56" s="1056"/>
      <c r="Q56" s="1056"/>
      <c r="R56" s="1056"/>
      <c r="S56" s="1056"/>
      <c r="T56" s="1056"/>
      <c r="U56" s="1056"/>
      <c r="V56" s="1056"/>
      <c r="W56" s="1056"/>
      <c r="X56" s="1056"/>
      <c r="Y56" s="1056"/>
      <c r="Z56" s="1056"/>
      <c r="AA56" s="1056"/>
      <c r="AB56" s="1056"/>
      <c r="AC56" s="1056"/>
    </row>
    <row r="57" spans="1:29" x14ac:dyDescent="0.25">
      <c r="A57" s="1106"/>
      <c r="B57" s="1056"/>
      <c r="C57" s="1056"/>
      <c r="D57" s="1056"/>
      <c r="E57" s="1056"/>
      <c r="F57" s="1056"/>
      <c r="G57" s="1056"/>
      <c r="H57" s="1056"/>
      <c r="I57" s="1056"/>
      <c r="J57" s="1056"/>
      <c r="K57" s="1056"/>
      <c r="L57" s="1056"/>
      <c r="M57" s="1056"/>
      <c r="N57" s="1056"/>
      <c r="O57" s="1056"/>
      <c r="P57" s="1056"/>
      <c r="Q57" s="1056"/>
      <c r="R57" s="1056"/>
      <c r="S57" s="1056"/>
      <c r="T57" s="1056"/>
      <c r="U57" s="1056"/>
      <c r="V57" s="1056"/>
      <c r="W57" s="1056"/>
      <c r="X57" s="1056"/>
      <c r="Y57" s="1056"/>
      <c r="Z57" s="1056"/>
      <c r="AA57" s="1056"/>
      <c r="AB57" s="1056"/>
      <c r="AC57" s="1056"/>
    </row>
    <row r="58" spans="1:29" x14ac:dyDescent="0.25">
      <c r="A58" s="1106"/>
      <c r="B58" s="1056"/>
      <c r="C58" s="1056"/>
      <c r="D58" s="1056"/>
      <c r="E58" s="1056"/>
      <c r="F58" s="1056"/>
      <c r="G58" s="1056"/>
      <c r="H58" s="1056"/>
      <c r="I58" s="1056"/>
      <c r="J58" s="1056"/>
      <c r="K58" s="1056"/>
      <c r="L58" s="1056"/>
      <c r="M58" s="1056"/>
      <c r="N58" s="1056"/>
      <c r="O58" s="1056"/>
      <c r="P58" s="1056"/>
      <c r="Q58" s="1056"/>
      <c r="R58" s="1056"/>
      <c r="S58" s="1056"/>
      <c r="T58" s="1056"/>
      <c r="U58" s="1056"/>
      <c r="V58" s="1056"/>
      <c r="W58" s="1056"/>
      <c r="X58" s="1056"/>
      <c r="Y58" s="1056"/>
      <c r="Z58" s="1056"/>
      <c r="AA58" s="1056"/>
      <c r="AB58" s="1056"/>
      <c r="AC58" s="1056"/>
    </row>
    <row r="59" spans="1:29" x14ac:dyDescent="0.25">
      <c r="A59" s="1106"/>
      <c r="B59" s="1056"/>
      <c r="C59" s="1056"/>
      <c r="D59" s="1056"/>
      <c r="E59" s="1056"/>
      <c r="F59" s="1056"/>
      <c r="G59" s="1056"/>
      <c r="H59" s="1056"/>
      <c r="I59" s="1056"/>
      <c r="J59" s="1056"/>
      <c r="K59" s="1056"/>
      <c r="L59" s="1056"/>
      <c r="M59" s="1056"/>
      <c r="N59" s="1056"/>
      <c r="O59" s="1056"/>
      <c r="P59" s="1056"/>
      <c r="Q59" s="1056"/>
      <c r="R59" s="1056"/>
      <c r="S59" s="1056"/>
      <c r="T59" s="1056"/>
      <c r="U59" s="1056"/>
      <c r="V59" s="1056"/>
      <c r="W59" s="1056"/>
      <c r="X59" s="1056"/>
      <c r="Y59" s="1056"/>
      <c r="Z59" s="1056"/>
      <c r="AA59" s="1056"/>
      <c r="AB59" s="1056"/>
      <c r="AC59" s="1056"/>
    </row>
    <row r="60" spans="1:29" x14ac:dyDescent="0.25">
      <c r="A60" s="1106"/>
      <c r="B60" s="1056"/>
      <c r="C60" s="1056"/>
      <c r="D60" s="1056"/>
      <c r="E60" s="1056"/>
      <c r="F60" s="1056"/>
      <c r="G60" s="1056"/>
      <c r="H60" s="1056"/>
      <c r="I60" s="1056"/>
      <c r="J60" s="1056"/>
      <c r="K60" s="1056"/>
      <c r="L60" s="1056"/>
      <c r="M60" s="1056"/>
      <c r="N60" s="1056"/>
      <c r="O60" s="1056"/>
      <c r="P60" s="1056"/>
      <c r="Q60" s="1056"/>
      <c r="R60" s="1056"/>
      <c r="S60" s="1056"/>
      <c r="T60" s="1056"/>
      <c r="U60" s="1056"/>
      <c r="V60" s="1056"/>
      <c r="W60" s="1056"/>
      <c r="X60" s="1056"/>
      <c r="Y60" s="1056"/>
      <c r="Z60" s="1056"/>
      <c r="AA60" s="1056"/>
      <c r="AB60" s="1056"/>
      <c r="AC60" s="1056"/>
    </row>
    <row r="61" spans="1:29" x14ac:dyDescent="0.25">
      <c r="A61" s="1106"/>
      <c r="B61" s="1056"/>
      <c r="C61" s="1056"/>
      <c r="D61" s="1056"/>
      <c r="E61" s="1056"/>
      <c r="F61" s="1056"/>
      <c r="G61" s="1056"/>
      <c r="H61" s="1056"/>
      <c r="I61" s="1056"/>
      <c r="J61" s="1056"/>
      <c r="K61" s="1056"/>
      <c r="L61" s="1056"/>
      <c r="M61" s="1056"/>
      <c r="N61" s="1056"/>
      <c r="O61" s="1056"/>
      <c r="P61" s="1056"/>
      <c r="Q61" s="1056"/>
      <c r="R61" s="1056"/>
      <c r="S61" s="1056"/>
      <c r="T61" s="1056"/>
      <c r="U61" s="1056"/>
      <c r="V61" s="1056"/>
      <c r="W61" s="1056"/>
      <c r="X61" s="1056"/>
      <c r="Y61" s="1056"/>
      <c r="Z61" s="1056"/>
      <c r="AA61" s="1056"/>
      <c r="AB61" s="1056"/>
      <c r="AC61" s="1056"/>
    </row>
    <row r="62" spans="1:29" x14ac:dyDescent="0.25">
      <c r="A62" s="1106"/>
      <c r="B62" s="1056"/>
      <c r="C62" s="1056"/>
      <c r="D62" s="1056"/>
      <c r="E62" s="1056"/>
      <c r="F62" s="1056"/>
      <c r="G62" s="1056"/>
      <c r="H62" s="1056"/>
      <c r="I62" s="1056"/>
      <c r="J62" s="1056"/>
      <c r="K62" s="1056"/>
      <c r="L62" s="1056"/>
      <c r="M62" s="1056"/>
      <c r="N62" s="1056"/>
      <c r="O62" s="1056"/>
      <c r="P62" s="1056"/>
      <c r="Q62" s="1056"/>
      <c r="R62" s="1056"/>
      <c r="S62" s="1056"/>
      <c r="T62" s="1056"/>
      <c r="U62" s="1056"/>
      <c r="V62" s="1056"/>
      <c r="W62" s="1056"/>
      <c r="X62" s="1056"/>
      <c r="Y62" s="1056"/>
      <c r="Z62" s="1056"/>
      <c r="AA62" s="1056"/>
      <c r="AB62" s="1056"/>
      <c r="AC62" s="1056"/>
    </row>
    <row r="63" spans="1:29" x14ac:dyDescent="0.25">
      <c r="A63" s="1106"/>
      <c r="B63" s="1056"/>
      <c r="C63" s="1056"/>
      <c r="D63" s="1056"/>
      <c r="E63" s="1056"/>
      <c r="F63" s="1056"/>
      <c r="G63" s="1056"/>
      <c r="H63" s="1056"/>
      <c r="I63" s="1056"/>
      <c r="J63" s="1056"/>
      <c r="K63" s="1056"/>
      <c r="L63" s="1056"/>
      <c r="M63" s="1056"/>
      <c r="N63" s="1056"/>
      <c r="O63" s="1056"/>
      <c r="P63" s="1056"/>
      <c r="Q63" s="1056"/>
      <c r="R63" s="1056"/>
      <c r="S63" s="1056"/>
      <c r="T63" s="1056"/>
      <c r="U63" s="1056"/>
      <c r="V63" s="1056"/>
      <c r="W63" s="1056"/>
      <c r="X63" s="1056"/>
      <c r="Y63" s="1056"/>
      <c r="Z63" s="1056"/>
      <c r="AA63" s="1056"/>
      <c r="AB63" s="1056"/>
      <c r="AC63" s="1056"/>
    </row>
    <row r="64" spans="1:29" x14ac:dyDescent="0.25">
      <c r="A64" s="1106"/>
      <c r="B64" s="1056"/>
      <c r="C64" s="1056"/>
      <c r="D64" s="1056"/>
      <c r="E64" s="1056"/>
      <c r="F64" s="1056"/>
      <c r="G64" s="1056"/>
      <c r="H64" s="1056"/>
      <c r="I64" s="1056"/>
      <c r="J64" s="1056"/>
      <c r="K64" s="1056"/>
      <c r="L64" s="1056"/>
      <c r="M64" s="1056"/>
      <c r="N64" s="1056"/>
      <c r="O64" s="1056"/>
      <c r="P64" s="1056"/>
      <c r="Q64" s="1056"/>
      <c r="R64" s="1056"/>
      <c r="S64" s="1056"/>
      <c r="T64" s="1056"/>
      <c r="U64" s="1056"/>
      <c r="V64" s="1056"/>
      <c r="W64" s="1056"/>
      <c r="X64" s="1056"/>
      <c r="Y64" s="1056"/>
      <c r="Z64" s="1056"/>
      <c r="AA64" s="1056"/>
      <c r="AB64" s="1056"/>
      <c r="AC64" s="1056"/>
    </row>
    <row r="65" spans="1:29" x14ac:dyDescent="0.25">
      <c r="A65" s="1106"/>
      <c r="B65" s="1056"/>
      <c r="C65" s="1056"/>
      <c r="D65" s="1056"/>
      <c r="E65" s="1056"/>
      <c r="F65" s="1056"/>
      <c r="G65" s="1056"/>
      <c r="H65" s="1056"/>
      <c r="I65" s="1056"/>
      <c r="J65" s="1056"/>
      <c r="K65" s="1056"/>
      <c r="L65" s="1056"/>
      <c r="M65" s="1056"/>
      <c r="N65" s="1056"/>
      <c r="O65" s="1056"/>
      <c r="P65" s="1056"/>
      <c r="Q65" s="1056"/>
      <c r="R65" s="1056"/>
      <c r="S65" s="1056"/>
      <c r="T65" s="1056"/>
      <c r="U65" s="1056"/>
      <c r="V65" s="1056"/>
      <c r="W65" s="1056"/>
      <c r="X65" s="1056"/>
      <c r="Y65" s="1056"/>
      <c r="Z65" s="1056"/>
      <c r="AA65" s="1056"/>
      <c r="AB65" s="1056"/>
      <c r="AC65" s="1056"/>
    </row>
    <row r="66" spans="1:29" x14ac:dyDescent="0.25">
      <c r="A66" s="1106"/>
      <c r="B66" s="1056"/>
      <c r="C66" s="1056"/>
      <c r="D66" s="1056"/>
      <c r="E66" s="1056"/>
      <c r="F66" s="1056"/>
      <c r="G66" s="1056"/>
      <c r="H66" s="1056"/>
      <c r="I66" s="1056"/>
      <c r="J66" s="1056"/>
      <c r="K66" s="1056"/>
      <c r="L66" s="1056"/>
      <c r="M66" s="1056"/>
      <c r="N66" s="1056"/>
      <c r="O66" s="1056"/>
      <c r="P66" s="1056"/>
      <c r="Q66" s="1056"/>
      <c r="R66" s="1056"/>
      <c r="S66" s="1056"/>
      <c r="T66" s="1056"/>
      <c r="U66" s="1056"/>
      <c r="V66" s="1056"/>
      <c r="W66" s="1056"/>
      <c r="X66" s="1056"/>
      <c r="Y66" s="1056"/>
      <c r="Z66" s="1056"/>
      <c r="AA66" s="1056"/>
      <c r="AB66" s="1056"/>
      <c r="AC66" s="1056"/>
    </row>
    <row r="67" spans="1:29" x14ac:dyDescent="0.25">
      <c r="A67" s="1106"/>
      <c r="B67" s="1056"/>
      <c r="C67" s="1056"/>
      <c r="D67" s="1056"/>
      <c r="E67" s="1056"/>
      <c r="F67" s="1056"/>
      <c r="G67" s="1056"/>
      <c r="H67" s="1056"/>
      <c r="I67" s="1056"/>
      <c r="J67" s="1056"/>
      <c r="K67" s="1056"/>
      <c r="L67" s="1056"/>
      <c r="M67" s="1056"/>
      <c r="N67" s="1056"/>
      <c r="O67" s="1056"/>
      <c r="P67" s="1056"/>
      <c r="Q67" s="1056"/>
      <c r="R67" s="1056"/>
      <c r="S67" s="1056"/>
      <c r="T67" s="1056"/>
      <c r="U67" s="1056"/>
      <c r="V67" s="1056"/>
      <c r="W67" s="1056"/>
      <c r="X67" s="1056"/>
      <c r="Y67" s="1056"/>
      <c r="Z67" s="1056"/>
      <c r="AA67" s="1056"/>
      <c r="AB67" s="1056"/>
      <c r="AC67" s="1056"/>
    </row>
    <row r="68" spans="1:29" x14ac:dyDescent="0.25">
      <c r="A68" s="1106"/>
      <c r="B68" s="1056"/>
      <c r="C68" s="1056"/>
      <c r="D68" s="1056"/>
      <c r="E68" s="1056"/>
      <c r="F68" s="1056"/>
      <c r="G68" s="1056"/>
      <c r="H68" s="1056"/>
      <c r="I68" s="1056"/>
      <c r="J68" s="1056"/>
      <c r="K68" s="1056"/>
      <c r="L68" s="1056"/>
      <c r="M68" s="1056"/>
      <c r="N68" s="1056"/>
      <c r="O68" s="1056"/>
      <c r="P68" s="1056"/>
      <c r="Q68" s="1056"/>
      <c r="R68" s="1056"/>
      <c r="S68" s="1056"/>
      <c r="T68" s="1056"/>
      <c r="U68" s="1056"/>
      <c r="V68" s="1056"/>
      <c r="W68" s="1056"/>
      <c r="X68" s="1056"/>
      <c r="Y68" s="1056"/>
      <c r="Z68" s="1056"/>
      <c r="AA68" s="1056"/>
      <c r="AB68" s="1056"/>
      <c r="AC68" s="1056"/>
    </row>
    <row r="69" spans="1:29" x14ac:dyDescent="0.25">
      <c r="A69" s="1106"/>
      <c r="B69" s="1056"/>
      <c r="C69" s="1056"/>
      <c r="D69" s="1056"/>
      <c r="E69" s="1056"/>
      <c r="F69" s="1056"/>
      <c r="G69" s="1056"/>
      <c r="H69" s="1056"/>
      <c r="I69" s="1056"/>
      <c r="J69" s="1056"/>
      <c r="K69" s="1056"/>
      <c r="L69" s="1056"/>
      <c r="M69" s="1056"/>
      <c r="N69" s="1056"/>
      <c r="O69" s="1056"/>
      <c r="P69" s="1056"/>
      <c r="Q69" s="1056"/>
      <c r="R69" s="1056"/>
      <c r="S69" s="1056"/>
      <c r="T69" s="1056"/>
      <c r="U69" s="1056"/>
      <c r="V69" s="1056"/>
      <c r="W69" s="1056"/>
      <c r="X69" s="1056"/>
      <c r="Y69" s="1056"/>
      <c r="Z69" s="1056"/>
      <c r="AA69" s="1056"/>
      <c r="AB69" s="1056"/>
      <c r="AC69" s="1056"/>
    </row>
    <row r="70" spans="1:29" x14ac:dyDescent="0.25">
      <c r="A70" s="1106"/>
      <c r="B70" s="1056"/>
      <c r="C70" s="1056"/>
      <c r="D70" s="1056"/>
      <c r="E70" s="1056"/>
      <c r="F70" s="1056"/>
      <c r="G70" s="1056"/>
      <c r="H70" s="1056"/>
      <c r="I70" s="1056"/>
      <c r="J70" s="1056"/>
      <c r="K70" s="1056"/>
      <c r="L70" s="1056"/>
      <c r="M70" s="1056"/>
      <c r="N70" s="1056"/>
      <c r="O70" s="1056"/>
      <c r="P70" s="1056"/>
      <c r="Q70" s="1056"/>
      <c r="R70" s="1056"/>
      <c r="S70" s="1056"/>
      <c r="T70" s="1056"/>
      <c r="U70" s="1056"/>
      <c r="V70" s="1056"/>
      <c r="W70" s="1056"/>
      <c r="X70" s="1056"/>
      <c r="Y70" s="1056"/>
      <c r="Z70" s="1056"/>
      <c r="AA70" s="1056"/>
      <c r="AB70" s="1056"/>
      <c r="AC70" s="1056"/>
    </row>
    <row r="71" spans="1:29" x14ac:dyDescent="0.25">
      <c r="A71" s="1106"/>
      <c r="B71" s="1056"/>
      <c r="C71" s="1056"/>
      <c r="D71" s="1056"/>
      <c r="E71" s="1056"/>
      <c r="F71" s="1056"/>
      <c r="G71" s="1056"/>
      <c r="H71" s="1056"/>
      <c r="I71" s="1056"/>
      <c r="J71" s="1056"/>
      <c r="K71" s="1056"/>
      <c r="L71" s="1056"/>
      <c r="M71" s="1056"/>
      <c r="N71" s="1056"/>
      <c r="O71" s="1056"/>
      <c r="P71" s="1056"/>
      <c r="Q71" s="1056"/>
      <c r="R71" s="1056"/>
      <c r="S71" s="1056"/>
      <c r="T71" s="1056"/>
      <c r="U71" s="1056"/>
      <c r="V71" s="1056"/>
      <c r="W71" s="1056"/>
      <c r="X71" s="1056"/>
      <c r="Y71" s="1056"/>
      <c r="Z71" s="1056"/>
      <c r="AA71" s="1056"/>
      <c r="AB71" s="1056"/>
      <c r="AC71" s="1056"/>
    </row>
    <row r="72" spans="1:29" x14ac:dyDescent="0.25">
      <c r="A72" s="1106"/>
      <c r="B72" s="1056"/>
      <c r="C72" s="1056"/>
      <c r="D72" s="1056"/>
      <c r="E72" s="1056"/>
      <c r="F72" s="1056"/>
      <c r="G72" s="1056"/>
      <c r="H72" s="1056"/>
      <c r="I72" s="1056"/>
      <c r="J72" s="1056"/>
      <c r="K72" s="1056"/>
      <c r="L72" s="1056"/>
      <c r="M72" s="1056"/>
      <c r="N72" s="1056"/>
      <c r="O72" s="1056"/>
      <c r="P72" s="1056"/>
      <c r="Q72" s="1056"/>
      <c r="R72" s="1056"/>
      <c r="S72" s="1056"/>
      <c r="T72" s="1056"/>
      <c r="U72" s="1056"/>
      <c r="V72" s="1056"/>
      <c r="W72" s="1056"/>
      <c r="X72" s="1056"/>
      <c r="Y72" s="1056"/>
      <c r="Z72" s="1056"/>
      <c r="AA72" s="1056"/>
      <c r="AB72" s="1056"/>
      <c r="AC72" s="1056"/>
    </row>
    <row r="73" spans="1:29" x14ac:dyDescent="0.25">
      <c r="A73" s="1106"/>
      <c r="B73" s="1056"/>
      <c r="C73" s="1056"/>
      <c r="D73" s="1056"/>
      <c r="E73" s="1056"/>
      <c r="F73" s="1056"/>
      <c r="G73" s="1056"/>
      <c r="H73" s="1056"/>
      <c r="I73" s="1056"/>
      <c r="J73" s="1056"/>
      <c r="K73" s="1056"/>
      <c r="L73" s="1056"/>
      <c r="M73" s="1056"/>
      <c r="N73" s="1056"/>
      <c r="O73" s="1056"/>
      <c r="P73" s="1056"/>
      <c r="Q73" s="1056"/>
      <c r="R73" s="1056"/>
      <c r="S73" s="1056"/>
      <c r="T73" s="1056"/>
      <c r="U73" s="1056"/>
      <c r="V73" s="1056"/>
      <c r="W73" s="1056"/>
      <c r="X73" s="1056"/>
      <c r="Y73" s="1056"/>
      <c r="Z73" s="1056"/>
      <c r="AA73" s="1056"/>
      <c r="AB73" s="1056"/>
      <c r="AC73" s="1056"/>
    </row>
    <row r="74" spans="1:29" x14ac:dyDescent="0.25">
      <c r="A74" s="1106"/>
      <c r="B74" s="1056"/>
      <c r="C74" s="1056"/>
      <c r="D74" s="1056"/>
      <c r="E74" s="1056"/>
      <c r="F74" s="1056"/>
      <c r="G74" s="1056"/>
      <c r="H74" s="1056"/>
      <c r="I74" s="1056"/>
      <c r="J74" s="1056"/>
      <c r="K74" s="1056"/>
      <c r="L74" s="1056"/>
      <c r="M74" s="1056"/>
      <c r="N74" s="1056"/>
      <c r="O74" s="1056"/>
      <c r="P74" s="1056"/>
      <c r="Q74" s="1056"/>
      <c r="R74" s="1056"/>
      <c r="S74" s="1056"/>
      <c r="T74" s="1056"/>
      <c r="U74" s="1056"/>
      <c r="V74" s="1056"/>
      <c r="W74" s="1056"/>
      <c r="X74" s="1056"/>
      <c r="Y74" s="1056"/>
      <c r="Z74" s="1056"/>
      <c r="AA74" s="1056"/>
      <c r="AB74" s="1056"/>
      <c r="AC74" s="1056"/>
    </row>
    <row r="75" spans="1:29" x14ac:dyDescent="0.25">
      <c r="A75" s="1106"/>
      <c r="B75" s="1056"/>
      <c r="C75" s="1056"/>
      <c r="D75" s="1056"/>
      <c r="E75" s="1056"/>
      <c r="F75" s="1056"/>
      <c r="G75" s="1056"/>
      <c r="H75" s="1056"/>
      <c r="I75" s="1056"/>
      <c r="J75" s="1056"/>
      <c r="K75" s="1056"/>
      <c r="L75" s="1056"/>
      <c r="M75" s="1056"/>
      <c r="N75" s="1056"/>
      <c r="O75" s="1056"/>
      <c r="P75" s="1056"/>
      <c r="Q75" s="1056"/>
      <c r="R75" s="1056"/>
      <c r="S75" s="1056"/>
      <c r="T75" s="1056"/>
      <c r="U75" s="1056"/>
      <c r="V75" s="1056"/>
      <c r="W75" s="1056"/>
      <c r="X75" s="1056"/>
      <c r="Y75" s="1056"/>
      <c r="Z75" s="1056"/>
      <c r="AA75" s="1056"/>
      <c r="AB75" s="1056"/>
      <c r="AC75" s="1056"/>
    </row>
    <row r="76" spans="1:29" x14ac:dyDescent="0.25">
      <c r="A76" s="1106"/>
      <c r="B76" s="1056"/>
      <c r="C76" s="1056"/>
      <c r="D76" s="1056"/>
      <c r="E76" s="1056"/>
      <c r="F76" s="1056"/>
      <c r="G76" s="1056"/>
      <c r="H76" s="1056"/>
      <c r="I76" s="1056"/>
      <c r="J76" s="1056"/>
      <c r="K76" s="1056"/>
      <c r="L76" s="1056"/>
      <c r="M76" s="1056"/>
      <c r="N76" s="1056"/>
      <c r="O76" s="1056"/>
      <c r="P76" s="1056"/>
      <c r="Q76" s="1056"/>
      <c r="R76" s="1056"/>
      <c r="S76" s="1056"/>
      <c r="T76" s="1056"/>
      <c r="U76" s="1056"/>
      <c r="V76" s="1056"/>
      <c r="W76" s="1056"/>
      <c r="X76" s="1056"/>
      <c r="Y76" s="1056"/>
      <c r="Z76" s="1056"/>
      <c r="AA76" s="1056"/>
      <c r="AB76" s="1056"/>
      <c r="AC76" s="1056"/>
    </row>
    <row r="77" spans="1:29" x14ac:dyDescent="0.25">
      <c r="A77" s="1106"/>
      <c r="B77" s="1056"/>
      <c r="C77" s="1056"/>
      <c r="D77" s="1056"/>
      <c r="E77" s="1056"/>
      <c r="F77" s="1056"/>
      <c r="G77" s="1056"/>
      <c r="H77" s="1056"/>
      <c r="I77" s="1056"/>
      <c r="J77" s="1056"/>
      <c r="K77" s="1056"/>
      <c r="L77" s="1056"/>
      <c r="M77" s="1056"/>
      <c r="N77" s="1056"/>
      <c r="O77" s="1056"/>
      <c r="P77" s="1056"/>
      <c r="Q77" s="1056"/>
      <c r="R77" s="1056"/>
      <c r="S77" s="1056"/>
      <c r="T77" s="1056"/>
      <c r="U77" s="1056"/>
      <c r="V77" s="1056"/>
      <c r="W77" s="1056"/>
      <c r="X77" s="1056"/>
      <c r="Y77" s="1056"/>
      <c r="Z77" s="1056"/>
      <c r="AA77" s="1056"/>
      <c r="AB77" s="1056"/>
      <c r="AC77" s="1056"/>
    </row>
    <row r="78" spans="1:29" x14ac:dyDescent="0.25">
      <c r="A78" s="1106"/>
      <c r="B78" s="1056"/>
      <c r="C78" s="1056"/>
      <c r="D78" s="1056"/>
      <c r="E78" s="1056"/>
      <c r="F78" s="1056"/>
      <c r="G78" s="1056"/>
      <c r="H78" s="1056"/>
      <c r="I78" s="1056"/>
      <c r="J78" s="1056"/>
      <c r="K78" s="1056"/>
      <c r="L78" s="1056"/>
      <c r="M78" s="1056"/>
      <c r="N78" s="1056"/>
      <c r="O78" s="1056"/>
      <c r="P78" s="1056"/>
      <c r="Q78" s="1056"/>
      <c r="R78" s="1056"/>
      <c r="S78" s="1056"/>
      <c r="T78" s="1056"/>
      <c r="U78" s="1056"/>
      <c r="V78" s="1056"/>
      <c r="W78" s="1056"/>
      <c r="X78" s="1056"/>
      <c r="Y78" s="1056"/>
      <c r="Z78" s="1056"/>
      <c r="AA78" s="1056"/>
      <c r="AB78" s="1056"/>
      <c r="AC78" s="1056"/>
    </row>
    <row r="79" spans="1:29" x14ac:dyDescent="0.25">
      <c r="A79" s="1106"/>
      <c r="B79" s="1056"/>
      <c r="C79" s="1056"/>
      <c r="D79" s="1056"/>
      <c r="E79" s="1056"/>
      <c r="F79" s="1056"/>
      <c r="G79" s="1056"/>
      <c r="H79" s="1056"/>
      <c r="I79" s="1056"/>
      <c r="J79" s="1056"/>
      <c r="K79" s="1056"/>
      <c r="L79" s="1056"/>
      <c r="M79" s="1056"/>
      <c r="N79" s="1056"/>
      <c r="O79" s="1056"/>
      <c r="P79" s="1056"/>
      <c r="Q79" s="1056"/>
      <c r="R79" s="1056"/>
      <c r="S79" s="1056"/>
      <c r="T79" s="1056"/>
      <c r="U79" s="1056"/>
      <c r="V79" s="1056"/>
      <c r="W79" s="1056"/>
      <c r="X79" s="1056"/>
      <c r="Y79" s="1056"/>
      <c r="Z79" s="1056"/>
      <c r="AA79" s="1056"/>
      <c r="AB79" s="1056"/>
      <c r="AC79" s="1056"/>
    </row>
    <row r="80" spans="1:29" x14ac:dyDescent="0.25">
      <c r="A80" s="1106"/>
      <c r="B80" s="1056"/>
      <c r="C80" s="1056"/>
      <c r="D80" s="1056"/>
      <c r="E80" s="1056"/>
      <c r="F80" s="1056"/>
      <c r="G80" s="1056"/>
      <c r="H80" s="1056"/>
      <c r="I80" s="1056"/>
      <c r="J80" s="1056"/>
      <c r="K80" s="1056"/>
      <c r="L80" s="1056"/>
      <c r="M80" s="1056"/>
      <c r="N80" s="1056"/>
      <c r="O80" s="1056"/>
      <c r="P80" s="1056"/>
      <c r="Q80" s="1056"/>
      <c r="R80" s="1056"/>
      <c r="S80" s="1056"/>
      <c r="T80" s="1056"/>
      <c r="U80" s="1056"/>
      <c r="V80" s="1056"/>
      <c r="W80" s="1056"/>
      <c r="X80" s="1056"/>
      <c r="Y80" s="1056"/>
      <c r="Z80" s="1056"/>
      <c r="AA80" s="1056"/>
      <c r="AB80" s="1056"/>
      <c r="AC80" s="1056"/>
    </row>
    <row r="81" spans="1:29" x14ac:dyDescent="0.25">
      <c r="A81" s="1106"/>
      <c r="B81" s="1056"/>
      <c r="C81" s="1056"/>
      <c r="D81" s="1056"/>
      <c r="E81" s="1056"/>
      <c r="F81" s="1056"/>
      <c r="G81" s="1056"/>
      <c r="H81" s="1056"/>
      <c r="I81" s="1056"/>
      <c r="J81" s="1056"/>
      <c r="K81" s="1056"/>
      <c r="L81" s="1056"/>
      <c r="M81" s="1056"/>
      <c r="N81" s="1056"/>
      <c r="O81" s="1056"/>
      <c r="P81" s="1056"/>
      <c r="Q81" s="1056"/>
      <c r="R81" s="1056"/>
      <c r="S81" s="1056"/>
      <c r="T81" s="1056"/>
      <c r="U81" s="1056"/>
      <c r="V81" s="1056"/>
      <c r="W81" s="1056"/>
      <c r="X81" s="1056"/>
      <c r="Y81" s="1056"/>
      <c r="Z81" s="1056"/>
      <c r="AA81" s="1056"/>
      <c r="AB81" s="1056"/>
      <c r="AC81" s="1056"/>
    </row>
    <row r="82" spans="1:29" x14ac:dyDescent="0.25">
      <c r="A82" s="1106"/>
      <c r="B82" s="1056"/>
      <c r="C82" s="1056"/>
      <c r="D82" s="1056"/>
      <c r="E82" s="1056"/>
      <c r="F82" s="1056"/>
      <c r="G82" s="1056"/>
      <c r="H82" s="1056"/>
      <c r="I82" s="1056"/>
      <c r="J82" s="1056"/>
      <c r="K82" s="1056"/>
      <c r="L82" s="1056"/>
      <c r="M82" s="1056"/>
      <c r="N82" s="1056"/>
      <c r="O82" s="1056"/>
      <c r="P82" s="1056"/>
      <c r="Q82" s="1056"/>
      <c r="R82" s="1056"/>
      <c r="S82" s="1056"/>
      <c r="T82" s="1056"/>
      <c r="U82" s="1056"/>
      <c r="V82" s="1056"/>
      <c r="W82" s="1056"/>
      <c r="X82" s="1056"/>
      <c r="Y82" s="1056"/>
      <c r="Z82" s="1056"/>
      <c r="AA82" s="1056"/>
      <c r="AB82" s="1056"/>
      <c r="AC82" s="1056"/>
    </row>
    <row r="83" spans="1:29" x14ac:dyDescent="0.25">
      <c r="A83" s="1106"/>
      <c r="B83" s="1056"/>
      <c r="C83" s="1056"/>
      <c r="D83" s="1056"/>
      <c r="E83" s="1056"/>
      <c r="F83" s="1056"/>
      <c r="G83" s="1056"/>
      <c r="H83" s="1056"/>
      <c r="I83" s="1056"/>
      <c r="J83" s="1056"/>
      <c r="K83" s="1056"/>
      <c r="L83" s="1056"/>
      <c r="M83" s="1056"/>
      <c r="N83" s="1056"/>
      <c r="O83" s="1056"/>
      <c r="P83" s="1056"/>
      <c r="Q83" s="1056"/>
      <c r="R83" s="1056"/>
      <c r="S83" s="1056"/>
      <c r="T83" s="1056"/>
      <c r="U83" s="1056"/>
      <c r="V83" s="1056"/>
      <c r="W83" s="1056"/>
      <c r="X83" s="1056"/>
      <c r="Y83" s="1056"/>
      <c r="Z83" s="1056"/>
      <c r="AA83" s="1056"/>
      <c r="AB83" s="1056"/>
      <c r="AC83" s="1056"/>
    </row>
    <row r="84" spans="1:29" x14ac:dyDescent="0.25">
      <c r="A84" s="1106"/>
      <c r="B84" s="1056"/>
      <c r="C84" s="1056"/>
      <c r="D84" s="1056"/>
      <c r="E84" s="1056"/>
      <c r="F84" s="1056"/>
      <c r="G84" s="1056"/>
      <c r="H84" s="1056"/>
      <c r="I84" s="1056"/>
      <c r="J84" s="1056"/>
      <c r="K84" s="1056"/>
      <c r="L84" s="1056"/>
      <c r="M84" s="1056"/>
      <c r="N84" s="1056"/>
      <c r="O84" s="1056"/>
      <c r="P84" s="1056"/>
      <c r="Q84" s="1056"/>
      <c r="R84" s="1056"/>
      <c r="S84" s="1056"/>
      <c r="T84" s="1056"/>
      <c r="U84" s="1056"/>
      <c r="V84" s="1056"/>
      <c r="W84" s="1056"/>
      <c r="X84" s="1056"/>
      <c r="Y84" s="1056"/>
      <c r="Z84" s="1056"/>
      <c r="AA84" s="1056"/>
      <c r="AB84" s="1056"/>
      <c r="AC84" s="1056"/>
    </row>
    <row r="85" spans="1:29" x14ac:dyDescent="0.25">
      <c r="A85" s="1106"/>
      <c r="B85" s="1056"/>
      <c r="C85" s="1056"/>
      <c r="D85" s="1056"/>
      <c r="E85" s="1056"/>
      <c r="F85" s="1056"/>
      <c r="G85" s="1056"/>
      <c r="H85" s="1056"/>
      <c r="I85" s="1056"/>
      <c r="J85" s="1056"/>
      <c r="K85" s="1056"/>
      <c r="L85" s="1056"/>
      <c r="M85" s="1056"/>
      <c r="N85" s="1056"/>
      <c r="O85" s="1056"/>
      <c r="P85" s="1056"/>
      <c r="Q85" s="1056"/>
      <c r="R85" s="1056"/>
      <c r="S85" s="1056"/>
      <c r="T85" s="1056"/>
      <c r="U85" s="1056"/>
      <c r="V85" s="1056"/>
      <c r="W85" s="1056"/>
      <c r="X85" s="1056"/>
      <c r="Y85" s="1056"/>
      <c r="Z85" s="1056"/>
      <c r="AA85" s="1056"/>
      <c r="AB85" s="1056"/>
      <c r="AC85" s="1056"/>
    </row>
    <row r="86" spans="1:29" x14ac:dyDescent="0.25">
      <c r="A86" s="1106"/>
      <c r="B86" s="1056"/>
      <c r="C86" s="1056"/>
      <c r="D86" s="1056"/>
      <c r="E86" s="1056"/>
      <c r="F86" s="1056"/>
      <c r="G86" s="1056"/>
      <c r="H86" s="1056"/>
      <c r="I86" s="1056"/>
      <c r="J86" s="1056"/>
      <c r="K86" s="1056"/>
      <c r="L86" s="1056"/>
      <c r="M86" s="1056"/>
      <c r="N86" s="1056"/>
      <c r="O86" s="1056"/>
      <c r="P86" s="1056"/>
      <c r="Q86" s="1056"/>
      <c r="R86" s="1056"/>
      <c r="S86" s="1056"/>
      <c r="T86" s="1056"/>
      <c r="U86" s="1056"/>
      <c r="V86" s="1056"/>
      <c r="W86" s="1056"/>
      <c r="X86" s="1056"/>
      <c r="Y86" s="1056"/>
      <c r="Z86" s="1056"/>
      <c r="AA86" s="1056"/>
      <c r="AB86" s="1056"/>
      <c r="AC86" s="1056"/>
    </row>
    <row r="87" spans="1:29" x14ac:dyDescent="0.25">
      <c r="A87" s="1106"/>
      <c r="B87" s="1056"/>
      <c r="C87" s="1056"/>
      <c r="D87" s="1056"/>
      <c r="E87" s="1056"/>
      <c r="F87" s="1056"/>
      <c r="G87" s="1056"/>
      <c r="H87" s="1056"/>
      <c r="I87" s="1056"/>
      <c r="J87" s="1056"/>
      <c r="K87" s="1056"/>
      <c r="L87" s="1056"/>
      <c r="M87" s="1056"/>
      <c r="N87" s="1056"/>
      <c r="O87" s="1056"/>
      <c r="P87" s="1056"/>
      <c r="Q87" s="1056"/>
      <c r="R87" s="1056"/>
      <c r="S87" s="1056"/>
      <c r="T87" s="1056"/>
      <c r="U87" s="1056"/>
      <c r="V87" s="1056"/>
      <c r="W87" s="1056"/>
      <c r="X87" s="1056"/>
      <c r="Y87" s="1056"/>
      <c r="Z87" s="1056"/>
      <c r="AA87" s="1056"/>
      <c r="AB87" s="1056"/>
      <c r="AC87" s="1056"/>
    </row>
    <row r="88" spans="1:29" x14ac:dyDescent="0.25">
      <c r="A88" s="1106"/>
      <c r="B88" s="1056"/>
      <c r="C88" s="1056"/>
      <c r="D88" s="1056"/>
      <c r="E88" s="1056"/>
      <c r="F88" s="1056"/>
      <c r="G88" s="1056"/>
      <c r="H88" s="1056"/>
      <c r="I88" s="1056"/>
      <c r="J88" s="1056"/>
      <c r="K88" s="1056"/>
      <c r="L88" s="1056"/>
      <c r="M88" s="1056"/>
      <c r="N88" s="1056"/>
      <c r="O88" s="1056"/>
      <c r="P88" s="1056"/>
      <c r="Q88" s="1056"/>
      <c r="R88" s="1056"/>
      <c r="S88" s="1056"/>
      <c r="T88" s="1056"/>
      <c r="U88" s="1056"/>
      <c r="V88" s="1056"/>
      <c r="W88" s="1056"/>
      <c r="X88" s="1056"/>
      <c r="Y88" s="1056"/>
      <c r="Z88" s="1056"/>
      <c r="AA88" s="1056"/>
      <c r="AB88" s="1056"/>
      <c r="AC88" s="1056"/>
    </row>
    <row r="89" spans="1:29" x14ac:dyDescent="0.25">
      <c r="A89" s="1106"/>
      <c r="B89" s="1056"/>
      <c r="C89" s="1056"/>
      <c r="D89" s="1056"/>
      <c r="E89" s="1056"/>
      <c r="F89" s="1056"/>
      <c r="G89" s="1056"/>
      <c r="H89" s="1056"/>
      <c r="I89" s="1056"/>
      <c r="J89" s="1056"/>
      <c r="K89" s="1056"/>
      <c r="L89" s="1056"/>
      <c r="M89" s="1056"/>
      <c r="N89" s="1056"/>
      <c r="O89" s="1056"/>
      <c r="P89" s="1056"/>
      <c r="Q89" s="1056"/>
      <c r="R89" s="1056"/>
      <c r="S89" s="1056"/>
      <c r="T89" s="1056"/>
      <c r="U89" s="1056"/>
      <c r="V89" s="1056"/>
      <c r="W89" s="1056"/>
      <c r="X89" s="1056"/>
      <c r="Y89" s="1056"/>
      <c r="Z89" s="1056"/>
      <c r="AA89" s="1056"/>
      <c r="AB89" s="1056"/>
      <c r="AC89" s="1056"/>
    </row>
    <row r="90" spans="1:29" x14ac:dyDescent="0.25">
      <c r="A90" s="1106"/>
      <c r="B90" s="1056"/>
      <c r="C90" s="1056"/>
      <c r="D90" s="1056"/>
      <c r="E90" s="1056"/>
      <c r="F90" s="1056"/>
      <c r="G90" s="1056"/>
      <c r="H90" s="1056"/>
      <c r="I90" s="1056"/>
      <c r="J90" s="1056"/>
      <c r="K90" s="1056"/>
      <c r="L90" s="1056"/>
      <c r="M90" s="1056"/>
      <c r="N90" s="1056"/>
      <c r="O90" s="1056"/>
      <c r="P90" s="1056"/>
      <c r="Q90" s="1056"/>
      <c r="R90" s="1056"/>
      <c r="S90" s="1056"/>
      <c r="T90" s="1056"/>
      <c r="U90" s="1056"/>
      <c r="V90" s="1056"/>
      <c r="W90" s="1056"/>
      <c r="X90" s="1056"/>
      <c r="Y90" s="1056"/>
      <c r="Z90" s="1056"/>
      <c r="AA90" s="1056"/>
      <c r="AB90" s="1056"/>
      <c r="AC90" s="1056"/>
    </row>
    <row r="91" spans="1:29" x14ac:dyDescent="0.25">
      <c r="A91" s="1106"/>
      <c r="B91" s="1056"/>
      <c r="C91" s="1056"/>
      <c r="D91" s="1056"/>
      <c r="E91" s="1056"/>
      <c r="F91" s="1056"/>
      <c r="G91" s="1056"/>
      <c r="H91" s="1056"/>
      <c r="I91" s="1056"/>
      <c r="J91" s="1056"/>
      <c r="K91" s="1056"/>
      <c r="L91" s="1056"/>
      <c r="M91" s="1056"/>
      <c r="N91" s="1056"/>
      <c r="O91" s="1056"/>
      <c r="P91" s="1056"/>
      <c r="Q91" s="1056"/>
      <c r="R91" s="1056"/>
      <c r="S91" s="1056"/>
      <c r="T91" s="1056"/>
      <c r="U91" s="1056"/>
      <c r="V91" s="1056"/>
      <c r="W91" s="1056"/>
      <c r="X91" s="1056"/>
      <c r="Y91" s="1056"/>
      <c r="Z91" s="1056"/>
      <c r="AA91" s="1056"/>
      <c r="AB91" s="1056"/>
      <c r="AC91" s="1056"/>
    </row>
    <row r="92" spans="1:29" x14ac:dyDescent="0.25">
      <c r="A92" s="1106"/>
      <c r="B92" s="1056"/>
      <c r="C92" s="1056"/>
      <c r="D92" s="1056"/>
      <c r="E92" s="1056"/>
      <c r="F92" s="1056"/>
      <c r="G92" s="1056"/>
      <c r="H92" s="1056"/>
      <c r="I92" s="1056"/>
      <c r="J92" s="1056"/>
      <c r="K92" s="1056"/>
      <c r="L92" s="1056"/>
      <c r="M92" s="1056"/>
      <c r="N92" s="1056"/>
      <c r="O92" s="1056"/>
      <c r="P92" s="1056"/>
      <c r="Q92" s="1056"/>
      <c r="R92" s="1056"/>
      <c r="S92" s="1056"/>
      <c r="T92" s="1056"/>
      <c r="U92" s="1056"/>
      <c r="V92" s="1056"/>
      <c r="W92" s="1056"/>
      <c r="X92" s="1056"/>
      <c r="Y92" s="1056"/>
      <c r="Z92" s="1056"/>
      <c r="AA92" s="1056"/>
      <c r="AB92" s="1056"/>
      <c r="AC92" s="1056"/>
    </row>
    <row r="93" spans="1:29" x14ac:dyDescent="0.25">
      <c r="A93" s="1106"/>
      <c r="B93" s="1056"/>
      <c r="C93" s="1056"/>
      <c r="D93" s="1056"/>
      <c r="E93" s="1056"/>
      <c r="F93" s="1056"/>
      <c r="G93" s="1056"/>
      <c r="H93" s="1056"/>
      <c r="I93" s="1056"/>
      <c r="J93" s="1056"/>
      <c r="K93" s="1056"/>
      <c r="L93" s="1056"/>
      <c r="M93" s="1056"/>
      <c r="N93" s="1056"/>
      <c r="O93" s="1056"/>
      <c r="P93" s="1056"/>
      <c r="Q93" s="1056"/>
      <c r="R93" s="1056"/>
      <c r="S93" s="1056"/>
      <c r="T93" s="1056"/>
      <c r="U93" s="1056"/>
      <c r="V93" s="1056"/>
      <c r="W93" s="1056"/>
      <c r="X93" s="1056"/>
      <c r="Y93" s="1056"/>
      <c r="Z93" s="1056"/>
      <c r="AA93" s="1056"/>
      <c r="AB93" s="1056"/>
      <c r="AC93" s="1056"/>
    </row>
    <row r="94" spans="1:29" x14ac:dyDescent="0.25">
      <c r="A94" s="1106"/>
      <c r="B94" s="1056"/>
      <c r="C94" s="1056"/>
      <c r="D94" s="1056"/>
      <c r="E94" s="1056"/>
      <c r="F94" s="1056"/>
      <c r="G94" s="1056"/>
      <c r="H94" s="1056"/>
      <c r="I94" s="1056"/>
      <c r="J94" s="1056"/>
      <c r="K94" s="1056"/>
      <c r="L94" s="1056"/>
      <c r="M94" s="1056"/>
      <c r="N94" s="1056"/>
      <c r="O94" s="1056"/>
      <c r="P94" s="1056"/>
      <c r="Q94" s="1056"/>
      <c r="R94" s="1056"/>
      <c r="S94" s="1056"/>
      <c r="T94" s="1056"/>
      <c r="U94" s="1056"/>
      <c r="V94" s="1056"/>
      <c r="W94" s="1056"/>
      <c r="X94" s="1056"/>
      <c r="Y94" s="1056"/>
      <c r="Z94" s="1056"/>
      <c r="AA94" s="1056"/>
      <c r="AB94" s="1056"/>
      <c r="AC94" s="1056"/>
    </row>
    <row r="95" spans="1:29" x14ac:dyDescent="0.25">
      <c r="A95" s="1106"/>
      <c r="B95" s="1056"/>
      <c r="C95" s="1056"/>
      <c r="D95" s="1056"/>
      <c r="E95" s="1056"/>
      <c r="F95" s="1056"/>
      <c r="G95" s="1056"/>
      <c r="H95" s="1056"/>
      <c r="I95" s="1056"/>
      <c r="J95" s="1056"/>
      <c r="K95" s="1056"/>
      <c r="L95" s="1056"/>
      <c r="M95" s="1056"/>
      <c r="N95" s="1056"/>
      <c r="O95" s="1056"/>
      <c r="P95" s="1056"/>
      <c r="Q95" s="1056"/>
      <c r="R95" s="1056"/>
      <c r="S95" s="1056"/>
      <c r="T95" s="1056"/>
      <c r="U95" s="1056"/>
      <c r="V95" s="1056"/>
      <c r="W95" s="1056"/>
      <c r="X95" s="1056"/>
      <c r="Y95" s="1056"/>
      <c r="Z95" s="1056"/>
      <c r="AA95" s="1056"/>
      <c r="AB95" s="1056"/>
      <c r="AC95" s="1056"/>
    </row>
    <row r="96" spans="1:29" x14ac:dyDescent="0.25">
      <c r="A96" s="1106"/>
      <c r="B96" s="1056"/>
      <c r="C96" s="1056"/>
      <c r="D96" s="1056"/>
      <c r="E96" s="1056"/>
      <c r="F96" s="1056"/>
      <c r="G96" s="1056"/>
      <c r="H96" s="1056"/>
      <c r="I96" s="1056"/>
      <c r="J96" s="1056"/>
      <c r="K96" s="1056"/>
      <c r="L96" s="1056"/>
      <c r="M96" s="1056"/>
      <c r="N96" s="1056"/>
      <c r="O96" s="1056"/>
      <c r="P96" s="1056"/>
      <c r="Q96" s="1056"/>
      <c r="R96" s="1056"/>
      <c r="S96" s="1056"/>
      <c r="T96" s="1056"/>
      <c r="U96" s="1056"/>
      <c r="V96" s="1056"/>
      <c r="W96" s="1056"/>
      <c r="X96" s="1056"/>
      <c r="Y96" s="1056"/>
      <c r="Z96" s="1056"/>
      <c r="AA96" s="1056"/>
      <c r="AB96" s="1056"/>
      <c r="AC96" s="1056"/>
    </row>
    <row r="97" spans="1:29" x14ac:dyDescent="0.25">
      <c r="A97" s="1106"/>
      <c r="B97" s="1056"/>
      <c r="C97" s="1056"/>
      <c r="D97" s="1056"/>
      <c r="E97" s="1056"/>
      <c r="F97" s="1056"/>
      <c r="G97" s="1056"/>
      <c r="H97" s="1056"/>
      <c r="I97" s="1056"/>
      <c r="J97" s="1056"/>
      <c r="K97" s="1056"/>
      <c r="L97" s="1056"/>
      <c r="M97" s="1056"/>
      <c r="N97" s="1056"/>
      <c r="O97" s="1056"/>
      <c r="P97" s="1056"/>
      <c r="Q97" s="1056"/>
      <c r="R97" s="1056"/>
      <c r="S97" s="1056"/>
      <c r="T97" s="1056"/>
      <c r="U97" s="1056"/>
      <c r="V97" s="1056"/>
      <c r="W97" s="1056"/>
      <c r="X97" s="1056"/>
      <c r="Y97" s="1056"/>
      <c r="Z97" s="1056"/>
      <c r="AA97" s="1056"/>
      <c r="AB97" s="1056"/>
      <c r="AC97" s="1056"/>
    </row>
    <row r="98" spans="1:29" x14ac:dyDescent="0.25">
      <c r="A98" s="1106"/>
      <c r="B98" s="1056"/>
      <c r="C98" s="1056"/>
      <c r="D98" s="1056"/>
      <c r="E98" s="1056"/>
      <c r="F98" s="1056"/>
      <c r="G98" s="1056"/>
      <c r="H98" s="1056"/>
      <c r="I98" s="1056"/>
      <c r="J98" s="1056"/>
      <c r="K98" s="1056"/>
      <c r="L98" s="1056"/>
      <c r="M98" s="1056"/>
      <c r="N98" s="1056"/>
      <c r="O98" s="1056"/>
      <c r="P98" s="1056"/>
      <c r="Q98" s="1056"/>
      <c r="R98" s="1056"/>
      <c r="S98" s="1056"/>
      <c r="T98" s="1056"/>
      <c r="U98" s="1056"/>
      <c r="V98" s="1056"/>
      <c r="W98" s="1056"/>
      <c r="X98" s="1056"/>
      <c r="Y98" s="1056"/>
      <c r="Z98" s="1056"/>
      <c r="AA98" s="1056"/>
      <c r="AB98" s="1056"/>
      <c r="AC98" s="1056"/>
    </row>
    <row r="99" spans="1:29" x14ac:dyDescent="0.25">
      <c r="A99" s="1106"/>
      <c r="B99" s="1056"/>
      <c r="C99" s="1056"/>
      <c r="D99" s="1056"/>
      <c r="E99" s="1056"/>
      <c r="F99" s="1056"/>
      <c r="G99" s="1056"/>
      <c r="H99" s="1056"/>
      <c r="I99" s="1056"/>
      <c r="J99" s="1056"/>
      <c r="K99" s="1056"/>
      <c r="L99" s="1056"/>
      <c r="M99" s="1056"/>
      <c r="N99" s="1056"/>
      <c r="O99" s="1056"/>
      <c r="P99" s="1056"/>
      <c r="Q99" s="1056"/>
      <c r="R99" s="1056"/>
      <c r="S99" s="1056"/>
      <c r="T99" s="1056"/>
      <c r="U99" s="1056"/>
      <c r="V99" s="1056"/>
      <c r="W99" s="1056"/>
      <c r="X99" s="1056"/>
      <c r="Y99" s="1056"/>
      <c r="Z99" s="1056"/>
      <c r="AA99" s="1056"/>
      <c r="AB99" s="1056"/>
      <c r="AC99" s="1056"/>
    </row>
    <row r="100" spans="1:29" x14ac:dyDescent="0.25">
      <c r="A100" s="1106"/>
      <c r="B100" s="1056"/>
      <c r="C100" s="1056"/>
      <c r="D100" s="1056"/>
      <c r="E100" s="1056"/>
      <c r="F100" s="1056"/>
      <c r="G100" s="1056"/>
      <c r="H100" s="1056"/>
      <c r="I100" s="1056"/>
      <c r="J100" s="1056"/>
      <c r="K100" s="1056"/>
      <c r="L100" s="1056"/>
      <c r="M100" s="1056"/>
      <c r="N100" s="1056"/>
      <c r="O100" s="1056"/>
      <c r="P100" s="1056"/>
      <c r="Q100" s="1056"/>
      <c r="R100" s="1056"/>
      <c r="S100" s="1056"/>
      <c r="T100" s="1056"/>
      <c r="U100" s="1056"/>
      <c r="V100" s="1056"/>
      <c r="W100" s="1056"/>
      <c r="X100" s="1056"/>
      <c r="Y100" s="1056"/>
      <c r="Z100" s="1056"/>
      <c r="AA100" s="1056"/>
      <c r="AB100" s="1056"/>
      <c r="AC100" s="1056"/>
    </row>
    <row r="101" spans="1:29" x14ac:dyDescent="0.25">
      <c r="A101" s="1106"/>
      <c r="B101" s="1056"/>
      <c r="C101" s="1056"/>
      <c r="D101" s="1056"/>
      <c r="E101" s="1056"/>
      <c r="F101" s="1056"/>
      <c r="G101" s="1056"/>
      <c r="H101" s="1056"/>
      <c r="I101" s="1056"/>
      <c r="J101" s="1056"/>
      <c r="K101" s="1056"/>
      <c r="L101" s="1056"/>
      <c r="M101" s="1056"/>
      <c r="N101" s="1056"/>
      <c r="O101" s="1056"/>
      <c r="P101" s="1056"/>
      <c r="Q101" s="1056"/>
      <c r="R101" s="1056"/>
      <c r="S101" s="1056"/>
      <c r="T101" s="1056"/>
      <c r="U101" s="1056"/>
      <c r="V101" s="1056"/>
      <c r="W101" s="1056"/>
      <c r="X101" s="1056"/>
      <c r="Y101" s="1056"/>
      <c r="Z101" s="1056"/>
      <c r="AA101" s="1056"/>
      <c r="AB101" s="1056"/>
      <c r="AC101" s="1056"/>
    </row>
    <row r="102" spans="1:29" x14ac:dyDescent="0.25">
      <c r="A102" s="1106"/>
      <c r="B102" s="1056"/>
      <c r="C102" s="1056"/>
      <c r="D102" s="1056"/>
      <c r="E102" s="1056"/>
      <c r="F102" s="1056"/>
      <c r="G102" s="1056"/>
      <c r="H102" s="1056"/>
      <c r="I102" s="1056"/>
      <c r="J102" s="1056"/>
      <c r="K102" s="1056"/>
      <c r="L102" s="1056"/>
      <c r="M102" s="1056"/>
      <c r="N102" s="1056"/>
      <c r="O102" s="1056"/>
      <c r="P102" s="1056"/>
      <c r="Q102" s="1056"/>
      <c r="R102" s="1056"/>
      <c r="S102" s="1056"/>
      <c r="T102" s="1056"/>
      <c r="U102" s="1056"/>
      <c r="V102" s="1056"/>
      <c r="W102" s="1056"/>
      <c r="X102" s="1056"/>
      <c r="Y102" s="1056"/>
      <c r="Z102" s="1056"/>
      <c r="AA102" s="1056"/>
      <c r="AB102" s="1056"/>
      <c r="AC102" s="1056"/>
    </row>
    <row r="103" spans="1:29" x14ac:dyDescent="0.25">
      <c r="A103" s="1106"/>
      <c r="B103" s="1056"/>
      <c r="C103" s="1056"/>
      <c r="D103" s="1056"/>
      <c r="E103" s="1056"/>
      <c r="F103" s="1056"/>
      <c r="G103" s="1056"/>
      <c r="H103" s="1056"/>
      <c r="I103" s="1056"/>
      <c r="J103" s="1056"/>
      <c r="K103" s="1056"/>
      <c r="L103" s="1056"/>
      <c r="M103" s="1056"/>
      <c r="N103" s="1056"/>
      <c r="O103" s="1056"/>
      <c r="P103" s="1056"/>
      <c r="Q103" s="1056"/>
      <c r="R103" s="1056"/>
      <c r="S103" s="1056"/>
      <c r="T103" s="1056"/>
      <c r="U103" s="1056"/>
      <c r="V103" s="1056"/>
      <c r="W103" s="1056"/>
      <c r="X103" s="1056"/>
      <c r="Y103" s="1056"/>
      <c r="Z103" s="1056"/>
      <c r="AA103" s="1056"/>
      <c r="AB103" s="1056"/>
      <c r="AC103" s="1056"/>
    </row>
    <row r="104" spans="1:29" x14ac:dyDescent="0.25">
      <c r="A104" s="1106"/>
      <c r="B104" s="1056"/>
      <c r="C104" s="1056"/>
      <c r="D104" s="1056"/>
      <c r="E104" s="1056"/>
      <c r="F104" s="1056"/>
      <c r="G104" s="1056"/>
      <c r="H104" s="1056"/>
      <c r="I104" s="1056"/>
      <c r="J104" s="1056"/>
      <c r="K104" s="1056"/>
      <c r="L104" s="1056"/>
      <c r="M104" s="1056"/>
      <c r="N104" s="1056"/>
      <c r="O104" s="1056"/>
      <c r="P104" s="1056"/>
      <c r="Q104" s="1056"/>
      <c r="R104" s="1056"/>
      <c r="S104" s="1056"/>
      <c r="T104" s="1056"/>
      <c r="U104" s="1056"/>
      <c r="V104" s="1056"/>
      <c r="W104" s="1056"/>
      <c r="X104" s="1056"/>
      <c r="Y104" s="1056"/>
      <c r="Z104" s="1056"/>
      <c r="AA104" s="1056"/>
      <c r="AB104" s="1056"/>
      <c r="AC104" s="1056"/>
    </row>
    <row r="105" spans="1:29" x14ac:dyDescent="0.25">
      <c r="A105" s="1106"/>
      <c r="B105" s="1056"/>
      <c r="C105" s="1056"/>
      <c r="D105" s="1056"/>
      <c r="E105" s="1056"/>
      <c r="F105" s="1056"/>
      <c r="G105" s="1056"/>
      <c r="H105" s="1056"/>
      <c r="I105" s="1056"/>
      <c r="J105" s="1056"/>
      <c r="K105" s="1056"/>
      <c r="L105" s="1056"/>
      <c r="M105" s="1056"/>
      <c r="N105" s="1056"/>
      <c r="O105" s="1056"/>
      <c r="P105" s="1056"/>
      <c r="Q105" s="1056"/>
      <c r="R105" s="1056"/>
      <c r="S105" s="1056"/>
      <c r="T105" s="1056"/>
      <c r="U105" s="1056"/>
      <c r="V105" s="1056"/>
      <c r="W105" s="1056"/>
      <c r="X105" s="1056"/>
      <c r="Y105" s="1056"/>
      <c r="Z105" s="1056"/>
      <c r="AA105" s="1056"/>
      <c r="AB105" s="1056"/>
      <c r="AC105" s="1056"/>
    </row>
    <row r="106" spans="1:29" x14ac:dyDescent="0.25">
      <c r="A106" s="1106"/>
      <c r="B106" s="1056"/>
      <c r="C106" s="1056"/>
      <c r="D106" s="1056"/>
      <c r="E106" s="1056"/>
      <c r="F106" s="1056"/>
      <c r="G106" s="1056"/>
      <c r="H106" s="1056"/>
      <c r="I106" s="1056"/>
      <c r="J106" s="1056"/>
      <c r="K106" s="1056"/>
      <c r="L106" s="1056"/>
      <c r="M106" s="1056"/>
      <c r="N106" s="1056"/>
      <c r="O106" s="1056"/>
      <c r="P106" s="1056"/>
      <c r="Q106" s="1056"/>
      <c r="R106" s="1056"/>
      <c r="S106" s="1056"/>
      <c r="T106" s="1056"/>
      <c r="U106" s="1056"/>
      <c r="V106" s="1056"/>
      <c r="W106" s="1056"/>
      <c r="X106" s="1056"/>
      <c r="Y106" s="1056"/>
      <c r="Z106" s="1056"/>
      <c r="AA106" s="1056"/>
      <c r="AB106" s="1056"/>
      <c r="AC106" s="1056"/>
    </row>
    <row r="107" spans="1:29" x14ac:dyDescent="0.25">
      <c r="A107" s="1106"/>
      <c r="B107" s="1056"/>
      <c r="C107" s="1056"/>
      <c r="D107" s="1056"/>
      <c r="E107" s="1056"/>
      <c r="F107" s="1056"/>
      <c r="G107" s="1056"/>
      <c r="H107" s="1056"/>
      <c r="I107" s="1056"/>
      <c r="J107" s="1056"/>
      <c r="K107" s="1056"/>
      <c r="L107" s="1056"/>
      <c r="M107" s="1056"/>
      <c r="N107" s="1056"/>
      <c r="O107" s="1056"/>
      <c r="P107" s="1056"/>
      <c r="Q107" s="1056"/>
      <c r="R107" s="1056"/>
      <c r="S107" s="1056"/>
      <c r="T107" s="1056"/>
      <c r="U107" s="1056"/>
      <c r="V107" s="1056"/>
      <c r="W107" s="1056"/>
      <c r="X107" s="1056"/>
      <c r="Y107" s="1056"/>
      <c r="Z107" s="1056"/>
      <c r="AA107" s="1056"/>
      <c r="AB107" s="1056"/>
      <c r="AC107" s="1056"/>
    </row>
    <row r="108" spans="1:29" x14ac:dyDescent="0.25">
      <c r="A108" s="1106"/>
      <c r="B108" s="1056"/>
      <c r="C108" s="1056"/>
      <c r="D108" s="1056"/>
      <c r="E108" s="1056"/>
      <c r="F108" s="1056"/>
      <c r="G108" s="1056"/>
      <c r="H108" s="1056"/>
      <c r="I108" s="1056"/>
      <c r="J108" s="1056"/>
      <c r="K108" s="1056"/>
      <c r="L108" s="1056"/>
      <c r="M108" s="1056"/>
      <c r="N108" s="1056"/>
      <c r="O108" s="1056"/>
      <c r="P108" s="1056"/>
      <c r="Q108" s="1056"/>
      <c r="R108" s="1056"/>
      <c r="S108" s="1056"/>
      <c r="T108" s="1056"/>
      <c r="U108" s="1056"/>
      <c r="V108" s="1056"/>
      <c r="W108" s="1056"/>
      <c r="X108" s="1056"/>
      <c r="Y108" s="1056"/>
      <c r="Z108" s="1056"/>
      <c r="AA108" s="1056"/>
      <c r="AB108" s="1056"/>
      <c r="AC108" s="1056"/>
    </row>
    <row r="109" spans="1:29" x14ac:dyDescent="0.25">
      <c r="A109" s="1106"/>
      <c r="B109" s="1056"/>
      <c r="C109" s="1056"/>
      <c r="D109" s="1056"/>
      <c r="E109" s="1056"/>
      <c r="F109" s="1056"/>
      <c r="G109" s="1056"/>
      <c r="H109" s="1056"/>
      <c r="I109" s="1056"/>
      <c r="J109" s="1056"/>
      <c r="K109" s="1056"/>
      <c r="L109" s="1056"/>
      <c r="M109" s="1056"/>
      <c r="N109" s="1056"/>
      <c r="O109" s="1056"/>
      <c r="P109" s="1056"/>
      <c r="Q109" s="1056"/>
      <c r="R109" s="1056"/>
      <c r="S109" s="1056"/>
      <c r="T109" s="1056"/>
      <c r="U109" s="1056"/>
      <c r="V109" s="1056"/>
      <c r="W109" s="1056"/>
      <c r="X109" s="1056"/>
      <c r="Y109" s="1056"/>
      <c r="Z109" s="1056"/>
      <c r="AA109" s="1056"/>
      <c r="AB109" s="1056"/>
      <c r="AC109" s="1056"/>
    </row>
    <row r="110" spans="1:29" x14ac:dyDescent="0.25">
      <c r="A110" s="1106"/>
      <c r="B110" s="1056"/>
      <c r="C110" s="1056"/>
      <c r="D110" s="1056"/>
      <c r="E110" s="1056"/>
      <c r="F110" s="1056"/>
      <c r="G110" s="1056"/>
      <c r="H110" s="1056"/>
      <c r="I110" s="1056"/>
      <c r="J110" s="1056"/>
      <c r="K110" s="1056"/>
      <c r="L110" s="1056"/>
      <c r="M110" s="1056"/>
      <c r="N110" s="1056"/>
      <c r="O110" s="1056"/>
      <c r="P110" s="1056"/>
      <c r="Q110" s="1056"/>
      <c r="R110" s="1056"/>
      <c r="S110" s="1056"/>
      <c r="T110" s="1056"/>
      <c r="U110" s="1056"/>
      <c r="V110" s="1056"/>
      <c r="W110" s="1056"/>
      <c r="X110" s="1056"/>
      <c r="Y110" s="1056"/>
      <c r="Z110" s="1056"/>
      <c r="AA110" s="1056"/>
      <c r="AB110" s="1056"/>
      <c r="AC110" s="1056"/>
    </row>
    <row r="111" spans="1:29" x14ac:dyDescent="0.25">
      <c r="A111" s="1106"/>
      <c r="B111" s="1056"/>
      <c r="C111" s="1056"/>
      <c r="D111" s="1056"/>
      <c r="E111" s="1056"/>
      <c r="F111" s="1056"/>
      <c r="G111" s="1056"/>
      <c r="H111" s="1056"/>
      <c r="I111" s="1056"/>
      <c r="J111" s="1056"/>
      <c r="K111" s="1056"/>
      <c r="L111" s="1056"/>
      <c r="M111" s="1056"/>
      <c r="N111" s="1056"/>
      <c r="O111" s="1056"/>
      <c r="P111" s="1056"/>
      <c r="Q111" s="1056"/>
      <c r="R111" s="1056"/>
      <c r="S111" s="1056"/>
      <c r="T111" s="1056"/>
      <c r="U111" s="1056"/>
      <c r="V111" s="1056"/>
      <c r="W111" s="1056"/>
      <c r="X111" s="1056"/>
      <c r="Y111" s="1056"/>
      <c r="Z111" s="1056"/>
      <c r="AA111" s="1056"/>
      <c r="AB111" s="1056"/>
      <c r="AC111" s="1056"/>
    </row>
    <row r="112" spans="1:29" x14ac:dyDescent="0.25">
      <c r="A112" s="1106"/>
      <c r="B112" s="1056"/>
      <c r="C112" s="1056"/>
      <c r="D112" s="1056"/>
      <c r="E112" s="1056"/>
      <c r="F112" s="1056"/>
      <c r="G112" s="1056"/>
      <c r="H112" s="1056"/>
      <c r="I112" s="1056"/>
      <c r="J112" s="1056"/>
      <c r="K112" s="1056"/>
      <c r="L112" s="1056"/>
      <c r="M112" s="1056"/>
      <c r="N112" s="1056"/>
      <c r="O112" s="1056"/>
      <c r="P112" s="1056"/>
      <c r="Q112" s="1056"/>
      <c r="R112" s="1056"/>
      <c r="S112" s="1056"/>
      <c r="T112" s="1056"/>
      <c r="U112" s="1056"/>
      <c r="V112" s="1056"/>
      <c r="W112" s="1056"/>
      <c r="X112" s="1056"/>
      <c r="Y112" s="1056"/>
      <c r="Z112" s="1056"/>
      <c r="AA112" s="1056"/>
      <c r="AB112" s="1056"/>
      <c r="AC112" s="1056"/>
    </row>
    <row r="113" spans="1:29" x14ac:dyDescent="0.25">
      <c r="A113" s="1106"/>
      <c r="B113" s="1056"/>
      <c r="C113" s="1056"/>
      <c r="D113" s="1056"/>
      <c r="E113" s="1056"/>
      <c r="F113" s="1056"/>
      <c r="G113" s="1056"/>
      <c r="H113" s="1056"/>
      <c r="I113" s="1056"/>
      <c r="J113" s="1056"/>
      <c r="K113" s="1056"/>
      <c r="L113" s="1056"/>
      <c r="M113" s="1056"/>
      <c r="N113" s="1056"/>
      <c r="O113" s="1056"/>
      <c r="P113" s="1056"/>
      <c r="Q113" s="1056"/>
      <c r="R113" s="1056"/>
      <c r="S113" s="1056"/>
      <c r="T113" s="1056"/>
      <c r="U113" s="1056"/>
      <c r="V113" s="1056"/>
      <c r="W113" s="1056"/>
      <c r="X113" s="1056"/>
      <c r="Y113" s="1056"/>
      <c r="Z113" s="1056"/>
      <c r="AA113" s="1056"/>
      <c r="AB113" s="1056"/>
      <c r="AC113" s="1056"/>
    </row>
    <row r="114" spans="1:29" x14ac:dyDescent="0.25">
      <c r="A114" s="1106"/>
      <c r="B114" s="1056"/>
      <c r="C114" s="1056"/>
      <c r="D114" s="1056"/>
      <c r="E114" s="1056"/>
      <c r="F114" s="1056"/>
      <c r="G114" s="1056"/>
      <c r="H114" s="1056"/>
      <c r="I114" s="1056"/>
      <c r="J114" s="1056"/>
      <c r="K114" s="1056"/>
      <c r="L114" s="1056"/>
      <c r="M114" s="1056"/>
      <c r="N114" s="1056"/>
      <c r="O114" s="1056"/>
      <c r="P114" s="1056"/>
      <c r="Q114" s="1056"/>
      <c r="R114" s="1056"/>
      <c r="S114" s="1056"/>
      <c r="T114" s="1056"/>
      <c r="U114" s="1056"/>
      <c r="V114" s="1056"/>
      <c r="W114" s="1056"/>
      <c r="X114" s="1056"/>
      <c r="Y114" s="1056"/>
      <c r="Z114" s="1056"/>
      <c r="AA114" s="1056"/>
      <c r="AB114" s="1056"/>
      <c r="AC114" s="1056"/>
    </row>
    <row r="115" spans="1:29" x14ac:dyDescent="0.25">
      <c r="A115" s="1106"/>
      <c r="B115" s="1056"/>
      <c r="C115" s="1056"/>
      <c r="D115" s="1056"/>
      <c r="E115" s="1056"/>
      <c r="F115" s="1056"/>
      <c r="G115" s="1056"/>
      <c r="H115" s="1056"/>
      <c r="I115" s="1056"/>
      <c r="J115" s="1056"/>
      <c r="K115" s="1056"/>
      <c r="L115" s="1056"/>
      <c r="M115" s="1056"/>
      <c r="N115" s="1056"/>
      <c r="O115" s="1056"/>
      <c r="P115" s="1056"/>
      <c r="Q115" s="1056"/>
      <c r="R115" s="1056"/>
      <c r="S115" s="1056"/>
      <c r="T115" s="1056"/>
      <c r="U115" s="1056"/>
      <c r="V115" s="1056"/>
      <c r="W115" s="1056"/>
      <c r="X115" s="1056"/>
      <c r="Y115" s="1056"/>
      <c r="Z115" s="1056"/>
      <c r="AA115" s="1056"/>
      <c r="AB115" s="1056"/>
      <c r="AC115" s="1056"/>
    </row>
    <row r="116" spans="1:29" x14ac:dyDescent="0.25">
      <c r="A116" s="1106"/>
      <c r="B116" s="1056"/>
      <c r="C116" s="1056"/>
      <c r="D116" s="1056"/>
      <c r="E116" s="1056"/>
      <c r="F116" s="1056"/>
      <c r="G116" s="1056"/>
      <c r="H116" s="1056"/>
      <c r="I116" s="1056"/>
      <c r="J116" s="1056"/>
      <c r="K116" s="1056"/>
      <c r="L116" s="1056"/>
      <c r="M116" s="1056"/>
      <c r="N116" s="1056"/>
      <c r="O116" s="1056"/>
      <c r="P116" s="1056"/>
      <c r="Q116" s="1056"/>
      <c r="R116" s="1056"/>
      <c r="S116" s="1056"/>
      <c r="T116" s="1056"/>
      <c r="U116" s="1056"/>
      <c r="V116" s="1056"/>
      <c r="W116" s="1056"/>
      <c r="X116" s="1056"/>
      <c r="Y116" s="1056"/>
      <c r="Z116" s="1056"/>
      <c r="AA116" s="1056"/>
      <c r="AB116" s="1056"/>
      <c r="AC116" s="1056"/>
    </row>
    <row r="117" spans="1:29" x14ac:dyDescent="0.25">
      <c r="A117" s="1106"/>
      <c r="B117" s="1056"/>
      <c r="C117" s="1056"/>
      <c r="D117" s="1056"/>
      <c r="E117" s="1056"/>
      <c r="F117" s="1056"/>
      <c r="G117" s="1056"/>
      <c r="H117" s="1056"/>
      <c r="I117" s="1056"/>
      <c r="J117" s="1056"/>
      <c r="K117" s="1056"/>
      <c r="L117" s="1056"/>
      <c r="M117" s="1056"/>
      <c r="N117" s="1056"/>
      <c r="O117" s="1056"/>
      <c r="P117" s="1056"/>
      <c r="Q117" s="1056"/>
      <c r="R117" s="1056"/>
      <c r="S117" s="1056"/>
      <c r="T117" s="1056"/>
      <c r="U117" s="1056"/>
      <c r="V117" s="1056"/>
      <c r="W117" s="1056"/>
      <c r="X117" s="1056"/>
      <c r="Y117" s="1056"/>
      <c r="Z117" s="1056"/>
      <c r="AA117" s="1056"/>
      <c r="AB117" s="1056"/>
      <c r="AC117" s="1056"/>
    </row>
    <row r="118" spans="1:29" x14ac:dyDescent="0.25">
      <c r="A118" s="1106"/>
      <c r="B118" s="1056"/>
      <c r="C118" s="1056"/>
      <c r="D118" s="1056"/>
      <c r="E118" s="1056"/>
      <c r="F118" s="1056"/>
      <c r="G118" s="1056"/>
      <c r="H118" s="1056"/>
      <c r="I118" s="1056"/>
      <c r="J118" s="1056"/>
      <c r="K118" s="1056"/>
      <c r="L118" s="1056"/>
      <c r="M118" s="1056"/>
      <c r="N118" s="1056"/>
      <c r="O118" s="1056"/>
      <c r="P118" s="1056"/>
      <c r="Q118" s="1056"/>
      <c r="R118" s="1056"/>
      <c r="S118" s="1056"/>
      <c r="T118" s="1056"/>
      <c r="U118" s="1056"/>
      <c r="V118" s="1056"/>
      <c r="W118" s="1056"/>
      <c r="X118" s="1056"/>
      <c r="Y118" s="1056"/>
      <c r="Z118" s="1056"/>
      <c r="AA118" s="1056"/>
      <c r="AB118" s="1056"/>
      <c r="AC118" s="1056"/>
    </row>
    <row r="119" spans="1:29" x14ac:dyDescent="0.25">
      <c r="A119" s="1106"/>
      <c r="B119" s="1056"/>
      <c r="C119" s="1056"/>
      <c r="D119" s="1056"/>
      <c r="E119" s="1056"/>
      <c r="F119" s="1056"/>
      <c r="G119" s="1056"/>
      <c r="H119" s="1056"/>
      <c r="I119" s="1056"/>
      <c r="J119" s="1056"/>
      <c r="K119" s="1056"/>
      <c r="L119" s="1056"/>
      <c r="M119" s="1056"/>
      <c r="N119" s="1056"/>
      <c r="O119" s="1056"/>
      <c r="P119" s="1056"/>
      <c r="Q119" s="1056"/>
      <c r="R119" s="1056"/>
      <c r="S119" s="1056"/>
      <c r="T119" s="1056"/>
      <c r="U119" s="1056"/>
      <c r="V119" s="1056"/>
      <c r="W119" s="1056"/>
      <c r="X119" s="1056"/>
      <c r="Y119" s="1056"/>
      <c r="Z119" s="1056"/>
      <c r="AA119" s="1056"/>
      <c r="AB119" s="1056"/>
      <c r="AC119" s="1056"/>
    </row>
    <row r="120" spans="1:29" x14ac:dyDescent="0.25">
      <c r="A120" s="1106"/>
      <c r="B120" s="1056"/>
      <c r="C120" s="1056"/>
      <c r="D120" s="1056"/>
      <c r="E120" s="1056"/>
      <c r="F120" s="1056"/>
      <c r="G120" s="1056"/>
      <c r="H120" s="1056"/>
      <c r="I120" s="1056"/>
      <c r="J120" s="1056"/>
      <c r="K120" s="1056"/>
      <c r="L120" s="1056"/>
      <c r="M120" s="1056"/>
      <c r="N120" s="1056"/>
      <c r="O120" s="1056"/>
      <c r="P120" s="1056"/>
      <c r="Q120" s="1056"/>
      <c r="R120" s="1056"/>
      <c r="S120" s="1056"/>
      <c r="T120" s="1056"/>
      <c r="U120" s="1056"/>
      <c r="V120" s="1056"/>
      <c r="W120" s="1056"/>
      <c r="X120" s="1056"/>
      <c r="Y120" s="1056"/>
      <c r="Z120" s="1056"/>
      <c r="AA120" s="1056"/>
      <c r="AB120" s="1056"/>
      <c r="AC120" s="1056"/>
    </row>
    <row r="121" spans="1:29" x14ac:dyDescent="0.25">
      <c r="A121" s="1106"/>
      <c r="B121" s="1056"/>
      <c r="C121" s="1056"/>
      <c r="D121" s="1056"/>
      <c r="E121" s="1056"/>
      <c r="F121" s="1056"/>
      <c r="G121" s="1056"/>
      <c r="H121" s="1056"/>
      <c r="I121" s="1056"/>
      <c r="J121" s="1056"/>
      <c r="K121" s="1056"/>
      <c r="L121" s="1056"/>
      <c r="M121" s="1056"/>
      <c r="N121" s="1056"/>
      <c r="O121" s="1056"/>
      <c r="P121" s="1056"/>
      <c r="Q121" s="1056"/>
      <c r="R121" s="1056"/>
      <c r="S121" s="1056"/>
      <c r="T121" s="1056"/>
      <c r="U121" s="1056"/>
      <c r="V121" s="1056"/>
      <c r="W121" s="1056"/>
      <c r="X121" s="1056"/>
      <c r="Y121" s="1056"/>
      <c r="Z121" s="1056"/>
      <c r="AA121" s="1056"/>
      <c r="AB121" s="1056"/>
      <c r="AC121" s="1056"/>
    </row>
    <row r="122" spans="1:29" x14ac:dyDescent="0.25">
      <c r="A122" s="1106"/>
      <c r="B122" s="1056"/>
      <c r="C122" s="1056"/>
      <c r="D122" s="1056"/>
      <c r="E122" s="1056"/>
      <c r="F122" s="1056"/>
      <c r="G122" s="1056"/>
      <c r="H122" s="1056"/>
      <c r="I122" s="1056"/>
      <c r="J122" s="1056"/>
      <c r="K122" s="1056"/>
      <c r="L122" s="1056"/>
      <c r="M122" s="1056"/>
      <c r="N122" s="1056"/>
      <c r="O122" s="1056"/>
      <c r="P122" s="1056"/>
      <c r="Q122" s="1056"/>
      <c r="R122" s="1056"/>
      <c r="S122" s="1056"/>
      <c r="T122" s="1056"/>
      <c r="U122" s="1056"/>
      <c r="V122" s="1056"/>
      <c r="W122" s="1056"/>
      <c r="X122" s="1056"/>
      <c r="Y122" s="1056"/>
      <c r="Z122" s="1056"/>
      <c r="AA122" s="1056"/>
      <c r="AB122" s="1056"/>
      <c r="AC122" s="1056"/>
    </row>
    <row r="123" spans="1:29" x14ac:dyDescent="0.25">
      <c r="A123" s="1106"/>
      <c r="B123" s="1056"/>
      <c r="C123" s="1056"/>
      <c r="D123" s="1056"/>
      <c r="E123" s="1056"/>
      <c r="F123" s="1056"/>
      <c r="G123" s="1056"/>
      <c r="H123" s="1056"/>
      <c r="I123" s="1056"/>
      <c r="J123" s="1056"/>
      <c r="K123" s="1056"/>
      <c r="L123" s="1056"/>
      <c r="M123" s="1056"/>
      <c r="N123" s="1056"/>
      <c r="O123" s="1056"/>
      <c r="P123" s="1056"/>
      <c r="Q123" s="1056"/>
      <c r="R123" s="1056"/>
      <c r="S123" s="1056"/>
      <c r="T123" s="1056"/>
      <c r="U123" s="1056"/>
      <c r="V123" s="1056"/>
      <c r="W123" s="1056"/>
      <c r="X123" s="1056"/>
      <c r="Y123" s="1056"/>
      <c r="Z123" s="1056"/>
      <c r="AA123" s="1056"/>
      <c r="AB123" s="1056"/>
      <c r="AC123" s="1056"/>
    </row>
    <row r="124" spans="1:29" x14ac:dyDescent="0.25">
      <c r="A124" s="1106"/>
      <c r="B124" s="1056"/>
      <c r="C124" s="1056"/>
      <c r="D124" s="1056"/>
      <c r="E124" s="1056"/>
      <c r="F124" s="1056"/>
      <c r="G124" s="1056"/>
      <c r="H124" s="1056"/>
      <c r="I124" s="1056"/>
      <c r="J124" s="1056"/>
      <c r="K124" s="1056"/>
      <c r="L124" s="1056"/>
      <c r="M124" s="1056"/>
      <c r="N124" s="1056"/>
      <c r="O124" s="1056"/>
      <c r="P124" s="1056"/>
      <c r="Q124" s="1056"/>
      <c r="R124" s="1056"/>
      <c r="S124" s="1056"/>
      <c r="T124" s="1056"/>
      <c r="U124" s="1056"/>
      <c r="V124" s="1056"/>
      <c r="W124" s="1056"/>
      <c r="X124" s="1056"/>
      <c r="Y124" s="1056"/>
      <c r="Z124" s="1056"/>
      <c r="AA124" s="1056"/>
      <c r="AB124" s="1056"/>
      <c r="AC124" s="1056"/>
    </row>
    <row r="125" spans="1:29" x14ac:dyDescent="0.25">
      <c r="A125" s="1106"/>
      <c r="B125" s="1056"/>
      <c r="C125" s="1056"/>
      <c r="D125" s="1056"/>
      <c r="E125" s="1056"/>
      <c r="F125" s="1056"/>
      <c r="G125" s="1056"/>
      <c r="H125" s="1056"/>
      <c r="I125" s="1056"/>
      <c r="J125" s="1056"/>
      <c r="K125" s="1056"/>
      <c r="L125" s="1056"/>
      <c r="M125" s="1056"/>
      <c r="N125" s="1056"/>
      <c r="O125" s="1056"/>
      <c r="P125" s="1056"/>
      <c r="Q125" s="1056"/>
      <c r="R125" s="1056"/>
      <c r="S125" s="1056"/>
      <c r="T125" s="1056"/>
      <c r="U125" s="1056"/>
      <c r="V125" s="1056"/>
      <c r="W125" s="1056"/>
      <c r="X125" s="1056"/>
      <c r="Y125" s="1056"/>
      <c r="Z125" s="1056"/>
      <c r="AA125" s="1056"/>
      <c r="AB125" s="1056"/>
      <c r="AC125" s="1056"/>
    </row>
    <row r="126" spans="1:29" x14ac:dyDescent="0.25">
      <c r="A126" s="1106"/>
      <c r="B126" s="1056"/>
      <c r="C126" s="1056"/>
      <c r="D126" s="1056"/>
      <c r="E126" s="1056"/>
      <c r="F126" s="1056"/>
      <c r="G126" s="1056"/>
      <c r="H126" s="1056"/>
      <c r="I126" s="1056"/>
      <c r="J126" s="1056"/>
      <c r="K126" s="1056"/>
      <c r="L126" s="1056"/>
      <c r="M126" s="1056"/>
      <c r="N126" s="1056"/>
      <c r="O126" s="1056"/>
      <c r="P126" s="1056"/>
      <c r="Q126" s="1056"/>
      <c r="R126" s="1056"/>
      <c r="S126" s="1056"/>
      <c r="T126" s="1056"/>
      <c r="U126" s="1056"/>
      <c r="V126" s="1056"/>
      <c r="W126" s="1056"/>
      <c r="X126" s="1056"/>
      <c r="Y126" s="1056"/>
      <c r="Z126" s="1056"/>
      <c r="AA126" s="1056"/>
      <c r="AB126" s="1056"/>
      <c r="AC126" s="1056"/>
    </row>
    <row r="127" spans="1:29" x14ac:dyDescent="0.25">
      <c r="A127" s="1106"/>
      <c r="B127" s="1056"/>
      <c r="C127" s="1056"/>
      <c r="D127" s="1056"/>
      <c r="E127" s="1056"/>
      <c r="F127" s="1056"/>
      <c r="G127" s="1056"/>
      <c r="H127" s="1056"/>
      <c r="I127" s="1056"/>
      <c r="J127" s="1056"/>
      <c r="K127" s="1056"/>
      <c r="L127" s="1056"/>
      <c r="M127" s="1056"/>
      <c r="N127" s="1056"/>
      <c r="O127" s="1056"/>
      <c r="P127" s="1056"/>
      <c r="Q127" s="1056"/>
      <c r="R127" s="1056"/>
      <c r="S127" s="1056"/>
      <c r="T127" s="1056"/>
      <c r="U127" s="1056"/>
      <c r="V127" s="1056"/>
      <c r="W127" s="1056"/>
      <c r="X127" s="1056"/>
      <c r="Y127" s="1056"/>
      <c r="Z127" s="1056"/>
      <c r="AA127" s="1056"/>
      <c r="AB127" s="1056"/>
      <c r="AC127" s="1056"/>
    </row>
    <row r="128" spans="1:29" x14ac:dyDescent="0.25">
      <c r="A128" s="1106"/>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6"/>
      <c r="X128" s="1056"/>
      <c r="Y128" s="1056"/>
      <c r="Z128" s="1056"/>
      <c r="AA128" s="1056"/>
      <c r="AB128" s="1056"/>
      <c r="AC128" s="1056"/>
    </row>
    <row r="129" spans="1:29" x14ac:dyDescent="0.25">
      <c r="A129" s="1106"/>
      <c r="B129" s="1056"/>
      <c r="C129" s="1056"/>
      <c r="D129" s="1056"/>
      <c r="E129" s="1056"/>
      <c r="F129" s="1056"/>
      <c r="G129" s="1056"/>
      <c r="H129" s="1056"/>
      <c r="I129" s="1056"/>
      <c r="J129" s="1056"/>
      <c r="K129" s="1056"/>
      <c r="L129" s="1056"/>
      <c r="M129" s="1056"/>
      <c r="N129" s="1056"/>
      <c r="O129" s="1056"/>
      <c r="P129" s="1056"/>
      <c r="Q129" s="1056"/>
      <c r="R129" s="1056"/>
      <c r="S129" s="1056"/>
      <c r="T129" s="1056"/>
      <c r="U129" s="1056"/>
      <c r="V129" s="1056"/>
      <c r="W129" s="1056"/>
      <c r="X129" s="1056"/>
      <c r="Y129" s="1056"/>
      <c r="Z129" s="1056"/>
      <c r="AA129" s="1056"/>
      <c r="AB129" s="1056"/>
      <c r="AC129" s="1056"/>
    </row>
    <row r="130" spans="1:29" x14ac:dyDescent="0.25">
      <c r="A130" s="1106"/>
      <c r="B130" s="1056"/>
      <c r="C130" s="1056"/>
      <c r="D130" s="1056"/>
      <c r="E130" s="1056"/>
      <c r="F130" s="1056"/>
      <c r="G130" s="1056"/>
      <c r="H130" s="1056"/>
      <c r="I130" s="1056"/>
      <c r="J130" s="1056"/>
      <c r="K130" s="1056"/>
      <c r="L130" s="1056"/>
      <c r="M130" s="1056"/>
      <c r="N130" s="1056"/>
      <c r="O130" s="1056"/>
      <c r="P130" s="1056"/>
      <c r="Q130" s="1056"/>
      <c r="R130" s="1056"/>
      <c r="S130" s="1056"/>
      <c r="T130" s="1056"/>
      <c r="U130" s="1056"/>
      <c r="V130" s="1056"/>
      <c r="W130" s="1056"/>
      <c r="X130" s="1056"/>
      <c r="Y130" s="1056"/>
      <c r="Z130" s="1056"/>
      <c r="AA130" s="1056"/>
      <c r="AB130" s="1056"/>
      <c r="AC130" s="1056"/>
    </row>
    <row r="131" spans="1:29" x14ac:dyDescent="0.25">
      <c r="A131" s="1106"/>
      <c r="B131" s="1056"/>
      <c r="C131" s="1056"/>
      <c r="D131" s="1056"/>
      <c r="E131" s="1056"/>
      <c r="F131" s="1056"/>
      <c r="G131" s="1056"/>
      <c r="H131" s="1056"/>
      <c r="I131" s="1056"/>
      <c r="J131" s="1056"/>
      <c r="K131" s="1056"/>
      <c r="L131" s="1056"/>
      <c r="M131" s="1056"/>
      <c r="N131" s="1056"/>
      <c r="O131" s="1056"/>
      <c r="P131" s="1056"/>
      <c r="Q131" s="1056"/>
      <c r="R131" s="1056"/>
      <c r="S131" s="1056"/>
      <c r="T131" s="1056"/>
      <c r="U131" s="1056"/>
      <c r="V131" s="1056"/>
      <c r="W131" s="1056"/>
      <c r="X131" s="1056"/>
      <c r="Y131" s="1056"/>
      <c r="Z131" s="1056"/>
      <c r="AA131" s="1056"/>
      <c r="AB131" s="1056"/>
      <c r="AC131" s="1056"/>
    </row>
    <row r="132" spans="1:29" x14ac:dyDescent="0.25">
      <c r="A132" s="1106"/>
      <c r="B132" s="1056"/>
      <c r="C132" s="1056"/>
      <c r="D132" s="1056"/>
      <c r="E132" s="1056"/>
      <c r="F132" s="1056"/>
      <c r="G132" s="1056"/>
      <c r="H132" s="1056"/>
      <c r="I132" s="1056"/>
      <c r="J132" s="1056"/>
      <c r="K132" s="1056"/>
      <c r="L132" s="1056"/>
      <c r="M132" s="1056"/>
      <c r="N132" s="1056"/>
      <c r="O132" s="1056"/>
      <c r="P132" s="1056"/>
      <c r="Q132" s="1056"/>
      <c r="R132" s="1056"/>
      <c r="S132" s="1056"/>
      <c r="T132" s="1056"/>
      <c r="U132" s="1056"/>
      <c r="V132" s="1056"/>
      <c r="W132" s="1056"/>
      <c r="X132" s="1056"/>
      <c r="Y132" s="1056"/>
      <c r="Z132" s="1056"/>
      <c r="AA132" s="1056"/>
      <c r="AB132" s="1056"/>
      <c r="AC132" s="1056"/>
    </row>
    <row r="133" spans="1:29" x14ac:dyDescent="0.25">
      <c r="A133" s="1106"/>
      <c r="B133" s="1056"/>
      <c r="C133" s="1056"/>
      <c r="D133" s="1056"/>
      <c r="E133" s="1056"/>
      <c r="F133" s="1056"/>
      <c r="G133" s="1056"/>
      <c r="H133" s="1056"/>
      <c r="I133" s="1056"/>
      <c r="J133" s="1056"/>
      <c r="K133" s="1056"/>
      <c r="L133" s="1056"/>
      <c r="M133" s="1056"/>
      <c r="N133" s="1056"/>
      <c r="O133" s="1056"/>
      <c r="P133" s="1056"/>
      <c r="Q133" s="1056"/>
      <c r="R133" s="1056"/>
      <c r="S133" s="1056"/>
      <c r="T133" s="1056"/>
      <c r="U133" s="1056"/>
      <c r="V133" s="1056"/>
      <c r="W133" s="1056"/>
      <c r="X133" s="1056"/>
      <c r="Y133" s="1056"/>
      <c r="Z133" s="1056"/>
      <c r="AA133" s="1056"/>
      <c r="AB133" s="1056"/>
      <c r="AC133" s="1056"/>
    </row>
    <row r="134" spans="1:29" x14ac:dyDescent="0.25">
      <c r="A134" s="1106"/>
      <c r="B134" s="1056"/>
      <c r="C134" s="1056"/>
      <c r="D134" s="1056"/>
      <c r="E134" s="1056"/>
      <c r="F134" s="1056"/>
      <c r="G134" s="1056"/>
      <c r="H134" s="1056"/>
      <c r="I134" s="1056"/>
      <c r="J134" s="1056"/>
      <c r="K134" s="1056"/>
      <c r="L134" s="1056"/>
      <c r="M134" s="1056"/>
      <c r="N134" s="1056"/>
      <c r="O134" s="1056"/>
      <c r="P134" s="1056"/>
      <c r="Q134" s="1056"/>
      <c r="R134" s="1056"/>
      <c r="S134" s="1056"/>
      <c r="T134" s="1056"/>
      <c r="U134" s="1056"/>
      <c r="V134" s="1056"/>
      <c r="W134" s="1056"/>
      <c r="X134" s="1056"/>
      <c r="Y134" s="1056"/>
      <c r="Z134" s="1056"/>
      <c r="AA134" s="1056"/>
      <c r="AB134" s="1056"/>
      <c r="AC134" s="1056"/>
    </row>
    <row r="135" spans="1:29" x14ac:dyDescent="0.25">
      <c r="A135" s="1106"/>
      <c r="B135" s="1056"/>
      <c r="C135" s="1056"/>
      <c r="D135" s="1056"/>
      <c r="E135" s="1056"/>
      <c r="F135" s="1056"/>
      <c r="G135" s="1056"/>
      <c r="H135" s="1056"/>
      <c r="I135" s="1056"/>
      <c r="J135" s="1056"/>
      <c r="K135" s="1056"/>
      <c r="L135" s="1056"/>
      <c r="M135" s="1056"/>
      <c r="N135" s="1056"/>
      <c r="O135" s="1056"/>
      <c r="P135" s="1056"/>
      <c r="Q135" s="1056"/>
      <c r="R135" s="1056"/>
      <c r="S135" s="1056"/>
      <c r="T135" s="1056"/>
      <c r="U135" s="1056"/>
      <c r="V135" s="1056"/>
      <c r="W135" s="1056"/>
      <c r="X135" s="1056"/>
      <c r="Y135" s="1056"/>
      <c r="Z135" s="1056"/>
      <c r="AA135" s="1056"/>
      <c r="AB135" s="1056"/>
      <c r="AC135" s="1056"/>
    </row>
    <row r="136" spans="1:29" x14ac:dyDescent="0.25">
      <c r="A136" s="1106"/>
      <c r="B136" s="1056"/>
      <c r="C136" s="1056"/>
      <c r="D136" s="1056"/>
      <c r="E136" s="1056"/>
      <c r="F136" s="1056"/>
      <c r="G136" s="1056"/>
      <c r="H136" s="1056"/>
      <c r="I136" s="1056"/>
      <c r="J136" s="1056"/>
      <c r="K136" s="1056"/>
      <c r="L136" s="1056"/>
      <c r="M136" s="1056"/>
      <c r="N136" s="1056"/>
      <c r="O136" s="1056"/>
      <c r="P136" s="1056"/>
      <c r="Q136" s="1056"/>
      <c r="R136" s="1056"/>
      <c r="S136" s="1056"/>
      <c r="T136" s="1056"/>
      <c r="U136" s="1056"/>
      <c r="V136" s="1056"/>
      <c r="W136" s="1056"/>
      <c r="X136" s="1056"/>
      <c r="Y136" s="1056"/>
      <c r="Z136" s="1056"/>
      <c r="AA136" s="1056"/>
      <c r="AB136" s="1056"/>
      <c r="AC136" s="1056"/>
    </row>
    <row r="137" spans="1:29" x14ac:dyDescent="0.25">
      <c r="A137" s="1106"/>
      <c r="B137" s="1056"/>
      <c r="C137" s="1056"/>
      <c r="D137" s="1056"/>
      <c r="E137" s="1056"/>
      <c r="F137" s="1056"/>
      <c r="G137" s="1056"/>
      <c r="H137" s="1056"/>
      <c r="I137" s="1056"/>
      <c r="J137" s="1056"/>
      <c r="K137" s="1056"/>
      <c r="L137" s="1056"/>
      <c r="M137" s="1056"/>
      <c r="N137" s="1056"/>
      <c r="O137" s="1056"/>
      <c r="P137" s="1056"/>
      <c r="Q137" s="1056"/>
      <c r="R137" s="1056"/>
      <c r="S137" s="1056"/>
      <c r="T137" s="1056"/>
      <c r="U137" s="1056"/>
      <c r="V137" s="1056"/>
      <c r="W137" s="1056"/>
      <c r="X137" s="1056"/>
      <c r="Y137" s="1056"/>
      <c r="Z137" s="1056"/>
      <c r="AA137" s="1056"/>
      <c r="AB137" s="1056"/>
      <c r="AC137" s="1056"/>
    </row>
    <row r="138" spans="1:29" x14ac:dyDescent="0.25">
      <c r="A138" s="1106"/>
      <c r="B138" s="1056"/>
      <c r="C138" s="1056"/>
      <c r="D138" s="1056"/>
      <c r="E138" s="1056"/>
      <c r="F138" s="1056"/>
      <c r="G138" s="1056"/>
      <c r="H138" s="1056"/>
      <c r="I138" s="1056"/>
      <c r="J138" s="1056"/>
      <c r="K138" s="1056"/>
      <c r="L138" s="1056"/>
      <c r="M138" s="1056"/>
      <c r="N138" s="1056"/>
      <c r="O138" s="1056"/>
      <c r="P138" s="1056"/>
      <c r="Q138" s="1056"/>
      <c r="R138" s="1056"/>
      <c r="S138" s="1056"/>
      <c r="T138" s="1056"/>
      <c r="U138" s="1056"/>
      <c r="V138" s="1056"/>
      <c r="W138" s="1056"/>
      <c r="X138" s="1056"/>
      <c r="Y138" s="1056"/>
      <c r="Z138" s="1056"/>
      <c r="AA138" s="1056"/>
      <c r="AB138" s="1056"/>
      <c r="AC138" s="1056"/>
    </row>
    <row r="139" spans="1:29" x14ac:dyDescent="0.25">
      <c r="A139" s="1106"/>
      <c r="B139" s="1056"/>
      <c r="C139" s="1056"/>
      <c r="D139" s="1056"/>
      <c r="E139" s="1056"/>
      <c r="F139" s="1056"/>
      <c r="G139" s="1056"/>
      <c r="H139" s="1056"/>
      <c r="I139" s="1056"/>
      <c r="J139" s="1056"/>
      <c r="K139" s="1056"/>
      <c r="L139" s="1056"/>
      <c r="M139" s="1056"/>
      <c r="N139" s="1056"/>
      <c r="O139" s="1056"/>
      <c r="P139" s="1056"/>
      <c r="Q139" s="1056"/>
      <c r="R139" s="1056"/>
      <c r="S139" s="1056"/>
      <c r="T139" s="1056"/>
      <c r="U139" s="1056"/>
      <c r="V139" s="1056"/>
      <c r="W139" s="1056"/>
      <c r="X139" s="1056"/>
      <c r="Y139" s="1056"/>
      <c r="Z139" s="1056"/>
      <c r="AA139" s="1056"/>
      <c r="AB139" s="1056"/>
      <c r="AC139" s="1056"/>
    </row>
    <row r="140" spans="1:29" x14ac:dyDescent="0.25">
      <c r="A140" s="1106"/>
      <c r="B140" s="1056"/>
      <c r="C140" s="1056"/>
      <c r="D140" s="1056"/>
      <c r="E140" s="1056"/>
      <c r="F140" s="1056"/>
      <c r="G140" s="1056"/>
      <c r="H140" s="1056"/>
      <c r="I140" s="1056"/>
      <c r="J140" s="1056"/>
      <c r="K140" s="1056"/>
      <c r="L140" s="1056"/>
      <c r="M140" s="1056"/>
      <c r="N140" s="1056"/>
      <c r="O140" s="1056"/>
      <c r="P140" s="1056"/>
      <c r="Q140" s="1056"/>
      <c r="R140" s="1056"/>
      <c r="S140" s="1056"/>
      <c r="T140" s="1056"/>
      <c r="U140" s="1056"/>
      <c r="V140" s="1056"/>
      <c r="W140" s="1056"/>
      <c r="X140" s="1056"/>
      <c r="Y140" s="1056"/>
      <c r="Z140" s="1056"/>
      <c r="AA140" s="1056"/>
      <c r="AB140" s="1056"/>
      <c r="AC140" s="1056"/>
    </row>
    <row r="141" spans="1:29" x14ac:dyDescent="0.25">
      <c r="A141" s="1106"/>
      <c r="B141" s="1056"/>
      <c r="C141" s="1056"/>
      <c r="D141" s="1056"/>
      <c r="E141" s="1056"/>
      <c r="F141" s="1056"/>
      <c r="G141" s="1056"/>
      <c r="H141" s="1056"/>
      <c r="I141" s="1056"/>
      <c r="J141" s="1056"/>
      <c r="K141" s="1056"/>
      <c r="L141" s="1056"/>
      <c r="M141" s="1056"/>
      <c r="N141" s="1056"/>
      <c r="O141" s="1056"/>
      <c r="P141" s="1056"/>
      <c r="Q141" s="1056"/>
      <c r="R141" s="1056"/>
      <c r="S141" s="1056"/>
      <c r="T141" s="1056"/>
      <c r="U141" s="1056"/>
      <c r="V141" s="1056"/>
      <c r="W141" s="1056"/>
      <c r="X141" s="1056"/>
      <c r="Y141" s="1056"/>
      <c r="Z141" s="1056"/>
      <c r="AA141" s="1056"/>
      <c r="AB141" s="1056"/>
      <c r="AC141" s="1056"/>
    </row>
    <row r="142" spans="1:29" x14ac:dyDescent="0.25">
      <c r="A142" s="1106"/>
      <c r="B142" s="1056"/>
      <c r="C142" s="1056"/>
      <c r="D142" s="1056"/>
      <c r="E142" s="1056"/>
      <c r="F142" s="1056"/>
      <c r="G142" s="1056"/>
      <c r="H142" s="1056"/>
      <c r="I142" s="1056"/>
      <c r="J142" s="1056"/>
      <c r="K142" s="1056"/>
      <c r="L142" s="1056"/>
      <c r="M142" s="1056"/>
      <c r="N142" s="1056"/>
      <c r="O142" s="1056"/>
      <c r="P142" s="1056"/>
      <c r="Q142" s="1056"/>
      <c r="R142" s="1056"/>
      <c r="S142" s="1056"/>
      <c r="T142" s="1056"/>
      <c r="U142" s="1056"/>
      <c r="V142" s="1056"/>
      <c r="W142" s="1056"/>
      <c r="X142" s="1056"/>
      <c r="Y142" s="1056"/>
      <c r="Z142" s="1056"/>
      <c r="AA142" s="1056"/>
      <c r="AB142" s="1056"/>
      <c r="AC142" s="1056"/>
    </row>
    <row r="143" spans="1:29" x14ac:dyDescent="0.25">
      <c r="A143" s="1106"/>
      <c r="B143" s="1056"/>
      <c r="C143" s="1056"/>
      <c r="D143" s="1056"/>
      <c r="E143" s="1056"/>
      <c r="F143" s="1056"/>
      <c r="G143" s="1056"/>
      <c r="H143" s="1056"/>
      <c r="I143" s="1056"/>
      <c r="J143" s="1056"/>
      <c r="K143" s="1056"/>
      <c r="L143" s="1056"/>
      <c r="M143" s="1056"/>
      <c r="N143" s="1056"/>
      <c r="O143" s="1056"/>
      <c r="P143" s="1056"/>
      <c r="Q143" s="1056"/>
      <c r="R143" s="1056"/>
      <c r="S143" s="1056"/>
      <c r="T143" s="1056"/>
      <c r="U143" s="1056"/>
      <c r="V143" s="1056"/>
      <c r="W143" s="1056"/>
      <c r="X143" s="1056"/>
      <c r="Y143" s="1056"/>
      <c r="Z143" s="1056"/>
      <c r="AA143" s="1056"/>
      <c r="AB143" s="1056"/>
      <c r="AC143" s="1056"/>
    </row>
    <row r="144" spans="1:29" x14ac:dyDescent="0.25">
      <c r="A144" s="1106"/>
      <c r="B144" s="1056"/>
      <c r="C144" s="1056"/>
      <c r="D144" s="1056"/>
      <c r="E144" s="1056"/>
      <c r="F144" s="1056"/>
      <c r="G144" s="1056"/>
      <c r="H144" s="1056"/>
      <c r="I144" s="1056"/>
      <c r="J144" s="1056"/>
      <c r="K144" s="1056"/>
      <c r="L144" s="1056"/>
      <c r="M144" s="1056"/>
      <c r="N144" s="1056"/>
      <c r="O144" s="1056"/>
      <c r="P144" s="1056"/>
      <c r="Q144" s="1056"/>
      <c r="R144" s="1056"/>
      <c r="S144" s="1056"/>
      <c r="T144" s="1056"/>
      <c r="U144" s="1056"/>
      <c r="V144" s="1056"/>
      <c r="W144" s="1056"/>
      <c r="X144" s="1056"/>
      <c r="Y144" s="1056"/>
      <c r="Z144" s="1056"/>
      <c r="AA144" s="1056"/>
      <c r="AB144" s="1056"/>
      <c r="AC144" s="1056"/>
    </row>
    <row r="145" spans="1:29" x14ac:dyDescent="0.25">
      <c r="A145" s="1106"/>
      <c r="B145" s="1056"/>
      <c r="C145" s="1056"/>
      <c r="D145" s="1056"/>
      <c r="E145" s="1056"/>
      <c r="F145" s="1056"/>
      <c r="G145" s="1056"/>
      <c r="H145" s="1056"/>
      <c r="I145" s="1056"/>
      <c r="J145" s="1056"/>
      <c r="K145" s="1056"/>
      <c r="L145" s="1056"/>
      <c r="M145" s="1056"/>
      <c r="N145" s="1056"/>
      <c r="O145" s="1056"/>
      <c r="P145" s="1056"/>
      <c r="Q145" s="1056"/>
      <c r="R145" s="1056"/>
      <c r="S145" s="1056"/>
      <c r="T145" s="1056"/>
      <c r="U145" s="1056"/>
      <c r="V145" s="1056"/>
      <c r="W145" s="1056"/>
      <c r="X145" s="1056"/>
      <c r="Y145" s="1056"/>
      <c r="Z145" s="1056"/>
      <c r="AA145" s="1056"/>
      <c r="AB145" s="1056"/>
      <c r="AC145" s="1056"/>
    </row>
    <row r="146" spans="1:29" x14ac:dyDescent="0.25">
      <c r="A146" s="1106"/>
      <c r="B146" s="1056"/>
      <c r="C146" s="1056"/>
      <c r="D146" s="1056"/>
      <c r="E146" s="1056"/>
      <c r="F146" s="1056"/>
      <c r="G146" s="1056"/>
      <c r="H146" s="1056"/>
      <c r="I146" s="1056"/>
      <c r="J146" s="1056"/>
      <c r="K146" s="1056"/>
      <c r="L146" s="1056"/>
      <c r="M146" s="1056"/>
      <c r="N146" s="1056"/>
      <c r="O146" s="1056"/>
      <c r="P146" s="1056"/>
      <c r="Q146" s="1056"/>
      <c r="R146" s="1056"/>
      <c r="S146" s="1056"/>
      <c r="T146" s="1056"/>
      <c r="U146" s="1056"/>
      <c r="V146" s="1056"/>
      <c r="W146" s="1056"/>
      <c r="X146" s="1056"/>
      <c r="Y146" s="1056"/>
      <c r="Z146" s="1056"/>
      <c r="AA146" s="1056"/>
      <c r="AB146" s="1056"/>
      <c r="AC146" s="1056"/>
    </row>
    <row r="147" spans="1:29" x14ac:dyDescent="0.25">
      <c r="A147" s="1106"/>
      <c r="B147" s="1056"/>
      <c r="C147" s="1056"/>
      <c r="D147" s="1056"/>
      <c r="E147" s="1056"/>
      <c r="F147" s="1056"/>
      <c r="G147" s="1056"/>
      <c r="H147" s="1056"/>
      <c r="I147" s="1056"/>
      <c r="J147" s="1056"/>
      <c r="K147" s="1056"/>
      <c r="L147" s="1056"/>
      <c r="M147" s="1056"/>
      <c r="N147" s="1056"/>
      <c r="O147" s="1056"/>
      <c r="P147" s="1056"/>
      <c r="Q147" s="1056"/>
      <c r="R147" s="1056"/>
      <c r="S147" s="1056"/>
      <c r="T147" s="1056"/>
      <c r="U147" s="1056"/>
      <c r="V147" s="1056"/>
      <c r="W147" s="1056"/>
      <c r="X147" s="1056"/>
      <c r="Y147" s="1056"/>
      <c r="Z147" s="1056"/>
      <c r="AA147" s="1056"/>
      <c r="AB147" s="1056"/>
      <c r="AC147" s="1056"/>
    </row>
    <row r="148" spans="1:29" x14ac:dyDescent="0.25">
      <c r="A148" s="1106"/>
      <c r="B148" s="1056"/>
      <c r="C148" s="1056"/>
      <c r="D148" s="1056"/>
      <c r="E148" s="1056"/>
      <c r="F148" s="1056"/>
      <c r="G148" s="1056"/>
      <c r="H148" s="1056"/>
      <c r="I148" s="1056"/>
      <c r="J148" s="1056"/>
      <c r="K148" s="1056"/>
      <c r="L148" s="1056"/>
      <c r="M148" s="1056"/>
      <c r="N148" s="1056"/>
      <c r="O148" s="1056"/>
      <c r="P148" s="1056"/>
      <c r="Q148" s="1056"/>
      <c r="R148" s="1056"/>
      <c r="S148" s="1056"/>
      <c r="T148" s="1056"/>
      <c r="U148" s="1056"/>
      <c r="V148" s="1056"/>
      <c r="W148" s="1056"/>
      <c r="X148" s="1056"/>
      <c r="Y148" s="1056"/>
      <c r="Z148" s="1056"/>
      <c r="AA148" s="1056"/>
      <c r="AB148" s="1056"/>
      <c r="AC148" s="1056"/>
    </row>
    <row r="149" spans="1:29" x14ac:dyDescent="0.25">
      <c r="A149" s="1106"/>
      <c r="B149" s="1056"/>
      <c r="C149" s="1056"/>
      <c r="D149" s="1056"/>
      <c r="E149" s="1056"/>
      <c r="F149" s="1056"/>
      <c r="G149" s="1056"/>
      <c r="H149" s="1056"/>
      <c r="I149" s="1056"/>
      <c r="J149" s="1056"/>
      <c r="K149" s="1056"/>
      <c r="L149" s="1056"/>
      <c r="M149" s="1056"/>
      <c r="N149" s="1056"/>
      <c r="O149" s="1056"/>
      <c r="P149" s="1056"/>
      <c r="Q149" s="1056"/>
      <c r="R149" s="1056"/>
      <c r="S149" s="1056"/>
      <c r="T149" s="1056"/>
      <c r="U149" s="1056"/>
      <c r="V149" s="1056"/>
      <c r="W149" s="1056"/>
      <c r="X149" s="1056"/>
      <c r="Y149" s="1056"/>
      <c r="Z149" s="1056"/>
      <c r="AA149" s="1056"/>
      <c r="AB149" s="1056"/>
      <c r="AC149" s="1056"/>
    </row>
    <row r="150" spans="1:29" x14ac:dyDescent="0.25">
      <c r="A150" s="1106"/>
      <c r="B150" s="1056"/>
      <c r="C150" s="1056"/>
      <c r="D150" s="1056"/>
      <c r="E150" s="1056"/>
      <c r="F150" s="1056"/>
      <c r="G150" s="1056"/>
      <c r="H150" s="1056"/>
      <c r="I150" s="1056"/>
      <c r="J150" s="1056"/>
      <c r="K150" s="1056"/>
      <c r="L150" s="1056"/>
      <c r="M150" s="1056"/>
      <c r="N150" s="1056"/>
      <c r="O150" s="1056"/>
      <c r="P150" s="1056"/>
      <c r="Q150" s="1056"/>
      <c r="R150" s="1056"/>
      <c r="S150" s="1056"/>
      <c r="T150" s="1056"/>
      <c r="U150" s="1056"/>
      <c r="V150" s="1056"/>
      <c r="W150" s="1056"/>
      <c r="X150" s="1056"/>
      <c r="Y150" s="1056"/>
      <c r="Z150" s="1056"/>
      <c r="AA150" s="1056"/>
      <c r="AB150" s="1056"/>
      <c r="AC150" s="1056"/>
    </row>
    <row r="151" spans="1:29" x14ac:dyDescent="0.25">
      <c r="A151" s="1106"/>
      <c r="B151" s="1056"/>
      <c r="C151" s="1056"/>
      <c r="D151" s="1056"/>
      <c r="E151" s="1056"/>
      <c r="F151" s="1056"/>
      <c r="G151" s="1056"/>
      <c r="H151" s="1056"/>
      <c r="I151" s="1056"/>
      <c r="J151" s="1056"/>
      <c r="K151" s="1056"/>
      <c r="L151" s="1056"/>
      <c r="M151" s="1056"/>
      <c r="N151" s="1056"/>
      <c r="O151" s="1056"/>
      <c r="P151" s="1056"/>
      <c r="Q151" s="1056"/>
      <c r="R151" s="1056"/>
      <c r="S151" s="1056"/>
      <c r="T151" s="1056"/>
      <c r="U151" s="1056"/>
      <c r="V151" s="1056"/>
      <c r="W151" s="1056"/>
      <c r="X151" s="1056"/>
      <c r="Y151" s="1056"/>
      <c r="Z151" s="1056"/>
      <c r="AA151" s="1056"/>
      <c r="AB151" s="1056"/>
      <c r="AC151" s="1056"/>
    </row>
    <row r="152" spans="1:29" x14ac:dyDescent="0.25">
      <c r="A152" s="1106"/>
      <c r="B152" s="1056"/>
      <c r="C152" s="1056"/>
      <c r="D152" s="1056"/>
      <c r="E152" s="1056"/>
      <c r="F152" s="1056"/>
      <c r="G152" s="1056"/>
      <c r="H152" s="1056"/>
      <c r="I152" s="1056"/>
      <c r="J152" s="1056"/>
      <c r="K152" s="1056"/>
      <c r="L152" s="1056"/>
      <c r="M152" s="1056"/>
      <c r="N152" s="1056"/>
      <c r="O152" s="1056"/>
      <c r="P152" s="1056"/>
      <c r="Q152" s="1056"/>
      <c r="R152" s="1056"/>
      <c r="S152" s="1056"/>
      <c r="T152" s="1056"/>
      <c r="U152" s="1056"/>
      <c r="V152" s="1056"/>
      <c r="W152" s="1056"/>
      <c r="X152" s="1056"/>
      <c r="Y152" s="1056"/>
      <c r="Z152" s="1056"/>
      <c r="AA152" s="1056"/>
      <c r="AB152" s="1056"/>
      <c r="AC152" s="1056"/>
    </row>
    <row r="153" spans="1:29" x14ac:dyDescent="0.25">
      <c r="A153" s="1106"/>
      <c r="B153" s="1056"/>
      <c r="C153" s="1056"/>
      <c r="D153" s="1056"/>
      <c r="E153" s="1056"/>
      <c r="F153" s="1056"/>
      <c r="G153" s="1056"/>
      <c r="H153" s="1056"/>
      <c r="I153" s="1056"/>
      <c r="J153" s="1056"/>
      <c r="K153" s="1056"/>
      <c r="L153" s="1056"/>
      <c r="M153" s="1056"/>
      <c r="N153" s="1056"/>
      <c r="O153" s="1056"/>
      <c r="P153" s="1056"/>
      <c r="Q153" s="1056"/>
      <c r="R153" s="1056"/>
      <c r="S153" s="1056"/>
      <c r="T153" s="1056"/>
      <c r="U153" s="1056"/>
      <c r="V153" s="1056"/>
      <c r="W153" s="1056"/>
      <c r="X153" s="1056"/>
      <c r="Y153" s="1056"/>
      <c r="Z153" s="1056"/>
      <c r="AA153" s="1056"/>
      <c r="AB153" s="1056"/>
      <c r="AC153" s="1056"/>
    </row>
    <row r="154" spans="1:29" x14ac:dyDescent="0.25">
      <c r="A154" s="1106"/>
      <c r="B154" s="1056"/>
      <c r="C154" s="1056"/>
      <c r="D154" s="1056"/>
      <c r="E154" s="1056"/>
      <c r="F154" s="1056"/>
      <c r="G154" s="1056"/>
      <c r="H154" s="1056"/>
      <c r="I154" s="1056"/>
      <c r="J154" s="1056"/>
      <c r="K154" s="1056"/>
      <c r="L154" s="1056"/>
      <c r="M154" s="1056"/>
      <c r="N154" s="1056"/>
      <c r="O154" s="1056"/>
      <c r="P154" s="1056"/>
      <c r="Q154" s="1056"/>
      <c r="R154" s="1056"/>
      <c r="S154" s="1056"/>
      <c r="T154" s="1056"/>
      <c r="U154" s="1056"/>
      <c r="V154" s="1056"/>
      <c r="W154" s="1056"/>
      <c r="X154" s="1056"/>
      <c r="Y154" s="1056"/>
      <c r="Z154" s="1056"/>
      <c r="AA154" s="1056"/>
      <c r="AB154" s="1056"/>
      <c r="AC154" s="1056"/>
    </row>
    <row r="155" spans="1:29" x14ac:dyDescent="0.25">
      <c r="A155" s="1106"/>
      <c r="B155" s="1056"/>
      <c r="C155" s="1056"/>
      <c r="D155" s="1056"/>
      <c r="E155" s="1056"/>
      <c r="F155" s="1056"/>
      <c r="G155" s="1056"/>
      <c r="H155" s="1056"/>
      <c r="I155" s="1056"/>
      <c r="J155" s="1056"/>
      <c r="K155" s="1056"/>
      <c r="L155" s="1056"/>
      <c r="M155" s="1056"/>
      <c r="N155" s="1056"/>
      <c r="O155" s="1056"/>
      <c r="P155" s="1056"/>
      <c r="Q155" s="1056"/>
      <c r="R155" s="1056"/>
      <c r="S155" s="1056"/>
      <c r="T155" s="1056"/>
      <c r="U155" s="1056"/>
      <c r="V155" s="1056"/>
      <c r="W155" s="1056"/>
      <c r="X155" s="1056"/>
      <c r="Y155" s="1056"/>
      <c r="Z155" s="1056"/>
      <c r="AA155" s="1056"/>
      <c r="AB155" s="1056"/>
      <c r="AC155" s="1056"/>
    </row>
    <row r="156" spans="1:29" x14ac:dyDescent="0.25">
      <c r="A156" s="1106"/>
      <c r="B156" s="1056"/>
      <c r="C156" s="1056"/>
      <c r="D156" s="1056"/>
      <c r="E156" s="1056"/>
      <c r="F156" s="1056"/>
      <c r="G156" s="1056"/>
      <c r="H156" s="1056"/>
      <c r="I156" s="1056"/>
      <c r="J156" s="1056"/>
      <c r="K156" s="1056"/>
      <c r="L156" s="1056"/>
      <c r="M156" s="1056"/>
      <c r="N156" s="1056"/>
      <c r="O156" s="1056"/>
      <c r="P156" s="1056"/>
      <c r="Q156" s="1056"/>
      <c r="R156" s="1056"/>
      <c r="S156" s="1056"/>
      <c r="T156" s="1056"/>
      <c r="U156" s="1056"/>
      <c r="V156" s="1056"/>
      <c r="W156" s="1056"/>
      <c r="X156" s="1056"/>
      <c r="Y156" s="1056"/>
      <c r="Z156" s="1056"/>
      <c r="AA156" s="1056"/>
      <c r="AB156" s="1056"/>
      <c r="AC156" s="1056"/>
    </row>
    <row r="157" spans="1:29" x14ac:dyDescent="0.25">
      <c r="A157" s="1106"/>
      <c r="B157" s="1056"/>
      <c r="C157" s="1056"/>
      <c r="D157" s="1056"/>
      <c r="E157" s="1056"/>
      <c r="F157" s="1056"/>
      <c r="G157" s="1056"/>
      <c r="H157" s="1056"/>
      <c r="I157" s="1056"/>
      <c r="J157" s="1056"/>
      <c r="K157" s="1056"/>
      <c r="L157" s="1056"/>
      <c r="M157" s="1056"/>
      <c r="N157" s="1056"/>
      <c r="O157" s="1056"/>
      <c r="P157" s="1056"/>
      <c r="Q157" s="1056"/>
      <c r="R157" s="1056"/>
      <c r="S157" s="1056"/>
      <c r="T157" s="1056"/>
      <c r="U157" s="1056"/>
      <c r="V157" s="1056"/>
      <c r="W157" s="1056"/>
      <c r="X157" s="1056"/>
      <c r="Y157" s="1056"/>
      <c r="Z157" s="1056"/>
      <c r="AA157" s="1056"/>
      <c r="AB157" s="1056"/>
      <c r="AC157" s="1056"/>
    </row>
    <row r="158" spans="1:29" x14ac:dyDescent="0.25">
      <c r="A158" s="1106"/>
      <c r="B158" s="1056"/>
      <c r="C158" s="1056"/>
      <c r="D158" s="1056"/>
      <c r="E158" s="1056"/>
      <c r="F158" s="1056"/>
      <c r="G158" s="1056"/>
      <c r="H158" s="1056"/>
      <c r="I158" s="1056"/>
      <c r="J158" s="1056"/>
      <c r="K158" s="1056"/>
      <c r="L158" s="1056"/>
      <c r="M158" s="1056"/>
      <c r="N158" s="1056"/>
      <c r="O158" s="1056"/>
      <c r="P158" s="1056"/>
      <c r="Q158" s="1056"/>
      <c r="R158" s="1056"/>
      <c r="S158" s="1056"/>
      <c r="T158" s="1056"/>
      <c r="U158" s="1056"/>
      <c r="V158" s="1056"/>
      <c r="W158" s="1056"/>
      <c r="X158" s="1056"/>
      <c r="Y158" s="1056"/>
      <c r="Z158" s="1056"/>
      <c r="AA158" s="1056"/>
      <c r="AB158" s="1056"/>
      <c r="AC158" s="1056"/>
    </row>
    <row r="159" spans="1:29" x14ac:dyDescent="0.25">
      <c r="A159" s="1106"/>
      <c r="B159" s="1056"/>
      <c r="C159" s="1056"/>
      <c r="D159" s="1056"/>
      <c r="E159" s="1056"/>
      <c r="F159" s="1056"/>
      <c r="G159" s="1056"/>
      <c r="H159" s="1056"/>
      <c r="I159" s="1056"/>
      <c r="J159" s="1056"/>
      <c r="K159" s="1056"/>
      <c r="L159" s="1056"/>
      <c r="M159" s="1056"/>
      <c r="N159" s="1056"/>
      <c r="O159" s="1056"/>
      <c r="P159" s="1056"/>
      <c r="Q159" s="1056"/>
      <c r="R159" s="1056"/>
      <c r="S159" s="1056"/>
      <c r="T159" s="1056"/>
      <c r="U159" s="1056"/>
      <c r="V159" s="1056"/>
      <c r="W159" s="1056"/>
      <c r="X159" s="1056"/>
      <c r="Y159" s="1056"/>
      <c r="Z159" s="1056"/>
      <c r="AA159" s="1056"/>
      <c r="AB159" s="1056"/>
      <c r="AC159" s="1056"/>
    </row>
    <row r="160" spans="1:29" x14ac:dyDescent="0.25">
      <c r="A160" s="1106"/>
      <c r="B160" s="1056"/>
      <c r="C160" s="1056"/>
      <c r="D160" s="1056"/>
      <c r="E160" s="1056"/>
      <c r="F160" s="1056"/>
      <c r="G160" s="1056"/>
      <c r="H160" s="1056"/>
      <c r="I160" s="1056"/>
      <c r="J160" s="1056"/>
      <c r="K160" s="1056"/>
      <c r="L160" s="1056"/>
      <c r="M160" s="1056"/>
      <c r="N160" s="1056"/>
      <c r="O160" s="1056"/>
      <c r="P160" s="1056"/>
      <c r="Q160" s="1056"/>
      <c r="R160" s="1056"/>
      <c r="S160" s="1056"/>
      <c r="T160" s="1056"/>
      <c r="U160" s="1056"/>
      <c r="V160" s="1056"/>
      <c r="W160" s="1056"/>
      <c r="X160" s="1056"/>
      <c r="Y160" s="1056"/>
      <c r="Z160" s="1056"/>
      <c r="AA160" s="1056"/>
      <c r="AB160" s="1056"/>
      <c r="AC160" s="1056"/>
    </row>
    <row r="161" spans="1:29" x14ac:dyDescent="0.25">
      <c r="A161" s="1106"/>
      <c r="B161" s="1056"/>
      <c r="C161" s="1056"/>
      <c r="D161" s="1056"/>
      <c r="E161" s="1056"/>
      <c r="F161" s="1056"/>
      <c r="G161" s="1056"/>
      <c r="H161" s="1056"/>
      <c r="I161" s="1056"/>
      <c r="J161" s="1056"/>
      <c r="K161" s="1056"/>
      <c r="L161" s="1056"/>
      <c r="M161" s="1056"/>
      <c r="N161" s="1056"/>
      <c r="O161" s="1056"/>
      <c r="P161" s="1056"/>
      <c r="Q161" s="1056"/>
      <c r="R161" s="1056"/>
      <c r="S161" s="1056"/>
      <c r="T161" s="1056"/>
      <c r="U161" s="1056"/>
      <c r="V161" s="1056"/>
      <c r="W161" s="1056"/>
      <c r="X161" s="1056"/>
      <c r="Y161" s="1056"/>
      <c r="Z161" s="1056"/>
      <c r="AA161" s="1056"/>
      <c r="AB161" s="1056"/>
      <c r="AC161" s="1056"/>
    </row>
    <row r="162" spans="1:29" x14ac:dyDescent="0.25">
      <c r="A162" s="1106"/>
      <c r="B162" s="1056"/>
      <c r="C162" s="1056"/>
      <c r="D162" s="1056"/>
      <c r="E162" s="1056"/>
      <c r="F162" s="1056"/>
      <c r="G162" s="1056"/>
      <c r="H162" s="1056"/>
      <c r="I162" s="1056"/>
      <c r="J162" s="1056"/>
      <c r="K162" s="1056"/>
      <c r="L162" s="1056"/>
      <c r="M162" s="1056"/>
      <c r="N162" s="1056"/>
      <c r="O162" s="1056"/>
      <c r="P162" s="1056"/>
      <c r="Q162" s="1056"/>
      <c r="R162" s="1056"/>
      <c r="S162" s="1056"/>
      <c r="T162" s="1056"/>
      <c r="U162" s="1056"/>
      <c r="V162" s="1056"/>
      <c r="W162" s="1056"/>
      <c r="X162" s="1056"/>
      <c r="Y162" s="1056"/>
      <c r="Z162" s="1056"/>
      <c r="AA162" s="1056"/>
      <c r="AB162" s="1056"/>
      <c r="AC162" s="1056"/>
    </row>
    <row r="163" spans="1:29" x14ac:dyDescent="0.25">
      <c r="A163" s="1106"/>
      <c r="B163" s="1056"/>
      <c r="C163" s="1056"/>
      <c r="D163" s="1056"/>
      <c r="E163" s="1056"/>
      <c r="F163" s="1056"/>
      <c r="G163" s="1056"/>
      <c r="H163" s="1056"/>
      <c r="I163" s="1056"/>
      <c r="J163" s="1056"/>
      <c r="K163" s="1056"/>
      <c r="L163" s="1056"/>
      <c r="M163" s="1056"/>
      <c r="N163" s="1056"/>
      <c r="O163" s="1056"/>
      <c r="P163" s="1056"/>
      <c r="Q163" s="1056"/>
      <c r="R163" s="1056"/>
      <c r="S163" s="1056"/>
      <c r="T163" s="1056"/>
      <c r="U163" s="1056"/>
      <c r="V163" s="1056"/>
      <c r="W163" s="1056"/>
      <c r="X163" s="1056"/>
      <c r="Y163" s="1056"/>
      <c r="Z163" s="1056"/>
      <c r="AA163" s="1056"/>
      <c r="AB163" s="1056"/>
      <c r="AC163" s="1056"/>
    </row>
    <row r="164" spans="1:29" x14ac:dyDescent="0.25">
      <c r="A164" s="1106"/>
      <c r="B164" s="1056"/>
      <c r="C164" s="1056"/>
      <c r="D164" s="1056"/>
      <c r="E164" s="1056"/>
      <c r="F164" s="1056"/>
      <c r="G164" s="1056"/>
      <c r="H164" s="1056"/>
      <c r="I164" s="1056"/>
      <c r="J164" s="1056"/>
      <c r="K164" s="1056"/>
      <c r="L164" s="1056"/>
      <c r="M164" s="1056"/>
      <c r="N164" s="1056"/>
      <c r="O164" s="1056"/>
      <c r="P164" s="1056"/>
      <c r="Q164" s="1056"/>
      <c r="R164" s="1056"/>
      <c r="S164" s="1056"/>
      <c r="T164" s="1056"/>
      <c r="U164" s="1056"/>
      <c r="V164" s="1056"/>
      <c r="W164" s="1056"/>
      <c r="X164" s="1056"/>
      <c r="Y164" s="1056"/>
      <c r="Z164" s="1056"/>
      <c r="AA164" s="1056"/>
      <c r="AB164" s="1056"/>
      <c r="AC164" s="1056"/>
    </row>
    <row r="165" spans="1:29" x14ac:dyDescent="0.25">
      <c r="A165" s="1106"/>
      <c r="B165" s="1056"/>
      <c r="C165" s="1056"/>
      <c r="D165" s="1056"/>
      <c r="E165" s="1056"/>
      <c r="F165" s="1056"/>
      <c r="G165" s="1056"/>
      <c r="H165" s="1056"/>
      <c r="I165" s="1056"/>
      <c r="J165" s="1056"/>
      <c r="K165" s="1056"/>
      <c r="L165" s="1056"/>
      <c r="M165" s="1056"/>
      <c r="N165" s="1056"/>
      <c r="O165" s="1056"/>
      <c r="P165" s="1056"/>
      <c r="Q165" s="1056"/>
      <c r="R165" s="1056"/>
      <c r="S165" s="1056"/>
      <c r="T165" s="1056"/>
      <c r="U165" s="1056"/>
      <c r="V165" s="1056"/>
      <c r="W165" s="1056"/>
      <c r="X165" s="1056"/>
      <c r="Y165" s="1056"/>
      <c r="Z165" s="1056"/>
      <c r="AA165" s="1056"/>
      <c r="AB165" s="1056"/>
      <c r="AC165" s="1056"/>
    </row>
    <row r="166" spans="1:29" x14ac:dyDescent="0.25">
      <c r="A166" s="1106"/>
      <c r="B166" s="1056"/>
      <c r="C166" s="1056"/>
      <c r="D166" s="1056"/>
      <c r="E166" s="1056"/>
      <c r="F166" s="1056"/>
      <c r="G166" s="1056"/>
      <c r="H166" s="1056"/>
      <c r="I166" s="1056"/>
      <c r="J166" s="1056"/>
      <c r="K166" s="1056"/>
      <c r="L166" s="1056"/>
      <c r="M166" s="1056"/>
      <c r="N166" s="1056"/>
      <c r="O166" s="1056"/>
      <c r="P166" s="1056"/>
      <c r="Q166" s="1056"/>
      <c r="R166" s="1056"/>
      <c r="S166" s="1056"/>
      <c r="T166" s="1056"/>
      <c r="U166" s="1056"/>
      <c r="V166" s="1056"/>
      <c r="W166" s="1056"/>
      <c r="X166" s="1056"/>
      <c r="Y166" s="1056"/>
      <c r="Z166" s="1056"/>
      <c r="AA166" s="1056"/>
      <c r="AB166" s="1056"/>
      <c r="AC166" s="1056"/>
    </row>
    <row r="167" spans="1:29" x14ac:dyDescent="0.25">
      <c r="A167" s="1106"/>
      <c r="B167" s="1056"/>
      <c r="C167" s="1056"/>
      <c r="D167" s="1056"/>
      <c r="E167" s="1056"/>
      <c r="F167" s="1056"/>
      <c r="G167" s="1056"/>
      <c r="H167" s="1056"/>
      <c r="I167" s="1056"/>
      <c r="J167" s="1056"/>
      <c r="K167" s="1056"/>
      <c r="L167" s="1056"/>
      <c r="M167" s="1056"/>
      <c r="N167" s="1056"/>
      <c r="O167" s="1056"/>
      <c r="P167" s="1056"/>
      <c r="Q167" s="1056"/>
      <c r="R167" s="1056"/>
      <c r="S167" s="1056"/>
      <c r="T167" s="1056"/>
      <c r="U167" s="1056"/>
      <c r="V167" s="1056"/>
      <c r="W167" s="1056"/>
      <c r="X167" s="1056"/>
      <c r="Y167" s="1056"/>
      <c r="Z167" s="1056"/>
      <c r="AA167" s="1056"/>
      <c r="AB167" s="1056"/>
      <c r="AC167" s="1056"/>
    </row>
    <row r="168" spans="1:29" x14ac:dyDescent="0.25">
      <c r="A168" s="1106"/>
      <c r="B168" s="1056"/>
      <c r="C168" s="1056"/>
      <c r="D168" s="1056"/>
      <c r="E168" s="1056"/>
      <c r="F168" s="1056"/>
      <c r="G168" s="1056"/>
      <c r="H168" s="1056"/>
      <c r="I168" s="1056"/>
      <c r="J168" s="1056"/>
      <c r="K168" s="1056"/>
      <c r="L168" s="1056"/>
      <c r="M168" s="1056"/>
      <c r="N168" s="1056"/>
      <c r="O168" s="1056"/>
      <c r="P168" s="1056"/>
      <c r="Q168" s="1056"/>
      <c r="R168" s="1056"/>
      <c r="S168" s="1056"/>
      <c r="T168" s="1056"/>
      <c r="U168" s="1056"/>
      <c r="V168" s="1056"/>
      <c r="W168" s="1056"/>
      <c r="X168" s="1056"/>
      <c r="Y168" s="1056"/>
      <c r="Z168" s="1056"/>
      <c r="AA168" s="1056"/>
      <c r="AB168" s="1056"/>
      <c r="AC168" s="1056"/>
    </row>
    <row r="169" spans="1:29" x14ac:dyDescent="0.25">
      <c r="A169" s="1106"/>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row>
    <row r="170" spans="1:29" x14ac:dyDescent="0.25">
      <c r="A170" s="110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row>
    <row r="171" spans="1:29" x14ac:dyDescent="0.25">
      <c r="A171" s="1106"/>
      <c r="B171" s="1056"/>
      <c r="C171" s="1056"/>
      <c r="D171" s="1056"/>
      <c r="E171" s="1056"/>
      <c r="F171" s="1056"/>
      <c r="G171" s="1056"/>
      <c r="H171" s="1056"/>
      <c r="I171" s="1056"/>
      <c r="J171" s="1056"/>
      <c r="K171" s="1056"/>
      <c r="L171" s="1056"/>
      <c r="M171" s="1056"/>
      <c r="N171" s="1056"/>
      <c r="O171" s="1056"/>
      <c r="P171" s="1056"/>
      <c r="Q171" s="1056"/>
      <c r="R171" s="1056"/>
      <c r="S171" s="1056"/>
      <c r="T171" s="1056"/>
      <c r="U171" s="1056"/>
      <c r="V171" s="1056"/>
      <c r="W171" s="1056"/>
      <c r="X171" s="1056"/>
      <c r="Y171" s="1056"/>
      <c r="Z171" s="1056"/>
      <c r="AA171" s="1056"/>
      <c r="AB171" s="1056"/>
      <c r="AC171" s="1056"/>
    </row>
    <row r="172" spans="1:29" x14ac:dyDescent="0.25">
      <c r="A172" s="1106"/>
      <c r="B172" s="1056"/>
      <c r="C172" s="1056"/>
      <c r="D172" s="1056"/>
      <c r="E172" s="1056"/>
      <c r="F172" s="1056"/>
      <c r="G172" s="1056"/>
      <c r="H172" s="1056"/>
      <c r="I172" s="1056"/>
      <c r="J172" s="1056"/>
      <c r="K172" s="1056"/>
      <c r="L172" s="1056"/>
      <c r="M172" s="1056"/>
      <c r="N172" s="1056"/>
      <c r="O172" s="1056"/>
      <c r="P172" s="1056"/>
      <c r="Q172" s="1056"/>
      <c r="R172" s="1056"/>
      <c r="S172" s="1056"/>
      <c r="T172" s="1056"/>
      <c r="U172" s="1056"/>
      <c r="V172" s="1056"/>
      <c r="W172" s="1056"/>
      <c r="X172" s="1056"/>
      <c r="Y172" s="1056"/>
      <c r="Z172" s="1056"/>
      <c r="AA172" s="1056"/>
      <c r="AB172" s="1056"/>
      <c r="AC172" s="1056"/>
    </row>
    <row r="173" spans="1:29" x14ac:dyDescent="0.25">
      <c r="A173" s="1106"/>
      <c r="B173" s="1056"/>
      <c r="C173" s="1056"/>
      <c r="D173" s="1056"/>
      <c r="E173" s="1056"/>
      <c r="F173" s="1056"/>
      <c r="G173" s="1056"/>
      <c r="H173" s="1056"/>
      <c r="I173" s="1056"/>
      <c r="J173" s="1056"/>
      <c r="K173" s="1056"/>
      <c r="L173" s="1056"/>
      <c r="M173" s="1056"/>
      <c r="N173" s="1056"/>
      <c r="O173" s="1056"/>
      <c r="P173" s="1056"/>
      <c r="Q173" s="1056"/>
      <c r="R173" s="1056"/>
      <c r="S173" s="1056"/>
      <c r="T173" s="1056"/>
      <c r="U173" s="1056"/>
      <c r="V173" s="1056"/>
      <c r="W173" s="1056"/>
      <c r="X173" s="1056"/>
      <c r="Y173" s="1056"/>
      <c r="Z173" s="1056"/>
      <c r="AA173" s="1056"/>
      <c r="AB173" s="1056"/>
      <c r="AC173" s="1056"/>
    </row>
    <row r="174" spans="1:29" x14ac:dyDescent="0.25">
      <c r="A174" s="1106"/>
      <c r="B174" s="1056"/>
      <c r="C174" s="1056"/>
      <c r="D174" s="1056"/>
      <c r="E174" s="1056"/>
      <c r="F174" s="1056"/>
      <c r="G174" s="1056"/>
      <c r="H174" s="1056"/>
      <c r="I174" s="1056"/>
      <c r="J174" s="1056"/>
      <c r="K174" s="1056"/>
      <c r="L174" s="1056"/>
      <c r="M174" s="1056"/>
      <c r="N174" s="1056"/>
      <c r="O174" s="1056"/>
      <c r="P174" s="1056"/>
      <c r="Q174" s="1056"/>
      <c r="R174" s="1056"/>
      <c r="S174" s="1056"/>
      <c r="T174" s="1056"/>
      <c r="U174" s="1056"/>
      <c r="V174" s="1056"/>
      <c r="W174" s="1056"/>
      <c r="X174" s="1056"/>
      <c r="Y174" s="1056"/>
      <c r="Z174" s="1056"/>
      <c r="AA174" s="1056"/>
      <c r="AB174" s="1056"/>
      <c r="AC174" s="1056"/>
    </row>
    <row r="175" spans="1:29" x14ac:dyDescent="0.25">
      <c r="A175" s="1106"/>
      <c r="B175" s="1056"/>
      <c r="C175" s="1056"/>
      <c r="D175" s="1056"/>
      <c r="E175" s="1056"/>
      <c r="F175" s="1056"/>
      <c r="G175" s="1056"/>
      <c r="H175" s="1056"/>
      <c r="I175" s="1056"/>
      <c r="J175" s="1056"/>
      <c r="K175" s="1056"/>
      <c r="L175" s="1056"/>
      <c r="M175" s="1056"/>
      <c r="N175" s="1056"/>
      <c r="O175" s="1056"/>
      <c r="P175" s="1056"/>
      <c r="Q175" s="1056"/>
      <c r="R175" s="1056"/>
      <c r="S175" s="1056"/>
      <c r="T175" s="1056"/>
      <c r="U175" s="1056"/>
      <c r="V175" s="1056"/>
      <c r="W175" s="1056"/>
      <c r="X175" s="1056"/>
      <c r="Y175" s="1056"/>
      <c r="Z175" s="1056"/>
      <c r="AA175" s="1056"/>
      <c r="AB175" s="1056"/>
      <c r="AC175" s="1056"/>
    </row>
    <row r="176" spans="1:29" x14ac:dyDescent="0.25">
      <c r="A176" s="1106"/>
      <c r="B176" s="1056"/>
      <c r="C176" s="1056"/>
      <c r="D176" s="1056"/>
      <c r="E176" s="1056"/>
      <c r="F176" s="1056"/>
      <c r="G176" s="1056"/>
      <c r="H176" s="1056"/>
      <c r="I176" s="1056"/>
      <c r="J176" s="1056"/>
      <c r="K176" s="1056"/>
      <c r="L176" s="1056"/>
      <c r="M176" s="1056"/>
      <c r="N176" s="1056"/>
      <c r="O176" s="1056"/>
      <c r="P176" s="1056"/>
      <c r="Q176" s="1056"/>
      <c r="R176" s="1056"/>
      <c r="S176" s="1056"/>
      <c r="T176" s="1056"/>
      <c r="U176" s="1056"/>
      <c r="V176" s="1056"/>
      <c r="W176" s="1056"/>
      <c r="X176" s="1056"/>
      <c r="Y176" s="1056"/>
      <c r="Z176" s="1056"/>
      <c r="AA176" s="1056"/>
      <c r="AB176" s="1056"/>
      <c r="AC176" s="1056"/>
    </row>
    <row r="177" spans="1:29" x14ac:dyDescent="0.25">
      <c r="A177" s="1106"/>
      <c r="B177" s="1056"/>
      <c r="C177" s="1056"/>
      <c r="D177" s="1056"/>
      <c r="E177" s="1056"/>
      <c r="F177" s="1056"/>
      <c r="G177" s="1056"/>
      <c r="H177" s="1056"/>
      <c r="I177" s="1056"/>
      <c r="J177" s="1056"/>
      <c r="K177" s="1056"/>
      <c r="L177" s="1056"/>
      <c r="M177" s="1056"/>
      <c r="N177" s="1056"/>
      <c r="O177" s="1056"/>
      <c r="P177" s="1056"/>
      <c r="Q177" s="1056"/>
      <c r="R177" s="1056"/>
      <c r="S177" s="1056"/>
      <c r="T177" s="1056"/>
      <c r="U177" s="1056"/>
      <c r="V177" s="1056"/>
      <c r="W177" s="1056"/>
      <c r="X177" s="1056"/>
      <c r="Y177" s="1056"/>
      <c r="Z177" s="1056"/>
      <c r="AA177" s="1056"/>
      <c r="AB177" s="1056"/>
      <c r="AC177" s="1056"/>
    </row>
    <row r="178" spans="1:29" x14ac:dyDescent="0.25">
      <c r="A178" s="1106"/>
      <c r="B178" s="1056"/>
      <c r="C178" s="1056"/>
      <c r="D178" s="1056"/>
      <c r="E178" s="1056"/>
      <c r="F178" s="1056"/>
      <c r="G178" s="1056"/>
      <c r="H178" s="1056"/>
      <c r="I178" s="1056"/>
      <c r="J178" s="1056"/>
      <c r="K178" s="1056"/>
      <c r="L178" s="1056"/>
      <c r="M178" s="1056"/>
      <c r="N178" s="1056"/>
      <c r="O178" s="1056"/>
      <c r="P178" s="1056"/>
      <c r="Q178" s="1056"/>
      <c r="R178" s="1056"/>
      <c r="S178" s="1056"/>
      <c r="T178" s="1056"/>
      <c r="U178" s="1056"/>
      <c r="V178" s="1056"/>
      <c r="W178" s="1056"/>
      <c r="X178" s="1056"/>
      <c r="Y178" s="1056"/>
      <c r="Z178" s="1056"/>
      <c r="AA178" s="1056"/>
      <c r="AB178" s="1056"/>
      <c r="AC178" s="1056"/>
    </row>
    <row r="179" spans="1:29" x14ac:dyDescent="0.25">
      <c r="A179" s="1106"/>
      <c r="B179" s="1056"/>
      <c r="C179" s="1056"/>
      <c r="D179" s="1056"/>
      <c r="E179" s="1056"/>
      <c r="F179" s="1056"/>
      <c r="G179" s="1056"/>
      <c r="H179" s="1056"/>
      <c r="I179" s="1056"/>
      <c r="J179" s="1056"/>
      <c r="K179" s="1056"/>
      <c r="L179" s="1056"/>
      <c r="M179" s="1056"/>
      <c r="N179" s="1056"/>
      <c r="O179" s="1056"/>
      <c r="P179" s="1056"/>
      <c r="Q179" s="1056"/>
      <c r="R179" s="1056"/>
      <c r="S179" s="1056"/>
      <c r="T179" s="1056"/>
      <c r="U179" s="1056"/>
      <c r="V179" s="1056"/>
      <c r="W179" s="1056"/>
      <c r="X179" s="1056"/>
      <c r="Y179" s="1056"/>
      <c r="Z179" s="1056"/>
      <c r="AA179" s="1056"/>
      <c r="AB179" s="1056"/>
      <c r="AC179" s="1056"/>
    </row>
    <row r="180" spans="1:29" x14ac:dyDescent="0.25">
      <c r="A180" s="1106"/>
      <c r="B180" s="1056"/>
      <c r="C180" s="1056"/>
      <c r="D180" s="1056"/>
      <c r="E180" s="1056"/>
      <c r="F180" s="1056"/>
      <c r="G180" s="1056"/>
      <c r="H180" s="1056"/>
      <c r="I180" s="1056"/>
      <c r="J180" s="1056"/>
      <c r="K180" s="1056"/>
      <c r="L180" s="1056"/>
      <c r="M180" s="1056"/>
      <c r="N180" s="1056"/>
      <c r="O180" s="1056"/>
      <c r="P180" s="1056"/>
      <c r="Q180" s="1056"/>
      <c r="R180" s="1056"/>
      <c r="S180" s="1056"/>
      <c r="T180" s="1056"/>
      <c r="U180" s="1056"/>
      <c r="V180" s="1056"/>
      <c r="W180" s="1056"/>
      <c r="X180" s="1056"/>
      <c r="Y180" s="1056"/>
      <c r="Z180" s="1056"/>
      <c r="AA180" s="1056"/>
      <c r="AB180" s="1056"/>
      <c r="AC180" s="1056"/>
    </row>
    <row r="181" spans="1:29" x14ac:dyDescent="0.25">
      <c r="A181" s="1106"/>
      <c r="B181" s="1056"/>
      <c r="C181" s="1056"/>
      <c r="D181" s="1056"/>
      <c r="E181" s="1056"/>
      <c r="F181" s="1056"/>
      <c r="G181" s="1056"/>
      <c r="H181" s="1056"/>
      <c r="I181" s="1056"/>
      <c r="J181" s="1056"/>
      <c r="K181" s="1056"/>
      <c r="L181" s="1056"/>
      <c r="M181" s="1056"/>
      <c r="N181" s="1056"/>
      <c r="O181" s="1056"/>
      <c r="P181" s="1056"/>
      <c r="Q181" s="1056"/>
      <c r="R181" s="1056"/>
      <c r="S181" s="1056"/>
      <c r="T181" s="1056"/>
      <c r="U181" s="1056"/>
      <c r="V181" s="1056"/>
      <c r="W181" s="1056"/>
      <c r="X181" s="1056"/>
      <c r="Y181" s="1056"/>
      <c r="Z181" s="1056"/>
      <c r="AA181" s="1056"/>
      <c r="AB181" s="1056"/>
      <c r="AC181" s="1056"/>
    </row>
    <row r="182" spans="1:29" x14ac:dyDescent="0.25">
      <c r="A182" s="1106"/>
      <c r="B182" s="1056"/>
      <c r="C182" s="1056"/>
      <c r="D182" s="1056"/>
      <c r="E182" s="1056"/>
      <c r="F182" s="1056"/>
      <c r="G182" s="1056"/>
      <c r="H182" s="1056"/>
      <c r="I182" s="1056"/>
      <c r="J182" s="1056"/>
      <c r="K182" s="1056"/>
      <c r="L182" s="1056"/>
      <c r="M182" s="1056"/>
      <c r="N182" s="1056"/>
      <c r="O182" s="1056"/>
      <c r="P182" s="1056"/>
      <c r="Q182" s="1056"/>
      <c r="R182" s="1056"/>
      <c r="S182" s="1056"/>
      <c r="T182" s="1056"/>
      <c r="U182" s="1056"/>
      <c r="V182" s="1056"/>
      <c r="W182" s="1056"/>
      <c r="X182" s="1056"/>
      <c r="Y182" s="1056"/>
      <c r="Z182" s="1056"/>
      <c r="AA182" s="1056"/>
      <c r="AB182" s="1056"/>
      <c r="AC182" s="1056"/>
    </row>
    <row r="183" spans="1:29" x14ac:dyDescent="0.25">
      <c r="A183" s="1106"/>
      <c r="B183" s="1056"/>
      <c r="C183" s="1056"/>
      <c r="D183" s="1056"/>
      <c r="E183" s="1056"/>
      <c r="F183" s="1056"/>
      <c r="G183" s="1056"/>
      <c r="H183" s="1056"/>
      <c r="I183" s="1056"/>
      <c r="J183" s="1056"/>
      <c r="K183" s="1056"/>
      <c r="L183" s="1056"/>
      <c r="M183" s="1056"/>
      <c r="N183" s="1056"/>
      <c r="O183" s="1056"/>
      <c r="P183" s="1056"/>
      <c r="Q183" s="1056"/>
      <c r="R183" s="1056"/>
      <c r="S183" s="1056"/>
      <c r="T183" s="1056"/>
      <c r="U183" s="1056"/>
      <c r="V183" s="1056"/>
      <c r="W183" s="1056"/>
      <c r="X183" s="1056"/>
      <c r="Y183" s="1056"/>
      <c r="Z183" s="1056"/>
      <c r="AA183" s="1056"/>
      <c r="AB183" s="1056"/>
      <c r="AC183" s="1056"/>
    </row>
    <row r="184" spans="1:29" x14ac:dyDescent="0.25">
      <c r="A184" s="1106"/>
      <c r="B184" s="1056"/>
      <c r="C184" s="1056"/>
      <c r="D184" s="1056"/>
      <c r="E184" s="1056"/>
      <c r="F184" s="1056"/>
      <c r="G184" s="1056"/>
      <c r="H184" s="1056"/>
      <c r="I184" s="1056"/>
      <c r="J184" s="1056"/>
      <c r="K184" s="1056"/>
      <c r="L184" s="1056"/>
      <c r="M184" s="1056"/>
      <c r="N184" s="1056"/>
      <c r="O184" s="1056"/>
      <c r="P184" s="1056"/>
      <c r="Q184" s="1056"/>
      <c r="R184" s="1056"/>
      <c r="S184" s="1056"/>
      <c r="T184" s="1056"/>
      <c r="U184" s="1056"/>
      <c r="V184" s="1056"/>
      <c r="W184" s="1056"/>
      <c r="X184" s="1056"/>
      <c r="Y184" s="1056"/>
      <c r="Z184" s="1056"/>
      <c r="AA184" s="1056"/>
      <c r="AB184" s="1056"/>
      <c r="AC184" s="1056"/>
    </row>
    <row r="185" spans="1:29" x14ac:dyDescent="0.25">
      <c r="A185" s="1106"/>
      <c r="B185" s="1056"/>
      <c r="C185" s="1056"/>
      <c r="D185" s="1056"/>
      <c r="E185" s="1056"/>
      <c r="F185" s="1056"/>
      <c r="G185" s="1056"/>
      <c r="H185" s="1056"/>
      <c r="I185" s="1056"/>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row>
    <row r="186" spans="1:29" x14ac:dyDescent="0.25">
      <c r="A186" s="1106"/>
      <c r="B186" s="1056"/>
      <c r="C186" s="1056"/>
      <c r="D186" s="1056"/>
      <c r="E186" s="1056"/>
      <c r="F186" s="1056"/>
      <c r="G186" s="1056"/>
      <c r="H186" s="1056"/>
      <c r="I186" s="1056"/>
      <c r="J186" s="1056"/>
      <c r="K186" s="1056"/>
      <c r="L186" s="1056"/>
      <c r="M186" s="1056"/>
      <c r="N186" s="1056"/>
      <c r="O186" s="1056"/>
      <c r="P186" s="1056"/>
      <c r="Q186" s="1056"/>
      <c r="R186" s="1056"/>
      <c r="S186" s="1056"/>
      <c r="T186" s="1056"/>
      <c r="U186" s="1056"/>
      <c r="V186" s="1056"/>
      <c r="W186" s="1056"/>
      <c r="X186" s="1056"/>
      <c r="Y186" s="1056"/>
      <c r="Z186" s="1056"/>
      <c r="AA186" s="1056"/>
      <c r="AB186" s="1056"/>
      <c r="AC186" s="1056"/>
    </row>
    <row r="187" spans="1:29" x14ac:dyDescent="0.25">
      <c r="A187" s="1106"/>
      <c r="B187" s="1056"/>
      <c r="C187" s="1056"/>
      <c r="D187" s="1056"/>
      <c r="E187" s="1056"/>
      <c r="F187" s="1056"/>
      <c r="G187" s="1056"/>
      <c r="H187" s="1056"/>
      <c r="I187" s="1056"/>
      <c r="J187" s="1056"/>
      <c r="K187" s="1056"/>
      <c r="L187" s="1056"/>
      <c r="M187" s="1056"/>
      <c r="N187" s="1056"/>
      <c r="O187" s="1056"/>
      <c r="P187" s="1056"/>
      <c r="Q187" s="1056"/>
      <c r="R187" s="1056"/>
      <c r="S187" s="1056"/>
      <c r="T187" s="1056"/>
      <c r="U187" s="1056"/>
      <c r="V187" s="1056"/>
      <c r="W187" s="1056"/>
      <c r="X187" s="1056"/>
      <c r="Y187" s="1056"/>
      <c r="Z187" s="1056"/>
      <c r="AA187" s="1056"/>
      <c r="AB187" s="1056"/>
      <c r="AC187" s="1056"/>
    </row>
    <row r="188" spans="1:29" x14ac:dyDescent="0.25">
      <c r="A188" s="1106"/>
      <c r="B188" s="1056"/>
      <c r="C188" s="1056"/>
      <c r="D188" s="1056"/>
      <c r="E188" s="1056"/>
      <c r="F188" s="1056"/>
      <c r="G188" s="1056"/>
      <c r="H188" s="1056"/>
      <c r="I188" s="1056"/>
      <c r="J188" s="1056"/>
      <c r="K188" s="1056"/>
      <c r="L188" s="1056"/>
      <c r="M188" s="1056"/>
      <c r="N188" s="1056"/>
      <c r="O188" s="1056"/>
      <c r="P188" s="1056"/>
      <c r="Q188" s="1056"/>
      <c r="R188" s="1056"/>
      <c r="S188" s="1056"/>
      <c r="T188" s="1056"/>
      <c r="U188" s="1056"/>
      <c r="V188" s="1056"/>
      <c r="W188" s="1056"/>
      <c r="X188" s="1056"/>
      <c r="Y188" s="1056"/>
      <c r="Z188" s="1056"/>
      <c r="AA188" s="1056"/>
      <c r="AB188" s="1056"/>
      <c r="AC188" s="1056"/>
    </row>
    <row r="189" spans="1:29" x14ac:dyDescent="0.25">
      <c r="A189" s="1106"/>
      <c r="B189" s="1056"/>
      <c r="C189" s="1056"/>
      <c r="D189" s="1056"/>
      <c r="E189" s="1056"/>
      <c r="F189" s="1056"/>
      <c r="G189" s="1056"/>
      <c r="H189" s="1056"/>
      <c r="I189" s="1056"/>
      <c r="J189" s="1056"/>
      <c r="K189" s="1056"/>
      <c r="L189" s="1056"/>
      <c r="M189" s="1056"/>
      <c r="N189" s="1056"/>
      <c r="O189" s="1056"/>
      <c r="P189" s="1056"/>
      <c r="Q189" s="1056"/>
      <c r="R189" s="1056"/>
      <c r="S189" s="1056"/>
      <c r="T189" s="1056"/>
      <c r="U189" s="1056"/>
      <c r="V189" s="1056"/>
      <c r="W189" s="1056"/>
      <c r="X189" s="1056"/>
      <c r="Y189" s="1056"/>
      <c r="Z189" s="1056"/>
      <c r="AA189" s="1056"/>
      <c r="AB189" s="1056"/>
      <c r="AC189" s="1056"/>
    </row>
    <row r="190" spans="1:29" x14ac:dyDescent="0.25">
      <c r="A190" s="1106"/>
      <c r="B190" s="1056"/>
      <c r="C190" s="1056"/>
      <c r="D190" s="1056"/>
      <c r="E190" s="1056"/>
      <c r="F190" s="1056"/>
      <c r="G190" s="1056"/>
      <c r="H190" s="1056"/>
      <c r="I190" s="1056"/>
      <c r="J190" s="1056"/>
      <c r="K190" s="1056"/>
      <c r="L190" s="1056"/>
      <c r="M190" s="1056"/>
      <c r="N190" s="1056"/>
      <c r="O190" s="1056"/>
      <c r="P190" s="1056"/>
      <c r="Q190" s="1056"/>
      <c r="R190" s="1056"/>
      <c r="S190" s="1056"/>
      <c r="T190" s="1056"/>
      <c r="U190" s="1056"/>
      <c r="V190" s="1056"/>
      <c r="W190" s="1056"/>
      <c r="X190" s="1056"/>
      <c r="Y190" s="1056"/>
      <c r="Z190" s="1056"/>
      <c r="AA190" s="1056"/>
      <c r="AB190" s="1056"/>
      <c r="AC190" s="1056"/>
    </row>
    <row r="191" spans="1:29" x14ac:dyDescent="0.25">
      <c r="A191" s="1106"/>
      <c r="B191" s="1056"/>
      <c r="C191" s="1056"/>
      <c r="D191" s="1056"/>
      <c r="E191" s="1056"/>
      <c r="F191" s="1056"/>
      <c r="G191" s="1056"/>
      <c r="H191" s="1056"/>
      <c r="I191" s="1056"/>
      <c r="J191" s="1056"/>
      <c r="K191" s="1056"/>
      <c r="L191" s="1056"/>
      <c r="M191" s="1056"/>
      <c r="N191" s="1056"/>
      <c r="O191" s="1056"/>
      <c r="P191" s="1056"/>
      <c r="Q191" s="1056"/>
      <c r="R191" s="1056"/>
      <c r="S191" s="1056"/>
      <c r="T191" s="1056"/>
      <c r="U191" s="1056"/>
      <c r="V191" s="1056"/>
      <c r="W191" s="1056"/>
      <c r="X191" s="1056"/>
      <c r="Y191" s="1056"/>
      <c r="Z191" s="1056"/>
      <c r="AA191" s="1056"/>
      <c r="AB191" s="1056"/>
      <c r="AC191" s="1056"/>
    </row>
    <row r="192" spans="1:29" x14ac:dyDescent="0.25">
      <c r="A192" s="1106"/>
      <c r="B192" s="1056"/>
      <c r="C192" s="1056"/>
      <c r="D192" s="1056"/>
      <c r="E192" s="1056"/>
      <c r="F192" s="1056"/>
      <c r="G192" s="1056"/>
      <c r="H192" s="1056"/>
      <c r="I192" s="1056"/>
      <c r="J192" s="1056"/>
      <c r="K192" s="1056"/>
      <c r="L192" s="1056"/>
      <c r="M192" s="1056"/>
      <c r="N192" s="1056"/>
      <c r="O192" s="1056"/>
      <c r="P192" s="1056"/>
      <c r="Q192" s="1056"/>
      <c r="R192" s="1056"/>
      <c r="S192" s="1056"/>
      <c r="T192" s="1056"/>
      <c r="U192" s="1056"/>
      <c r="V192" s="1056"/>
      <c r="W192" s="1056"/>
      <c r="X192" s="1056"/>
      <c r="Y192" s="1056"/>
      <c r="Z192" s="1056"/>
      <c r="AA192" s="1056"/>
      <c r="AB192" s="1056"/>
      <c r="AC192" s="1056"/>
    </row>
    <row r="193" spans="1:29" x14ac:dyDescent="0.25">
      <c r="A193" s="1106"/>
      <c r="B193" s="1056"/>
      <c r="C193" s="1056"/>
      <c r="D193" s="1056"/>
      <c r="E193" s="1056"/>
      <c r="F193" s="1056"/>
      <c r="G193" s="1056"/>
      <c r="H193" s="1056"/>
      <c r="I193" s="1056"/>
      <c r="J193" s="1056"/>
      <c r="K193" s="1056"/>
      <c r="L193" s="1056"/>
      <c r="M193" s="1056"/>
      <c r="N193" s="1056"/>
      <c r="O193" s="1056"/>
      <c r="P193" s="1056"/>
      <c r="Q193" s="1056"/>
      <c r="R193" s="1056"/>
      <c r="S193" s="1056"/>
      <c r="T193" s="1056"/>
      <c r="U193" s="1056"/>
      <c r="V193" s="1056"/>
      <c r="W193" s="1056"/>
      <c r="X193" s="1056"/>
      <c r="Y193" s="1056"/>
      <c r="Z193" s="1056"/>
      <c r="AA193" s="1056"/>
      <c r="AB193" s="1056"/>
      <c r="AC193" s="1056"/>
    </row>
    <row r="194" spans="1:29" x14ac:dyDescent="0.25">
      <c r="A194" s="1106"/>
      <c r="B194" s="1056"/>
      <c r="C194" s="1056"/>
      <c r="D194" s="1056"/>
      <c r="E194" s="1056"/>
      <c r="F194" s="1056"/>
      <c r="G194" s="1056"/>
      <c r="H194" s="1056"/>
      <c r="I194" s="1056"/>
      <c r="J194" s="1056"/>
      <c r="K194" s="1056"/>
      <c r="L194" s="1056"/>
      <c r="M194" s="1056"/>
      <c r="N194" s="1056"/>
      <c r="O194" s="1056"/>
      <c r="P194" s="1056"/>
      <c r="Q194" s="1056"/>
      <c r="R194" s="1056"/>
      <c r="S194" s="1056"/>
      <c r="T194" s="1056"/>
      <c r="U194" s="1056"/>
      <c r="V194" s="1056"/>
      <c r="W194" s="1056"/>
      <c r="X194" s="1056"/>
      <c r="Y194" s="1056"/>
      <c r="Z194" s="1056"/>
      <c r="AA194" s="1056"/>
      <c r="AB194" s="1056"/>
      <c r="AC194" s="1056"/>
    </row>
    <row r="195" spans="1:29" x14ac:dyDescent="0.25">
      <c r="A195" s="1106"/>
      <c r="B195" s="1056"/>
      <c r="C195" s="1056"/>
      <c r="D195" s="1056"/>
      <c r="E195" s="1056"/>
      <c r="F195" s="1056"/>
      <c r="G195" s="1056"/>
      <c r="H195" s="1056"/>
      <c r="I195" s="1056"/>
      <c r="J195" s="1056"/>
      <c r="K195" s="1056"/>
      <c r="L195" s="1056"/>
      <c r="M195" s="1056"/>
      <c r="N195" s="1056"/>
      <c r="O195" s="1056"/>
      <c r="P195" s="1056"/>
      <c r="Q195" s="1056"/>
      <c r="R195" s="1056"/>
      <c r="S195" s="1056"/>
      <c r="T195" s="1056"/>
      <c r="U195" s="1056"/>
      <c r="V195" s="1056"/>
      <c r="W195" s="1056"/>
      <c r="X195" s="1056"/>
      <c r="Y195" s="1056"/>
      <c r="Z195" s="1056"/>
      <c r="AA195" s="1056"/>
      <c r="AB195" s="1056"/>
      <c r="AC195" s="1056"/>
    </row>
    <row r="196" spans="1:29" x14ac:dyDescent="0.25">
      <c r="A196" s="1106"/>
      <c r="B196" s="1056"/>
      <c r="C196" s="1056"/>
      <c r="D196" s="1056"/>
      <c r="E196" s="1056"/>
      <c r="F196" s="1056"/>
      <c r="G196" s="1056"/>
      <c r="H196" s="1056"/>
      <c r="I196" s="1056"/>
      <c r="J196" s="1056"/>
      <c r="K196" s="1056"/>
      <c r="L196" s="1056"/>
      <c r="M196" s="1056"/>
      <c r="N196" s="1056"/>
      <c r="O196" s="1056"/>
      <c r="P196" s="1056"/>
      <c r="Q196" s="1056"/>
      <c r="R196" s="1056"/>
      <c r="S196" s="1056"/>
      <c r="T196" s="1056"/>
      <c r="U196" s="1056"/>
      <c r="V196" s="1056"/>
      <c r="W196" s="1056"/>
      <c r="X196" s="1056"/>
      <c r="Y196" s="1056"/>
      <c r="Z196" s="1056"/>
      <c r="AA196" s="1056"/>
      <c r="AB196" s="1056"/>
      <c r="AC196" s="1056"/>
    </row>
    <row r="197" spans="1:29" x14ac:dyDescent="0.25">
      <c r="A197" s="1106"/>
      <c r="B197" s="1056"/>
      <c r="C197" s="1056"/>
      <c r="D197" s="1056"/>
      <c r="E197" s="1056"/>
      <c r="F197" s="1056"/>
      <c r="G197" s="1056"/>
      <c r="H197" s="1056"/>
      <c r="I197" s="1056"/>
      <c r="J197" s="1056"/>
      <c r="K197" s="1056"/>
      <c r="L197" s="1056"/>
      <c r="M197" s="1056"/>
      <c r="N197" s="1056"/>
      <c r="O197" s="1056"/>
      <c r="P197" s="1056"/>
      <c r="Q197" s="1056"/>
      <c r="R197" s="1056"/>
      <c r="S197" s="1056"/>
      <c r="T197" s="1056"/>
      <c r="U197" s="1056"/>
      <c r="V197" s="1056"/>
      <c r="W197" s="1056"/>
      <c r="X197" s="1056"/>
      <c r="Y197" s="1056"/>
      <c r="Z197" s="1056"/>
      <c r="AA197" s="1056"/>
      <c r="AB197" s="1056"/>
      <c r="AC197" s="1056"/>
    </row>
    <row r="198" spans="1:29" x14ac:dyDescent="0.25">
      <c r="A198" s="1106"/>
      <c r="B198" s="1056"/>
      <c r="C198" s="1056"/>
      <c r="D198" s="1056"/>
      <c r="E198" s="1056"/>
      <c r="F198" s="1056"/>
      <c r="G198" s="1056"/>
      <c r="H198" s="1056"/>
      <c r="I198" s="1056"/>
      <c r="J198" s="1056"/>
      <c r="K198" s="1056"/>
      <c r="L198" s="1056"/>
      <c r="M198" s="1056"/>
      <c r="N198" s="1056"/>
      <c r="O198" s="1056"/>
      <c r="P198" s="1056"/>
      <c r="Q198" s="1056"/>
      <c r="R198" s="1056"/>
      <c r="S198" s="1056"/>
      <c r="T198" s="1056"/>
      <c r="U198" s="1056"/>
      <c r="V198" s="1056"/>
      <c r="W198" s="1056"/>
      <c r="X198" s="1056"/>
      <c r="Y198" s="1056"/>
      <c r="Z198" s="1056"/>
      <c r="AA198" s="1056"/>
      <c r="AB198" s="1056"/>
      <c r="AC198" s="1056"/>
    </row>
    <row r="199" spans="1:29" x14ac:dyDescent="0.25">
      <c r="A199" s="1106"/>
      <c r="B199" s="1056"/>
      <c r="C199" s="1056"/>
      <c r="D199" s="1056"/>
      <c r="E199" s="1056"/>
      <c r="F199" s="1056"/>
      <c r="G199" s="1056"/>
      <c r="H199" s="1056"/>
      <c r="I199" s="1056"/>
      <c r="J199" s="1056"/>
      <c r="K199" s="1056"/>
      <c r="L199" s="1056"/>
      <c r="M199" s="1056"/>
      <c r="N199" s="1056"/>
      <c r="O199" s="1056"/>
      <c r="P199" s="1056"/>
      <c r="Q199" s="1056"/>
      <c r="R199" s="1056"/>
      <c r="S199" s="1056"/>
      <c r="T199" s="1056"/>
      <c r="U199" s="1056"/>
      <c r="V199" s="1056"/>
      <c r="W199" s="1056"/>
      <c r="X199" s="1056"/>
      <c r="Y199" s="1056"/>
      <c r="Z199" s="1056"/>
      <c r="AA199" s="1056"/>
      <c r="AB199" s="1056"/>
      <c r="AC199" s="1056"/>
    </row>
    <row r="200" spans="1:29" x14ac:dyDescent="0.25">
      <c r="A200" s="1106"/>
      <c r="B200" s="1056"/>
      <c r="C200" s="1056"/>
      <c r="D200" s="1056"/>
      <c r="E200" s="1056"/>
      <c r="F200" s="1056"/>
      <c r="G200" s="1056"/>
      <c r="H200" s="1056"/>
      <c r="I200" s="1056"/>
      <c r="J200" s="1056"/>
      <c r="K200" s="1056"/>
      <c r="L200" s="1056"/>
      <c r="M200" s="1056"/>
      <c r="N200" s="1056"/>
      <c r="O200" s="1056"/>
      <c r="P200" s="1056"/>
      <c r="Q200" s="1056"/>
      <c r="R200" s="1056"/>
      <c r="S200" s="1056"/>
      <c r="T200" s="1056"/>
      <c r="U200" s="1056"/>
      <c r="V200" s="1056"/>
      <c r="W200" s="1056"/>
      <c r="X200" s="1056"/>
      <c r="Y200" s="1056"/>
      <c r="Z200" s="1056"/>
      <c r="AA200" s="1056"/>
      <c r="AB200" s="1056"/>
      <c r="AC200" s="1056"/>
    </row>
    <row r="201" spans="1:29" x14ac:dyDescent="0.25">
      <c r="A201" s="1106"/>
      <c r="B201" s="1056"/>
      <c r="C201" s="1056"/>
      <c r="D201" s="1056"/>
      <c r="E201" s="1056"/>
      <c r="F201" s="1056"/>
      <c r="G201" s="1056"/>
      <c r="H201" s="1056"/>
      <c r="I201" s="1056"/>
      <c r="J201" s="1056"/>
      <c r="K201" s="1056"/>
      <c r="L201" s="1056"/>
      <c r="M201" s="1056"/>
      <c r="N201" s="1056"/>
      <c r="O201" s="1056"/>
      <c r="P201" s="1056"/>
      <c r="Q201" s="1056"/>
      <c r="R201" s="1056"/>
      <c r="S201" s="1056"/>
      <c r="T201" s="1056"/>
      <c r="U201" s="1056"/>
      <c r="V201" s="1056"/>
      <c r="W201" s="1056"/>
      <c r="X201" s="1056"/>
      <c r="Y201" s="1056"/>
      <c r="Z201" s="1056"/>
      <c r="AA201" s="1056"/>
      <c r="AB201" s="1056"/>
      <c r="AC201" s="1056"/>
    </row>
    <row r="202" spans="1:29" x14ac:dyDescent="0.25">
      <c r="A202" s="1106"/>
      <c r="B202" s="1056"/>
      <c r="C202" s="1056"/>
      <c r="D202" s="1056"/>
      <c r="E202" s="1056"/>
      <c r="F202" s="1056"/>
      <c r="G202" s="1056"/>
      <c r="H202" s="1056"/>
      <c r="I202" s="1056"/>
      <c r="J202" s="1056"/>
      <c r="K202" s="1056"/>
      <c r="L202" s="1056"/>
      <c r="M202" s="1056"/>
      <c r="N202" s="1056"/>
      <c r="O202" s="1056"/>
      <c r="P202" s="1056"/>
      <c r="Q202" s="1056"/>
      <c r="R202" s="1056"/>
      <c r="S202" s="1056"/>
      <c r="T202" s="1056"/>
      <c r="U202" s="1056"/>
      <c r="V202" s="1056"/>
      <c r="W202" s="1056"/>
      <c r="X202" s="1056"/>
      <c r="Y202" s="1056"/>
      <c r="Z202" s="1056"/>
      <c r="AA202" s="1056"/>
      <c r="AB202" s="1056"/>
      <c r="AC202" s="1056"/>
    </row>
    <row r="203" spans="1:29" x14ac:dyDescent="0.25">
      <c r="A203" s="1106"/>
      <c r="B203" s="1056"/>
      <c r="C203" s="1056"/>
      <c r="D203" s="1056"/>
      <c r="E203" s="1056"/>
      <c r="F203" s="1056"/>
      <c r="G203" s="1056"/>
      <c r="H203" s="1056"/>
      <c r="I203" s="1056"/>
      <c r="J203" s="1056"/>
      <c r="K203" s="1056"/>
      <c r="L203" s="1056"/>
      <c r="M203" s="1056"/>
      <c r="N203" s="1056"/>
      <c r="O203" s="1056"/>
      <c r="P203" s="1056"/>
      <c r="Q203" s="1056"/>
      <c r="R203" s="1056"/>
      <c r="S203" s="1056"/>
      <c r="T203" s="1056"/>
      <c r="U203" s="1056"/>
      <c r="V203" s="1056"/>
      <c r="W203" s="1056"/>
      <c r="X203" s="1056"/>
      <c r="Y203" s="1056"/>
      <c r="Z203" s="1056"/>
      <c r="AA203" s="1056"/>
      <c r="AB203" s="1056"/>
      <c r="AC203" s="1056"/>
    </row>
    <row r="204" spans="1:29" x14ac:dyDescent="0.25">
      <c r="A204" s="1106"/>
      <c r="B204" s="1056"/>
      <c r="C204" s="1056"/>
      <c r="D204" s="1056"/>
      <c r="E204" s="1056"/>
      <c r="F204" s="1056"/>
      <c r="G204" s="1056"/>
      <c r="H204" s="1056"/>
      <c r="I204" s="1056"/>
      <c r="J204" s="1056"/>
      <c r="K204" s="1056"/>
      <c r="L204" s="1056"/>
      <c r="M204" s="1056"/>
      <c r="N204" s="1056"/>
      <c r="O204" s="1056"/>
      <c r="P204" s="1056"/>
      <c r="Q204" s="1056"/>
      <c r="R204" s="1056"/>
      <c r="S204" s="1056"/>
      <c r="T204" s="1056"/>
      <c r="U204" s="1056"/>
      <c r="V204" s="1056"/>
      <c r="W204" s="1056"/>
      <c r="X204" s="1056"/>
      <c r="Y204" s="1056"/>
      <c r="Z204" s="1056"/>
      <c r="AA204" s="1056"/>
      <c r="AB204" s="1056"/>
      <c r="AC204" s="1056"/>
    </row>
    <row r="205" spans="1:29" x14ac:dyDescent="0.25">
      <c r="A205" s="1106"/>
      <c r="B205" s="1056"/>
      <c r="C205" s="1056"/>
      <c r="D205" s="1056"/>
      <c r="E205" s="1056"/>
      <c r="F205" s="1056"/>
      <c r="G205" s="1056"/>
      <c r="H205" s="1056"/>
      <c r="I205" s="1056"/>
      <c r="J205" s="1056"/>
      <c r="K205" s="1056"/>
      <c r="L205" s="1056"/>
      <c r="M205" s="1056"/>
      <c r="N205" s="1056"/>
      <c r="O205" s="1056"/>
      <c r="P205" s="1056"/>
      <c r="Q205" s="1056"/>
      <c r="R205" s="1056"/>
      <c r="S205" s="1056"/>
      <c r="T205" s="1056"/>
      <c r="U205" s="1056"/>
      <c r="V205" s="1056"/>
      <c r="W205" s="1056"/>
      <c r="X205" s="1056"/>
      <c r="Y205" s="1056"/>
      <c r="Z205" s="1056"/>
      <c r="AA205" s="1056"/>
      <c r="AB205" s="1056"/>
      <c r="AC205" s="1056"/>
    </row>
    <row r="206" spans="1:29" x14ac:dyDescent="0.25">
      <c r="A206" s="1106"/>
      <c r="B206" s="1056"/>
      <c r="C206" s="1056"/>
      <c r="D206" s="1056"/>
      <c r="E206" s="1056"/>
      <c r="F206" s="1056"/>
      <c r="G206" s="1056"/>
      <c r="H206" s="1056"/>
      <c r="I206" s="1056"/>
      <c r="J206" s="1056"/>
      <c r="K206" s="1056"/>
      <c r="L206" s="1056"/>
      <c r="M206" s="1056"/>
      <c r="N206" s="1056"/>
      <c r="O206" s="1056"/>
      <c r="P206" s="1056"/>
      <c r="Q206" s="1056"/>
      <c r="R206" s="1056"/>
      <c r="S206" s="1056"/>
      <c r="T206" s="1056"/>
      <c r="U206" s="1056"/>
      <c r="V206" s="1056"/>
      <c r="W206" s="1056"/>
      <c r="X206" s="1056"/>
      <c r="Y206" s="1056"/>
      <c r="Z206" s="1056"/>
      <c r="AA206" s="1056"/>
      <c r="AB206" s="1056"/>
      <c r="AC206" s="1056"/>
    </row>
    <row r="207" spans="1:29" x14ac:dyDescent="0.25">
      <c r="A207" s="1106"/>
      <c r="B207" s="1056"/>
      <c r="C207" s="1056"/>
      <c r="D207" s="1056"/>
      <c r="E207" s="1056"/>
      <c r="F207" s="1056"/>
      <c r="G207" s="1056"/>
      <c r="H207" s="1056"/>
      <c r="I207" s="1056"/>
      <c r="J207" s="1056"/>
      <c r="K207" s="1056"/>
      <c r="L207" s="1056"/>
      <c r="M207" s="1056"/>
      <c r="N207" s="1056"/>
      <c r="O207" s="1056"/>
      <c r="P207" s="1056"/>
      <c r="Q207" s="1056"/>
      <c r="R207" s="1056"/>
      <c r="S207" s="1056"/>
      <c r="T207" s="1056"/>
      <c r="U207" s="1056"/>
      <c r="V207" s="1056"/>
      <c r="W207" s="1056"/>
      <c r="X207" s="1056"/>
      <c r="Y207" s="1056"/>
      <c r="Z207" s="1056"/>
      <c r="AA207" s="1056"/>
      <c r="AB207" s="1056"/>
      <c r="AC207" s="1056"/>
    </row>
    <row r="208" spans="1:29" x14ac:dyDescent="0.25">
      <c r="A208" s="1106"/>
      <c r="B208" s="1056"/>
      <c r="C208" s="1056"/>
      <c r="D208" s="1056"/>
      <c r="E208" s="1056"/>
      <c r="F208" s="1056"/>
      <c r="G208" s="1056"/>
      <c r="H208" s="1056"/>
      <c r="I208" s="1056"/>
      <c r="J208" s="1056"/>
      <c r="K208" s="1056"/>
      <c r="L208" s="1056"/>
      <c r="M208" s="1056"/>
      <c r="N208" s="1056"/>
      <c r="O208" s="1056"/>
      <c r="P208" s="1056"/>
      <c r="Q208" s="1056"/>
      <c r="R208" s="1056"/>
      <c r="S208" s="1056"/>
      <c r="T208" s="1056"/>
      <c r="U208" s="1056"/>
      <c r="V208" s="1056"/>
      <c r="W208" s="1056"/>
      <c r="X208" s="1056"/>
      <c r="Y208" s="1056"/>
      <c r="Z208" s="1056"/>
      <c r="AA208" s="1056"/>
      <c r="AB208" s="1056"/>
      <c r="AC208" s="1056"/>
    </row>
    <row r="209" spans="1:29" x14ac:dyDescent="0.25">
      <c r="A209" s="1106"/>
      <c r="B209" s="1056"/>
      <c r="C209" s="1056"/>
      <c r="D209" s="1056"/>
      <c r="E209" s="1056"/>
      <c r="F209" s="1056"/>
      <c r="G209" s="1056"/>
      <c r="H209" s="1056"/>
      <c r="I209" s="1056"/>
      <c r="J209" s="1056"/>
      <c r="K209" s="1056"/>
      <c r="L209" s="1056"/>
      <c r="M209" s="1056"/>
      <c r="N209" s="1056"/>
      <c r="O209" s="1056"/>
      <c r="P209" s="1056"/>
      <c r="Q209" s="1056"/>
      <c r="R209" s="1056"/>
      <c r="S209" s="1056"/>
      <c r="T209" s="1056"/>
      <c r="U209" s="1056"/>
      <c r="V209" s="1056"/>
      <c r="W209" s="1056"/>
      <c r="X209" s="1056"/>
      <c r="Y209" s="1056"/>
      <c r="Z209" s="1056"/>
      <c r="AA209" s="1056"/>
      <c r="AB209" s="1056"/>
      <c r="AC209" s="1056"/>
    </row>
    <row r="210" spans="1:29" x14ac:dyDescent="0.25">
      <c r="A210" s="1106"/>
      <c r="B210" s="1056"/>
      <c r="C210" s="1056"/>
      <c r="D210" s="1056"/>
      <c r="E210" s="1056"/>
      <c r="F210" s="1056"/>
      <c r="G210" s="1056"/>
      <c r="H210" s="1056"/>
      <c r="I210" s="1056"/>
      <c r="J210" s="1056"/>
      <c r="K210" s="1056"/>
      <c r="L210" s="1056"/>
      <c r="M210" s="1056"/>
      <c r="N210" s="1056"/>
      <c r="O210" s="1056"/>
      <c r="P210" s="1056"/>
      <c r="Q210" s="1056"/>
      <c r="R210" s="1056"/>
      <c r="S210" s="1056"/>
      <c r="T210" s="1056"/>
      <c r="U210" s="1056"/>
      <c r="V210" s="1056"/>
      <c r="W210" s="1056"/>
      <c r="X210" s="1056"/>
      <c r="Y210" s="1056"/>
      <c r="Z210" s="1056"/>
      <c r="AA210" s="1056"/>
      <c r="AB210" s="1056"/>
      <c r="AC210" s="1056"/>
    </row>
    <row r="211" spans="1:29" x14ac:dyDescent="0.25">
      <c r="A211" s="1106"/>
      <c r="B211" s="1056"/>
      <c r="C211" s="1056"/>
      <c r="D211" s="1056"/>
      <c r="E211" s="1056"/>
      <c r="F211" s="1056"/>
      <c r="G211" s="1056"/>
      <c r="H211" s="1056"/>
      <c r="I211" s="1056"/>
      <c r="J211" s="1056"/>
      <c r="K211" s="1056"/>
      <c r="L211" s="1056"/>
      <c r="M211" s="1056"/>
      <c r="N211" s="1056"/>
      <c r="O211" s="1056"/>
      <c r="P211" s="1056"/>
      <c r="Q211" s="1056"/>
      <c r="R211" s="1056"/>
      <c r="S211" s="1056"/>
      <c r="T211" s="1056"/>
      <c r="U211" s="1056"/>
      <c r="V211" s="1056"/>
      <c r="W211" s="1056"/>
      <c r="X211" s="1056"/>
      <c r="Y211" s="1056"/>
      <c r="Z211" s="1056"/>
      <c r="AA211" s="1056"/>
      <c r="AB211" s="1056"/>
      <c r="AC211" s="1056"/>
    </row>
    <row r="212" spans="1:29" x14ac:dyDescent="0.25">
      <c r="A212" s="1106"/>
      <c r="B212" s="1056"/>
      <c r="C212" s="1056"/>
      <c r="D212" s="1056"/>
      <c r="E212" s="1056"/>
      <c r="F212" s="1056"/>
      <c r="G212" s="1056"/>
      <c r="H212" s="1056"/>
      <c r="I212" s="1056"/>
      <c r="J212" s="1056"/>
      <c r="K212" s="1056"/>
      <c r="L212" s="1056"/>
      <c r="M212" s="1056"/>
      <c r="N212" s="1056"/>
      <c r="O212" s="1056"/>
      <c r="P212" s="1056"/>
      <c r="Q212" s="1056"/>
      <c r="R212" s="1056"/>
      <c r="S212" s="1056"/>
      <c r="T212" s="1056"/>
      <c r="U212" s="1056"/>
      <c r="V212" s="1056"/>
      <c r="W212" s="1056"/>
      <c r="X212" s="1056"/>
      <c r="Y212" s="1056"/>
      <c r="Z212" s="1056"/>
      <c r="AA212" s="1056"/>
      <c r="AB212" s="1056"/>
      <c r="AC212" s="1056"/>
    </row>
    <row r="213" spans="1:29" x14ac:dyDescent="0.25">
      <c r="A213" s="1106"/>
      <c r="B213" s="1056"/>
      <c r="C213" s="1056"/>
      <c r="D213" s="1056"/>
      <c r="E213" s="1056"/>
      <c r="F213" s="1056"/>
      <c r="G213" s="1056"/>
      <c r="H213" s="1056"/>
      <c r="I213" s="1056"/>
      <c r="J213" s="1056"/>
      <c r="K213" s="1056"/>
      <c r="L213" s="1056"/>
      <c r="M213" s="1056"/>
      <c r="N213" s="1056"/>
      <c r="O213" s="1056"/>
      <c r="P213" s="1056"/>
      <c r="Q213" s="1056"/>
      <c r="R213" s="1056"/>
      <c r="S213" s="1056"/>
      <c r="T213" s="1056"/>
      <c r="U213" s="1056"/>
      <c r="V213" s="1056"/>
      <c r="W213" s="1056"/>
      <c r="X213" s="1056"/>
      <c r="Y213" s="1056"/>
      <c r="Z213" s="1056"/>
      <c r="AA213" s="1056"/>
      <c r="AB213" s="1056"/>
      <c r="AC213" s="1056"/>
    </row>
    <row r="214" spans="1:29" x14ac:dyDescent="0.25">
      <c r="A214" s="1106"/>
      <c r="B214" s="1056"/>
      <c r="C214" s="1056"/>
      <c r="D214" s="1056"/>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A214" s="1056"/>
      <c r="AB214" s="1056"/>
      <c r="AC214" s="1056"/>
    </row>
    <row r="215" spans="1:29" x14ac:dyDescent="0.25">
      <c r="A215" s="1106"/>
      <c r="B215" s="1056"/>
      <c r="C215" s="1056"/>
      <c r="D215" s="1056"/>
      <c r="E215" s="1056"/>
      <c r="F215" s="1056"/>
      <c r="G215" s="1056"/>
      <c r="H215" s="1056"/>
      <c r="I215" s="1056"/>
      <c r="J215" s="1056"/>
      <c r="K215" s="1056"/>
      <c r="L215" s="1056"/>
      <c r="M215" s="1056"/>
      <c r="N215" s="1056"/>
      <c r="O215" s="1056"/>
      <c r="P215" s="1056"/>
      <c r="Q215" s="1056"/>
      <c r="R215" s="1056"/>
      <c r="S215" s="1056"/>
      <c r="T215" s="1056"/>
      <c r="U215" s="1056"/>
      <c r="V215" s="1056"/>
      <c r="W215" s="1056"/>
      <c r="X215" s="1056"/>
      <c r="Y215" s="1056"/>
      <c r="Z215" s="1056"/>
      <c r="AA215" s="1056"/>
      <c r="AB215" s="1056"/>
      <c r="AC215" s="1056"/>
    </row>
    <row r="216" spans="1:29" x14ac:dyDescent="0.25">
      <c r="A216" s="1106"/>
      <c r="B216" s="1056"/>
      <c r="C216" s="1056"/>
      <c r="D216" s="1056"/>
      <c r="E216" s="1056"/>
      <c r="F216" s="1056"/>
      <c r="G216" s="1056"/>
      <c r="H216" s="1056"/>
      <c r="I216" s="1056"/>
      <c r="J216" s="1056"/>
      <c r="K216" s="1056"/>
      <c r="L216" s="1056"/>
      <c r="M216" s="1056"/>
      <c r="N216" s="1056"/>
      <c r="O216" s="1056"/>
      <c r="P216" s="1056"/>
      <c r="Q216" s="1056"/>
      <c r="R216" s="1056"/>
      <c r="S216" s="1056"/>
      <c r="T216" s="1056"/>
      <c r="U216" s="1056"/>
      <c r="V216" s="1056"/>
      <c r="W216" s="1056"/>
      <c r="X216" s="1056"/>
      <c r="Y216" s="1056"/>
      <c r="Z216" s="1056"/>
      <c r="AA216" s="1056"/>
      <c r="AB216" s="1056"/>
      <c r="AC216" s="1056"/>
    </row>
    <row r="217" spans="1:29" x14ac:dyDescent="0.25">
      <c r="A217" s="1106"/>
      <c r="B217" s="1056"/>
      <c r="C217" s="1056"/>
      <c r="D217" s="1056"/>
      <c r="E217" s="1056"/>
      <c r="F217" s="1056"/>
      <c r="G217" s="1056"/>
      <c r="H217" s="1056"/>
      <c r="I217" s="1056"/>
      <c r="J217" s="1056"/>
      <c r="K217" s="1056"/>
      <c r="L217" s="1056"/>
      <c r="M217" s="1056"/>
      <c r="N217" s="1056"/>
      <c r="O217" s="1056"/>
      <c r="P217" s="1056"/>
      <c r="Q217" s="1056"/>
      <c r="R217" s="1056"/>
      <c r="S217" s="1056"/>
      <c r="T217" s="1056"/>
      <c r="U217" s="1056"/>
      <c r="V217" s="1056"/>
      <c r="W217" s="1056"/>
      <c r="X217" s="1056"/>
      <c r="Y217" s="1056"/>
      <c r="Z217" s="1056"/>
      <c r="AA217" s="1056"/>
      <c r="AB217" s="1056"/>
      <c r="AC217" s="1056"/>
    </row>
    <row r="218" spans="1:29" x14ac:dyDescent="0.25">
      <c r="A218" s="1106"/>
      <c r="B218" s="1056"/>
      <c r="C218" s="1056"/>
      <c r="D218" s="1056"/>
      <c r="E218" s="1056"/>
      <c r="F218" s="1056"/>
      <c r="G218" s="1056"/>
      <c r="H218" s="1056"/>
      <c r="I218" s="1056"/>
      <c r="J218" s="1056"/>
      <c r="K218" s="1056"/>
      <c r="L218" s="1056"/>
      <c r="M218" s="1056"/>
      <c r="N218" s="1056"/>
      <c r="O218" s="1056"/>
      <c r="P218" s="1056"/>
      <c r="Q218" s="1056"/>
      <c r="R218" s="1056"/>
      <c r="S218" s="1056"/>
      <c r="T218" s="1056"/>
      <c r="U218" s="1056"/>
      <c r="V218" s="1056"/>
      <c r="W218" s="1056"/>
      <c r="X218" s="1056"/>
      <c r="Y218" s="1056"/>
      <c r="Z218" s="1056"/>
      <c r="AA218" s="1056"/>
      <c r="AB218" s="1056"/>
      <c r="AC218" s="1056"/>
    </row>
    <row r="219" spans="1:29" x14ac:dyDescent="0.25">
      <c r="A219" s="1106"/>
      <c r="B219" s="1056"/>
      <c r="C219" s="1056"/>
      <c r="D219" s="1056"/>
      <c r="E219" s="1056"/>
      <c r="F219" s="1056"/>
      <c r="G219" s="1056"/>
      <c r="H219" s="1056"/>
      <c r="I219" s="1056"/>
      <c r="J219" s="1056"/>
      <c r="K219" s="1056"/>
      <c r="L219" s="1056"/>
      <c r="M219" s="1056"/>
      <c r="N219" s="1056"/>
      <c r="O219" s="1056"/>
      <c r="P219" s="1056"/>
      <c r="Q219" s="1056"/>
      <c r="R219" s="1056"/>
      <c r="S219" s="1056"/>
      <c r="T219" s="1056"/>
      <c r="U219" s="1056"/>
      <c r="V219" s="1056"/>
      <c r="W219" s="1056"/>
      <c r="X219" s="1056"/>
      <c r="Y219" s="1056"/>
      <c r="Z219" s="1056"/>
      <c r="AA219" s="1056"/>
      <c r="AB219" s="1056"/>
      <c r="AC219" s="1056"/>
    </row>
    <row r="220" spans="1:29" x14ac:dyDescent="0.25">
      <c r="A220" s="1106"/>
      <c r="B220" s="1056"/>
      <c r="C220" s="1056"/>
      <c r="D220" s="1056"/>
      <c r="E220" s="1056"/>
      <c r="F220" s="1056"/>
      <c r="G220" s="1056"/>
      <c r="H220" s="1056"/>
      <c r="I220" s="1056"/>
      <c r="J220" s="1056"/>
      <c r="K220" s="1056"/>
      <c r="L220" s="1056"/>
      <c r="M220" s="1056"/>
      <c r="N220" s="1056"/>
      <c r="O220" s="1056"/>
      <c r="P220" s="1056"/>
      <c r="Q220" s="1056"/>
      <c r="R220" s="1056"/>
      <c r="S220" s="1056"/>
      <c r="T220" s="1056"/>
      <c r="U220" s="1056"/>
      <c r="V220" s="1056"/>
      <c r="W220" s="1056"/>
      <c r="X220" s="1056"/>
      <c r="Y220" s="1056"/>
      <c r="Z220" s="1056"/>
      <c r="AA220" s="1056"/>
      <c r="AB220" s="1056"/>
      <c r="AC220" s="1056"/>
    </row>
    <row r="221" spans="1:29" x14ac:dyDescent="0.25">
      <c r="A221" s="1106"/>
      <c r="B221" s="1056"/>
      <c r="C221" s="1056"/>
      <c r="D221" s="1056"/>
      <c r="E221" s="1056"/>
      <c r="F221" s="1056"/>
      <c r="G221" s="1056"/>
      <c r="H221" s="1056"/>
      <c r="I221" s="1056"/>
      <c r="J221" s="1056"/>
      <c r="K221" s="1056"/>
      <c r="L221" s="1056"/>
      <c r="M221" s="1056"/>
      <c r="N221" s="1056"/>
      <c r="O221" s="1056"/>
      <c r="P221" s="1056"/>
      <c r="Q221" s="1056"/>
      <c r="R221" s="1056"/>
      <c r="S221" s="1056"/>
      <c r="T221" s="1056"/>
      <c r="U221" s="1056"/>
      <c r="V221" s="1056"/>
      <c r="W221" s="1056"/>
      <c r="X221" s="1056"/>
      <c r="Y221" s="1056"/>
      <c r="Z221" s="1056"/>
      <c r="AA221" s="1056"/>
      <c r="AB221" s="1056"/>
      <c r="AC221" s="1056"/>
    </row>
    <row r="222" spans="1:29" x14ac:dyDescent="0.25">
      <c r="A222" s="1106"/>
      <c r="B222" s="1056"/>
      <c r="C222" s="1056"/>
      <c r="D222" s="1056"/>
      <c r="E222" s="1056"/>
      <c r="F222" s="1056"/>
      <c r="G222" s="1056"/>
      <c r="H222" s="1056"/>
      <c r="I222" s="1056"/>
      <c r="J222" s="1056"/>
      <c r="K222" s="1056"/>
      <c r="L222" s="1056"/>
      <c r="M222" s="1056"/>
      <c r="N222" s="1056"/>
      <c r="O222" s="1056"/>
      <c r="P222" s="1056"/>
      <c r="Q222" s="1056"/>
      <c r="R222" s="1056"/>
      <c r="S222" s="1056"/>
      <c r="T222" s="1056"/>
      <c r="U222" s="1056"/>
      <c r="V222" s="1056"/>
      <c r="W222" s="1056"/>
      <c r="X222" s="1056"/>
      <c r="Y222" s="1056"/>
      <c r="Z222" s="1056"/>
      <c r="AA222" s="1056"/>
      <c r="AB222" s="1056"/>
      <c r="AC222" s="1056"/>
    </row>
    <row r="223" spans="1:29" x14ac:dyDescent="0.25">
      <c r="A223" s="1106"/>
      <c r="B223" s="1056"/>
      <c r="C223" s="1056"/>
      <c r="D223" s="1056"/>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row>
    <row r="224" spans="1:29" x14ac:dyDescent="0.25">
      <c r="A224" s="1106"/>
      <c r="B224" s="1056"/>
      <c r="C224" s="1056"/>
      <c r="D224" s="1056"/>
      <c r="E224" s="1056"/>
      <c r="F224" s="1056"/>
      <c r="G224" s="1056"/>
      <c r="H224" s="1056"/>
      <c r="I224" s="1056"/>
      <c r="J224" s="1056"/>
      <c r="K224" s="1056"/>
      <c r="L224" s="1056"/>
      <c r="M224" s="1056"/>
      <c r="N224" s="1056"/>
      <c r="O224" s="1056"/>
      <c r="P224" s="1056"/>
      <c r="Q224" s="1056"/>
      <c r="R224" s="1056"/>
      <c r="S224" s="1056"/>
      <c r="T224" s="1056"/>
      <c r="U224" s="1056"/>
      <c r="V224" s="1056"/>
      <c r="W224" s="1056"/>
      <c r="X224" s="1056"/>
      <c r="Y224" s="1056"/>
      <c r="Z224" s="1056"/>
      <c r="AA224" s="1056"/>
      <c r="AB224" s="1056"/>
      <c r="AC224" s="1056"/>
    </row>
    <row r="225" spans="1:29" x14ac:dyDescent="0.25">
      <c r="A225" s="1106"/>
      <c r="B225" s="1056"/>
      <c r="C225" s="1056"/>
      <c r="D225" s="1056"/>
      <c r="E225" s="1056"/>
      <c r="F225" s="1056"/>
      <c r="G225" s="1056"/>
      <c r="H225" s="1056"/>
      <c r="I225" s="1056"/>
      <c r="J225" s="1056"/>
      <c r="K225" s="1056"/>
      <c r="L225" s="1056"/>
      <c r="M225" s="1056"/>
      <c r="N225" s="1056"/>
      <c r="O225" s="1056"/>
      <c r="P225" s="1056"/>
      <c r="Q225" s="1056"/>
      <c r="R225" s="1056"/>
      <c r="S225" s="1056"/>
      <c r="T225" s="1056"/>
      <c r="U225" s="1056"/>
      <c r="V225" s="1056"/>
      <c r="W225" s="1056"/>
      <c r="X225" s="1056"/>
      <c r="Y225" s="1056"/>
      <c r="Z225" s="1056"/>
      <c r="AA225" s="1056"/>
      <c r="AB225" s="1056"/>
      <c r="AC225" s="1056"/>
    </row>
    <row r="226" spans="1:29" x14ac:dyDescent="0.25">
      <c r="A226" s="1106"/>
      <c r="B226" s="1056"/>
      <c r="C226" s="1056"/>
      <c r="D226" s="1056"/>
      <c r="E226" s="1056"/>
      <c r="F226" s="1056"/>
      <c r="G226" s="1056"/>
      <c r="H226" s="1056"/>
      <c r="I226" s="1056"/>
      <c r="J226" s="1056"/>
      <c r="K226" s="1056"/>
      <c r="L226" s="1056"/>
      <c r="M226" s="1056"/>
      <c r="N226" s="1056"/>
      <c r="O226" s="1056"/>
      <c r="P226" s="1056"/>
      <c r="Q226" s="1056"/>
      <c r="R226" s="1056"/>
      <c r="S226" s="1056"/>
      <c r="T226" s="1056"/>
      <c r="U226" s="1056"/>
      <c r="V226" s="1056"/>
      <c r="W226" s="1056"/>
      <c r="X226" s="1056"/>
      <c r="Y226" s="1056"/>
      <c r="Z226" s="1056"/>
      <c r="AA226" s="1056"/>
      <c r="AB226" s="1056"/>
      <c r="AC226" s="1056"/>
    </row>
    <row r="227" spans="1:29" x14ac:dyDescent="0.25">
      <c r="A227" s="1106"/>
      <c r="B227" s="1056"/>
      <c r="C227" s="1056"/>
      <c r="D227" s="1056"/>
      <c r="E227" s="1056"/>
      <c r="F227" s="1056"/>
      <c r="G227" s="1056"/>
      <c r="H227" s="1056"/>
      <c r="I227" s="1056"/>
      <c r="J227" s="1056"/>
      <c r="K227" s="1056"/>
      <c r="L227" s="1056"/>
      <c r="M227" s="1056"/>
      <c r="N227" s="1056"/>
      <c r="O227" s="1056"/>
      <c r="P227" s="1056"/>
      <c r="Q227" s="1056"/>
      <c r="R227" s="1056"/>
      <c r="S227" s="1056"/>
      <c r="T227" s="1056"/>
      <c r="U227" s="1056"/>
      <c r="V227" s="1056"/>
      <c r="W227" s="1056"/>
      <c r="X227" s="1056"/>
      <c r="Y227" s="1056"/>
      <c r="Z227" s="1056"/>
      <c r="AA227" s="1056"/>
      <c r="AB227" s="1056"/>
      <c r="AC227" s="1056"/>
    </row>
    <row r="228" spans="1:29" x14ac:dyDescent="0.25">
      <c r="A228" s="1106"/>
      <c r="B228" s="1056"/>
      <c r="C228" s="1056"/>
      <c r="D228" s="1056"/>
      <c r="E228" s="1056"/>
      <c r="F228" s="1056"/>
      <c r="G228" s="1056"/>
      <c r="H228" s="1056"/>
      <c r="I228" s="1056"/>
      <c r="J228" s="1056"/>
      <c r="K228" s="1056"/>
      <c r="L228" s="1056"/>
      <c r="M228" s="1056"/>
      <c r="N228" s="1056"/>
      <c r="O228" s="1056"/>
      <c r="P228" s="1056"/>
      <c r="Q228" s="1056"/>
      <c r="R228" s="1056"/>
      <c r="S228" s="1056"/>
      <c r="T228" s="1056"/>
      <c r="U228" s="1056"/>
      <c r="V228" s="1056"/>
      <c r="W228" s="1056"/>
      <c r="X228" s="1056"/>
      <c r="Y228" s="1056"/>
      <c r="Z228" s="1056"/>
      <c r="AA228" s="1056"/>
      <c r="AB228" s="1056"/>
      <c r="AC228" s="1056"/>
    </row>
    <row r="229" spans="1:29" x14ac:dyDescent="0.25">
      <c r="A229" s="1106"/>
      <c r="B229" s="1056"/>
      <c r="C229" s="1056"/>
      <c r="D229" s="1056"/>
      <c r="E229" s="1056"/>
      <c r="F229" s="1056"/>
      <c r="G229" s="1056"/>
      <c r="H229" s="1056"/>
      <c r="I229" s="1056"/>
      <c r="J229" s="1056"/>
      <c r="K229" s="1056"/>
      <c r="L229" s="1056"/>
      <c r="M229" s="1056"/>
      <c r="N229" s="1056"/>
      <c r="O229" s="1056"/>
      <c r="P229" s="1056"/>
      <c r="Q229" s="1056"/>
      <c r="R229" s="1056"/>
      <c r="S229" s="1056"/>
      <c r="T229" s="1056"/>
      <c r="U229" s="1056"/>
      <c r="V229" s="1056"/>
      <c r="W229" s="1056"/>
      <c r="X229" s="1056"/>
      <c r="Y229" s="1056"/>
      <c r="Z229" s="1056"/>
      <c r="AA229" s="1056"/>
      <c r="AB229" s="1056"/>
      <c r="AC229" s="1056"/>
    </row>
    <row r="230" spans="1:29" x14ac:dyDescent="0.25">
      <c r="A230" s="1106"/>
      <c r="B230" s="1056"/>
      <c r="C230" s="1056"/>
      <c r="D230" s="1056"/>
      <c r="E230" s="1056"/>
      <c r="F230" s="1056"/>
      <c r="G230" s="1056"/>
      <c r="H230" s="1056"/>
      <c r="I230" s="1056"/>
      <c r="J230" s="1056"/>
      <c r="K230" s="1056"/>
      <c r="L230" s="1056"/>
      <c r="M230" s="1056"/>
      <c r="N230" s="1056"/>
      <c r="O230" s="1056"/>
      <c r="P230" s="1056"/>
      <c r="Q230" s="1056"/>
      <c r="R230" s="1056"/>
      <c r="S230" s="1056"/>
      <c r="T230" s="1056"/>
      <c r="U230" s="1056"/>
      <c r="V230" s="1056"/>
      <c r="W230" s="1056"/>
      <c r="X230" s="1056"/>
      <c r="Y230" s="1056"/>
      <c r="Z230" s="1056"/>
      <c r="AA230" s="1056"/>
      <c r="AB230" s="1056"/>
      <c r="AC230" s="1056"/>
    </row>
    <row r="231" spans="1:29" x14ac:dyDescent="0.25">
      <c r="A231" s="1106"/>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row>
    <row r="232" spans="1:29" x14ac:dyDescent="0.25">
      <c r="A232" s="110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row>
    <row r="233" spans="1:29" x14ac:dyDescent="0.25">
      <c r="A233" s="1106"/>
      <c r="B233" s="1056"/>
      <c r="C233" s="1056"/>
      <c r="D233" s="1056"/>
      <c r="E233" s="1056"/>
      <c r="F233" s="1056"/>
      <c r="G233" s="1056"/>
      <c r="H233" s="1056"/>
      <c r="I233" s="1056"/>
      <c r="J233" s="1056"/>
      <c r="K233" s="1056"/>
      <c r="L233" s="1056"/>
      <c r="M233" s="1056"/>
      <c r="N233" s="1056"/>
      <c r="O233" s="1056"/>
      <c r="P233" s="1056"/>
      <c r="Q233" s="1056"/>
      <c r="R233" s="1056"/>
      <c r="S233" s="1056"/>
      <c r="T233" s="1056"/>
      <c r="U233" s="1056"/>
      <c r="V233" s="1056"/>
      <c r="W233" s="1056"/>
      <c r="X233" s="1056"/>
      <c r="Y233" s="1056"/>
      <c r="Z233" s="1056"/>
      <c r="AA233" s="1056"/>
      <c r="AB233" s="1056"/>
      <c r="AC233" s="1056"/>
    </row>
    <row r="234" spans="1:29" x14ac:dyDescent="0.25">
      <c r="A234" s="1106"/>
      <c r="B234" s="1056"/>
      <c r="C234" s="1056"/>
      <c r="D234" s="1056"/>
      <c r="E234" s="1056"/>
      <c r="F234" s="1056"/>
      <c r="G234" s="1056"/>
      <c r="H234" s="1056"/>
      <c r="I234" s="1056"/>
      <c r="J234" s="1056"/>
      <c r="K234" s="1056"/>
      <c r="L234" s="1056"/>
      <c r="M234" s="1056"/>
      <c r="N234" s="1056"/>
      <c r="O234" s="1056"/>
      <c r="P234" s="1056"/>
      <c r="Q234" s="1056"/>
      <c r="R234" s="1056"/>
      <c r="S234" s="1056"/>
      <c r="T234" s="1056"/>
      <c r="U234" s="1056"/>
      <c r="V234" s="1056"/>
      <c r="W234" s="1056"/>
      <c r="X234" s="1056"/>
      <c r="Y234" s="1056"/>
      <c r="Z234" s="1056"/>
      <c r="AA234" s="1056"/>
      <c r="AB234" s="1056"/>
      <c r="AC234" s="1056"/>
    </row>
    <row r="235" spans="1:29" x14ac:dyDescent="0.25">
      <c r="A235" s="1106"/>
      <c r="B235" s="1056"/>
      <c r="C235" s="1056"/>
      <c r="D235" s="1056"/>
      <c r="E235" s="1056"/>
      <c r="F235" s="1056"/>
      <c r="G235" s="1056"/>
      <c r="H235" s="1056"/>
      <c r="I235" s="1056"/>
      <c r="J235" s="1056"/>
      <c r="K235" s="1056"/>
      <c r="L235" s="1056"/>
      <c r="M235" s="1056"/>
      <c r="N235" s="1056"/>
      <c r="O235" s="1056"/>
      <c r="P235" s="1056"/>
      <c r="Q235" s="1056"/>
      <c r="R235" s="1056"/>
      <c r="S235" s="1056"/>
      <c r="T235" s="1056"/>
      <c r="U235" s="1056"/>
      <c r="V235" s="1056"/>
      <c r="W235" s="1056"/>
      <c r="X235" s="1056"/>
      <c r="Y235" s="1056"/>
      <c r="Z235" s="1056"/>
      <c r="AA235" s="1056"/>
      <c r="AB235" s="1056"/>
      <c r="AC235" s="1056"/>
    </row>
    <row r="236" spans="1:29" x14ac:dyDescent="0.25">
      <c r="A236" s="1106"/>
      <c r="B236" s="1056"/>
      <c r="C236" s="1056"/>
      <c r="D236" s="1056"/>
      <c r="E236" s="1056"/>
      <c r="F236" s="1056"/>
      <c r="G236" s="1056"/>
      <c r="H236" s="1056"/>
      <c r="I236" s="1056"/>
      <c r="J236" s="1056"/>
      <c r="K236" s="1056"/>
      <c r="L236" s="1056"/>
      <c r="M236" s="1056"/>
      <c r="N236" s="1056"/>
      <c r="O236" s="1056"/>
      <c r="P236" s="1056"/>
      <c r="Q236" s="1056"/>
      <c r="R236" s="1056"/>
      <c r="S236" s="1056"/>
      <c r="T236" s="1056"/>
      <c r="U236" s="1056"/>
      <c r="V236" s="1056"/>
      <c r="W236" s="1056"/>
      <c r="X236" s="1056"/>
      <c r="Y236" s="1056"/>
      <c r="Z236" s="1056"/>
      <c r="AA236" s="1056"/>
      <c r="AB236" s="1056"/>
      <c r="AC236" s="1056"/>
    </row>
    <row r="237" spans="1:29" x14ac:dyDescent="0.25">
      <c r="A237" s="1106"/>
      <c r="B237" s="1056"/>
      <c r="C237" s="1056"/>
      <c r="D237" s="1056"/>
      <c r="E237" s="1056"/>
      <c r="F237" s="1056"/>
      <c r="G237" s="1056"/>
      <c r="H237" s="1056"/>
      <c r="I237" s="1056"/>
      <c r="J237" s="1056"/>
      <c r="K237" s="1056"/>
      <c r="L237" s="1056"/>
      <c r="M237" s="1056"/>
      <c r="N237" s="1056"/>
      <c r="O237" s="1056"/>
      <c r="P237" s="1056"/>
      <c r="Q237" s="1056"/>
      <c r="R237" s="1056"/>
      <c r="S237" s="1056"/>
      <c r="T237" s="1056"/>
      <c r="U237" s="1056"/>
      <c r="V237" s="1056"/>
      <c r="W237" s="1056"/>
      <c r="X237" s="1056"/>
      <c r="Y237" s="1056"/>
      <c r="Z237" s="1056"/>
      <c r="AA237" s="1056"/>
      <c r="AB237" s="1056"/>
      <c r="AC237" s="1056"/>
    </row>
    <row r="238" spans="1:29" x14ac:dyDescent="0.25">
      <c r="A238" s="1106"/>
      <c r="B238" s="1056"/>
      <c r="C238" s="1056"/>
      <c r="D238" s="1056"/>
      <c r="E238" s="1056"/>
      <c r="F238" s="1056"/>
      <c r="G238" s="1056"/>
      <c r="H238" s="1056"/>
      <c r="I238" s="1056"/>
      <c r="J238" s="1056"/>
      <c r="K238" s="1056"/>
      <c r="L238" s="1056"/>
      <c r="M238" s="1056"/>
      <c r="N238" s="1056"/>
      <c r="O238" s="1056"/>
      <c r="P238" s="1056"/>
      <c r="Q238" s="1056"/>
      <c r="R238" s="1056"/>
      <c r="S238" s="1056"/>
      <c r="T238" s="1056"/>
      <c r="U238" s="1056"/>
      <c r="V238" s="1056"/>
      <c r="W238" s="1056"/>
      <c r="X238" s="1056"/>
      <c r="Y238" s="1056"/>
      <c r="Z238" s="1056"/>
      <c r="AA238" s="1056"/>
      <c r="AB238" s="1056"/>
      <c r="AC238" s="1056"/>
    </row>
    <row r="239" spans="1:29" x14ac:dyDescent="0.25">
      <c r="A239" s="1106"/>
      <c r="B239" s="1056"/>
      <c r="C239" s="1056"/>
      <c r="D239" s="1056"/>
      <c r="E239" s="1056"/>
      <c r="F239" s="1056"/>
      <c r="G239" s="1056"/>
      <c r="H239" s="1056"/>
      <c r="I239" s="1056"/>
      <c r="J239" s="1056"/>
      <c r="K239" s="1056"/>
      <c r="L239" s="1056"/>
      <c r="M239" s="1056"/>
      <c r="N239" s="1056"/>
      <c r="O239" s="1056"/>
      <c r="P239" s="1056"/>
      <c r="Q239" s="1056"/>
      <c r="R239" s="1056"/>
      <c r="S239" s="1056"/>
      <c r="T239" s="1056"/>
      <c r="U239" s="1056"/>
      <c r="V239" s="1056"/>
      <c r="W239" s="1056"/>
      <c r="X239" s="1056"/>
      <c r="Y239" s="1056"/>
      <c r="Z239" s="1056"/>
      <c r="AA239" s="1056"/>
      <c r="AB239" s="1056"/>
      <c r="AC239" s="1056"/>
    </row>
    <row r="240" spans="1:29" x14ac:dyDescent="0.25">
      <c r="A240" s="1106"/>
      <c r="B240" s="1056"/>
      <c r="C240" s="1056"/>
      <c r="D240" s="1056"/>
      <c r="E240" s="1056"/>
      <c r="F240" s="1056"/>
      <c r="G240" s="1056"/>
      <c r="H240" s="1056"/>
      <c r="I240" s="1056"/>
      <c r="J240" s="1056"/>
      <c r="K240" s="1056"/>
      <c r="L240" s="1056"/>
      <c r="M240" s="1056"/>
      <c r="N240" s="1056"/>
      <c r="O240" s="1056"/>
      <c r="P240" s="1056"/>
      <c r="Q240" s="1056"/>
      <c r="R240" s="1056"/>
      <c r="S240" s="1056"/>
      <c r="T240" s="1056"/>
      <c r="U240" s="1056"/>
      <c r="V240" s="1056"/>
      <c r="W240" s="1056"/>
      <c r="X240" s="1056"/>
      <c r="Y240" s="1056"/>
      <c r="Z240" s="1056"/>
      <c r="AA240" s="1056"/>
      <c r="AB240" s="1056"/>
      <c r="AC240" s="1056"/>
    </row>
    <row r="241" spans="1:29" x14ac:dyDescent="0.25">
      <c r="A241" s="1106"/>
      <c r="B241" s="1056"/>
      <c r="C241" s="1056"/>
      <c r="D241" s="1056"/>
      <c r="E241" s="1056"/>
      <c r="F241" s="1056"/>
      <c r="G241" s="1056"/>
      <c r="H241" s="1056"/>
      <c r="I241" s="1056"/>
      <c r="J241" s="1056"/>
      <c r="K241" s="1056"/>
      <c r="L241" s="1056"/>
      <c r="M241" s="1056"/>
      <c r="N241" s="1056"/>
      <c r="O241" s="1056"/>
      <c r="P241" s="1056"/>
      <c r="Q241" s="1056"/>
      <c r="R241" s="1056"/>
      <c r="S241" s="1056"/>
      <c r="T241" s="1056"/>
      <c r="U241" s="1056"/>
      <c r="V241" s="1056"/>
      <c r="W241" s="1056"/>
      <c r="X241" s="1056"/>
      <c r="Y241" s="1056"/>
      <c r="Z241" s="1056"/>
      <c r="AA241" s="1056"/>
      <c r="AB241" s="1056"/>
      <c r="AC241" s="1056"/>
    </row>
    <row r="242" spans="1:29" x14ac:dyDescent="0.25">
      <c r="A242" s="1106"/>
      <c r="B242" s="1056"/>
      <c r="C242" s="1056"/>
      <c r="D242" s="1056"/>
      <c r="E242" s="1056"/>
      <c r="F242" s="1056"/>
      <c r="G242" s="1056"/>
      <c r="H242" s="1056"/>
      <c r="I242" s="1056"/>
      <c r="J242" s="1056"/>
      <c r="K242" s="1056"/>
      <c r="L242" s="1056"/>
      <c r="M242" s="1056"/>
      <c r="N242" s="1056"/>
      <c r="O242" s="1056"/>
      <c r="P242" s="1056"/>
      <c r="Q242" s="1056"/>
      <c r="R242" s="1056"/>
      <c r="S242" s="1056"/>
      <c r="T242" s="1056"/>
      <c r="U242" s="1056"/>
      <c r="V242" s="1056"/>
      <c r="W242" s="1056"/>
      <c r="X242" s="1056"/>
      <c r="Y242" s="1056"/>
      <c r="Z242" s="1056"/>
      <c r="AA242" s="1056"/>
      <c r="AB242" s="1056"/>
      <c r="AC242" s="1056"/>
    </row>
    <row r="243" spans="1:29" x14ac:dyDescent="0.25">
      <c r="A243" s="1106"/>
      <c r="B243" s="1056"/>
      <c r="C243" s="1056"/>
      <c r="D243" s="1056"/>
      <c r="E243" s="1056"/>
      <c r="F243" s="1056"/>
      <c r="G243" s="1056"/>
      <c r="H243" s="1056"/>
      <c r="I243" s="1056"/>
      <c r="J243" s="1056"/>
      <c r="K243" s="1056"/>
      <c r="L243" s="1056"/>
      <c r="M243" s="1056"/>
      <c r="N243" s="1056"/>
      <c r="O243" s="1056"/>
      <c r="P243" s="1056"/>
      <c r="Q243" s="1056"/>
      <c r="R243" s="1056"/>
      <c r="S243" s="1056"/>
      <c r="T243" s="1056"/>
      <c r="U243" s="1056"/>
      <c r="V243" s="1056"/>
      <c r="W243" s="1056"/>
      <c r="X243" s="1056"/>
      <c r="Y243" s="1056"/>
      <c r="Z243" s="1056"/>
      <c r="AA243" s="1056"/>
      <c r="AB243" s="1056"/>
      <c r="AC243" s="1056"/>
    </row>
    <row r="244" spans="1:29" x14ac:dyDescent="0.25">
      <c r="A244" s="1106"/>
      <c r="B244" s="1056"/>
      <c r="C244" s="1056"/>
      <c r="D244" s="1056"/>
      <c r="E244" s="1056"/>
      <c r="F244" s="1056"/>
      <c r="G244" s="1056"/>
      <c r="H244" s="1056"/>
      <c r="I244" s="1056"/>
      <c r="J244" s="1056"/>
      <c r="K244" s="1056"/>
      <c r="L244" s="1056"/>
      <c r="M244" s="1056"/>
      <c r="N244" s="1056"/>
      <c r="O244" s="1056"/>
      <c r="P244" s="1056"/>
      <c r="Q244" s="1056"/>
      <c r="R244" s="1056"/>
      <c r="S244" s="1056"/>
      <c r="T244" s="1056"/>
      <c r="U244" s="1056"/>
      <c r="V244" s="1056"/>
      <c r="W244" s="1056"/>
      <c r="X244" s="1056"/>
      <c r="Y244" s="1056"/>
      <c r="Z244" s="1056"/>
      <c r="AA244" s="1056"/>
      <c r="AB244" s="1056"/>
      <c r="AC244" s="1056"/>
    </row>
    <row r="245" spans="1:29" x14ac:dyDescent="0.25">
      <c r="A245" s="1106"/>
      <c r="B245" s="1056"/>
      <c r="C245" s="1056"/>
      <c r="D245" s="1056"/>
      <c r="E245" s="1056"/>
      <c r="F245" s="1056"/>
      <c r="G245" s="1056"/>
      <c r="H245" s="1056"/>
      <c r="I245" s="1056"/>
      <c r="J245" s="1056"/>
      <c r="K245" s="1056"/>
      <c r="L245" s="1056"/>
      <c r="M245" s="1056"/>
      <c r="N245" s="1056"/>
      <c r="O245" s="1056"/>
      <c r="P245" s="1056"/>
      <c r="Q245" s="1056"/>
      <c r="R245" s="1056"/>
      <c r="S245" s="1056"/>
      <c r="T245" s="1056"/>
      <c r="U245" s="1056"/>
      <c r="V245" s="1056"/>
      <c r="W245" s="1056"/>
      <c r="X245" s="1056"/>
      <c r="Y245" s="1056"/>
      <c r="Z245" s="1056"/>
      <c r="AA245" s="1056"/>
      <c r="AB245" s="1056"/>
      <c r="AC245" s="1056"/>
    </row>
    <row r="246" spans="1:29" x14ac:dyDescent="0.25">
      <c r="A246" s="1106"/>
      <c r="B246" s="1056"/>
      <c r="C246" s="1056"/>
      <c r="D246" s="1056"/>
      <c r="E246" s="1056"/>
      <c r="F246" s="1056"/>
      <c r="G246" s="1056"/>
      <c r="H246" s="1056"/>
      <c r="I246" s="1056"/>
      <c r="J246" s="1056"/>
      <c r="K246" s="1056"/>
      <c r="L246" s="1056"/>
      <c r="M246" s="1056"/>
      <c r="N246" s="1056"/>
      <c r="O246" s="1056"/>
      <c r="P246" s="1056"/>
      <c r="Q246" s="1056"/>
      <c r="R246" s="1056"/>
      <c r="S246" s="1056"/>
      <c r="T246" s="1056"/>
      <c r="U246" s="1056"/>
      <c r="V246" s="1056"/>
      <c r="W246" s="1056"/>
      <c r="X246" s="1056"/>
      <c r="Y246" s="1056"/>
      <c r="Z246" s="1056"/>
      <c r="AA246" s="1056"/>
      <c r="AB246" s="1056"/>
      <c r="AC246" s="1056"/>
    </row>
    <row r="247" spans="1:29" x14ac:dyDescent="0.25">
      <c r="A247" s="1106"/>
      <c r="B247" s="1056"/>
      <c r="C247" s="1056"/>
      <c r="D247" s="1056"/>
      <c r="E247" s="1056"/>
      <c r="F247" s="1056"/>
      <c r="G247" s="1056"/>
      <c r="H247" s="1056"/>
      <c r="I247" s="1056"/>
      <c r="J247" s="1056"/>
      <c r="K247" s="1056"/>
      <c r="L247" s="1056"/>
      <c r="M247" s="1056"/>
      <c r="N247" s="1056"/>
      <c r="O247" s="1056"/>
      <c r="P247" s="1056"/>
      <c r="Q247" s="1056"/>
      <c r="R247" s="1056"/>
      <c r="S247" s="1056"/>
      <c r="T247" s="1056"/>
      <c r="U247" s="1056"/>
      <c r="V247" s="1056"/>
      <c r="W247" s="1056"/>
      <c r="X247" s="1056"/>
      <c r="Y247" s="1056"/>
      <c r="Z247" s="1056"/>
      <c r="AA247" s="1056"/>
      <c r="AB247" s="1056"/>
      <c r="AC247" s="1056"/>
    </row>
    <row r="248" spans="1:29" x14ac:dyDescent="0.25">
      <c r="A248" s="1106"/>
      <c r="B248" s="1056"/>
      <c r="C248" s="1056"/>
      <c r="D248" s="1056"/>
      <c r="E248" s="1056"/>
      <c r="F248" s="1056"/>
      <c r="G248" s="1056"/>
      <c r="H248" s="1056"/>
      <c r="I248" s="1056"/>
      <c r="J248" s="1056"/>
      <c r="K248" s="1056"/>
      <c r="L248" s="1056"/>
      <c r="M248" s="1056"/>
      <c r="N248" s="1056"/>
      <c r="O248" s="1056"/>
      <c r="P248" s="1056"/>
      <c r="Q248" s="1056"/>
      <c r="R248" s="1056"/>
      <c r="S248" s="1056"/>
      <c r="T248" s="1056"/>
      <c r="U248" s="1056"/>
      <c r="V248" s="1056"/>
      <c r="W248" s="1056"/>
      <c r="X248" s="1056"/>
      <c r="Y248" s="1056"/>
      <c r="Z248" s="1056"/>
      <c r="AA248" s="1056"/>
      <c r="AB248" s="1056"/>
      <c r="AC248" s="1056"/>
    </row>
    <row r="249" spans="1:29" x14ac:dyDescent="0.25">
      <c r="A249" s="1106"/>
      <c r="B249" s="1056"/>
      <c r="C249" s="1056"/>
      <c r="D249" s="1056"/>
      <c r="E249" s="1056"/>
      <c r="F249" s="1056"/>
      <c r="G249" s="1056"/>
      <c r="H249" s="1056"/>
      <c r="I249" s="1056"/>
      <c r="J249" s="1056"/>
      <c r="K249" s="1056"/>
      <c r="L249" s="1056"/>
      <c r="M249" s="1056"/>
      <c r="N249" s="1056"/>
      <c r="O249" s="1056"/>
      <c r="P249" s="1056"/>
      <c r="Q249" s="1056"/>
      <c r="R249" s="1056"/>
      <c r="S249" s="1056"/>
      <c r="T249" s="1056"/>
      <c r="U249" s="1056"/>
      <c r="V249" s="1056"/>
      <c r="W249" s="1056"/>
      <c r="X249" s="1056"/>
      <c r="Y249" s="1056"/>
      <c r="Z249" s="1056"/>
      <c r="AA249" s="1056"/>
      <c r="AB249" s="1056"/>
      <c r="AC249" s="1056"/>
    </row>
    <row r="250" spans="1:29" x14ac:dyDescent="0.25">
      <c r="A250" s="1106"/>
      <c r="B250" s="1056"/>
      <c r="C250" s="1056"/>
      <c r="D250" s="1056"/>
      <c r="E250" s="1056"/>
      <c r="F250" s="1056"/>
      <c r="G250" s="1056"/>
      <c r="H250" s="1056"/>
      <c r="I250" s="1056"/>
      <c r="J250" s="1056"/>
      <c r="K250" s="1056"/>
      <c r="L250" s="1056"/>
      <c r="M250" s="1056"/>
      <c r="N250" s="1056"/>
      <c r="O250" s="1056"/>
      <c r="P250" s="1056"/>
      <c r="Q250" s="1056"/>
      <c r="R250" s="1056"/>
      <c r="S250" s="1056"/>
      <c r="T250" s="1056"/>
      <c r="U250" s="1056"/>
      <c r="V250" s="1056"/>
      <c r="W250" s="1056"/>
      <c r="X250" s="1056"/>
      <c r="Y250" s="1056"/>
      <c r="Z250" s="1056"/>
      <c r="AA250" s="1056"/>
      <c r="AB250" s="1056"/>
      <c r="AC250" s="1056"/>
    </row>
    <row r="251" spans="1:29" x14ac:dyDescent="0.25">
      <c r="A251" s="1106"/>
      <c r="B251" s="1056"/>
      <c r="C251" s="1056"/>
      <c r="D251" s="1056"/>
      <c r="E251" s="1056"/>
      <c r="F251" s="1056"/>
      <c r="G251" s="1056"/>
      <c r="H251" s="1056"/>
      <c r="I251" s="1056"/>
      <c r="J251" s="1056"/>
      <c r="K251" s="1056"/>
      <c r="L251" s="1056"/>
      <c r="M251" s="1056"/>
      <c r="N251" s="1056"/>
      <c r="O251" s="1056"/>
      <c r="P251" s="1056"/>
      <c r="Q251" s="1056"/>
      <c r="R251" s="1056"/>
      <c r="S251" s="1056"/>
      <c r="T251" s="1056"/>
      <c r="U251" s="1056"/>
      <c r="V251" s="1056"/>
      <c r="W251" s="1056"/>
      <c r="X251" s="1056"/>
      <c r="Y251" s="1056"/>
      <c r="Z251" s="1056"/>
      <c r="AA251" s="1056"/>
      <c r="AB251" s="1056"/>
      <c r="AC251" s="1056"/>
    </row>
    <row r="252" spans="1:29" x14ac:dyDescent="0.25">
      <c r="A252" s="1106"/>
      <c r="B252" s="1056"/>
      <c r="C252" s="1056"/>
      <c r="D252" s="1056"/>
      <c r="E252" s="1056"/>
      <c r="F252" s="1056"/>
      <c r="G252" s="1056"/>
      <c r="H252" s="1056"/>
      <c r="I252" s="1056"/>
      <c r="J252" s="1056"/>
      <c r="K252" s="1056"/>
      <c r="L252" s="1056"/>
      <c r="M252" s="1056"/>
      <c r="N252" s="1056"/>
      <c r="O252" s="1056"/>
      <c r="P252" s="1056"/>
      <c r="Q252" s="1056"/>
      <c r="R252" s="1056"/>
      <c r="S252" s="1056"/>
      <c r="T252" s="1056"/>
      <c r="U252" s="1056"/>
      <c r="V252" s="1056"/>
      <c r="W252" s="1056"/>
      <c r="X252" s="1056"/>
      <c r="Y252" s="1056"/>
      <c r="Z252" s="1056"/>
      <c r="AA252" s="1056"/>
      <c r="AB252" s="1056"/>
      <c r="AC252" s="1056"/>
    </row>
    <row r="253" spans="1:29" x14ac:dyDescent="0.25">
      <c r="A253" s="1106"/>
      <c r="B253" s="1056"/>
      <c r="C253" s="1056"/>
      <c r="D253" s="1056"/>
      <c r="E253" s="1056"/>
      <c r="F253" s="1056"/>
      <c r="G253" s="1056"/>
      <c r="H253" s="1056"/>
      <c r="I253" s="1056"/>
      <c r="J253" s="1056"/>
      <c r="K253" s="1056"/>
      <c r="L253" s="1056"/>
      <c r="M253" s="1056"/>
      <c r="N253" s="1056"/>
      <c r="O253" s="1056"/>
      <c r="P253" s="1056"/>
      <c r="Q253" s="1056"/>
      <c r="R253" s="1056"/>
      <c r="S253" s="1056"/>
      <c r="T253" s="1056"/>
      <c r="U253" s="1056"/>
      <c r="V253" s="1056"/>
      <c r="W253" s="1056"/>
      <c r="X253" s="1056"/>
      <c r="Y253" s="1056"/>
      <c r="Z253" s="1056"/>
      <c r="AA253" s="1056"/>
      <c r="AB253" s="1056"/>
      <c r="AC253" s="1056"/>
    </row>
    <row r="254" spans="1:29" x14ac:dyDescent="0.25">
      <c r="A254" s="1106"/>
      <c r="B254" s="1056"/>
      <c r="C254" s="1056"/>
      <c r="D254" s="1056"/>
      <c r="E254" s="1056"/>
      <c r="F254" s="1056"/>
      <c r="G254" s="1056"/>
      <c r="H254" s="1056"/>
      <c r="I254" s="1056"/>
      <c r="J254" s="1056"/>
      <c r="K254" s="1056"/>
      <c r="L254" s="1056"/>
      <c r="M254" s="1056"/>
      <c r="N254" s="1056"/>
      <c r="O254" s="1056"/>
      <c r="P254" s="1056"/>
      <c r="Q254" s="1056"/>
      <c r="R254" s="1056"/>
      <c r="S254" s="1056"/>
      <c r="T254" s="1056"/>
      <c r="U254" s="1056"/>
      <c r="V254" s="1056"/>
      <c r="W254" s="1056"/>
      <c r="X254" s="1056"/>
      <c r="Y254" s="1056"/>
      <c r="Z254" s="1056"/>
      <c r="AA254" s="1056"/>
      <c r="AB254" s="1056"/>
      <c r="AC254" s="1056"/>
    </row>
    <row r="255" spans="1:29" x14ac:dyDescent="0.25">
      <c r="A255" s="1106"/>
      <c r="B255" s="1056"/>
      <c r="C255" s="1056"/>
      <c r="D255" s="1056"/>
      <c r="E255" s="1056"/>
      <c r="F255" s="1056"/>
      <c r="G255" s="1056"/>
      <c r="H255" s="1056"/>
      <c r="I255" s="1056"/>
      <c r="J255" s="1056"/>
      <c r="K255" s="1056"/>
      <c r="L255" s="1056"/>
      <c r="M255" s="1056"/>
      <c r="N255" s="1056"/>
      <c r="O255" s="1056"/>
      <c r="P255" s="1056"/>
      <c r="Q255" s="1056"/>
      <c r="R255" s="1056"/>
      <c r="S255" s="1056"/>
      <c r="T255" s="1056"/>
      <c r="U255" s="1056"/>
      <c r="V255" s="1056"/>
      <c r="W255" s="1056"/>
      <c r="X255" s="1056"/>
      <c r="Y255" s="1056"/>
      <c r="Z255" s="1056"/>
      <c r="AA255" s="1056"/>
      <c r="AB255" s="1056"/>
      <c r="AC255" s="1056"/>
    </row>
    <row r="256" spans="1:29" x14ac:dyDescent="0.25">
      <c r="A256" s="1106"/>
      <c r="B256" s="1056"/>
      <c r="C256" s="1056"/>
      <c r="D256" s="1056"/>
      <c r="E256" s="1056"/>
      <c r="F256" s="1056"/>
      <c r="G256" s="1056"/>
      <c r="H256" s="1056"/>
      <c r="I256" s="1056"/>
      <c r="J256" s="1056"/>
      <c r="K256" s="1056"/>
      <c r="L256" s="1056"/>
      <c r="M256" s="1056"/>
      <c r="N256" s="1056"/>
      <c r="O256" s="1056"/>
      <c r="P256" s="1056"/>
      <c r="Q256" s="1056"/>
      <c r="R256" s="1056"/>
      <c r="S256" s="1056"/>
      <c r="T256" s="1056"/>
      <c r="U256" s="1056"/>
      <c r="V256" s="1056"/>
      <c r="W256" s="1056"/>
      <c r="X256" s="1056"/>
      <c r="Y256" s="1056"/>
      <c r="Z256" s="1056"/>
      <c r="AA256" s="1056"/>
      <c r="AB256" s="1056"/>
      <c r="AC256" s="1056"/>
    </row>
    <row r="257" spans="1:29" x14ac:dyDescent="0.25">
      <c r="A257" s="1106"/>
      <c r="B257" s="1056"/>
      <c r="C257" s="1056"/>
      <c r="D257" s="1056"/>
      <c r="E257" s="1056"/>
      <c r="F257" s="1056"/>
      <c r="G257" s="1056"/>
      <c r="H257" s="1056"/>
      <c r="I257" s="1056"/>
      <c r="J257" s="1056"/>
      <c r="K257" s="1056"/>
      <c r="L257" s="1056"/>
      <c r="M257" s="1056"/>
      <c r="N257" s="1056"/>
      <c r="O257" s="1056"/>
      <c r="P257" s="1056"/>
      <c r="Q257" s="1056"/>
      <c r="R257" s="1056"/>
      <c r="S257" s="1056"/>
      <c r="T257" s="1056"/>
      <c r="U257" s="1056"/>
      <c r="V257" s="1056"/>
      <c r="W257" s="1056"/>
      <c r="X257" s="1056"/>
      <c r="Y257" s="1056"/>
      <c r="Z257" s="1056"/>
      <c r="AA257" s="1056"/>
      <c r="AB257" s="1056"/>
      <c r="AC257" s="1056"/>
    </row>
    <row r="258" spans="1:29" x14ac:dyDescent="0.25">
      <c r="A258" s="1106"/>
      <c r="B258" s="1056"/>
      <c r="C258" s="1056"/>
      <c r="D258" s="1056"/>
      <c r="E258" s="1056"/>
      <c r="F258" s="1056"/>
      <c r="G258" s="1056"/>
      <c r="H258" s="1056"/>
      <c r="I258" s="1056"/>
      <c r="J258" s="1056"/>
      <c r="K258" s="1056"/>
      <c r="L258" s="1056"/>
      <c r="M258" s="1056"/>
      <c r="N258" s="1056"/>
      <c r="O258" s="1056"/>
      <c r="P258" s="1056"/>
      <c r="Q258" s="1056"/>
      <c r="R258" s="1056"/>
      <c r="S258" s="1056"/>
      <c r="T258" s="1056"/>
      <c r="U258" s="1056"/>
      <c r="V258" s="1056"/>
      <c r="W258" s="1056"/>
      <c r="X258" s="1056"/>
      <c r="Y258" s="1056"/>
      <c r="Z258" s="1056"/>
      <c r="AA258" s="1056"/>
      <c r="AB258" s="1056"/>
      <c r="AC258" s="1056"/>
    </row>
    <row r="259" spans="1:29" x14ac:dyDescent="0.25">
      <c r="A259" s="1106"/>
      <c r="B259" s="1056"/>
      <c r="C259" s="1056"/>
      <c r="D259" s="1056"/>
      <c r="E259" s="1056"/>
      <c r="F259" s="1056"/>
      <c r="G259" s="1056"/>
      <c r="H259" s="1056"/>
      <c r="I259" s="1056"/>
      <c r="J259" s="1056"/>
      <c r="K259" s="1056"/>
      <c r="L259" s="1056"/>
      <c r="M259" s="1056"/>
      <c r="N259" s="1056"/>
      <c r="O259" s="1056"/>
      <c r="P259" s="1056"/>
      <c r="Q259" s="1056"/>
      <c r="R259" s="1056"/>
      <c r="S259" s="1056"/>
      <c r="T259" s="1056"/>
      <c r="U259" s="1056"/>
      <c r="V259" s="1056"/>
      <c r="W259" s="1056"/>
      <c r="X259" s="1056"/>
      <c r="Y259" s="1056"/>
      <c r="Z259" s="1056"/>
      <c r="AA259" s="1056"/>
      <c r="AB259" s="1056"/>
      <c r="AC259" s="1056"/>
    </row>
    <row r="260" spans="1:29" x14ac:dyDescent="0.25">
      <c r="A260" s="1106"/>
      <c r="B260" s="1056"/>
      <c r="C260" s="1056"/>
      <c r="D260" s="1056"/>
      <c r="E260" s="1056"/>
      <c r="F260" s="1056"/>
      <c r="G260" s="1056"/>
      <c r="H260" s="1056"/>
      <c r="I260" s="1056"/>
      <c r="J260" s="1056"/>
      <c r="K260" s="1056"/>
      <c r="L260" s="1056"/>
      <c r="M260" s="1056"/>
      <c r="N260" s="1056"/>
      <c r="O260" s="1056"/>
      <c r="P260" s="1056"/>
      <c r="Q260" s="1056"/>
      <c r="R260" s="1056"/>
      <c r="S260" s="1056"/>
      <c r="T260" s="1056"/>
      <c r="U260" s="1056"/>
      <c r="V260" s="1056"/>
      <c r="W260" s="1056"/>
      <c r="X260" s="1056"/>
      <c r="Y260" s="1056"/>
      <c r="Z260" s="1056"/>
      <c r="AA260" s="1056"/>
      <c r="AB260" s="1056"/>
      <c r="AC260" s="1056"/>
    </row>
    <row r="261" spans="1:29" x14ac:dyDescent="0.25">
      <c r="A261" s="1106"/>
      <c r="B261" s="1056"/>
      <c r="C261" s="1056"/>
      <c r="D261" s="1056"/>
      <c r="E261" s="1056"/>
      <c r="F261" s="1056"/>
      <c r="G261" s="1056"/>
      <c r="H261" s="1056"/>
      <c r="I261" s="1056"/>
      <c r="J261" s="1056"/>
      <c r="K261" s="1056"/>
      <c r="L261" s="1056"/>
      <c r="M261" s="1056"/>
      <c r="N261" s="1056"/>
      <c r="O261" s="1056"/>
      <c r="P261" s="1056"/>
      <c r="Q261" s="1056"/>
      <c r="R261" s="1056"/>
      <c r="S261" s="1056"/>
      <c r="T261" s="1056"/>
      <c r="U261" s="1056"/>
      <c r="V261" s="1056"/>
      <c r="W261" s="1056"/>
      <c r="X261" s="1056"/>
      <c r="Y261" s="1056"/>
      <c r="Z261" s="1056"/>
      <c r="AA261" s="1056"/>
      <c r="AB261" s="1056"/>
      <c r="AC261" s="1056"/>
    </row>
    <row r="262" spans="1:29" x14ac:dyDescent="0.25">
      <c r="A262" s="1106"/>
      <c r="B262" s="1056"/>
      <c r="C262" s="1056"/>
      <c r="D262" s="1056"/>
      <c r="E262" s="1056"/>
      <c r="F262" s="1056"/>
      <c r="G262" s="1056"/>
      <c r="H262" s="1056"/>
      <c r="I262" s="1056"/>
      <c r="J262" s="1056"/>
      <c r="K262" s="1056"/>
      <c r="L262" s="1056"/>
      <c r="M262" s="1056"/>
      <c r="N262" s="1056"/>
      <c r="O262" s="1056"/>
      <c r="P262" s="1056"/>
      <c r="Q262" s="1056"/>
      <c r="R262" s="1056"/>
      <c r="S262" s="1056"/>
      <c r="T262" s="1056"/>
      <c r="U262" s="1056"/>
      <c r="V262" s="1056"/>
      <c r="W262" s="1056"/>
      <c r="X262" s="1056"/>
      <c r="Y262" s="1056"/>
      <c r="Z262" s="1056"/>
      <c r="AA262" s="1056"/>
      <c r="AB262" s="1056"/>
      <c r="AC262" s="1056"/>
    </row>
    <row r="263" spans="1:29" x14ac:dyDescent="0.25">
      <c r="A263" s="1106"/>
      <c r="B263" s="1056"/>
      <c r="C263" s="1056"/>
      <c r="D263" s="1056"/>
      <c r="E263" s="1056"/>
      <c r="F263" s="1056"/>
      <c r="G263" s="1056"/>
      <c r="H263" s="1056"/>
      <c r="I263" s="1056"/>
      <c r="J263" s="1056"/>
      <c r="K263" s="1056"/>
      <c r="L263" s="1056"/>
      <c r="M263" s="1056"/>
      <c r="N263" s="1056"/>
      <c r="O263" s="1056"/>
      <c r="P263" s="1056"/>
      <c r="Q263" s="1056"/>
      <c r="R263" s="1056"/>
      <c r="S263" s="1056"/>
      <c r="T263" s="1056"/>
      <c r="U263" s="1056"/>
      <c r="V263" s="1056"/>
      <c r="W263" s="1056"/>
      <c r="X263" s="1056"/>
      <c r="Y263" s="1056"/>
      <c r="Z263" s="1056"/>
      <c r="AA263" s="1056"/>
      <c r="AB263" s="1056"/>
      <c r="AC263" s="1056"/>
    </row>
    <row r="264" spans="1:29" x14ac:dyDescent="0.25">
      <c r="A264" s="1106"/>
      <c r="B264" s="1056"/>
      <c r="C264" s="1056"/>
      <c r="D264" s="1056"/>
      <c r="E264" s="1056"/>
      <c r="F264" s="1056"/>
      <c r="G264" s="1056"/>
      <c r="H264" s="1056"/>
      <c r="I264" s="1056"/>
      <c r="J264" s="1056"/>
      <c r="K264" s="1056"/>
      <c r="L264" s="1056"/>
      <c r="M264" s="1056"/>
      <c r="N264" s="1056"/>
      <c r="O264" s="1056"/>
      <c r="P264" s="1056"/>
      <c r="Q264" s="1056"/>
      <c r="R264" s="1056"/>
      <c r="S264" s="1056"/>
      <c r="T264" s="1056"/>
      <c r="U264" s="1056"/>
      <c r="V264" s="1056"/>
      <c r="W264" s="1056"/>
      <c r="X264" s="1056"/>
      <c r="Y264" s="1056"/>
      <c r="Z264" s="1056"/>
      <c r="AA264" s="1056"/>
      <c r="AB264" s="1056"/>
      <c r="AC264" s="1056"/>
    </row>
    <row r="265" spans="1:29" x14ac:dyDescent="0.25">
      <c r="A265" s="1106"/>
      <c r="B265" s="1056"/>
      <c r="C265" s="1056"/>
      <c r="D265" s="1056"/>
      <c r="E265" s="1056"/>
      <c r="F265" s="1056"/>
      <c r="G265" s="1056"/>
      <c r="H265" s="1056"/>
      <c r="I265" s="1056"/>
      <c r="J265" s="1056"/>
      <c r="K265" s="1056"/>
      <c r="L265" s="1056"/>
      <c r="M265" s="1056"/>
      <c r="N265" s="1056"/>
      <c r="O265" s="1056"/>
      <c r="P265" s="1056"/>
      <c r="Q265" s="1056"/>
      <c r="R265" s="1056"/>
      <c r="S265" s="1056"/>
      <c r="T265" s="1056"/>
      <c r="U265" s="1056"/>
      <c r="V265" s="1056"/>
      <c r="W265" s="1056"/>
      <c r="X265" s="1056"/>
      <c r="Y265" s="1056"/>
      <c r="Z265" s="1056"/>
      <c r="AA265" s="1056"/>
      <c r="AB265" s="1056"/>
      <c r="AC265" s="1056"/>
    </row>
    <row r="266" spans="1:29" x14ac:dyDescent="0.25">
      <c r="A266" s="1106"/>
      <c r="B266" s="1056"/>
      <c r="C266" s="1056"/>
      <c r="D266" s="1056"/>
      <c r="E266" s="1056"/>
      <c r="F266" s="1056"/>
      <c r="G266" s="1056"/>
      <c r="H266" s="1056"/>
      <c r="I266" s="1056"/>
      <c r="J266" s="1056"/>
      <c r="K266" s="1056"/>
      <c r="L266" s="1056"/>
      <c r="M266" s="1056"/>
      <c r="N266" s="1056"/>
      <c r="O266" s="1056"/>
      <c r="P266" s="1056"/>
      <c r="Q266" s="1056"/>
      <c r="R266" s="1056"/>
      <c r="S266" s="1056"/>
      <c r="T266" s="1056"/>
      <c r="U266" s="1056"/>
      <c r="V266" s="1056"/>
      <c r="W266" s="1056"/>
      <c r="X266" s="1056"/>
      <c r="Y266" s="1056"/>
      <c r="Z266" s="1056"/>
      <c r="AA266" s="1056"/>
      <c r="AB266" s="1056"/>
      <c r="AC266" s="1056"/>
    </row>
    <row r="267" spans="1:29" x14ac:dyDescent="0.25">
      <c r="A267" s="1106"/>
      <c r="B267" s="1056"/>
      <c r="C267" s="1056"/>
      <c r="D267" s="1056"/>
      <c r="E267" s="1056"/>
      <c r="F267" s="1056"/>
      <c r="G267" s="1056"/>
      <c r="H267" s="1056"/>
      <c r="I267" s="1056"/>
      <c r="J267" s="1056"/>
      <c r="K267" s="1056"/>
      <c r="L267" s="1056"/>
      <c r="M267" s="1056"/>
      <c r="N267" s="1056"/>
      <c r="O267" s="1056"/>
      <c r="P267" s="1056"/>
      <c r="Q267" s="1056"/>
      <c r="R267" s="1056"/>
      <c r="S267" s="1056"/>
      <c r="T267" s="1056"/>
      <c r="U267" s="1056"/>
      <c r="V267" s="1056"/>
      <c r="W267" s="1056"/>
      <c r="X267" s="1056"/>
      <c r="Y267" s="1056"/>
      <c r="Z267" s="1056"/>
      <c r="AA267" s="1056"/>
      <c r="AB267" s="1056"/>
      <c r="AC267" s="1056"/>
    </row>
    <row r="268" spans="1:29" x14ac:dyDescent="0.25">
      <c r="A268" s="1106"/>
      <c r="B268" s="1056"/>
      <c r="C268" s="1056"/>
      <c r="D268" s="1056"/>
      <c r="E268" s="1056"/>
      <c r="F268" s="1056"/>
      <c r="G268" s="1056"/>
      <c r="H268" s="1056"/>
      <c r="I268" s="1056"/>
      <c r="J268" s="1056"/>
      <c r="K268" s="1056"/>
      <c r="L268" s="1056"/>
      <c r="M268" s="1056"/>
      <c r="N268" s="1056"/>
      <c r="O268" s="1056"/>
      <c r="P268" s="1056"/>
      <c r="Q268" s="1056"/>
      <c r="R268" s="1056"/>
      <c r="S268" s="1056"/>
      <c r="T268" s="1056"/>
      <c r="U268" s="1056"/>
      <c r="V268" s="1056"/>
      <c r="W268" s="1056"/>
      <c r="X268" s="1056"/>
      <c r="Y268" s="1056"/>
      <c r="Z268" s="1056"/>
      <c r="AA268" s="1056"/>
      <c r="AB268" s="1056"/>
      <c r="AC268" s="1056"/>
    </row>
    <row r="269" spans="1:29" x14ac:dyDescent="0.25">
      <c r="A269" s="1106"/>
      <c r="B269" s="1056"/>
      <c r="C269" s="1056"/>
      <c r="D269" s="1056"/>
      <c r="E269" s="1056"/>
      <c r="F269" s="1056"/>
      <c r="G269" s="1056"/>
      <c r="H269" s="1056"/>
      <c r="I269" s="1056"/>
      <c r="J269" s="1056"/>
      <c r="K269" s="1056"/>
      <c r="L269" s="1056"/>
      <c r="M269" s="1056"/>
      <c r="N269" s="1056"/>
      <c r="O269" s="1056"/>
      <c r="P269" s="1056"/>
      <c r="Q269" s="1056"/>
      <c r="R269" s="1056"/>
      <c r="S269" s="1056"/>
      <c r="T269" s="1056"/>
      <c r="U269" s="1056"/>
      <c r="V269" s="1056"/>
      <c r="W269" s="1056"/>
      <c r="X269" s="1056"/>
      <c r="Y269" s="1056"/>
      <c r="Z269" s="1056"/>
      <c r="AA269" s="1056"/>
      <c r="AB269" s="1056"/>
      <c r="AC269" s="1056"/>
    </row>
    <row r="270" spans="1:29" x14ac:dyDescent="0.25">
      <c r="A270" s="1106"/>
      <c r="B270" s="1056"/>
      <c r="C270" s="1056"/>
      <c r="D270" s="1056"/>
      <c r="E270" s="1056"/>
      <c r="F270" s="1056"/>
      <c r="G270" s="1056"/>
      <c r="H270" s="1056"/>
      <c r="I270" s="1056"/>
      <c r="J270" s="1056"/>
      <c r="K270" s="1056"/>
      <c r="L270" s="1056"/>
      <c r="M270" s="1056"/>
      <c r="N270" s="1056"/>
      <c r="O270" s="1056"/>
      <c r="P270" s="1056"/>
      <c r="Q270" s="1056"/>
      <c r="R270" s="1056"/>
      <c r="S270" s="1056"/>
      <c r="T270" s="1056"/>
      <c r="U270" s="1056"/>
      <c r="V270" s="1056"/>
      <c r="W270" s="1056"/>
      <c r="X270" s="1056"/>
      <c r="Y270" s="1056"/>
      <c r="Z270" s="1056"/>
      <c r="AA270" s="1056"/>
      <c r="AB270" s="1056"/>
      <c r="AC270" s="1056"/>
    </row>
    <row r="271" spans="1:29" x14ac:dyDescent="0.25">
      <c r="A271" s="1106"/>
      <c r="B271" s="1056"/>
      <c r="C271" s="1056"/>
      <c r="D271" s="1056"/>
      <c r="E271" s="1056"/>
      <c r="F271" s="1056"/>
      <c r="G271" s="1056"/>
      <c r="H271" s="1056"/>
      <c r="I271" s="1056"/>
      <c r="J271" s="1056"/>
      <c r="K271" s="1056"/>
      <c r="L271" s="1056"/>
      <c r="M271" s="1056"/>
      <c r="N271" s="1056"/>
      <c r="O271" s="1056"/>
      <c r="P271" s="1056"/>
      <c r="Q271" s="1056"/>
      <c r="R271" s="1056"/>
      <c r="S271" s="1056"/>
      <c r="T271" s="1056"/>
      <c r="U271" s="1056"/>
      <c r="V271" s="1056"/>
      <c r="W271" s="1056"/>
      <c r="X271" s="1056"/>
      <c r="Y271" s="1056"/>
      <c r="Z271" s="1056"/>
      <c r="AA271" s="1056"/>
      <c r="AB271" s="1056"/>
      <c r="AC271" s="1056"/>
    </row>
    <row r="272" spans="1:29" x14ac:dyDescent="0.25">
      <c r="A272" s="1106"/>
      <c r="B272" s="1056"/>
      <c r="C272" s="1056"/>
      <c r="D272" s="1056"/>
      <c r="E272" s="1056"/>
      <c r="F272" s="1056"/>
      <c r="G272" s="1056"/>
      <c r="H272" s="1056"/>
      <c r="I272" s="1056"/>
      <c r="J272" s="1056"/>
      <c r="K272" s="1056"/>
      <c r="L272" s="1056"/>
      <c r="M272" s="1056"/>
      <c r="N272" s="1056"/>
      <c r="O272" s="1056"/>
      <c r="P272" s="1056"/>
      <c r="Q272" s="1056"/>
      <c r="R272" s="1056"/>
      <c r="S272" s="1056"/>
      <c r="T272" s="1056"/>
      <c r="U272" s="1056"/>
      <c r="V272" s="1056"/>
      <c r="W272" s="1056"/>
      <c r="X272" s="1056"/>
      <c r="Y272" s="1056"/>
      <c r="Z272" s="1056"/>
      <c r="AA272" s="1056"/>
      <c r="AB272" s="1056"/>
      <c r="AC272" s="1056"/>
    </row>
    <row r="273" spans="1:29" x14ac:dyDescent="0.25">
      <c r="A273" s="1106"/>
      <c r="B273" s="1056"/>
      <c r="C273" s="1056"/>
      <c r="D273" s="1056"/>
      <c r="E273" s="1056"/>
      <c r="F273" s="1056"/>
      <c r="G273" s="1056"/>
      <c r="H273" s="1056"/>
      <c r="I273" s="1056"/>
      <c r="J273" s="1056"/>
      <c r="K273" s="1056"/>
      <c r="L273" s="1056"/>
      <c r="M273" s="1056"/>
      <c r="N273" s="1056"/>
      <c r="O273" s="1056"/>
      <c r="P273" s="1056"/>
      <c r="Q273" s="1056"/>
      <c r="R273" s="1056"/>
      <c r="S273" s="1056"/>
      <c r="T273" s="1056"/>
      <c r="U273" s="1056"/>
      <c r="V273" s="1056"/>
      <c r="W273" s="1056"/>
      <c r="X273" s="1056"/>
      <c r="Y273" s="1056"/>
      <c r="Z273" s="1056"/>
      <c r="AA273" s="1056"/>
      <c r="AB273" s="1056"/>
      <c r="AC273" s="1056"/>
    </row>
    <row r="274" spans="1:29" x14ac:dyDescent="0.25">
      <c r="A274" s="1106"/>
      <c r="B274" s="1056"/>
      <c r="C274" s="1056"/>
      <c r="D274" s="1056"/>
      <c r="E274" s="1056"/>
      <c r="F274" s="1056"/>
      <c r="G274" s="1056"/>
      <c r="H274" s="1056"/>
      <c r="I274" s="1056"/>
      <c r="J274" s="1056"/>
      <c r="K274" s="1056"/>
      <c r="L274" s="1056"/>
      <c r="M274" s="1056"/>
      <c r="N274" s="1056"/>
      <c r="O274" s="1056"/>
      <c r="P274" s="1056"/>
      <c r="Q274" s="1056"/>
      <c r="R274" s="1056"/>
      <c r="S274" s="1056"/>
      <c r="T274" s="1056"/>
      <c r="U274" s="1056"/>
      <c r="V274" s="1056"/>
      <c r="W274" s="1056"/>
      <c r="X274" s="1056"/>
      <c r="Y274" s="1056"/>
      <c r="Z274" s="1056"/>
      <c r="AA274" s="1056"/>
      <c r="AB274" s="1056"/>
      <c r="AC274" s="1056"/>
    </row>
    <row r="275" spans="1:29" x14ac:dyDescent="0.25">
      <c r="A275" s="1106"/>
      <c r="B275" s="1056"/>
      <c r="C275" s="1056"/>
      <c r="D275" s="1056"/>
      <c r="E275" s="1056"/>
      <c r="F275" s="1056"/>
      <c r="G275" s="1056"/>
      <c r="H275" s="1056"/>
      <c r="I275" s="1056"/>
      <c r="J275" s="1056"/>
      <c r="K275" s="1056"/>
      <c r="L275" s="1056"/>
      <c r="M275" s="1056"/>
      <c r="N275" s="1056"/>
      <c r="O275" s="1056"/>
      <c r="P275" s="1056"/>
      <c r="Q275" s="1056"/>
      <c r="R275" s="1056"/>
      <c r="S275" s="1056"/>
      <c r="T275" s="1056"/>
      <c r="U275" s="1056"/>
      <c r="V275" s="1056"/>
      <c r="W275" s="1056"/>
      <c r="X275" s="1056"/>
      <c r="Y275" s="1056"/>
      <c r="Z275" s="1056"/>
      <c r="AA275" s="1056"/>
      <c r="AB275" s="1056"/>
      <c r="AC275" s="1056"/>
    </row>
    <row r="276" spans="1:29" x14ac:dyDescent="0.25">
      <c r="A276" s="1106"/>
      <c r="B276" s="1056"/>
      <c r="C276" s="1056"/>
      <c r="D276" s="1056"/>
      <c r="E276" s="1056"/>
      <c r="F276" s="1056"/>
      <c r="G276" s="1056"/>
      <c r="H276" s="1056"/>
      <c r="I276" s="1056"/>
      <c r="J276" s="1056"/>
      <c r="K276" s="1056"/>
      <c r="L276" s="1056"/>
      <c r="M276" s="1056"/>
      <c r="N276" s="1056"/>
      <c r="O276" s="1056"/>
      <c r="P276" s="1056"/>
      <c r="Q276" s="1056"/>
      <c r="R276" s="1056"/>
      <c r="S276" s="1056"/>
      <c r="T276" s="1056"/>
      <c r="U276" s="1056"/>
      <c r="V276" s="1056"/>
      <c r="W276" s="1056"/>
      <c r="X276" s="1056"/>
      <c r="Y276" s="1056"/>
      <c r="Z276" s="1056"/>
      <c r="AA276" s="1056"/>
      <c r="AB276" s="1056"/>
      <c r="AC276" s="1056"/>
    </row>
    <row r="277" spans="1:29" x14ac:dyDescent="0.25">
      <c r="A277" s="1106"/>
      <c r="B277" s="1056"/>
      <c r="C277" s="1056"/>
      <c r="D277" s="1056"/>
      <c r="E277" s="1056"/>
      <c r="F277" s="1056"/>
      <c r="G277" s="1056"/>
      <c r="H277" s="1056"/>
      <c r="I277" s="1056"/>
      <c r="J277" s="1056"/>
      <c r="K277" s="1056"/>
      <c r="L277" s="1056"/>
      <c r="M277" s="1056"/>
      <c r="N277" s="1056"/>
      <c r="O277" s="1056"/>
      <c r="P277" s="1056"/>
      <c r="Q277" s="1056"/>
      <c r="R277" s="1056"/>
      <c r="S277" s="1056"/>
      <c r="T277" s="1056"/>
      <c r="U277" s="1056"/>
      <c r="V277" s="1056"/>
      <c r="W277" s="1056"/>
      <c r="X277" s="1056"/>
      <c r="Y277" s="1056"/>
      <c r="Z277" s="1056"/>
      <c r="AA277" s="1056"/>
      <c r="AB277" s="1056"/>
      <c r="AC277" s="1056"/>
    </row>
    <row r="278" spans="1:29" x14ac:dyDescent="0.25">
      <c r="A278" s="1106"/>
      <c r="B278" s="1056"/>
      <c r="C278" s="1056"/>
      <c r="D278" s="1056"/>
      <c r="E278" s="1056"/>
      <c r="F278" s="1056"/>
      <c r="G278" s="1056"/>
      <c r="H278" s="1056"/>
      <c r="I278" s="1056"/>
      <c r="J278" s="1056"/>
      <c r="K278" s="1056"/>
      <c r="L278" s="1056"/>
      <c r="M278" s="1056"/>
      <c r="N278" s="1056"/>
      <c r="O278" s="1056"/>
      <c r="P278" s="1056"/>
      <c r="Q278" s="1056"/>
      <c r="R278" s="1056"/>
      <c r="S278" s="1056"/>
      <c r="T278" s="1056"/>
      <c r="U278" s="1056"/>
      <c r="V278" s="1056"/>
      <c r="W278" s="1056"/>
      <c r="X278" s="1056"/>
      <c r="Y278" s="1056"/>
      <c r="Z278" s="1056"/>
      <c r="AA278" s="1056"/>
      <c r="AB278" s="1056"/>
      <c r="AC278" s="1056"/>
    </row>
    <row r="279" spans="1:29" x14ac:dyDescent="0.25">
      <c r="A279" s="1106"/>
      <c r="B279" s="1056"/>
      <c r="C279" s="1056"/>
      <c r="D279" s="1056"/>
      <c r="E279" s="1056"/>
      <c r="F279" s="1056"/>
      <c r="G279" s="1056"/>
      <c r="H279" s="1056"/>
      <c r="I279" s="1056"/>
      <c r="J279" s="1056"/>
      <c r="K279" s="1056"/>
      <c r="L279" s="1056"/>
      <c r="M279" s="1056"/>
      <c r="N279" s="1056"/>
      <c r="O279" s="1056"/>
      <c r="P279" s="1056"/>
      <c r="Q279" s="1056"/>
      <c r="R279" s="1056"/>
      <c r="S279" s="1056"/>
      <c r="T279" s="1056"/>
      <c r="U279" s="1056"/>
      <c r="V279" s="1056"/>
      <c r="W279" s="1056"/>
      <c r="X279" s="1056"/>
      <c r="Y279" s="1056"/>
      <c r="Z279" s="1056"/>
      <c r="AA279" s="1056"/>
      <c r="AB279" s="1056"/>
      <c r="AC279" s="1056"/>
    </row>
    <row r="280" spans="1:29" x14ac:dyDescent="0.25">
      <c r="A280" s="1106"/>
      <c r="B280" s="1056"/>
      <c r="C280" s="1056"/>
      <c r="D280" s="1056"/>
      <c r="E280" s="1056"/>
      <c r="F280" s="1056"/>
      <c r="G280" s="1056"/>
      <c r="H280" s="1056"/>
      <c r="I280" s="1056"/>
      <c r="J280" s="1056"/>
      <c r="K280" s="1056"/>
      <c r="L280" s="1056"/>
      <c r="M280" s="1056"/>
      <c r="N280" s="1056"/>
      <c r="O280" s="1056"/>
      <c r="P280" s="1056"/>
      <c r="Q280" s="1056"/>
      <c r="R280" s="1056"/>
      <c r="S280" s="1056"/>
      <c r="T280" s="1056"/>
      <c r="U280" s="1056"/>
      <c r="V280" s="1056"/>
      <c r="W280" s="1056"/>
      <c r="X280" s="1056"/>
      <c r="Y280" s="1056"/>
      <c r="Z280" s="1056"/>
      <c r="AA280" s="1056"/>
      <c r="AB280" s="1056"/>
      <c r="AC280" s="1056"/>
    </row>
    <row r="281" spans="1:29" x14ac:dyDescent="0.25">
      <c r="A281" s="1106"/>
      <c r="B281" s="1056"/>
      <c r="C281" s="1056"/>
      <c r="D281" s="1056"/>
      <c r="E281" s="1056"/>
      <c r="F281" s="1056"/>
      <c r="G281" s="1056"/>
      <c r="H281" s="1056"/>
      <c r="I281" s="1056"/>
      <c r="J281" s="1056"/>
      <c r="K281" s="1056"/>
      <c r="L281" s="1056"/>
      <c r="M281" s="1056"/>
      <c r="N281" s="1056"/>
      <c r="O281" s="1056"/>
      <c r="P281" s="1056"/>
      <c r="Q281" s="1056"/>
      <c r="R281" s="1056"/>
      <c r="S281" s="1056"/>
      <c r="T281" s="1056"/>
      <c r="U281" s="1056"/>
      <c r="V281" s="1056"/>
      <c r="W281" s="1056"/>
      <c r="X281" s="1056"/>
      <c r="Y281" s="1056"/>
      <c r="Z281" s="1056"/>
      <c r="AA281" s="1056"/>
      <c r="AB281" s="1056"/>
      <c r="AC281" s="1056"/>
    </row>
    <row r="282" spans="1:29" x14ac:dyDescent="0.25">
      <c r="A282" s="1106"/>
      <c r="B282" s="1056"/>
      <c r="C282" s="1056"/>
      <c r="D282" s="1056"/>
      <c r="E282" s="1056"/>
      <c r="F282" s="1056"/>
      <c r="G282" s="1056"/>
      <c r="H282" s="1056"/>
      <c r="I282" s="1056"/>
      <c r="J282" s="1056"/>
      <c r="K282" s="1056"/>
      <c r="L282" s="1056"/>
      <c r="M282" s="1056"/>
      <c r="N282" s="1056"/>
      <c r="O282" s="1056"/>
      <c r="P282" s="1056"/>
      <c r="Q282" s="1056"/>
      <c r="R282" s="1056"/>
      <c r="S282" s="1056"/>
      <c r="T282" s="1056"/>
      <c r="U282" s="1056"/>
      <c r="V282" s="1056"/>
      <c r="W282" s="1056"/>
      <c r="X282" s="1056"/>
      <c r="Y282" s="1056"/>
      <c r="Z282" s="1056"/>
      <c r="AA282" s="1056"/>
      <c r="AB282" s="1056"/>
      <c r="AC282" s="1056"/>
    </row>
    <row r="283" spans="1:29" x14ac:dyDescent="0.25">
      <c r="A283" s="1106"/>
      <c r="B283" s="1056"/>
      <c r="C283" s="1056"/>
      <c r="D283" s="1056"/>
      <c r="E283" s="1056"/>
      <c r="F283" s="1056"/>
      <c r="G283" s="1056"/>
      <c r="H283" s="1056"/>
      <c r="I283" s="1056"/>
      <c r="J283" s="1056"/>
      <c r="K283" s="1056"/>
      <c r="L283" s="1056"/>
      <c r="M283" s="1056"/>
      <c r="N283" s="1056"/>
      <c r="O283" s="1056"/>
      <c r="P283" s="1056"/>
      <c r="Q283" s="1056"/>
      <c r="R283" s="1056"/>
      <c r="S283" s="1056"/>
      <c r="T283" s="1056"/>
      <c r="U283" s="1056"/>
      <c r="V283" s="1056"/>
      <c r="W283" s="1056"/>
      <c r="X283" s="1056"/>
      <c r="Y283" s="1056"/>
      <c r="Z283" s="1056"/>
      <c r="AA283" s="1056"/>
      <c r="AB283" s="1056"/>
      <c r="AC283" s="1056"/>
    </row>
    <row r="284" spans="1:29" x14ac:dyDescent="0.25">
      <c r="A284" s="1106"/>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row>
    <row r="285" spans="1:29" x14ac:dyDescent="0.25">
      <c r="A285" s="110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row>
    <row r="286" spans="1:29" x14ac:dyDescent="0.25">
      <c r="A286" s="1106"/>
      <c r="B286" s="1056"/>
      <c r="C286" s="1056"/>
      <c r="D286" s="1056"/>
      <c r="E286" s="1056"/>
      <c r="F286" s="1056"/>
      <c r="G286" s="1056"/>
      <c r="H286" s="1056"/>
      <c r="I286" s="1056"/>
      <c r="J286" s="1056"/>
      <c r="K286" s="1056"/>
      <c r="L286" s="1056"/>
      <c r="M286" s="1056"/>
      <c r="N286" s="1056"/>
      <c r="O286" s="1056"/>
      <c r="P286" s="1056"/>
      <c r="Q286" s="1056"/>
      <c r="R286" s="1056"/>
      <c r="S286" s="1056"/>
      <c r="T286" s="1056"/>
      <c r="U286" s="1056"/>
      <c r="V286" s="1056"/>
      <c r="W286" s="1056"/>
      <c r="X286" s="1056"/>
      <c r="Y286" s="1056"/>
      <c r="Z286" s="1056"/>
      <c r="AA286" s="1056"/>
      <c r="AB286" s="1056"/>
      <c r="AC286" s="1056"/>
    </row>
    <row r="287" spans="1:29" x14ac:dyDescent="0.25">
      <c r="A287" s="1106"/>
      <c r="B287" s="1056"/>
      <c r="C287" s="1056"/>
      <c r="D287" s="1056"/>
      <c r="E287" s="1056"/>
      <c r="F287" s="1056"/>
      <c r="G287" s="1056"/>
      <c r="H287" s="1056"/>
      <c r="I287" s="1056"/>
      <c r="J287" s="1056"/>
      <c r="K287" s="1056"/>
      <c r="L287" s="1056"/>
      <c r="M287" s="1056"/>
      <c r="N287" s="1056"/>
      <c r="O287" s="1056"/>
      <c r="P287" s="1056"/>
      <c r="Q287" s="1056"/>
      <c r="R287" s="1056"/>
      <c r="S287" s="1056"/>
      <c r="T287" s="1056"/>
      <c r="U287" s="1056"/>
      <c r="V287" s="1056"/>
      <c r="W287" s="1056"/>
      <c r="X287" s="1056"/>
      <c r="Y287" s="1056"/>
      <c r="Z287" s="1056"/>
      <c r="AA287" s="1056"/>
      <c r="AB287" s="1056"/>
      <c r="AC287" s="1056"/>
    </row>
    <row r="288" spans="1:29" x14ac:dyDescent="0.25">
      <c r="A288" s="1106"/>
      <c r="B288" s="1056"/>
      <c r="C288" s="1056"/>
      <c r="D288" s="1056"/>
      <c r="E288" s="1056"/>
      <c r="F288" s="1056"/>
      <c r="G288" s="1056"/>
      <c r="H288" s="1056"/>
      <c r="I288" s="1056"/>
      <c r="J288" s="1056"/>
      <c r="K288" s="1056"/>
      <c r="L288" s="1056"/>
      <c r="M288" s="1056"/>
      <c r="N288" s="1056"/>
      <c r="O288" s="1056"/>
      <c r="P288" s="1056"/>
      <c r="Q288" s="1056"/>
      <c r="R288" s="1056"/>
      <c r="S288" s="1056"/>
      <c r="T288" s="1056"/>
      <c r="U288" s="1056"/>
      <c r="V288" s="1056"/>
      <c r="W288" s="1056"/>
      <c r="X288" s="1056"/>
      <c r="Y288" s="1056"/>
      <c r="Z288" s="1056"/>
      <c r="AA288" s="1056"/>
      <c r="AB288" s="1056"/>
      <c r="AC288" s="1056"/>
    </row>
    <row r="289" spans="1:29" x14ac:dyDescent="0.25">
      <c r="A289" s="1106"/>
      <c r="B289" s="1056"/>
      <c r="C289" s="1056"/>
      <c r="D289" s="1056"/>
      <c r="E289" s="1056"/>
      <c r="F289" s="1056"/>
      <c r="G289" s="1056"/>
      <c r="H289" s="1056"/>
      <c r="I289" s="1056"/>
      <c r="J289" s="1056"/>
      <c r="K289" s="1056"/>
      <c r="L289" s="1056"/>
      <c r="M289" s="1056"/>
      <c r="N289" s="1056"/>
      <c r="O289" s="1056"/>
      <c r="P289" s="1056"/>
      <c r="Q289" s="1056"/>
      <c r="R289" s="1056"/>
      <c r="S289" s="1056"/>
      <c r="T289" s="1056"/>
      <c r="U289" s="1056"/>
      <c r="V289" s="1056"/>
      <c r="W289" s="1056"/>
      <c r="X289" s="1056"/>
      <c r="Y289" s="1056"/>
      <c r="Z289" s="1056"/>
      <c r="AA289" s="1056"/>
      <c r="AB289" s="1056"/>
      <c r="AC289" s="1056"/>
    </row>
    <row r="290" spans="1:29" x14ac:dyDescent="0.25">
      <c r="A290" s="1106"/>
      <c r="B290" s="1056"/>
      <c r="C290" s="1056"/>
      <c r="D290" s="1056"/>
      <c r="E290" s="1056"/>
      <c r="F290" s="1056"/>
      <c r="G290" s="1056"/>
      <c r="H290" s="1056"/>
      <c r="I290" s="1056"/>
      <c r="J290" s="1056"/>
      <c r="K290" s="1056"/>
      <c r="L290" s="1056"/>
      <c r="M290" s="1056"/>
      <c r="N290" s="1056"/>
      <c r="O290" s="1056"/>
      <c r="P290" s="1056"/>
      <c r="Q290" s="1056"/>
      <c r="R290" s="1056"/>
      <c r="S290" s="1056"/>
      <c r="T290" s="1056"/>
      <c r="U290" s="1056"/>
      <c r="V290" s="1056"/>
      <c r="W290" s="1056"/>
      <c r="X290" s="1056"/>
      <c r="Y290" s="1056"/>
      <c r="Z290" s="1056"/>
      <c r="AA290" s="1056"/>
      <c r="AB290" s="1056"/>
      <c r="AC290" s="1056"/>
    </row>
    <row r="291" spans="1:29" x14ac:dyDescent="0.25">
      <c r="A291" s="1106"/>
      <c r="B291" s="1056"/>
      <c r="C291" s="1056"/>
      <c r="D291" s="1056"/>
      <c r="E291" s="1056"/>
      <c r="F291" s="1056"/>
      <c r="G291" s="1056"/>
      <c r="H291" s="1056"/>
      <c r="I291" s="1056"/>
      <c r="J291" s="1056"/>
      <c r="K291" s="1056"/>
      <c r="L291" s="1056"/>
      <c r="M291" s="1056"/>
      <c r="N291" s="1056"/>
      <c r="O291" s="1056"/>
      <c r="P291" s="1056"/>
      <c r="Q291" s="1056"/>
      <c r="R291" s="1056"/>
      <c r="S291" s="1056"/>
      <c r="T291" s="1056"/>
      <c r="U291" s="1056"/>
      <c r="V291" s="1056"/>
      <c r="W291" s="1056"/>
      <c r="X291" s="1056"/>
      <c r="Y291" s="1056"/>
      <c r="Z291" s="1056"/>
      <c r="AA291" s="1056"/>
      <c r="AB291" s="1056"/>
      <c r="AC291" s="1056"/>
    </row>
    <row r="292" spans="1:29" x14ac:dyDescent="0.25">
      <c r="A292" s="1106"/>
      <c r="B292" s="1056"/>
      <c r="C292" s="1056"/>
      <c r="D292" s="1056"/>
      <c r="E292" s="1056"/>
      <c r="F292" s="1056"/>
      <c r="G292" s="1056"/>
      <c r="H292" s="1056"/>
      <c r="I292" s="1056"/>
      <c r="J292" s="1056"/>
      <c r="K292" s="1056"/>
      <c r="L292" s="1056"/>
      <c r="M292" s="1056"/>
      <c r="N292" s="1056"/>
      <c r="O292" s="1056"/>
      <c r="P292" s="1056"/>
      <c r="Q292" s="1056"/>
      <c r="R292" s="1056"/>
      <c r="S292" s="1056"/>
      <c r="T292" s="1056"/>
      <c r="U292" s="1056"/>
      <c r="V292" s="1056"/>
      <c r="W292" s="1056"/>
      <c r="X292" s="1056"/>
      <c r="Y292" s="1056"/>
      <c r="Z292" s="1056"/>
      <c r="AA292" s="1056"/>
      <c r="AB292" s="1056"/>
      <c r="AC292" s="1056"/>
    </row>
    <row r="293" spans="1:29" x14ac:dyDescent="0.25">
      <c r="A293" s="1106"/>
      <c r="B293" s="1056"/>
      <c r="C293" s="1056"/>
      <c r="D293" s="1056"/>
      <c r="E293" s="1056"/>
      <c r="F293" s="1056"/>
      <c r="G293" s="1056"/>
      <c r="H293" s="1056"/>
      <c r="I293" s="1056"/>
      <c r="J293" s="1056"/>
      <c r="K293" s="1056"/>
      <c r="L293" s="1056"/>
      <c r="M293" s="1056"/>
      <c r="N293" s="1056"/>
      <c r="O293" s="1056"/>
      <c r="P293" s="1056"/>
      <c r="Q293" s="1056"/>
      <c r="R293" s="1056"/>
      <c r="S293" s="1056"/>
      <c r="T293" s="1056"/>
      <c r="U293" s="1056"/>
      <c r="V293" s="1056"/>
      <c r="W293" s="1056"/>
      <c r="X293" s="1056"/>
      <c r="Y293" s="1056"/>
      <c r="Z293" s="1056"/>
      <c r="AA293" s="1056"/>
      <c r="AB293" s="1056"/>
      <c r="AC293" s="1056"/>
    </row>
    <row r="294" spans="1:29" x14ac:dyDescent="0.25">
      <c r="A294" s="1106"/>
      <c r="B294" s="1056"/>
      <c r="C294" s="1056"/>
      <c r="D294" s="1056"/>
      <c r="E294" s="1056"/>
      <c r="F294" s="1056"/>
      <c r="G294" s="1056"/>
      <c r="H294" s="1056"/>
      <c r="I294" s="1056"/>
      <c r="J294" s="1056"/>
      <c r="K294" s="1056"/>
      <c r="L294" s="1056"/>
      <c r="M294" s="1056"/>
      <c r="N294" s="1056"/>
      <c r="O294" s="1056"/>
      <c r="P294" s="1056"/>
      <c r="Q294" s="1056"/>
      <c r="R294" s="1056"/>
      <c r="S294" s="1056"/>
      <c r="T294" s="1056"/>
      <c r="U294" s="1056"/>
      <c r="V294" s="1056"/>
      <c r="W294" s="1056"/>
      <c r="X294" s="1056"/>
      <c r="Y294" s="1056"/>
      <c r="Z294" s="1056"/>
      <c r="AA294" s="1056"/>
      <c r="AB294" s="1056"/>
      <c r="AC294" s="1056"/>
    </row>
    <row r="295" spans="1:29" x14ac:dyDescent="0.25">
      <c r="A295" s="1106"/>
      <c r="B295" s="1056"/>
      <c r="C295" s="1056"/>
      <c r="D295" s="1056"/>
      <c r="E295" s="1056"/>
      <c r="F295" s="1056"/>
      <c r="G295" s="1056"/>
      <c r="H295" s="1056"/>
      <c r="I295" s="1056"/>
      <c r="J295" s="1056"/>
      <c r="K295" s="1056"/>
      <c r="L295" s="1056"/>
      <c r="M295" s="1056"/>
      <c r="N295" s="1056"/>
      <c r="O295" s="1056"/>
      <c r="P295" s="1056"/>
      <c r="Q295" s="1056"/>
      <c r="R295" s="1056"/>
      <c r="S295" s="1056"/>
      <c r="T295" s="1056"/>
      <c r="U295" s="1056"/>
      <c r="V295" s="1056"/>
      <c r="W295" s="1056"/>
      <c r="X295" s="1056"/>
      <c r="Y295" s="1056"/>
      <c r="Z295" s="1056"/>
      <c r="AA295" s="1056"/>
      <c r="AB295" s="1056"/>
      <c r="AC295" s="1056"/>
    </row>
    <row r="296" spans="1:29" x14ac:dyDescent="0.25">
      <c r="A296" s="1106"/>
      <c r="B296" s="1056"/>
      <c r="C296" s="1056"/>
      <c r="D296" s="1056"/>
      <c r="E296" s="1056"/>
      <c r="F296" s="1056"/>
      <c r="G296" s="1056"/>
      <c r="H296" s="1056"/>
      <c r="I296" s="1056"/>
      <c r="J296" s="1056"/>
      <c r="K296" s="1056"/>
      <c r="L296" s="1056"/>
      <c r="M296" s="1056"/>
      <c r="N296" s="1056"/>
      <c r="O296" s="1056"/>
      <c r="P296" s="1056"/>
      <c r="Q296" s="1056"/>
      <c r="R296" s="1056"/>
      <c r="S296" s="1056"/>
      <c r="T296" s="1056"/>
      <c r="U296" s="1056"/>
      <c r="V296" s="1056"/>
      <c r="W296" s="1056"/>
      <c r="X296" s="1056"/>
      <c r="Y296" s="1056"/>
      <c r="Z296" s="1056"/>
      <c r="AA296" s="1056"/>
      <c r="AB296" s="1056"/>
      <c r="AC296" s="1056"/>
    </row>
    <row r="297" spans="1:29" x14ac:dyDescent="0.25">
      <c r="A297" s="1106"/>
      <c r="B297" s="1056"/>
      <c r="C297" s="1056"/>
      <c r="D297" s="1056"/>
      <c r="E297" s="1056"/>
      <c r="F297" s="1056"/>
      <c r="G297" s="1056"/>
      <c r="H297" s="1056"/>
      <c r="I297" s="1056"/>
      <c r="J297" s="1056"/>
      <c r="K297" s="1056"/>
      <c r="L297" s="1056"/>
      <c r="M297" s="1056"/>
      <c r="N297" s="1056"/>
      <c r="O297" s="1056"/>
      <c r="P297" s="1056"/>
      <c r="Q297" s="1056"/>
      <c r="R297" s="1056"/>
      <c r="S297" s="1056"/>
      <c r="T297" s="1056"/>
      <c r="U297" s="1056"/>
      <c r="V297" s="1056"/>
      <c r="W297" s="1056"/>
      <c r="X297" s="1056"/>
      <c r="Y297" s="1056"/>
      <c r="Z297" s="1056"/>
      <c r="AA297" s="1056"/>
      <c r="AB297" s="1056"/>
      <c r="AC297" s="1056"/>
    </row>
    <row r="298" spans="1:29" x14ac:dyDescent="0.25">
      <c r="A298" s="1106"/>
      <c r="B298" s="1056"/>
      <c r="C298" s="1056"/>
      <c r="D298" s="1056"/>
      <c r="E298" s="1056"/>
      <c r="F298" s="1056"/>
      <c r="G298" s="1056"/>
      <c r="H298" s="1056"/>
      <c r="I298" s="1056"/>
      <c r="J298" s="1056"/>
      <c r="K298" s="1056"/>
      <c r="L298" s="1056"/>
      <c r="M298" s="1056"/>
      <c r="N298" s="1056"/>
      <c r="O298" s="1056"/>
      <c r="P298" s="1056"/>
      <c r="Q298" s="1056"/>
      <c r="R298" s="1056"/>
      <c r="S298" s="1056"/>
      <c r="T298" s="1056"/>
      <c r="U298" s="1056"/>
      <c r="V298" s="1056"/>
      <c r="W298" s="1056"/>
      <c r="X298" s="1056"/>
      <c r="Y298" s="1056"/>
      <c r="Z298" s="1056"/>
      <c r="AA298" s="1056"/>
      <c r="AB298" s="1056"/>
      <c r="AC298" s="1056"/>
    </row>
    <row r="299" spans="1:29" x14ac:dyDescent="0.25">
      <c r="A299" s="1106"/>
      <c r="B299" s="1056"/>
      <c r="C299" s="1056"/>
      <c r="D299" s="1056"/>
      <c r="E299" s="1056"/>
      <c r="F299" s="1056"/>
      <c r="G299" s="1056"/>
      <c r="H299" s="1056"/>
      <c r="I299" s="1056"/>
      <c r="J299" s="1056"/>
      <c r="K299" s="1056"/>
      <c r="L299" s="1056"/>
      <c r="M299" s="1056"/>
      <c r="N299" s="1056"/>
      <c r="O299" s="1056"/>
      <c r="P299" s="1056"/>
      <c r="Q299" s="1056"/>
      <c r="R299" s="1056"/>
      <c r="S299" s="1056"/>
      <c r="T299" s="1056"/>
      <c r="U299" s="1056"/>
      <c r="V299" s="1056"/>
      <c r="W299" s="1056"/>
      <c r="X299" s="1056"/>
      <c r="Y299" s="1056"/>
      <c r="Z299" s="1056"/>
      <c r="AA299" s="1056"/>
      <c r="AB299" s="1056"/>
      <c r="AC299" s="1056"/>
    </row>
    <row r="300" spans="1:29" x14ac:dyDescent="0.25">
      <c r="A300" s="1106"/>
      <c r="B300" s="1056"/>
      <c r="C300" s="1056"/>
      <c r="D300" s="1056"/>
      <c r="E300" s="1056"/>
      <c r="F300" s="1056"/>
      <c r="G300" s="1056"/>
      <c r="H300" s="1056"/>
      <c r="I300" s="1056"/>
      <c r="J300" s="1056"/>
      <c r="K300" s="1056"/>
      <c r="L300" s="1056"/>
      <c r="M300" s="1056"/>
      <c r="N300" s="1056"/>
      <c r="O300" s="1056"/>
      <c r="P300" s="1056"/>
      <c r="Q300" s="1056"/>
      <c r="R300" s="1056"/>
      <c r="S300" s="1056"/>
      <c r="T300" s="1056"/>
      <c r="U300" s="1056"/>
      <c r="V300" s="1056"/>
      <c r="W300" s="1056"/>
      <c r="X300" s="1056"/>
      <c r="Y300" s="1056"/>
      <c r="Z300" s="1056"/>
      <c r="AA300" s="1056"/>
      <c r="AB300" s="1056"/>
      <c r="AC300" s="1056"/>
    </row>
    <row r="301" spans="1:29" x14ac:dyDescent="0.25">
      <c r="A301" s="1106"/>
      <c r="B301" s="1056"/>
      <c r="C301" s="1056"/>
      <c r="D301" s="1056"/>
      <c r="E301" s="1056"/>
      <c r="F301" s="1056"/>
      <c r="G301" s="1056"/>
      <c r="H301" s="1056"/>
      <c r="I301" s="1056"/>
      <c r="J301" s="1056"/>
      <c r="K301" s="1056"/>
      <c r="L301" s="1056"/>
      <c r="M301" s="1056"/>
      <c r="N301" s="1056"/>
      <c r="O301" s="1056"/>
      <c r="P301" s="1056"/>
      <c r="Q301" s="1056"/>
      <c r="R301" s="1056"/>
      <c r="S301" s="1056"/>
      <c r="T301" s="1056"/>
      <c r="U301" s="1056"/>
      <c r="V301" s="1056"/>
      <c r="W301" s="1056"/>
      <c r="X301" s="1056"/>
      <c r="Y301" s="1056"/>
      <c r="Z301" s="1056"/>
      <c r="AA301" s="1056"/>
      <c r="AB301" s="1056"/>
      <c r="AC301" s="1056"/>
    </row>
    <row r="302" spans="1:29" x14ac:dyDescent="0.25">
      <c r="A302" s="1106"/>
      <c r="B302" s="1056"/>
      <c r="C302" s="1056"/>
      <c r="D302" s="1056"/>
      <c r="E302" s="1056"/>
      <c r="F302" s="1056"/>
      <c r="G302" s="1056"/>
      <c r="H302" s="1056"/>
      <c r="I302" s="1056"/>
      <c r="J302" s="1056"/>
      <c r="K302" s="1056"/>
      <c r="L302" s="1056"/>
      <c r="M302" s="1056"/>
      <c r="N302" s="1056"/>
      <c r="O302" s="1056"/>
      <c r="P302" s="1056"/>
      <c r="Q302" s="1056"/>
      <c r="R302" s="1056"/>
      <c r="S302" s="1056"/>
      <c r="T302" s="1056"/>
      <c r="U302" s="1056"/>
      <c r="V302" s="1056"/>
      <c r="W302" s="1056"/>
      <c r="X302" s="1056"/>
      <c r="Y302" s="1056"/>
      <c r="Z302" s="1056"/>
      <c r="AA302" s="1056"/>
      <c r="AB302" s="1056"/>
      <c r="AC302" s="1056"/>
    </row>
    <row r="303" spans="1:29" x14ac:dyDescent="0.25">
      <c r="A303" s="1106"/>
      <c r="B303" s="1056"/>
      <c r="C303" s="1056"/>
      <c r="D303" s="1056"/>
      <c r="E303" s="1056"/>
      <c r="F303" s="1056"/>
      <c r="G303" s="1056"/>
      <c r="H303" s="1056"/>
      <c r="I303" s="1056"/>
      <c r="J303" s="1056"/>
      <c r="K303" s="1056"/>
      <c r="L303" s="1056"/>
      <c r="M303" s="1056"/>
      <c r="N303" s="1056"/>
      <c r="O303" s="1056"/>
      <c r="P303" s="1056"/>
      <c r="Q303" s="1056"/>
      <c r="R303" s="1056"/>
      <c r="S303" s="1056"/>
      <c r="T303" s="1056"/>
      <c r="U303" s="1056"/>
      <c r="V303" s="1056"/>
      <c r="W303" s="1056"/>
      <c r="X303" s="1056"/>
      <c r="Y303" s="1056"/>
      <c r="Z303" s="1056"/>
      <c r="AA303" s="1056"/>
      <c r="AB303" s="1056"/>
      <c r="AC303" s="1056"/>
    </row>
    <row r="304" spans="1:29" x14ac:dyDescent="0.25">
      <c r="A304" s="1106"/>
      <c r="B304" s="1056"/>
      <c r="C304" s="1056"/>
      <c r="D304" s="1056"/>
      <c r="E304" s="1056"/>
      <c r="F304" s="1056"/>
      <c r="G304" s="1056"/>
      <c r="H304" s="1056"/>
      <c r="I304" s="1056"/>
      <c r="J304" s="1056"/>
      <c r="K304" s="1056"/>
      <c r="L304" s="1056"/>
      <c r="M304" s="1056"/>
      <c r="N304" s="1056"/>
      <c r="O304" s="1056"/>
      <c r="P304" s="1056"/>
      <c r="Q304" s="1056"/>
      <c r="R304" s="1056"/>
      <c r="S304" s="1056"/>
      <c r="T304" s="1056"/>
      <c r="U304" s="1056"/>
      <c r="V304" s="1056"/>
      <c r="W304" s="1056"/>
      <c r="X304" s="1056"/>
      <c r="Y304" s="1056"/>
      <c r="Z304" s="1056"/>
      <c r="AA304" s="1056"/>
      <c r="AB304" s="1056"/>
      <c r="AC304" s="1056"/>
    </row>
    <row r="305" spans="1:29" x14ac:dyDescent="0.25">
      <c r="A305" s="1106"/>
      <c r="B305" s="1056"/>
      <c r="C305" s="1056"/>
      <c r="D305" s="1056"/>
      <c r="E305" s="1056"/>
      <c r="F305" s="1056"/>
      <c r="G305" s="1056"/>
      <c r="H305" s="1056"/>
      <c r="I305" s="1056"/>
      <c r="J305" s="1056"/>
      <c r="K305" s="1056"/>
      <c r="L305" s="1056"/>
      <c r="M305" s="1056"/>
      <c r="N305" s="1056"/>
      <c r="O305" s="1056"/>
      <c r="P305" s="1056"/>
      <c r="Q305" s="1056"/>
      <c r="R305" s="1056"/>
      <c r="S305" s="1056"/>
      <c r="T305" s="1056"/>
      <c r="U305" s="1056"/>
      <c r="V305" s="1056"/>
      <c r="W305" s="1056"/>
      <c r="X305" s="1056"/>
      <c r="Y305" s="1056"/>
      <c r="Z305" s="1056"/>
      <c r="AA305" s="1056"/>
      <c r="AB305" s="1056"/>
      <c r="AC305" s="1056"/>
    </row>
    <row r="306" spans="1:29" x14ac:dyDescent="0.25">
      <c r="A306" s="1106"/>
      <c r="B306" s="1056"/>
      <c r="C306" s="1056"/>
      <c r="D306" s="1056"/>
      <c r="E306" s="1056"/>
      <c r="F306" s="1056"/>
      <c r="G306" s="1056"/>
      <c r="H306" s="1056"/>
      <c r="I306" s="1056"/>
      <c r="J306" s="1056"/>
      <c r="K306" s="1056"/>
      <c r="L306" s="1056"/>
      <c r="M306" s="1056"/>
      <c r="N306" s="1056"/>
      <c r="O306" s="1056"/>
      <c r="P306" s="1056"/>
      <c r="Q306" s="1056"/>
      <c r="R306" s="1056"/>
      <c r="S306" s="1056"/>
      <c r="T306" s="1056"/>
      <c r="U306" s="1056"/>
      <c r="V306" s="1056"/>
      <c r="W306" s="1056"/>
      <c r="X306" s="1056"/>
      <c r="Y306" s="1056"/>
      <c r="Z306" s="1056"/>
      <c r="AA306" s="1056"/>
      <c r="AB306" s="1056"/>
      <c r="AC306" s="1056"/>
    </row>
    <row r="307" spans="1:29" x14ac:dyDescent="0.25">
      <c r="A307" s="1106"/>
      <c r="B307" s="1056"/>
      <c r="C307" s="1056"/>
      <c r="D307" s="1056"/>
      <c r="E307" s="1056"/>
      <c r="F307" s="1056"/>
      <c r="G307" s="1056"/>
      <c r="H307" s="1056"/>
      <c r="I307" s="1056"/>
      <c r="J307" s="1056"/>
      <c r="K307" s="1056"/>
      <c r="L307" s="1056"/>
      <c r="M307" s="1056"/>
      <c r="N307" s="1056"/>
      <c r="O307" s="1056"/>
      <c r="P307" s="1056"/>
      <c r="Q307" s="1056"/>
      <c r="R307" s="1056"/>
      <c r="S307" s="1056"/>
      <c r="T307" s="1056"/>
      <c r="U307" s="1056"/>
      <c r="V307" s="1056"/>
      <c r="W307" s="1056"/>
      <c r="X307" s="1056"/>
      <c r="Y307" s="1056"/>
      <c r="Z307" s="1056"/>
      <c r="AA307" s="1056"/>
      <c r="AB307" s="1056"/>
      <c r="AC307" s="1056"/>
    </row>
    <row r="308" spans="1:29" x14ac:dyDescent="0.25">
      <c r="A308" s="1106"/>
      <c r="B308" s="1056"/>
      <c r="C308" s="1056"/>
      <c r="D308" s="1056"/>
      <c r="E308" s="1056"/>
      <c r="F308" s="1056"/>
      <c r="G308" s="1056"/>
      <c r="H308" s="1056"/>
      <c r="I308" s="1056"/>
      <c r="J308" s="1056"/>
      <c r="K308" s="1056"/>
      <c r="L308" s="1056"/>
      <c r="M308" s="1056"/>
      <c r="N308" s="1056"/>
      <c r="O308" s="1056"/>
      <c r="P308" s="1056"/>
      <c r="Q308" s="1056"/>
      <c r="R308" s="1056"/>
      <c r="S308" s="1056"/>
      <c r="T308" s="1056"/>
      <c r="U308" s="1056"/>
      <c r="V308" s="1056"/>
      <c r="W308" s="1056"/>
      <c r="X308" s="1056"/>
      <c r="Y308" s="1056"/>
      <c r="Z308" s="1056"/>
      <c r="AA308" s="1056"/>
      <c r="AB308" s="1056"/>
      <c r="AC308" s="1056"/>
    </row>
    <row r="309" spans="1:29" x14ac:dyDescent="0.25">
      <c r="A309" s="1106"/>
      <c r="B309" s="1056"/>
      <c r="C309" s="1056"/>
      <c r="D309" s="1056"/>
      <c r="E309" s="1056"/>
      <c r="F309" s="1056"/>
      <c r="G309" s="1056"/>
      <c r="H309" s="1056"/>
      <c r="I309" s="1056"/>
      <c r="J309" s="1056"/>
      <c r="K309" s="1056"/>
      <c r="L309" s="1056"/>
      <c r="M309" s="1056"/>
      <c r="N309" s="1056"/>
      <c r="O309" s="1056"/>
      <c r="P309" s="1056"/>
      <c r="Q309" s="1056"/>
      <c r="R309" s="1056"/>
      <c r="S309" s="1056"/>
      <c r="T309" s="1056"/>
      <c r="U309" s="1056"/>
      <c r="V309" s="1056"/>
      <c r="W309" s="1056"/>
      <c r="X309" s="1056"/>
      <c r="Y309" s="1056"/>
      <c r="Z309" s="1056"/>
      <c r="AA309" s="1056"/>
      <c r="AB309" s="1056"/>
      <c r="AC309" s="1056"/>
    </row>
    <row r="310" spans="1:29" x14ac:dyDescent="0.25">
      <c r="A310" s="1106"/>
      <c r="B310" s="1056"/>
      <c r="C310" s="1056"/>
      <c r="D310" s="1056"/>
      <c r="E310" s="1056"/>
      <c r="F310" s="1056"/>
      <c r="G310" s="1056"/>
      <c r="H310" s="1056"/>
      <c r="I310" s="1056"/>
      <c r="J310" s="1056"/>
      <c r="K310" s="1056"/>
      <c r="L310" s="1056"/>
      <c r="M310" s="1056"/>
      <c r="N310" s="1056"/>
      <c r="O310" s="1056"/>
      <c r="P310" s="1056"/>
      <c r="Q310" s="1056"/>
      <c r="R310" s="1056"/>
      <c r="S310" s="1056"/>
      <c r="T310" s="1056"/>
      <c r="U310" s="1056"/>
      <c r="V310" s="1056"/>
      <c r="W310" s="1056"/>
      <c r="X310" s="1056"/>
      <c r="Y310" s="1056"/>
      <c r="Z310" s="1056"/>
      <c r="AA310" s="1056"/>
      <c r="AB310" s="1056"/>
      <c r="AC310" s="1056"/>
    </row>
    <row r="311" spans="1:29" x14ac:dyDescent="0.25">
      <c r="A311" s="1106"/>
      <c r="B311" s="1056"/>
      <c r="C311" s="1056"/>
      <c r="D311" s="1056"/>
      <c r="E311" s="1056"/>
      <c r="F311" s="1056"/>
      <c r="G311" s="1056"/>
      <c r="H311" s="1056"/>
      <c r="I311" s="1056"/>
      <c r="J311" s="1056"/>
      <c r="K311" s="1056"/>
      <c r="L311" s="1056"/>
      <c r="M311" s="1056"/>
      <c r="N311" s="1056"/>
      <c r="O311" s="1056"/>
      <c r="P311" s="1056"/>
      <c r="Q311" s="1056"/>
      <c r="R311" s="1056"/>
      <c r="S311" s="1056"/>
      <c r="T311" s="1056"/>
      <c r="U311" s="1056"/>
      <c r="V311" s="1056"/>
      <c r="W311" s="1056"/>
      <c r="X311" s="1056"/>
      <c r="Y311" s="1056"/>
      <c r="Z311" s="1056"/>
      <c r="AA311" s="1056"/>
      <c r="AB311" s="1056"/>
      <c r="AC311" s="1056"/>
    </row>
    <row r="312" spans="1:29" x14ac:dyDescent="0.25">
      <c r="A312" s="1106"/>
      <c r="B312" s="1056"/>
      <c r="C312" s="1056"/>
      <c r="D312" s="1056"/>
      <c r="E312" s="1056"/>
      <c r="F312" s="1056"/>
      <c r="G312" s="1056"/>
      <c r="H312" s="1056"/>
      <c r="I312" s="1056"/>
      <c r="J312" s="1056"/>
      <c r="K312" s="1056"/>
      <c r="L312" s="1056"/>
      <c r="M312" s="1056"/>
      <c r="N312" s="1056"/>
      <c r="O312" s="1056"/>
      <c r="P312" s="1056"/>
      <c r="Q312" s="1056"/>
      <c r="R312" s="1056"/>
      <c r="S312" s="1056"/>
      <c r="T312" s="1056"/>
      <c r="U312" s="1056"/>
      <c r="V312" s="1056"/>
      <c r="W312" s="1056"/>
      <c r="X312" s="1056"/>
      <c r="Y312" s="1056"/>
      <c r="Z312" s="1056"/>
      <c r="AA312" s="1056"/>
      <c r="AB312" s="1056"/>
      <c r="AC312" s="1056"/>
    </row>
    <row r="313" spans="1:29" x14ac:dyDescent="0.25">
      <c r="A313" s="1106"/>
      <c r="B313" s="1056"/>
      <c r="C313" s="1056"/>
      <c r="D313" s="1056"/>
      <c r="E313" s="1056"/>
      <c r="F313" s="1056"/>
      <c r="G313" s="1056"/>
      <c r="H313" s="1056"/>
      <c r="I313" s="1056"/>
      <c r="J313" s="1056"/>
      <c r="K313" s="1056"/>
      <c r="L313" s="1056"/>
      <c r="M313" s="1056"/>
      <c r="N313" s="1056"/>
      <c r="O313" s="1056"/>
      <c r="P313" s="1056"/>
      <c r="Q313" s="1056"/>
      <c r="R313" s="1056"/>
      <c r="S313" s="1056"/>
      <c r="T313" s="1056"/>
      <c r="U313" s="1056"/>
      <c r="V313" s="1056"/>
      <c r="W313" s="1056"/>
      <c r="X313" s="1056"/>
      <c r="Y313" s="1056"/>
      <c r="Z313" s="1056"/>
      <c r="AA313" s="1056"/>
      <c r="AB313" s="1056"/>
      <c r="AC313" s="1056"/>
    </row>
    <row r="314" spans="1:29" x14ac:dyDescent="0.25">
      <c r="A314" s="1106"/>
      <c r="B314" s="1056"/>
      <c r="C314" s="1056"/>
      <c r="D314" s="1056"/>
      <c r="E314" s="1056"/>
      <c r="F314" s="1056"/>
      <c r="G314" s="1056"/>
      <c r="H314" s="1056"/>
      <c r="I314" s="1056"/>
      <c r="J314" s="1056"/>
      <c r="K314" s="1056"/>
      <c r="L314" s="1056"/>
      <c r="M314" s="1056"/>
      <c r="N314" s="1056"/>
      <c r="O314" s="1056"/>
      <c r="P314" s="1056"/>
      <c r="Q314" s="1056"/>
      <c r="R314" s="1056"/>
      <c r="S314" s="1056"/>
      <c r="T314" s="1056"/>
      <c r="U314" s="1056"/>
      <c r="V314" s="1056"/>
      <c r="W314" s="1056"/>
      <c r="X314" s="1056"/>
      <c r="Y314" s="1056"/>
      <c r="Z314" s="1056"/>
      <c r="AA314" s="1056"/>
      <c r="AB314" s="1056"/>
      <c r="AC314" s="1056"/>
    </row>
    <row r="315" spans="1:29" x14ac:dyDescent="0.25">
      <c r="A315" s="1106"/>
      <c r="B315" s="1056"/>
      <c r="C315" s="1056"/>
      <c r="D315" s="1056"/>
      <c r="E315" s="1056"/>
      <c r="F315" s="1056"/>
      <c r="G315" s="1056"/>
      <c r="H315" s="1056"/>
      <c r="I315" s="1056"/>
      <c r="J315" s="1056"/>
      <c r="K315" s="1056"/>
      <c r="L315" s="1056"/>
      <c r="M315" s="1056"/>
      <c r="N315" s="1056"/>
      <c r="O315" s="1056"/>
      <c r="P315" s="1056"/>
      <c r="Q315" s="1056"/>
      <c r="R315" s="1056"/>
      <c r="S315" s="1056"/>
      <c r="T315" s="1056"/>
      <c r="U315" s="1056"/>
      <c r="V315" s="1056"/>
      <c r="W315" s="1056"/>
      <c r="X315" s="1056"/>
      <c r="Y315" s="1056"/>
      <c r="Z315" s="1056"/>
      <c r="AA315" s="1056"/>
      <c r="AB315" s="1056"/>
      <c r="AC315" s="1056"/>
    </row>
    <row r="316" spans="1:29" x14ac:dyDescent="0.25">
      <c r="A316" s="1106"/>
      <c r="B316" s="1056"/>
      <c r="C316" s="1056"/>
      <c r="D316" s="1056"/>
      <c r="E316" s="1056"/>
      <c r="F316" s="1056"/>
      <c r="G316" s="1056"/>
      <c r="H316" s="1056"/>
      <c r="I316" s="1056"/>
      <c r="J316" s="1056"/>
      <c r="K316" s="1056"/>
      <c r="L316" s="1056"/>
      <c r="M316" s="1056"/>
      <c r="N316" s="1056"/>
      <c r="O316" s="1056"/>
      <c r="P316" s="1056"/>
      <c r="Q316" s="1056"/>
      <c r="R316" s="1056"/>
      <c r="S316" s="1056"/>
      <c r="T316" s="1056"/>
      <c r="U316" s="1056"/>
      <c r="V316" s="1056"/>
      <c r="W316" s="1056"/>
      <c r="X316" s="1056"/>
      <c r="Y316" s="1056"/>
      <c r="Z316" s="1056"/>
      <c r="AA316" s="1056"/>
      <c r="AB316" s="1056"/>
      <c r="AC316" s="1056"/>
    </row>
    <row r="317" spans="1:29" x14ac:dyDescent="0.25">
      <c r="A317" s="1106"/>
      <c r="B317" s="1056"/>
      <c r="C317" s="1056"/>
      <c r="D317" s="1056"/>
      <c r="E317" s="1056"/>
      <c r="F317" s="1056"/>
      <c r="G317" s="1056"/>
      <c r="H317" s="1056"/>
      <c r="I317" s="1056"/>
      <c r="J317" s="1056"/>
      <c r="K317" s="1056"/>
      <c r="L317" s="1056"/>
      <c r="M317" s="1056"/>
      <c r="N317" s="1056"/>
      <c r="O317" s="1056"/>
      <c r="P317" s="1056"/>
      <c r="Q317" s="1056"/>
      <c r="R317" s="1056"/>
      <c r="S317" s="1056"/>
      <c r="T317" s="1056"/>
      <c r="U317" s="1056"/>
      <c r="V317" s="1056"/>
      <c r="W317" s="1056"/>
      <c r="X317" s="1056"/>
      <c r="Y317" s="1056"/>
      <c r="Z317" s="1056"/>
      <c r="AA317" s="1056"/>
      <c r="AB317" s="1056"/>
      <c r="AC317" s="1056"/>
    </row>
    <row r="318" spans="1:29" x14ac:dyDescent="0.25">
      <c r="A318" s="1106"/>
      <c r="B318" s="1056"/>
      <c r="C318" s="1056"/>
      <c r="D318" s="1056"/>
      <c r="E318" s="1056"/>
      <c r="F318" s="1056"/>
      <c r="G318" s="1056"/>
      <c r="H318" s="1056"/>
      <c r="I318" s="1056"/>
      <c r="J318" s="1056"/>
      <c r="K318" s="1056"/>
      <c r="L318" s="1056"/>
      <c r="M318" s="1056"/>
      <c r="N318" s="1056"/>
      <c r="O318" s="1056"/>
      <c r="P318" s="1056"/>
      <c r="Q318" s="1056"/>
      <c r="R318" s="1056"/>
      <c r="S318" s="1056"/>
      <c r="T318" s="1056"/>
      <c r="U318" s="1056"/>
      <c r="V318" s="1056"/>
      <c r="W318" s="1056"/>
      <c r="X318" s="1056"/>
      <c r="Y318" s="1056"/>
      <c r="Z318" s="1056"/>
      <c r="AA318" s="1056"/>
      <c r="AB318" s="1056"/>
      <c r="AC318" s="1056"/>
    </row>
    <row r="319" spans="1:29" x14ac:dyDescent="0.25">
      <c r="A319" s="1106"/>
      <c r="B319" s="1056"/>
      <c r="C319" s="1056"/>
      <c r="D319" s="1056"/>
      <c r="E319" s="1056"/>
      <c r="F319" s="1056"/>
      <c r="G319" s="1056"/>
      <c r="H319" s="1056"/>
      <c r="I319" s="1056"/>
      <c r="J319" s="1056"/>
      <c r="K319" s="1056"/>
      <c r="L319" s="1056"/>
      <c r="M319" s="1056"/>
      <c r="N319" s="1056"/>
      <c r="O319" s="1056"/>
      <c r="P319" s="1056"/>
      <c r="Q319" s="1056"/>
      <c r="R319" s="1056"/>
      <c r="S319" s="1056"/>
      <c r="T319" s="1056"/>
      <c r="U319" s="1056"/>
      <c r="V319" s="1056"/>
      <c r="W319" s="1056"/>
      <c r="X319" s="1056"/>
      <c r="Y319" s="1056"/>
      <c r="Z319" s="1056"/>
      <c r="AA319" s="1056"/>
      <c r="AB319" s="1056"/>
      <c r="AC319" s="1056"/>
    </row>
    <row r="320" spans="1:29" x14ac:dyDescent="0.25">
      <c r="A320" s="1106"/>
      <c r="B320" s="1056"/>
      <c r="C320" s="1056"/>
      <c r="D320" s="1056"/>
      <c r="E320" s="1056"/>
      <c r="F320" s="1056"/>
      <c r="G320" s="1056"/>
      <c r="H320" s="1056"/>
      <c r="I320" s="1056"/>
      <c r="J320" s="1056"/>
      <c r="K320" s="1056"/>
      <c r="L320" s="1056"/>
      <c r="M320" s="1056"/>
      <c r="N320" s="1056"/>
      <c r="O320" s="1056"/>
      <c r="P320" s="1056"/>
      <c r="Q320" s="1056"/>
      <c r="R320" s="1056"/>
      <c r="S320" s="1056"/>
      <c r="T320" s="1056"/>
      <c r="U320" s="1056"/>
      <c r="V320" s="1056"/>
      <c r="W320" s="1056"/>
      <c r="X320" s="1056"/>
      <c r="Y320" s="1056"/>
      <c r="Z320" s="1056"/>
      <c r="AA320" s="1056"/>
      <c r="AB320" s="1056"/>
      <c r="AC320" s="1056"/>
    </row>
    <row r="321" spans="1:29" x14ac:dyDescent="0.25">
      <c r="A321" s="1106"/>
      <c r="B321" s="1056"/>
      <c r="C321" s="1056"/>
      <c r="D321" s="1056"/>
      <c r="E321" s="1056"/>
      <c r="F321" s="1056"/>
      <c r="G321" s="1056"/>
      <c r="H321" s="1056"/>
      <c r="I321" s="1056"/>
      <c r="J321" s="1056"/>
      <c r="K321" s="1056"/>
      <c r="L321" s="1056"/>
      <c r="M321" s="1056"/>
      <c r="N321" s="1056"/>
      <c r="O321" s="1056"/>
      <c r="P321" s="1056"/>
      <c r="Q321" s="1056"/>
      <c r="R321" s="1056"/>
      <c r="S321" s="1056"/>
      <c r="T321" s="1056"/>
      <c r="U321" s="1056"/>
      <c r="V321" s="1056"/>
      <c r="W321" s="1056"/>
      <c r="X321" s="1056"/>
      <c r="Y321" s="1056"/>
      <c r="Z321" s="1056"/>
      <c r="AA321" s="1056"/>
      <c r="AB321" s="1056"/>
      <c r="AC321" s="1056"/>
    </row>
    <row r="322" spans="1:29" x14ac:dyDescent="0.25">
      <c r="A322" s="1106"/>
      <c r="B322" s="1056"/>
      <c r="C322" s="1056"/>
      <c r="D322" s="1056"/>
      <c r="E322" s="1056"/>
      <c r="F322" s="1056"/>
      <c r="G322" s="1056"/>
      <c r="H322" s="1056"/>
      <c r="I322" s="1056"/>
      <c r="J322" s="1056"/>
      <c r="K322" s="1056"/>
      <c r="L322" s="1056"/>
      <c r="M322" s="1056"/>
      <c r="N322" s="1056"/>
      <c r="O322" s="1056"/>
      <c r="P322" s="1056"/>
      <c r="Q322" s="1056"/>
      <c r="R322" s="1056"/>
      <c r="S322" s="1056"/>
      <c r="T322" s="1056"/>
      <c r="U322" s="1056"/>
      <c r="V322" s="1056"/>
      <c r="W322" s="1056"/>
      <c r="X322" s="1056"/>
      <c r="Y322" s="1056"/>
      <c r="Z322" s="1056"/>
      <c r="AA322" s="1056"/>
      <c r="AB322" s="1056"/>
      <c r="AC322" s="1056"/>
    </row>
    <row r="323" spans="1:29" x14ac:dyDescent="0.25">
      <c r="A323" s="1106"/>
      <c r="B323" s="1056"/>
      <c r="C323" s="1056"/>
      <c r="D323" s="1056"/>
      <c r="E323" s="1056"/>
      <c r="F323" s="1056"/>
      <c r="G323" s="1056"/>
      <c r="H323" s="1056"/>
      <c r="I323" s="1056"/>
      <c r="J323" s="1056"/>
      <c r="K323" s="1056"/>
      <c r="L323" s="1056"/>
      <c r="M323" s="1056"/>
      <c r="N323" s="1056"/>
      <c r="O323" s="1056"/>
      <c r="P323" s="1056"/>
      <c r="Q323" s="1056"/>
      <c r="R323" s="1056"/>
      <c r="S323" s="1056"/>
      <c r="T323" s="1056"/>
      <c r="U323" s="1056"/>
      <c r="V323" s="1056"/>
      <c r="W323" s="1056"/>
      <c r="X323" s="1056"/>
      <c r="Y323" s="1056"/>
      <c r="Z323" s="1056"/>
      <c r="AA323" s="1056"/>
      <c r="AB323" s="1056"/>
      <c r="AC323" s="1056"/>
    </row>
    <row r="324" spans="1:29" x14ac:dyDescent="0.25">
      <c r="A324" s="1106"/>
      <c r="B324" s="1056"/>
      <c r="C324" s="1056"/>
      <c r="D324" s="1056"/>
      <c r="E324" s="1056"/>
      <c r="F324" s="1056"/>
      <c r="G324" s="1056"/>
      <c r="H324" s="1056"/>
      <c r="I324" s="1056"/>
      <c r="J324" s="1056"/>
      <c r="K324" s="1056"/>
      <c r="L324" s="1056"/>
      <c r="M324" s="1056"/>
      <c r="N324" s="1056"/>
      <c r="O324" s="1056"/>
      <c r="P324" s="1056"/>
      <c r="Q324" s="1056"/>
      <c r="R324" s="1056"/>
      <c r="S324" s="1056"/>
      <c r="T324" s="1056"/>
      <c r="U324" s="1056"/>
      <c r="V324" s="1056"/>
      <c r="W324" s="1056"/>
      <c r="X324" s="1056"/>
      <c r="Y324" s="1056"/>
      <c r="Z324" s="1056"/>
      <c r="AA324" s="1056"/>
      <c r="AB324" s="1056"/>
      <c r="AC324" s="1056"/>
    </row>
    <row r="325" spans="1:29" x14ac:dyDescent="0.25">
      <c r="A325" s="1106"/>
      <c r="B325" s="1056"/>
      <c r="C325" s="1056"/>
      <c r="D325" s="1056"/>
      <c r="E325" s="1056"/>
      <c r="F325" s="1056"/>
      <c r="G325" s="1056"/>
      <c r="H325" s="1056"/>
      <c r="I325" s="1056"/>
      <c r="J325" s="1056"/>
      <c r="K325" s="1056"/>
      <c r="L325" s="1056"/>
      <c r="M325" s="1056"/>
      <c r="N325" s="1056"/>
      <c r="O325" s="1056"/>
      <c r="P325" s="1056"/>
      <c r="Q325" s="1056"/>
      <c r="R325" s="1056"/>
      <c r="S325" s="1056"/>
      <c r="T325" s="1056"/>
      <c r="U325" s="1056"/>
      <c r="V325" s="1056"/>
      <c r="W325" s="1056"/>
      <c r="X325" s="1056"/>
      <c r="Y325" s="1056"/>
      <c r="Z325" s="1056"/>
      <c r="AA325" s="1056"/>
      <c r="AB325" s="1056"/>
      <c r="AC325" s="1056"/>
    </row>
    <row r="326" spans="1:29" x14ac:dyDescent="0.25">
      <c r="A326" s="1106"/>
      <c r="B326" s="1056"/>
      <c r="C326" s="1056"/>
      <c r="D326" s="1056"/>
      <c r="E326" s="1056"/>
      <c r="F326" s="1056"/>
      <c r="G326" s="1056"/>
      <c r="H326" s="1056"/>
      <c r="I326" s="1056"/>
      <c r="J326" s="1056"/>
      <c r="K326" s="1056"/>
      <c r="L326" s="1056"/>
      <c r="M326" s="1056"/>
      <c r="N326" s="1056"/>
      <c r="O326" s="1056"/>
      <c r="P326" s="1056"/>
      <c r="Q326" s="1056"/>
      <c r="R326" s="1056"/>
      <c r="S326" s="1056"/>
      <c r="T326" s="1056"/>
      <c r="U326" s="1056"/>
      <c r="V326" s="1056"/>
      <c r="W326" s="1056"/>
      <c r="X326" s="1056"/>
      <c r="Y326" s="1056"/>
      <c r="Z326" s="1056"/>
      <c r="AA326" s="1056"/>
      <c r="AB326" s="1056"/>
      <c r="AC326" s="1056"/>
    </row>
    <row r="327" spans="1:29" x14ac:dyDescent="0.25">
      <c r="A327" s="1106"/>
      <c r="B327" s="1056"/>
      <c r="C327" s="1056"/>
      <c r="D327" s="1056"/>
      <c r="E327" s="1056"/>
      <c r="F327" s="1056"/>
      <c r="G327" s="1056"/>
      <c r="H327" s="1056"/>
      <c r="I327" s="1056"/>
      <c r="J327" s="1056"/>
      <c r="K327" s="1056"/>
      <c r="L327" s="1056"/>
      <c r="M327" s="1056"/>
      <c r="N327" s="1056"/>
      <c r="O327" s="1056"/>
      <c r="P327" s="1056"/>
      <c r="Q327" s="1056"/>
      <c r="R327" s="1056"/>
      <c r="S327" s="1056"/>
      <c r="T327" s="1056"/>
      <c r="U327" s="1056"/>
      <c r="V327" s="1056"/>
      <c r="W327" s="1056"/>
      <c r="X327" s="1056"/>
      <c r="Y327" s="1056"/>
      <c r="Z327" s="1056"/>
      <c r="AA327" s="1056"/>
      <c r="AB327" s="1056"/>
      <c r="AC327" s="1056"/>
    </row>
    <row r="328" spans="1:29" x14ac:dyDescent="0.25">
      <c r="A328" s="1106"/>
      <c r="B328" s="1056"/>
      <c r="C328" s="1056"/>
      <c r="D328" s="1056"/>
      <c r="E328" s="1056"/>
      <c r="F328" s="1056"/>
      <c r="G328" s="1056"/>
      <c r="H328" s="1056"/>
      <c r="I328" s="1056"/>
      <c r="J328" s="1056"/>
      <c r="K328" s="1056"/>
      <c r="L328" s="1056"/>
      <c r="M328" s="1056"/>
      <c r="N328" s="1056"/>
      <c r="O328" s="1056"/>
      <c r="P328" s="1056"/>
      <c r="Q328" s="1056"/>
      <c r="R328" s="1056"/>
      <c r="S328" s="1056"/>
      <c r="T328" s="1056"/>
      <c r="U328" s="1056"/>
      <c r="V328" s="1056"/>
      <c r="W328" s="1056"/>
      <c r="X328" s="1056"/>
      <c r="Y328" s="1056"/>
      <c r="Z328" s="1056"/>
      <c r="AA328" s="1056"/>
      <c r="AB328" s="1056"/>
      <c r="AC328" s="1056"/>
    </row>
    <row r="329" spans="1:29" x14ac:dyDescent="0.25">
      <c r="A329" s="1106"/>
      <c r="B329" s="1056"/>
      <c r="C329" s="1056"/>
      <c r="D329" s="1056"/>
      <c r="E329" s="1056"/>
      <c r="F329" s="1056"/>
      <c r="G329" s="1056"/>
      <c r="H329" s="1056"/>
      <c r="I329" s="1056"/>
      <c r="J329" s="1056"/>
      <c r="K329" s="1056"/>
      <c r="L329" s="1056"/>
      <c r="M329" s="1056"/>
      <c r="N329" s="1056"/>
      <c r="O329" s="1056"/>
      <c r="P329" s="1056"/>
      <c r="Q329" s="1056"/>
      <c r="R329" s="1056"/>
      <c r="S329" s="1056"/>
      <c r="T329" s="1056"/>
      <c r="U329" s="1056"/>
      <c r="V329" s="1056"/>
      <c r="W329" s="1056"/>
      <c r="X329" s="1056"/>
      <c r="Y329" s="1056"/>
      <c r="Z329" s="1056"/>
      <c r="AA329" s="1056"/>
      <c r="AB329" s="1056"/>
      <c r="AC329" s="1056"/>
    </row>
    <row r="330" spans="1:29" x14ac:dyDescent="0.25">
      <c r="A330" s="1106"/>
      <c r="B330" s="1056"/>
      <c r="C330" s="1056"/>
      <c r="D330" s="1056"/>
      <c r="E330" s="1056"/>
      <c r="F330" s="1056"/>
      <c r="G330" s="1056"/>
      <c r="H330" s="1056"/>
      <c r="I330" s="1056"/>
      <c r="J330" s="1056"/>
      <c r="K330" s="1056"/>
      <c r="L330" s="1056"/>
      <c r="M330" s="1056"/>
      <c r="N330" s="1056"/>
      <c r="O330" s="1056"/>
      <c r="P330" s="1056"/>
      <c r="Q330" s="1056"/>
      <c r="R330" s="1056"/>
      <c r="S330" s="1056"/>
      <c r="T330" s="1056"/>
      <c r="U330" s="1056"/>
      <c r="V330" s="1056"/>
      <c r="W330" s="1056"/>
      <c r="X330" s="1056"/>
      <c r="Y330" s="1056"/>
      <c r="Z330" s="1056"/>
      <c r="AA330" s="1056"/>
      <c r="AB330" s="1056"/>
      <c r="AC330" s="1056"/>
    </row>
    <row r="331" spans="1:29" x14ac:dyDescent="0.25">
      <c r="A331" s="1106"/>
      <c r="B331" s="1056"/>
      <c r="C331" s="1056"/>
      <c r="D331" s="1056"/>
      <c r="E331" s="1056"/>
      <c r="F331" s="1056"/>
      <c r="G331" s="1056"/>
      <c r="H331" s="1056"/>
      <c r="I331" s="1056"/>
      <c r="J331" s="1056"/>
      <c r="K331" s="1056"/>
      <c r="L331" s="1056"/>
      <c r="M331" s="1056"/>
      <c r="N331" s="1056"/>
      <c r="O331" s="1056"/>
      <c r="P331" s="1056"/>
      <c r="Q331" s="1056"/>
      <c r="R331" s="1056"/>
      <c r="S331" s="1056"/>
      <c r="T331" s="1056"/>
      <c r="U331" s="1056"/>
      <c r="V331" s="1056"/>
      <c r="W331" s="1056"/>
      <c r="X331" s="1056"/>
      <c r="Y331" s="1056"/>
      <c r="Z331" s="1056"/>
      <c r="AA331" s="1056"/>
      <c r="AB331" s="1056"/>
      <c r="AC331" s="1056"/>
    </row>
    <row r="332" spans="1:29" x14ac:dyDescent="0.25">
      <c r="A332" s="1106"/>
      <c r="B332" s="1056"/>
      <c r="C332" s="1056"/>
      <c r="D332" s="1056"/>
      <c r="E332" s="1056"/>
      <c r="F332" s="1056"/>
      <c r="G332" s="1056"/>
      <c r="H332" s="1056"/>
      <c r="I332" s="1056"/>
      <c r="J332" s="1056"/>
      <c r="K332" s="1056"/>
      <c r="L332" s="1056"/>
      <c r="M332" s="1056"/>
      <c r="N332" s="1056"/>
      <c r="O332" s="1056"/>
      <c r="P332" s="1056"/>
      <c r="Q332" s="1056"/>
      <c r="R332" s="1056"/>
      <c r="S332" s="1056"/>
      <c r="T332" s="1056"/>
      <c r="U332" s="1056"/>
      <c r="V332" s="1056"/>
      <c r="W332" s="1056"/>
      <c r="X332" s="1056"/>
      <c r="Y332" s="1056"/>
      <c r="Z332" s="1056"/>
      <c r="AA332" s="1056"/>
      <c r="AB332" s="1056"/>
      <c r="AC332" s="1056"/>
    </row>
    <row r="333" spans="1:29" x14ac:dyDescent="0.25">
      <c r="A333" s="1106"/>
      <c r="B333" s="1056"/>
      <c r="C333" s="1056"/>
      <c r="D333" s="1056"/>
      <c r="E333" s="1056"/>
      <c r="F333" s="1056"/>
      <c r="G333" s="1056"/>
      <c r="H333" s="1056"/>
      <c r="I333" s="1056"/>
      <c r="J333" s="1056"/>
      <c r="K333" s="1056"/>
      <c r="L333" s="1056"/>
      <c r="M333" s="1056"/>
      <c r="N333" s="1056"/>
      <c r="O333" s="1056"/>
      <c r="P333" s="1056"/>
      <c r="Q333" s="1056"/>
      <c r="R333" s="1056"/>
      <c r="S333" s="1056"/>
      <c r="T333" s="1056"/>
      <c r="U333" s="1056"/>
      <c r="V333" s="1056"/>
      <c r="W333" s="1056"/>
      <c r="X333" s="1056"/>
      <c r="Y333" s="1056"/>
      <c r="Z333" s="1056"/>
      <c r="AA333" s="1056"/>
      <c r="AB333" s="1056"/>
      <c r="AC333" s="1056"/>
    </row>
    <row r="334" spans="1:29" x14ac:dyDescent="0.25">
      <c r="A334" s="1106"/>
      <c r="B334" s="1056"/>
      <c r="C334" s="1056"/>
      <c r="D334" s="1056"/>
      <c r="E334" s="1056"/>
      <c r="F334" s="1056"/>
      <c r="G334" s="1056"/>
      <c r="H334" s="1056"/>
      <c r="I334" s="1056"/>
      <c r="J334" s="1056"/>
      <c r="K334" s="1056"/>
      <c r="L334" s="1056"/>
      <c r="M334" s="1056"/>
      <c r="N334" s="1056"/>
      <c r="O334" s="1056"/>
      <c r="P334" s="1056"/>
      <c r="Q334" s="1056"/>
      <c r="R334" s="1056"/>
      <c r="S334" s="1056"/>
      <c r="T334" s="1056"/>
      <c r="U334" s="1056"/>
      <c r="V334" s="1056"/>
      <c r="W334" s="1056"/>
      <c r="X334" s="1056"/>
      <c r="Y334" s="1056"/>
      <c r="Z334" s="1056"/>
      <c r="AA334" s="1056"/>
      <c r="AB334" s="1056"/>
      <c r="AC334" s="1056"/>
    </row>
    <row r="335" spans="1:29" x14ac:dyDescent="0.25">
      <c r="A335" s="1106"/>
      <c r="B335" s="1056"/>
      <c r="C335" s="1056"/>
      <c r="D335" s="1056"/>
      <c r="E335" s="1056"/>
      <c r="F335" s="1056"/>
      <c r="G335" s="1056"/>
      <c r="H335" s="1056"/>
      <c r="I335" s="1056"/>
      <c r="J335" s="1056"/>
      <c r="K335" s="1056"/>
      <c r="L335" s="1056"/>
      <c r="M335" s="1056"/>
      <c r="N335" s="1056"/>
      <c r="O335" s="1056"/>
      <c r="P335" s="1056"/>
      <c r="Q335" s="1056"/>
      <c r="R335" s="1056"/>
      <c r="S335" s="1056"/>
      <c r="T335" s="1056"/>
      <c r="U335" s="1056"/>
      <c r="V335" s="1056"/>
      <c r="W335" s="1056"/>
      <c r="X335" s="1056"/>
      <c r="Y335" s="1056"/>
      <c r="Z335" s="1056"/>
      <c r="AA335" s="1056"/>
      <c r="AB335" s="1056"/>
      <c r="AC335" s="1056"/>
    </row>
    <row r="336" spans="1:29" x14ac:dyDescent="0.25">
      <c r="A336" s="1106"/>
      <c r="B336" s="1056"/>
      <c r="C336" s="1056"/>
      <c r="D336" s="1056"/>
      <c r="E336" s="1056"/>
      <c r="F336" s="1056"/>
      <c r="G336" s="1056"/>
      <c r="H336" s="1056"/>
      <c r="I336" s="1056"/>
      <c r="J336" s="1056"/>
      <c r="K336" s="1056"/>
      <c r="L336" s="1056"/>
      <c r="M336" s="1056"/>
      <c r="N336" s="1056"/>
      <c r="O336" s="1056"/>
      <c r="P336" s="1056"/>
      <c r="Q336" s="1056"/>
      <c r="R336" s="1056"/>
      <c r="S336" s="1056"/>
      <c r="T336" s="1056"/>
      <c r="U336" s="1056"/>
      <c r="V336" s="1056"/>
      <c r="W336" s="1056"/>
      <c r="X336" s="1056"/>
      <c r="Y336" s="1056"/>
      <c r="Z336" s="1056"/>
      <c r="AA336" s="1056"/>
      <c r="AB336" s="1056"/>
      <c r="AC336" s="1056"/>
    </row>
    <row r="337" spans="1:29" x14ac:dyDescent="0.25">
      <c r="A337" s="1106"/>
      <c r="B337" s="1056"/>
      <c r="C337" s="1056"/>
      <c r="D337" s="1056"/>
      <c r="E337" s="1056"/>
      <c r="F337" s="1056"/>
      <c r="G337" s="1056"/>
      <c r="H337" s="1056"/>
      <c r="I337" s="1056"/>
      <c r="J337" s="1056"/>
      <c r="K337" s="1056"/>
      <c r="L337" s="1056"/>
      <c r="M337" s="1056"/>
      <c r="N337" s="1056"/>
      <c r="O337" s="1056"/>
      <c r="P337" s="1056"/>
      <c r="Q337" s="1056"/>
      <c r="R337" s="1056"/>
      <c r="S337" s="1056"/>
      <c r="T337" s="1056"/>
      <c r="U337" s="1056"/>
      <c r="V337" s="1056"/>
      <c r="W337" s="1056"/>
      <c r="X337" s="1056"/>
      <c r="Y337" s="1056"/>
      <c r="Z337" s="1056"/>
      <c r="AA337" s="1056"/>
      <c r="AB337" s="1056"/>
      <c r="AC337" s="1056"/>
    </row>
    <row r="338" spans="1:29" x14ac:dyDescent="0.25">
      <c r="A338" s="1106"/>
      <c r="B338" s="1056"/>
      <c r="C338" s="1056"/>
      <c r="D338" s="1056"/>
      <c r="E338" s="1056"/>
      <c r="F338" s="1056"/>
      <c r="G338" s="1056"/>
      <c r="H338" s="1056"/>
      <c r="I338" s="1056"/>
      <c r="J338" s="1056"/>
      <c r="K338" s="1056"/>
      <c r="L338" s="1056"/>
      <c r="M338" s="1056"/>
      <c r="N338" s="1056"/>
      <c r="O338" s="1056"/>
      <c r="P338" s="1056"/>
      <c r="Q338" s="1056"/>
      <c r="R338" s="1056"/>
      <c r="S338" s="1056"/>
      <c r="T338" s="1056"/>
      <c r="U338" s="1056"/>
      <c r="V338" s="1056"/>
      <c r="W338" s="1056"/>
      <c r="X338" s="1056"/>
      <c r="Y338" s="1056"/>
      <c r="Z338" s="1056"/>
      <c r="AA338" s="1056"/>
      <c r="AB338" s="1056"/>
      <c r="AC338" s="1056"/>
    </row>
    <row r="339" spans="1:29" x14ac:dyDescent="0.25">
      <c r="A339" s="1106"/>
      <c r="B339" s="1056"/>
      <c r="C339" s="1056"/>
      <c r="D339" s="1056"/>
      <c r="E339" s="1056"/>
      <c r="F339" s="1056"/>
      <c r="G339" s="1056"/>
      <c r="H339" s="1056"/>
      <c r="I339" s="1056"/>
      <c r="J339" s="1056"/>
      <c r="K339" s="1056"/>
      <c r="L339" s="1056"/>
      <c r="M339" s="1056"/>
      <c r="N339" s="1056"/>
      <c r="O339" s="1056"/>
      <c r="P339" s="1056"/>
      <c r="Q339" s="1056"/>
      <c r="R339" s="1056"/>
      <c r="S339" s="1056"/>
      <c r="T339" s="1056"/>
      <c r="U339" s="1056"/>
      <c r="V339" s="1056"/>
      <c r="W339" s="1056"/>
      <c r="X339" s="1056"/>
      <c r="Y339" s="1056"/>
      <c r="Z339" s="1056"/>
      <c r="AA339" s="1056"/>
      <c r="AB339" s="1056"/>
      <c r="AC339" s="1056"/>
    </row>
    <row r="340" spans="1:29" x14ac:dyDescent="0.25">
      <c r="A340" s="1106"/>
      <c r="B340" s="1056"/>
      <c r="C340" s="1056"/>
      <c r="D340" s="1056"/>
      <c r="E340" s="1056"/>
      <c r="F340" s="1056"/>
      <c r="G340" s="1056"/>
      <c r="H340" s="1056"/>
      <c r="I340" s="1056"/>
      <c r="J340" s="1056"/>
      <c r="K340" s="1056"/>
      <c r="L340" s="1056"/>
      <c r="M340" s="1056"/>
      <c r="N340" s="1056"/>
      <c r="O340" s="1056"/>
      <c r="P340" s="1056"/>
      <c r="Q340" s="1056"/>
      <c r="R340" s="1056"/>
      <c r="S340" s="1056"/>
      <c r="T340" s="1056"/>
      <c r="U340" s="1056"/>
      <c r="V340" s="1056"/>
      <c r="W340" s="1056"/>
      <c r="X340" s="1056"/>
      <c r="Y340" s="1056"/>
      <c r="Z340" s="1056"/>
      <c r="AA340" s="1056"/>
      <c r="AB340" s="1056"/>
      <c r="AC340" s="1056"/>
    </row>
    <row r="341" spans="1:29" x14ac:dyDescent="0.25">
      <c r="A341" s="1106"/>
      <c r="B341" s="1056"/>
      <c r="C341" s="1056"/>
      <c r="D341" s="1056"/>
      <c r="E341" s="1056"/>
      <c r="F341" s="1056"/>
      <c r="G341" s="1056"/>
      <c r="H341" s="1056"/>
      <c r="I341" s="1056"/>
      <c r="J341" s="1056"/>
      <c r="K341" s="1056"/>
      <c r="L341" s="1056"/>
      <c r="M341" s="1056"/>
      <c r="N341" s="1056"/>
      <c r="O341" s="1056"/>
      <c r="P341" s="1056"/>
      <c r="Q341" s="1056"/>
      <c r="R341" s="1056"/>
      <c r="S341" s="1056"/>
      <c r="T341" s="1056"/>
      <c r="U341" s="1056"/>
      <c r="V341" s="1056"/>
      <c r="W341" s="1056"/>
      <c r="X341" s="1056"/>
      <c r="Y341" s="1056"/>
      <c r="Z341" s="1056"/>
      <c r="AA341" s="1056"/>
      <c r="AB341" s="1056"/>
      <c r="AC341" s="1056"/>
    </row>
    <row r="342" spans="1:29" x14ac:dyDescent="0.25">
      <c r="A342" s="1106"/>
      <c r="B342" s="1056"/>
      <c r="C342" s="1056"/>
      <c r="D342" s="1056"/>
      <c r="E342" s="1056"/>
      <c r="F342" s="1056"/>
      <c r="G342" s="1056"/>
      <c r="H342" s="1056"/>
      <c r="I342" s="1056"/>
      <c r="J342" s="1056"/>
      <c r="K342" s="1056"/>
      <c r="L342" s="1056"/>
      <c r="M342" s="1056"/>
      <c r="N342" s="1056"/>
      <c r="O342" s="1056"/>
      <c r="P342" s="1056"/>
      <c r="Q342" s="1056"/>
      <c r="R342" s="1056"/>
      <c r="S342" s="1056"/>
      <c r="T342" s="1056"/>
      <c r="U342" s="1056"/>
      <c r="V342" s="1056"/>
      <c r="W342" s="1056"/>
      <c r="X342" s="1056"/>
      <c r="Y342" s="1056"/>
      <c r="Z342" s="1056"/>
      <c r="AA342" s="1056"/>
      <c r="AB342" s="1056"/>
      <c r="AC342" s="1056"/>
    </row>
    <row r="343" spans="1:29" x14ac:dyDescent="0.25">
      <c r="A343" s="1106"/>
      <c r="B343" s="1056"/>
      <c r="C343" s="1056"/>
      <c r="D343" s="1056"/>
      <c r="E343" s="1056"/>
      <c r="F343" s="1056"/>
      <c r="G343" s="1056"/>
      <c r="H343" s="1056"/>
      <c r="I343" s="1056"/>
      <c r="J343" s="1056"/>
      <c r="K343" s="1056"/>
      <c r="L343" s="1056"/>
      <c r="M343" s="1056"/>
      <c r="N343" s="1056"/>
      <c r="O343" s="1056"/>
      <c r="P343" s="1056"/>
      <c r="Q343" s="1056"/>
      <c r="R343" s="1056"/>
      <c r="S343" s="1056"/>
      <c r="T343" s="1056"/>
      <c r="U343" s="1056"/>
      <c r="V343" s="1056"/>
      <c r="W343" s="1056"/>
      <c r="X343" s="1056"/>
      <c r="Y343" s="1056"/>
      <c r="Z343" s="1056"/>
      <c r="AA343" s="1056"/>
      <c r="AB343" s="1056"/>
      <c r="AC343" s="1056"/>
    </row>
    <row r="344" spans="1:29" x14ac:dyDescent="0.25">
      <c r="A344" s="1106"/>
      <c r="B344" s="1056"/>
      <c r="C344" s="1056"/>
      <c r="D344" s="1056"/>
      <c r="E344" s="1056"/>
      <c r="F344" s="1056"/>
      <c r="G344" s="1056"/>
      <c r="H344" s="1056"/>
      <c r="I344" s="1056"/>
      <c r="J344" s="1056"/>
      <c r="K344" s="1056"/>
      <c r="L344" s="1056"/>
      <c r="M344" s="1056"/>
      <c r="N344" s="1056"/>
      <c r="O344" s="1056"/>
      <c r="P344" s="1056"/>
      <c r="Q344" s="1056"/>
      <c r="R344" s="1056"/>
      <c r="S344" s="1056"/>
      <c r="T344" s="1056"/>
      <c r="U344" s="1056"/>
      <c r="V344" s="1056"/>
      <c r="W344" s="1056"/>
      <c r="X344" s="1056"/>
      <c r="Y344" s="1056"/>
      <c r="Z344" s="1056"/>
      <c r="AA344" s="1056"/>
      <c r="AB344" s="1056"/>
      <c r="AC344" s="1056"/>
    </row>
    <row r="345" spans="1:29" x14ac:dyDescent="0.25">
      <c r="A345" s="1106"/>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row>
    <row r="346" spans="1:29" x14ac:dyDescent="0.25">
      <c r="A346" s="110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row>
    <row r="347" spans="1:29" x14ac:dyDescent="0.25">
      <c r="A347" s="1106"/>
      <c r="B347" s="1056"/>
      <c r="C347" s="1056"/>
      <c r="D347" s="1056"/>
      <c r="E347" s="1056"/>
      <c r="F347" s="1056"/>
      <c r="G347" s="1056"/>
      <c r="H347" s="1056"/>
      <c r="I347" s="1056"/>
      <c r="J347" s="1056"/>
      <c r="K347" s="1056"/>
      <c r="L347" s="1056"/>
      <c r="M347" s="1056"/>
      <c r="N347" s="1056"/>
      <c r="O347" s="1056"/>
      <c r="P347" s="1056"/>
      <c r="Q347" s="1056"/>
      <c r="R347" s="1056"/>
      <c r="S347" s="1056"/>
      <c r="T347" s="1056"/>
      <c r="U347" s="1056"/>
      <c r="V347" s="1056"/>
      <c r="W347" s="1056"/>
      <c r="X347" s="1056"/>
      <c r="Y347" s="1056"/>
      <c r="Z347" s="1056"/>
      <c r="AA347" s="1056"/>
      <c r="AB347" s="1056"/>
      <c r="AC347" s="1056"/>
    </row>
    <row r="348" spans="1:29" x14ac:dyDescent="0.25">
      <c r="A348" s="1106"/>
      <c r="B348" s="1056"/>
      <c r="C348" s="1056"/>
      <c r="D348" s="1056"/>
      <c r="E348" s="1056"/>
      <c r="F348" s="1056"/>
      <c r="G348" s="1056"/>
      <c r="H348" s="1056"/>
      <c r="I348" s="1056"/>
      <c r="J348" s="1056"/>
      <c r="K348" s="1056"/>
      <c r="L348" s="1056"/>
      <c r="M348" s="1056"/>
      <c r="N348" s="1056"/>
      <c r="O348" s="1056"/>
      <c r="P348" s="1056"/>
      <c r="Q348" s="1056"/>
      <c r="R348" s="1056"/>
      <c r="S348" s="1056"/>
      <c r="T348" s="1056"/>
      <c r="U348" s="1056"/>
      <c r="V348" s="1056"/>
      <c r="W348" s="1056"/>
      <c r="X348" s="1056"/>
      <c r="Y348" s="1056"/>
      <c r="Z348" s="1056"/>
      <c r="AA348" s="1056"/>
      <c r="AB348" s="1056"/>
      <c r="AC348" s="1056"/>
    </row>
    <row r="349" spans="1:29" x14ac:dyDescent="0.25">
      <c r="A349" s="1106"/>
      <c r="B349" s="1056"/>
      <c r="C349" s="1056"/>
      <c r="D349" s="1056"/>
      <c r="E349" s="1056"/>
      <c r="F349" s="1056"/>
      <c r="G349" s="1056"/>
      <c r="H349" s="1056"/>
      <c r="I349" s="1056"/>
      <c r="J349" s="1056"/>
      <c r="K349" s="1056"/>
      <c r="L349" s="1056"/>
      <c r="M349" s="1056"/>
      <c r="N349" s="1056"/>
      <c r="O349" s="1056"/>
      <c r="P349" s="1056"/>
      <c r="Q349" s="1056"/>
      <c r="R349" s="1056"/>
      <c r="S349" s="1056"/>
      <c r="T349" s="1056"/>
      <c r="U349" s="1056"/>
      <c r="V349" s="1056"/>
      <c r="W349" s="1056"/>
      <c r="X349" s="1056"/>
      <c r="Y349" s="1056"/>
      <c r="Z349" s="1056"/>
      <c r="AA349" s="1056"/>
      <c r="AB349" s="1056"/>
      <c r="AC349" s="1056"/>
    </row>
    <row r="350" spans="1:29" x14ac:dyDescent="0.25">
      <c r="A350" s="1106"/>
      <c r="B350" s="1056"/>
      <c r="C350" s="1056"/>
      <c r="D350" s="1056"/>
      <c r="E350" s="1056"/>
      <c r="F350" s="1056"/>
      <c r="G350" s="1056"/>
      <c r="H350" s="1056"/>
      <c r="I350" s="1056"/>
      <c r="J350" s="1056"/>
      <c r="K350" s="1056"/>
      <c r="L350" s="1056"/>
      <c r="M350" s="1056"/>
      <c r="N350" s="1056"/>
      <c r="O350" s="1056"/>
      <c r="P350" s="1056"/>
      <c r="Q350" s="1056"/>
      <c r="R350" s="1056"/>
      <c r="S350" s="1056"/>
      <c r="T350" s="1056"/>
      <c r="U350" s="1056"/>
      <c r="V350" s="1056"/>
      <c r="W350" s="1056"/>
      <c r="X350" s="1056"/>
      <c r="Y350" s="1056"/>
      <c r="Z350" s="1056"/>
      <c r="AA350" s="1056"/>
      <c r="AB350" s="1056"/>
      <c r="AC350" s="1056"/>
    </row>
    <row r="351" spans="1:29" x14ac:dyDescent="0.25">
      <c r="A351" s="1106"/>
      <c r="B351" s="1056"/>
      <c r="C351" s="1056"/>
      <c r="D351" s="1056"/>
      <c r="E351" s="1056"/>
      <c r="F351" s="1056"/>
      <c r="G351" s="1056"/>
      <c r="H351" s="1056"/>
      <c r="I351" s="1056"/>
      <c r="J351" s="1056"/>
      <c r="K351" s="1056"/>
      <c r="L351" s="1056"/>
      <c r="M351" s="1056"/>
      <c r="N351" s="1056"/>
      <c r="O351" s="1056"/>
      <c r="P351" s="1056"/>
      <c r="Q351" s="1056"/>
      <c r="R351" s="1056"/>
      <c r="S351" s="1056"/>
      <c r="T351" s="1056"/>
      <c r="U351" s="1056"/>
      <c r="V351" s="1056"/>
      <c r="W351" s="1056"/>
      <c r="X351" s="1056"/>
      <c r="Y351" s="1056"/>
      <c r="Z351" s="1056"/>
      <c r="AA351" s="1056"/>
      <c r="AB351" s="1056"/>
      <c r="AC351" s="1056"/>
    </row>
    <row r="352" spans="1:29" x14ac:dyDescent="0.25">
      <c r="A352" s="1106"/>
      <c r="B352" s="1056"/>
      <c r="C352" s="1056"/>
      <c r="D352" s="1056"/>
      <c r="E352" s="1056"/>
      <c r="F352" s="1056"/>
      <c r="G352" s="1056"/>
      <c r="H352" s="1056"/>
      <c r="I352" s="1056"/>
      <c r="J352" s="1056"/>
      <c r="K352" s="1056"/>
      <c r="L352" s="1056"/>
      <c r="M352" s="1056"/>
      <c r="N352" s="1056"/>
      <c r="O352" s="1056"/>
      <c r="P352" s="1056"/>
      <c r="Q352" s="1056"/>
      <c r="R352" s="1056"/>
      <c r="S352" s="1056"/>
      <c r="T352" s="1056"/>
      <c r="U352" s="1056"/>
      <c r="V352" s="1056"/>
      <c r="W352" s="1056"/>
      <c r="X352" s="1056"/>
      <c r="Y352" s="1056"/>
      <c r="Z352" s="1056"/>
      <c r="AA352" s="1056"/>
      <c r="AB352" s="1056"/>
      <c r="AC352" s="1056"/>
    </row>
    <row r="353" spans="1:29" x14ac:dyDescent="0.25">
      <c r="A353" s="1106"/>
      <c r="B353" s="1056"/>
      <c r="C353" s="1056"/>
      <c r="D353" s="1056"/>
      <c r="E353" s="1056"/>
      <c r="F353" s="1056"/>
      <c r="G353" s="1056"/>
      <c r="H353" s="1056"/>
      <c r="I353" s="1056"/>
      <c r="J353" s="1056"/>
      <c r="K353" s="1056"/>
      <c r="L353" s="1056"/>
      <c r="M353" s="1056"/>
      <c r="N353" s="1056"/>
      <c r="O353" s="1056"/>
      <c r="P353" s="1056"/>
      <c r="Q353" s="1056"/>
      <c r="R353" s="1056"/>
      <c r="S353" s="1056"/>
      <c r="T353" s="1056"/>
      <c r="U353" s="1056"/>
      <c r="V353" s="1056"/>
      <c r="W353" s="1056"/>
      <c r="X353" s="1056"/>
      <c r="Y353" s="1056"/>
      <c r="Z353" s="1056"/>
      <c r="AA353" s="1056"/>
      <c r="AB353" s="1056"/>
      <c r="AC353" s="1056"/>
    </row>
    <row r="354" spans="1:29" x14ac:dyDescent="0.25">
      <c r="A354" s="1106"/>
      <c r="B354" s="1056"/>
      <c r="C354" s="1056"/>
      <c r="D354" s="1056"/>
      <c r="E354" s="1056"/>
      <c r="F354" s="1056"/>
      <c r="G354" s="1056"/>
      <c r="H354" s="1056"/>
      <c r="I354" s="1056"/>
      <c r="J354" s="1056"/>
      <c r="K354" s="1056"/>
      <c r="L354" s="1056"/>
      <c r="M354" s="1056"/>
      <c r="N354" s="1056"/>
      <c r="O354" s="1056"/>
      <c r="P354" s="1056"/>
      <c r="Q354" s="1056"/>
      <c r="R354" s="1056"/>
      <c r="S354" s="1056"/>
      <c r="T354" s="1056"/>
      <c r="U354" s="1056"/>
      <c r="V354" s="1056"/>
      <c r="W354" s="1056"/>
      <c r="X354" s="1056"/>
      <c r="Y354" s="1056"/>
      <c r="Z354" s="1056"/>
      <c r="AA354" s="1056"/>
      <c r="AB354" s="1056"/>
      <c r="AC354" s="1056"/>
    </row>
    <row r="355" spans="1:29" x14ac:dyDescent="0.25">
      <c r="A355" s="1106"/>
      <c r="B355" s="1056"/>
      <c r="C355" s="1056"/>
      <c r="D355" s="1056"/>
      <c r="E355" s="1056"/>
      <c r="F355" s="1056"/>
      <c r="G355" s="1056"/>
      <c r="H355" s="1056"/>
      <c r="I355" s="1056"/>
      <c r="J355" s="1056"/>
      <c r="K355" s="1056"/>
      <c r="L355" s="1056"/>
      <c r="M355" s="1056"/>
      <c r="N355" s="1056"/>
      <c r="O355" s="1056"/>
      <c r="P355" s="1056"/>
      <c r="Q355" s="1056"/>
      <c r="R355" s="1056"/>
      <c r="S355" s="1056"/>
      <c r="T355" s="1056"/>
      <c r="U355" s="1056"/>
      <c r="V355" s="1056"/>
      <c r="W355" s="1056"/>
      <c r="X355" s="1056"/>
      <c r="Y355" s="1056"/>
      <c r="Z355" s="1056"/>
      <c r="AA355" s="1056"/>
      <c r="AB355" s="1056"/>
      <c r="AC355" s="1056"/>
    </row>
    <row r="356" spans="1:29" x14ac:dyDescent="0.25">
      <c r="A356" s="1106"/>
      <c r="B356" s="1056"/>
      <c r="C356" s="1056"/>
      <c r="D356" s="1056"/>
      <c r="E356" s="1056"/>
      <c r="F356" s="1056"/>
      <c r="G356" s="1056"/>
      <c r="H356" s="1056"/>
      <c r="I356" s="1056"/>
      <c r="J356" s="1056"/>
      <c r="K356" s="1056"/>
      <c r="L356" s="1056"/>
      <c r="M356" s="1056"/>
      <c r="N356" s="1056"/>
      <c r="O356" s="1056"/>
      <c r="P356" s="1056"/>
      <c r="Q356" s="1056"/>
      <c r="R356" s="1056"/>
      <c r="S356" s="1056"/>
      <c r="T356" s="1056"/>
      <c r="U356" s="1056"/>
      <c r="V356" s="1056"/>
      <c r="W356" s="1056"/>
      <c r="X356" s="1056"/>
      <c r="Y356" s="1056"/>
      <c r="Z356" s="1056"/>
      <c r="AA356" s="1056"/>
      <c r="AB356" s="1056"/>
      <c r="AC356" s="1056"/>
    </row>
    <row r="357" spans="1:29" x14ac:dyDescent="0.25">
      <c r="A357" s="1106"/>
      <c r="B357" s="1056"/>
      <c r="C357" s="1056"/>
      <c r="D357" s="1056"/>
      <c r="E357" s="1056"/>
      <c r="F357" s="1056"/>
      <c r="G357" s="1056"/>
      <c r="H357" s="1056"/>
      <c r="I357" s="1056"/>
      <c r="J357" s="1056"/>
      <c r="K357" s="1056"/>
      <c r="L357" s="1056"/>
      <c r="M357" s="1056"/>
      <c r="N357" s="1056"/>
      <c r="O357" s="1056"/>
      <c r="P357" s="1056"/>
      <c r="Q357" s="1056"/>
      <c r="R357" s="1056"/>
      <c r="S357" s="1056"/>
      <c r="T357" s="1056"/>
      <c r="U357" s="1056"/>
      <c r="V357" s="1056"/>
      <c r="W357" s="1056"/>
      <c r="X357" s="1056"/>
      <c r="Y357" s="1056"/>
      <c r="Z357" s="1056"/>
      <c r="AA357" s="1056"/>
      <c r="AB357" s="1056"/>
      <c r="AC357" s="1056"/>
    </row>
    <row r="358" spans="1:29" x14ac:dyDescent="0.25">
      <c r="A358" s="1106"/>
      <c r="B358" s="1056"/>
      <c r="C358" s="1056"/>
      <c r="D358" s="1056"/>
      <c r="E358" s="1056"/>
      <c r="F358" s="1056"/>
      <c r="G358" s="1056"/>
      <c r="H358" s="1056"/>
      <c r="I358" s="1056"/>
      <c r="J358" s="1056"/>
      <c r="K358" s="1056"/>
      <c r="L358" s="1056"/>
      <c r="M358" s="1056"/>
      <c r="N358" s="1056"/>
      <c r="O358" s="1056"/>
      <c r="P358" s="1056"/>
      <c r="Q358" s="1056"/>
      <c r="R358" s="1056"/>
      <c r="S358" s="1056"/>
      <c r="T358" s="1056"/>
      <c r="U358" s="1056"/>
      <c r="V358" s="1056"/>
      <c r="W358" s="1056"/>
      <c r="X358" s="1056"/>
      <c r="Y358" s="1056"/>
      <c r="Z358" s="1056"/>
      <c r="AA358" s="1056"/>
      <c r="AB358" s="1056"/>
      <c r="AC358" s="1056"/>
    </row>
    <row r="359" spans="1:29" x14ac:dyDescent="0.25">
      <c r="A359" s="1106"/>
      <c r="B359" s="1056"/>
      <c r="C359" s="1056"/>
      <c r="D359" s="1056"/>
      <c r="E359" s="1056"/>
      <c r="F359" s="1056"/>
      <c r="G359" s="1056"/>
      <c r="H359" s="1056"/>
      <c r="I359" s="1056"/>
      <c r="J359" s="1056"/>
      <c r="K359" s="1056"/>
      <c r="L359" s="1056"/>
      <c r="M359" s="1056"/>
      <c r="N359" s="1056"/>
      <c r="O359" s="1056"/>
      <c r="P359" s="1056"/>
      <c r="Q359" s="1056"/>
      <c r="R359" s="1056"/>
      <c r="S359" s="1056"/>
      <c r="T359" s="1056"/>
      <c r="U359" s="1056"/>
      <c r="V359" s="1056"/>
      <c r="W359" s="1056"/>
      <c r="X359" s="1056"/>
      <c r="Y359" s="1056"/>
      <c r="Z359" s="1056"/>
      <c r="AA359" s="1056"/>
      <c r="AB359" s="1056"/>
      <c r="AC359" s="1056"/>
    </row>
    <row r="360" spans="1:29" x14ac:dyDescent="0.25">
      <c r="A360" s="1106"/>
      <c r="B360" s="1056"/>
      <c r="C360" s="1056"/>
      <c r="D360" s="1056"/>
      <c r="E360" s="1056"/>
      <c r="F360" s="1056"/>
      <c r="G360" s="1056"/>
      <c r="H360" s="1056"/>
      <c r="I360" s="1056"/>
      <c r="J360" s="1056"/>
      <c r="K360" s="1056"/>
      <c r="L360" s="1056"/>
      <c r="M360" s="1056"/>
      <c r="N360" s="1056"/>
      <c r="O360" s="1056"/>
      <c r="P360" s="1056"/>
      <c r="Q360" s="1056"/>
      <c r="R360" s="1056"/>
      <c r="S360" s="1056"/>
      <c r="T360" s="1056"/>
      <c r="U360" s="1056"/>
      <c r="V360" s="1056"/>
      <c r="W360" s="1056"/>
      <c r="X360" s="1056"/>
      <c r="Y360" s="1056"/>
      <c r="Z360" s="1056"/>
      <c r="AA360" s="1056"/>
      <c r="AB360" s="1056"/>
      <c r="AC360" s="1056"/>
    </row>
    <row r="361" spans="1:29" x14ac:dyDescent="0.25">
      <c r="A361" s="1106"/>
      <c r="B361" s="1056"/>
      <c r="C361" s="1056"/>
      <c r="D361" s="1056"/>
      <c r="E361" s="1056"/>
      <c r="F361" s="1056"/>
      <c r="G361" s="1056"/>
      <c r="H361" s="1056"/>
      <c r="I361" s="1056"/>
      <c r="J361" s="1056"/>
      <c r="K361" s="1056"/>
      <c r="L361" s="1056"/>
      <c r="M361" s="1056"/>
      <c r="N361" s="1056"/>
      <c r="O361" s="1056"/>
      <c r="P361" s="1056"/>
      <c r="Q361" s="1056"/>
      <c r="R361" s="1056"/>
      <c r="S361" s="1056"/>
      <c r="T361" s="1056"/>
      <c r="U361" s="1056"/>
      <c r="V361" s="1056"/>
      <c r="W361" s="1056"/>
      <c r="X361" s="1056"/>
      <c r="Y361" s="1056"/>
      <c r="Z361" s="1056"/>
      <c r="AA361" s="1056"/>
      <c r="AB361" s="1056"/>
      <c r="AC361" s="1056"/>
    </row>
    <row r="362" spans="1:29" x14ac:dyDescent="0.25">
      <c r="A362" s="1106"/>
      <c r="B362" s="1056"/>
      <c r="C362" s="1056"/>
      <c r="D362" s="1056"/>
      <c r="E362" s="1056"/>
      <c r="F362" s="1056"/>
      <c r="G362" s="1056"/>
      <c r="H362" s="1056"/>
      <c r="I362" s="1056"/>
      <c r="J362" s="1056"/>
      <c r="K362" s="1056"/>
      <c r="L362" s="1056"/>
      <c r="M362" s="1056"/>
      <c r="N362" s="1056"/>
      <c r="O362" s="1056"/>
      <c r="P362" s="1056"/>
      <c r="Q362" s="1056"/>
      <c r="R362" s="1056"/>
      <c r="S362" s="1056"/>
      <c r="T362" s="1056"/>
      <c r="U362" s="1056"/>
      <c r="V362" s="1056"/>
      <c r="W362" s="1056"/>
      <c r="X362" s="1056"/>
      <c r="Y362" s="1056"/>
      <c r="Z362" s="1056"/>
      <c r="AA362" s="1056"/>
      <c r="AB362" s="1056"/>
      <c r="AC362" s="1056"/>
    </row>
    <row r="363" spans="1:29" x14ac:dyDescent="0.25">
      <c r="A363" s="1106"/>
      <c r="B363" s="1056"/>
      <c r="C363" s="1056"/>
      <c r="D363" s="1056"/>
      <c r="E363" s="1056"/>
      <c r="F363" s="1056"/>
      <c r="G363" s="1056"/>
      <c r="H363" s="1056"/>
      <c r="I363" s="1056"/>
      <c r="J363" s="1056"/>
      <c r="K363" s="1056"/>
      <c r="L363" s="1056"/>
      <c r="M363" s="1056"/>
      <c r="N363" s="1056"/>
      <c r="O363" s="1056"/>
      <c r="P363" s="1056"/>
      <c r="Q363" s="1056"/>
      <c r="R363" s="1056"/>
      <c r="S363" s="1056"/>
      <c r="T363" s="1056"/>
      <c r="U363" s="1056"/>
      <c r="V363" s="1056"/>
      <c r="W363" s="1056"/>
      <c r="X363" s="1056"/>
      <c r="Y363" s="1056"/>
      <c r="Z363" s="1056"/>
      <c r="AA363" s="1056"/>
      <c r="AB363" s="1056"/>
      <c r="AC363" s="1056"/>
    </row>
    <row r="364" spans="1:29" x14ac:dyDescent="0.25">
      <c r="A364" s="1106"/>
      <c r="B364" s="1056"/>
      <c r="C364" s="1056"/>
      <c r="D364" s="1056"/>
      <c r="E364" s="1056"/>
      <c r="F364" s="1056"/>
      <c r="G364" s="1056"/>
      <c r="H364" s="1056"/>
      <c r="I364" s="1056"/>
      <c r="J364" s="1056"/>
      <c r="K364" s="1056"/>
      <c r="L364" s="1056"/>
      <c r="M364" s="1056"/>
      <c r="N364" s="1056"/>
      <c r="O364" s="1056"/>
      <c r="P364" s="1056"/>
      <c r="Q364" s="1056"/>
      <c r="R364" s="1056"/>
      <c r="S364" s="1056"/>
      <c r="T364" s="1056"/>
      <c r="U364" s="1056"/>
      <c r="V364" s="1056"/>
      <c r="W364" s="1056"/>
      <c r="X364" s="1056"/>
      <c r="Y364" s="1056"/>
      <c r="Z364" s="1056"/>
      <c r="AA364" s="1056"/>
      <c r="AB364" s="1056"/>
      <c r="AC364" s="1056"/>
    </row>
    <row r="365" spans="1:29" x14ac:dyDescent="0.25">
      <c r="A365" s="1106"/>
      <c r="B365" s="1056"/>
      <c r="C365" s="1056"/>
      <c r="D365" s="1056"/>
      <c r="E365" s="1056"/>
      <c r="F365" s="1056"/>
      <c r="G365" s="1056"/>
      <c r="H365" s="1056"/>
      <c r="I365" s="1056"/>
      <c r="J365" s="1056"/>
      <c r="K365" s="1056"/>
      <c r="L365" s="1056"/>
      <c r="M365" s="1056"/>
      <c r="N365" s="1056"/>
      <c r="O365" s="1056"/>
      <c r="P365" s="1056"/>
      <c r="Q365" s="1056"/>
      <c r="R365" s="1056"/>
      <c r="S365" s="1056"/>
      <c r="T365" s="1056"/>
      <c r="U365" s="1056"/>
      <c r="V365" s="1056"/>
      <c r="W365" s="1056"/>
      <c r="X365" s="1056"/>
      <c r="Y365" s="1056"/>
      <c r="Z365" s="1056"/>
      <c r="AA365" s="1056"/>
      <c r="AB365" s="1056"/>
      <c r="AC365" s="1056"/>
    </row>
    <row r="366" spans="1:29" x14ac:dyDescent="0.25">
      <c r="A366" s="1106"/>
      <c r="B366" s="1056"/>
      <c r="C366" s="1056"/>
      <c r="D366" s="1056"/>
      <c r="E366" s="1056"/>
      <c r="F366" s="1056"/>
      <c r="G366" s="1056"/>
      <c r="H366" s="1056"/>
      <c r="I366" s="1056"/>
      <c r="J366" s="1056"/>
      <c r="K366" s="1056"/>
      <c r="L366" s="1056"/>
      <c r="M366" s="1056"/>
      <c r="N366" s="1056"/>
      <c r="O366" s="1056"/>
      <c r="P366" s="1056"/>
      <c r="Q366" s="1056"/>
      <c r="R366" s="1056"/>
      <c r="S366" s="1056"/>
      <c r="T366" s="1056"/>
      <c r="U366" s="1056"/>
      <c r="V366" s="1056"/>
      <c r="W366" s="1056"/>
      <c r="X366" s="1056"/>
      <c r="Y366" s="1056"/>
      <c r="Z366" s="1056"/>
      <c r="AA366" s="1056"/>
      <c r="AB366" s="1056"/>
      <c r="AC366" s="1056"/>
    </row>
    <row r="367" spans="1:29" x14ac:dyDescent="0.25">
      <c r="A367" s="1106"/>
      <c r="B367" s="1056"/>
      <c r="C367" s="1056"/>
      <c r="D367" s="1056"/>
      <c r="E367" s="1056"/>
      <c r="F367" s="1056"/>
      <c r="G367" s="1056"/>
      <c r="H367" s="1056"/>
      <c r="I367" s="1056"/>
      <c r="J367" s="1056"/>
      <c r="K367" s="1056"/>
      <c r="L367" s="1056"/>
      <c r="M367" s="1056"/>
      <c r="N367" s="1056"/>
      <c r="O367" s="1056"/>
      <c r="P367" s="1056"/>
      <c r="Q367" s="1056"/>
      <c r="R367" s="1056"/>
      <c r="S367" s="1056"/>
      <c r="T367" s="1056"/>
      <c r="U367" s="1056"/>
      <c r="V367" s="1056"/>
      <c r="W367" s="1056"/>
      <c r="X367" s="1056"/>
      <c r="Y367" s="1056"/>
      <c r="Z367" s="1056"/>
      <c r="AA367" s="1056"/>
      <c r="AB367" s="1056"/>
      <c r="AC367" s="1056"/>
    </row>
    <row r="368" spans="1:29" x14ac:dyDescent="0.25">
      <c r="A368" s="1106"/>
      <c r="B368" s="1056"/>
      <c r="C368" s="1056"/>
      <c r="D368" s="1056"/>
      <c r="E368" s="1056"/>
      <c r="F368" s="1056"/>
      <c r="G368" s="1056"/>
      <c r="H368" s="1056"/>
      <c r="I368" s="1056"/>
      <c r="J368" s="1056"/>
      <c r="K368" s="1056"/>
      <c r="L368" s="1056"/>
      <c r="M368" s="1056"/>
      <c r="N368" s="1056"/>
      <c r="O368" s="1056"/>
      <c r="P368" s="1056"/>
      <c r="Q368" s="1056"/>
      <c r="R368" s="1056"/>
      <c r="S368" s="1056"/>
      <c r="T368" s="1056"/>
      <c r="U368" s="1056"/>
      <c r="V368" s="1056"/>
      <c r="W368" s="1056"/>
      <c r="X368" s="1056"/>
      <c r="Y368" s="1056"/>
      <c r="Z368" s="1056"/>
      <c r="AA368" s="1056"/>
      <c r="AB368" s="1056"/>
      <c r="AC368" s="1056"/>
    </row>
    <row r="369" spans="1:29" x14ac:dyDescent="0.25">
      <c r="A369" s="1106"/>
      <c r="B369" s="1056"/>
      <c r="C369" s="1056"/>
      <c r="D369" s="1056"/>
      <c r="E369" s="1056"/>
      <c r="F369" s="1056"/>
      <c r="G369" s="1056"/>
      <c r="H369" s="1056"/>
      <c r="I369" s="1056"/>
      <c r="J369" s="1056"/>
      <c r="K369" s="1056"/>
      <c r="L369" s="1056"/>
      <c r="M369" s="1056"/>
      <c r="N369" s="1056"/>
      <c r="O369" s="1056"/>
      <c r="P369" s="1056"/>
      <c r="Q369" s="1056"/>
      <c r="R369" s="1056"/>
      <c r="S369" s="1056"/>
      <c r="T369" s="1056"/>
      <c r="U369" s="1056"/>
      <c r="V369" s="1056"/>
      <c r="W369" s="1056"/>
      <c r="X369" s="1056"/>
      <c r="Y369" s="1056"/>
      <c r="Z369" s="1056"/>
      <c r="AA369" s="1056"/>
      <c r="AB369" s="1056"/>
      <c r="AC369" s="1056"/>
    </row>
    <row r="370" spans="1:29" x14ac:dyDescent="0.25">
      <c r="A370" s="1106"/>
      <c r="B370" s="1056"/>
      <c r="C370" s="1056"/>
      <c r="D370" s="1056"/>
      <c r="E370" s="1056"/>
      <c r="F370" s="1056"/>
      <c r="G370" s="1056"/>
      <c r="H370" s="1056"/>
      <c r="I370" s="1056"/>
      <c r="J370" s="1056"/>
      <c r="K370" s="1056"/>
      <c r="L370" s="1056"/>
      <c r="M370" s="1056"/>
      <c r="N370" s="1056"/>
      <c r="O370" s="1056"/>
      <c r="P370" s="1056"/>
      <c r="Q370" s="1056"/>
      <c r="R370" s="1056"/>
      <c r="S370" s="1056"/>
      <c r="T370" s="1056"/>
      <c r="U370" s="1056"/>
      <c r="V370" s="1056"/>
      <c r="W370" s="1056"/>
      <c r="X370" s="1056"/>
      <c r="Y370" s="1056"/>
      <c r="Z370" s="1056"/>
      <c r="AA370" s="1056"/>
      <c r="AB370" s="1056"/>
      <c r="AC370" s="1056"/>
    </row>
    <row r="371" spans="1:29" x14ac:dyDescent="0.25">
      <c r="A371" s="1106"/>
      <c r="B371" s="1056"/>
      <c r="C371" s="1056"/>
      <c r="D371" s="1056"/>
      <c r="E371" s="1056"/>
      <c r="F371" s="1056"/>
      <c r="G371" s="1056"/>
      <c r="H371" s="1056"/>
      <c r="I371" s="1056"/>
      <c r="J371" s="1056"/>
      <c r="K371" s="1056"/>
      <c r="L371" s="1056"/>
      <c r="M371" s="1056"/>
      <c r="N371" s="1056"/>
      <c r="O371" s="1056"/>
      <c r="P371" s="1056"/>
      <c r="Q371" s="1056"/>
      <c r="R371" s="1056"/>
      <c r="S371" s="1056"/>
      <c r="T371" s="1056"/>
      <c r="U371" s="1056"/>
      <c r="V371" s="1056"/>
      <c r="W371" s="1056"/>
      <c r="X371" s="1056"/>
      <c r="Y371" s="1056"/>
      <c r="Z371" s="1056"/>
      <c r="AA371" s="1056"/>
      <c r="AB371" s="1056"/>
      <c r="AC371" s="1056"/>
    </row>
    <row r="372" spans="1:29" x14ac:dyDescent="0.25">
      <c r="A372" s="1106"/>
      <c r="B372" s="1056"/>
      <c r="C372" s="1056"/>
      <c r="D372" s="1056"/>
      <c r="E372" s="1056"/>
      <c r="F372" s="1056"/>
      <c r="G372" s="1056"/>
      <c r="H372" s="1056"/>
      <c r="I372" s="1056"/>
      <c r="J372" s="1056"/>
      <c r="K372" s="1056"/>
      <c r="L372" s="1056"/>
      <c r="M372" s="1056"/>
      <c r="N372" s="1056"/>
      <c r="O372" s="1056"/>
      <c r="P372" s="1056"/>
      <c r="Q372" s="1056"/>
      <c r="R372" s="1056"/>
      <c r="S372" s="1056"/>
      <c r="T372" s="1056"/>
      <c r="U372" s="1056"/>
      <c r="V372" s="1056"/>
      <c r="W372" s="1056"/>
      <c r="X372" s="1056"/>
      <c r="Y372" s="1056"/>
      <c r="Z372" s="1056"/>
      <c r="AA372" s="1056"/>
      <c r="AB372" s="1056"/>
      <c r="AC372" s="1056"/>
    </row>
    <row r="373" spans="1:29" x14ac:dyDescent="0.25">
      <c r="A373" s="1106"/>
      <c r="B373" s="1056"/>
      <c r="C373" s="1056"/>
      <c r="D373" s="1056"/>
      <c r="E373" s="1056"/>
      <c r="F373" s="1056"/>
      <c r="G373" s="1056"/>
      <c r="H373" s="1056"/>
      <c r="I373" s="1056"/>
      <c r="J373" s="1056"/>
      <c r="K373" s="1056"/>
      <c r="L373" s="1056"/>
      <c r="M373" s="1056"/>
      <c r="N373" s="1056"/>
      <c r="O373" s="1056"/>
      <c r="P373" s="1056"/>
      <c r="Q373" s="1056"/>
      <c r="R373" s="1056"/>
      <c r="S373" s="1056"/>
      <c r="T373" s="1056"/>
      <c r="U373" s="1056"/>
      <c r="V373" s="1056"/>
      <c r="W373" s="1056"/>
      <c r="X373" s="1056"/>
      <c r="Y373" s="1056"/>
      <c r="Z373" s="1056"/>
      <c r="AA373" s="1056"/>
      <c r="AB373" s="1056"/>
      <c r="AC373" s="1056"/>
    </row>
    <row r="374" spans="1:29" x14ac:dyDescent="0.25">
      <c r="A374" s="1106"/>
      <c r="B374" s="1056"/>
      <c r="C374" s="1056"/>
      <c r="D374" s="1056"/>
      <c r="E374" s="1056"/>
      <c r="F374" s="1056"/>
      <c r="G374" s="1056"/>
      <c r="H374" s="1056"/>
      <c r="I374" s="1056"/>
      <c r="J374" s="1056"/>
      <c r="K374" s="1056"/>
      <c r="L374" s="1056"/>
      <c r="M374" s="1056"/>
      <c r="N374" s="1056"/>
      <c r="O374" s="1056"/>
      <c r="P374" s="1056"/>
      <c r="Q374" s="1056"/>
      <c r="R374" s="1056"/>
      <c r="S374" s="1056"/>
      <c r="T374" s="1056"/>
      <c r="U374" s="1056"/>
      <c r="V374" s="1056"/>
      <c r="W374" s="1056"/>
      <c r="X374" s="1056"/>
      <c r="Y374" s="1056"/>
      <c r="Z374" s="1056"/>
      <c r="AA374" s="1056"/>
      <c r="AB374" s="1056"/>
      <c r="AC374" s="1056"/>
    </row>
    <row r="375" spans="1:29" x14ac:dyDescent="0.25">
      <c r="A375" s="1106"/>
      <c r="B375" s="1056"/>
      <c r="C375" s="1056"/>
      <c r="D375" s="1056"/>
      <c r="E375" s="1056"/>
      <c r="F375" s="1056"/>
      <c r="G375" s="1056"/>
      <c r="H375" s="1056"/>
      <c r="I375" s="1056"/>
      <c r="J375" s="1056"/>
      <c r="K375" s="1056"/>
      <c r="L375" s="1056"/>
      <c r="M375" s="1056"/>
      <c r="N375" s="1056"/>
      <c r="O375" s="1056"/>
      <c r="P375" s="1056"/>
      <c r="Q375" s="1056"/>
      <c r="R375" s="1056"/>
      <c r="S375" s="1056"/>
      <c r="T375" s="1056"/>
      <c r="U375" s="1056"/>
      <c r="V375" s="1056"/>
      <c r="W375" s="1056"/>
      <c r="X375" s="1056"/>
      <c r="Y375" s="1056"/>
      <c r="Z375" s="1056"/>
      <c r="AA375" s="1056"/>
      <c r="AB375" s="1056"/>
      <c r="AC375" s="1056"/>
    </row>
    <row r="376" spans="1:29" x14ac:dyDescent="0.25">
      <c r="A376" s="1106"/>
      <c r="B376" s="1056"/>
      <c r="C376" s="1056"/>
      <c r="D376" s="1056"/>
      <c r="E376" s="1056"/>
      <c r="F376" s="1056"/>
      <c r="G376" s="1056"/>
      <c r="H376" s="1056"/>
      <c r="I376" s="1056"/>
      <c r="J376" s="1056"/>
      <c r="K376" s="1056"/>
      <c r="L376" s="1056"/>
      <c r="M376" s="1056"/>
      <c r="N376" s="1056"/>
      <c r="O376" s="1056"/>
      <c r="P376" s="1056"/>
      <c r="Q376" s="1056"/>
      <c r="R376" s="1056"/>
      <c r="S376" s="1056"/>
      <c r="T376" s="1056"/>
      <c r="U376" s="1056"/>
      <c r="V376" s="1056"/>
      <c r="W376" s="1056"/>
      <c r="X376" s="1056"/>
      <c r="Y376" s="1056"/>
      <c r="Z376" s="1056"/>
      <c r="AA376" s="1056"/>
      <c r="AB376" s="1056"/>
      <c r="AC376" s="1056"/>
    </row>
    <row r="377" spans="1:29" x14ac:dyDescent="0.25">
      <c r="A377" s="1106"/>
      <c r="B377" s="1056"/>
      <c r="C377" s="1056"/>
      <c r="D377" s="1056"/>
      <c r="E377" s="1056"/>
      <c r="F377" s="1056"/>
      <c r="G377" s="1056"/>
      <c r="H377" s="1056"/>
      <c r="I377" s="1056"/>
      <c r="J377" s="1056"/>
      <c r="K377" s="1056"/>
      <c r="L377" s="1056"/>
      <c r="M377" s="1056"/>
      <c r="N377" s="1056"/>
      <c r="O377" s="1056"/>
      <c r="P377" s="1056"/>
      <c r="Q377" s="1056"/>
      <c r="R377" s="1056"/>
      <c r="S377" s="1056"/>
      <c r="T377" s="1056"/>
      <c r="U377" s="1056"/>
      <c r="V377" s="1056"/>
      <c r="W377" s="1056"/>
      <c r="X377" s="1056"/>
      <c r="Y377" s="1056"/>
      <c r="Z377" s="1056"/>
      <c r="AA377" s="1056"/>
      <c r="AB377" s="1056"/>
      <c r="AC377" s="1056"/>
    </row>
    <row r="378" spans="1:29" x14ac:dyDescent="0.25">
      <c r="A378" s="1106"/>
      <c r="B378" s="1056"/>
      <c r="C378" s="1056"/>
      <c r="D378" s="1056"/>
      <c r="E378" s="1056"/>
      <c r="F378" s="1056"/>
      <c r="G378" s="1056"/>
      <c r="H378" s="1056"/>
      <c r="I378" s="1056"/>
      <c r="J378" s="1056"/>
      <c r="K378" s="1056"/>
      <c r="L378" s="1056"/>
      <c r="M378" s="1056"/>
      <c r="N378" s="1056"/>
      <c r="O378" s="1056"/>
      <c r="P378" s="1056"/>
      <c r="Q378" s="1056"/>
      <c r="R378" s="1056"/>
      <c r="S378" s="1056"/>
      <c r="T378" s="1056"/>
      <c r="U378" s="1056"/>
      <c r="V378" s="1056"/>
      <c r="W378" s="1056"/>
      <c r="X378" s="1056"/>
      <c r="Y378" s="1056"/>
      <c r="Z378" s="1056"/>
      <c r="AA378" s="1056"/>
      <c r="AB378" s="1056"/>
      <c r="AC378" s="1056"/>
    </row>
    <row r="379" spans="1:29" x14ac:dyDescent="0.25">
      <c r="A379" s="1106"/>
      <c r="B379" s="1056"/>
      <c r="C379" s="1056"/>
      <c r="D379" s="1056"/>
      <c r="E379" s="1056"/>
      <c r="F379" s="1056"/>
      <c r="G379" s="1056"/>
      <c r="H379" s="1056"/>
      <c r="I379" s="1056"/>
      <c r="J379" s="1056"/>
      <c r="K379" s="1056"/>
      <c r="L379" s="1056"/>
      <c r="M379" s="1056"/>
      <c r="N379" s="1056"/>
      <c r="O379" s="1056"/>
      <c r="P379" s="1056"/>
      <c r="Q379" s="1056"/>
      <c r="R379" s="1056"/>
      <c r="S379" s="1056"/>
      <c r="T379" s="1056"/>
      <c r="U379" s="1056"/>
      <c r="V379" s="1056"/>
      <c r="W379" s="1056"/>
      <c r="X379" s="1056"/>
      <c r="Y379" s="1056"/>
      <c r="Z379" s="1056"/>
      <c r="AA379" s="1056"/>
      <c r="AB379" s="1056"/>
      <c r="AC379" s="1056"/>
    </row>
    <row r="380" spans="1:29" x14ac:dyDescent="0.25">
      <c r="A380" s="1106"/>
      <c r="B380" s="1056"/>
      <c r="C380" s="1056"/>
      <c r="D380" s="1056"/>
      <c r="E380" s="1056"/>
      <c r="F380" s="1056"/>
      <c r="G380" s="1056"/>
      <c r="H380" s="1056"/>
      <c r="I380" s="1056"/>
      <c r="J380" s="1056"/>
      <c r="K380" s="1056"/>
      <c r="L380" s="1056"/>
      <c r="M380" s="1056"/>
      <c r="N380" s="1056"/>
      <c r="O380" s="1056"/>
      <c r="P380" s="1056"/>
      <c r="Q380" s="1056"/>
      <c r="R380" s="1056"/>
      <c r="S380" s="1056"/>
      <c r="T380" s="1056"/>
      <c r="U380" s="1056"/>
      <c r="V380" s="1056"/>
      <c r="W380" s="1056"/>
      <c r="X380" s="1056"/>
      <c r="Y380" s="1056"/>
      <c r="Z380" s="1056"/>
      <c r="AA380" s="1056"/>
      <c r="AB380" s="1056"/>
      <c r="AC380" s="1056"/>
    </row>
    <row r="381" spans="1:29" x14ac:dyDescent="0.25">
      <c r="A381" s="1106"/>
      <c r="B381" s="1056"/>
      <c r="C381" s="1056"/>
      <c r="D381" s="1056"/>
      <c r="E381" s="1056"/>
      <c r="F381" s="1056"/>
      <c r="G381" s="1056"/>
      <c r="H381" s="1056"/>
      <c r="I381" s="1056"/>
      <c r="J381" s="1056"/>
      <c r="K381" s="1056"/>
      <c r="L381" s="1056"/>
      <c r="M381" s="1056"/>
      <c r="N381" s="1056"/>
      <c r="O381" s="1056"/>
      <c r="P381" s="1056"/>
      <c r="Q381" s="1056"/>
      <c r="R381" s="1056"/>
      <c r="S381" s="1056"/>
      <c r="T381" s="1056"/>
      <c r="U381" s="1056"/>
      <c r="V381" s="1056"/>
      <c r="W381" s="1056"/>
      <c r="X381" s="1056"/>
      <c r="Y381" s="1056"/>
      <c r="Z381" s="1056"/>
      <c r="AA381" s="1056"/>
      <c r="AB381" s="1056"/>
      <c r="AC381" s="1056"/>
    </row>
    <row r="382" spans="1:29" x14ac:dyDescent="0.25">
      <c r="A382" s="1106"/>
      <c r="B382" s="1056"/>
      <c r="C382" s="1056"/>
      <c r="D382" s="1056"/>
      <c r="E382" s="1056"/>
      <c r="F382" s="1056"/>
      <c r="G382" s="1056"/>
      <c r="H382" s="1056"/>
      <c r="I382" s="1056"/>
      <c r="J382" s="1056"/>
      <c r="K382" s="1056"/>
      <c r="L382" s="1056"/>
      <c r="M382" s="1056"/>
      <c r="N382" s="1056"/>
      <c r="O382" s="1056"/>
      <c r="P382" s="1056"/>
      <c r="Q382" s="1056"/>
      <c r="R382" s="1056"/>
      <c r="S382" s="1056"/>
      <c r="T382" s="1056"/>
      <c r="U382" s="1056"/>
      <c r="V382" s="1056"/>
      <c r="W382" s="1056"/>
      <c r="X382" s="1056"/>
      <c r="Y382" s="1056"/>
      <c r="Z382" s="1056"/>
      <c r="AA382" s="1056"/>
      <c r="AB382" s="1056"/>
      <c r="AC382" s="1056"/>
    </row>
    <row r="383" spans="1:29" x14ac:dyDescent="0.25">
      <c r="A383" s="1106"/>
      <c r="B383" s="1056"/>
      <c r="C383" s="1056"/>
      <c r="D383" s="1056"/>
      <c r="E383" s="1056"/>
      <c r="F383" s="1056"/>
      <c r="G383" s="1056"/>
      <c r="H383" s="1056"/>
      <c r="I383" s="1056"/>
      <c r="J383" s="1056"/>
      <c r="K383" s="1056"/>
      <c r="L383" s="1056"/>
      <c r="M383" s="1056"/>
      <c r="N383" s="1056"/>
      <c r="O383" s="1056"/>
      <c r="P383" s="1056"/>
      <c r="Q383" s="1056"/>
      <c r="R383" s="1056"/>
      <c r="S383" s="1056"/>
      <c r="T383" s="1056"/>
      <c r="U383" s="1056"/>
      <c r="V383" s="1056"/>
      <c r="W383" s="1056"/>
      <c r="X383" s="1056"/>
      <c r="Y383" s="1056"/>
      <c r="Z383" s="1056"/>
      <c r="AA383" s="1056"/>
      <c r="AB383" s="1056"/>
      <c r="AC383" s="1056"/>
    </row>
    <row r="384" spans="1:29" x14ac:dyDescent="0.25">
      <c r="A384" s="1106"/>
      <c r="B384" s="1056"/>
      <c r="C384" s="1056"/>
      <c r="D384" s="1056"/>
      <c r="E384" s="1056"/>
      <c r="F384" s="1056"/>
      <c r="G384" s="1056"/>
      <c r="H384" s="1056"/>
      <c r="I384" s="1056"/>
      <c r="J384" s="1056"/>
      <c r="K384" s="1056"/>
      <c r="L384" s="1056"/>
      <c r="M384" s="1056"/>
      <c r="N384" s="1056"/>
      <c r="O384" s="1056"/>
      <c r="P384" s="1056"/>
      <c r="Q384" s="1056"/>
      <c r="R384" s="1056"/>
      <c r="S384" s="1056"/>
      <c r="T384" s="1056"/>
      <c r="U384" s="1056"/>
      <c r="V384" s="1056"/>
      <c r="W384" s="1056"/>
      <c r="X384" s="1056"/>
      <c r="Y384" s="1056"/>
      <c r="Z384" s="1056"/>
      <c r="AA384" s="1056"/>
      <c r="AB384" s="1056"/>
      <c r="AC384" s="1056"/>
    </row>
    <row r="385" spans="1:29" x14ac:dyDescent="0.25">
      <c r="A385" s="1106"/>
      <c r="B385" s="1056"/>
      <c r="C385" s="1056"/>
      <c r="D385" s="1056"/>
      <c r="E385" s="1056"/>
      <c r="F385" s="1056"/>
      <c r="G385" s="1056"/>
      <c r="H385" s="1056"/>
      <c r="I385" s="1056"/>
      <c r="J385" s="1056"/>
      <c r="K385" s="1056"/>
      <c r="L385" s="1056"/>
      <c r="M385" s="1056"/>
      <c r="N385" s="1056"/>
      <c r="O385" s="1056"/>
      <c r="P385" s="1056"/>
      <c r="Q385" s="1056"/>
      <c r="R385" s="1056"/>
      <c r="S385" s="1056"/>
      <c r="T385" s="1056"/>
      <c r="U385" s="1056"/>
      <c r="V385" s="1056"/>
      <c r="W385" s="1056"/>
      <c r="X385" s="1056"/>
      <c r="Y385" s="1056"/>
      <c r="Z385" s="1056"/>
      <c r="AA385" s="1056"/>
      <c r="AB385" s="1056"/>
      <c r="AC385" s="1056"/>
    </row>
    <row r="386" spans="1:29" x14ac:dyDescent="0.25">
      <c r="A386" s="1106"/>
      <c r="B386" s="1056"/>
      <c r="C386" s="1056"/>
      <c r="D386" s="1056"/>
      <c r="E386" s="1056"/>
      <c r="F386" s="1056"/>
      <c r="G386" s="1056"/>
      <c r="H386" s="1056"/>
      <c r="I386" s="1056"/>
      <c r="J386" s="1056"/>
      <c r="K386" s="1056"/>
      <c r="L386" s="1056"/>
      <c r="M386" s="1056"/>
      <c r="N386" s="1056"/>
      <c r="O386" s="1056"/>
      <c r="P386" s="1056"/>
      <c r="Q386" s="1056"/>
      <c r="R386" s="1056"/>
      <c r="S386" s="1056"/>
      <c r="T386" s="1056"/>
      <c r="U386" s="1056"/>
      <c r="V386" s="1056"/>
      <c r="W386" s="1056"/>
      <c r="X386" s="1056"/>
      <c r="Y386" s="1056"/>
      <c r="Z386" s="1056"/>
      <c r="AA386" s="1056"/>
      <c r="AB386" s="1056"/>
      <c r="AC386" s="1056"/>
    </row>
    <row r="387" spans="1:29" x14ac:dyDescent="0.25">
      <c r="A387" s="1106"/>
      <c r="B387" s="1056"/>
      <c r="C387" s="1056"/>
      <c r="D387" s="1056"/>
      <c r="E387" s="1056"/>
      <c r="F387" s="1056"/>
      <c r="G387" s="1056"/>
      <c r="H387" s="1056"/>
      <c r="I387" s="1056"/>
      <c r="J387" s="1056"/>
      <c r="K387" s="1056"/>
      <c r="L387" s="1056"/>
      <c r="M387" s="1056"/>
      <c r="N387" s="1056"/>
      <c r="O387" s="1056"/>
      <c r="P387" s="1056"/>
      <c r="Q387" s="1056"/>
      <c r="R387" s="1056"/>
      <c r="S387" s="1056"/>
      <c r="T387" s="1056"/>
      <c r="U387" s="1056"/>
      <c r="V387" s="1056"/>
      <c r="W387" s="1056"/>
      <c r="X387" s="1056"/>
      <c r="Y387" s="1056"/>
      <c r="Z387" s="1056"/>
      <c r="AA387" s="1056"/>
      <c r="AB387" s="1056"/>
      <c r="AC387" s="1056"/>
    </row>
    <row r="388" spans="1:29" x14ac:dyDescent="0.25">
      <c r="A388" s="1106"/>
      <c r="B388" s="1056"/>
      <c r="C388" s="1056"/>
      <c r="D388" s="1056"/>
      <c r="E388" s="1056"/>
      <c r="F388" s="1056"/>
      <c r="G388" s="1056"/>
      <c r="H388" s="1056"/>
      <c r="I388" s="1056"/>
      <c r="J388" s="1056"/>
      <c r="K388" s="1056"/>
      <c r="L388" s="1056"/>
      <c r="M388" s="1056"/>
      <c r="N388" s="1056"/>
      <c r="O388" s="1056"/>
      <c r="P388" s="1056"/>
      <c r="Q388" s="1056"/>
      <c r="R388" s="1056"/>
      <c r="S388" s="1056"/>
      <c r="T388" s="1056"/>
      <c r="U388" s="1056"/>
      <c r="V388" s="1056"/>
      <c r="W388" s="1056"/>
      <c r="X388" s="1056"/>
      <c r="Y388" s="1056"/>
      <c r="Z388" s="1056"/>
      <c r="AA388" s="1056"/>
      <c r="AB388" s="1056"/>
      <c r="AC388" s="1056"/>
    </row>
    <row r="389" spans="1:29" x14ac:dyDescent="0.25">
      <c r="A389" s="1106"/>
      <c r="B389" s="1056"/>
      <c r="C389" s="1056"/>
      <c r="D389" s="1056"/>
      <c r="E389" s="1056"/>
      <c r="F389" s="1056"/>
      <c r="G389" s="1056"/>
      <c r="H389" s="1056"/>
      <c r="I389" s="1056"/>
      <c r="J389" s="1056"/>
      <c r="K389" s="1056"/>
      <c r="L389" s="1056"/>
      <c r="M389" s="1056"/>
      <c r="N389" s="1056"/>
      <c r="O389" s="1056"/>
      <c r="P389" s="1056"/>
      <c r="Q389" s="1056"/>
      <c r="R389" s="1056"/>
      <c r="S389" s="1056"/>
      <c r="T389" s="1056"/>
      <c r="U389" s="1056"/>
      <c r="V389" s="1056"/>
      <c r="W389" s="1056"/>
      <c r="X389" s="1056"/>
      <c r="Y389" s="1056"/>
      <c r="Z389" s="1056"/>
      <c r="AA389" s="1056"/>
      <c r="AB389" s="1056"/>
      <c r="AC389" s="1056"/>
    </row>
    <row r="390" spans="1:29" x14ac:dyDescent="0.25">
      <c r="A390" s="1106"/>
      <c r="B390" s="1056"/>
      <c r="C390" s="1056"/>
      <c r="D390" s="1056"/>
      <c r="E390" s="1056"/>
      <c r="F390" s="1056"/>
      <c r="G390" s="1056"/>
      <c r="H390" s="1056"/>
      <c r="I390" s="1056"/>
      <c r="J390" s="1056"/>
      <c r="K390" s="1056"/>
      <c r="L390" s="1056"/>
      <c r="M390" s="1056"/>
      <c r="N390" s="1056"/>
      <c r="O390" s="1056"/>
      <c r="P390" s="1056"/>
      <c r="Q390" s="1056"/>
      <c r="R390" s="1056"/>
      <c r="S390" s="1056"/>
      <c r="T390" s="1056"/>
      <c r="U390" s="1056"/>
      <c r="V390" s="1056"/>
      <c r="W390" s="1056"/>
      <c r="X390" s="1056"/>
      <c r="Y390" s="1056"/>
      <c r="Z390" s="1056"/>
      <c r="AA390" s="1056"/>
      <c r="AB390" s="1056"/>
      <c r="AC390" s="1056"/>
    </row>
    <row r="391" spans="1:29" x14ac:dyDescent="0.25">
      <c r="A391" s="1106"/>
      <c r="B391" s="1056"/>
      <c r="C391" s="1056"/>
      <c r="D391" s="1056"/>
      <c r="E391" s="1056"/>
      <c r="F391" s="1056"/>
      <c r="G391" s="1056"/>
      <c r="H391" s="1056"/>
      <c r="I391" s="1056"/>
      <c r="J391" s="1056"/>
      <c r="K391" s="1056"/>
      <c r="L391" s="1056"/>
      <c r="M391" s="1056"/>
      <c r="N391" s="1056"/>
      <c r="O391" s="1056"/>
      <c r="P391" s="1056"/>
      <c r="Q391" s="1056"/>
      <c r="R391" s="1056"/>
      <c r="S391" s="1056"/>
      <c r="T391" s="1056"/>
      <c r="U391" s="1056"/>
      <c r="V391" s="1056"/>
      <c r="W391" s="1056"/>
      <c r="X391" s="1056"/>
      <c r="Y391" s="1056"/>
      <c r="Z391" s="1056"/>
      <c r="AA391" s="1056"/>
      <c r="AB391" s="1056"/>
      <c r="AC391" s="1056"/>
    </row>
    <row r="392" spans="1:29" x14ac:dyDescent="0.25">
      <c r="A392" s="1106"/>
      <c r="B392" s="1056"/>
      <c r="C392" s="1056"/>
      <c r="D392" s="1056"/>
      <c r="E392" s="1056"/>
      <c r="F392" s="1056"/>
      <c r="G392" s="1056"/>
      <c r="H392" s="1056"/>
      <c r="I392" s="1056"/>
      <c r="J392" s="1056"/>
      <c r="K392" s="1056"/>
      <c r="L392" s="1056"/>
      <c r="M392" s="1056"/>
      <c r="N392" s="1056"/>
      <c r="O392" s="1056"/>
      <c r="P392" s="1056"/>
      <c r="Q392" s="1056"/>
      <c r="R392" s="1056"/>
      <c r="S392" s="1056"/>
      <c r="T392" s="1056"/>
      <c r="U392" s="1056"/>
      <c r="V392" s="1056"/>
      <c r="W392" s="1056"/>
      <c r="X392" s="1056"/>
      <c r="Y392" s="1056"/>
      <c r="Z392" s="1056"/>
      <c r="AA392" s="1056"/>
      <c r="AB392" s="1056"/>
      <c r="AC392" s="1056"/>
    </row>
    <row r="393" spans="1:29" x14ac:dyDescent="0.25">
      <c r="A393" s="1106"/>
      <c r="B393" s="1056"/>
      <c r="C393" s="1056"/>
      <c r="D393" s="1056"/>
      <c r="E393" s="1056"/>
      <c r="F393" s="1056"/>
      <c r="G393" s="1056"/>
      <c r="H393" s="1056"/>
      <c r="I393" s="1056"/>
      <c r="J393" s="1056"/>
      <c r="K393" s="1056"/>
      <c r="L393" s="1056"/>
      <c r="M393" s="1056"/>
      <c r="N393" s="1056"/>
      <c r="O393" s="1056"/>
      <c r="P393" s="1056"/>
      <c r="Q393" s="1056"/>
      <c r="R393" s="1056"/>
      <c r="S393" s="1056"/>
      <c r="T393" s="1056"/>
      <c r="U393" s="1056"/>
      <c r="V393" s="1056"/>
      <c r="W393" s="1056"/>
      <c r="X393" s="1056"/>
      <c r="Y393" s="1056"/>
      <c r="Z393" s="1056"/>
      <c r="AA393" s="1056"/>
      <c r="AB393" s="1056"/>
      <c r="AC393" s="1056"/>
    </row>
    <row r="394" spans="1:29" x14ac:dyDescent="0.25">
      <c r="A394" s="1106"/>
      <c r="B394" s="1056"/>
      <c r="C394" s="1056"/>
      <c r="D394" s="1056"/>
      <c r="E394" s="1056"/>
      <c r="F394" s="1056"/>
      <c r="G394" s="1056"/>
      <c r="H394" s="1056"/>
      <c r="I394" s="1056"/>
      <c r="J394" s="1056"/>
      <c r="K394" s="1056"/>
      <c r="L394" s="1056"/>
      <c r="M394" s="1056"/>
      <c r="N394" s="1056"/>
      <c r="O394" s="1056"/>
      <c r="P394" s="1056"/>
      <c r="Q394" s="1056"/>
      <c r="R394" s="1056"/>
      <c r="S394" s="1056"/>
      <c r="T394" s="1056"/>
      <c r="U394" s="1056"/>
      <c r="V394" s="1056"/>
      <c r="W394" s="1056"/>
      <c r="X394" s="1056"/>
      <c r="Y394" s="1056"/>
      <c r="Z394" s="1056"/>
      <c r="AA394" s="1056"/>
      <c r="AB394" s="1056"/>
      <c r="AC394" s="1056"/>
    </row>
    <row r="395" spans="1:29" x14ac:dyDescent="0.25">
      <c r="A395" s="1106"/>
      <c r="B395" s="1056"/>
      <c r="C395" s="1056"/>
      <c r="D395" s="1056"/>
      <c r="E395" s="1056"/>
      <c r="F395" s="1056"/>
      <c r="G395" s="1056"/>
      <c r="H395" s="1056"/>
      <c r="I395" s="1056"/>
      <c r="J395" s="1056"/>
      <c r="K395" s="1056"/>
      <c r="L395" s="1056"/>
      <c r="M395" s="1056"/>
      <c r="N395" s="1056"/>
      <c r="O395" s="1056"/>
      <c r="P395" s="1056"/>
      <c r="Q395" s="1056"/>
      <c r="R395" s="1056"/>
      <c r="S395" s="1056"/>
      <c r="T395" s="1056"/>
      <c r="U395" s="1056"/>
      <c r="V395" s="1056"/>
      <c r="W395" s="1056"/>
      <c r="X395" s="1056"/>
      <c r="Y395" s="1056"/>
      <c r="Z395" s="1056"/>
      <c r="AA395" s="1056"/>
      <c r="AB395" s="1056"/>
      <c r="AC395" s="1056"/>
    </row>
    <row r="396" spans="1:29" x14ac:dyDescent="0.25">
      <c r="A396" s="1106"/>
      <c r="B396" s="1056"/>
      <c r="C396" s="1056"/>
      <c r="D396" s="1056"/>
      <c r="E396" s="1056"/>
      <c r="F396" s="1056"/>
      <c r="G396" s="1056"/>
      <c r="H396" s="1056"/>
      <c r="I396" s="1056"/>
      <c r="J396" s="1056"/>
      <c r="K396" s="1056"/>
      <c r="L396" s="1056"/>
      <c r="M396" s="1056"/>
      <c r="N396" s="1056"/>
      <c r="O396" s="1056"/>
      <c r="P396" s="1056"/>
      <c r="Q396" s="1056"/>
      <c r="R396" s="1056"/>
      <c r="S396" s="1056"/>
      <c r="T396" s="1056"/>
      <c r="U396" s="1056"/>
      <c r="V396" s="1056"/>
      <c r="W396" s="1056"/>
      <c r="X396" s="1056"/>
      <c r="Y396" s="1056"/>
      <c r="Z396" s="1056"/>
      <c r="AA396" s="1056"/>
      <c r="AB396" s="1056"/>
      <c r="AC396" s="1056"/>
    </row>
    <row r="397" spans="1:29" x14ac:dyDescent="0.25">
      <c r="A397" s="1106"/>
      <c r="B397" s="1056"/>
      <c r="C397" s="1056"/>
      <c r="D397" s="1056"/>
      <c r="E397" s="1056"/>
      <c r="F397" s="1056"/>
      <c r="G397" s="1056"/>
      <c r="H397" s="1056"/>
      <c r="I397" s="1056"/>
      <c r="J397" s="1056"/>
      <c r="K397" s="1056"/>
      <c r="L397" s="1056"/>
      <c r="M397" s="1056"/>
      <c r="N397" s="1056"/>
      <c r="O397" s="1056"/>
      <c r="P397" s="1056"/>
      <c r="Q397" s="1056"/>
      <c r="R397" s="1056"/>
      <c r="S397" s="1056"/>
      <c r="T397" s="1056"/>
      <c r="U397" s="1056"/>
      <c r="V397" s="1056"/>
      <c r="W397" s="1056"/>
      <c r="X397" s="1056"/>
      <c r="Y397" s="1056"/>
      <c r="Z397" s="1056"/>
      <c r="AA397" s="1056"/>
      <c r="AB397" s="1056"/>
      <c r="AC397" s="1056"/>
    </row>
    <row r="398" spans="1:29" x14ac:dyDescent="0.25">
      <c r="A398" s="1106"/>
      <c r="B398" s="1056"/>
      <c r="C398" s="1056"/>
      <c r="D398" s="1056"/>
      <c r="E398" s="1056"/>
      <c r="F398" s="1056"/>
      <c r="G398" s="1056"/>
      <c r="H398" s="1056"/>
      <c r="I398" s="1056"/>
      <c r="J398" s="1056"/>
      <c r="K398" s="1056"/>
      <c r="L398" s="1056"/>
      <c r="M398" s="1056"/>
      <c r="N398" s="1056"/>
      <c r="O398" s="1056"/>
      <c r="P398" s="1056"/>
      <c r="Q398" s="1056"/>
      <c r="R398" s="1056"/>
      <c r="S398" s="1056"/>
      <c r="T398" s="1056"/>
      <c r="U398" s="1056"/>
      <c r="V398" s="1056"/>
      <c r="W398" s="1056"/>
      <c r="X398" s="1056"/>
      <c r="Y398" s="1056"/>
      <c r="Z398" s="1056"/>
      <c r="AA398" s="1056"/>
      <c r="AB398" s="1056"/>
      <c r="AC398" s="1056"/>
    </row>
    <row r="399" spans="1:29" x14ac:dyDescent="0.25">
      <c r="A399" s="1106"/>
      <c r="B399" s="1056"/>
      <c r="C399" s="1056"/>
      <c r="D399" s="1056"/>
      <c r="E399" s="1056"/>
      <c r="F399" s="1056"/>
      <c r="G399" s="1056"/>
      <c r="H399" s="1056"/>
      <c r="I399" s="1056"/>
      <c r="J399" s="1056"/>
      <c r="K399" s="1056"/>
      <c r="L399" s="1056"/>
      <c r="M399" s="1056"/>
      <c r="N399" s="1056"/>
      <c r="O399" s="1056"/>
      <c r="P399" s="1056"/>
      <c r="Q399" s="1056"/>
      <c r="R399" s="1056"/>
      <c r="S399" s="1056"/>
      <c r="T399" s="1056"/>
      <c r="U399" s="1056"/>
      <c r="V399" s="1056"/>
      <c r="W399" s="1056"/>
      <c r="X399" s="1056"/>
      <c r="Y399" s="1056"/>
      <c r="Z399" s="1056"/>
      <c r="AA399" s="1056"/>
      <c r="AB399" s="1056"/>
      <c r="AC399" s="1056"/>
    </row>
    <row r="400" spans="1:29" x14ac:dyDescent="0.25">
      <c r="A400" s="1106"/>
      <c r="B400" s="1056"/>
      <c r="C400" s="1056"/>
      <c r="D400" s="1056"/>
      <c r="E400" s="1056"/>
      <c r="F400" s="1056"/>
      <c r="G400" s="1056"/>
      <c r="H400" s="1056"/>
      <c r="I400" s="1056"/>
      <c r="J400" s="1056"/>
      <c r="K400" s="1056"/>
      <c r="L400" s="1056"/>
      <c r="M400" s="1056"/>
      <c r="N400" s="1056"/>
      <c r="O400" s="1056"/>
      <c r="P400" s="1056"/>
      <c r="Q400" s="1056"/>
      <c r="R400" s="1056"/>
      <c r="S400" s="1056"/>
      <c r="T400" s="1056"/>
      <c r="U400" s="1056"/>
      <c r="V400" s="1056"/>
      <c r="W400" s="1056"/>
      <c r="X400" s="1056"/>
      <c r="Y400" s="1056"/>
      <c r="Z400" s="1056"/>
      <c r="AA400" s="1056"/>
      <c r="AB400" s="1056"/>
      <c r="AC400" s="1056"/>
    </row>
    <row r="401" spans="1:29" x14ac:dyDescent="0.25">
      <c r="A401" s="1106"/>
      <c r="B401" s="1056"/>
      <c r="C401" s="1056"/>
      <c r="D401" s="1056"/>
      <c r="E401" s="1056"/>
      <c r="F401" s="1056"/>
      <c r="G401" s="1056"/>
      <c r="H401" s="1056"/>
      <c r="I401" s="1056"/>
      <c r="J401" s="1056"/>
      <c r="K401" s="1056"/>
      <c r="L401" s="1056"/>
      <c r="M401" s="1056"/>
      <c r="N401" s="1056"/>
      <c r="O401" s="1056"/>
      <c r="P401" s="1056"/>
      <c r="Q401" s="1056"/>
      <c r="R401" s="1056"/>
      <c r="S401" s="1056"/>
      <c r="T401" s="1056"/>
      <c r="U401" s="1056"/>
      <c r="V401" s="1056"/>
      <c r="W401" s="1056"/>
      <c r="X401" s="1056"/>
      <c r="Y401" s="1056"/>
      <c r="Z401" s="1056"/>
      <c r="AA401" s="1056"/>
      <c r="AB401" s="1056"/>
      <c r="AC401" s="1056"/>
    </row>
    <row r="402" spans="1:29" x14ac:dyDescent="0.25">
      <c r="A402" s="1106"/>
      <c r="B402" s="1056"/>
      <c r="C402" s="1056"/>
      <c r="D402" s="1056"/>
      <c r="E402" s="1056"/>
      <c r="F402" s="1056"/>
      <c r="G402" s="1056"/>
      <c r="H402" s="1056"/>
      <c r="I402" s="1056"/>
      <c r="J402" s="1056"/>
      <c r="K402" s="1056"/>
      <c r="L402" s="1056"/>
      <c r="M402" s="1056"/>
      <c r="N402" s="1056"/>
      <c r="O402" s="1056"/>
      <c r="P402" s="1056"/>
      <c r="Q402" s="1056"/>
      <c r="R402" s="1056"/>
      <c r="S402" s="1056"/>
      <c r="T402" s="1056"/>
      <c r="U402" s="1056"/>
      <c r="V402" s="1056"/>
      <c r="W402" s="1056"/>
      <c r="X402" s="1056"/>
      <c r="Y402" s="1056"/>
      <c r="Z402" s="1056"/>
      <c r="AA402" s="1056"/>
      <c r="AB402" s="1056"/>
      <c r="AC402" s="1056"/>
    </row>
    <row r="403" spans="1:29" x14ac:dyDescent="0.25">
      <c r="A403" s="1106"/>
      <c r="B403" s="1056"/>
      <c r="C403" s="1056"/>
      <c r="D403" s="1056"/>
      <c r="E403" s="1056"/>
      <c r="F403" s="1056"/>
      <c r="G403" s="1056"/>
      <c r="H403" s="1056"/>
      <c r="I403" s="1056"/>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row>
    <row r="404" spans="1:29" x14ac:dyDescent="0.25">
      <c r="A404" s="1106"/>
      <c r="B404" s="1056"/>
      <c r="C404" s="1056"/>
      <c r="D404" s="1056"/>
      <c r="E404" s="1056"/>
      <c r="F404" s="1056"/>
      <c r="G404" s="1056"/>
      <c r="H404" s="1056"/>
      <c r="I404" s="1056"/>
      <c r="J404" s="1056"/>
      <c r="K404" s="1056"/>
      <c r="L404" s="1056"/>
      <c r="M404" s="1056"/>
      <c r="N404" s="1056"/>
      <c r="O404" s="1056"/>
      <c r="P404" s="1056"/>
      <c r="Q404" s="1056"/>
      <c r="R404" s="1056"/>
      <c r="S404" s="1056"/>
      <c r="T404" s="1056"/>
      <c r="U404" s="1056"/>
      <c r="V404" s="1056"/>
      <c r="W404" s="1056"/>
      <c r="X404" s="1056"/>
      <c r="Y404" s="1056"/>
      <c r="Z404" s="1056"/>
      <c r="AA404" s="1056"/>
      <c r="AB404" s="1056"/>
      <c r="AC404" s="1056"/>
    </row>
    <row r="405" spans="1:29" x14ac:dyDescent="0.25">
      <c r="A405" s="1106"/>
      <c r="B405" s="1056"/>
      <c r="C405" s="1056"/>
      <c r="D405" s="1056"/>
      <c r="E405" s="1056"/>
      <c r="F405" s="1056"/>
      <c r="G405" s="1056"/>
      <c r="H405" s="1056"/>
      <c r="I405" s="1056"/>
      <c r="J405" s="1056"/>
      <c r="K405" s="1056"/>
      <c r="L405" s="1056"/>
      <c r="M405" s="1056"/>
      <c r="N405" s="1056"/>
      <c r="O405" s="1056"/>
      <c r="P405" s="1056"/>
      <c r="Q405" s="1056"/>
      <c r="R405" s="1056"/>
      <c r="S405" s="1056"/>
      <c r="T405" s="1056"/>
      <c r="U405" s="1056"/>
      <c r="V405" s="1056"/>
      <c r="W405" s="1056"/>
      <c r="X405" s="1056"/>
      <c r="Y405" s="1056"/>
      <c r="Z405" s="1056"/>
      <c r="AA405" s="1056"/>
      <c r="AB405" s="1056"/>
      <c r="AC405" s="1056"/>
    </row>
    <row r="406" spans="1:29" x14ac:dyDescent="0.25">
      <c r="A406" s="1106"/>
      <c r="B406" s="1056"/>
      <c r="C406" s="1056"/>
      <c r="D406" s="1056"/>
      <c r="E406" s="1056"/>
      <c r="F406" s="1056"/>
      <c r="G406" s="1056"/>
      <c r="H406" s="1056"/>
      <c r="I406" s="1056"/>
      <c r="J406" s="1056"/>
      <c r="K406" s="1056"/>
      <c r="L406" s="1056"/>
      <c r="M406" s="1056"/>
      <c r="N406" s="1056"/>
      <c r="O406" s="1056"/>
      <c r="P406" s="1056"/>
      <c r="Q406" s="1056"/>
      <c r="R406" s="1056"/>
      <c r="S406" s="1056"/>
      <c r="T406" s="1056"/>
      <c r="U406" s="1056"/>
      <c r="V406" s="1056"/>
      <c r="W406" s="1056"/>
      <c r="X406" s="1056"/>
      <c r="Y406" s="1056"/>
      <c r="Z406" s="1056"/>
      <c r="AA406" s="1056"/>
      <c r="AB406" s="1056"/>
      <c r="AC406" s="1056"/>
    </row>
    <row r="407" spans="1:29" x14ac:dyDescent="0.25">
      <c r="A407" s="1106"/>
      <c r="B407" s="1056"/>
      <c r="C407" s="1056"/>
      <c r="D407" s="1056"/>
      <c r="E407" s="1056"/>
      <c r="F407" s="1056"/>
      <c r="G407" s="1056"/>
      <c r="H407" s="1056"/>
      <c r="I407" s="1056"/>
      <c r="J407" s="1056"/>
      <c r="K407" s="1056"/>
      <c r="L407" s="1056"/>
      <c r="M407" s="1056"/>
      <c r="N407" s="1056"/>
      <c r="O407" s="1056"/>
      <c r="P407" s="1056"/>
      <c r="Q407" s="1056"/>
      <c r="R407" s="1056"/>
      <c r="S407" s="1056"/>
      <c r="T407" s="1056"/>
      <c r="U407" s="1056"/>
      <c r="V407" s="1056"/>
      <c r="W407" s="1056"/>
      <c r="X407" s="1056"/>
      <c r="Y407" s="1056"/>
      <c r="Z407" s="1056"/>
      <c r="AA407" s="1056"/>
      <c r="AB407" s="1056"/>
      <c r="AC407" s="1056"/>
    </row>
    <row r="408" spans="1:29" x14ac:dyDescent="0.25">
      <c r="A408" s="1106"/>
      <c r="B408" s="1056"/>
      <c r="C408" s="1056"/>
      <c r="D408" s="1056"/>
      <c r="E408" s="1056"/>
      <c r="F408" s="1056"/>
      <c r="G408" s="1056"/>
      <c r="H408" s="1056"/>
      <c r="I408" s="1056"/>
      <c r="J408" s="1056"/>
      <c r="K408" s="1056"/>
      <c r="L408" s="1056"/>
      <c r="M408" s="1056"/>
      <c r="N408" s="1056"/>
      <c r="O408" s="1056"/>
      <c r="P408" s="1056"/>
      <c r="Q408" s="1056"/>
      <c r="R408" s="1056"/>
      <c r="S408" s="1056"/>
      <c r="T408" s="1056"/>
      <c r="U408" s="1056"/>
      <c r="V408" s="1056"/>
      <c r="W408" s="1056"/>
      <c r="X408" s="1056"/>
      <c r="Y408" s="1056"/>
      <c r="Z408" s="1056"/>
      <c r="AA408" s="1056"/>
      <c r="AB408" s="1056"/>
      <c r="AC408" s="1056"/>
    </row>
    <row r="409" spans="1:29" x14ac:dyDescent="0.25">
      <c r="A409" s="1106"/>
      <c r="B409" s="1056"/>
      <c r="C409" s="1056"/>
      <c r="D409" s="1056"/>
      <c r="E409" s="1056"/>
      <c r="F409" s="1056"/>
      <c r="G409" s="1056"/>
      <c r="H409" s="1056"/>
      <c r="I409" s="1056"/>
      <c r="J409" s="1056"/>
      <c r="K409" s="1056"/>
      <c r="L409" s="1056"/>
      <c r="M409" s="1056"/>
      <c r="N409" s="1056"/>
      <c r="O409" s="1056"/>
      <c r="P409" s="1056"/>
      <c r="Q409" s="1056"/>
      <c r="R409" s="1056"/>
      <c r="S409" s="1056"/>
      <c r="T409" s="1056"/>
      <c r="U409" s="1056"/>
      <c r="V409" s="1056"/>
      <c r="W409" s="1056"/>
      <c r="X409" s="1056"/>
      <c r="Y409" s="1056"/>
      <c r="Z409" s="1056"/>
      <c r="AA409" s="1056"/>
      <c r="AB409" s="1056"/>
      <c r="AC409" s="1056"/>
    </row>
    <row r="410" spans="1:29" x14ac:dyDescent="0.25">
      <c r="A410" s="1106"/>
      <c r="B410" s="1056"/>
      <c r="C410" s="1056"/>
      <c r="D410" s="1056"/>
      <c r="E410" s="1056"/>
      <c r="F410" s="1056"/>
      <c r="G410" s="1056"/>
      <c r="H410" s="1056"/>
      <c r="I410" s="1056"/>
      <c r="J410" s="1056"/>
      <c r="K410" s="1056"/>
      <c r="L410" s="1056"/>
      <c r="M410" s="1056"/>
      <c r="N410" s="1056"/>
      <c r="O410" s="1056"/>
      <c r="P410" s="1056"/>
      <c r="Q410" s="1056"/>
      <c r="R410" s="1056"/>
      <c r="S410" s="1056"/>
      <c r="T410" s="1056"/>
      <c r="U410" s="1056"/>
      <c r="V410" s="1056"/>
      <c r="W410" s="1056"/>
      <c r="X410" s="1056"/>
      <c r="Y410" s="1056"/>
      <c r="Z410" s="1056"/>
      <c r="AA410" s="1056"/>
      <c r="AB410" s="1056"/>
      <c r="AC410" s="1056"/>
    </row>
    <row r="411" spans="1:29" x14ac:dyDescent="0.25">
      <c r="A411" s="1106"/>
      <c r="B411" s="1056"/>
      <c r="C411" s="1056"/>
      <c r="D411" s="1056"/>
      <c r="E411" s="1056"/>
      <c r="F411" s="1056"/>
      <c r="G411" s="1056"/>
      <c r="H411" s="1056"/>
      <c r="I411" s="1056"/>
      <c r="J411" s="1056"/>
      <c r="K411" s="1056"/>
      <c r="L411" s="1056"/>
      <c r="M411" s="1056"/>
      <c r="N411" s="1056"/>
      <c r="O411" s="1056"/>
      <c r="P411" s="1056"/>
      <c r="Q411" s="1056"/>
      <c r="R411" s="1056"/>
      <c r="S411" s="1056"/>
      <c r="T411" s="1056"/>
      <c r="U411" s="1056"/>
      <c r="V411" s="1056"/>
      <c r="W411" s="1056"/>
      <c r="X411" s="1056"/>
      <c r="Y411" s="1056"/>
      <c r="Z411" s="1056"/>
      <c r="AA411" s="1056"/>
      <c r="AB411" s="1056"/>
      <c r="AC411" s="1056"/>
    </row>
    <row r="412" spans="1:29" x14ac:dyDescent="0.25">
      <c r="A412" s="1106"/>
      <c r="B412" s="1056"/>
      <c r="C412" s="1056"/>
      <c r="D412" s="1056"/>
      <c r="E412" s="1056"/>
      <c r="F412" s="1056"/>
      <c r="G412" s="1056"/>
      <c r="H412" s="1056"/>
      <c r="I412" s="1056"/>
      <c r="J412" s="1056"/>
      <c r="K412" s="1056"/>
      <c r="L412" s="1056"/>
      <c r="M412" s="1056"/>
      <c r="N412" s="1056"/>
      <c r="O412" s="1056"/>
      <c r="P412" s="1056"/>
      <c r="Q412" s="1056"/>
      <c r="R412" s="1056"/>
      <c r="S412" s="1056"/>
      <c r="T412" s="1056"/>
      <c r="U412" s="1056"/>
      <c r="V412" s="1056"/>
      <c r="W412" s="1056"/>
      <c r="X412" s="1056"/>
      <c r="Y412" s="1056"/>
      <c r="Z412" s="1056"/>
      <c r="AA412" s="1056"/>
      <c r="AB412" s="1056"/>
      <c r="AC412" s="1056"/>
    </row>
    <row r="413" spans="1:29" x14ac:dyDescent="0.25">
      <c r="A413" s="1106"/>
      <c r="B413" s="1056"/>
      <c r="C413" s="1056"/>
      <c r="D413" s="1056"/>
      <c r="E413" s="1056"/>
      <c r="F413" s="1056"/>
      <c r="G413" s="1056"/>
      <c r="H413" s="1056"/>
      <c r="I413" s="1056"/>
      <c r="J413" s="1056"/>
      <c r="K413" s="1056"/>
      <c r="L413" s="1056"/>
      <c r="M413" s="1056"/>
      <c r="N413" s="1056"/>
      <c r="O413" s="1056"/>
      <c r="P413" s="1056"/>
      <c r="Q413" s="1056"/>
      <c r="R413" s="1056"/>
      <c r="S413" s="1056"/>
      <c r="T413" s="1056"/>
      <c r="U413" s="1056"/>
      <c r="V413" s="1056"/>
      <c r="W413" s="1056"/>
      <c r="X413" s="1056"/>
      <c r="Y413" s="1056"/>
      <c r="Z413" s="1056"/>
      <c r="AA413" s="1056"/>
      <c r="AB413" s="1056"/>
      <c r="AC413" s="1056"/>
    </row>
    <row r="414" spans="1:29" x14ac:dyDescent="0.25">
      <c r="A414" s="1106"/>
      <c r="B414" s="1056"/>
      <c r="C414" s="1056"/>
      <c r="D414" s="1056"/>
      <c r="E414" s="1056"/>
      <c r="F414" s="1056"/>
      <c r="G414" s="1056"/>
      <c r="H414" s="1056"/>
      <c r="I414" s="1056"/>
      <c r="J414" s="1056"/>
      <c r="K414" s="1056"/>
      <c r="L414" s="1056"/>
      <c r="M414" s="1056"/>
      <c r="N414" s="1056"/>
      <c r="O414" s="1056"/>
      <c r="P414" s="1056"/>
      <c r="Q414" s="1056"/>
      <c r="R414" s="1056"/>
      <c r="S414" s="1056"/>
      <c r="T414" s="1056"/>
      <c r="U414" s="1056"/>
      <c r="V414" s="1056"/>
      <c r="W414" s="1056"/>
      <c r="X414" s="1056"/>
      <c r="Y414" s="1056"/>
      <c r="Z414" s="1056"/>
      <c r="AA414" s="1056"/>
      <c r="AB414" s="1056"/>
      <c r="AC414" s="1056"/>
    </row>
    <row r="415" spans="1:29" x14ac:dyDescent="0.25">
      <c r="A415" s="1106"/>
      <c r="B415" s="1056"/>
      <c r="C415" s="1056"/>
      <c r="D415" s="1056"/>
      <c r="E415" s="1056"/>
      <c r="F415" s="1056"/>
      <c r="G415" s="1056"/>
      <c r="H415" s="1056"/>
      <c r="I415" s="1056"/>
      <c r="J415" s="1056"/>
      <c r="K415" s="1056"/>
      <c r="L415" s="1056"/>
      <c r="M415" s="1056"/>
      <c r="N415" s="1056"/>
      <c r="O415" s="1056"/>
      <c r="P415" s="1056"/>
      <c r="Q415" s="1056"/>
      <c r="R415" s="1056"/>
      <c r="S415" s="1056"/>
      <c r="T415" s="1056"/>
      <c r="U415" s="1056"/>
      <c r="V415" s="1056"/>
      <c r="W415" s="1056"/>
      <c r="X415" s="1056"/>
      <c r="Y415" s="1056"/>
      <c r="Z415" s="1056"/>
      <c r="AA415" s="1056"/>
      <c r="AB415" s="1056"/>
      <c r="AC415" s="1056"/>
    </row>
    <row r="416" spans="1:29" x14ac:dyDescent="0.25">
      <c r="A416" s="1106"/>
      <c r="B416" s="1056"/>
      <c r="C416" s="1056"/>
      <c r="D416" s="1056"/>
      <c r="E416" s="1056"/>
      <c r="F416" s="1056"/>
      <c r="G416" s="1056"/>
      <c r="H416" s="1056"/>
      <c r="I416" s="1056"/>
      <c r="J416" s="1056"/>
      <c r="K416" s="1056"/>
      <c r="L416" s="1056"/>
      <c r="M416" s="1056"/>
      <c r="N416" s="1056"/>
      <c r="O416" s="1056"/>
      <c r="P416" s="1056"/>
      <c r="Q416" s="1056"/>
      <c r="R416" s="1056"/>
      <c r="S416" s="1056"/>
      <c r="T416" s="1056"/>
      <c r="U416" s="1056"/>
      <c r="V416" s="1056"/>
      <c r="W416" s="1056"/>
      <c r="X416" s="1056"/>
      <c r="Y416" s="1056"/>
      <c r="Z416" s="1056"/>
      <c r="AA416" s="1056"/>
      <c r="AB416" s="1056"/>
      <c r="AC416" s="1056"/>
    </row>
    <row r="417" spans="1:29" x14ac:dyDescent="0.25">
      <c r="A417" s="1106"/>
      <c r="B417" s="1056"/>
      <c r="C417" s="1056"/>
      <c r="D417" s="1056"/>
      <c r="E417" s="1056"/>
      <c r="F417" s="1056"/>
      <c r="G417" s="1056"/>
      <c r="H417" s="1056"/>
      <c r="I417" s="1056"/>
      <c r="J417" s="1056"/>
      <c r="K417" s="1056"/>
      <c r="L417" s="1056"/>
      <c r="M417" s="1056"/>
      <c r="N417" s="1056"/>
      <c r="O417" s="1056"/>
      <c r="P417" s="1056"/>
      <c r="Q417" s="1056"/>
      <c r="R417" s="1056"/>
      <c r="S417" s="1056"/>
      <c r="T417" s="1056"/>
      <c r="U417" s="1056"/>
      <c r="V417" s="1056"/>
      <c r="W417" s="1056"/>
      <c r="X417" s="1056"/>
      <c r="Y417" s="1056"/>
      <c r="Z417" s="1056"/>
      <c r="AA417" s="1056"/>
      <c r="AB417" s="1056"/>
      <c r="AC417" s="1056"/>
    </row>
    <row r="418" spans="1:29" x14ac:dyDescent="0.25">
      <c r="A418" s="1106"/>
      <c r="B418" s="1056"/>
      <c r="C418" s="1056"/>
      <c r="D418" s="1056"/>
      <c r="E418" s="1056"/>
      <c r="F418" s="1056"/>
      <c r="G418" s="1056"/>
      <c r="H418" s="1056"/>
      <c r="I418" s="1056"/>
      <c r="J418" s="1056"/>
      <c r="K418" s="1056"/>
      <c r="L418" s="1056"/>
      <c r="M418" s="1056"/>
      <c r="N418" s="1056"/>
      <c r="O418" s="1056"/>
      <c r="P418" s="1056"/>
      <c r="Q418" s="1056"/>
      <c r="R418" s="1056"/>
      <c r="S418" s="1056"/>
      <c r="T418" s="1056"/>
      <c r="U418" s="1056"/>
      <c r="V418" s="1056"/>
      <c r="W418" s="1056"/>
      <c r="X418" s="1056"/>
      <c r="Y418" s="1056"/>
      <c r="Z418" s="1056"/>
      <c r="AA418" s="1056"/>
      <c r="AB418" s="1056"/>
      <c r="AC418" s="1056"/>
    </row>
    <row r="419" spans="1:29" x14ac:dyDescent="0.25">
      <c r="A419" s="1106"/>
      <c r="B419" s="1056"/>
      <c r="C419" s="1056"/>
      <c r="D419" s="1056"/>
      <c r="E419" s="1056"/>
      <c r="F419" s="1056"/>
      <c r="G419" s="1056"/>
      <c r="H419" s="1056"/>
      <c r="I419" s="1056"/>
      <c r="J419" s="1056"/>
      <c r="K419" s="1056"/>
      <c r="L419" s="1056"/>
      <c r="M419" s="1056"/>
      <c r="N419" s="1056"/>
      <c r="O419" s="1056"/>
      <c r="P419" s="1056"/>
      <c r="Q419" s="1056"/>
      <c r="R419" s="1056"/>
      <c r="S419" s="1056"/>
      <c r="T419" s="1056"/>
      <c r="U419" s="1056"/>
      <c r="V419" s="1056"/>
      <c r="W419" s="1056"/>
      <c r="X419" s="1056"/>
      <c r="Y419" s="1056"/>
      <c r="Z419" s="1056"/>
      <c r="AA419" s="1056"/>
      <c r="AB419" s="1056"/>
      <c r="AC419" s="1056"/>
    </row>
    <row r="420" spans="1:29" x14ac:dyDescent="0.25">
      <c r="A420" s="1106"/>
      <c r="B420" s="1056"/>
      <c r="C420" s="1056"/>
      <c r="D420" s="1056"/>
      <c r="E420" s="1056"/>
      <c r="F420" s="1056"/>
      <c r="G420" s="1056"/>
      <c r="H420" s="1056"/>
      <c r="I420" s="1056"/>
      <c r="J420" s="1056"/>
      <c r="K420" s="1056"/>
      <c r="L420" s="1056"/>
      <c r="M420" s="1056"/>
      <c r="N420" s="1056"/>
      <c r="O420" s="1056"/>
      <c r="P420" s="1056"/>
      <c r="Q420" s="1056"/>
      <c r="R420" s="1056"/>
      <c r="S420" s="1056"/>
      <c r="T420" s="1056"/>
      <c r="U420" s="1056"/>
      <c r="V420" s="1056"/>
      <c r="W420" s="1056"/>
      <c r="X420" s="1056"/>
      <c r="Y420" s="1056"/>
      <c r="Z420" s="1056"/>
      <c r="AA420" s="1056"/>
      <c r="AB420" s="1056"/>
      <c r="AC420" s="1056"/>
    </row>
    <row r="421" spans="1:29" x14ac:dyDescent="0.25">
      <c r="A421" s="1106"/>
      <c r="B421" s="1056"/>
      <c r="C421" s="1056"/>
      <c r="D421" s="1056"/>
      <c r="E421" s="1056"/>
      <c r="F421" s="1056"/>
      <c r="G421" s="1056"/>
      <c r="H421" s="1056"/>
      <c r="I421" s="1056"/>
      <c r="J421" s="1056"/>
      <c r="K421" s="1056"/>
      <c r="L421" s="1056"/>
      <c r="M421" s="1056"/>
      <c r="N421" s="1056"/>
      <c r="O421" s="1056"/>
      <c r="P421" s="1056"/>
      <c r="Q421" s="1056"/>
      <c r="R421" s="1056"/>
      <c r="S421" s="1056"/>
      <c r="T421" s="1056"/>
      <c r="U421" s="1056"/>
      <c r="V421" s="1056"/>
      <c r="W421" s="1056"/>
      <c r="X421" s="1056"/>
      <c r="Y421" s="1056"/>
      <c r="Z421" s="1056"/>
      <c r="AA421" s="1056"/>
      <c r="AB421" s="1056"/>
      <c r="AC421" s="1056"/>
    </row>
    <row r="422" spans="1:29" x14ac:dyDescent="0.25">
      <c r="A422" s="1106"/>
      <c r="B422" s="1056"/>
      <c r="C422" s="1056"/>
      <c r="D422" s="1056"/>
      <c r="E422" s="1056"/>
      <c r="F422" s="1056"/>
      <c r="G422" s="1056"/>
      <c r="H422" s="1056"/>
      <c r="I422" s="1056"/>
      <c r="J422" s="1056"/>
      <c r="K422" s="1056"/>
      <c r="L422" s="1056"/>
      <c r="M422" s="1056"/>
      <c r="N422" s="1056"/>
      <c r="O422" s="1056"/>
      <c r="P422" s="1056"/>
      <c r="Q422" s="1056"/>
      <c r="R422" s="1056"/>
      <c r="S422" s="1056"/>
      <c r="T422" s="1056"/>
      <c r="U422" s="1056"/>
      <c r="V422" s="1056"/>
      <c r="W422" s="1056"/>
      <c r="X422" s="1056"/>
      <c r="Y422" s="1056"/>
      <c r="Z422" s="1056"/>
      <c r="AA422" s="1056"/>
      <c r="AB422" s="1056"/>
      <c r="AC422" s="1056"/>
    </row>
    <row r="423" spans="1:29" x14ac:dyDescent="0.25">
      <c r="A423" s="1106"/>
      <c r="B423" s="1056"/>
      <c r="C423" s="1056"/>
      <c r="D423" s="1056"/>
      <c r="E423" s="1056"/>
      <c r="F423" s="1056"/>
      <c r="G423" s="1056"/>
      <c r="H423" s="1056"/>
      <c r="I423" s="1056"/>
      <c r="J423" s="1056"/>
      <c r="K423" s="1056"/>
      <c r="L423" s="1056"/>
      <c r="M423" s="1056"/>
      <c r="N423" s="1056"/>
      <c r="O423" s="1056"/>
      <c r="P423" s="1056"/>
      <c r="Q423" s="1056"/>
      <c r="R423" s="1056"/>
      <c r="S423" s="1056"/>
      <c r="T423" s="1056"/>
      <c r="U423" s="1056"/>
      <c r="V423" s="1056"/>
      <c r="W423" s="1056"/>
      <c r="X423" s="1056"/>
      <c r="Y423" s="1056"/>
      <c r="Z423" s="1056"/>
      <c r="AA423" s="1056"/>
      <c r="AB423" s="1056"/>
      <c r="AC423" s="1056"/>
    </row>
    <row r="424" spans="1:29" x14ac:dyDescent="0.25">
      <c r="A424" s="1106"/>
      <c r="B424" s="1056"/>
      <c r="C424" s="1056"/>
      <c r="D424" s="1056"/>
      <c r="E424" s="1056"/>
      <c r="F424" s="1056"/>
      <c r="G424" s="1056"/>
      <c r="H424" s="1056"/>
      <c r="I424" s="1056"/>
      <c r="J424" s="1056"/>
      <c r="K424" s="1056"/>
      <c r="L424" s="1056"/>
      <c r="M424" s="1056"/>
      <c r="N424" s="1056"/>
      <c r="O424" s="1056"/>
      <c r="P424" s="1056"/>
      <c r="Q424" s="1056"/>
      <c r="R424" s="1056"/>
      <c r="S424" s="1056"/>
      <c r="T424" s="1056"/>
      <c r="U424" s="1056"/>
      <c r="V424" s="1056"/>
      <c r="W424" s="1056"/>
      <c r="X424" s="1056"/>
      <c r="Y424" s="1056"/>
      <c r="Z424" s="1056"/>
      <c r="AA424" s="1056"/>
      <c r="AB424" s="1056"/>
      <c r="AC424" s="1056"/>
    </row>
    <row r="425" spans="1:29" x14ac:dyDescent="0.25">
      <c r="A425" s="1106"/>
      <c r="B425" s="1056"/>
      <c r="C425" s="1056"/>
      <c r="D425" s="1056"/>
      <c r="E425" s="1056"/>
      <c r="F425" s="1056"/>
      <c r="G425" s="1056"/>
      <c r="H425" s="1056"/>
      <c r="I425" s="1056"/>
      <c r="J425" s="1056"/>
      <c r="K425" s="1056"/>
      <c r="L425" s="1056"/>
      <c r="M425" s="1056"/>
      <c r="N425" s="1056"/>
      <c r="O425" s="1056"/>
      <c r="P425" s="1056"/>
      <c r="Q425" s="1056"/>
      <c r="R425" s="1056"/>
      <c r="S425" s="1056"/>
      <c r="T425" s="1056"/>
      <c r="U425" s="1056"/>
      <c r="V425" s="1056"/>
      <c r="W425" s="1056"/>
      <c r="X425" s="1056"/>
      <c r="Y425" s="1056"/>
      <c r="Z425" s="1056"/>
      <c r="AA425" s="1056"/>
      <c r="AB425" s="1056"/>
      <c r="AC425" s="1056"/>
    </row>
    <row r="426" spans="1:29" x14ac:dyDescent="0.25">
      <c r="A426" s="1106"/>
      <c r="B426" s="1056"/>
      <c r="C426" s="1056"/>
      <c r="D426" s="1056"/>
      <c r="E426" s="1056"/>
      <c r="F426" s="1056"/>
      <c r="G426" s="1056"/>
      <c r="H426" s="1056"/>
      <c r="I426" s="1056"/>
      <c r="J426" s="1056"/>
      <c r="K426" s="1056"/>
      <c r="L426" s="1056"/>
      <c r="M426" s="1056"/>
      <c r="N426" s="1056"/>
      <c r="O426" s="1056"/>
      <c r="P426" s="1056"/>
      <c r="Q426" s="1056"/>
      <c r="R426" s="1056"/>
      <c r="S426" s="1056"/>
      <c r="T426" s="1056"/>
      <c r="U426" s="1056"/>
      <c r="V426" s="1056"/>
      <c r="W426" s="1056"/>
      <c r="X426" s="1056"/>
      <c r="Y426" s="1056"/>
      <c r="Z426" s="1056"/>
      <c r="AA426" s="1056"/>
      <c r="AB426" s="1056"/>
      <c r="AC426" s="1056"/>
    </row>
    <row r="427" spans="1:29" x14ac:dyDescent="0.25">
      <c r="A427" s="1106"/>
      <c r="B427" s="1056"/>
      <c r="C427" s="1056"/>
      <c r="D427" s="1056"/>
      <c r="E427" s="1056"/>
      <c r="F427" s="1056"/>
      <c r="G427" s="1056"/>
      <c r="H427" s="1056"/>
      <c r="I427" s="1056"/>
      <c r="J427" s="1056"/>
      <c r="K427" s="1056"/>
      <c r="L427" s="1056"/>
      <c r="M427" s="1056"/>
      <c r="N427" s="1056"/>
      <c r="O427" s="1056"/>
      <c r="P427" s="1056"/>
      <c r="Q427" s="1056"/>
      <c r="R427" s="1056"/>
      <c r="S427" s="1056"/>
      <c r="T427" s="1056"/>
      <c r="U427" s="1056"/>
      <c r="V427" s="1056"/>
      <c r="W427" s="1056"/>
      <c r="X427" s="1056"/>
      <c r="Y427" s="1056"/>
      <c r="Z427" s="1056"/>
      <c r="AA427" s="1056"/>
      <c r="AB427" s="1056"/>
      <c r="AC427" s="1056"/>
    </row>
    <row r="428" spans="1:29" x14ac:dyDescent="0.25">
      <c r="A428" s="1106"/>
      <c r="B428" s="1056"/>
      <c r="C428" s="1056"/>
      <c r="D428" s="1056"/>
      <c r="E428" s="1056"/>
      <c r="F428" s="1056"/>
      <c r="G428" s="1056"/>
      <c r="H428" s="1056"/>
      <c r="I428" s="1056"/>
      <c r="J428" s="1056"/>
      <c r="K428" s="1056"/>
      <c r="L428" s="1056"/>
      <c r="M428" s="1056"/>
      <c r="N428" s="1056"/>
      <c r="O428" s="1056"/>
      <c r="P428" s="1056"/>
      <c r="Q428" s="1056"/>
      <c r="R428" s="1056"/>
      <c r="S428" s="1056"/>
      <c r="T428" s="1056"/>
      <c r="U428" s="1056"/>
      <c r="V428" s="1056"/>
      <c r="W428" s="1056"/>
      <c r="X428" s="1056"/>
      <c r="Y428" s="1056"/>
      <c r="Z428" s="1056"/>
      <c r="AA428" s="1056"/>
      <c r="AB428" s="1056"/>
      <c r="AC428" s="1056"/>
    </row>
    <row r="429" spans="1:29" x14ac:dyDescent="0.25">
      <c r="A429" s="1106"/>
      <c r="B429" s="1056"/>
      <c r="C429" s="1056"/>
      <c r="D429" s="1056"/>
      <c r="E429" s="1056"/>
      <c r="F429" s="1056"/>
      <c r="G429" s="1056"/>
      <c r="H429" s="1056"/>
      <c r="I429" s="1056"/>
      <c r="J429" s="1056"/>
      <c r="K429" s="1056"/>
      <c r="L429" s="1056"/>
      <c r="M429" s="1056"/>
      <c r="N429" s="1056"/>
      <c r="O429" s="1056"/>
      <c r="P429" s="1056"/>
      <c r="Q429" s="1056"/>
      <c r="R429" s="1056"/>
      <c r="S429" s="1056"/>
      <c r="T429" s="1056"/>
      <c r="U429" s="1056"/>
      <c r="V429" s="1056"/>
      <c r="W429" s="1056"/>
      <c r="X429" s="1056"/>
      <c r="Y429" s="1056"/>
      <c r="Z429" s="1056"/>
      <c r="AA429" s="1056"/>
      <c r="AB429" s="1056"/>
      <c r="AC429" s="1056"/>
    </row>
    <row r="430" spans="1:29" x14ac:dyDescent="0.25">
      <c r="A430" s="1106"/>
      <c r="B430" s="1056"/>
      <c r="C430" s="1056"/>
      <c r="D430" s="1056"/>
      <c r="E430" s="1056"/>
      <c r="F430" s="1056"/>
      <c r="G430" s="1056"/>
      <c r="H430" s="1056"/>
      <c r="I430" s="1056"/>
      <c r="J430" s="1056"/>
      <c r="K430" s="1056"/>
      <c r="L430" s="1056"/>
      <c r="M430" s="1056"/>
      <c r="N430" s="1056"/>
      <c r="O430" s="1056"/>
      <c r="P430" s="1056"/>
      <c r="Q430" s="1056"/>
      <c r="R430" s="1056"/>
      <c r="S430" s="1056"/>
      <c r="T430" s="1056"/>
      <c r="U430" s="1056"/>
      <c r="V430" s="1056"/>
      <c r="W430" s="1056"/>
      <c r="X430" s="1056"/>
      <c r="Y430" s="1056"/>
      <c r="Z430" s="1056"/>
      <c r="AA430" s="1056"/>
      <c r="AB430" s="1056"/>
      <c r="AC430" s="1056"/>
    </row>
    <row r="431" spans="1:29" x14ac:dyDescent="0.25">
      <c r="A431" s="1106"/>
      <c r="B431" s="1056"/>
      <c r="C431" s="1056"/>
      <c r="D431" s="1056"/>
      <c r="E431" s="1056"/>
      <c r="F431" s="1056"/>
      <c r="G431" s="1056"/>
      <c r="H431" s="1056"/>
      <c r="I431" s="1056"/>
      <c r="J431" s="1056"/>
      <c r="K431" s="1056"/>
      <c r="L431" s="1056"/>
      <c r="M431" s="1056"/>
      <c r="N431" s="1056"/>
      <c r="O431" s="1056"/>
      <c r="P431" s="1056"/>
      <c r="Q431" s="1056"/>
      <c r="R431" s="1056"/>
      <c r="S431" s="1056"/>
      <c r="T431" s="1056"/>
      <c r="U431" s="1056"/>
      <c r="V431" s="1056"/>
      <c r="W431" s="1056"/>
      <c r="X431" s="1056"/>
      <c r="Y431" s="1056"/>
      <c r="Z431" s="1056"/>
      <c r="AA431" s="1056"/>
      <c r="AB431" s="1056"/>
      <c r="AC431" s="1056"/>
    </row>
    <row r="432" spans="1:29" x14ac:dyDescent="0.25">
      <c r="A432" s="1106"/>
      <c r="B432" s="1056"/>
      <c r="C432" s="1056"/>
      <c r="D432" s="1056"/>
      <c r="E432" s="1056"/>
      <c r="F432" s="1056"/>
      <c r="G432" s="1056"/>
      <c r="H432" s="1056"/>
      <c r="I432" s="1056"/>
      <c r="J432" s="1056"/>
      <c r="K432" s="1056"/>
      <c r="L432" s="1056"/>
      <c r="M432" s="1056"/>
      <c r="N432" s="1056"/>
      <c r="O432" s="1056"/>
      <c r="P432" s="1056"/>
      <c r="Q432" s="1056"/>
      <c r="R432" s="1056"/>
      <c r="S432" s="1056"/>
      <c r="T432" s="1056"/>
      <c r="U432" s="1056"/>
      <c r="V432" s="1056"/>
      <c r="W432" s="1056"/>
      <c r="X432" s="1056"/>
      <c r="Y432" s="1056"/>
      <c r="Z432" s="1056"/>
      <c r="AA432" s="1056"/>
      <c r="AB432" s="1056"/>
      <c r="AC432" s="1056"/>
    </row>
    <row r="433" spans="1:29" x14ac:dyDescent="0.25">
      <c r="A433" s="1106"/>
      <c r="B433" s="1056"/>
      <c r="C433" s="1056"/>
      <c r="D433" s="1056"/>
      <c r="E433" s="1056"/>
      <c r="F433" s="1056"/>
      <c r="G433" s="1056"/>
      <c r="H433" s="1056"/>
      <c r="I433" s="1056"/>
      <c r="J433" s="1056"/>
      <c r="K433" s="1056"/>
      <c r="L433" s="1056"/>
      <c r="M433" s="1056"/>
      <c r="N433" s="1056"/>
      <c r="O433" s="1056"/>
      <c r="P433" s="1056"/>
      <c r="Q433" s="1056"/>
      <c r="R433" s="1056"/>
      <c r="S433" s="1056"/>
      <c r="T433" s="1056"/>
      <c r="U433" s="1056"/>
      <c r="V433" s="1056"/>
      <c r="W433" s="1056"/>
      <c r="X433" s="1056"/>
      <c r="Y433" s="1056"/>
      <c r="Z433" s="1056"/>
      <c r="AA433" s="1056"/>
      <c r="AB433" s="1056"/>
      <c r="AC433" s="1056"/>
    </row>
    <row r="434" spans="1:29" x14ac:dyDescent="0.25">
      <c r="A434" s="1106"/>
      <c r="B434" s="1056"/>
      <c r="C434" s="1056"/>
      <c r="D434" s="1056"/>
      <c r="E434" s="1056"/>
      <c r="F434" s="1056"/>
      <c r="G434" s="1056"/>
      <c r="H434" s="1056"/>
      <c r="I434" s="1056"/>
      <c r="J434" s="1056"/>
      <c r="K434" s="1056"/>
      <c r="L434" s="1056"/>
      <c r="M434" s="1056"/>
      <c r="N434" s="1056"/>
      <c r="O434" s="1056"/>
      <c r="P434" s="1056"/>
      <c r="Q434" s="1056"/>
      <c r="R434" s="1056"/>
      <c r="S434" s="1056"/>
      <c r="T434" s="1056"/>
      <c r="U434" s="1056"/>
      <c r="V434" s="1056"/>
      <c r="W434" s="1056"/>
      <c r="X434" s="1056"/>
      <c r="Y434" s="1056"/>
      <c r="Z434" s="1056"/>
      <c r="AA434" s="1056"/>
      <c r="AB434" s="1056"/>
      <c r="AC434" s="1056"/>
    </row>
    <row r="435" spans="1:29" x14ac:dyDescent="0.25">
      <c r="A435" s="1106"/>
      <c r="B435" s="1056"/>
      <c r="C435" s="1056"/>
      <c r="D435" s="1056"/>
      <c r="E435" s="1056"/>
      <c r="F435" s="1056"/>
      <c r="G435" s="1056"/>
      <c r="H435" s="1056"/>
      <c r="I435" s="1056"/>
      <c r="J435" s="1056"/>
      <c r="K435" s="1056"/>
      <c r="L435" s="1056"/>
      <c r="M435" s="1056"/>
      <c r="N435" s="1056"/>
      <c r="O435" s="1056"/>
      <c r="P435" s="1056"/>
      <c r="Q435" s="1056"/>
      <c r="R435" s="1056"/>
      <c r="S435" s="1056"/>
      <c r="T435" s="1056"/>
      <c r="U435" s="1056"/>
      <c r="V435" s="1056"/>
      <c r="W435" s="1056"/>
      <c r="X435" s="1056"/>
      <c r="Y435" s="1056"/>
      <c r="Z435" s="1056"/>
      <c r="AA435" s="1056"/>
      <c r="AB435" s="1056"/>
      <c r="AC435" s="1056"/>
    </row>
    <row r="436" spans="1:29" x14ac:dyDescent="0.25">
      <c r="A436" s="1106"/>
      <c r="B436" s="1056"/>
      <c r="C436" s="1056"/>
      <c r="D436" s="1056"/>
      <c r="E436" s="1056"/>
      <c r="F436" s="1056"/>
      <c r="G436" s="1056"/>
      <c r="H436" s="1056"/>
      <c r="I436" s="1056"/>
      <c r="J436" s="1056"/>
      <c r="K436" s="1056"/>
      <c r="L436" s="1056"/>
      <c r="M436" s="1056"/>
      <c r="N436" s="1056"/>
      <c r="O436" s="1056"/>
      <c r="P436" s="1056"/>
      <c r="Q436" s="1056"/>
      <c r="R436" s="1056"/>
      <c r="S436" s="1056"/>
      <c r="T436" s="1056"/>
      <c r="U436" s="1056"/>
      <c r="V436" s="1056"/>
      <c r="W436" s="1056"/>
      <c r="X436" s="1056"/>
      <c r="Y436" s="1056"/>
      <c r="Z436" s="1056"/>
      <c r="AA436" s="1056"/>
      <c r="AB436" s="1056"/>
      <c r="AC436" s="1056"/>
    </row>
    <row r="437" spans="1:29" x14ac:dyDescent="0.25">
      <c r="A437" s="1106"/>
      <c r="B437" s="1056"/>
      <c r="C437" s="1056"/>
      <c r="D437" s="1056"/>
      <c r="E437" s="1056"/>
      <c r="F437" s="1056"/>
      <c r="G437" s="1056"/>
      <c r="H437" s="1056"/>
      <c r="I437" s="1056"/>
      <c r="J437" s="1056"/>
      <c r="K437" s="1056"/>
      <c r="L437" s="1056"/>
      <c r="M437" s="1056"/>
      <c r="N437" s="1056"/>
      <c r="O437" s="1056"/>
      <c r="P437" s="1056"/>
      <c r="Q437" s="1056"/>
      <c r="R437" s="1056"/>
      <c r="S437" s="1056"/>
      <c r="T437" s="1056"/>
      <c r="U437" s="1056"/>
      <c r="V437" s="1056"/>
      <c r="W437" s="1056"/>
      <c r="X437" s="1056"/>
      <c r="Y437" s="1056"/>
      <c r="Z437" s="1056"/>
      <c r="AA437" s="1056"/>
      <c r="AB437" s="1056"/>
      <c r="AC437" s="1056"/>
    </row>
    <row r="438" spans="1:29" x14ac:dyDescent="0.25">
      <c r="A438" s="1106"/>
      <c r="B438" s="1056"/>
      <c r="C438" s="1056"/>
      <c r="D438" s="1056"/>
      <c r="E438" s="1056"/>
      <c r="F438" s="1056"/>
      <c r="G438" s="1056"/>
      <c r="H438" s="1056"/>
      <c r="I438" s="1056"/>
      <c r="J438" s="1056"/>
      <c r="K438" s="1056"/>
      <c r="L438" s="1056"/>
      <c r="M438" s="1056"/>
      <c r="N438" s="1056"/>
      <c r="O438" s="1056"/>
      <c r="P438" s="1056"/>
      <c r="Q438" s="1056"/>
      <c r="R438" s="1056"/>
      <c r="S438" s="1056"/>
      <c r="T438" s="1056"/>
      <c r="U438" s="1056"/>
      <c r="V438" s="1056"/>
      <c r="W438" s="1056"/>
      <c r="X438" s="1056"/>
      <c r="Y438" s="1056"/>
      <c r="Z438" s="1056"/>
      <c r="AA438" s="1056"/>
      <c r="AB438" s="1056"/>
      <c r="AC438" s="1056"/>
    </row>
    <row r="439" spans="1:29" x14ac:dyDescent="0.25">
      <c r="A439" s="1106"/>
      <c r="B439" s="1056"/>
      <c r="C439" s="1056"/>
      <c r="D439" s="1056"/>
      <c r="E439" s="1056"/>
      <c r="F439" s="1056"/>
      <c r="G439" s="1056"/>
      <c r="H439" s="1056"/>
      <c r="I439" s="1056"/>
      <c r="J439" s="1056"/>
      <c r="K439" s="1056"/>
      <c r="L439" s="1056"/>
      <c r="M439" s="1056"/>
      <c r="N439" s="1056"/>
      <c r="O439" s="1056"/>
      <c r="P439" s="1056"/>
      <c r="Q439" s="1056"/>
      <c r="R439" s="1056"/>
      <c r="S439" s="1056"/>
      <c r="T439" s="1056"/>
      <c r="U439" s="1056"/>
      <c r="V439" s="1056"/>
      <c r="W439" s="1056"/>
      <c r="X439" s="1056"/>
      <c r="Y439" s="1056"/>
      <c r="Z439" s="1056"/>
      <c r="AA439" s="1056"/>
      <c r="AB439" s="1056"/>
      <c r="AC439" s="1056"/>
    </row>
    <row r="440" spans="1:29" x14ac:dyDescent="0.25">
      <c r="A440" s="1106"/>
      <c r="B440" s="1056"/>
      <c r="C440" s="1056"/>
      <c r="D440" s="1056"/>
      <c r="E440" s="1056"/>
      <c r="F440" s="1056"/>
      <c r="G440" s="1056"/>
      <c r="H440" s="1056"/>
      <c r="I440" s="1056"/>
      <c r="J440" s="1056"/>
      <c r="K440" s="1056"/>
      <c r="L440" s="1056"/>
      <c r="M440" s="1056"/>
      <c r="N440" s="1056"/>
      <c r="O440" s="1056"/>
      <c r="P440" s="1056"/>
      <c r="Q440" s="1056"/>
      <c r="R440" s="1056"/>
      <c r="S440" s="1056"/>
      <c r="T440" s="1056"/>
      <c r="U440" s="1056"/>
      <c r="V440" s="1056"/>
      <c r="W440" s="1056"/>
      <c r="X440" s="1056"/>
      <c r="Y440" s="1056"/>
      <c r="Z440" s="1056"/>
      <c r="AA440" s="1056"/>
      <c r="AB440" s="1056"/>
      <c r="AC440" s="1056"/>
    </row>
    <row r="441" spans="1:29" x14ac:dyDescent="0.25">
      <c r="A441" s="1106"/>
      <c r="B441" s="1056"/>
      <c r="C441" s="1056"/>
      <c r="D441" s="1056"/>
      <c r="E441" s="1056"/>
      <c r="F441" s="1056"/>
      <c r="G441" s="1056"/>
      <c r="H441" s="1056"/>
      <c r="I441" s="1056"/>
      <c r="J441" s="1056"/>
      <c r="K441" s="1056"/>
      <c r="L441" s="1056"/>
      <c r="M441" s="1056"/>
      <c r="N441" s="1056"/>
      <c r="O441" s="1056"/>
      <c r="P441" s="1056"/>
      <c r="Q441" s="1056"/>
      <c r="R441" s="1056"/>
      <c r="S441" s="1056"/>
      <c r="T441" s="1056"/>
      <c r="U441" s="1056"/>
      <c r="V441" s="1056"/>
      <c r="W441" s="1056"/>
      <c r="X441" s="1056"/>
      <c r="Y441" s="1056"/>
      <c r="Z441" s="1056"/>
      <c r="AA441" s="1056"/>
      <c r="AB441" s="1056"/>
      <c r="AC441" s="1056"/>
    </row>
    <row r="442" spans="1:29" x14ac:dyDescent="0.25">
      <c r="A442" s="1106"/>
      <c r="B442" s="1056"/>
      <c r="C442" s="1056"/>
      <c r="D442" s="1056"/>
      <c r="E442" s="1056"/>
      <c r="F442" s="1056"/>
      <c r="G442" s="1056"/>
      <c r="H442" s="1056"/>
      <c r="I442" s="1056"/>
      <c r="J442" s="1056"/>
      <c r="K442" s="1056"/>
      <c r="L442" s="1056"/>
      <c r="M442" s="1056"/>
      <c r="N442" s="1056"/>
      <c r="O442" s="1056"/>
      <c r="P442" s="1056"/>
      <c r="Q442" s="1056"/>
      <c r="R442" s="1056"/>
      <c r="S442" s="1056"/>
      <c r="T442" s="1056"/>
      <c r="U442" s="1056"/>
      <c r="V442" s="1056"/>
      <c r="W442" s="1056"/>
      <c r="X442" s="1056"/>
      <c r="Y442" s="1056"/>
      <c r="Z442" s="1056"/>
      <c r="AA442" s="1056"/>
      <c r="AB442" s="1056"/>
      <c r="AC442" s="1056"/>
    </row>
    <row r="443" spans="1:29" x14ac:dyDescent="0.25">
      <c r="A443" s="1106"/>
      <c r="B443" s="1056"/>
      <c r="C443" s="1056"/>
      <c r="D443" s="1056"/>
      <c r="E443" s="1056"/>
      <c r="F443" s="1056"/>
      <c r="G443" s="1056"/>
      <c r="H443" s="1056"/>
      <c r="I443" s="1056"/>
      <c r="J443" s="1056"/>
      <c r="K443" s="1056"/>
      <c r="L443" s="1056"/>
      <c r="M443" s="1056"/>
      <c r="N443" s="1056"/>
      <c r="O443" s="1056"/>
      <c r="P443" s="1056"/>
      <c r="Q443" s="1056"/>
      <c r="R443" s="1056"/>
      <c r="S443" s="1056"/>
      <c r="T443" s="1056"/>
      <c r="U443" s="1056"/>
      <c r="V443" s="1056"/>
      <c r="W443" s="1056"/>
      <c r="X443" s="1056"/>
      <c r="Y443" s="1056"/>
      <c r="Z443" s="1056"/>
      <c r="AA443" s="1056"/>
      <c r="AB443" s="1056"/>
      <c r="AC443" s="1056"/>
    </row>
    <row r="444" spans="1:29" x14ac:dyDescent="0.25">
      <c r="A444" s="1106"/>
      <c r="B444" s="1056"/>
      <c r="C444" s="1056"/>
      <c r="D444" s="1056"/>
      <c r="E444" s="1056"/>
      <c r="F444" s="1056"/>
      <c r="G444" s="1056"/>
      <c r="H444" s="1056"/>
      <c r="I444" s="1056"/>
      <c r="J444" s="1056"/>
      <c r="K444" s="1056"/>
      <c r="L444" s="1056"/>
      <c r="M444" s="1056"/>
      <c r="N444" s="1056"/>
      <c r="O444" s="1056"/>
      <c r="P444" s="1056"/>
      <c r="Q444" s="1056"/>
      <c r="R444" s="1056"/>
      <c r="S444" s="1056"/>
      <c r="T444" s="1056"/>
      <c r="U444" s="1056"/>
      <c r="V444" s="1056"/>
      <c r="W444" s="1056"/>
      <c r="X444" s="1056"/>
      <c r="Y444" s="1056"/>
      <c r="Z444" s="1056"/>
      <c r="AA444" s="1056"/>
      <c r="AB444" s="1056"/>
      <c r="AC444" s="1056"/>
    </row>
    <row r="445" spans="1:29" x14ac:dyDescent="0.25">
      <c r="A445" s="1106"/>
      <c r="B445" s="1056"/>
      <c r="C445" s="1056"/>
      <c r="D445" s="1056"/>
      <c r="E445" s="1056"/>
      <c r="F445" s="1056"/>
      <c r="G445" s="1056"/>
      <c r="H445" s="1056"/>
      <c r="I445" s="1056"/>
      <c r="J445" s="1056"/>
      <c r="K445" s="1056"/>
      <c r="L445" s="1056"/>
      <c r="M445" s="1056"/>
      <c r="N445" s="1056"/>
      <c r="O445" s="1056"/>
      <c r="P445" s="1056"/>
      <c r="Q445" s="1056"/>
      <c r="R445" s="1056"/>
      <c r="S445" s="1056"/>
      <c r="T445" s="1056"/>
      <c r="U445" s="1056"/>
      <c r="V445" s="1056"/>
      <c r="W445" s="1056"/>
      <c r="X445" s="1056"/>
      <c r="Y445" s="1056"/>
      <c r="Z445" s="1056"/>
      <c r="AA445" s="1056"/>
      <c r="AB445" s="1056"/>
      <c r="AC445" s="1056"/>
    </row>
    <row r="446" spans="1:29" x14ac:dyDescent="0.25">
      <c r="A446" s="1106"/>
      <c r="B446" s="1056"/>
      <c r="C446" s="1056"/>
      <c r="D446" s="1056"/>
      <c r="E446" s="1056"/>
      <c r="F446" s="1056"/>
      <c r="G446" s="1056"/>
      <c r="H446" s="1056"/>
      <c r="I446" s="1056"/>
      <c r="J446" s="1056"/>
      <c r="K446" s="1056"/>
      <c r="L446" s="1056"/>
      <c r="M446" s="1056"/>
      <c r="N446" s="1056"/>
      <c r="O446" s="1056"/>
      <c r="P446" s="1056"/>
      <c r="Q446" s="1056"/>
      <c r="R446" s="1056"/>
      <c r="S446" s="1056"/>
      <c r="T446" s="1056"/>
      <c r="U446" s="1056"/>
      <c r="V446" s="1056"/>
      <c r="W446" s="1056"/>
      <c r="X446" s="1056"/>
      <c r="Y446" s="1056"/>
      <c r="Z446" s="1056"/>
      <c r="AA446" s="1056"/>
      <c r="AB446" s="1056"/>
      <c r="AC446" s="1056"/>
    </row>
    <row r="447" spans="1:29" x14ac:dyDescent="0.25">
      <c r="A447" s="1106"/>
      <c r="B447" s="1056"/>
      <c r="C447" s="1056"/>
      <c r="D447" s="1056"/>
      <c r="E447" s="1056"/>
      <c r="F447" s="1056"/>
      <c r="G447" s="1056"/>
      <c r="H447" s="1056"/>
      <c r="I447" s="1056"/>
      <c r="J447" s="1056"/>
      <c r="K447" s="1056"/>
      <c r="L447" s="1056"/>
      <c r="M447" s="1056"/>
      <c r="N447" s="1056"/>
      <c r="O447" s="1056"/>
      <c r="P447" s="1056"/>
      <c r="Q447" s="1056"/>
      <c r="R447" s="1056"/>
      <c r="S447" s="1056"/>
      <c r="T447" s="1056"/>
      <c r="U447" s="1056"/>
      <c r="V447" s="1056"/>
      <c r="W447" s="1056"/>
      <c r="X447" s="1056"/>
      <c r="Y447" s="1056"/>
      <c r="Z447" s="1056"/>
      <c r="AA447" s="1056"/>
      <c r="AB447" s="1056"/>
      <c r="AC447" s="1056"/>
    </row>
    <row r="448" spans="1:29" x14ac:dyDescent="0.25">
      <c r="A448" s="1106"/>
      <c r="B448" s="1056"/>
      <c r="C448" s="1056"/>
      <c r="D448" s="1056"/>
      <c r="E448" s="1056"/>
      <c r="F448" s="1056"/>
      <c r="G448" s="1056"/>
      <c r="H448" s="1056"/>
      <c r="I448" s="1056"/>
      <c r="J448" s="1056"/>
      <c r="K448" s="1056"/>
      <c r="L448" s="1056"/>
      <c r="M448" s="1056"/>
      <c r="N448" s="1056"/>
      <c r="O448" s="1056"/>
      <c r="P448" s="1056"/>
      <c r="Q448" s="1056"/>
      <c r="R448" s="1056"/>
      <c r="S448" s="1056"/>
      <c r="T448" s="1056"/>
      <c r="U448" s="1056"/>
      <c r="V448" s="1056"/>
      <c r="W448" s="1056"/>
      <c r="X448" s="1056"/>
      <c r="Y448" s="1056"/>
      <c r="Z448" s="1056"/>
      <c r="AA448" s="1056"/>
      <c r="AB448" s="1056"/>
      <c r="AC448" s="1056"/>
    </row>
    <row r="449" spans="1:29" x14ac:dyDescent="0.25">
      <c r="A449" s="1106"/>
      <c r="B449" s="1056"/>
      <c r="C449" s="1056"/>
      <c r="D449" s="1056"/>
      <c r="E449" s="1056"/>
      <c r="F449" s="1056"/>
      <c r="G449" s="1056"/>
      <c r="H449" s="1056"/>
      <c r="I449" s="1056"/>
      <c r="J449" s="1056"/>
      <c r="K449" s="1056"/>
      <c r="L449" s="1056"/>
      <c r="M449" s="1056"/>
      <c r="N449" s="1056"/>
      <c r="O449" s="1056"/>
      <c r="P449" s="1056"/>
      <c r="Q449" s="1056"/>
      <c r="R449" s="1056"/>
      <c r="S449" s="1056"/>
      <c r="T449" s="1056"/>
      <c r="U449" s="1056"/>
      <c r="V449" s="1056"/>
      <c r="W449" s="1056"/>
      <c r="X449" s="1056"/>
      <c r="Y449" s="1056"/>
      <c r="Z449" s="1056"/>
      <c r="AA449" s="1056"/>
      <c r="AB449" s="1056"/>
      <c r="AC449" s="1056"/>
    </row>
    <row r="450" spans="1:29" x14ac:dyDescent="0.25">
      <c r="A450" s="1106"/>
      <c r="B450" s="1056"/>
      <c r="C450" s="1056"/>
      <c r="D450" s="1056"/>
      <c r="E450" s="1056"/>
      <c r="F450" s="1056"/>
      <c r="G450" s="1056"/>
      <c r="H450" s="1056"/>
      <c r="I450" s="1056"/>
      <c r="J450" s="1056"/>
      <c r="K450" s="1056"/>
      <c r="L450" s="1056"/>
      <c r="M450" s="1056"/>
      <c r="N450" s="1056"/>
      <c r="O450" s="1056"/>
      <c r="P450" s="1056"/>
      <c r="Q450" s="1056"/>
      <c r="R450" s="1056"/>
      <c r="S450" s="1056"/>
      <c r="T450" s="1056"/>
      <c r="U450" s="1056"/>
      <c r="V450" s="1056"/>
      <c r="W450" s="1056"/>
      <c r="X450" s="1056"/>
      <c r="Y450" s="1056"/>
      <c r="Z450" s="1056"/>
      <c r="AA450" s="1056"/>
      <c r="AB450" s="1056"/>
      <c r="AC450" s="1056"/>
    </row>
    <row r="451" spans="1:29" x14ac:dyDescent="0.25">
      <c r="A451" s="1106"/>
      <c r="B451" s="1056"/>
      <c r="C451" s="1056"/>
      <c r="D451" s="1056"/>
      <c r="E451" s="1056"/>
      <c r="F451" s="1056"/>
      <c r="G451" s="1056"/>
      <c r="H451" s="1056"/>
      <c r="I451" s="1056"/>
      <c r="J451" s="1056"/>
      <c r="K451" s="1056"/>
      <c r="L451" s="1056"/>
      <c r="M451" s="1056"/>
      <c r="N451" s="1056"/>
      <c r="O451" s="1056"/>
      <c r="P451" s="1056"/>
      <c r="Q451" s="1056"/>
      <c r="R451" s="1056"/>
      <c r="S451" s="1056"/>
      <c r="T451" s="1056"/>
      <c r="U451" s="1056"/>
      <c r="V451" s="1056"/>
      <c r="W451" s="1056"/>
      <c r="X451" s="1056"/>
      <c r="Y451" s="1056"/>
      <c r="Z451" s="1056"/>
      <c r="AA451" s="1056"/>
      <c r="AB451" s="1056"/>
      <c r="AC451" s="1056"/>
    </row>
    <row r="452" spans="1:29" x14ac:dyDescent="0.25">
      <c r="A452" s="1106"/>
      <c r="B452" s="1056"/>
      <c r="C452" s="1056"/>
      <c r="D452" s="1056"/>
      <c r="E452" s="1056"/>
      <c r="F452" s="1056"/>
      <c r="G452" s="1056"/>
      <c r="H452" s="1056"/>
      <c r="I452" s="1056"/>
      <c r="J452" s="1056"/>
      <c r="K452" s="1056"/>
      <c r="L452" s="1056"/>
      <c r="M452" s="1056"/>
      <c r="N452" s="1056"/>
      <c r="O452" s="1056"/>
      <c r="P452" s="1056"/>
      <c r="Q452" s="1056"/>
      <c r="R452" s="1056"/>
      <c r="S452" s="1056"/>
      <c r="T452" s="1056"/>
      <c r="U452" s="1056"/>
      <c r="V452" s="1056"/>
      <c r="W452" s="1056"/>
      <c r="X452" s="1056"/>
      <c r="Y452" s="1056"/>
      <c r="Z452" s="1056"/>
      <c r="AA452" s="1056"/>
      <c r="AB452" s="1056"/>
      <c r="AC452" s="1056"/>
    </row>
    <row r="453" spans="1:29" x14ac:dyDescent="0.25">
      <c r="A453" s="1106"/>
      <c r="B453" s="1056"/>
      <c r="C453" s="1056"/>
      <c r="D453" s="1056"/>
      <c r="E453" s="1056"/>
      <c r="F453" s="1056"/>
      <c r="G453" s="1056"/>
      <c r="H453" s="1056"/>
      <c r="I453" s="1056"/>
      <c r="J453" s="1056"/>
      <c r="K453" s="1056"/>
      <c r="L453" s="1056"/>
      <c r="M453" s="1056"/>
      <c r="N453" s="1056"/>
      <c r="O453" s="1056"/>
      <c r="P453" s="1056"/>
      <c r="Q453" s="1056"/>
      <c r="R453" s="1056"/>
      <c r="S453" s="1056"/>
      <c r="T453" s="1056"/>
      <c r="U453" s="1056"/>
      <c r="V453" s="1056"/>
      <c r="W453" s="1056"/>
      <c r="X453" s="1056"/>
      <c r="Y453" s="1056"/>
      <c r="Z453" s="1056"/>
      <c r="AA453" s="1056"/>
      <c r="AB453" s="1056"/>
      <c r="AC453" s="1056"/>
    </row>
    <row r="454" spans="1:29" x14ac:dyDescent="0.25">
      <c r="A454" s="1106"/>
      <c r="B454" s="1056"/>
      <c r="C454" s="1056"/>
      <c r="D454" s="1056"/>
      <c r="E454" s="1056"/>
      <c r="F454" s="1056"/>
      <c r="G454" s="1056"/>
      <c r="H454" s="1056"/>
      <c r="I454" s="1056"/>
      <c r="J454" s="1056"/>
      <c r="K454" s="1056"/>
      <c r="L454" s="1056"/>
      <c r="M454" s="1056"/>
      <c r="N454" s="1056"/>
      <c r="O454" s="1056"/>
      <c r="P454" s="1056"/>
      <c r="Q454" s="1056"/>
      <c r="R454" s="1056"/>
      <c r="S454" s="1056"/>
      <c r="T454" s="1056"/>
      <c r="U454" s="1056"/>
      <c r="V454" s="1056"/>
      <c r="W454" s="1056"/>
      <c r="X454" s="1056"/>
      <c r="Y454" s="1056"/>
      <c r="Z454" s="1056"/>
      <c r="AA454" s="1056"/>
      <c r="AB454" s="1056"/>
      <c r="AC454" s="1056"/>
    </row>
    <row r="455" spans="1:29" x14ac:dyDescent="0.25">
      <c r="A455" s="1106"/>
      <c r="B455" s="1056"/>
      <c r="C455" s="1056"/>
      <c r="D455" s="1056"/>
      <c r="E455" s="1056"/>
      <c r="F455" s="1056"/>
      <c r="G455" s="1056"/>
      <c r="H455" s="1056"/>
      <c r="I455" s="1056"/>
      <c r="J455" s="1056"/>
      <c r="K455" s="1056"/>
      <c r="L455" s="1056"/>
      <c r="M455" s="1056"/>
      <c r="N455" s="1056"/>
      <c r="O455" s="1056"/>
      <c r="P455" s="1056"/>
      <c r="Q455" s="1056"/>
      <c r="R455" s="1056"/>
      <c r="S455" s="1056"/>
      <c r="T455" s="1056"/>
      <c r="U455" s="1056"/>
      <c r="V455" s="1056"/>
      <c r="W455" s="1056"/>
      <c r="X455" s="1056"/>
      <c r="Y455" s="1056"/>
      <c r="Z455" s="1056"/>
      <c r="AA455" s="1056"/>
      <c r="AB455" s="1056"/>
      <c r="AC455" s="1056"/>
    </row>
    <row r="456" spans="1:29" x14ac:dyDescent="0.25">
      <c r="A456" s="1106"/>
      <c r="B456" s="1056"/>
      <c r="C456" s="1056"/>
      <c r="D456" s="1056"/>
      <c r="E456" s="1056"/>
      <c r="F456" s="1056"/>
      <c r="G456" s="1056"/>
      <c r="H456" s="1056"/>
      <c r="I456" s="1056"/>
      <c r="J456" s="1056"/>
      <c r="K456" s="1056"/>
      <c r="L456" s="1056"/>
      <c r="M456" s="1056"/>
      <c r="N456" s="1056"/>
      <c r="O456" s="1056"/>
      <c r="P456" s="1056"/>
      <c r="Q456" s="1056"/>
      <c r="R456" s="1056"/>
      <c r="S456" s="1056"/>
      <c r="T456" s="1056"/>
      <c r="U456" s="1056"/>
      <c r="V456" s="1056"/>
      <c r="W456" s="1056"/>
      <c r="X456" s="1056"/>
      <c r="Y456" s="1056"/>
      <c r="Z456" s="1056"/>
      <c r="AA456" s="1056"/>
      <c r="AB456" s="1056"/>
      <c r="AC456" s="1056"/>
    </row>
    <row r="457" spans="1:29" x14ac:dyDescent="0.25">
      <c r="A457" s="1106"/>
      <c r="B457" s="1056"/>
      <c r="C457" s="1056"/>
      <c r="D457" s="1056"/>
      <c r="E457" s="1056"/>
      <c r="F457" s="1056"/>
      <c r="G457" s="1056"/>
      <c r="H457" s="1056"/>
      <c r="I457" s="1056"/>
      <c r="J457" s="1056"/>
      <c r="K457" s="1056"/>
      <c r="L457" s="1056"/>
      <c r="M457" s="1056"/>
      <c r="N457" s="1056"/>
      <c r="O457" s="1056"/>
      <c r="P457" s="1056"/>
      <c r="Q457" s="1056"/>
      <c r="R457" s="1056"/>
      <c r="S457" s="1056"/>
      <c r="T457" s="1056"/>
      <c r="U457" s="1056"/>
      <c r="V457" s="1056"/>
      <c r="W457" s="1056"/>
      <c r="X457" s="1056"/>
      <c r="Y457" s="1056"/>
      <c r="Z457" s="1056"/>
      <c r="AA457" s="1056"/>
      <c r="AB457" s="1056"/>
      <c r="AC457" s="1056"/>
    </row>
    <row r="458" spans="1:29" x14ac:dyDescent="0.25">
      <c r="A458" s="1106"/>
      <c r="B458" s="1056"/>
      <c r="C458" s="1056"/>
      <c r="D458" s="1056"/>
      <c r="E458" s="1056"/>
      <c r="F458" s="1056"/>
      <c r="G458" s="1056"/>
      <c r="H458" s="1056"/>
      <c r="I458" s="1056"/>
      <c r="J458" s="1056"/>
      <c r="K458" s="1056"/>
      <c r="L458" s="1056"/>
      <c r="M458" s="1056"/>
      <c r="N458" s="1056"/>
      <c r="O458" s="1056"/>
      <c r="P458" s="1056"/>
      <c r="Q458" s="1056"/>
      <c r="R458" s="1056"/>
      <c r="S458" s="1056"/>
      <c r="T458" s="1056"/>
      <c r="U458" s="1056"/>
      <c r="V458" s="1056"/>
      <c r="W458" s="1056"/>
      <c r="X458" s="1056"/>
      <c r="Y458" s="1056"/>
      <c r="Z458" s="1056"/>
      <c r="AA458" s="1056"/>
      <c r="AB458" s="1056"/>
      <c r="AC458" s="1056"/>
    </row>
    <row r="459" spans="1:29" x14ac:dyDescent="0.25">
      <c r="A459" s="1106"/>
      <c r="B459" s="1056"/>
      <c r="C459" s="1056"/>
      <c r="D459" s="1056"/>
      <c r="E459" s="1056"/>
      <c r="F459" s="1056"/>
      <c r="G459" s="1056"/>
      <c r="H459" s="1056"/>
      <c r="I459" s="1056"/>
      <c r="J459" s="1056"/>
      <c r="K459" s="1056"/>
      <c r="L459" s="1056"/>
      <c r="M459" s="1056"/>
      <c r="N459" s="1056"/>
      <c r="O459" s="1056"/>
      <c r="P459" s="1056"/>
      <c r="Q459" s="1056"/>
      <c r="R459" s="1056"/>
      <c r="S459" s="1056"/>
      <c r="T459" s="1056"/>
      <c r="U459" s="1056"/>
      <c r="V459" s="1056"/>
      <c r="W459" s="1056"/>
      <c r="X459" s="1056"/>
      <c r="Y459" s="1056"/>
      <c r="Z459" s="1056"/>
      <c r="AA459" s="1056"/>
      <c r="AB459" s="1056"/>
      <c r="AC459" s="1056"/>
    </row>
    <row r="460" spans="1:29" x14ac:dyDescent="0.25">
      <c r="A460" s="1106"/>
      <c r="B460" s="1056"/>
      <c r="C460" s="1056"/>
      <c r="D460" s="1056"/>
      <c r="E460" s="1056"/>
      <c r="F460" s="1056"/>
      <c r="G460" s="1056"/>
      <c r="H460" s="1056"/>
      <c r="I460" s="1056"/>
      <c r="J460" s="1056"/>
      <c r="K460" s="1056"/>
      <c r="L460" s="1056"/>
      <c r="M460" s="1056"/>
      <c r="N460" s="1056"/>
      <c r="O460" s="1056"/>
      <c r="P460" s="1056"/>
      <c r="Q460" s="1056"/>
      <c r="R460" s="1056"/>
      <c r="S460" s="1056"/>
      <c r="T460" s="1056"/>
      <c r="U460" s="1056"/>
      <c r="V460" s="1056"/>
      <c r="W460" s="1056"/>
      <c r="X460" s="1056"/>
      <c r="Y460" s="1056"/>
      <c r="Z460" s="1056"/>
      <c r="AA460" s="1056"/>
      <c r="AB460" s="1056"/>
      <c r="AC460" s="1056"/>
    </row>
    <row r="461" spans="1:29" x14ac:dyDescent="0.25">
      <c r="A461" s="1106"/>
      <c r="B461" s="1056"/>
      <c r="C461" s="1056"/>
      <c r="D461" s="1056"/>
      <c r="E461" s="1056"/>
      <c r="F461" s="1056"/>
      <c r="G461" s="1056"/>
      <c r="H461" s="1056"/>
      <c r="I461" s="1056"/>
      <c r="J461" s="1056"/>
      <c r="K461" s="1056"/>
      <c r="L461" s="1056"/>
      <c r="M461" s="1056"/>
      <c r="N461" s="1056"/>
      <c r="O461" s="1056"/>
      <c r="P461" s="1056"/>
      <c r="Q461" s="1056"/>
      <c r="R461" s="1056"/>
      <c r="S461" s="1056"/>
      <c r="T461" s="1056"/>
      <c r="U461" s="1056"/>
      <c r="V461" s="1056"/>
      <c r="W461" s="1056"/>
      <c r="X461" s="1056"/>
      <c r="Y461" s="1056"/>
      <c r="Z461" s="1056"/>
      <c r="AA461" s="1056"/>
      <c r="AB461" s="1056"/>
      <c r="AC461" s="1056"/>
    </row>
    <row r="462" spans="1:29" x14ac:dyDescent="0.25">
      <c r="A462" s="1106"/>
      <c r="B462" s="1056"/>
      <c r="C462" s="1056"/>
      <c r="D462" s="1056"/>
      <c r="E462" s="1056"/>
      <c r="F462" s="1056"/>
      <c r="G462" s="1056"/>
      <c r="H462" s="1056"/>
      <c r="I462" s="1056"/>
      <c r="J462" s="1056"/>
      <c r="K462" s="1056"/>
      <c r="L462" s="1056"/>
      <c r="M462" s="1056"/>
      <c r="N462" s="1056"/>
      <c r="O462" s="1056"/>
      <c r="P462" s="1056"/>
      <c r="Q462" s="1056"/>
      <c r="R462" s="1056"/>
      <c r="S462" s="1056"/>
      <c r="T462" s="1056"/>
      <c r="U462" s="1056"/>
      <c r="V462" s="1056"/>
      <c r="W462" s="1056"/>
      <c r="X462" s="1056"/>
      <c r="Y462" s="1056"/>
      <c r="Z462" s="1056"/>
      <c r="AA462" s="1056"/>
      <c r="AB462" s="1056"/>
      <c r="AC462" s="1056"/>
    </row>
    <row r="463" spans="1:29" x14ac:dyDescent="0.25">
      <c r="A463" s="1106"/>
      <c r="B463" s="1056"/>
      <c r="C463" s="1056"/>
      <c r="D463" s="1056"/>
      <c r="E463" s="1056"/>
      <c r="F463" s="1056"/>
      <c r="G463" s="1056"/>
      <c r="H463" s="1056"/>
      <c r="I463" s="1056"/>
      <c r="J463" s="1056"/>
      <c r="K463" s="1056"/>
      <c r="L463" s="1056"/>
      <c r="M463" s="1056"/>
      <c r="N463" s="1056"/>
      <c r="O463" s="1056"/>
      <c r="P463" s="1056"/>
      <c r="Q463" s="1056"/>
      <c r="R463" s="1056"/>
      <c r="S463" s="1056"/>
      <c r="T463" s="1056"/>
      <c r="U463" s="1056"/>
      <c r="V463" s="1056"/>
      <c r="W463" s="1056"/>
      <c r="X463" s="1056"/>
      <c r="Y463" s="1056"/>
      <c r="Z463" s="1056"/>
      <c r="AA463" s="1056"/>
      <c r="AB463" s="1056"/>
      <c r="AC463" s="1056"/>
    </row>
    <row r="464" spans="1:29" x14ac:dyDescent="0.25">
      <c r="A464" s="1106"/>
      <c r="B464" s="1056"/>
      <c r="C464" s="1056"/>
      <c r="D464" s="1056"/>
      <c r="E464" s="1056"/>
      <c r="F464" s="1056"/>
      <c r="G464" s="1056"/>
      <c r="H464" s="1056"/>
      <c r="I464" s="1056"/>
      <c r="J464" s="1056"/>
      <c r="K464" s="1056"/>
      <c r="L464" s="1056"/>
      <c r="M464" s="1056"/>
      <c r="N464" s="1056"/>
      <c r="O464" s="1056"/>
      <c r="P464" s="1056"/>
      <c r="Q464" s="1056"/>
      <c r="R464" s="1056"/>
      <c r="S464" s="1056"/>
      <c r="T464" s="1056"/>
      <c r="U464" s="1056"/>
      <c r="V464" s="1056"/>
      <c r="W464" s="1056"/>
      <c r="X464" s="1056"/>
      <c r="Y464" s="1056"/>
      <c r="Z464" s="1056"/>
      <c r="AA464" s="1056"/>
      <c r="AB464" s="1056"/>
      <c r="AC464" s="1056"/>
    </row>
    <row r="465" spans="1:29" x14ac:dyDescent="0.25">
      <c r="A465" s="1106"/>
      <c r="B465" s="1056"/>
      <c r="C465" s="1056"/>
      <c r="D465" s="1056"/>
      <c r="E465" s="1056"/>
      <c r="F465" s="1056"/>
      <c r="G465" s="1056"/>
      <c r="H465" s="1056"/>
      <c r="I465" s="1056"/>
      <c r="J465" s="1056"/>
      <c r="K465" s="1056"/>
      <c r="L465" s="1056"/>
      <c r="M465" s="1056"/>
      <c r="N465" s="1056"/>
      <c r="O465" s="1056"/>
      <c r="P465" s="1056"/>
      <c r="Q465" s="1056"/>
      <c r="R465" s="1056"/>
      <c r="S465" s="1056"/>
      <c r="T465" s="1056"/>
      <c r="U465" s="1056"/>
      <c r="V465" s="1056"/>
      <c r="W465" s="1056"/>
      <c r="X465" s="1056"/>
      <c r="Y465" s="1056"/>
      <c r="Z465" s="1056"/>
      <c r="AA465" s="1056"/>
      <c r="AB465" s="1056"/>
      <c r="AC465" s="1056"/>
    </row>
    <row r="466" spans="1:29" x14ac:dyDescent="0.25">
      <c r="A466" s="1106"/>
      <c r="B466" s="1056"/>
      <c r="C466" s="1056"/>
      <c r="D466" s="1056"/>
      <c r="E466" s="1056"/>
      <c r="F466" s="1056"/>
      <c r="G466" s="1056"/>
      <c r="H466" s="1056"/>
      <c r="I466" s="1056"/>
      <c r="J466" s="1056"/>
      <c r="K466" s="1056"/>
      <c r="L466" s="1056"/>
      <c r="M466" s="1056"/>
      <c r="N466" s="1056"/>
      <c r="O466" s="1056"/>
      <c r="P466" s="1056"/>
      <c r="Q466" s="1056"/>
      <c r="R466" s="1056"/>
      <c r="S466" s="1056"/>
      <c r="T466" s="1056"/>
      <c r="U466" s="1056"/>
      <c r="V466" s="1056"/>
      <c r="W466" s="1056"/>
      <c r="X466" s="1056"/>
      <c r="Y466" s="1056"/>
      <c r="Z466" s="1056"/>
      <c r="AA466" s="1056"/>
      <c r="AB466" s="1056"/>
      <c r="AC466" s="1056"/>
    </row>
    <row r="467" spans="1:29" x14ac:dyDescent="0.25">
      <c r="A467" s="1106"/>
      <c r="B467" s="1056"/>
      <c r="C467" s="1056"/>
      <c r="D467" s="1056"/>
      <c r="E467" s="1056"/>
      <c r="F467" s="1056"/>
      <c r="G467" s="1056"/>
      <c r="H467" s="1056"/>
      <c r="I467" s="1056"/>
      <c r="J467" s="1056"/>
      <c r="K467" s="1056"/>
      <c r="L467" s="1056"/>
      <c r="M467" s="1056"/>
      <c r="N467" s="1056"/>
      <c r="O467" s="1056"/>
      <c r="P467" s="1056"/>
      <c r="Q467" s="1056"/>
      <c r="R467" s="1056"/>
      <c r="S467" s="1056"/>
      <c r="T467" s="1056"/>
      <c r="U467" s="1056"/>
      <c r="V467" s="1056"/>
      <c r="W467" s="1056"/>
      <c r="X467" s="1056"/>
      <c r="Y467" s="1056"/>
      <c r="Z467" s="1056"/>
      <c r="AA467" s="1056"/>
      <c r="AB467" s="1056"/>
      <c r="AC467" s="1056"/>
    </row>
    <row r="468" spans="1:29" x14ac:dyDescent="0.25">
      <c r="A468" s="1106"/>
      <c r="B468" s="1056"/>
      <c r="C468" s="1056"/>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1056"/>
      <c r="AA468" s="1056"/>
      <c r="AB468" s="1056"/>
      <c r="AC468" s="1056"/>
    </row>
    <row r="469" spans="1:29" x14ac:dyDescent="0.25">
      <c r="A469" s="1106"/>
      <c r="B469" s="1056"/>
      <c r="C469" s="1056"/>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1056"/>
      <c r="AA469" s="1056"/>
      <c r="AB469" s="1056"/>
      <c r="AC469" s="1056"/>
    </row>
    <row r="470" spans="1:29" x14ac:dyDescent="0.25">
      <c r="A470" s="1106"/>
      <c r="B470" s="1056"/>
      <c r="C470" s="1056"/>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1056"/>
      <c r="AA470" s="1056"/>
      <c r="AB470" s="1056"/>
      <c r="AC470" s="1056"/>
    </row>
    <row r="471" spans="1:29" x14ac:dyDescent="0.25">
      <c r="A471" s="1106"/>
      <c r="B471" s="1056"/>
      <c r="C471" s="1056"/>
      <c r="D471" s="1056"/>
      <c r="E471" s="1056"/>
      <c r="F471" s="1056"/>
      <c r="G471" s="1056"/>
      <c r="H471" s="1056"/>
      <c r="I471" s="1056"/>
      <c r="J471" s="1056"/>
      <c r="K471" s="1056"/>
      <c r="L471" s="1056"/>
      <c r="M471" s="1056"/>
      <c r="N471" s="1056"/>
      <c r="O471" s="1056"/>
      <c r="P471" s="1056"/>
      <c r="Q471" s="1056"/>
      <c r="R471" s="1056"/>
      <c r="S471" s="1056"/>
      <c r="T471" s="1056"/>
      <c r="U471" s="1056"/>
      <c r="V471" s="1056"/>
      <c r="W471" s="1056"/>
      <c r="X471" s="1056"/>
      <c r="Y471" s="1056"/>
      <c r="Z471" s="1056"/>
      <c r="AA471" s="1056"/>
      <c r="AB471" s="1056"/>
      <c r="AC471" s="1056"/>
    </row>
    <row r="472" spans="1:29" x14ac:dyDescent="0.25">
      <c r="A472" s="1106"/>
      <c r="B472" s="1056"/>
      <c r="C472" s="1056"/>
      <c r="D472" s="1056"/>
      <c r="E472" s="1056"/>
      <c r="F472" s="1056"/>
      <c r="G472" s="1056"/>
      <c r="H472" s="1056"/>
      <c r="I472" s="1056"/>
      <c r="J472" s="1056"/>
      <c r="K472" s="1056"/>
      <c r="L472" s="1056"/>
      <c r="M472" s="1056"/>
      <c r="N472" s="1056"/>
      <c r="O472" s="1056"/>
      <c r="P472" s="1056"/>
      <c r="Q472" s="1056"/>
      <c r="R472" s="1056"/>
      <c r="S472" s="1056"/>
      <c r="T472" s="1056"/>
      <c r="U472" s="1056"/>
      <c r="V472" s="1056"/>
      <c r="W472" s="1056"/>
      <c r="X472" s="1056"/>
      <c r="Y472" s="1056"/>
      <c r="Z472" s="1056"/>
      <c r="AA472" s="1056"/>
      <c r="AB472" s="1056"/>
      <c r="AC472" s="1056"/>
    </row>
    <row r="473" spans="1:29" x14ac:dyDescent="0.25">
      <c r="A473" s="1106"/>
      <c r="B473" s="1056"/>
      <c r="C473" s="1056"/>
      <c r="D473" s="1056"/>
      <c r="E473" s="1056"/>
      <c r="F473" s="1056"/>
      <c r="G473" s="1056"/>
      <c r="H473" s="1056"/>
      <c r="I473" s="1056"/>
      <c r="J473" s="1056"/>
      <c r="K473" s="1056"/>
      <c r="L473" s="1056"/>
      <c r="M473" s="1056"/>
      <c r="N473" s="1056"/>
      <c r="O473" s="1056"/>
      <c r="P473" s="1056"/>
      <c r="Q473" s="1056"/>
      <c r="R473" s="1056"/>
      <c r="S473" s="1056"/>
      <c r="T473" s="1056"/>
      <c r="U473" s="1056"/>
      <c r="V473" s="1056"/>
      <c r="W473" s="1056"/>
      <c r="X473" s="1056"/>
      <c r="Y473" s="1056"/>
      <c r="Z473" s="1056"/>
      <c r="AA473" s="1056"/>
      <c r="AB473" s="1056"/>
      <c r="AC473" s="1056"/>
    </row>
    <row r="474" spans="1:29" x14ac:dyDescent="0.25">
      <c r="A474" s="1106"/>
      <c r="B474" s="1056"/>
      <c r="C474" s="1056"/>
      <c r="D474" s="1056"/>
      <c r="E474" s="1056"/>
      <c r="F474" s="1056"/>
      <c r="G474" s="1056"/>
      <c r="H474" s="1056"/>
      <c r="I474" s="1056"/>
      <c r="J474" s="1056"/>
      <c r="K474" s="1056"/>
      <c r="L474" s="1056"/>
      <c r="M474" s="1056"/>
      <c r="N474" s="1056"/>
      <c r="O474" s="1056"/>
      <c r="P474" s="1056"/>
      <c r="Q474" s="1056"/>
      <c r="R474" s="1056"/>
      <c r="S474" s="1056"/>
      <c r="T474" s="1056"/>
      <c r="U474" s="1056"/>
      <c r="V474" s="1056"/>
      <c r="W474" s="1056"/>
      <c r="X474" s="1056"/>
      <c r="Y474" s="1056"/>
      <c r="Z474" s="1056"/>
      <c r="AA474" s="1056"/>
      <c r="AB474" s="1056"/>
      <c r="AC474" s="1056"/>
    </row>
    <row r="475" spans="1:29" x14ac:dyDescent="0.25">
      <c r="A475" s="1106"/>
      <c r="B475" s="1056"/>
      <c r="C475" s="1056"/>
      <c r="D475" s="1056"/>
      <c r="E475" s="1056"/>
      <c r="F475" s="1056"/>
      <c r="G475" s="1056"/>
      <c r="H475" s="1056"/>
      <c r="I475" s="1056"/>
      <c r="J475" s="1056"/>
      <c r="K475" s="1056"/>
      <c r="L475" s="1056"/>
      <c r="M475" s="1056"/>
      <c r="N475" s="1056"/>
      <c r="O475" s="1056"/>
      <c r="P475" s="1056"/>
      <c r="Q475" s="1056"/>
      <c r="R475" s="1056"/>
      <c r="S475" s="1056"/>
      <c r="T475" s="1056"/>
      <c r="U475" s="1056"/>
      <c r="V475" s="1056"/>
      <c r="W475" s="1056"/>
      <c r="X475" s="1056"/>
      <c r="Y475" s="1056"/>
      <c r="Z475" s="1056"/>
      <c r="AA475" s="1056"/>
      <c r="AB475" s="1056"/>
      <c r="AC475" s="1056"/>
    </row>
    <row r="476" spans="1:29" x14ac:dyDescent="0.25">
      <c r="A476" s="1106"/>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row>
    <row r="477" spans="1:29" x14ac:dyDescent="0.25">
      <c r="A477" s="110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row>
    <row r="478" spans="1:29" x14ac:dyDescent="0.25">
      <c r="A478" s="1106"/>
      <c r="B478" s="1056"/>
      <c r="C478" s="1056"/>
      <c r="D478" s="1056"/>
      <c r="E478" s="1056"/>
      <c r="F478" s="1056"/>
      <c r="G478" s="1056"/>
      <c r="H478" s="1056"/>
      <c r="I478" s="1056"/>
      <c r="J478" s="1056"/>
      <c r="K478" s="1056"/>
      <c r="L478" s="1056"/>
      <c r="M478" s="1056"/>
      <c r="N478" s="1056"/>
      <c r="O478" s="1056"/>
      <c r="P478" s="1056"/>
      <c r="Q478" s="1056"/>
      <c r="R478" s="1056"/>
      <c r="S478" s="1056"/>
      <c r="T478" s="1056"/>
      <c r="U478" s="1056"/>
      <c r="V478" s="1056"/>
      <c r="W478" s="1056"/>
      <c r="X478" s="1056"/>
      <c r="Y478" s="1056"/>
      <c r="Z478" s="1056"/>
      <c r="AA478" s="1056"/>
      <c r="AB478" s="1056"/>
      <c r="AC478" s="1056"/>
    </row>
    <row r="479" spans="1:29" x14ac:dyDescent="0.25">
      <c r="A479" s="1106"/>
      <c r="B479" s="1056"/>
      <c r="C479" s="1056"/>
      <c r="D479" s="1056"/>
      <c r="E479" s="1056"/>
      <c r="F479" s="1056"/>
      <c r="G479" s="1056"/>
      <c r="H479" s="1056"/>
      <c r="I479" s="1056"/>
      <c r="J479" s="1056"/>
      <c r="K479" s="1056"/>
      <c r="L479" s="1056"/>
      <c r="M479" s="1056"/>
      <c r="N479" s="1056"/>
      <c r="O479" s="1056"/>
      <c r="P479" s="1056"/>
      <c r="Q479" s="1056"/>
      <c r="R479" s="1056"/>
      <c r="S479" s="1056"/>
      <c r="T479" s="1056"/>
      <c r="U479" s="1056"/>
      <c r="V479" s="1056"/>
      <c r="W479" s="1056"/>
      <c r="X479" s="1056"/>
      <c r="Y479" s="1056"/>
      <c r="Z479" s="1056"/>
      <c r="AA479" s="1056"/>
      <c r="AB479" s="1056"/>
      <c r="AC479" s="1056"/>
    </row>
    <row r="480" spans="1:29" x14ac:dyDescent="0.25">
      <c r="A480" s="1106"/>
      <c r="B480" s="1056"/>
      <c r="C480" s="1056"/>
      <c r="D480" s="1056"/>
      <c r="E480" s="1056"/>
      <c r="F480" s="1056"/>
      <c r="G480" s="1056"/>
      <c r="H480" s="1056"/>
      <c r="I480" s="1056"/>
      <c r="J480" s="1056"/>
      <c r="K480" s="1056"/>
      <c r="L480" s="1056"/>
      <c r="M480" s="1056"/>
      <c r="N480" s="1056"/>
      <c r="O480" s="1056"/>
      <c r="P480" s="1056"/>
      <c r="Q480" s="1056"/>
      <c r="R480" s="1056"/>
      <c r="S480" s="1056"/>
      <c r="T480" s="1056"/>
      <c r="U480" s="1056"/>
      <c r="V480" s="1056"/>
      <c r="W480" s="1056"/>
      <c r="X480" s="1056"/>
      <c r="Y480" s="1056"/>
      <c r="Z480" s="1056"/>
      <c r="AA480" s="1056"/>
      <c r="AB480" s="1056"/>
      <c r="AC480" s="1056"/>
    </row>
    <row r="481" spans="1:29" x14ac:dyDescent="0.25">
      <c r="A481" s="1106"/>
      <c r="B481" s="1056"/>
      <c r="C481" s="1056"/>
      <c r="D481" s="1056"/>
      <c r="E481" s="1056"/>
      <c r="F481" s="1056"/>
      <c r="G481" s="1056"/>
      <c r="H481" s="1056"/>
      <c r="I481" s="1056"/>
      <c r="J481" s="1056"/>
      <c r="K481" s="1056"/>
      <c r="L481" s="1056"/>
      <c r="M481" s="1056"/>
      <c r="N481" s="1056"/>
      <c r="O481" s="1056"/>
      <c r="P481" s="1056"/>
      <c r="Q481" s="1056"/>
      <c r="R481" s="1056"/>
      <c r="S481" s="1056"/>
      <c r="T481" s="1056"/>
      <c r="U481" s="1056"/>
      <c r="V481" s="1056"/>
      <c r="W481" s="1056"/>
      <c r="X481" s="1056"/>
      <c r="Y481" s="1056"/>
      <c r="Z481" s="1056"/>
      <c r="AA481" s="1056"/>
      <c r="AB481" s="1056"/>
      <c r="AC481" s="1056"/>
    </row>
    <row r="482" spans="1:29" x14ac:dyDescent="0.25">
      <c r="A482" s="1106"/>
      <c r="B482" s="1056"/>
      <c r="C482" s="1056"/>
      <c r="D482" s="1056"/>
      <c r="E482" s="1056"/>
      <c r="F482" s="1056"/>
      <c r="G482" s="1056"/>
      <c r="H482" s="1056"/>
      <c r="I482" s="1056"/>
      <c r="J482" s="1056"/>
      <c r="K482" s="1056"/>
      <c r="L482" s="1056"/>
      <c r="M482" s="1056"/>
      <c r="N482" s="1056"/>
      <c r="O482" s="1056"/>
      <c r="P482" s="1056"/>
      <c r="Q482" s="1056"/>
      <c r="R482" s="1056"/>
      <c r="S482" s="1056"/>
      <c r="T482" s="1056"/>
      <c r="U482" s="1056"/>
      <c r="V482" s="1056"/>
      <c r="W482" s="1056"/>
      <c r="X482" s="1056"/>
      <c r="Y482" s="1056"/>
      <c r="Z482" s="1056"/>
      <c r="AA482" s="1056"/>
      <c r="AB482" s="1056"/>
      <c r="AC482" s="1056"/>
    </row>
    <row r="483" spans="1:29" x14ac:dyDescent="0.25">
      <c r="A483" s="1106"/>
      <c r="B483" s="1056"/>
      <c r="C483" s="1056"/>
      <c r="D483" s="1056"/>
      <c r="E483" s="1056"/>
      <c r="F483" s="1056"/>
      <c r="G483" s="1056"/>
      <c r="H483" s="1056"/>
      <c r="I483" s="1056"/>
      <c r="J483" s="1056"/>
      <c r="K483" s="1056"/>
      <c r="L483" s="1056"/>
      <c r="M483" s="1056"/>
      <c r="N483" s="1056"/>
      <c r="O483" s="1056"/>
      <c r="P483" s="1056"/>
      <c r="Q483" s="1056"/>
      <c r="R483" s="1056"/>
      <c r="S483" s="1056"/>
      <c r="T483" s="1056"/>
      <c r="U483" s="1056"/>
      <c r="V483" s="1056"/>
      <c r="W483" s="1056"/>
      <c r="X483" s="1056"/>
      <c r="Y483" s="1056"/>
      <c r="Z483" s="1056"/>
      <c r="AA483" s="1056"/>
      <c r="AB483" s="1056"/>
      <c r="AC483" s="1056"/>
    </row>
    <row r="484" spans="1:29" x14ac:dyDescent="0.25">
      <c r="A484" s="1106"/>
      <c r="B484" s="1056"/>
      <c r="C484" s="1056"/>
      <c r="D484" s="1056"/>
      <c r="E484" s="1056"/>
      <c r="F484" s="1056"/>
      <c r="G484" s="1056"/>
      <c r="H484" s="1056"/>
      <c r="I484" s="1056"/>
      <c r="J484" s="1056"/>
      <c r="K484" s="1056"/>
      <c r="L484" s="1056"/>
      <c r="M484" s="1056"/>
      <c r="N484" s="1056"/>
      <c r="O484" s="1056"/>
      <c r="P484" s="1056"/>
      <c r="Q484" s="1056"/>
      <c r="R484" s="1056"/>
      <c r="S484" s="1056"/>
      <c r="T484" s="1056"/>
      <c r="U484" s="1056"/>
      <c r="V484" s="1056"/>
      <c r="W484" s="1056"/>
      <c r="X484" s="1056"/>
      <c r="Y484" s="1056"/>
      <c r="Z484" s="1056"/>
      <c r="AA484" s="1056"/>
      <c r="AB484" s="1056"/>
      <c r="AC484" s="1056"/>
    </row>
    <row r="485" spans="1:29" x14ac:dyDescent="0.25">
      <c r="A485" s="1106"/>
      <c r="B485" s="1056"/>
      <c r="C485" s="1056"/>
      <c r="D485" s="1056"/>
      <c r="E485" s="1056"/>
      <c r="F485" s="1056"/>
      <c r="G485" s="1056"/>
      <c r="H485" s="1056"/>
      <c r="I485" s="1056"/>
      <c r="J485" s="1056"/>
      <c r="K485" s="1056"/>
      <c r="L485" s="1056"/>
      <c r="M485" s="1056"/>
      <c r="N485" s="1056"/>
      <c r="O485" s="1056"/>
      <c r="P485" s="1056"/>
      <c r="Q485" s="1056"/>
      <c r="R485" s="1056"/>
      <c r="S485" s="1056"/>
      <c r="T485" s="1056"/>
      <c r="U485" s="1056"/>
      <c r="V485" s="1056"/>
      <c r="W485" s="1056"/>
      <c r="X485" s="1056"/>
      <c r="Y485" s="1056"/>
      <c r="Z485" s="1056"/>
      <c r="AA485" s="1056"/>
      <c r="AB485" s="1056"/>
      <c r="AC485" s="1056"/>
    </row>
    <row r="486" spans="1:29" x14ac:dyDescent="0.25">
      <c r="A486" s="1106"/>
      <c r="B486" s="1056"/>
      <c r="C486" s="1056"/>
      <c r="D486" s="1056"/>
      <c r="E486" s="1056"/>
      <c r="F486" s="1056"/>
      <c r="G486" s="1056"/>
      <c r="H486" s="1056"/>
      <c r="I486" s="1056"/>
      <c r="J486" s="1056"/>
      <c r="K486" s="1056"/>
      <c r="L486" s="1056"/>
      <c r="M486" s="1056"/>
      <c r="N486" s="1056"/>
      <c r="O486" s="1056"/>
      <c r="P486" s="1056"/>
      <c r="Q486" s="1056"/>
      <c r="R486" s="1056"/>
      <c r="S486" s="1056"/>
      <c r="T486" s="1056"/>
      <c r="U486" s="1056"/>
      <c r="V486" s="1056"/>
      <c r="W486" s="1056"/>
      <c r="X486" s="1056"/>
      <c r="Y486" s="1056"/>
      <c r="Z486" s="1056"/>
      <c r="AA486" s="1056"/>
      <c r="AB486" s="1056"/>
      <c r="AC486" s="1056"/>
    </row>
    <row r="487" spans="1:29" x14ac:dyDescent="0.25">
      <c r="A487" s="1106"/>
      <c r="B487" s="1056"/>
      <c r="C487" s="1056"/>
      <c r="D487" s="1056"/>
      <c r="E487" s="1056"/>
      <c r="F487" s="1056"/>
      <c r="G487" s="1056"/>
      <c r="H487" s="1056"/>
      <c r="I487" s="1056"/>
      <c r="J487" s="1056"/>
      <c r="K487" s="1056"/>
      <c r="L487" s="1056"/>
      <c r="M487" s="1056"/>
      <c r="N487" s="1056"/>
      <c r="O487" s="1056"/>
      <c r="P487" s="1056"/>
      <c r="Q487" s="1056"/>
      <c r="R487" s="1056"/>
      <c r="S487" s="1056"/>
      <c r="T487" s="1056"/>
      <c r="U487" s="1056"/>
      <c r="V487" s="1056"/>
      <c r="W487" s="1056"/>
      <c r="X487" s="1056"/>
      <c r="Y487" s="1056"/>
      <c r="Z487" s="1056"/>
      <c r="AA487" s="1056"/>
      <c r="AB487" s="1056"/>
      <c r="AC487" s="1056"/>
    </row>
    <row r="488" spans="1:29" x14ac:dyDescent="0.25">
      <c r="A488" s="1106"/>
      <c r="B488" s="1056"/>
      <c r="C488" s="1056"/>
      <c r="D488" s="1056"/>
      <c r="E488" s="1056"/>
      <c r="F488" s="1056"/>
      <c r="G488" s="1056"/>
      <c r="H488" s="1056"/>
      <c r="I488" s="1056"/>
      <c r="J488" s="1056"/>
      <c r="K488" s="1056"/>
      <c r="L488" s="1056"/>
      <c r="M488" s="1056"/>
      <c r="N488" s="1056"/>
      <c r="O488" s="1056"/>
      <c r="P488" s="1056"/>
      <c r="Q488" s="1056"/>
      <c r="R488" s="1056"/>
      <c r="S488" s="1056"/>
      <c r="T488" s="1056"/>
      <c r="U488" s="1056"/>
      <c r="V488" s="1056"/>
      <c r="W488" s="1056"/>
      <c r="X488" s="1056"/>
      <c r="Y488" s="1056"/>
      <c r="Z488" s="1056"/>
      <c r="AA488" s="1056"/>
      <c r="AB488" s="1056"/>
      <c r="AC488" s="1056"/>
    </row>
    <row r="489" spans="1:29" x14ac:dyDescent="0.25">
      <c r="A489" s="1106"/>
      <c r="B489" s="1056"/>
      <c r="C489" s="1056"/>
      <c r="D489" s="1056"/>
      <c r="E489" s="1056"/>
      <c r="F489" s="1056"/>
      <c r="G489" s="1056"/>
      <c r="H489" s="1056"/>
      <c r="I489" s="1056"/>
      <c r="J489" s="1056"/>
      <c r="K489" s="1056"/>
      <c r="L489" s="1056"/>
      <c r="M489" s="1056"/>
      <c r="N489" s="1056"/>
      <c r="O489" s="1056"/>
      <c r="P489" s="1056"/>
      <c r="Q489" s="1056"/>
      <c r="R489" s="1056"/>
      <c r="S489" s="1056"/>
      <c r="T489" s="1056"/>
      <c r="U489" s="1056"/>
      <c r="V489" s="1056"/>
      <c r="W489" s="1056"/>
      <c r="X489" s="1056"/>
      <c r="Y489" s="1056"/>
      <c r="Z489" s="1056"/>
      <c r="AA489" s="1056"/>
      <c r="AB489" s="1056"/>
      <c r="AC489" s="1056"/>
    </row>
    <row r="490" spans="1:29" x14ac:dyDescent="0.25">
      <c r="A490" s="1106"/>
      <c r="B490" s="1056"/>
      <c r="C490" s="1056"/>
      <c r="D490" s="1056"/>
      <c r="E490" s="1056"/>
      <c r="F490" s="1056"/>
      <c r="G490" s="1056"/>
      <c r="H490" s="1056"/>
      <c r="I490" s="1056"/>
      <c r="J490" s="1056"/>
      <c r="K490" s="1056"/>
      <c r="L490" s="1056"/>
      <c r="M490" s="1056"/>
      <c r="N490" s="1056"/>
      <c r="O490" s="1056"/>
      <c r="P490" s="1056"/>
      <c r="Q490" s="1056"/>
      <c r="R490" s="1056"/>
      <c r="S490" s="1056"/>
      <c r="T490" s="1056"/>
      <c r="U490" s="1056"/>
      <c r="V490" s="1056"/>
      <c r="W490" s="1056"/>
      <c r="X490" s="1056"/>
      <c r="Y490" s="1056"/>
      <c r="Z490" s="1056"/>
      <c r="AA490" s="1056"/>
      <c r="AB490" s="1056"/>
      <c r="AC490" s="1056"/>
    </row>
    <row r="491" spans="1:29" x14ac:dyDescent="0.25">
      <c r="A491" s="1106"/>
      <c r="B491" s="1056"/>
      <c r="C491" s="1056"/>
      <c r="D491" s="1056"/>
      <c r="E491" s="1056"/>
      <c r="F491" s="1056"/>
      <c r="G491" s="1056"/>
      <c r="H491" s="1056"/>
      <c r="I491" s="1056"/>
      <c r="J491" s="1056"/>
      <c r="K491" s="1056"/>
      <c r="L491" s="1056"/>
      <c r="M491" s="1056"/>
      <c r="N491" s="1056"/>
      <c r="O491" s="1056"/>
      <c r="P491" s="1056"/>
      <c r="Q491" s="1056"/>
      <c r="R491" s="1056"/>
      <c r="S491" s="1056"/>
      <c r="T491" s="1056"/>
      <c r="U491" s="1056"/>
      <c r="V491" s="1056"/>
      <c r="W491" s="1056"/>
      <c r="X491" s="1056"/>
      <c r="Y491" s="1056"/>
      <c r="Z491" s="1056"/>
      <c r="AA491" s="1056"/>
      <c r="AB491" s="1056"/>
      <c r="AC491" s="1056"/>
    </row>
    <row r="492" spans="1:29" x14ac:dyDescent="0.25">
      <c r="A492" s="1106"/>
      <c r="B492" s="1056"/>
      <c r="C492" s="1056"/>
      <c r="D492" s="1056"/>
      <c r="E492" s="1056"/>
      <c r="F492" s="1056"/>
      <c r="G492" s="1056"/>
      <c r="H492" s="1056"/>
      <c r="I492" s="1056"/>
      <c r="J492" s="1056"/>
      <c r="K492" s="1056"/>
      <c r="L492" s="1056"/>
      <c r="M492" s="1056"/>
      <c r="N492" s="1056"/>
      <c r="O492" s="1056"/>
      <c r="P492" s="1056"/>
      <c r="Q492" s="1056"/>
      <c r="R492" s="1056"/>
      <c r="S492" s="1056"/>
      <c r="T492" s="1056"/>
      <c r="U492" s="1056"/>
      <c r="V492" s="1056"/>
      <c r="W492" s="1056"/>
      <c r="X492" s="1056"/>
      <c r="Y492" s="1056"/>
      <c r="Z492" s="1056"/>
      <c r="AA492" s="1056"/>
      <c r="AB492" s="1056"/>
      <c r="AC492" s="1056"/>
    </row>
    <row r="493" spans="1:29" x14ac:dyDescent="0.25">
      <c r="A493" s="1106"/>
      <c r="B493" s="1056"/>
      <c r="C493" s="1056"/>
      <c r="D493" s="1056"/>
      <c r="E493" s="1056"/>
      <c r="F493" s="1056"/>
      <c r="G493" s="1056"/>
      <c r="H493" s="1056"/>
      <c r="I493" s="1056"/>
      <c r="J493" s="1056"/>
      <c r="K493" s="1056"/>
      <c r="L493" s="1056"/>
      <c r="M493" s="1056"/>
      <c r="N493" s="1056"/>
      <c r="O493" s="1056"/>
      <c r="P493" s="1056"/>
      <c r="Q493" s="1056"/>
      <c r="R493" s="1056"/>
      <c r="S493" s="1056"/>
      <c r="T493" s="1056"/>
      <c r="U493" s="1056"/>
      <c r="V493" s="1056"/>
      <c r="W493" s="1056"/>
      <c r="X493" s="1056"/>
      <c r="Y493" s="1056"/>
      <c r="Z493" s="1056"/>
      <c r="AA493" s="1056"/>
      <c r="AB493" s="1056"/>
      <c r="AC493" s="1056"/>
    </row>
    <row r="494" spans="1:29" x14ac:dyDescent="0.25">
      <c r="A494" s="1106"/>
      <c r="B494" s="1056"/>
      <c r="C494" s="1056"/>
      <c r="D494" s="1056"/>
      <c r="E494" s="1056"/>
      <c r="F494" s="1056"/>
      <c r="G494" s="1056"/>
      <c r="H494" s="1056"/>
      <c r="I494" s="1056"/>
      <c r="J494" s="1056"/>
      <c r="K494" s="1056"/>
      <c r="L494" s="1056"/>
      <c r="M494" s="1056"/>
      <c r="N494" s="1056"/>
      <c r="O494" s="1056"/>
      <c r="P494" s="1056"/>
      <c r="Q494" s="1056"/>
      <c r="R494" s="1056"/>
      <c r="S494" s="1056"/>
      <c r="T494" s="1056"/>
      <c r="U494" s="1056"/>
      <c r="V494" s="1056"/>
      <c r="W494" s="1056"/>
      <c r="X494" s="1056"/>
      <c r="Y494" s="1056"/>
      <c r="Z494" s="1056"/>
      <c r="AA494" s="1056"/>
      <c r="AB494" s="1056"/>
      <c r="AC494" s="1056"/>
    </row>
    <row r="495" spans="1:29" x14ac:dyDescent="0.25">
      <c r="A495" s="1106"/>
      <c r="B495" s="1056"/>
      <c r="C495" s="1056"/>
      <c r="D495" s="1056"/>
      <c r="E495" s="1056"/>
      <c r="F495" s="1056"/>
      <c r="G495" s="1056"/>
      <c r="H495" s="1056"/>
      <c r="I495" s="1056"/>
      <c r="J495" s="1056"/>
      <c r="K495" s="1056"/>
      <c r="L495" s="1056"/>
      <c r="M495" s="1056"/>
      <c r="N495" s="1056"/>
      <c r="O495" s="1056"/>
      <c r="P495" s="1056"/>
      <c r="Q495" s="1056"/>
      <c r="R495" s="1056"/>
      <c r="S495" s="1056"/>
      <c r="T495" s="1056"/>
      <c r="U495" s="1056"/>
      <c r="V495" s="1056"/>
      <c r="W495" s="1056"/>
      <c r="X495" s="1056"/>
      <c r="Y495" s="1056"/>
      <c r="Z495" s="1056"/>
      <c r="AA495" s="1056"/>
      <c r="AB495" s="1056"/>
      <c r="AC495" s="1056"/>
    </row>
    <row r="496" spans="1:29" x14ac:dyDescent="0.25">
      <c r="A496" s="1106"/>
      <c r="B496" s="1056"/>
      <c r="C496" s="1056"/>
      <c r="D496" s="1056"/>
      <c r="E496" s="1056"/>
      <c r="F496" s="1056"/>
      <c r="G496" s="1056"/>
      <c r="H496" s="1056"/>
      <c r="I496" s="1056"/>
      <c r="J496" s="1056"/>
      <c r="K496" s="1056"/>
      <c r="L496" s="1056"/>
      <c r="M496" s="1056"/>
      <c r="N496" s="1056"/>
      <c r="O496" s="1056"/>
      <c r="P496" s="1056"/>
      <c r="Q496" s="1056"/>
      <c r="R496" s="1056"/>
      <c r="S496" s="1056"/>
      <c r="T496" s="1056"/>
      <c r="U496" s="1056"/>
      <c r="V496" s="1056"/>
      <c r="W496" s="1056"/>
      <c r="X496" s="1056"/>
      <c r="Y496" s="1056"/>
      <c r="Z496" s="1056"/>
      <c r="AA496" s="1056"/>
      <c r="AB496" s="1056"/>
      <c r="AC496" s="1056"/>
    </row>
    <row r="497" spans="1:29" x14ac:dyDescent="0.25">
      <c r="A497" s="1106"/>
      <c r="B497" s="1056"/>
      <c r="C497" s="1056"/>
      <c r="D497" s="1056"/>
      <c r="E497" s="1056"/>
      <c r="F497" s="1056"/>
      <c r="G497" s="1056"/>
      <c r="H497" s="1056"/>
      <c r="I497" s="1056"/>
      <c r="J497" s="1056"/>
      <c r="K497" s="1056"/>
      <c r="L497" s="1056"/>
      <c r="M497" s="1056"/>
      <c r="N497" s="1056"/>
      <c r="O497" s="1056"/>
      <c r="P497" s="1056"/>
      <c r="Q497" s="1056"/>
      <c r="R497" s="1056"/>
      <c r="S497" s="1056"/>
      <c r="T497" s="1056"/>
      <c r="U497" s="1056"/>
      <c r="V497" s="1056"/>
      <c r="W497" s="1056"/>
      <c r="X497" s="1056"/>
      <c r="Y497" s="1056"/>
      <c r="Z497" s="1056"/>
      <c r="AA497" s="1056"/>
      <c r="AB497" s="1056"/>
      <c r="AC497" s="1056"/>
    </row>
    <row r="498" spans="1:29" x14ac:dyDescent="0.25">
      <c r="A498" s="1106"/>
      <c r="B498" s="1056"/>
      <c r="C498" s="1056"/>
      <c r="D498" s="1056"/>
      <c r="E498" s="1056"/>
      <c r="F498" s="1056"/>
      <c r="G498" s="1056"/>
      <c r="H498" s="1056"/>
      <c r="I498" s="1056"/>
      <c r="J498" s="1056"/>
      <c r="K498" s="1056"/>
      <c r="L498" s="1056"/>
      <c r="M498" s="1056"/>
      <c r="N498" s="1056"/>
      <c r="O498" s="1056"/>
      <c r="P498" s="1056"/>
      <c r="Q498" s="1056"/>
      <c r="R498" s="1056"/>
      <c r="S498" s="1056"/>
      <c r="T498" s="1056"/>
      <c r="U498" s="1056"/>
      <c r="V498" s="1056"/>
      <c r="W498" s="1056"/>
      <c r="X498" s="1056"/>
      <c r="Y498" s="1056"/>
      <c r="Z498" s="1056"/>
      <c r="AA498" s="1056"/>
      <c r="AB498" s="1056"/>
      <c r="AC498" s="1056"/>
    </row>
    <row r="499" spans="1:29" x14ac:dyDescent="0.25">
      <c r="A499" s="1106"/>
      <c r="B499" s="1056"/>
      <c r="C499" s="1056"/>
      <c r="D499" s="1056"/>
      <c r="E499" s="1056"/>
      <c r="F499" s="1056"/>
      <c r="G499" s="1056"/>
      <c r="H499" s="1056"/>
      <c r="I499" s="1056"/>
      <c r="J499" s="1056"/>
      <c r="K499" s="1056"/>
      <c r="L499" s="1056"/>
      <c r="M499" s="1056"/>
      <c r="N499" s="1056"/>
      <c r="O499" s="1056"/>
      <c r="P499" s="1056"/>
      <c r="Q499" s="1056"/>
      <c r="R499" s="1056"/>
      <c r="S499" s="1056"/>
      <c r="T499" s="1056"/>
      <c r="U499" s="1056"/>
      <c r="V499" s="1056"/>
      <c r="W499" s="1056"/>
      <c r="X499" s="1056"/>
      <c r="Y499" s="1056"/>
      <c r="Z499" s="1056"/>
      <c r="AA499" s="1056"/>
      <c r="AB499" s="1056"/>
      <c r="AC499" s="1056"/>
    </row>
    <row r="500" spans="1:29" x14ac:dyDescent="0.25">
      <c r="A500" s="1106"/>
      <c r="B500" s="1056"/>
      <c r="C500" s="1056"/>
      <c r="D500" s="1056"/>
      <c r="E500" s="1056"/>
      <c r="F500" s="1056"/>
      <c r="G500" s="1056"/>
      <c r="H500" s="1056"/>
      <c r="I500" s="1056"/>
      <c r="J500" s="1056"/>
      <c r="K500" s="1056"/>
      <c r="L500" s="1056"/>
      <c r="M500" s="1056"/>
      <c r="N500" s="1056"/>
      <c r="O500" s="1056"/>
      <c r="P500" s="1056"/>
      <c r="Q500" s="1056"/>
      <c r="R500" s="1056"/>
      <c r="S500" s="1056"/>
      <c r="T500" s="1056"/>
      <c r="U500" s="1056"/>
      <c r="V500" s="1056"/>
      <c r="W500" s="1056"/>
      <c r="X500" s="1056"/>
      <c r="Y500" s="1056"/>
      <c r="Z500" s="1056"/>
      <c r="AA500" s="1056"/>
      <c r="AB500" s="1056"/>
      <c r="AC500" s="1056"/>
    </row>
    <row r="501" spans="1:29" x14ac:dyDescent="0.25">
      <c r="A501" s="1106"/>
      <c r="B501" s="1056"/>
      <c r="C501" s="1056"/>
      <c r="D501" s="1056"/>
      <c r="E501" s="1056"/>
      <c r="F501" s="1056"/>
      <c r="G501" s="1056"/>
      <c r="H501" s="1056"/>
      <c r="I501" s="1056"/>
      <c r="J501" s="1056"/>
      <c r="K501" s="1056"/>
      <c r="L501" s="1056"/>
      <c r="M501" s="1056"/>
      <c r="N501" s="1056"/>
      <c r="O501" s="1056"/>
      <c r="P501" s="1056"/>
      <c r="Q501" s="1056"/>
      <c r="R501" s="1056"/>
      <c r="S501" s="1056"/>
      <c r="T501" s="1056"/>
      <c r="U501" s="1056"/>
      <c r="V501" s="1056"/>
      <c r="W501" s="1056"/>
      <c r="X501" s="1056"/>
      <c r="Y501" s="1056"/>
      <c r="Z501" s="1056"/>
      <c r="AA501" s="1056"/>
      <c r="AB501" s="1056"/>
      <c r="AC501" s="1056"/>
    </row>
    <row r="502" spans="1:29" x14ac:dyDescent="0.25">
      <c r="A502" s="1106"/>
      <c r="B502" s="1056"/>
      <c r="C502" s="1056"/>
      <c r="D502" s="1056"/>
      <c r="E502" s="1056"/>
      <c r="F502" s="1056"/>
      <c r="G502" s="1056"/>
      <c r="H502" s="1056"/>
      <c r="I502" s="1056"/>
      <c r="J502" s="1056"/>
      <c r="K502" s="1056"/>
      <c r="L502" s="1056"/>
      <c r="M502" s="1056"/>
      <c r="N502" s="1056"/>
      <c r="O502" s="1056"/>
      <c r="P502" s="1056"/>
      <c r="Q502" s="1056"/>
      <c r="R502" s="1056"/>
      <c r="S502" s="1056"/>
      <c r="T502" s="1056"/>
      <c r="U502" s="1056"/>
      <c r="V502" s="1056"/>
      <c r="W502" s="1056"/>
      <c r="X502" s="1056"/>
      <c r="Y502" s="1056"/>
      <c r="Z502" s="1056"/>
      <c r="AA502" s="1056"/>
      <c r="AB502" s="1056"/>
      <c r="AC502" s="1056"/>
    </row>
    <row r="503" spans="1:29" x14ac:dyDescent="0.25">
      <c r="A503" s="1106"/>
      <c r="B503" s="1056"/>
      <c r="C503" s="1056"/>
      <c r="D503" s="1056"/>
      <c r="E503" s="1056"/>
      <c r="F503" s="1056"/>
      <c r="G503" s="1056"/>
      <c r="H503" s="1056"/>
      <c r="I503" s="1056"/>
      <c r="J503" s="1056"/>
      <c r="K503" s="1056"/>
      <c r="L503" s="1056"/>
      <c r="M503" s="1056"/>
      <c r="N503" s="1056"/>
      <c r="O503" s="1056"/>
      <c r="P503" s="1056"/>
      <c r="Q503" s="1056"/>
      <c r="R503" s="1056"/>
      <c r="S503" s="1056"/>
      <c r="T503" s="1056"/>
      <c r="U503" s="1056"/>
      <c r="V503" s="1056"/>
      <c r="W503" s="1056"/>
      <c r="X503" s="1056"/>
      <c r="Y503" s="1056"/>
      <c r="Z503" s="1056"/>
      <c r="AA503" s="1056"/>
      <c r="AB503" s="1056"/>
      <c r="AC503" s="1056"/>
    </row>
    <row r="504" spans="1:29" x14ac:dyDescent="0.25">
      <c r="A504" s="1106"/>
      <c r="B504" s="1056"/>
      <c r="C504" s="1056"/>
      <c r="D504" s="1056"/>
      <c r="E504" s="1056"/>
      <c r="F504" s="1056"/>
      <c r="G504" s="1056"/>
      <c r="H504" s="1056"/>
      <c r="I504" s="1056"/>
      <c r="J504" s="1056"/>
      <c r="K504" s="1056"/>
      <c r="L504" s="1056"/>
      <c r="M504" s="1056"/>
      <c r="N504" s="1056"/>
      <c r="O504" s="1056"/>
      <c r="P504" s="1056"/>
      <c r="Q504" s="1056"/>
      <c r="R504" s="1056"/>
      <c r="S504" s="1056"/>
      <c r="T504" s="1056"/>
      <c r="U504" s="1056"/>
      <c r="V504" s="1056"/>
      <c r="W504" s="1056"/>
      <c r="X504" s="1056"/>
      <c r="Y504" s="1056"/>
      <c r="Z504" s="1056"/>
      <c r="AA504" s="1056"/>
      <c r="AB504" s="1056"/>
      <c r="AC504" s="1056"/>
    </row>
    <row r="505" spans="1:29" x14ac:dyDescent="0.25">
      <c r="A505" s="1106"/>
      <c r="B505" s="1056"/>
      <c r="C505" s="1056"/>
      <c r="D505" s="1056"/>
      <c r="E505" s="1056"/>
      <c r="F505" s="1056"/>
      <c r="G505" s="1056"/>
      <c r="H505" s="1056"/>
      <c r="I505" s="1056"/>
      <c r="J505" s="1056"/>
      <c r="K505" s="1056"/>
      <c r="L505" s="1056"/>
      <c r="M505" s="1056"/>
      <c r="N505" s="1056"/>
      <c r="O505" s="1056"/>
      <c r="P505" s="1056"/>
      <c r="Q505" s="1056"/>
      <c r="R505" s="1056"/>
      <c r="S505" s="1056"/>
      <c r="T505" s="1056"/>
      <c r="U505" s="1056"/>
      <c r="V505" s="1056"/>
      <c r="W505" s="1056"/>
      <c r="X505" s="1056"/>
      <c r="Y505" s="1056"/>
      <c r="Z505" s="1056"/>
      <c r="AA505" s="1056"/>
      <c r="AB505" s="1056"/>
      <c r="AC505" s="1056"/>
    </row>
    <row r="506" spans="1:29" x14ac:dyDescent="0.25">
      <c r="A506" s="1106"/>
      <c r="B506" s="1056"/>
      <c r="C506" s="1056"/>
      <c r="D506" s="1056"/>
      <c r="E506" s="1056"/>
      <c r="F506" s="1056"/>
      <c r="G506" s="1056"/>
      <c r="H506" s="1056"/>
      <c r="I506" s="1056"/>
      <c r="J506" s="1056"/>
      <c r="K506" s="1056"/>
      <c r="L506" s="1056"/>
      <c r="M506" s="1056"/>
      <c r="N506" s="1056"/>
      <c r="O506" s="1056"/>
      <c r="P506" s="1056"/>
      <c r="Q506" s="1056"/>
      <c r="R506" s="1056"/>
      <c r="S506" s="1056"/>
      <c r="T506" s="1056"/>
      <c r="U506" s="1056"/>
      <c r="V506" s="1056"/>
      <c r="W506" s="1056"/>
      <c r="X506" s="1056"/>
      <c r="Y506" s="1056"/>
      <c r="Z506" s="1056"/>
      <c r="AA506" s="1056"/>
      <c r="AB506" s="1056"/>
      <c r="AC506" s="1056"/>
    </row>
    <row r="507" spans="1:29" x14ac:dyDescent="0.25">
      <c r="A507" s="1106"/>
      <c r="B507" s="1056"/>
      <c r="C507" s="1056"/>
      <c r="D507" s="1056"/>
      <c r="E507" s="1056"/>
      <c r="F507" s="1056"/>
      <c r="G507" s="1056"/>
      <c r="H507" s="1056"/>
      <c r="I507" s="1056"/>
      <c r="J507" s="1056"/>
      <c r="K507" s="1056"/>
      <c r="L507" s="1056"/>
      <c r="M507" s="1056"/>
      <c r="N507" s="1056"/>
      <c r="O507" s="1056"/>
      <c r="P507" s="1056"/>
      <c r="Q507" s="1056"/>
      <c r="R507" s="1056"/>
      <c r="S507" s="1056"/>
      <c r="T507" s="1056"/>
      <c r="U507" s="1056"/>
      <c r="V507" s="1056"/>
      <c r="W507" s="1056"/>
      <c r="X507" s="1056"/>
      <c r="Y507" s="1056"/>
      <c r="Z507" s="1056"/>
      <c r="AA507" s="1056"/>
      <c r="AB507" s="1056"/>
      <c r="AC507" s="1056"/>
    </row>
    <row r="508" spans="1:29" x14ac:dyDescent="0.25">
      <c r="A508" s="1106"/>
      <c r="B508" s="1056"/>
      <c r="C508" s="1056"/>
      <c r="D508" s="1056"/>
      <c r="E508" s="1056"/>
      <c r="F508" s="1056"/>
      <c r="G508" s="1056"/>
      <c r="H508" s="1056"/>
      <c r="I508" s="1056"/>
      <c r="J508" s="1056"/>
      <c r="K508" s="1056"/>
      <c r="L508" s="1056"/>
      <c r="M508" s="1056"/>
      <c r="N508" s="1056"/>
      <c r="O508" s="1056"/>
      <c r="P508" s="1056"/>
      <c r="Q508" s="1056"/>
      <c r="R508" s="1056"/>
      <c r="S508" s="1056"/>
      <c r="T508" s="1056"/>
      <c r="U508" s="1056"/>
      <c r="V508" s="1056"/>
      <c r="W508" s="1056"/>
      <c r="X508" s="1056"/>
      <c r="Y508" s="1056"/>
      <c r="Z508" s="1056"/>
      <c r="AA508" s="1056"/>
      <c r="AB508" s="1056"/>
      <c r="AC508" s="1056"/>
    </row>
    <row r="509" spans="1:29" x14ac:dyDescent="0.25">
      <c r="A509" s="1106"/>
      <c r="B509" s="1056"/>
      <c r="C509" s="1056"/>
      <c r="D509" s="1056"/>
      <c r="E509" s="1056"/>
      <c r="F509" s="1056"/>
      <c r="G509" s="1056"/>
      <c r="H509" s="1056"/>
      <c r="I509" s="1056"/>
      <c r="J509" s="1056"/>
      <c r="K509" s="1056"/>
      <c r="L509" s="1056"/>
      <c r="M509" s="1056"/>
      <c r="N509" s="1056"/>
      <c r="O509" s="1056"/>
      <c r="P509" s="1056"/>
      <c r="Q509" s="1056"/>
      <c r="R509" s="1056"/>
      <c r="S509" s="1056"/>
      <c r="T509" s="1056"/>
      <c r="U509" s="1056"/>
      <c r="V509" s="1056"/>
      <c r="W509" s="1056"/>
      <c r="X509" s="1056"/>
      <c r="Y509" s="1056"/>
      <c r="Z509" s="1056"/>
      <c r="AA509" s="1056"/>
      <c r="AB509" s="1056"/>
      <c r="AC509" s="1056"/>
    </row>
    <row r="510" spans="1:29" x14ac:dyDescent="0.25">
      <c r="A510" s="1106"/>
      <c r="B510" s="1056"/>
      <c r="C510" s="1056"/>
      <c r="D510" s="1056"/>
      <c r="E510" s="1056"/>
      <c r="F510" s="1056"/>
      <c r="G510" s="1056"/>
      <c r="H510" s="1056"/>
      <c r="I510" s="1056"/>
      <c r="J510" s="1056"/>
      <c r="K510" s="1056"/>
      <c r="L510" s="1056"/>
      <c r="M510" s="1056"/>
      <c r="N510" s="1056"/>
      <c r="O510" s="1056"/>
      <c r="P510" s="1056"/>
      <c r="Q510" s="1056"/>
      <c r="R510" s="1056"/>
      <c r="S510" s="1056"/>
      <c r="T510" s="1056"/>
      <c r="U510" s="1056"/>
      <c r="V510" s="1056"/>
      <c r="W510" s="1056"/>
      <c r="X510" s="1056"/>
      <c r="Y510" s="1056"/>
      <c r="Z510" s="1056"/>
      <c r="AA510" s="1056"/>
      <c r="AB510" s="1056"/>
      <c r="AC510" s="1056"/>
    </row>
    <row r="511" spans="1:29" x14ac:dyDescent="0.25">
      <c r="A511" s="1106"/>
      <c r="B511" s="1056"/>
      <c r="C511" s="1056"/>
      <c r="D511" s="1056"/>
      <c r="E511" s="1056"/>
      <c r="F511" s="1056"/>
      <c r="G511" s="1056"/>
      <c r="H511" s="1056"/>
      <c r="I511" s="1056"/>
      <c r="J511" s="1056"/>
      <c r="K511" s="1056"/>
      <c r="L511" s="1056"/>
      <c r="M511" s="1056"/>
      <c r="N511" s="1056"/>
      <c r="O511" s="1056"/>
      <c r="P511" s="1056"/>
      <c r="Q511" s="1056"/>
      <c r="R511" s="1056"/>
      <c r="S511" s="1056"/>
      <c r="T511" s="1056"/>
      <c r="U511" s="1056"/>
      <c r="V511" s="1056"/>
      <c r="W511" s="1056"/>
      <c r="X511" s="1056"/>
      <c r="Y511" s="1056"/>
      <c r="Z511" s="1056"/>
      <c r="AA511" s="1056"/>
      <c r="AB511" s="1056"/>
      <c r="AC511" s="1056"/>
    </row>
    <row r="512" spans="1:29" x14ac:dyDescent="0.25">
      <c r="A512" s="1106"/>
      <c r="B512" s="1056"/>
      <c r="C512" s="1056"/>
      <c r="D512" s="1056"/>
      <c r="E512" s="1056"/>
      <c r="F512" s="1056"/>
      <c r="G512" s="1056"/>
      <c r="H512" s="1056"/>
      <c r="I512" s="1056"/>
      <c r="J512" s="1056"/>
      <c r="K512" s="1056"/>
      <c r="L512" s="1056"/>
      <c r="M512" s="1056"/>
      <c r="N512" s="1056"/>
      <c r="O512" s="1056"/>
      <c r="P512" s="1056"/>
      <c r="Q512" s="1056"/>
      <c r="R512" s="1056"/>
      <c r="S512" s="1056"/>
      <c r="T512" s="1056"/>
      <c r="U512" s="1056"/>
      <c r="V512" s="1056"/>
      <c r="W512" s="1056"/>
      <c r="X512" s="1056"/>
      <c r="Y512" s="1056"/>
      <c r="Z512" s="1056"/>
      <c r="AA512" s="1056"/>
      <c r="AB512" s="1056"/>
      <c r="AC512" s="1056"/>
    </row>
    <row r="513" spans="1:29" x14ac:dyDescent="0.25">
      <c r="A513" s="1106"/>
      <c r="B513" s="1056"/>
      <c r="C513" s="1056"/>
      <c r="D513" s="1056"/>
      <c r="E513" s="1056"/>
      <c r="F513" s="1056"/>
      <c r="G513" s="1056"/>
      <c r="H513" s="1056"/>
      <c r="I513" s="1056"/>
      <c r="J513" s="1056"/>
      <c r="K513" s="1056"/>
      <c r="L513" s="1056"/>
      <c r="M513" s="1056"/>
      <c r="N513" s="1056"/>
      <c r="O513" s="1056"/>
      <c r="P513" s="1056"/>
      <c r="Q513" s="1056"/>
      <c r="R513" s="1056"/>
      <c r="S513" s="1056"/>
      <c r="T513" s="1056"/>
      <c r="U513" s="1056"/>
      <c r="V513" s="1056"/>
      <c r="W513" s="1056"/>
      <c r="X513" s="1056"/>
      <c r="Y513" s="1056"/>
      <c r="Z513" s="1056"/>
      <c r="AA513" s="1056"/>
      <c r="AB513" s="1056"/>
      <c r="AC513" s="1056"/>
    </row>
    <row r="514" spans="1:29" x14ac:dyDescent="0.25">
      <c r="A514" s="1106"/>
      <c r="B514" s="1056"/>
      <c r="C514" s="1056"/>
      <c r="D514" s="1056"/>
      <c r="E514" s="1056"/>
      <c r="F514" s="1056"/>
      <c r="G514" s="1056"/>
      <c r="H514" s="1056"/>
      <c r="I514" s="1056"/>
      <c r="J514" s="1056"/>
      <c r="K514" s="1056"/>
      <c r="L514" s="1056"/>
      <c r="M514" s="1056"/>
      <c r="N514" s="1056"/>
      <c r="O514" s="1056"/>
      <c r="P514" s="1056"/>
      <c r="Q514" s="1056"/>
      <c r="R514" s="1056"/>
      <c r="S514" s="1056"/>
      <c r="T514" s="1056"/>
      <c r="U514" s="1056"/>
      <c r="V514" s="1056"/>
      <c r="W514" s="1056"/>
      <c r="X514" s="1056"/>
      <c r="Y514" s="1056"/>
      <c r="Z514" s="1056"/>
      <c r="AA514" s="1056"/>
      <c r="AB514" s="1056"/>
      <c r="AC514" s="1056"/>
    </row>
    <row r="515" spans="1:29" x14ac:dyDescent="0.25">
      <c r="A515" s="1106"/>
      <c r="B515" s="1056"/>
      <c r="C515" s="1056"/>
      <c r="D515" s="1056"/>
      <c r="E515" s="1056"/>
      <c r="F515" s="1056"/>
      <c r="G515" s="1056"/>
      <c r="H515" s="1056"/>
      <c r="I515" s="1056"/>
      <c r="J515" s="1056"/>
      <c r="K515" s="1056"/>
      <c r="L515" s="1056"/>
      <c r="M515" s="1056"/>
      <c r="N515" s="1056"/>
      <c r="O515" s="1056"/>
      <c r="P515" s="1056"/>
      <c r="Q515" s="1056"/>
      <c r="R515" s="1056"/>
      <c r="S515" s="1056"/>
      <c r="T515" s="1056"/>
      <c r="U515" s="1056"/>
      <c r="V515" s="1056"/>
      <c r="W515" s="1056"/>
      <c r="X515" s="1056"/>
      <c r="Y515" s="1056"/>
      <c r="Z515" s="1056"/>
      <c r="AA515" s="1056"/>
      <c r="AB515" s="1056"/>
      <c r="AC515" s="1056"/>
    </row>
    <row r="516" spans="1:29" x14ac:dyDescent="0.25">
      <c r="A516" s="1106"/>
      <c r="B516" s="1056"/>
      <c r="C516" s="1056"/>
      <c r="D516" s="1056"/>
      <c r="E516" s="1056"/>
      <c r="F516" s="1056"/>
      <c r="G516" s="1056"/>
      <c r="H516" s="1056"/>
      <c r="I516" s="1056"/>
      <c r="J516" s="1056"/>
      <c r="K516" s="1056"/>
      <c r="L516" s="1056"/>
      <c r="M516" s="1056"/>
      <c r="N516" s="1056"/>
      <c r="O516" s="1056"/>
      <c r="P516" s="1056"/>
      <c r="Q516" s="1056"/>
      <c r="R516" s="1056"/>
      <c r="S516" s="1056"/>
      <c r="T516" s="1056"/>
      <c r="U516" s="1056"/>
      <c r="V516" s="1056"/>
      <c r="W516" s="1056"/>
      <c r="X516" s="1056"/>
      <c r="Y516" s="1056"/>
      <c r="Z516" s="1056"/>
      <c r="AA516" s="1056"/>
      <c r="AB516" s="1056"/>
      <c r="AC516" s="1056"/>
    </row>
    <row r="517" spans="1:29" x14ac:dyDescent="0.25">
      <c r="A517" s="1106"/>
      <c r="B517" s="1056"/>
      <c r="C517" s="1056"/>
      <c r="D517" s="1056"/>
      <c r="E517" s="1056"/>
      <c r="F517" s="1056"/>
      <c r="G517" s="1056"/>
      <c r="H517" s="1056"/>
      <c r="I517" s="1056"/>
      <c r="J517" s="1056"/>
      <c r="K517" s="1056"/>
      <c r="L517" s="1056"/>
      <c r="M517" s="1056"/>
      <c r="N517" s="1056"/>
      <c r="O517" s="1056"/>
      <c r="P517" s="1056"/>
      <c r="Q517" s="1056"/>
      <c r="R517" s="1056"/>
      <c r="S517" s="1056"/>
      <c r="T517" s="1056"/>
      <c r="U517" s="1056"/>
      <c r="V517" s="1056"/>
      <c r="W517" s="1056"/>
      <c r="X517" s="1056"/>
      <c r="Y517" s="1056"/>
      <c r="Z517" s="1056"/>
      <c r="AA517" s="1056"/>
      <c r="AB517" s="1056"/>
      <c r="AC517" s="1056"/>
    </row>
    <row r="518" spans="1:29" x14ac:dyDescent="0.25">
      <c r="A518" s="1106"/>
      <c r="B518" s="1056"/>
      <c r="C518" s="1056"/>
      <c r="D518" s="1056"/>
      <c r="E518" s="1056"/>
      <c r="F518" s="1056"/>
      <c r="G518" s="1056"/>
      <c r="H518" s="1056"/>
      <c r="I518" s="1056"/>
      <c r="J518" s="1056"/>
      <c r="K518" s="1056"/>
      <c r="L518" s="1056"/>
      <c r="M518" s="1056"/>
      <c r="N518" s="1056"/>
      <c r="O518" s="1056"/>
      <c r="P518" s="1056"/>
      <c r="Q518" s="1056"/>
      <c r="R518" s="1056"/>
      <c r="S518" s="1056"/>
      <c r="T518" s="1056"/>
      <c r="U518" s="1056"/>
      <c r="V518" s="1056"/>
      <c r="W518" s="1056"/>
      <c r="X518" s="1056"/>
      <c r="Y518" s="1056"/>
      <c r="Z518" s="1056"/>
      <c r="AA518" s="1056"/>
      <c r="AB518" s="1056"/>
      <c r="AC518" s="1056"/>
    </row>
    <row r="519" spans="1:29" x14ac:dyDescent="0.25">
      <c r="A519" s="1106"/>
      <c r="B519" s="1056"/>
      <c r="C519" s="1056"/>
      <c r="D519" s="1056"/>
      <c r="E519" s="1056"/>
      <c r="F519" s="1056"/>
      <c r="G519" s="1056"/>
      <c r="H519" s="1056"/>
      <c r="I519" s="1056"/>
      <c r="J519" s="1056"/>
      <c r="K519" s="1056"/>
      <c r="L519" s="1056"/>
      <c r="M519" s="1056"/>
      <c r="N519" s="1056"/>
      <c r="O519" s="1056"/>
      <c r="P519" s="1056"/>
      <c r="Q519" s="1056"/>
      <c r="R519" s="1056"/>
      <c r="S519" s="1056"/>
      <c r="T519" s="1056"/>
      <c r="U519" s="1056"/>
      <c r="V519" s="1056"/>
      <c r="W519" s="1056"/>
      <c r="X519" s="1056"/>
      <c r="Y519" s="1056"/>
      <c r="Z519" s="1056"/>
      <c r="AA519" s="1056"/>
      <c r="AB519" s="1056"/>
      <c r="AC519" s="1056"/>
    </row>
    <row r="520" spans="1:29" x14ac:dyDescent="0.25">
      <c r="A520" s="1106"/>
      <c r="B520" s="1056"/>
      <c r="C520" s="1056"/>
      <c r="D520" s="1056"/>
      <c r="E520" s="1056"/>
      <c r="F520" s="1056"/>
      <c r="G520" s="1056"/>
      <c r="H520" s="1056"/>
      <c r="I520" s="1056"/>
      <c r="J520" s="1056"/>
      <c r="K520" s="1056"/>
      <c r="L520" s="1056"/>
      <c r="M520" s="1056"/>
      <c r="N520" s="1056"/>
      <c r="O520" s="1056"/>
      <c r="P520" s="1056"/>
      <c r="Q520" s="1056"/>
      <c r="R520" s="1056"/>
      <c r="S520" s="1056"/>
      <c r="T520" s="1056"/>
      <c r="U520" s="1056"/>
      <c r="V520" s="1056"/>
      <c r="W520" s="1056"/>
      <c r="X520" s="1056"/>
      <c r="Y520" s="1056"/>
      <c r="Z520" s="1056"/>
      <c r="AA520" s="1056"/>
      <c r="AB520" s="1056"/>
      <c r="AC520" s="1056"/>
    </row>
    <row r="521" spans="1:29" x14ac:dyDescent="0.25">
      <c r="A521" s="1106"/>
      <c r="B521" s="1056"/>
      <c r="C521" s="1056"/>
      <c r="D521" s="1056"/>
      <c r="E521" s="1056"/>
      <c r="F521" s="1056"/>
      <c r="G521" s="1056"/>
      <c r="H521" s="1056"/>
      <c r="I521" s="1056"/>
      <c r="J521" s="1056"/>
      <c r="K521" s="1056"/>
      <c r="L521" s="1056"/>
      <c r="M521" s="1056"/>
      <c r="N521" s="1056"/>
      <c r="O521" s="1056"/>
      <c r="P521" s="1056"/>
      <c r="Q521" s="1056"/>
      <c r="R521" s="1056"/>
      <c r="S521" s="1056"/>
      <c r="T521" s="1056"/>
      <c r="U521" s="1056"/>
      <c r="V521" s="1056"/>
      <c r="W521" s="1056"/>
      <c r="X521" s="1056"/>
      <c r="Y521" s="1056"/>
      <c r="Z521" s="1056"/>
      <c r="AA521" s="1056"/>
      <c r="AB521" s="1056"/>
      <c r="AC521" s="1056"/>
    </row>
    <row r="522" spans="1:29" x14ac:dyDescent="0.25">
      <c r="A522" s="1106"/>
      <c r="B522" s="1056"/>
      <c r="C522" s="1056"/>
      <c r="D522" s="1056"/>
      <c r="E522" s="1056"/>
      <c r="F522" s="1056"/>
      <c r="G522" s="1056"/>
      <c r="H522" s="1056"/>
      <c r="I522" s="1056"/>
      <c r="J522" s="1056"/>
      <c r="K522" s="1056"/>
      <c r="L522" s="1056"/>
      <c r="M522" s="1056"/>
      <c r="N522" s="1056"/>
      <c r="O522" s="1056"/>
      <c r="P522" s="1056"/>
      <c r="Q522" s="1056"/>
      <c r="R522" s="1056"/>
      <c r="S522" s="1056"/>
      <c r="T522" s="1056"/>
      <c r="U522" s="1056"/>
      <c r="V522" s="1056"/>
      <c r="W522" s="1056"/>
      <c r="X522" s="1056"/>
      <c r="Y522" s="1056"/>
      <c r="Z522" s="1056"/>
      <c r="AA522" s="1056"/>
      <c r="AB522" s="1056"/>
      <c r="AC522" s="1056"/>
    </row>
    <row r="523" spans="1:29" x14ac:dyDescent="0.25">
      <c r="A523" s="1106"/>
      <c r="B523" s="1056"/>
      <c r="C523" s="1056"/>
      <c r="D523" s="1056"/>
      <c r="E523" s="1056"/>
      <c r="F523" s="1056"/>
      <c r="G523" s="1056"/>
      <c r="H523" s="1056"/>
      <c r="I523" s="1056"/>
      <c r="J523" s="1056"/>
      <c r="K523" s="1056"/>
      <c r="L523" s="1056"/>
      <c r="M523" s="1056"/>
      <c r="N523" s="1056"/>
      <c r="O523" s="1056"/>
      <c r="P523" s="1056"/>
      <c r="Q523" s="1056"/>
      <c r="R523" s="1056"/>
      <c r="S523" s="1056"/>
      <c r="T523" s="1056"/>
      <c r="U523" s="1056"/>
      <c r="V523" s="1056"/>
      <c r="W523" s="1056"/>
      <c r="X523" s="1056"/>
      <c r="Y523" s="1056"/>
      <c r="Z523" s="1056"/>
      <c r="AA523" s="1056"/>
      <c r="AB523" s="1056"/>
      <c r="AC523" s="1056"/>
    </row>
    <row r="524" spans="1:29" x14ac:dyDescent="0.25">
      <c r="A524" s="1106"/>
      <c r="B524" s="1056"/>
      <c r="C524" s="1056"/>
      <c r="D524" s="1056"/>
      <c r="E524" s="1056"/>
      <c r="F524" s="1056"/>
      <c r="G524" s="1056"/>
      <c r="H524" s="1056"/>
      <c r="I524" s="1056"/>
      <c r="J524" s="1056"/>
      <c r="K524" s="1056"/>
      <c r="L524" s="1056"/>
      <c r="M524" s="1056"/>
      <c r="N524" s="1056"/>
      <c r="O524" s="1056"/>
      <c r="P524" s="1056"/>
      <c r="Q524" s="1056"/>
      <c r="R524" s="1056"/>
      <c r="S524" s="1056"/>
      <c r="T524" s="1056"/>
      <c r="U524" s="1056"/>
      <c r="V524" s="1056"/>
      <c r="W524" s="1056"/>
      <c r="X524" s="1056"/>
      <c r="Y524" s="1056"/>
      <c r="Z524" s="1056"/>
      <c r="AA524" s="1056"/>
      <c r="AB524" s="1056"/>
      <c r="AC524" s="1056"/>
    </row>
    <row r="525" spans="1:29" x14ac:dyDescent="0.25">
      <c r="A525" s="1106"/>
      <c r="B525" s="1056"/>
      <c r="C525" s="1056"/>
      <c r="D525" s="1056"/>
      <c r="E525" s="1056"/>
      <c r="F525" s="1056"/>
      <c r="G525" s="1056"/>
      <c r="H525" s="1056"/>
      <c r="I525" s="1056"/>
      <c r="J525" s="1056"/>
      <c r="K525" s="1056"/>
      <c r="L525" s="1056"/>
      <c r="M525" s="1056"/>
      <c r="N525" s="1056"/>
      <c r="O525" s="1056"/>
      <c r="P525" s="1056"/>
      <c r="Q525" s="1056"/>
      <c r="R525" s="1056"/>
      <c r="S525" s="1056"/>
      <c r="T525" s="1056"/>
      <c r="U525" s="1056"/>
      <c r="V525" s="1056"/>
      <c r="W525" s="1056"/>
      <c r="X525" s="1056"/>
      <c r="Y525" s="1056"/>
      <c r="Z525" s="1056"/>
      <c r="AA525" s="1056"/>
      <c r="AB525" s="1056"/>
      <c r="AC525" s="1056"/>
    </row>
    <row r="526" spans="1:29" x14ac:dyDescent="0.25">
      <c r="A526" s="1106"/>
      <c r="B526" s="1056"/>
      <c r="C526" s="1056"/>
      <c r="D526" s="1056"/>
      <c r="E526" s="1056"/>
      <c r="F526" s="1056"/>
      <c r="G526" s="1056"/>
      <c r="H526" s="1056"/>
      <c r="I526" s="1056"/>
      <c r="J526" s="1056"/>
      <c r="K526" s="1056"/>
      <c r="L526" s="1056"/>
      <c r="M526" s="1056"/>
      <c r="N526" s="1056"/>
      <c r="O526" s="1056"/>
      <c r="P526" s="1056"/>
      <c r="Q526" s="1056"/>
      <c r="R526" s="1056"/>
      <c r="S526" s="1056"/>
      <c r="T526" s="1056"/>
      <c r="U526" s="1056"/>
      <c r="V526" s="1056"/>
      <c r="W526" s="1056"/>
      <c r="X526" s="1056"/>
      <c r="Y526" s="1056"/>
      <c r="Z526" s="1056"/>
      <c r="AA526" s="1056"/>
      <c r="AB526" s="1056"/>
      <c r="AC526" s="1056"/>
    </row>
    <row r="527" spans="1:29" x14ac:dyDescent="0.25">
      <c r="A527" s="1106"/>
      <c r="B527" s="1056"/>
      <c r="C527" s="1056"/>
      <c r="D527" s="1056"/>
      <c r="E527" s="1056"/>
      <c r="F527" s="1056"/>
      <c r="G527" s="1056"/>
      <c r="H527" s="1056"/>
      <c r="I527" s="1056"/>
      <c r="J527" s="1056"/>
      <c r="K527" s="1056"/>
      <c r="L527" s="1056"/>
      <c r="M527" s="1056"/>
      <c r="N527" s="1056"/>
      <c r="O527" s="1056"/>
      <c r="P527" s="1056"/>
      <c r="Q527" s="1056"/>
      <c r="R527" s="1056"/>
      <c r="S527" s="1056"/>
      <c r="T527" s="1056"/>
      <c r="U527" s="1056"/>
      <c r="V527" s="1056"/>
      <c r="W527" s="1056"/>
      <c r="X527" s="1056"/>
      <c r="Y527" s="1056"/>
      <c r="Z527" s="1056"/>
      <c r="AA527" s="1056"/>
      <c r="AB527" s="1056"/>
      <c r="AC527" s="1056"/>
    </row>
    <row r="528" spans="1:29" x14ac:dyDescent="0.25">
      <c r="A528" s="1106"/>
      <c r="B528" s="1056"/>
      <c r="C528" s="1056"/>
      <c r="D528" s="1056"/>
      <c r="E528" s="1056"/>
      <c r="F528" s="1056"/>
      <c r="G528" s="1056"/>
      <c r="H528" s="1056"/>
      <c r="I528" s="1056"/>
      <c r="J528" s="1056"/>
      <c r="K528" s="1056"/>
      <c r="L528" s="1056"/>
      <c r="M528" s="1056"/>
      <c r="N528" s="1056"/>
      <c r="O528" s="1056"/>
      <c r="P528" s="1056"/>
      <c r="Q528" s="1056"/>
      <c r="R528" s="1056"/>
      <c r="S528" s="1056"/>
      <c r="T528" s="1056"/>
      <c r="U528" s="1056"/>
      <c r="V528" s="1056"/>
      <c r="W528" s="1056"/>
      <c r="X528" s="1056"/>
      <c r="Y528" s="1056"/>
      <c r="Z528" s="1056"/>
      <c r="AA528" s="1056"/>
      <c r="AB528" s="1056"/>
      <c r="AC528" s="1056"/>
    </row>
    <row r="529" spans="1:29" x14ac:dyDescent="0.25">
      <c r="A529" s="1106"/>
      <c r="B529" s="1056"/>
      <c r="C529" s="1056"/>
      <c r="D529" s="1056"/>
      <c r="E529" s="1056"/>
      <c r="F529" s="1056"/>
      <c r="G529" s="1056"/>
      <c r="H529" s="1056"/>
      <c r="I529" s="1056"/>
      <c r="J529" s="1056"/>
      <c r="K529" s="1056"/>
      <c r="L529" s="1056"/>
      <c r="M529" s="1056"/>
      <c r="N529" s="1056"/>
      <c r="O529" s="1056"/>
      <c r="P529" s="1056"/>
      <c r="Q529" s="1056"/>
      <c r="R529" s="1056"/>
      <c r="S529" s="1056"/>
      <c r="T529" s="1056"/>
      <c r="U529" s="1056"/>
      <c r="V529" s="1056"/>
      <c r="W529" s="1056"/>
      <c r="X529" s="1056"/>
      <c r="Y529" s="1056"/>
      <c r="Z529" s="1056"/>
      <c r="AA529" s="1056"/>
      <c r="AB529" s="1056"/>
      <c r="AC529" s="1056"/>
    </row>
    <row r="530" spans="1:29" x14ac:dyDescent="0.25">
      <c r="A530" s="1106"/>
      <c r="B530" s="1056"/>
      <c r="C530" s="1056"/>
      <c r="D530" s="1056"/>
      <c r="E530" s="1056"/>
      <c r="F530" s="1056"/>
      <c r="G530" s="1056"/>
      <c r="H530" s="1056"/>
      <c r="I530" s="1056"/>
      <c r="J530" s="1056"/>
      <c r="K530" s="1056"/>
      <c r="L530" s="1056"/>
      <c r="M530" s="1056"/>
      <c r="N530" s="1056"/>
      <c r="O530" s="1056"/>
      <c r="P530" s="1056"/>
      <c r="Q530" s="1056"/>
      <c r="R530" s="1056"/>
      <c r="S530" s="1056"/>
      <c r="T530" s="1056"/>
      <c r="U530" s="1056"/>
      <c r="V530" s="1056"/>
      <c r="W530" s="1056"/>
      <c r="X530" s="1056"/>
      <c r="Y530" s="1056"/>
      <c r="Z530" s="1056"/>
      <c r="AA530" s="1056"/>
      <c r="AB530" s="1056"/>
      <c r="AC530" s="1056"/>
    </row>
    <row r="531" spans="1:29" x14ac:dyDescent="0.25">
      <c r="A531" s="1106"/>
      <c r="B531" s="1056"/>
      <c r="C531" s="1056"/>
      <c r="D531" s="1056"/>
      <c r="E531" s="1056"/>
      <c r="F531" s="1056"/>
      <c r="G531" s="1056"/>
      <c r="H531" s="1056"/>
      <c r="I531" s="1056"/>
      <c r="J531" s="1056"/>
      <c r="K531" s="1056"/>
      <c r="L531" s="1056"/>
      <c r="M531" s="1056"/>
      <c r="N531" s="1056"/>
      <c r="O531" s="1056"/>
      <c r="P531" s="1056"/>
      <c r="Q531" s="1056"/>
      <c r="R531" s="1056"/>
      <c r="S531" s="1056"/>
      <c r="T531" s="1056"/>
      <c r="U531" s="1056"/>
      <c r="V531" s="1056"/>
      <c r="W531" s="1056"/>
      <c r="X531" s="1056"/>
      <c r="Y531" s="1056"/>
      <c r="Z531" s="1056"/>
      <c r="AA531" s="1056"/>
      <c r="AB531" s="1056"/>
      <c r="AC531" s="1056"/>
    </row>
    <row r="532" spans="1:29" x14ac:dyDescent="0.25">
      <c r="A532" s="1106"/>
      <c r="B532" s="1056"/>
      <c r="C532" s="1056"/>
      <c r="D532" s="1056"/>
      <c r="E532" s="1056"/>
      <c r="F532" s="1056"/>
      <c r="G532" s="1056"/>
      <c r="H532" s="1056"/>
      <c r="I532" s="1056"/>
      <c r="J532" s="1056"/>
      <c r="K532" s="1056"/>
      <c r="L532" s="1056"/>
      <c r="M532" s="1056"/>
      <c r="N532" s="1056"/>
      <c r="O532" s="1056"/>
      <c r="P532" s="1056"/>
      <c r="Q532" s="1056"/>
      <c r="R532" s="1056"/>
      <c r="S532" s="1056"/>
      <c r="T532" s="1056"/>
      <c r="U532" s="1056"/>
      <c r="V532" s="1056"/>
      <c r="W532" s="1056"/>
      <c r="X532" s="1056"/>
      <c r="Y532" s="1056"/>
      <c r="Z532" s="1056"/>
      <c r="AA532" s="1056"/>
      <c r="AB532" s="1056"/>
      <c r="AC532" s="1056"/>
    </row>
    <row r="533" spans="1:29" x14ac:dyDescent="0.25">
      <c r="A533" s="1106"/>
      <c r="B533" s="1056"/>
      <c r="C533" s="1056"/>
      <c r="D533" s="1056"/>
      <c r="E533" s="1056"/>
      <c r="F533" s="1056"/>
      <c r="G533" s="1056"/>
      <c r="H533" s="1056"/>
      <c r="I533" s="1056"/>
      <c r="J533" s="1056"/>
      <c r="K533" s="1056"/>
      <c r="L533" s="1056"/>
      <c r="M533" s="1056"/>
      <c r="N533" s="1056"/>
      <c r="O533" s="1056"/>
      <c r="P533" s="1056"/>
      <c r="Q533" s="1056"/>
      <c r="R533" s="1056"/>
      <c r="S533" s="1056"/>
      <c r="T533" s="1056"/>
      <c r="U533" s="1056"/>
      <c r="V533" s="1056"/>
      <c r="W533" s="1056"/>
      <c r="X533" s="1056"/>
      <c r="Y533" s="1056"/>
      <c r="Z533" s="1056"/>
      <c r="AA533" s="1056"/>
      <c r="AB533" s="1056"/>
      <c r="AC533" s="1056"/>
    </row>
    <row r="534" spans="1:29" x14ac:dyDescent="0.25">
      <c r="A534" s="1106"/>
      <c r="B534" s="1056"/>
      <c r="C534" s="1056"/>
      <c r="D534" s="1056"/>
      <c r="E534" s="1056"/>
      <c r="F534" s="1056"/>
      <c r="G534" s="1056"/>
      <c r="H534" s="1056"/>
      <c r="I534" s="1056"/>
      <c r="J534" s="1056"/>
      <c r="K534" s="1056"/>
      <c r="L534" s="1056"/>
      <c r="M534" s="1056"/>
      <c r="N534" s="1056"/>
      <c r="O534" s="1056"/>
      <c r="P534" s="1056"/>
      <c r="Q534" s="1056"/>
      <c r="R534" s="1056"/>
      <c r="S534" s="1056"/>
      <c r="T534" s="1056"/>
      <c r="U534" s="1056"/>
      <c r="V534" s="1056"/>
      <c r="W534" s="1056"/>
      <c r="X534" s="1056"/>
      <c r="Y534" s="1056"/>
      <c r="Z534" s="1056"/>
      <c r="AA534" s="1056"/>
      <c r="AB534" s="1056"/>
      <c r="AC534" s="1056"/>
    </row>
    <row r="535" spans="1:29" x14ac:dyDescent="0.25">
      <c r="A535" s="1106"/>
      <c r="B535" s="1056"/>
      <c r="C535" s="1056"/>
      <c r="D535" s="1056"/>
      <c r="E535" s="1056"/>
      <c r="F535" s="1056"/>
      <c r="G535" s="1056"/>
      <c r="H535" s="1056"/>
      <c r="I535" s="1056"/>
      <c r="J535" s="1056"/>
      <c r="K535" s="1056"/>
      <c r="L535" s="1056"/>
      <c r="M535" s="1056"/>
      <c r="N535" s="1056"/>
      <c r="O535" s="1056"/>
      <c r="P535" s="1056"/>
      <c r="Q535" s="1056"/>
      <c r="R535" s="1056"/>
      <c r="S535" s="1056"/>
      <c r="T535" s="1056"/>
      <c r="U535" s="1056"/>
      <c r="V535" s="1056"/>
      <c r="W535" s="1056"/>
      <c r="X535" s="1056"/>
      <c r="Y535" s="1056"/>
      <c r="Z535" s="1056"/>
      <c r="AA535" s="1056"/>
      <c r="AB535" s="1056"/>
      <c r="AC535" s="1056"/>
    </row>
    <row r="536" spans="1:29" x14ac:dyDescent="0.25">
      <c r="A536" s="1106"/>
      <c r="B536" s="1056"/>
      <c r="C536" s="1056"/>
      <c r="D536" s="1056"/>
      <c r="E536" s="1056"/>
      <c r="F536" s="1056"/>
      <c r="G536" s="1056"/>
      <c r="H536" s="1056"/>
      <c r="I536" s="1056"/>
      <c r="J536" s="1056"/>
      <c r="K536" s="1056"/>
      <c r="L536" s="1056"/>
      <c r="M536" s="1056"/>
      <c r="N536" s="1056"/>
      <c r="O536" s="1056"/>
      <c r="P536" s="1056"/>
      <c r="Q536" s="1056"/>
      <c r="R536" s="1056"/>
      <c r="S536" s="1056"/>
      <c r="T536" s="1056"/>
      <c r="U536" s="1056"/>
      <c r="V536" s="1056"/>
      <c r="W536" s="1056"/>
      <c r="X536" s="1056"/>
      <c r="Y536" s="1056"/>
      <c r="Z536" s="1056"/>
      <c r="AA536" s="1056"/>
      <c r="AB536" s="1056"/>
      <c r="AC536" s="1056"/>
    </row>
    <row r="537" spans="1:29" x14ac:dyDescent="0.25">
      <c r="A537" s="1106"/>
      <c r="B537" s="1056"/>
      <c r="C537" s="1056"/>
      <c r="D537" s="1056"/>
      <c r="E537" s="1056"/>
      <c r="F537" s="1056"/>
      <c r="G537" s="1056"/>
      <c r="H537" s="1056"/>
      <c r="I537" s="1056"/>
      <c r="J537" s="1056"/>
      <c r="K537" s="1056"/>
      <c r="L537" s="1056"/>
      <c r="M537" s="1056"/>
      <c r="N537" s="1056"/>
      <c r="O537" s="1056"/>
      <c r="P537" s="1056"/>
      <c r="Q537" s="1056"/>
      <c r="R537" s="1056"/>
      <c r="S537" s="1056"/>
      <c r="T537" s="1056"/>
      <c r="U537" s="1056"/>
      <c r="V537" s="1056"/>
      <c r="W537" s="1056"/>
      <c r="X537" s="1056"/>
      <c r="Y537" s="1056"/>
      <c r="Z537" s="1056"/>
      <c r="AA537" s="1056"/>
      <c r="AB537" s="1056"/>
      <c r="AC537" s="1056"/>
    </row>
    <row r="538" spans="1:29" x14ac:dyDescent="0.25">
      <c r="A538" s="1106"/>
      <c r="B538" s="1056"/>
      <c r="C538" s="1056"/>
      <c r="D538" s="1056"/>
      <c r="E538" s="1056"/>
      <c r="F538" s="1056"/>
      <c r="G538" s="1056"/>
      <c r="H538" s="1056"/>
      <c r="I538" s="1056"/>
      <c r="J538" s="1056"/>
      <c r="K538" s="1056"/>
      <c r="L538" s="1056"/>
      <c r="M538" s="1056"/>
      <c r="N538" s="1056"/>
      <c r="O538" s="1056"/>
      <c r="P538" s="1056"/>
      <c r="Q538" s="1056"/>
      <c r="R538" s="1056"/>
      <c r="S538" s="1056"/>
      <c r="T538" s="1056"/>
      <c r="U538" s="1056"/>
      <c r="V538" s="1056"/>
      <c r="W538" s="1056"/>
      <c r="X538" s="1056"/>
      <c r="Y538" s="1056"/>
      <c r="Z538" s="1056"/>
      <c r="AA538" s="1056"/>
      <c r="AB538" s="1056"/>
      <c r="AC538" s="1056"/>
    </row>
    <row r="539" spans="1:29" x14ac:dyDescent="0.25">
      <c r="A539" s="1106"/>
      <c r="B539" s="1056"/>
      <c r="C539" s="1056"/>
      <c r="D539" s="1056"/>
      <c r="E539" s="1056"/>
      <c r="F539" s="1056"/>
      <c r="G539" s="1056"/>
      <c r="H539" s="1056"/>
      <c r="I539" s="1056"/>
      <c r="J539" s="1056"/>
      <c r="K539" s="1056"/>
      <c r="L539" s="1056"/>
      <c r="M539" s="1056"/>
      <c r="N539" s="1056"/>
      <c r="O539" s="1056"/>
      <c r="P539" s="1056"/>
      <c r="Q539" s="1056"/>
      <c r="R539" s="1056"/>
      <c r="S539" s="1056"/>
      <c r="T539" s="1056"/>
      <c r="U539" s="1056"/>
      <c r="V539" s="1056"/>
      <c r="W539" s="1056"/>
      <c r="X539" s="1056"/>
      <c r="Y539" s="1056"/>
      <c r="Z539" s="1056"/>
      <c r="AA539" s="1056"/>
      <c r="AB539" s="1056"/>
      <c r="AC539" s="1056"/>
    </row>
    <row r="540" spans="1:29" x14ac:dyDescent="0.25">
      <c r="A540" s="1106"/>
      <c r="B540" s="1056"/>
      <c r="C540" s="1056"/>
      <c r="D540" s="1056"/>
      <c r="E540" s="1056"/>
      <c r="F540" s="1056"/>
      <c r="G540" s="1056"/>
      <c r="H540" s="1056"/>
      <c r="I540" s="1056"/>
      <c r="J540" s="1056"/>
      <c r="K540" s="1056"/>
      <c r="L540" s="1056"/>
      <c r="M540" s="1056"/>
      <c r="N540" s="1056"/>
      <c r="O540" s="1056"/>
      <c r="P540" s="1056"/>
      <c r="Q540" s="1056"/>
      <c r="R540" s="1056"/>
      <c r="S540" s="1056"/>
      <c r="T540" s="1056"/>
      <c r="U540" s="1056"/>
      <c r="V540" s="1056"/>
      <c r="W540" s="1056"/>
      <c r="X540" s="1056"/>
      <c r="Y540" s="1056"/>
      <c r="Z540" s="1056"/>
      <c r="AA540" s="1056"/>
      <c r="AB540" s="1056"/>
      <c r="AC540" s="1056"/>
    </row>
    <row r="541" spans="1:29" x14ac:dyDescent="0.25">
      <c r="A541" s="1106"/>
      <c r="B541" s="1056"/>
      <c r="C541" s="1056"/>
      <c r="D541" s="1056"/>
      <c r="E541" s="1056"/>
      <c r="F541" s="1056"/>
      <c r="G541" s="1056"/>
      <c r="H541" s="1056"/>
      <c r="I541" s="1056"/>
      <c r="J541" s="1056"/>
      <c r="K541" s="1056"/>
      <c r="L541" s="1056"/>
      <c r="M541" s="1056"/>
      <c r="N541" s="1056"/>
      <c r="O541" s="1056"/>
      <c r="P541" s="1056"/>
      <c r="Q541" s="1056"/>
      <c r="R541" s="1056"/>
      <c r="S541" s="1056"/>
      <c r="T541" s="1056"/>
      <c r="U541" s="1056"/>
      <c r="V541" s="1056"/>
      <c r="W541" s="1056"/>
      <c r="X541" s="1056"/>
      <c r="Y541" s="1056"/>
      <c r="Z541" s="1056"/>
      <c r="AA541" s="1056"/>
      <c r="AB541" s="1056"/>
      <c r="AC541" s="1056"/>
    </row>
    <row r="542" spans="1:29" x14ac:dyDescent="0.25">
      <c r="A542" s="1106"/>
      <c r="B542" s="1056"/>
      <c r="C542" s="1056"/>
      <c r="D542" s="1056"/>
      <c r="E542" s="1056"/>
      <c r="F542" s="1056"/>
      <c r="G542" s="1056"/>
      <c r="H542" s="1056"/>
      <c r="I542" s="1056"/>
      <c r="J542" s="1056"/>
      <c r="K542" s="1056"/>
      <c r="L542" s="1056"/>
      <c r="M542" s="1056"/>
      <c r="N542" s="1056"/>
      <c r="O542" s="1056"/>
      <c r="P542" s="1056"/>
      <c r="Q542" s="1056"/>
      <c r="R542" s="1056"/>
      <c r="S542" s="1056"/>
      <c r="T542" s="1056"/>
      <c r="U542" s="1056"/>
      <c r="V542" s="1056"/>
      <c r="W542" s="1056"/>
      <c r="X542" s="1056"/>
      <c r="Y542" s="1056"/>
      <c r="Z542" s="1056"/>
      <c r="AA542" s="1056"/>
      <c r="AB542" s="1056"/>
      <c r="AC542" s="1056"/>
    </row>
    <row r="543" spans="1:29" x14ac:dyDescent="0.25">
      <c r="A543" s="1106"/>
      <c r="B543" s="1056"/>
      <c r="C543" s="1056"/>
      <c r="D543" s="1056"/>
      <c r="E543" s="1056"/>
      <c r="F543" s="1056"/>
      <c r="G543" s="1056"/>
      <c r="H543" s="1056"/>
      <c r="I543" s="1056"/>
      <c r="J543" s="1056"/>
      <c r="K543" s="1056"/>
      <c r="L543" s="1056"/>
      <c r="M543" s="1056"/>
      <c r="N543" s="1056"/>
      <c r="O543" s="1056"/>
      <c r="P543" s="1056"/>
      <c r="Q543" s="1056"/>
      <c r="R543" s="1056"/>
      <c r="S543" s="1056"/>
      <c r="T543" s="1056"/>
      <c r="U543" s="1056"/>
      <c r="V543" s="1056"/>
      <c r="W543" s="1056"/>
      <c r="X543" s="1056"/>
      <c r="Y543" s="1056"/>
      <c r="Z543" s="1056"/>
      <c r="AA543" s="1056"/>
      <c r="AB543" s="1056"/>
      <c r="AC543" s="1056"/>
    </row>
    <row r="544" spans="1:29" x14ac:dyDescent="0.25">
      <c r="A544" s="1106"/>
      <c r="B544" s="1056"/>
      <c r="C544" s="1056"/>
      <c r="D544" s="1056"/>
      <c r="E544" s="1056"/>
      <c r="F544" s="1056"/>
      <c r="G544" s="1056"/>
      <c r="H544" s="1056"/>
      <c r="I544" s="1056"/>
      <c r="J544" s="1056"/>
      <c r="K544" s="1056"/>
      <c r="L544" s="1056"/>
      <c r="M544" s="1056"/>
      <c r="N544" s="1056"/>
      <c r="O544" s="1056"/>
      <c r="P544" s="1056"/>
      <c r="Q544" s="1056"/>
      <c r="R544" s="1056"/>
      <c r="S544" s="1056"/>
      <c r="T544" s="1056"/>
      <c r="U544" s="1056"/>
      <c r="V544" s="1056"/>
      <c r="W544" s="1056"/>
      <c r="X544" s="1056"/>
      <c r="Y544" s="1056"/>
      <c r="Z544" s="1056"/>
      <c r="AA544" s="1056"/>
      <c r="AB544" s="1056"/>
      <c r="AC544" s="1056"/>
    </row>
    <row r="545" spans="1:29" x14ac:dyDescent="0.25">
      <c r="A545" s="1106"/>
      <c r="B545" s="1056"/>
      <c r="C545" s="1056"/>
      <c r="D545" s="1056"/>
      <c r="E545" s="1056"/>
      <c r="F545" s="1056"/>
      <c r="G545" s="1056"/>
      <c r="H545" s="1056"/>
      <c r="I545" s="1056"/>
      <c r="J545" s="1056"/>
      <c r="K545" s="1056"/>
      <c r="L545" s="1056"/>
      <c r="M545" s="1056"/>
      <c r="N545" s="1056"/>
      <c r="O545" s="1056"/>
      <c r="P545" s="1056"/>
      <c r="Q545" s="1056"/>
      <c r="R545" s="1056"/>
      <c r="S545" s="1056"/>
      <c r="T545" s="1056"/>
      <c r="U545" s="1056"/>
      <c r="V545" s="1056"/>
      <c r="W545" s="1056"/>
      <c r="X545" s="1056"/>
      <c r="Y545" s="1056"/>
      <c r="Z545" s="1056"/>
      <c r="AA545" s="1056"/>
      <c r="AB545" s="1056"/>
      <c r="AC545" s="1056"/>
    </row>
    <row r="546" spans="1:29" x14ac:dyDescent="0.25">
      <c r="A546" s="1106"/>
      <c r="B546" s="1056"/>
      <c r="C546" s="1056"/>
      <c r="D546" s="1056"/>
      <c r="E546" s="1056"/>
      <c r="F546" s="1056"/>
      <c r="G546" s="1056"/>
      <c r="H546" s="1056"/>
      <c r="I546" s="1056"/>
      <c r="J546" s="1056"/>
      <c r="K546" s="1056"/>
      <c r="L546" s="1056"/>
      <c r="M546" s="1056"/>
      <c r="N546" s="1056"/>
      <c r="O546" s="1056"/>
      <c r="P546" s="1056"/>
      <c r="Q546" s="1056"/>
      <c r="R546" s="1056"/>
      <c r="S546" s="1056"/>
      <c r="T546" s="1056"/>
      <c r="U546" s="1056"/>
      <c r="V546" s="1056"/>
      <c r="W546" s="1056"/>
      <c r="X546" s="1056"/>
      <c r="Y546" s="1056"/>
      <c r="Z546" s="1056"/>
      <c r="AA546" s="1056"/>
      <c r="AB546" s="1056"/>
      <c r="AC546" s="1056"/>
    </row>
    <row r="547" spans="1:29" x14ac:dyDescent="0.25">
      <c r="A547" s="1106"/>
      <c r="B547" s="1056"/>
      <c r="C547" s="1056"/>
      <c r="D547" s="1056"/>
      <c r="E547" s="1056"/>
      <c r="F547" s="1056"/>
      <c r="G547" s="1056"/>
      <c r="H547" s="1056"/>
      <c r="I547" s="1056"/>
      <c r="J547" s="1056"/>
      <c r="K547" s="1056"/>
      <c r="L547" s="1056"/>
      <c r="M547" s="1056"/>
      <c r="N547" s="1056"/>
      <c r="O547" s="1056"/>
      <c r="P547" s="1056"/>
      <c r="Q547" s="1056"/>
      <c r="R547" s="1056"/>
      <c r="S547" s="1056"/>
      <c r="T547" s="1056"/>
      <c r="U547" s="1056"/>
      <c r="V547" s="1056"/>
      <c r="W547" s="1056"/>
      <c r="X547" s="1056"/>
      <c r="Y547" s="1056"/>
      <c r="Z547" s="1056"/>
      <c r="AA547" s="1056"/>
      <c r="AB547" s="1056"/>
      <c r="AC547" s="1056"/>
    </row>
    <row r="548" spans="1:29" x14ac:dyDescent="0.25">
      <c r="A548" s="1106"/>
      <c r="B548" s="1056"/>
      <c r="C548" s="1056"/>
      <c r="D548" s="1056"/>
      <c r="E548" s="1056"/>
      <c r="F548" s="1056"/>
      <c r="G548" s="1056"/>
      <c r="H548" s="1056"/>
      <c r="I548" s="1056"/>
      <c r="J548" s="1056"/>
      <c r="K548" s="1056"/>
      <c r="L548" s="1056"/>
      <c r="M548" s="1056"/>
      <c r="N548" s="1056"/>
      <c r="O548" s="1056"/>
      <c r="P548" s="1056"/>
      <c r="Q548" s="1056"/>
      <c r="R548" s="1056"/>
      <c r="S548" s="1056"/>
      <c r="T548" s="1056"/>
      <c r="U548" s="1056"/>
      <c r="V548" s="1056"/>
      <c r="W548" s="1056"/>
      <c r="X548" s="1056"/>
      <c r="Y548" s="1056"/>
      <c r="Z548" s="1056"/>
      <c r="AA548" s="1056"/>
      <c r="AB548" s="1056"/>
      <c r="AC548" s="1056"/>
    </row>
    <row r="549" spans="1:29" x14ac:dyDescent="0.25">
      <c r="A549" s="1106"/>
      <c r="B549" s="1056"/>
      <c r="C549" s="1056"/>
      <c r="D549" s="1056"/>
      <c r="E549" s="1056"/>
      <c r="F549" s="1056"/>
      <c r="G549" s="1056"/>
      <c r="H549" s="1056"/>
      <c r="I549" s="1056"/>
      <c r="J549" s="1056"/>
      <c r="K549" s="1056"/>
      <c r="L549" s="1056"/>
      <c r="M549" s="1056"/>
      <c r="N549" s="1056"/>
      <c r="O549" s="1056"/>
      <c r="P549" s="1056"/>
      <c r="Q549" s="1056"/>
      <c r="R549" s="1056"/>
      <c r="S549" s="1056"/>
      <c r="T549" s="1056"/>
      <c r="U549" s="1056"/>
      <c r="V549" s="1056"/>
      <c r="W549" s="1056"/>
      <c r="X549" s="1056"/>
      <c r="Y549" s="1056"/>
      <c r="Z549" s="1056"/>
      <c r="AA549" s="1056"/>
      <c r="AB549" s="1056"/>
      <c r="AC549" s="1056"/>
    </row>
    <row r="550" spans="1:29" x14ac:dyDescent="0.25">
      <c r="A550" s="1106"/>
      <c r="B550" s="1056"/>
      <c r="C550" s="1056"/>
      <c r="D550" s="1056"/>
      <c r="E550" s="1056"/>
      <c r="F550" s="1056"/>
      <c r="G550" s="1056"/>
      <c r="H550" s="1056"/>
      <c r="I550" s="1056"/>
      <c r="J550" s="1056"/>
      <c r="K550" s="1056"/>
      <c r="L550" s="1056"/>
      <c r="M550" s="1056"/>
      <c r="N550" s="1056"/>
      <c r="O550" s="1056"/>
      <c r="P550" s="1056"/>
      <c r="Q550" s="1056"/>
      <c r="R550" s="1056"/>
      <c r="S550" s="1056"/>
      <c r="T550" s="1056"/>
      <c r="U550" s="1056"/>
      <c r="V550" s="1056"/>
      <c r="W550" s="1056"/>
      <c r="X550" s="1056"/>
      <c r="Y550" s="1056"/>
      <c r="Z550" s="1056"/>
      <c r="AA550" s="1056"/>
      <c r="AB550" s="1056"/>
      <c r="AC550" s="1056"/>
    </row>
    <row r="551" spans="1:29" x14ac:dyDescent="0.25">
      <c r="A551" s="1106"/>
      <c r="B551" s="1056"/>
      <c r="C551" s="1056"/>
      <c r="D551" s="1056"/>
      <c r="E551" s="1056"/>
      <c r="F551" s="1056"/>
      <c r="G551" s="1056"/>
      <c r="H551" s="1056"/>
      <c r="I551" s="1056"/>
      <c r="J551" s="1056"/>
      <c r="K551" s="1056"/>
      <c r="L551" s="1056"/>
      <c r="M551" s="1056"/>
      <c r="N551" s="1056"/>
      <c r="O551" s="1056"/>
      <c r="P551" s="1056"/>
      <c r="Q551" s="1056"/>
      <c r="R551" s="1056"/>
      <c r="S551" s="1056"/>
      <c r="T551" s="1056"/>
      <c r="U551" s="1056"/>
      <c r="V551" s="1056"/>
      <c r="W551" s="1056"/>
      <c r="X551" s="1056"/>
      <c r="Y551" s="1056"/>
      <c r="Z551" s="1056"/>
      <c r="AA551" s="1056"/>
      <c r="AB551" s="1056"/>
      <c r="AC551" s="1056"/>
    </row>
    <row r="552" spans="1:29" x14ac:dyDescent="0.25">
      <c r="A552" s="1106"/>
      <c r="B552" s="1056"/>
      <c r="C552" s="1056"/>
      <c r="D552" s="1056"/>
      <c r="E552" s="1056"/>
      <c r="F552" s="1056"/>
      <c r="G552" s="1056"/>
      <c r="H552" s="1056"/>
      <c r="I552" s="1056"/>
      <c r="J552" s="1056"/>
      <c r="K552" s="1056"/>
      <c r="L552" s="1056"/>
      <c r="M552" s="1056"/>
      <c r="N552" s="1056"/>
      <c r="O552" s="1056"/>
      <c r="P552" s="1056"/>
      <c r="Q552" s="1056"/>
      <c r="R552" s="1056"/>
      <c r="S552" s="1056"/>
      <c r="T552" s="1056"/>
      <c r="U552" s="1056"/>
      <c r="V552" s="1056"/>
      <c r="W552" s="1056"/>
      <c r="X552" s="1056"/>
      <c r="Y552" s="1056"/>
      <c r="Z552" s="1056"/>
      <c r="AA552" s="1056"/>
      <c r="AB552" s="1056"/>
      <c r="AC552" s="1056"/>
    </row>
    <row r="553" spans="1:29" x14ac:dyDescent="0.25">
      <c r="A553" s="1106"/>
      <c r="B553" s="1056"/>
      <c r="C553" s="1056"/>
      <c r="D553" s="1056"/>
      <c r="E553" s="1056"/>
      <c r="F553" s="1056"/>
      <c r="G553" s="1056"/>
      <c r="H553" s="1056"/>
      <c r="I553" s="1056"/>
      <c r="J553" s="1056"/>
      <c r="K553" s="1056"/>
      <c r="L553" s="1056"/>
      <c r="M553" s="1056"/>
      <c r="N553" s="1056"/>
      <c r="O553" s="1056"/>
      <c r="P553" s="1056"/>
      <c r="Q553" s="1056"/>
      <c r="R553" s="1056"/>
      <c r="S553" s="1056"/>
      <c r="T553" s="1056"/>
      <c r="U553" s="1056"/>
      <c r="V553" s="1056"/>
      <c r="W553" s="1056"/>
      <c r="X553" s="1056"/>
      <c r="Y553" s="1056"/>
      <c r="Z553" s="1056"/>
      <c r="AA553" s="1056"/>
      <c r="AB553" s="1056"/>
      <c r="AC553" s="1056"/>
    </row>
    <row r="554" spans="1:29" x14ac:dyDescent="0.25">
      <c r="A554" s="1106"/>
      <c r="B554" s="1056"/>
      <c r="C554" s="1056"/>
      <c r="D554" s="1056"/>
      <c r="E554" s="1056"/>
      <c r="F554" s="1056"/>
      <c r="G554" s="1056"/>
      <c r="H554" s="1056"/>
      <c r="I554" s="1056"/>
      <c r="J554" s="1056"/>
      <c r="K554" s="1056"/>
      <c r="L554" s="1056"/>
      <c r="M554" s="1056"/>
      <c r="N554" s="1056"/>
      <c r="O554" s="1056"/>
      <c r="P554" s="1056"/>
      <c r="Q554" s="1056"/>
      <c r="R554" s="1056"/>
      <c r="S554" s="1056"/>
      <c r="T554" s="1056"/>
      <c r="U554" s="1056"/>
      <c r="V554" s="1056"/>
      <c r="W554" s="1056"/>
      <c r="X554" s="1056"/>
      <c r="Y554" s="1056"/>
      <c r="Z554" s="1056"/>
      <c r="AA554" s="1056"/>
      <c r="AB554" s="1056"/>
      <c r="AC554" s="1056"/>
    </row>
    <row r="555" spans="1:29" x14ac:dyDescent="0.25">
      <c r="A555" s="1106"/>
      <c r="B555" s="1056"/>
      <c r="C555" s="1056"/>
      <c r="D555" s="1056"/>
      <c r="E555" s="1056"/>
      <c r="F555" s="1056"/>
      <c r="G555" s="1056"/>
      <c r="H555" s="1056"/>
      <c r="I555" s="1056"/>
      <c r="J555" s="1056"/>
      <c r="K555" s="1056"/>
      <c r="L555" s="1056"/>
      <c r="M555" s="1056"/>
      <c r="N555" s="1056"/>
      <c r="O555" s="1056"/>
      <c r="P555" s="1056"/>
      <c r="Q555" s="1056"/>
      <c r="R555" s="1056"/>
      <c r="S555" s="1056"/>
      <c r="T555" s="1056"/>
      <c r="U555" s="1056"/>
      <c r="V555" s="1056"/>
      <c r="W555" s="1056"/>
      <c r="X555" s="1056"/>
      <c r="Y555" s="1056"/>
      <c r="Z555" s="1056"/>
      <c r="AA555" s="1056"/>
      <c r="AB555" s="1056"/>
      <c r="AC555" s="1056"/>
    </row>
    <row r="556" spans="1:29" x14ac:dyDescent="0.25">
      <c r="A556" s="1106"/>
      <c r="B556" s="1056"/>
      <c r="C556" s="1056"/>
      <c r="D556" s="1056"/>
      <c r="E556" s="1056"/>
      <c r="F556" s="1056"/>
      <c r="G556" s="1056"/>
      <c r="H556" s="1056"/>
      <c r="I556" s="1056"/>
      <c r="J556" s="1056"/>
      <c r="K556" s="1056"/>
      <c r="L556" s="1056"/>
      <c r="M556" s="1056"/>
      <c r="N556" s="1056"/>
      <c r="O556" s="1056"/>
      <c r="P556" s="1056"/>
      <c r="Q556" s="1056"/>
      <c r="R556" s="1056"/>
      <c r="S556" s="1056"/>
      <c r="T556" s="1056"/>
      <c r="U556" s="1056"/>
      <c r="V556" s="1056"/>
      <c r="W556" s="1056"/>
      <c r="X556" s="1056"/>
      <c r="Y556" s="1056"/>
      <c r="Z556" s="1056"/>
      <c r="AA556" s="1056"/>
      <c r="AB556" s="1056"/>
      <c r="AC556" s="1056"/>
    </row>
    <row r="557" spans="1:29" x14ac:dyDescent="0.25">
      <c r="A557" s="1106"/>
      <c r="B557" s="1056"/>
      <c r="C557" s="1056"/>
      <c r="D557" s="1056"/>
      <c r="E557" s="1056"/>
      <c r="F557" s="1056"/>
      <c r="G557" s="1056"/>
      <c r="H557" s="1056"/>
      <c r="I557" s="1056"/>
      <c r="J557" s="1056"/>
      <c r="K557" s="1056"/>
      <c r="L557" s="1056"/>
      <c r="M557" s="1056"/>
      <c r="N557" s="1056"/>
      <c r="O557" s="1056"/>
      <c r="P557" s="1056"/>
      <c r="Q557" s="1056"/>
      <c r="R557" s="1056"/>
      <c r="S557" s="1056"/>
      <c r="T557" s="1056"/>
      <c r="U557" s="1056"/>
      <c r="V557" s="1056"/>
      <c r="W557" s="1056"/>
      <c r="X557" s="1056"/>
      <c r="Y557" s="1056"/>
      <c r="Z557" s="1056"/>
      <c r="AA557" s="1056"/>
      <c r="AB557" s="1056"/>
      <c r="AC557" s="1056"/>
    </row>
    <row r="558" spans="1:29" x14ac:dyDescent="0.25">
      <c r="A558" s="1106"/>
      <c r="B558" s="1056"/>
      <c r="C558" s="1056"/>
      <c r="D558" s="1056"/>
      <c r="E558" s="1056"/>
      <c r="F558" s="1056"/>
      <c r="G558" s="1056"/>
      <c r="H558" s="1056"/>
      <c r="I558" s="1056"/>
      <c r="J558" s="1056"/>
      <c r="K558" s="1056"/>
      <c r="L558" s="1056"/>
      <c r="M558" s="1056"/>
      <c r="N558" s="1056"/>
      <c r="O558" s="1056"/>
      <c r="P558" s="1056"/>
      <c r="Q558" s="1056"/>
      <c r="R558" s="1056"/>
      <c r="S558" s="1056"/>
      <c r="T558" s="1056"/>
      <c r="U558" s="1056"/>
      <c r="V558" s="1056"/>
      <c r="W558" s="1056"/>
      <c r="X558" s="1056"/>
      <c r="Y558" s="1056"/>
      <c r="Z558" s="1056"/>
      <c r="AA558" s="1056"/>
      <c r="AB558" s="1056"/>
      <c r="AC558" s="1056"/>
    </row>
    <row r="559" spans="1:29" x14ac:dyDescent="0.25">
      <c r="A559" s="1106"/>
      <c r="B559" s="1056"/>
      <c r="C559" s="1056"/>
      <c r="D559" s="1056"/>
      <c r="E559" s="1056"/>
      <c r="F559" s="1056"/>
      <c r="G559" s="1056"/>
      <c r="H559" s="1056"/>
      <c r="I559" s="1056"/>
      <c r="J559" s="1056"/>
      <c r="K559" s="1056"/>
      <c r="L559" s="1056"/>
      <c r="M559" s="1056"/>
      <c r="N559" s="1056"/>
      <c r="O559" s="1056"/>
      <c r="P559" s="1056"/>
      <c r="Q559" s="1056"/>
      <c r="R559" s="1056"/>
      <c r="S559" s="1056"/>
      <c r="T559" s="1056"/>
      <c r="U559" s="1056"/>
      <c r="V559" s="1056"/>
      <c r="W559" s="1056"/>
      <c r="X559" s="1056"/>
      <c r="Y559" s="1056"/>
      <c r="Z559" s="1056"/>
      <c r="AA559" s="1056"/>
      <c r="AB559" s="1056"/>
      <c r="AC559" s="1056"/>
    </row>
    <row r="560" spans="1:29" x14ac:dyDescent="0.25">
      <c r="A560" s="1106"/>
      <c r="B560" s="1056"/>
      <c r="C560" s="1056"/>
      <c r="D560" s="1056"/>
      <c r="E560" s="1056"/>
      <c r="F560" s="1056"/>
      <c r="G560" s="1056"/>
      <c r="H560" s="1056"/>
      <c r="I560" s="1056"/>
      <c r="J560" s="1056"/>
      <c r="K560" s="1056"/>
      <c r="L560" s="1056"/>
      <c r="M560" s="1056"/>
      <c r="N560" s="1056"/>
      <c r="O560" s="1056"/>
      <c r="P560" s="1056"/>
      <c r="Q560" s="1056"/>
      <c r="R560" s="1056"/>
      <c r="S560" s="1056"/>
      <c r="T560" s="1056"/>
      <c r="U560" s="1056"/>
      <c r="V560" s="1056"/>
      <c r="W560" s="1056"/>
      <c r="X560" s="1056"/>
      <c r="Y560" s="1056"/>
      <c r="Z560" s="1056"/>
      <c r="AA560" s="1056"/>
      <c r="AB560" s="1056"/>
      <c r="AC560" s="1056"/>
    </row>
    <row r="561" spans="1:29" x14ac:dyDescent="0.25">
      <c r="A561" s="1106"/>
      <c r="B561" s="1056"/>
      <c r="C561" s="1056"/>
      <c r="D561" s="1056"/>
      <c r="E561" s="1056"/>
      <c r="F561" s="1056"/>
      <c r="G561" s="1056"/>
      <c r="H561" s="1056"/>
      <c r="I561" s="1056"/>
      <c r="J561" s="1056"/>
      <c r="K561" s="1056"/>
      <c r="L561" s="1056"/>
      <c r="M561" s="1056"/>
      <c r="N561" s="1056"/>
      <c r="O561" s="1056"/>
      <c r="P561" s="1056"/>
      <c r="Q561" s="1056"/>
      <c r="R561" s="1056"/>
      <c r="S561" s="1056"/>
      <c r="T561" s="1056"/>
      <c r="U561" s="1056"/>
      <c r="V561" s="1056"/>
      <c r="W561" s="1056"/>
      <c r="X561" s="1056"/>
      <c r="Y561" s="1056"/>
      <c r="Z561" s="1056"/>
      <c r="AA561" s="1056"/>
      <c r="AB561" s="1056"/>
      <c r="AC561" s="1056"/>
    </row>
    <row r="562" spans="1:29" x14ac:dyDescent="0.25">
      <c r="A562" s="1106"/>
      <c r="B562" s="1056"/>
      <c r="C562" s="1056"/>
      <c r="D562" s="1056"/>
      <c r="E562" s="1056"/>
      <c r="F562" s="1056"/>
      <c r="G562" s="1056"/>
      <c r="H562" s="1056"/>
      <c r="I562" s="1056"/>
      <c r="J562" s="1056"/>
      <c r="K562" s="1056"/>
      <c r="L562" s="1056"/>
      <c r="M562" s="1056"/>
      <c r="N562" s="1056"/>
      <c r="O562" s="1056"/>
      <c r="P562" s="1056"/>
      <c r="Q562" s="1056"/>
      <c r="R562" s="1056"/>
      <c r="S562" s="1056"/>
      <c r="T562" s="1056"/>
      <c r="U562" s="1056"/>
      <c r="V562" s="1056"/>
      <c r="W562" s="1056"/>
      <c r="X562" s="1056"/>
      <c r="Y562" s="1056"/>
      <c r="Z562" s="1056"/>
      <c r="AA562" s="1056"/>
      <c r="AB562" s="1056"/>
      <c r="AC562" s="1056"/>
    </row>
    <row r="563" spans="1:29" x14ac:dyDescent="0.25">
      <c r="A563" s="1106"/>
      <c r="B563" s="1056"/>
      <c r="C563" s="1056"/>
      <c r="D563" s="1056"/>
      <c r="E563" s="1056"/>
      <c r="F563" s="1056"/>
      <c r="G563" s="1056"/>
      <c r="H563" s="1056"/>
      <c r="I563" s="1056"/>
      <c r="J563" s="1056"/>
      <c r="K563" s="1056"/>
      <c r="L563" s="1056"/>
      <c r="M563" s="1056"/>
      <c r="N563" s="1056"/>
      <c r="O563" s="1056"/>
      <c r="P563" s="1056"/>
      <c r="Q563" s="1056"/>
      <c r="R563" s="1056"/>
      <c r="S563" s="1056"/>
      <c r="T563" s="1056"/>
      <c r="U563" s="1056"/>
      <c r="V563" s="1056"/>
      <c r="W563" s="1056"/>
      <c r="X563" s="1056"/>
      <c r="Y563" s="1056"/>
      <c r="Z563" s="1056"/>
      <c r="AA563" s="1056"/>
      <c r="AB563" s="1056"/>
      <c r="AC563" s="1056"/>
    </row>
    <row r="564" spans="1:29" x14ac:dyDescent="0.25">
      <c r="A564" s="1106"/>
      <c r="B564" s="1056"/>
      <c r="C564" s="1056"/>
      <c r="D564" s="1056"/>
      <c r="E564" s="1056"/>
      <c r="F564" s="1056"/>
      <c r="G564" s="1056"/>
      <c r="H564" s="1056"/>
      <c r="I564" s="1056"/>
      <c r="J564" s="1056"/>
      <c r="K564" s="1056"/>
      <c r="L564" s="1056"/>
      <c r="M564" s="1056"/>
      <c r="N564" s="1056"/>
      <c r="O564" s="1056"/>
      <c r="P564" s="1056"/>
      <c r="Q564" s="1056"/>
      <c r="R564" s="1056"/>
      <c r="S564" s="1056"/>
      <c r="T564" s="1056"/>
      <c r="U564" s="1056"/>
      <c r="V564" s="1056"/>
      <c r="W564" s="1056"/>
      <c r="X564" s="1056"/>
      <c r="Y564" s="1056"/>
      <c r="Z564" s="1056"/>
      <c r="AA564" s="1056"/>
      <c r="AB564" s="1056"/>
      <c r="AC564" s="1056"/>
    </row>
    <row r="565" spans="1:29" x14ac:dyDescent="0.25">
      <c r="A565" s="1106"/>
      <c r="B565" s="1056"/>
      <c r="C565" s="1056"/>
      <c r="D565" s="1056"/>
      <c r="E565" s="1056"/>
      <c r="F565" s="1056"/>
      <c r="G565" s="1056"/>
      <c r="H565" s="1056"/>
      <c r="I565" s="1056"/>
      <c r="J565" s="1056"/>
      <c r="K565" s="1056"/>
      <c r="L565" s="1056"/>
      <c r="M565" s="1056"/>
      <c r="N565" s="1056"/>
      <c r="O565" s="1056"/>
      <c r="P565" s="1056"/>
      <c r="Q565" s="1056"/>
      <c r="R565" s="1056"/>
      <c r="S565" s="1056"/>
      <c r="T565" s="1056"/>
      <c r="U565" s="1056"/>
      <c r="V565" s="1056"/>
      <c r="W565" s="1056"/>
      <c r="X565" s="1056"/>
      <c r="Y565" s="1056"/>
      <c r="Z565" s="1056"/>
      <c r="AA565" s="1056"/>
      <c r="AB565" s="1056"/>
      <c r="AC565" s="1056"/>
    </row>
    <row r="566" spans="1:29" x14ac:dyDescent="0.25">
      <c r="A566" s="1106"/>
      <c r="B566" s="1056"/>
      <c r="C566" s="1056"/>
      <c r="D566" s="1056"/>
      <c r="E566" s="1056"/>
      <c r="F566" s="1056"/>
      <c r="G566" s="1056"/>
      <c r="H566" s="1056"/>
      <c r="I566" s="1056"/>
      <c r="J566" s="1056"/>
      <c r="K566" s="1056"/>
      <c r="L566" s="1056"/>
      <c r="M566" s="1056"/>
      <c r="N566" s="1056"/>
      <c r="O566" s="1056"/>
      <c r="P566" s="1056"/>
      <c r="Q566" s="1056"/>
      <c r="R566" s="1056"/>
      <c r="S566" s="1056"/>
      <c r="T566" s="1056"/>
      <c r="U566" s="1056"/>
      <c r="V566" s="1056"/>
      <c r="W566" s="1056"/>
      <c r="X566" s="1056"/>
      <c r="Y566" s="1056"/>
      <c r="Z566" s="1056"/>
      <c r="AA566" s="1056"/>
      <c r="AB566" s="1056"/>
      <c r="AC566" s="1056"/>
    </row>
    <row r="567" spans="1:29" x14ac:dyDescent="0.25">
      <c r="A567" s="1106"/>
      <c r="B567" s="1056"/>
      <c r="C567" s="1056"/>
      <c r="D567" s="1056"/>
      <c r="E567" s="1056"/>
      <c r="F567" s="1056"/>
      <c r="G567" s="1056"/>
      <c r="H567" s="1056"/>
      <c r="I567" s="1056"/>
      <c r="J567" s="1056"/>
      <c r="K567" s="1056"/>
      <c r="L567" s="1056"/>
      <c r="M567" s="1056"/>
      <c r="N567" s="1056"/>
      <c r="O567" s="1056"/>
      <c r="P567" s="1056"/>
      <c r="Q567" s="1056"/>
      <c r="R567" s="1056"/>
      <c r="S567" s="1056"/>
      <c r="T567" s="1056"/>
      <c r="U567" s="1056"/>
      <c r="V567" s="1056"/>
      <c r="W567" s="1056"/>
      <c r="X567" s="1056"/>
      <c r="Y567" s="1056"/>
      <c r="Z567" s="1056"/>
      <c r="AA567" s="1056"/>
      <c r="AB567" s="1056"/>
      <c r="AC567" s="1056"/>
    </row>
    <row r="568" spans="1:29" x14ac:dyDescent="0.25">
      <c r="A568" s="1106"/>
      <c r="B568" s="1056"/>
      <c r="C568" s="1056"/>
      <c r="D568" s="1056"/>
      <c r="E568" s="1056"/>
      <c r="F568" s="1056"/>
      <c r="G568" s="1056"/>
      <c r="H568" s="1056"/>
      <c r="I568" s="1056"/>
      <c r="J568" s="1056"/>
      <c r="K568" s="1056"/>
      <c r="L568" s="1056"/>
      <c r="M568" s="1056"/>
      <c r="N568" s="1056"/>
      <c r="O568" s="1056"/>
      <c r="P568" s="1056"/>
      <c r="Q568" s="1056"/>
      <c r="R568" s="1056"/>
      <c r="S568" s="1056"/>
      <c r="T568" s="1056"/>
      <c r="U568" s="1056"/>
      <c r="V568" s="1056"/>
      <c r="W568" s="1056"/>
      <c r="X568" s="1056"/>
      <c r="Y568" s="1056"/>
      <c r="Z568" s="1056"/>
      <c r="AA568" s="1056"/>
      <c r="AB568" s="1056"/>
      <c r="AC568" s="1056"/>
    </row>
    <row r="569" spans="1:29" x14ac:dyDescent="0.25">
      <c r="A569" s="1106"/>
      <c r="B569" s="1056"/>
      <c r="C569" s="1056"/>
      <c r="D569" s="1056"/>
      <c r="E569" s="1056"/>
      <c r="F569" s="1056"/>
      <c r="G569" s="1056"/>
      <c r="H569" s="1056"/>
      <c r="I569" s="1056"/>
      <c r="J569" s="1056"/>
      <c r="K569" s="1056"/>
      <c r="L569" s="1056"/>
      <c r="M569" s="1056"/>
      <c r="N569" s="1056"/>
      <c r="O569" s="1056"/>
      <c r="P569" s="1056"/>
      <c r="Q569" s="1056"/>
      <c r="R569" s="1056"/>
      <c r="S569" s="1056"/>
      <c r="T569" s="1056"/>
      <c r="U569" s="1056"/>
      <c r="V569" s="1056"/>
      <c r="W569" s="1056"/>
      <c r="X569" s="1056"/>
      <c r="Y569" s="1056"/>
      <c r="Z569" s="1056"/>
      <c r="AA569" s="1056"/>
      <c r="AB569" s="1056"/>
      <c r="AC569" s="1056"/>
    </row>
    <row r="570" spans="1:29" x14ac:dyDescent="0.25">
      <c r="A570" s="1106"/>
      <c r="B570" s="1056"/>
      <c r="C570" s="1056"/>
      <c r="D570" s="1056"/>
      <c r="E570" s="1056"/>
      <c r="F570" s="1056"/>
      <c r="G570" s="1056"/>
      <c r="H570" s="1056"/>
      <c r="I570" s="1056"/>
      <c r="J570" s="1056"/>
      <c r="K570" s="1056"/>
      <c r="L570" s="1056"/>
      <c r="M570" s="1056"/>
      <c r="N570" s="1056"/>
      <c r="O570" s="1056"/>
      <c r="P570" s="1056"/>
      <c r="Q570" s="1056"/>
      <c r="R570" s="1056"/>
      <c r="S570" s="1056"/>
      <c r="T570" s="1056"/>
      <c r="U570" s="1056"/>
      <c r="V570" s="1056"/>
      <c r="W570" s="1056"/>
      <c r="X570" s="1056"/>
      <c r="Y570" s="1056"/>
      <c r="Z570" s="1056"/>
      <c r="AA570" s="1056"/>
      <c r="AB570" s="1056"/>
      <c r="AC570" s="1056"/>
    </row>
    <row r="571" spans="1:29" x14ac:dyDescent="0.25">
      <c r="A571" s="1106"/>
      <c r="B571" s="1056"/>
      <c r="C571" s="1056"/>
      <c r="D571" s="1056"/>
      <c r="E571" s="1056"/>
      <c r="F571" s="1056"/>
      <c r="G571" s="1056"/>
      <c r="H571" s="1056"/>
      <c r="I571" s="1056"/>
      <c r="J571" s="1056"/>
      <c r="K571" s="1056"/>
      <c r="L571" s="1056"/>
      <c r="M571" s="1056"/>
      <c r="N571" s="1056"/>
      <c r="O571" s="1056"/>
      <c r="P571" s="1056"/>
      <c r="Q571" s="1056"/>
      <c r="R571" s="1056"/>
      <c r="S571" s="1056"/>
      <c r="T571" s="1056"/>
      <c r="U571" s="1056"/>
      <c r="V571" s="1056"/>
      <c r="W571" s="1056"/>
      <c r="X571" s="1056"/>
      <c r="Y571" s="1056"/>
      <c r="Z571" s="1056"/>
      <c r="AA571" s="1056"/>
      <c r="AB571" s="1056"/>
      <c r="AC571" s="1056"/>
    </row>
    <row r="572" spans="1:29" x14ac:dyDescent="0.25">
      <c r="A572" s="1106"/>
      <c r="B572" s="1056"/>
      <c r="C572" s="1056"/>
      <c r="D572" s="1056"/>
      <c r="E572" s="1056"/>
      <c r="F572" s="1056"/>
      <c r="G572" s="1056"/>
      <c r="H572" s="1056"/>
      <c r="I572" s="1056"/>
      <c r="J572" s="1056"/>
      <c r="K572" s="1056"/>
      <c r="L572" s="1056"/>
      <c r="M572" s="1056"/>
      <c r="N572" s="1056"/>
      <c r="O572" s="1056"/>
      <c r="P572" s="1056"/>
      <c r="Q572" s="1056"/>
      <c r="R572" s="1056"/>
      <c r="S572" s="1056"/>
      <c r="T572" s="1056"/>
      <c r="U572" s="1056"/>
      <c r="V572" s="1056"/>
      <c r="W572" s="1056"/>
      <c r="X572" s="1056"/>
      <c r="Y572" s="1056"/>
      <c r="Z572" s="1056"/>
      <c r="AA572" s="1056"/>
      <c r="AB572" s="1056"/>
      <c r="AC572" s="1056"/>
    </row>
    <row r="573" spans="1:29" x14ac:dyDescent="0.25">
      <c r="A573" s="1106"/>
      <c r="B573" s="1056"/>
      <c r="C573" s="1056"/>
      <c r="D573" s="1056"/>
      <c r="E573" s="1056"/>
      <c r="F573" s="1056"/>
      <c r="G573" s="1056"/>
      <c r="H573" s="1056"/>
      <c r="I573" s="1056"/>
      <c r="J573" s="1056"/>
      <c r="K573" s="1056"/>
      <c r="L573" s="1056"/>
      <c r="M573" s="1056"/>
      <c r="N573" s="1056"/>
      <c r="O573" s="1056"/>
      <c r="P573" s="1056"/>
      <c r="Q573" s="1056"/>
      <c r="R573" s="1056"/>
      <c r="S573" s="1056"/>
      <c r="T573" s="1056"/>
      <c r="U573" s="1056"/>
      <c r="V573" s="1056"/>
      <c r="W573" s="1056"/>
      <c r="X573" s="1056"/>
      <c r="Y573" s="1056"/>
      <c r="Z573" s="1056"/>
      <c r="AA573" s="1056"/>
      <c r="AB573" s="1056"/>
      <c r="AC573" s="1056"/>
    </row>
    <row r="574" spans="1:29" x14ac:dyDescent="0.25">
      <c r="A574" s="1106"/>
      <c r="B574" s="1056"/>
      <c r="C574" s="1056"/>
      <c r="D574" s="1056"/>
      <c r="E574" s="1056"/>
      <c r="F574" s="1056"/>
      <c r="G574" s="1056"/>
      <c r="H574" s="1056"/>
      <c r="I574" s="1056"/>
      <c r="J574" s="1056"/>
      <c r="K574" s="1056"/>
      <c r="L574" s="1056"/>
      <c r="M574" s="1056"/>
      <c r="N574" s="1056"/>
      <c r="O574" s="1056"/>
      <c r="P574" s="1056"/>
      <c r="Q574" s="1056"/>
      <c r="R574" s="1056"/>
      <c r="S574" s="1056"/>
      <c r="T574" s="1056"/>
      <c r="U574" s="1056"/>
      <c r="V574" s="1056"/>
      <c r="W574" s="1056"/>
      <c r="X574" s="1056"/>
      <c r="Y574" s="1056"/>
      <c r="Z574" s="1056"/>
      <c r="AA574" s="1056"/>
      <c r="AB574" s="1056"/>
      <c r="AC574" s="1056"/>
    </row>
    <row r="575" spans="1:29" x14ac:dyDescent="0.25">
      <c r="A575" s="1106"/>
      <c r="B575" s="1056"/>
      <c r="C575" s="1056"/>
      <c r="D575" s="1056"/>
      <c r="E575" s="1056"/>
      <c r="F575" s="1056"/>
      <c r="G575" s="1056"/>
      <c r="H575" s="1056"/>
      <c r="I575" s="1056"/>
      <c r="J575" s="1056"/>
      <c r="K575" s="1056"/>
      <c r="L575" s="1056"/>
      <c r="M575" s="1056"/>
      <c r="N575" s="1056"/>
      <c r="O575" s="1056"/>
      <c r="P575" s="1056"/>
      <c r="Q575" s="1056"/>
      <c r="R575" s="1056"/>
      <c r="S575" s="1056"/>
      <c r="T575" s="1056"/>
      <c r="U575" s="1056"/>
      <c r="V575" s="1056"/>
      <c r="W575" s="1056"/>
      <c r="X575" s="1056"/>
      <c r="Y575" s="1056"/>
      <c r="Z575" s="1056"/>
      <c r="AA575" s="1056"/>
      <c r="AB575" s="1056"/>
      <c r="AC575" s="1056"/>
    </row>
    <row r="576" spans="1:29" x14ac:dyDescent="0.25">
      <c r="A576" s="1106"/>
      <c r="B576" s="1056"/>
      <c r="C576" s="1056"/>
      <c r="D576" s="1056"/>
      <c r="E576" s="1056"/>
      <c r="F576" s="1056"/>
      <c r="G576" s="1056"/>
      <c r="H576" s="1056"/>
      <c r="I576" s="1056"/>
      <c r="J576" s="1056"/>
      <c r="K576" s="1056"/>
      <c r="L576" s="1056"/>
      <c r="M576" s="1056"/>
      <c r="N576" s="1056"/>
      <c r="O576" s="1056"/>
      <c r="P576" s="1056"/>
      <c r="Q576" s="1056"/>
      <c r="R576" s="1056"/>
      <c r="S576" s="1056"/>
      <c r="T576" s="1056"/>
      <c r="U576" s="1056"/>
      <c r="V576" s="1056"/>
      <c r="W576" s="1056"/>
      <c r="X576" s="1056"/>
      <c r="Y576" s="1056"/>
      <c r="Z576" s="1056"/>
      <c r="AA576" s="1056"/>
      <c r="AB576" s="1056"/>
      <c r="AC576" s="1056"/>
    </row>
    <row r="577" spans="1:29" x14ac:dyDescent="0.25">
      <c r="A577" s="1106"/>
      <c r="B577" s="1056"/>
      <c r="C577" s="1056"/>
      <c r="D577" s="1056"/>
      <c r="E577" s="1056"/>
      <c r="F577" s="1056"/>
      <c r="G577" s="1056"/>
      <c r="H577" s="1056"/>
      <c r="I577" s="1056"/>
      <c r="J577" s="1056"/>
      <c r="K577" s="1056"/>
      <c r="L577" s="1056"/>
      <c r="M577" s="1056"/>
      <c r="N577" s="1056"/>
      <c r="O577" s="1056"/>
      <c r="P577" s="1056"/>
      <c r="Q577" s="1056"/>
      <c r="R577" s="1056"/>
      <c r="S577" s="1056"/>
      <c r="T577" s="1056"/>
      <c r="U577" s="1056"/>
      <c r="V577" s="1056"/>
      <c r="W577" s="1056"/>
      <c r="X577" s="1056"/>
      <c r="Y577" s="1056"/>
      <c r="Z577" s="1056"/>
      <c r="AA577" s="1056"/>
      <c r="AB577" s="1056"/>
      <c r="AC577" s="1056"/>
    </row>
    <row r="578" spans="1:29" x14ac:dyDescent="0.25">
      <c r="A578" s="1106"/>
      <c r="B578" s="1056"/>
      <c r="C578" s="1056"/>
      <c r="D578" s="1056"/>
      <c r="E578" s="1056"/>
      <c r="F578" s="1056"/>
      <c r="G578" s="1056"/>
      <c r="H578" s="1056"/>
      <c r="I578" s="1056"/>
      <c r="J578" s="1056"/>
      <c r="K578" s="1056"/>
      <c r="L578" s="1056"/>
      <c r="M578" s="1056"/>
      <c r="N578" s="1056"/>
      <c r="O578" s="1056"/>
      <c r="P578" s="1056"/>
      <c r="Q578" s="1056"/>
      <c r="R578" s="1056"/>
      <c r="S578" s="1056"/>
      <c r="T578" s="1056"/>
      <c r="U578" s="1056"/>
      <c r="V578" s="1056"/>
      <c r="W578" s="1056"/>
      <c r="X578" s="1056"/>
      <c r="Y578" s="1056"/>
      <c r="Z578" s="1056"/>
      <c r="AA578" s="1056"/>
      <c r="AB578" s="1056"/>
      <c r="AC578" s="1056"/>
    </row>
    <row r="579" spans="1:29" x14ac:dyDescent="0.25">
      <c r="A579" s="1106"/>
      <c r="B579" s="1056"/>
      <c r="C579" s="1056"/>
      <c r="D579" s="1056"/>
      <c r="E579" s="1056"/>
      <c r="F579" s="1056"/>
      <c r="G579" s="1056"/>
      <c r="H579" s="1056"/>
      <c r="I579" s="1056"/>
      <c r="J579" s="1056"/>
      <c r="K579" s="1056"/>
      <c r="L579" s="1056"/>
      <c r="M579" s="1056"/>
      <c r="N579" s="1056"/>
      <c r="O579" s="1056"/>
      <c r="P579" s="1056"/>
      <c r="Q579" s="1056"/>
      <c r="R579" s="1056"/>
      <c r="S579" s="1056"/>
      <c r="T579" s="1056"/>
      <c r="U579" s="1056"/>
      <c r="V579" s="1056"/>
      <c r="W579" s="1056"/>
      <c r="X579" s="1056"/>
      <c r="Y579" s="1056"/>
      <c r="Z579" s="1056"/>
      <c r="AA579" s="1056"/>
      <c r="AB579" s="1056"/>
      <c r="AC579" s="1056"/>
    </row>
    <row r="580" spans="1:29" x14ac:dyDescent="0.25">
      <c r="A580" s="1106"/>
      <c r="B580" s="1056"/>
      <c r="C580" s="1056"/>
      <c r="D580" s="1056"/>
      <c r="E580" s="1056"/>
      <c r="F580" s="1056"/>
      <c r="G580" s="1056"/>
      <c r="H580" s="1056"/>
      <c r="I580" s="1056"/>
      <c r="J580" s="1056"/>
      <c r="K580" s="1056"/>
      <c r="L580" s="1056"/>
      <c r="M580" s="1056"/>
      <c r="N580" s="1056"/>
      <c r="O580" s="1056"/>
      <c r="P580" s="1056"/>
      <c r="Q580" s="1056"/>
      <c r="R580" s="1056"/>
      <c r="S580" s="1056"/>
      <c r="T580" s="1056"/>
      <c r="U580" s="1056"/>
      <c r="V580" s="1056"/>
      <c r="W580" s="1056"/>
      <c r="X580" s="1056"/>
      <c r="Y580" s="1056"/>
      <c r="Z580" s="1056"/>
      <c r="AA580" s="1056"/>
      <c r="AB580" s="1056"/>
      <c r="AC580" s="1056"/>
    </row>
    <row r="581" spans="1:29" x14ac:dyDescent="0.25">
      <c r="A581" s="1106"/>
      <c r="B581" s="1056"/>
      <c r="C581" s="1056"/>
      <c r="D581" s="1056"/>
      <c r="E581" s="1056"/>
      <c r="F581" s="1056"/>
      <c r="G581" s="1056"/>
      <c r="H581" s="1056"/>
      <c r="I581" s="1056"/>
      <c r="J581" s="1056"/>
      <c r="K581" s="1056"/>
      <c r="L581" s="1056"/>
      <c r="M581" s="1056"/>
      <c r="N581" s="1056"/>
      <c r="O581" s="1056"/>
      <c r="P581" s="1056"/>
      <c r="Q581" s="1056"/>
      <c r="R581" s="1056"/>
      <c r="S581" s="1056"/>
      <c r="T581" s="1056"/>
      <c r="U581" s="1056"/>
      <c r="V581" s="1056"/>
      <c r="W581" s="1056"/>
      <c r="X581" s="1056"/>
      <c r="Y581" s="1056"/>
      <c r="Z581" s="1056"/>
      <c r="AA581" s="1056"/>
      <c r="AB581" s="1056"/>
      <c r="AC581" s="1056"/>
    </row>
    <row r="582" spans="1:29" x14ac:dyDescent="0.25">
      <c r="A582" s="1106"/>
      <c r="B582" s="1056"/>
      <c r="C582" s="1056"/>
      <c r="D582" s="1056"/>
      <c r="E582" s="1056"/>
      <c r="F582" s="1056"/>
      <c r="G582" s="1056"/>
      <c r="H582" s="1056"/>
      <c r="I582" s="1056"/>
      <c r="J582" s="1056"/>
      <c r="K582" s="1056"/>
      <c r="L582" s="1056"/>
      <c r="M582" s="1056"/>
      <c r="N582" s="1056"/>
      <c r="O582" s="1056"/>
      <c r="P582" s="1056"/>
      <c r="Q582" s="1056"/>
      <c r="R582" s="1056"/>
      <c r="S582" s="1056"/>
      <c r="T582" s="1056"/>
      <c r="U582" s="1056"/>
      <c r="V582" s="1056"/>
      <c r="W582" s="1056"/>
      <c r="X582" s="1056"/>
      <c r="Y582" s="1056"/>
      <c r="Z582" s="1056"/>
      <c r="AA582" s="1056"/>
      <c r="AB582" s="1056"/>
      <c r="AC582" s="1056"/>
    </row>
    <row r="583" spans="1:29" x14ac:dyDescent="0.25">
      <c r="A583" s="1106"/>
      <c r="B583" s="1056"/>
      <c r="C583" s="1056"/>
      <c r="D583" s="1056"/>
      <c r="E583" s="1056"/>
      <c r="F583" s="1056"/>
      <c r="G583" s="1056"/>
      <c r="H583" s="1056"/>
      <c r="I583" s="1056"/>
      <c r="J583" s="1056"/>
      <c r="K583" s="1056"/>
      <c r="L583" s="1056"/>
      <c r="M583" s="1056"/>
      <c r="N583" s="1056"/>
      <c r="O583" s="1056"/>
      <c r="P583" s="1056"/>
      <c r="Q583" s="1056"/>
      <c r="R583" s="1056"/>
      <c r="S583" s="1056"/>
      <c r="T583" s="1056"/>
      <c r="U583" s="1056"/>
      <c r="V583" s="1056"/>
      <c r="W583" s="1056"/>
      <c r="X583" s="1056"/>
      <c r="Y583" s="1056"/>
      <c r="Z583" s="1056"/>
      <c r="AA583" s="1056"/>
      <c r="AB583" s="1056"/>
      <c r="AC583" s="1056"/>
    </row>
    <row r="584" spans="1:29" x14ac:dyDescent="0.25">
      <c r="A584" s="1106"/>
      <c r="B584" s="1056"/>
      <c r="C584" s="1056"/>
      <c r="D584" s="1056"/>
      <c r="E584" s="1056"/>
      <c r="F584" s="1056"/>
      <c r="G584" s="1056"/>
      <c r="H584" s="1056"/>
      <c r="I584" s="1056"/>
      <c r="J584" s="1056"/>
      <c r="K584" s="1056"/>
      <c r="L584" s="1056"/>
      <c r="M584" s="1056"/>
      <c r="N584" s="1056"/>
      <c r="O584" s="1056"/>
      <c r="P584" s="1056"/>
      <c r="Q584" s="1056"/>
      <c r="R584" s="1056"/>
      <c r="S584" s="1056"/>
      <c r="T584" s="1056"/>
      <c r="U584" s="1056"/>
      <c r="V584" s="1056"/>
      <c r="W584" s="1056"/>
      <c r="X584" s="1056"/>
      <c r="Y584" s="1056"/>
      <c r="Z584" s="1056"/>
      <c r="AA584" s="1056"/>
      <c r="AB584" s="1056"/>
      <c r="AC584" s="1056"/>
    </row>
    <row r="585" spans="1:29" x14ac:dyDescent="0.25">
      <c r="A585" s="1106"/>
      <c r="B585" s="1056"/>
      <c r="C585" s="1056"/>
      <c r="D585" s="1056"/>
      <c r="E585" s="1056"/>
      <c r="F585" s="1056"/>
      <c r="G585" s="1056"/>
      <c r="H585" s="1056"/>
      <c r="I585" s="1056"/>
      <c r="J585" s="1056"/>
      <c r="K585" s="1056"/>
      <c r="L585" s="1056"/>
      <c r="M585" s="1056"/>
      <c r="N585" s="1056"/>
      <c r="O585" s="1056"/>
      <c r="P585" s="1056"/>
      <c r="Q585" s="1056"/>
      <c r="R585" s="1056"/>
      <c r="S585" s="1056"/>
      <c r="T585" s="1056"/>
      <c r="U585" s="1056"/>
      <c r="V585" s="1056"/>
      <c r="W585" s="1056"/>
      <c r="X585" s="1056"/>
      <c r="Y585" s="1056"/>
      <c r="Z585" s="1056"/>
      <c r="AA585" s="1056"/>
      <c r="AB585" s="1056"/>
      <c r="AC585" s="1056"/>
    </row>
    <row r="586" spans="1:29" x14ac:dyDescent="0.25">
      <c r="A586" s="1106"/>
      <c r="B586" s="1056"/>
      <c r="C586" s="1056"/>
      <c r="D586" s="1056"/>
      <c r="E586" s="1056"/>
      <c r="F586" s="1056"/>
      <c r="G586" s="1056"/>
      <c r="H586" s="1056"/>
      <c r="I586" s="1056"/>
      <c r="J586" s="1056"/>
      <c r="K586" s="1056"/>
      <c r="L586" s="1056"/>
      <c r="M586" s="1056"/>
      <c r="N586" s="1056"/>
      <c r="O586" s="1056"/>
      <c r="P586" s="1056"/>
      <c r="Q586" s="1056"/>
      <c r="R586" s="1056"/>
      <c r="S586" s="1056"/>
      <c r="T586" s="1056"/>
      <c r="U586" s="1056"/>
      <c r="V586" s="1056"/>
      <c r="W586" s="1056"/>
      <c r="X586" s="1056"/>
      <c r="Y586" s="1056"/>
      <c r="Z586" s="1056"/>
      <c r="AA586" s="1056"/>
      <c r="AB586" s="1056"/>
      <c r="AC586" s="1056"/>
    </row>
    <row r="587" spans="1:29" x14ac:dyDescent="0.25">
      <c r="A587" s="1106"/>
      <c r="B587" s="1056"/>
      <c r="C587" s="1056"/>
      <c r="D587" s="1056"/>
      <c r="E587" s="1056"/>
      <c r="F587" s="1056"/>
      <c r="G587" s="1056"/>
      <c r="H587" s="1056"/>
      <c r="I587" s="1056"/>
      <c r="J587" s="1056"/>
      <c r="K587" s="1056"/>
      <c r="L587" s="1056"/>
      <c r="M587" s="1056"/>
      <c r="N587" s="1056"/>
      <c r="O587" s="1056"/>
      <c r="P587" s="1056"/>
      <c r="Q587" s="1056"/>
      <c r="R587" s="1056"/>
      <c r="S587" s="1056"/>
      <c r="T587" s="1056"/>
      <c r="U587" s="1056"/>
      <c r="V587" s="1056"/>
      <c r="W587" s="1056"/>
      <c r="X587" s="1056"/>
      <c r="Y587" s="1056"/>
      <c r="Z587" s="1056"/>
      <c r="AA587" s="1056"/>
      <c r="AB587" s="1056"/>
      <c r="AC587" s="1056"/>
    </row>
    <row r="588" spans="1:29" x14ac:dyDescent="0.25">
      <c r="A588" s="1106"/>
      <c r="B588" s="1056"/>
      <c r="C588" s="1056"/>
      <c r="D588" s="1056"/>
      <c r="E588" s="1056"/>
      <c r="F588" s="1056"/>
      <c r="G588" s="1056"/>
      <c r="H588" s="1056"/>
      <c r="I588" s="1056"/>
      <c r="J588" s="1056"/>
      <c r="K588" s="1056"/>
      <c r="L588" s="1056"/>
      <c r="M588" s="1056"/>
      <c r="N588" s="1056"/>
      <c r="O588" s="1056"/>
      <c r="P588" s="1056"/>
      <c r="Q588" s="1056"/>
      <c r="R588" s="1056"/>
      <c r="S588" s="1056"/>
      <c r="T588" s="1056"/>
      <c r="U588" s="1056"/>
      <c r="V588" s="1056"/>
      <c r="W588" s="1056"/>
      <c r="X588" s="1056"/>
      <c r="Y588" s="1056"/>
      <c r="Z588" s="1056"/>
      <c r="AA588" s="1056"/>
      <c r="AB588" s="1056"/>
      <c r="AC588" s="1056"/>
    </row>
    <row r="589" spans="1:29" x14ac:dyDescent="0.25">
      <c r="A589" s="1106"/>
      <c r="B589" s="1056"/>
      <c r="C589" s="1056"/>
      <c r="D589" s="1056"/>
      <c r="E589" s="1056"/>
      <c r="F589" s="1056"/>
      <c r="G589" s="1056"/>
      <c r="H589" s="1056"/>
      <c r="I589" s="1056"/>
      <c r="J589" s="1056"/>
      <c r="K589" s="1056"/>
      <c r="L589" s="1056"/>
      <c r="M589" s="1056"/>
      <c r="N589" s="1056"/>
      <c r="O589" s="1056"/>
      <c r="P589" s="1056"/>
      <c r="Q589" s="1056"/>
      <c r="R589" s="1056"/>
      <c r="S589" s="1056"/>
      <c r="T589" s="1056"/>
      <c r="U589" s="1056"/>
      <c r="V589" s="1056"/>
      <c r="W589" s="1056"/>
      <c r="X589" s="1056"/>
      <c r="Y589" s="1056"/>
      <c r="Z589" s="1056"/>
      <c r="AA589" s="1056"/>
      <c r="AB589" s="1056"/>
      <c r="AC589" s="1056"/>
    </row>
    <row r="590" spans="1:29" x14ac:dyDescent="0.25">
      <c r="A590" s="1106"/>
      <c r="B590" s="1056"/>
      <c r="C590" s="1056"/>
      <c r="D590" s="1056"/>
      <c r="E590" s="1056"/>
      <c r="F590" s="1056"/>
      <c r="G590" s="1056"/>
      <c r="H590" s="1056"/>
      <c r="I590" s="1056"/>
      <c r="J590" s="1056"/>
      <c r="K590" s="1056"/>
      <c r="L590" s="1056"/>
      <c r="M590" s="1056"/>
      <c r="N590" s="1056"/>
      <c r="O590" s="1056"/>
      <c r="P590" s="1056"/>
      <c r="Q590" s="1056"/>
      <c r="R590" s="1056"/>
      <c r="S590" s="1056"/>
      <c r="T590" s="1056"/>
      <c r="U590" s="1056"/>
      <c r="V590" s="1056"/>
      <c r="W590" s="1056"/>
      <c r="X590" s="1056"/>
      <c r="Y590" s="1056"/>
      <c r="Z590" s="1056"/>
      <c r="AA590" s="1056"/>
      <c r="AB590" s="1056"/>
      <c r="AC590" s="1056"/>
    </row>
    <row r="591" spans="1:29" x14ac:dyDescent="0.25">
      <c r="A591" s="1106"/>
      <c r="B591" s="1056"/>
      <c r="C591" s="1056"/>
      <c r="D591" s="1056"/>
      <c r="E591" s="1056"/>
      <c r="F591" s="1056"/>
      <c r="G591" s="1056"/>
      <c r="H591" s="1056"/>
      <c r="I591" s="1056"/>
      <c r="J591" s="1056"/>
      <c r="K591" s="1056"/>
      <c r="L591" s="1056"/>
      <c r="M591" s="1056"/>
      <c r="N591" s="1056"/>
      <c r="O591" s="1056"/>
      <c r="P591" s="1056"/>
      <c r="Q591" s="1056"/>
      <c r="R591" s="1056"/>
      <c r="S591" s="1056"/>
      <c r="T591" s="1056"/>
      <c r="U591" s="1056"/>
      <c r="V591" s="1056"/>
      <c r="W591" s="1056"/>
      <c r="X591" s="1056"/>
      <c r="Y591" s="1056"/>
      <c r="Z591" s="1056"/>
      <c r="AA591" s="1056"/>
      <c r="AB591" s="1056"/>
      <c r="AC591" s="1056"/>
    </row>
    <row r="592" spans="1:29" x14ac:dyDescent="0.25">
      <c r="A592" s="1106"/>
      <c r="B592" s="1056"/>
      <c r="C592" s="1056"/>
      <c r="D592" s="1056"/>
      <c r="E592" s="1056"/>
      <c r="F592" s="1056"/>
      <c r="G592" s="1056"/>
      <c r="H592" s="1056"/>
      <c r="I592" s="1056"/>
      <c r="J592" s="1056"/>
      <c r="K592" s="1056"/>
      <c r="L592" s="1056"/>
      <c r="M592" s="1056"/>
      <c r="N592" s="1056"/>
      <c r="O592" s="1056"/>
      <c r="P592" s="1056"/>
      <c r="Q592" s="1056"/>
      <c r="R592" s="1056"/>
      <c r="S592" s="1056"/>
      <c r="T592" s="1056"/>
      <c r="U592" s="1056"/>
      <c r="V592" s="1056"/>
      <c r="W592" s="1056"/>
      <c r="X592" s="1056"/>
      <c r="Y592" s="1056"/>
      <c r="Z592" s="1056"/>
      <c r="AA592" s="1056"/>
      <c r="AB592" s="1056"/>
      <c r="AC592" s="1056"/>
    </row>
    <row r="593" spans="1:29" x14ac:dyDescent="0.25">
      <c r="A593" s="1106"/>
      <c r="B593" s="1056"/>
      <c r="C593" s="1056"/>
      <c r="D593" s="1056"/>
      <c r="E593" s="1056"/>
      <c r="F593" s="1056"/>
      <c r="G593" s="1056"/>
      <c r="H593" s="1056"/>
      <c r="I593" s="1056"/>
      <c r="J593" s="1056"/>
      <c r="K593" s="1056"/>
      <c r="L593" s="1056"/>
      <c r="M593" s="1056"/>
      <c r="N593" s="1056"/>
      <c r="O593" s="1056"/>
      <c r="P593" s="1056"/>
      <c r="Q593" s="1056"/>
      <c r="R593" s="1056"/>
      <c r="S593" s="1056"/>
      <c r="T593" s="1056"/>
      <c r="U593" s="1056"/>
      <c r="V593" s="1056"/>
      <c r="W593" s="1056"/>
      <c r="X593" s="1056"/>
      <c r="Y593" s="1056"/>
      <c r="Z593" s="1056"/>
      <c r="AA593" s="1056"/>
      <c r="AB593" s="1056"/>
      <c r="AC593" s="1056"/>
    </row>
    <row r="594" spans="1:29" x14ac:dyDescent="0.25">
      <c r="A594" s="1106"/>
      <c r="B594" s="1056"/>
      <c r="C594" s="1056"/>
      <c r="D594" s="1056"/>
      <c r="E594" s="1056"/>
      <c r="F594" s="1056"/>
      <c r="G594" s="1056"/>
      <c r="H594" s="1056"/>
      <c r="I594" s="1056"/>
      <c r="J594" s="1056"/>
      <c r="K594" s="1056"/>
      <c r="L594" s="1056"/>
      <c r="M594" s="1056"/>
      <c r="N594" s="1056"/>
      <c r="O594" s="1056"/>
      <c r="P594" s="1056"/>
      <c r="Q594" s="1056"/>
      <c r="R594" s="1056"/>
      <c r="S594" s="1056"/>
      <c r="T594" s="1056"/>
      <c r="U594" s="1056"/>
      <c r="V594" s="1056"/>
      <c r="W594" s="1056"/>
      <c r="X594" s="1056"/>
      <c r="Y594" s="1056"/>
      <c r="Z594" s="1056"/>
      <c r="AA594" s="1056"/>
      <c r="AB594" s="1056"/>
      <c r="AC594" s="1056"/>
    </row>
    <row r="595" spans="1:29" x14ac:dyDescent="0.25">
      <c r="A595" s="1106"/>
      <c r="B595" s="1056"/>
      <c r="C595" s="1056"/>
      <c r="D595" s="1056"/>
      <c r="E595" s="1056"/>
      <c r="F595" s="1056"/>
      <c r="G595" s="1056"/>
      <c r="H595" s="1056"/>
      <c r="I595" s="1056"/>
      <c r="J595" s="1056"/>
      <c r="K595" s="1056"/>
      <c r="L595" s="1056"/>
      <c r="M595" s="1056"/>
      <c r="N595" s="1056"/>
      <c r="O595" s="1056"/>
      <c r="P595" s="1056"/>
      <c r="Q595" s="1056"/>
      <c r="R595" s="1056"/>
      <c r="S595" s="1056"/>
      <c r="T595" s="1056"/>
      <c r="U595" s="1056"/>
      <c r="V595" s="1056"/>
      <c r="W595" s="1056"/>
      <c r="X595" s="1056"/>
      <c r="Y595" s="1056"/>
      <c r="Z595" s="1056"/>
      <c r="AA595" s="1056"/>
      <c r="AB595" s="1056"/>
      <c r="AC595" s="1056"/>
    </row>
    <row r="596" spans="1:29" x14ac:dyDescent="0.25">
      <c r="A596" s="1106"/>
      <c r="B596" s="1056"/>
      <c r="C596" s="1056"/>
      <c r="D596" s="1056"/>
      <c r="E596" s="1056"/>
      <c r="F596" s="1056"/>
      <c r="G596" s="1056"/>
      <c r="H596" s="1056"/>
      <c r="I596" s="1056"/>
      <c r="J596" s="1056"/>
      <c r="K596" s="1056"/>
      <c r="L596" s="1056"/>
      <c r="M596" s="1056"/>
      <c r="N596" s="1056"/>
      <c r="O596" s="1056"/>
      <c r="P596" s="1056"/>
      <c r="Q596" s="1056"/>
      <c r="R596" s="1056"/>
      <c r="S596" s="1056"/>
      <c r="T596" s="1056"/>
      <c r="U596" s="1056"/>
      <c r="V596" s="1056"/>
      <c r="W596" s="1056"/>
      <c r="X596" s="1056"/>
      <c r="Y596" s="1056"/>
      <c r="Z596" s="1056"/>
      <c r="AA596" s="1056"/>
      <c r="AB596" s="1056"/>
      <c r="AC596" s="1056"/>
    </row>
    <row r="597" spans="1:29" x14ac:dyDescent="0.25">
      <c r="A597" s="1106"/>
      <c r="B597" s="1056"/>
      <c r="C597" s="1056"/>
      <c r="D597" s="1056"/>
      <c r="E597" s="1056"/>
      <c r="F597" s="1056"/>
      <c r="G597" s="1056"/>
      <c r="H597" s="1056"/>
      <c r="I597" s="1056"/>
      <c r="J597" s="1056"/>
      <c r="K597" s="1056"/>
      <c r="L597" s="1056"/>
      <c r="M597" s="1056"/>
      <c r="N597" s="1056"/>
      <c r="O597" s="1056"/>
      <c r="P597" s="1056"/>
      <c r="Q597" s="1056"/>
      <c r="R597" s="1056"/>
      <c r="S597" s="1056"/>
      <c r="T597" s="1056"/>
      <c r="U597" s="1056"/>
      <c r="V597" s="1056"/>
      <c r="W597" s="1056"/>
      <c r="X597" s="1056"/>
      <c r="Y597" s="1056"/>
      <c r="Z597" s="1056"/>
      <c r="AA597" s="1056"/>
      <c r="AB597" s="1056"/>
      <c r="AC597" s="1056"/>
    </row>
    <row r="598" spans="1:29" x14ac:dyDescent="0.25">
      <c r="A598" s="1106"/>
      <c r="B598" s="1056"/>
      <c r="C598" s="1056"/>
      <c r="D598" s="1056"/>
      <c r="E598" s="1056"/>
      <c r="F598" s="1056"/>
      <c r="G598" s="1056"/>
      <c r="H598" s="1056"/>
      <c r="I598" s="1056"/>
      <c r="J598" s="1056"/>
      <c r="K598" s="1056"/>
      <c r="L598" s="1056"/>
      <c r="M598" s="1056"/>
      <c r="N598" s="1056"/>
      <c r="O598" s="1056"/>
      <c r="P598" s="1056"/>
      <c r="Q598" s="1056"/>
      <c r="R598" s="1056"/>
      <c r="S598" s="1056"/>
      <c r="T598" s="1056"/>
      <c r="U598" s="1056"/>
      <c r="V598" s="1056"/>
      <c r="W598" s="1056"/>
      <c r="X598" s="1056"/>
      <c r="Y598" s="1056"/>
      <c r="Z598" s="1056"/>
      <c r="AA598" s="1056"/>
      <c r="AB598" s="1056"/>
      <c r="AC598" s="1056"/>
    </row>
    <row r="599" spans="1:29" x14ac:dyDescent="0.25">
      <c r="A599" s="1106"/>
      <c r="B599" s="1056"/>
      <c r="C599" s="1056"/>
      <c r="D599" s="1056"/>
      <c r="E599" s="1056"/>
      <c r="F599" s="1056"/>
      <c r="G599" s="1056"/>
      <c r="H599" s="1056"/>
      <c r="I599" s="1056"/>
      <c r="J599" s="1056"/>
      <c r="K599" s="1056"/>
      <c r="L599" s="1056"/>
      <c r="M599" s="1056"/>
      <c r="N599" s="1056"/>
      <c r="O599" s="1056"/>
      <c r="P599" s="1056"/>
      <c r="Q599" s="1056"/>
      <c r="R599" s="1056"/>
      <c r="S599" s="1056"/>
      <c r="T599" s="1056"/>
      <c r="U599" s="1056"/>
      <c r="V599" s="1056"/>
      <c r="W599" s="1056"/>
      <c r="X599" s="1056"/>
      <c r="Y599" s="1056"/>
      <c r="Z599" s="1056"/>
      <c r="AA599" s="1056"/>
      <c r="AB599" s="1056"/>
      <c r="AC599" s="1056"/>
    </row>
    <row r="600" spans="1:29" x14ac:dyDescent="0.25">
      <c r="A600" s="1106"/>
      <c r="B600" s="1056"/>
      <c r="C600" s="1056"/>
      <c r="D600" s="1056"/>
      <c r="E600" s="1056"/>
      <c r="F600" s="1056"/>
      <c r="G600" s="1056"/>
      <c r="H600" s="1056"/>
      <c r="I600" s="1056"/>
      <c r="J600" s="1056"/>
      <c r="K600" s="1056"/>
      <c r="L600" s="1056"/>
      <c r="M600" s="1056"/>
      <c r="N600" s="1056"/>
      <c r="O600" s="1056"/>
      <c r="P600" s="1056"/>
      <c r="Q600" s="1056"/>
      <c r="R600" s="1056"/>
      <c r="S600" s="1056"/>
      <c r="T600" s="1056"/>
      <c r="U600" s="1056"/>
      <c r="V600" s="1056"/>
      <c r="W600" s="1056"/>
      <c r="X600" s="1056"/>
      <c r="Y600" s="1056"/>
      <c r="Z600" s="1056"/>
      <c r="AA600" s="1056"/>
      <c r="AB600" s="1056"/>
      <c r="AC600" s="1056"/>
    </row>
    <row r="601" spans="1:29" x14ac:dyDescent="0.25">
      <c r="A601" s="1106"/>
      <c r="B601" s="1056"/>
      <c r="C601" s="1056"/>
      <c r="D601" s="1056"/>
      <c r="E601" s="1056"/>
      <c r="F601" s="1056"/>
      <c r="G601" s="1056"/>
      <c r="H601" s="1056"/>
      <c r="I601" s="1056"/>
      <c r="J601" s="1056"/>
      <c r="K601" s="1056"/>
      <c r="L601" s="1056"/>
      <c r="M601" s="1056"/>
      <c r="N601" s="1056"/>
      <c r="O601" s="1056"/>
      <c r="P601" s="1056"/>
      <c r="Q601" s="1056"/>
      <c r="R601" s="1056"/>
      <c r="S601" s="1056"/>
      <c r="T601" s="1056"/>
      <c r="U601" s="1056"/>
      <c r="V601" s="1056"/>
      <c r="W601" s="1056"/>
      <c r="X601" s="1056"/>
      <c r="Y601" s="1056"/>
      <c r="Z601" s="1056"/>
      <c r="AA601" s="1056"/>
      <c r="AB601" s="1056"/>
      <c r="AC601" s="1056"/>
    </row>
    <row r="602" spans="1:29" x14ac:dyDescent="0.25">
      <c r="A602" s="1106"/>
      <c r="B602" s="1056"/>
      <c r="C602" s="1056"/>
      <c r="D602" s="1056"/>
      <c r="E602" s="1056"/>
      <c r="F602" s="1056"/>
      <c r="G602" s="1056"/>
      <c r="H602" s="1056"/>
      <c r="I602" s="1056"/>
      <c r="J602" s="1056"/>
      <c r="K602" s="1056"/>
      <c r="L602" s="1056"/>
      <c r="M602" s="1056"/>
      <c r="N602" s="1056"/>
      <c r="O602" s="1056"/>
      <c r="P602" s="1056"/>
      <c r="Q602" s="1056"/>
      <c r="R602" s="1056"/>
      <c r="S602" s="1056"/>
      <c r="T602" s="1056"/>
      <c r="U602" s="1056"/>
      <c r="V602" s="1056"/>
      <c r="W602" s="1056"/>
      <c r="X602" s="1056"/>
      <c r="Y602" s="1056"/>
      <c r="Z602" s="1056"/>
      <c r="AA602" s="1056"/>
      <c r="AB602" s="1056"/>
      <c r="AC602" s="1056"/>
    </row>
    <row r="603" spans="1:29" x14ac:dyDescent="0.25">
      <c r="A603" s="1106"/>
      <c r="B603" s="1056"/>
      <c r="C603" s="1056"/>
      <c r="D603" s="1056"/>
      <c r="E603" s="1056"/>
      <c r="F603" s="1056"/>
      <c r="G603" s="1056"/>
      <c r="H603" s="1056"/>
      <c r="I603" s="1056"/>
      <c r="J603" s="1056"/>
      <c r="K603" s="1056"/>
      <c r="L603" s="1056"/>
      <c r="M603" s="1056"/>
      <c r="N603" s="1056"/>
      <c r="O603" s="1056"/>
      <c r="P603" s="1056"/>
      <c r="Q603" s="1056"/>
      <c r="R603" s="1056"/>
      <c r="S603" s="1056"/>
      <c r="T603" s="1056"/>
      <c r="U603" s="1056"/>
      <c r="V603" s="1056"/>
      <c r="W603" s="1056"/>
      <c r="X603" s="1056"/>
      <c r="Y603" s="1056"/>
      <c r="Z603" s="1056"/>
      <c r="AA603" s="1056"/>
      <c r="AB603" s="1056"/>
      <c r="AC603" s="1056"/>
    </row>
    <row r="604" spans="1:29" x14ac:dyDescent="0.25">
      <c r="A604" s="1106"/>
      <c r="B604" s="1056"/>
      <c r="C604" s="1056"/>
      <c r="D604" s="1056"/>
      <c r="E604" s="1056"/>
      <c r="F604" s="1056"/>
      <c r="G604" s="1056"/>
      <c r="H604" s="1056"/>
      <c r="I604" s="1056"/>
      <c r="J604" s="1056"/>
      <c r="K604" s="1056"/>
      <c r="L604" s="1056"/>
      <c r="M604" s="1056"/>
      <c r="N604" s="1056"/>
      <c r="O604" s="1056"/>
      <c r="P604" s="1056"/>
      <c r="Q604" s="1056"/>
      <c r="R604" s="1056"/>
      <c r="S604" s="1056"/>
      <c r="T604" s="1056"/>
      <c r="U604" s="1056"/>
      <c r="V604" s="1056"/>
      <c r="W604" s="1056"/>
      <c r="X604" s="1056"/>
      <c r="Y604" s="1056"/>
      <c r="Z604" s="1056"/>
      <c r="AA604" s="1056"/>
      <c r="AB604" s="1056"/>
      <c r="AC604" s="1056"/>
    </row>
    <row r="605" spans="1:29" x14ac:dyDescent="0.25">
      <c r="A605" s="1106"/>
      <c r="B605" s="1056"/>
      <c r="C605" s="1056"/>
      <c r="D605" s="1056"/>
      <c r="E605" s="1056"/>
      <c r="F605" s="1056"/>
      <c r="G605" s="1056"/>
      <c r="H605" s="1056"/>
      <c r="I605" s="1056"/>
      <c r="J605" s="1056"/>
      <c r="K605" s="1056"/>
      <c r="L605" s="1056"/>
      <c r="M605" s="1056"/>
      <c r="N605" s="1056"/>
      <c r="O605" s="1056"/>
      <c r="P605" s="1056"/>
      <c r="Q605" s="1056"/>
      <c r="R605" s="1056"/>
      <c r="S605" s="1056"/>
      <c r="T605" s="1056"/>
      <c r="U605" s="1056"/>
      <c r="V605" s="1056"/>
      <c r="W605" s="1056"/>
      <c r="X605" s="1056"/>
      <c r="Y605" s="1056"/>
      <c r="Z605" s="1056"/>
      <c r="AA605" s="1056"/>
      <c r="AB605" s="1056"/>
      <c r="AC605" s="1056"/>
    </row>
    <row r="606" spans="1:29" x14ac:dyDescent="0.25">
      <c r="A606" s="1106"/>
      <c r="B606" s="1056"/>
      <c r="C606" s="1056"/>
      <c r="D606" s="1056"/>
      <c r="E606" s="1056"/>
      <c r="F606" s="1056"/>
      <c r="G606" s="1056"/>
      <c r="H606" s="1056"/>
      <c r="I606" s="1056"/>
      <c r="J606" s="1056"/>
      <c r="K606" s="1056"/>
      <c r="L606" s="1056"/>
      <c r="M606" s="1056"/>
      <c r="N606" s="1056"/>
      <c r="O606" s="1056"/>
      <c r="P606" s="1056"/>
      <c r="Q606" s="1056"/>
      <c r="R606" s="1056"/>
      <c r="S606" s="1056"/>
      <c r="T606" s="1056"/>
      <c r="U606" s="1056"/>
      <c r="V606" s="1056"/>
      <c r="W606" s="1056"/>
      <c r="X606" s="1056"/>
      <c r="Y606" s="1056"/>
      <c r="Z606" s="1056"/>
      <c r="AA606" s="1056"/>
      <c r="AB606" s="1056"/>
      <c r="AC606" s="1056"/>
    </row>
    <row r="607" spans="1:29" x14ac:dyDescent="0.25">
      <c r="A607" s="1106"/>
      <c r="B607" s="1056"/>
      <c r="C607" s="1056"/>
      <c r="D607" s="1056"/>
      <c r="E607" s="1056"/>
      <c r="F607" s="1056"/>
      <c r="G607" s="1056"/>
      <c r="H607" s="1056"/>
      <c r="I607" s="1056"/>
      <c r="J607" s="1056"/>
      <c r="K607" s="1056"/>
      <c r="L607" s="1056"/>
      <c r="M607" s="1056"/>
      <c r="N607" s="1056"/>
      <c r="O607" s="1056"/>
      <c r="P607" s="1056"/>
      <c r="Q607" s="1056"/>
      <c r="R607" s="1056"/>
      <c r="S607" s="1056"/>
      <c r="T607" s="1056"/>
      <c r="U607" s="1056"/>
      <c r="V607" s="1056"/>
      <c r="W607" s="1056"/>
      <c r="X607" s="1056"/>
      <c r="Y607" s="1056"/>
      <c r="Z607" s="1056"/>
      <c r="AA607" s="1056"/>
      <c r="AB607" s="1056"/>
      <c r="AC607" s="1056"/>
    </row>
    <row r="608" spans="1:29" x14ac:dyDescent="0.25">
      <c r="A608" s="1106"/>
      <c r="B608" s="1056"/>
      <c r="C608" s="1056"/>
      <c r="D608" s="1056"/>
      <c r="E608" s="1056"/>
      <c r="F608" s="1056"/>
      <c r="G608" s="1056"/>
      <c r="H608" s="1056"/>
      <c r="I608" s="1056"/>
      <c r="J608" s="1056"/>
      <c r="K608" s="1056"/>
      <c r="L608" s="1056"/>
      <c r="M608" s="1056"/>
      <c r="N608" s="1056"/>
      <c r="O608" s="1056"/>
      <c r="P608" s="1056"/>
      <c r="Q608" s="1056"/>
      <c r="R608" s="1056"/>
      <c r="S608" s="1056"/>
      <c r="T608" s="1056"/>
      <c r="U608" s="1056"/>
      <c r="V608" s="1056"/>
      <c r="W608" s="1056"/>
      <c r="X608" s="1056"/>
      <c r="Y608" s="1056"/>
      <c r="Z608" s="1056"/>
      <c r="AA608" s="1056"/>
      <c r="AB608" s="1056"/>
      <c r="AC608" s="1056"/>
    </row>
    <row r="609" spans="1:29" x14ac:dyDescent="0.25">
      <c r="A609" s="1106"/>
      <c r="B609" s="1056"/>
      <c r="C609" s="1056"/>
      <c r="D609" s="1056"/>
      <c r="E609" s="1056"/>
      <c r="F609" s="1056"/>
      <c r="G609" s="1056"/>
      <c r="H609" s="1056"/>
      <c r="I609" s="1056"/>
      <c r="J609" s="1056"/>
      <c r="K609" s="1056"/>
      <c r="L609" s="1056"/>
      <c r="M609" s="1056"/>
      <c r="N609" s="1056"/>
      <c r="O609" s="1056"/>
      <c r="P609" s="1056"/>
      <c r="Q609" s="1056"/>
      <c r="R609" s="1056"/>
      <c r="S609" s="1056"/>
      <c r="T609" s="1056"/>
      <c r="U609" s="1056"/>
      <c r="V609" s="1056"/>
      <c r="W609" s="1056"/>
      <c r="X609" s="1056"/>
      <c r="Y609" s="1056"/>
      <c r="Z609" s="1056"/>
      <c r="AA609" s="1056"/>
      <c r="AB609" s="1056"/>
      <c r="AC609" s="1056"/>
    </row>
    <row r="610" spans="1:29" x14ac:dyDescent="0.25">
      <c r="A610" s="1106"/>
      <c r="B610" s="1056"/>
      <c r="C610" s="1056"/>
      <c r="D610" s="1056"/>
      <c r="E610" s="1056"/>
      <c r="F610" s="1056"/>
      <c r="G610" s="1056"/>
      <c r="H610" s="1056"/>
      <c r="I610" s="1056"/>
      <c r="J610" s="1056"/>
      <c r="K610" s="1056"/>
      <c r="L610" s="1056"/>
      <c r="M610" s="1056"/>
      <c r="N610" s="1056"/>
      <c r="O610" s="1056"/>
      <c r="P610" s="1056"/>
      <c r="Q610" s="1056"/>
      <c r="R610" s="1056"/>
      <c r="S610" s="1056"/>
      <c r="T610" s="1056"/>
      <c r="U610" s="1056"/>
      <c r="V610" s="1056"/>
      <c r="W610" s="1056"/>
      <c r="X610" s="1056"/>
      <c r="Y610" s="1056"/>
      <c r="Z610" s="1056"/>
      <c r="AA610" s="1056"/>
      <c r="AB610" s="1056"/>
      <c r="AC610" s="1056"/>
    </row>
    <row r="611" spans="1:29" x14ac:dyDescent="0.25">
      <c r="A611" s="1106"/>
      <c r="B611" s="1056"/>
      <c r="C611" s="1056"/>
      <c r="D611" s="1056"/>
      <c r="E611" s="1056"/>
      <c r="F611" s="1056"/>
      <c r="G611" s="1056"/>
      <c r="H611" s="1056"/>
      <c r="I611" s="1056"/>
      <c r="J611" s="1056"/>
      <c r="K611" s="1056"/>
      <c r="L611" s="1056"/>
      <c r="M611" s="1056"/>
      <c r="N611" s="1056"/>
      <c r="O611" s="1056"/>
      <c r="P611" s="1056"/>
      <c r="Q611" s="1056"/>
      <c r="R611" s="1056"/>
      <c r="S611" s="1056"/>
      <c r="T611" s="1056"/>
      <c r="U611" s="1056"/>
      <c r="V611" s="1056"/>
      <c r="W611" s="1056"/>
      <c r="X611" s="1056"/>
      <c r="Y611" s="1056"/>
      <c r="Z611" s="1056"/>
      <c r="AA611" s="1056"/>
      <c r="AB611" s="1056"/>
      <c r="AC611" s="1056"/>
    </row>
    <row r="612" spans="1:29" x14ac:dyDescent="0.25">
      <c r="A612" s="1106"/>
      <c r="B612" s="1056"/>
      <c r="C612" s="1056"/>
      <c r="D612" s="1056"/>
      <c r="E612" s="1056"/>
      <c r="F612" s="1056"/>
      <c r="G612" s="1056"/>
      <c r="H612" s="1056"/>
      <c r="I612" s="1056"/>
      <c r="J612" s="1056"/>
      <c r="K612" s="1056"/>
      <c r="L612" s="1056"/>
      <c r="M612" s="1056"/>
      <c r="N612" s="1056"/>
      <c r="O612" s="1056"/>
      <c r="P612" s="1056"/>
      <c r="Q612" s="1056"/>
      <c r="R612" s="1056"/>
      <c r="S612" s="1056"/>
      <c r="T612" s="1056"/>
      <c r="U612" s="1056"/>
      <c r="V612" s="1056"/>
      <c r="W612" s="1056"/>
      <c r="X612" s="1056"/>
      <c r="Y612" s="1056"/>
      <c r="Z612" s="1056"/>
      <c r="AA612" s="1056"/>
      <c r="AB612" s="1056"/>
      <c r="AC612" s="1056"/>
    </row>
    <row r="613" spans="1:29" x14ac:dyDescent="0.25">
      <c r="A613" s="1106"/>
      <c r="B613" s="1056"/>
      <c r="C613" s="1056"/>
      <c r="D613" s="1056"/>
      <c r="E613" s="1056"/>
      <c r="F613" s="1056"/>
      <c r="G613" s="1056"/>
      <c r="H613" s="1056"/>
      <c r="I613" s="1056"/>
      <c r="J613" s="1056"/>
      <c r="K613" s="1056"/>
      <c r="L613" s="1056"/>
      <c r="M613" s="1056"/>
      <c r="N613" s="1056"/>
      <c r="O613" s="1056"/>
      <c r="P613" s="1056"/>
      <c r="Q613" s="1056"/>
      <c r="R613" s="1056"/>
      <c r="S613" s="1056"/>
      <c r="T613" s="1056"/>
      <c r="U613" s="1056"/>
      <c r="V613" s="1056"/>
      <c r="W613" s="1056"/>
      <c r="X613" s="1056"/>
      <c r="Y613" s="1056"/>
      <c r="Z613" s="1056"/>
      <c r="AA613" s="1056"/>
      <c r="AB613" s="1056"/>
      <c r="AC613" s="1056"/>
    </row>
    <row r="614" spans="1:29" x14ac:dyDescent="0.25">
      <c r="A614" s="1106"/>
      <c r="B614" s="1056"/>
      <c r="C614" s="1056"/>
      <c r="D614" s="1056"/>
      <c r="E614" s="1056"/>
      <c r="F614" s="1056"/>
      <c r="G614" s="1056"/>
      <c r="H614" s="1056"/>
      <c r="I614" s="1056"/>
      <c r="J614" s="1056"/>
      <c r="K614" s="1056"/>
      <c r="L614" s="1056"/>
      <c r="M614" s="1056"/>
      <c r="N614" s="1056"/>
      <c r="O614" s="1056"/>
      <c r="P614" s="1056"/>
      <c r="Q614" s="1056"/>
      <c r="R614" s="1056"/>
      <c r="S614" s="1056"/>
      <c r="T614" s="1056"/>
      <c r="U614" s="1056"/>
      <c r="V614" s="1056"/>
      <c r="W614" s="1056"/>
      <c r="X614" s="1056"/>
      <c r="Y614" s="1056"/>
      <c r="Z614" s="1056"/>
      <c r="AA614" s="1056"/>
      <c r="AB614" s="1056"/>
      <c r="AC614" s="1056"/>
    </row>
    <row r="615" spans="1:29" x14ac:dyDescent="0.25">
      <c r="A615" s="1106"/>
      <c r="B615" s="1056"/>
      <c r="C615" s="1056"/>
      <c r="D615" s="1056"/>
      <c r="E615" s="1056"/>
      <c r="F615" s="1056"/>
      <c r="G615" s="1056"/>
      <c r="H615" s="1056"/>
      <c r="I615" s="1056"/>
      <c r="J615" s="1056"/>
      <c r="K615" s="1056"/>
      <c r="L615" s="1056"/>
      <c r="M615" s="1056"/>
      <c r="N615" s="1056"/>
      <c r="O615" s="1056"/>
      <c r="P615" s="1056"/>
      <c r="Q615" s="1056"/>
      <c r="R615" s="1056"/>
      <c r="S615" s="1056"/>
      <c r="T615" s="1056"/>
      <c r="U615" s="1056"/>
      <c r="V615" s="1056"/>
      <c r="W615" s="1056"/>
      <c r="X615" s="1056"/>
      <c r="Y615" s="1056"/>
      <c r="Z615" s="1056"/>
      <c r="AA615" s="1056"/>
      <c r="AB615" s="1056"/>
      <c r="AC615" s="1056"/>
    </row>
    <row r="616" spans="1:29" x14ac:dyDescent="0.25">
      <c r="A616" s="1106"/>
      <c r="B616" s="1056"/>
      <c r="C616" s="1056"/>
      <c r="D616" s="1056"/>
      <c r="E616" s="1056"/>
      <c r="F616" s="1056"/>
      <c r="G616" s="1056"/>
      <c r="H616" s="1056"/>
      <c r="I616" s="1056"/>
      <c r="J616" s="1056"/>
      <c r="K616" s="1056"/>
      <c r="L616" s="1056"/>
      <c r="M616" s="1056"/>
      <c r="N616" s="1056"/>
      <c r="O616" s="1056"/>
      <c r="P616" s="1056"/>
      <c r="Q616" s="1056"/>
      <c r="R616" s="1056"/>
      <c r="S616" s="1056"/>
      <c r="T616" s="1056"/>
      <c r="U616" s="1056"/>
      <c r="V616" s="1056"/>
      <c r="W616" s="1056"/>
      <c r="X616" s="1056"/>
      <c r="Y616" s="1056"/>
      <c r="Z616" s="1056"/>
      <c r="AA616" s="1056"/>
      <c r="AB616" s="1056"/>
      <c r="AC616" s="1056"/>
    </row>
    <row r="617" spans="1:29" x14ac:dyDescent="0.25">
      <c r="A617" s="1106"/>
      <c r="B617" s="1056"/>
      <c r="C617" s="1056"/>
      <c r="D617" s="1056"/>
      <c r="E617" s="1056"/>
      <c r="F617" s="1056"/>
      <c r="G617" s="1056"/>
      <c r="H617" s="1056"/>
      <c r="I617" s="1056"/>
      <c r="J617" s="1056"/>
      <c r="K617" s="1056"/>
      <c r="L617" s="1056"/>
      <c r="M617" s="1056"/>
      <c r="N617" s="1056"/>
      <c r="O617" s="1056"/>
      <c r="P617" s="1056"/>
      <c r="Q617" s="1056"/>
      <c r="R617" s="1056"/>
      <c r="S617" s="1056"/>
      <c r="T617" s="1056"/>
      <c r="U617" s="1056"/>
      <c r="V617" s="1056"/>
      <c r="W617" s="1056"/>
      <c r="X617" s="1056"/>
      <c r="Y617" s="1056"/>
      <c r="Z617" s="1056"/>
      <c r="AA617" s="1056"/>
      <c r="AB617" s="1056"/>
      <c r="AC617" s="1056"/>
    </row>
    <row r="618" spans="1:29" x14ac:dyDescent="0.25">
      <c r="A618" s="1106"/>
      <c r="B618" s="1056"/>
      <c r="C618" s="1056"/>
      <c r="D618" s="1056"/>
      <c r="E618" s="1056"/>
      <c r="F618" s="1056"/>
      <c r="G618" s="1056"/>
      <c r="H618" s="1056"/>
      <c r="I618" s="1056"/>
      <c r="J618" s="1056"/>
      <c r="K618" s="1056"/>
      <c r="L618" s="1056"/>
      <c r="M618" s="1056"/>
      <c r="N618" s="1056"/>
      <c r="O618" s="1056"/>
      <c r="P618" s="1056"/>
      <c r="Q618" s="1056"/>
      <c r="R618" s="1056"/>
      <c r="S618" s="1056"/>
      <c r="T618" s="1056"/>
      <c r="U618" s="1056"/>
      <c r="V618" s="1056"/>
      <c r="W618" s="1056"/>
      <c r="X618" s="1056"/>
      <c r="Y618" s="1056"/>
      <c r="Z618" s="1056"/>
      <c r="AA618" s="1056"/>
      <c r="AB618" s="1056"/>
      <c r="AC618" s="1056"/>
    </row>
    <row r="619" spans="1:29" x14ac:dyDescent="0.25">
      <c r="A619" s="1106"/>
      <c r="B619" s="1056"/>
      <c r="C619" s="1056"/>
      <c r="D619" s="1056"/>
      <c r="E619" s="1056"/>
      <c r="F619" s="1056"/>
      <c r="G619" s="1056"/>
      <c r="H619" s="1056"/>
      <c r="I619" s="1056"/>
      <c r="J619" s="1056"/>
      <c r="K619" s="1056"/>
      <c r="L619" s="1056"/>
      <c r="M619" s="1056"/>
      <c r="N619" s="1056"/>
      <c r="O619" s="1056"/>
      <c r="P619" s="1056"/>
      <c r="Q619" s="1056"/>
      <c r="R619" s="1056"/>
      <c r="S619" s="1056"/>
      <c r="T619" s="1056"/>
      <c r="U619" s="1056"/>
      <c r="V619" s="1056"/>
      <c r="W619" s="1056"/>
      <c r="X619" s="1056"/>
      <c r="Y619" s="1056"/>
      <c r="Z619" s="1056"/>
      <c r="AA619" s="1056"/>
      <c r="AB619" s="1056"/>
      <c r="AC619" s="1056"/>
    </row>
    <row r="620" spans="1:29" x14ac:dyDescent="0.25">
      <c r="A620" s="1106"/>
      <c r="B620" s="1056"/>
      <c r="C620" s="1056"/>
      <c r="D620" s="1056"/>
      <c r="E620" s="1056"/>
      <c r="F620" s="1056"/>
      <c r="G620" s="1056"/>
      <c r="H620" s="1056"/>
      <c r="I620" s="1056"/>
      <c r="J620" s="1056"/>
      <c r="K620" s="1056"/>
      <c r="L620" s="1056"/>
      <c r="M620" s="1056"/>
      <c r="N620" s="1056"/>
      <c r="O620" s="1056"/>
      <c r="P620" s="1056"/>
      <c r="Q620" s="1056"/>
      <c r="R620" s="1056"/>
      <c r="S620" s="1056"/>
      <c r="T620" s="1056"/>
      <c r="U620" s="1056"/>
      <c r="V620" s="1056"/>
      <c r="W620" s="1056"/>
      <c r="X620" s="1056"/>
      <c r="Y620" s="1056"/>
      <c r="Z620" s="1056"/>
      <c r="AA620" s="1056"/>
      <c r="AB620" s="1056"/>
      <c r="AC620" s="1056"/>
    </row>
    <row r="621" spans="1:29" x14ac:dyDescent="0.25">
      <c r="A621" s="1106"/>
      <c r="B621" s="1056"/>
      <c r="C621" s="1056"/>
      <c r="D621" s="1056"/>
      <c r="E621" s="1056"/>
      <c r="F621" s="1056"/>
      <c r="G621" s="1056"/>
      <c r="H621" s="1056"/>
      <c r="I621" s="1056"/>
      <c r="J621" s="1056"/>
      <c r="K621" s="1056"/>
      <c r="L621" s="1056"/>
      <c r="M621" s="1056"/>
      <c r="N621" s="1056"/>
      <c r="O621" s="1056"/>
      <c r="P621" s="1056"/>
      <c r="Q621" s="1056"/>
      <c r="R621" s="1056"/>
      <c r="S621" s="1056"/>
      <c r="T621" s="1056"/>
      <c r="U621" s="1056"/>
      <c r="V621" s="1056"/>
      <c r="W621" s="1056"/>
      <c r="X621" s="1056"/>
      <c r="Y621" s="1056"/>
      <c r="Z621" s="1056"/>
      <c r="AA621" s="1056"/>
      <c r="AB621" s="1056"/>
      <c r="AC621" s="1056"/>
    </row>
    <row r="622" spans="1:29" x14ac:dyDescent="0.25">
      <c r="A622" s="1106"/>
      <c r="B622" s="1056"/>
      <c r="C622" s="1056"/>
      <c r="D622" s="1056"/>
      <c r="E622" s="1056"/>
      <c r="F622" s="1056"/>
      <c r="G622" s="1056"/>
      <c r="H622" s="1056"/>
      <c r="I622" s="1056"/>
      <c r="J622" s="1056"/>
      <c r="K622" s="1056"/>
      <c r="L622" s="1056"/>
      <c r="M622" s="1056"/>
      <c r="N622" s="1056"/>
      <c r="O622" s="1056"/>
      <c r="P622" s="1056"/>
      <c r="Q622" s="1056"/>
      <c r="R622" s="1056"/>
      <c r="S622" s="1056"/>
      <c r="T622" s="1056"/>
      <c r="U622" s="1056"/>
      <c r="V622" s="1056"/>
      <c r="W622" s="1056"/>
      <c r="X622" s="1056"/>
      <c r="Y622" s="1056"/>
      <c r="Z622" s="1056"/>
      <c r="AA622" s="1056"/>
      <c r="AB622" s="1056"/>
      <c r="AC622" s="1056"/>
    </row>
    <row r="623" spans="1:29" x14ac:dyDescent="0.25">
      <c r="A623" s="1106"/>
      <c r="B623" s="1056"/>
      <c r="C623" s="1056"/>
      <c r="D623" s="1056"/>
      <c r="E623" s="1056"/>
      <c r="F623" s="1056"/>
      <c r="G623" s="1056"/>
      <c r="H623" s="1056"/>
      <c r="I623" s="1056"/>
      <c r="J623" s="1056"/>
      <c r="K623" s="1056"/>
      <c r="L623" s="1056"/>
      <c r="M623" s="1056"/>
      <c r="N623" s="1056"/>
      <c r="O623" s="1056"/>
      <c r="P623" s="1056"/>
      <c r="Q623" s="1056"/>
      <c r="R623" s="1056"/>
      <c r="S623" s="1056"/>
      <c r="T623" s="1056"/>
      <c r="U623" s="1056"/>
      <c r="V623" s="1056"/>
      <c r="W623" s="1056"/>
      <c r="X623" s="1056"/>
      <c r="Y623" s="1056"/>
      <c r="Z623" s="1056"/>
      <c r="AA623" s="1056"/>
      <c r="AB623" s="1056"/>
      <c r="AC623" s="1056"/>
    </row>
    <row r="624" spans="1:29" x14ac:dyDescent="0.25">
      <c r="A624" s="1106"/>
      <c r="B624" s="1056"/>
      <c r="C624" s="1056"/>
      <c r="D624" s="1056"/>
      <c r="E624" s="1056"/>
      <c r="F624" s="1056"/>
      <c r="G624" s="1056"/>
      <c r="H624" s="1056"/>
      <c r="I624" s="1056"/>
      <c r="J624" s="1056"/>
      <c r="K624" s="1056"/>
      <c r="L624" s="1056"/>
      <c r="M624" s="1056"/>
      <c r="N624" s="1056"/>
      <c r="O624" s="1056"/>
      <c r="P624" s="1056"/>
      <c r="Q624" s="1056"/>
      <c r="R624" s="1056"/>
      <c r="S624" s="1056"/>
      <c r="T624" s="1056"/>
      <c r="U624" s="1056"/>
      <c r="V624" s="1056"/>
      <c r="W624" s="1056"/>
      <c r="X624" s="1056"/>
      <c r="Y624" s="1056"/>
      <c r="Z624" s="1056"/>
      <c r="AA624" s="1056"/>
      <c r="AB624" s="1056"/>
      <c r="AC624" s="1056"/>
    </row>
    <row r="625" spans="1:29" x14ac:dyDescent="0.25">
      <c r="A625" s="1106"/>
      <c r="B625" s="1056"/>
      <c r="C625" s="1056"/>
      <c r="D625" s="1056"/>
      <c r="E625" s="1056"/>
      <c r="F625" s="1056"/>
      <c r="G625" s="1056"/>
      <c r="H625" s="1056"/>
      <c r="I625" s="1056"/>
      <c r="J625" s="1056"/>
      <c r="K625" s="1056"/>
      <c r="L625" s="1056"/>
      <c r="M625" s="1056"/>
      <c r="N625" s="1056"/>
      <c r="O625" s="1056"/>
      <c r="P625" s="1056"/>
      <c r="Q625" s="1056"/>
      <c r="R625" s="1056"/>
      <c r="S625" s="1056"/>
      <c r="T625" s="1056"/>
      <c r="U625" s="1056"/>
      <c r="V625" s="1056"/>
      <c r="W625" s="1056"/>
      <c r="X625" s="1056"/>
      <c r="Y625" s="1056"/>
      <c r="Z625" s="1056"/>
      <c r="AA625" s="1056"/>
      <c r="AB625" s="1056"/>
      <c r="AC625" s="1056"/>
    </row>
    <row r="626" spans="1:29" x14ac:dyDescent="0.25">
      <c r="A626" s="1106"/>
      <c r="B626" s="1056"/>
      <c r="C626" s="1056"/>
      <c r="D626" s="1056"/>
      <c r="E626" s="1056"/>
      <c r="F626" s="1056"/>
      <c r="G626" s="1056"/>
      <c r="H626" s="1056"/>
      <c r="I626" s="1056"/>
      <c r="J626" s="1056"/>
      <c r="K626" s="1056"/>
      <c r="L626" s="1056"/>
      <c r="M626" s="1056"/>
      <c r="N626" s="1056"/>
      <c r="O626" s="1056"/>
      <c r="P626" s="1056"/>
      <c r="Q626" s="1056"/>
      <c r="R626" s="1056"/>
      <c r="S626" s="1056"/>
      <c r="T626" s="1056"/>
      <c r="U626" s="1056"/>
      <c r="V626" s="1056"/>
      <c r="W626" s="1056"/>
      <c r="X626" s="1056"/>
      <c r="Y626" s="1056"/>
      <c r="Z626" s="1056"/>
      <c r="AA626" s="1056"/>
      <c r="AB626" s="1056"/>
      <c r="AC626" s="1056"/>
    </row>
    <row r="627" spans="1:29" x14ac:dyDescent="0.25">
      <c r="A627" s="1106"/>
      <c r="B627" s="1056"/>
      <c r="C627" s="1056"/>
      <c r="D627" s="1056"/>
      <c r="E627" s="1056"/>
      <c r="F627" s="1056"/>
      <c r="G627" s="1056"/>
      <c r="H627" s="1056"/>
      <c r="I627" s="1056"/>
      <c r="J627" s="1056"/>
      <c r="K627" s="1056"/>
      <c r="L627" s="1056"/>
      <c r="M627" s="1056"/>
      <c r="N627" s="1056"/>
      <c r="O627" s="1056"/>
      <c r="P627" s="1056"/>
      <c r="Q627" s="1056"/>
      <c r="R627" s="1056"/>
      <c r="S627" s="1056"/>
      <c r="T627" s="1056"/>
      <c r="U627" s="1056"/>
      <c r="V627" s="1056"/>
      <c r="W627" s="1056"/>
      <c r="X627" s="1056"/>
      <c r="Y627" s="1056"/>
      <c r="Z627" s="1056"/>
      <c r="AA627" s="1056"/>
      <c r="AB627" s="1056"/>
      <c r="AC627" s="1056"/>
    </row>
    <row r="628" spans="1:29" x14ac:dyDescent="0.25">
      <c r="A628" s="1106"/>
      <c r="B628" s="1056"/>
      <c r="C628" s="1056"/>
      <c r="D628" s="1056"/>
      <c r="E628" s="1056"/>
      <c r="F628" s="1056"/>
      <c r="G628" s="1056"/>
      <c r="H628" s="1056"/>
      <c r="I628" s="1056"/>
      <c r="J628" s="1056"/>
      <c r="K628" s="1056"/>
      <c r="L628" s="1056"/>
      <c r="M628" s="1056"/>
      <c r="N628" s="1056"/>
      <c r="O628" s="1056"/>
      <c r="P628" s="1056"/>
      <c r="Q628" s="1056"/>
      <c r="R628" s="1056"/>
      <c r="S628" s="1056"/>
      <c r="T628" s="1056"/>
      <c r="U628" s="1056"/>
      <c r="V628" s="1056"/>
      <c r="W628" s="1056"/>
      <c r="X628" s="1056"/>
      <c r="Y628" s="1056"/>
      <c r="Z628" s="1056"/>
      <c r="AA628" s="1056"/>
      <c r="AB628" s="1056"/>
      <c r="AC628" s="1056"/>
    </row>
    <row r="629" spans="1:29" x14ac:dyDescent="0.25">
      <c r="A629" s="1106"/>
      <c r="B629" s="1056"/>
      <c r="C629" s="1056"/>
      <c r="D629" s="1056"/>
      <c r="E629" s="1056"/>
      <c r="F629" s="1056"/>
      <c r="G629" s="1056"/>
      <c r="H629" s="1056"/>
      <c r="I629" s="1056"/>
      <c r="J629" s="1056"/>
      <c r="K629" s="1056"/>
      <c r="L629" s="1056"/>
      <c r="M629" s="1056"/>
      <c r="N629" s="1056"/>
      <c r="O629" s="1056"/>
      <c r="P629" s="1056"/>
      <c r="Q629" s="1056"/>
      <c r="R629" s="1056"/>
      <c r="S629" s="1056"/>
      <c r="T629" s="1056"/>
      <c r="U629" s="1056"/>
      <c r="V629" s="1056"/>
      <c r="W629" s="1056"/>
      <c r="X629" s="1056"/>
      <c r="Y629" s="1056"/>
      <c r="Z629" s="1056"/>
      <c r="AA629" s="1056"/>
      <c r="AB629" s="1056"/>
      <c r="AC629" s="1056"/>
    </row>
    <row r="630" spans="1:29" x14ac:dyDescent="0.25">
      <c r="A630" s="1106"/>
      <c r="B630" s="1056"/>
      <c r="C630" s="1056"/>
      <c r="D630" s="1056"/>
      <c r="E630" s="1056"/>
      <c r="F630" s="1056"/>
      <c r="G630" s="1056"/>
      <c r="H630" s="1056"/>
      <c r="I630" s="1056"/>
      <c r="J630" s="1056"/>
      <c r="K630" s="1056"/>
      <c r="L630" s="1056"/>
      <c r="M630" s="1056"/>
      <c r="N630" s="1056"/>
      <c r="O630" s="1056"/>
      <c r="P630" s="1056"/>
      <c r="Q630" s="1056"/>
      <c r="R630" s="1056"/>
      <c r="S630" s="1056"/>
      <c r="T630" s="1056"/>
      <c r="U630" s="1056"/>
      <c r="V630" s="1056"/>
      <c r="W630" s="1056"/>
      <c r="X630" s="1056"/>
      <c r="Y630" s="1056"/>
      <c r="Z630" s="1056"/>
      <c r="AA630" s="1056"/>
      <c r="AB630" s="1056"/>
      <c r="AC630" s="1056"/>
    </row>
    <row r="631" spans="1:29" x14ac:dyDescent="0.25">
      <c r="A631" s="1106"/>
      <c r="B631" s="1056"/>
      <c r="C631" s="1056"/>
      <c r="D631" s="1056"/>
      <c r="E631" s="1056"/>
      <c r="F631" s="1056"/>
      <c r="G631" s="1056"/>
      <c r="H631" s="1056"/>
      <c r="I631" s="1056"/>
      <c r="J631" s="1056"/>
      <c r="K631" s="1056"/>
      <c r="L631" s="1056"/>
      <c r="M631" s="1056"/>
      <c r="N631" s="1056"/>
      <c r="O631" s="1056"/>
      <c r="P631" s="1056"/>
      <c r="Q631" s="1056"/>
      <c r="R631" s="1056"/>
      <c r="S631" s="1056"/>
      <c r="T631" s="1056"/>
      <c r="U631" s="1056"/>
      <c r="V631" s="1056"/>
      <c r="W631" s="1056"/>
      <c r="X631" s="1056"/>
      <c r="Y631" s="1056"/>
      <c r="Z631" s="1056"/>
      <c r="AA631" s="1056"/>
      <c r="AB631" s="1056"/>
      <c r="AC631" s="1056"/>
    </row>
    <row r="632" spans="1:29" x14ac:dyDescent="0.25">
      <c r="A632" s="1106"/>
      <c r="B632" s="1056"/>
      <c r="C632" s="1056"/>
      <c r="D632" s="1056"/>
      <c r="E632" s="1056"/>
      <c r="F632" s="1056"/>
      <c r="G632" s="1056"/>
      <c r="H632" s="1056"/>
      <c r="I632" s="1056"/>
      <c r="J632" s="1056"/>
      <c r="K632" s="1056"/>
      <c r="L632" s="1056"/>
      <c r="M632" s="1056"/>
      <c r="N632" s="1056"/>
      <c r="O632" s="1056"/>
      <c r="P632" s="1056"/>
      <c r="Q632" s="1056"/>
      <c r="R632" s="1056"/>
      <c r="S632" s="1056"/>
      <c r="T632" s="1056"/>
      <c r="U632" s="1056"/>
      <c r="V632" s="1056"/>
      <c r="W632" s="1056"/>
      <c r="X632" s="1056"/>
      <c r="Y632" s="1056"/>
      <c r="Z632" s="1056"/>
      <c r="AA632" s="1056"/>
      <c r="AB632" s="1056"/>
      <c r="AC632" s="1056"/>
    </row>
    <row r="633" spans="1:29" x14ac:dyDescent="0.25">
      <c r="A633" s="1106"/>
      <c r="B633" s="1056"/>
      <c r="C633" s="1056"/>
      <c r="D633" s="1056"/>
      <c r="E633" s="1056"/>
      <c r="F633" s="1056"/>
      <c r="G633" s="1056"/>
      <c r="H633" s="1056"/>
      <c r="I633" s="1056"/>
      <c r="J633" s="1056"/>
      <c r="K633" s="1056"/>
      <c r="L633" s="1056"/>
      <c r="M633" s="1056"/>
      <c r="N633" s="1056"/>
      <c r="O633" s="1056"/>
      <c r="P633" s="1056"/>
      <c r="Q633" s="1056"/>
      <c r="R633" s="1056"/>
      <c r="S633" s="1056"/>
      <c r="T633" s="1056"/>
      <c r="U633" s="1056"/>
      <c r="V633" s="1056"/>
      <c r="W633" s="1056"/>
      <c r="X633" s="1056"/>
      <c r="Y633" s="1056"/>
      <c r="Z633" s="1056"/>
      <c r="AA633" s="1056"/>
      <c r="AB633" s="1056"/>
      <c r="AC633" s="1056"/>
    </row>
    <row r="634" spans="1:29" x14ac:dyDescent="0.25">
      <c r="A634" s="1106"/>
      <c r="B634" s="1056"/>
      <c r="C634" s="1056"/>
      <c r="D634" s="1056"/>
      <c r="E634" s="1056"/>
      <c r="F634" s="1056"/>
      <c r="G634" s="1056"/>
      <c r="H634" s="1056"/>
      <c r="I634" s="1056"/>
      <c r="J634" s="1056"/>
      <c r="K634" s="1056"/>
      <c r="L634" s="1056"/>
      <c r="M634" s="1056"/>
      <c r="N634" s="1056"/>
      <c r="O634" s="1056"/>
      <c r="P634" s="1056"/>
      <c r="Q634" s="1056"/>
      <c r="R634" s="1056"/>
      <c r="S634" s="1056"/>
      <c r="T634" s="1056"/>
      <c r="U634" s="1056"/>
      <c r="V634" s="1056"/>
      <c r="W634" s="1056"/>
      <c r="X634" s="1056"/>
      <c r="Y634" s="1056"/>
      <c r="Z634" s="1056"/>
      <c r="AA634" s="1056"/>
      <c r="AB634" s="1056"/>
      <c r="AC634" s="1056"/>
    </row>
    <row r="635" spans="1:29" x14ac:dyDescent="0.25">
      <c r="A635" s="1106"/>
      <c r="B635" s="1056"/>
      <c r="C635" s="1056"/>
      <c r="D635" s="1056"/>
      <c r="E635" s="1056"/>
      <c r="F635" s="1056"/>
      <c r="G635" s="1056"/>
      <c r="H635" s="1056"/>
      <c r="I635" s="1056"/>
      <c r="J635" s="1056"/>
      <c r="K635" s="1056"/>
      <c r="L635" s="1056"/>
      <c r="M635" s="1056"/>
      <c r="N635" s="1056"/>
      <c r="O635" s="1056"/>
      <c r="P635" s="1056"/>
      <c r="Q635" s="1056"/>
      <c r="R635" s="1056"/>
      <c r="S635" s="1056"/>
      <c r="T635" s="1056"/>
      <c r="U635" s="1056"/>
      <c r="V635" s="1056"/>
      <c r="W635" s="1056"/>
      <c r="X635" s="1056"/>
      <c r="Y635" s="1056"/>
      <c r="Z635" s="1056"/>
      <c r="AA635" s="1056"/>
      <c r="AB635" s="1056"/>
      <c r="AC635" s="1056"/>
    </row>
    <row r="636" spans="1:29" x14ac:dyDescent="0.25">
      <c r="A636" s="1106"/>
      <c r="B636" s="1056"/>
      <c r="C636" s="1056"/>
      <c r="D636" s="1056"/>
      <c r="E636" s="1056"/>
      <c r="F636" s="1056"/>
      <c r="G636" s="1056"/>
      <c r="H636" s="1056"/>
      <c r="I636" s="1056"/>
      <c r="J636" s="1056"/>
      <c r="K636" s="1056"/>
      <c r="L636" s="1056"/>
      <c r="M636" s="1056"/>
      <c r="N636" s="1056"/>
      <c r="O636" s="1056"/>
      <c r="P636" s="1056"/>
      <c r="Q636" s="1056"/>
      <c r="R636" s="1056"/>
      <c r="S636" s="1056"/>
      <c r="T636" s="1056"/>
      <c r="U636" s="1056"/>
      <c r="V636" s="1056"/>
      <c r="W636" s="1056"/>
      <c r="X636" s="1056"/>
      <c r="Y636" s="1056"/>
      <c r="Z636" s="1056"/>
      <c r="AA636" s="1056"/>
      <c r="AB636" s="1056"/>
      <c r="AC636" s="1056"/>
    </row>
    <row r="637" spans="1:29" x14ac:dyDescent="0.25">
      <c r="A637" s="1106"/>
      <c r="B637" s="1056"/>
      <c r="C637" s="1056"/>
      <c r="D637" s="1056"/>
      <c r="E637" s="1056"/>
      <c r="F637" s="1056"/>
      <c r="G637" s="1056"/>
      <c r="H637" s="1056"/>
      <c r="I637" s="1056"/>
      <c r="J637" s="1056"/>
      <c r="K637" s="1056"/>
      <c r="L637" s="1056"/>
      <c r="M637" s="1056"/>
      <c r="N637" s="1056"/>
      <c r="O637" s="1056"/>
      <c r="P637" s="1056"/>
      <c r="Q637" s="1056"/>
      <c r="R637" s="1056"/>
      <c r="S637" s="1056"/>
      <c r="T637" s="1056"/>
      <c r="U637" s="1056"/>
      <c r="V637" s="1056"/>
      <c r="W637" s="1056"/>
      <c r="X637" s="1056"/>
      <c r="Y637" s="1056"/>
      <c r="Z637" s="1056"/>
      <c r="AA637" s="1056"/>
      <c r="AB637" s="1056"/>
      <c r="AC637" s="1056"/>
    </row>
    <row r="638" spans="1:29" x14ac:dyDescent="0.25">
      <c r="A638" s="1106"/>
      <c r="B638" s="1056"/>
      <c r="C638" s="1056"/>
      <c r="D638" s="1056"/>
      <c r="E638" s="1056"/>
      <c r="F638" s="1056"/>
      <c r="G638" s="1056"/>
      <c r="H638" s="1056"/>
      <c r="I638" s="1056"/>
      <c r="J638" s="1056"/>
      <c r="K638" s="1056"/>
      <c r="L638" s="1056"/>
      <c r="M638" s="1056"/>
      <c r="N638" s="1056"/>
      <c r="O638" s="1056"/>
      <c r="P638" s="1056"/>
      <c r="Q638" s="1056"/>
      <c r="R638" s="1056"/>
      <c r="S638" s="1056"/>
      <c r="T638" s="1056"/>
      <c r="U638" s="1056"/>
      <c r="V638" s="1056"/>
      <c r="W638" s="1056"/>
      <c r="X638" s="1056"/>
      <c r="Y638" s="1056"/>
      <c r="Z638" s="1056"/>
      <c r="AA638" s="1056"/>
      <c r="AB638" s="1056"/>
      <c r="AC638" s="1056"/>
    </row>
    <row r="639" spans="1:29" x14ac:dyDescent="0.25">
      <c r="A639" s="1106"/>
      <c r="B639" s="1056"/>
      <c r="C639" s="1056"/>
      <c r="D639" s="1056"/>
      <c r="E639" s="1056"/>
      <c r="F639" s="1056"/>
      <c r="G639" s="1056"/>
      <c r="H639" s="1056"/>
      <c r="I639" s="1056"/>
      <c r="J639" s="1056"/>
      <c r="K639" s="1056"/>
      <c r="L639" s="1056"/>
      <c r="M639" s="1056"/>
      <c r="N639" s="1056"/>
      <c r="O639" s="1056"/>
      <c r="P639" s="1056"/>
      <c r="Q639" s="1056"/>
      <c r="R639" s="1056"/>
      <c r="S639" s="1056"/>
      <c r="T639" s="1056"/>
      <c r="U639" s="1056"/>
      <c r="V639" s="1056"/>
      <c r="W639" s="1056"/>
      <c r="X639" s="1056"/>
      <c r="Y639" s="1056"/>
      <c r="Z639" s="1056"/>
      <c r="AA639" s="1056"/>
      <c r="AB639" s="1056"/>
      <c r="AC639" s="1056"/>
    </row>
    <row r="640" spans="1:29" x14ac:dyDescent="0.25">
      <c r="A640" s="1106"/>
      <c r="B640" s="1056"/>
      <c r="C640" s="1056"/>
      <c r="D640" s="1056"/>
      <c r="E640" s="1056"/>
      <c r="F640" s="1056"/>
      <c r="G640" s="1056"/>
      <c r="H640" s="1056"/>
      <c r="I640" s="1056"/>
      <c r="J640" s="1056"/>
      <c r="K640" s="1056"/>
      <c r="L640" s="1056"/>
      <c r="M640" s="1056"/>
      <c r="N640" s="1056"/>
      <c r="O640" s="1056"/>
      <c r="P640" s="1056"/>
      <c r="Q640" s="1056"/>
      <c r="R640" s="1056"/>
      <c r="S640" s="1056"/>
      <c r="T640" s="1056"/>
      <c r="U640" s="1056"/>
      <c r="V640" s="1056"/>
      <c r="W640" s="1056"/>
      <c r="X640" s="1056"/>
      <c r="Y640" s="1056"/>
      <c r="Z640" s="1056"/>
      <c r="AA640" s="1056"/>
      <c r="AB640" s="1056"/>
      <c r="AC640" s="1056"/>
    </row>
    <row r="641" spans="1:29" x14ac:dyDescent="0.25">
      <c r="A641" s="1106"/>
      <c r="B641" s="1056"/>
      <c r="C641" s="1056"/>
      <c r="D641" s="1056"/>
      <c r="E641" s="1056"/>
      <c r="F641" s="1056"/>
      <c r="G641" s="1056"/>
      <c r="H641" s="1056"/>
      <c r="I641" s="1056"/>
      <c r="J641" s="1056"/>
      <c r="K641" s="1056"/>
      <c r="L641" s="1056"/>
      <c r="M641" s="1056"/>
      <c r="N641" s="1056"/>
      <c r="O641" s="1056"/>
      <c r="P641" s="1056"/>
      <c r="Q641" s="1056"/>
      <c r="R641" s="1056"/>
      <c r="S641" s="1056"/>
      <c r="T641" s="1056"/>
      <c r="U641" s="1056"/>
      <c r="V641" s="1056"/>
      <c r="W641" s="1056"/>
      <c r="X641" s="1056"/>
      <c r="Y641" s="1056"/>
      <c r="Z641" s="1056"/>
      <c r="AA641" s="1056"/>
      <c r="AB641" s="1056"/>
      <c r="AC641" s="1056"/>
    </row>
    <row r="642" spans="1:29" x14ac:dyDescent="0.25">
      <c r="A642" s="1106"/>
      <c r="B642" s="1056"/>
      <c r="C642" s="1056"/>
      <c r="D642" s="1056"/>
      <c r="E642" s="1056"/>
      <c r="F642" s="1056"/>
      <c r="G642" s="1056"/>
      <c r="H642" s="1056"/>
      <c r="I642" s="1056"/>
      <c r="J642" s="1056"/>
      <c r="K642" s="1056"/>
      <c r="L642" s="1056"/>
      <c r="M642" s="1056"/>
      <c r="N642" s="1056"/>
      <c r="O642" s="1056"/>
      <c r="P642" s="1056"/>
      <c r="Q642" s="1056"/>
      <c r="R642" s="1056"/>
      <c r="S642" s="1056"/>
      <c r="T642" s="1056"/>
      <c r="U642" s="1056"/>
      <c r="V642" s="1056"/>
      <c r="W642" s="1056"/>
      <c r="X642" s="1056"/>
      <c r="Y642" s="1056"/>
      <c r="Z642" s="1056"/>
      <c r="AA642" s="1056"/>
      <c r="AB642" s="1056"/>
      <c r="AC642" s="1056"/>
    </row>
    <row r="643" spans="1:29" x14ac:dyDescent="0.25">
      <c r="A643" s="1106"/>
      <c r="B643" s="1056"/>
      <c r="C643" s="1056"/>
      <c r="D643" s="1056"/>
      <c r="E643" s="1056"/>
      <c r="F643" s="1056"/>
      <c r="G643" s="1056"/>
      <c r="H643" s="1056"/>
      <c r="I643" s="1056"/>
      <c r="J643" s="1056"/>
      <c r="K643" s="1056"/>
      <c r="L643" s="1056"/>
      <c r="M643" s="1056"/>
      <c r="N643" s="1056"/>
      <c r="O643" s="1056"/>
      <c r="P643" s="1056"/>
      <c r="Q643" s="1056"/>
      <c r="R643" s="1056"/>
      <c r="S643" s="1056"/>
      <c r="T643" s="1056"/>
      <c r="U643" s="1056"/>
      <c r="V643" s="1056"/>
      <c r="W643" s="1056"/>
      <c r="X643" s="1056"/>
      <c r="Y643" s="1056"/>
      <c r="Z643" s="1056"/>
      <c r="AA643" s="1056"/>
      <c r="AB643" s="1056"/>
      <c r="AC643" s="1056"/>
    </row>
    <row r="644" spans="1:29" x14ac:dyDescent="0.25">
      <c r="A644" s="1106"/>
      <c r="B644" s="1056"/>
      <c r="C644" s="1056"/>
      <c r="D644" s="1056"/>
      <c r="E644" s="1056"/>
      <c r="F644" s="1056"/>
      <c r="G644" s="1056"/>
      <c r="H644" s="1056"/>
      <c r="I644" s="1056"/>
      <c r="J644" s="1056"/>
      <c r="K644" s="1056"/>
      <c r="L644" s="1056"/>
      <c r="M644" s="1056"/>
      <c r="N644" s="1056"/>
      <c r="O644" s="1056"/>
      <c r="P644" s="1056"/>
      <c r="Q644" s="1056"/>
      <c r="R644" s="1056"/>
      <c r="S644" s="1056"/>
      <c r="T644" s="1056"/>
      <c r="U644" s="1056"/>
      <c r="V644" s="1056"/>
      <c r="W644" s="1056"/>
      <c r="X644" s="1056"/>
      <c r="Y644" s="1056"/>
      <c r="Z644" s="1056"/>
      <c r="AA644" s="1056"/>
      <c r="AB644" s="1056"/>
      <c r="AC644" s="1056"/>
    </row>
    <row r="645" spans="1:29" x14ac:dyDescent="0.25">
      <c r="A645" s="1106"/>
      <c r="B645" s="1056"/>
      <c r="C645" s="1056"/>
      <c r="D645" s="1056"/>
      <c r="E645" s="1056"/>
      <c r="F645" s="1056"/>
      <c r="G645" s="1056"/>
      <c r="H645" s="1056"/>
      <c r="I645" s="1056"/>
      <c r="J645" s="1056"/>
      <c r="K645" s="1056"/>
      <c r="L645" s="1056"/>
      <c r="M645" s="1056"/>
      <c r="N645" s="1056"/>
      <c r="O645" s="1056"/>
      <c r="P645" s="1056"/>
      <c r="Q645" s="1056"/>
      <c r="R645" s="1056"/>
      <c r="S645" s="1056"/>
      <c r="T645" s="1056"/>
      <c r="U645" s="1056"/>
      <c r="V645" s="1056"/>
      <c r="W645" s="1056"/>
      <c r="X645" s="1056"/>
      <c r="Y645" s="1056"/>
      <c r="Z645" s="1056"/>
      <c r="AA645" s="1056"/>
      <c r="AB645" s="1056"/>
      <c r="AC645" s="1056"/>
    </row>
    <row r="646" spans="1:29" x14ac:dyDescent="0.25">
      <c r="A646" s="1106"/>
      <c r="B646" s="1056"/>
      <c r="C646" s="1056"/>
      <c r="D646" s="1056"/>
      <c r="E646" s="1056"/>
      <c r="F646" s="1056"/>
      <c r="G646" s="1056"/>
      <c r="H646" s="1056"/>
      <c r="I646" s="1056"/>
      <c r="J646" s="1056"/>
      <c r="K646" s="1056"/>
      <c r="L646" s="1056"/>
      <c r="M646" s="1056"/>
      <c r="N646" s="1056"/>
      <c r="O646" s="1056"/>
      <c r="P646" s="1056"/>
      <c r="Q646" s="1056"/>
      <c r="R646" s="1056"/>
      <c r="S646" s="1056"/>
      <c r="T646" s="1056"/>
      <c r="U646" s="1056"/>
      <c r="V646" s="1056"/>
      <c r="W646" s="1056"/>
      <c r="X646" s="1056"/>
      <c r="Y646" s="1056"/>
      <c r="Z646" s="1056"/>
      <c r="AA646" s="1056"/>
      <c r="AB646" s="1056"/>
      <c r="AC646" s="1056"/>
    </row>
    <row r="647" spans="1:29" x14ac:dyDescent="0.25">
      <c r="A647" s="1106"/>
      <c r="B647" s="1056"/>
      <c r="C647" s="1056"/>
      <c r="D647" s="1056"/>
      <c r="E647" s="1056"/>
      <c r="F647" s="1056"/>
      <c r="G647" s="1056"/>
      <c r="H647" s="1056"/>
      <c r="I647" s="1056"/>
      <c r="J647" s="1056"/>
      <c r="K647" s="1056"/>
      <c r="L647" s="1056"/>
      <c r="M647" s="1056"/>
      <c r="N647" s="1056"/>
      <c r="O647" s="1056"/>
      <c r="P647" s="1056"/>
      <c r="Q647" s="1056"/>
      <c r="R647" s="1056"/>
      <c r="S647" s="1056"/>
      <c r="T647" s="1056"/>
      <c r="U647" s="1056"/>
      <c r="V647" s="1056"/>
      <c r="W647" s="1056"/>
      <c r="X647" s="1056"/>
      <c r="Y647" s="1056"/>
      <c r="Z647" s="1056"/>
      <c r="AA647" s="1056"/>
      <c r="AB647" s="1056"/>
      <c r="AC647" s="1056"/>
    </row>
    <row r="648" spans="1:29" x14ac:dyDescent="0.25">
      <c r="A648" s="1106"/>
      <c r="B648" s="1056"/>
      <c r="C648" s="1056"/>
      <c r="D648" s="1056"/>
      <c r="E648" s="1056"/>
      <c r="F648" s="1056"/>
      <c r="G648" s="1056"/>
      <c r="H648" s="1056"/>
      <c r="I648" s="1056"/>
      <c r="J648" s="1056"/>
      <c r="K648" s="1056"/>
      <c r="L648" s="1056"/>
      <c r="M648" s="1056"/>
      <c r="N648" s="1056"/>
      <c r="O648" s="1056"/>
      <c r="P648" s="1056"/>
      <c r="Q648" s="1056"/>
      <c r="R648" s="1056"/>
      <c r="S648" s="1056"/>
      <c r="T648" s="1056"/>
      <c r="U648" s="1056"/>
      <c r="V648" s="1056"/>
      <c r="W648" s="1056"/>
      <c r="X648" s="1056"/>
      <c r="Y648" s="1056"/>
      <c r="Z648" s="1056"/>
      <c r="AA648" s="1056"/>
      <c r="AB648" s="1056"/>
      <c r="AC648" s="1056"/>
    </row>
    <row r="649" spans="1:29" x14ac:dyDescent="0.25">
      <c r="A649" s="1106"/>
      <c r="B649" s="1056"/>
      <c r="C649" s="1056"/>
      <c r="D649" s="1056"/>
      <c r="E649" s="1056"/>
      <c r="F649" s="1056"/>
      <c r="G649" s="1056"/>
      <c r="H649" s="1056"/>
      <c r="I649" s="1056"/>
      <c r="J649" s="1056"/>
      <c r="K649" s="1056"/>
      <c r="L649" s="1056"/>
      <c r="M649" s="1056"/>
      <c r="N649" s="1056"/>
      <c r="O649" s="1056"/>
      <c r="P649" s="1056"/>
      <c r="Q649" s="1056"/>
      <c r="R649" s="1056"/>
      <c r="S649" s="1056"/>
      <c r="T649" s="1056"/>
      <c r="U649" s="1056"/>
      <c r="V649" s="1056"/>
      <c r="W649" s="1056"/>
      <c r="X649" s="1056"/>
      <c r="Y649" s="1056"/>
      <c r="Z649" s="1056"/>
      <c r="AA649" s="1056"/>
      <c r="AB649" s="1056"/>
      <c r="AC649" s="1056"/>
    </row>
    <row r="650" spans="1:29" x14ac:dyDescent="0.25">
      <c r="A650" s="1106"/>
      <c r="B650" s="1056"/>
      <c r="C650" s="1056"/>
      <c r="D650" s="1056"/>
      <c r="E650" s="1056"/>
      <c r="F650" s="1056"/>
      <c r="G650" s="1056"/>
      <c r="H650" s="1056"/>
      <c r="I650" s="1056"/>
      <c r="J650" s="1056"/>
      <c r="K650" s="1056"/>
      <c r="L650" s="1056"/>
      <c r="M650" s="1056"/>
      <c r="N650" s="1056"/>
      <c r="O650" s="1056"/>
      <c r="P650" s="1056"/>
      <c r="Q650" s="1056"/>
      <c r="R650" s="1056"/>
      <c r="S650" s="1056"/>
      <c r="T650" s="1056"/>
      <c r="U650" s="1056"/>
      <c r="V650" s="1056"/>
      <c r="W650" s="1056"/>
      <c r="X650" s="1056"/>
      <c r="Y650" s="1056"/>
      <c r="Z650" s="1056"/>
      <c r="AA650" s="1056"/>
      <c r="AB650" s="1056"/>
      <c r="AC650" s="1056"/>
    </row>
    <row r="651" spans="1:29" x14ac:dyDescent="0.25">
      <c r="A651" s="1106"/>
      <c r="B651" s="1056"/>
      <c r="C651" s="1056"/>
      <c r="D651" s="1056"/>
      <c r="E651" s="1056"/>
      <c r="F651" s="1056"/>
      <c r="G651" s="1056"/>
      <c r="H651" s="1056"/>
      <c r="I651" s="1056"/>
      <c r="J651" s="1056"/>
      <c r="K651" s="1056"/>
      <c r="L651" s="1056"/>
      <c r="M651" s="1056"/>
      <c r="N651" s="1056"/>
      <c r="O651" s="1056"/>
      <c r="P651" s="1056"/>
      <c r="Q651" s="1056"/>
      <c r="R651" s="1056"/>
      <c r="S651" s="1056"/>
      <c r="T651" s="1056"/>
      <c r="U651" s="1056"/>
      <c r="V651" s="1056"/>
      <c r="W651" s="1056"/>
      <c r="X651" s="1056"/>
      <c r="Y651" s="1056"/>
      <c r="Z651" s="1056"/>
      <c r="AA651" s="1056"/>
      <c r="AB651" s="1056"/>
      <c r="AC651" s="1056"/>
    </row>
    <row r="652" spans="1:29" x14ac:dyDescent="0.25">
      <c r="A652" s="1106"/>
      <c r="B652" s="1056"/>
      <c r="C652" s="1056"/>
      <c r="D652" s="1056"/>
      <c r="E652" s="1056"/>
      <c r="F652" s="1056"/>
      <c r="G652" s="1056"/>
      <c r="H652" s="1056"/>
      <c r="I652" s="1056"/>
      <c r="J652" s="1056"/>
      <c r="K652" s="1056"/>
      <c r="L652" s="1056"/>
      <c r="M652" s="1056"/>
      <c r="N652" s="1056"/>
      <c r="O652" s="1056"/>
      <c r="P652" s="1056"/>
      <c r="Q652" s="1056"/>
      <c r="R652" s="1056"/>
      <c r="S652" s="1056"/>
      <c r="T652" s="1056"/>
      <c r="U652" s="1056"/>
      <c r="V652" s="1056"/>
      <c r="W652" s="1056"/>
      <c r="X652" s="1056"/>
      <c r="Y652" s="1056"/>
      <c r="Z652" s="1056"/>
      <c r="AA652" s="1056"/>
      <c r="AB652" s="1056"/>
      <c r="AC652" s="1056"/>
    </row>
    <row r="653" spans="1:29" x14ac:dyDescent="0.25">
      <c r="A653" s="1106"/>
      <c r="B653" s="1056"/>
      <c r="C653" s="1056"/>
      <c r="D653" s="1056"/>
      <c r="E653" s="1056"/>
      <c r="F653" s="1056"/>
      <c r="G653" s="1056"/>
      <c r="H653" s="1056"/>
      <c r="I653" s="1056"/>
      <c r="J653" s="1056"/>
      <c r="K653" s="1056"/>
      <c r="L653" s="1056"/>
      <c r="M653" s="1056"/>
      <c r="N653" s="1056"/>
      <c r="O653" s="1056"/>
      <c r="P653" s="1056"/>
      <c r="Q653" s="1056"/>
      <c r="R653" s="1056"/>
      <c r="S653" s="1056"/>
      <c r="T653" s="1056"/>
      <c r="U653" s="1056"/>
      <c r="V653" s="1056"/>
      <c r="W653" s="1056"/>
      <c r="X653" s="1056"/>
      <c r="Y653" s="1056"/>
      <c r="Z653" s="1056"/>
      <c r="AA653" s="1056"/>
      <c r="AB653" s="1056"/>
      <c r="AC653" s="1056"/>
    </row>
    <row r="654" spans="1:29" x14ac:dyDescent="0.25">
      <c r="A654" s="1106"/>
      <c r="B654" s="1056"/>
      <c r="C654" s="1056"/>
      <c r="D654" s="1056"/>
      <c r="E654" s="1056"/>
      <c r="F654" s="1056"/>
      <c r="G654" s="1056"/>
      <c r="H654" s="1056"/>
      <c r="I654" s="1056"/>
      <c r="J654" s="1056"/>
      <c r="K654" s="1056"/>
      <c r="L654" s="1056"/>
      <c r="M654" s="1056"/>
      <c r="N654" s="1056"/>
      <c r="O654" s="1056"/>
      <c r="P654" s="1056"/>
      <c r="Q654" s="1056"/>
      <c r="R654" s="1056"/>
      <c r="S654" s="1056"/>
      <c r="T654" s="1056"/>
      <c r="U654" s="1056"/>
      <c r="V654" s="1056"/>
      <c r="W654" s="1056"/>
      <c r="X654" s="1056"/>
      <c r="Y654" s="1056"/>
      <c r="Z654" s="1056"/>
      <c r="AA654" s="1056"/>
      <c r="AB654" s="1056"/>
      <c r="AC654" s="1056"/>
    </row>
    <row r="655" spans="1:29" x14ac:dyDescent="0.25">
      <c r="A655" s="1106"/>
      <c r="B655" s="1056"/>
      <c r="C655" s="1056"/>
      <c r="D655" s="1056"/>
      <c r="E655" s="1056"/>
      <c r="F655" s="1056"/>
      <c r="G655" s="1056"/>
      <c r="H655" s="1056"/>
      <c r="I655" s="1056"/>
      <c r="J655" s="1056"/>
      <c r="K655" s="1056"/>
      <c r="L655" s="1056"/>
      <c r="M655" s="1056"/>
      <c r="N655" s="1056"/>
      <c r="O655" s="1056"/>
      <c r="P655" s="1056"/>
      <c r="Q655" s="1056"/>
      <c r="R655" s="1056"/>
      <c r="S655" s="1056"/>
      <c r="T655" s="1056"/>
      <c r="U655" s="1056"/>
      <c r="V655" s="1056"/>
      <c r="W655" s="1056"/>
      <c r="X655" s="1056"/>
      <c r="Y655" s="1056"/>
      <c r="Z655" s="1056"/>
      <c r="AA655" s="1056"/>
      <c r="AB655" s="1056"/>
      <c r="AC655" s="1056"/>
    </row>
    <row r="656" spans="1:29" x14ac:dyDescent="0.25">
      <c r="A656" s="1106"/>
      <c r="B656" s="1056"/>
      <c r="C656" s="1056"/>
      <c r="D656" s="1056"/>
      <c r="E656" s="1056"/>
      <c r="F656" s="1056"/>
      <c r="G656" s="1056"/>
      <c r="H656" s="1056"/>
      <c r="I656" s="1056"/>
      <c r="J656" s="1056"/>
      <c r="K656" s="1056"/>
      <c r="L656" s="1056"/>
      <c r="M656" s="1056"/>
      <c r="N656" s="1056"/>
      <c r="O656" s="1056"/>
      <c r="P656" s="1056"/>
      <c r="Q656" s="1056"/>
      <c r="R656" s="1056"/>
      <c r="S656" s="1056"/>
      <c r="T656" s="1056"/>
      <c r="U656" s="1056"/>
      <c r="V656" s="1056"/>
      <c r="W656" s="1056"/>
      <c r="X656" s="1056"/>
      <c r="Y656" s="1056"/>
      <c r="Z656" s="1056"/>
      <c r="AA656" s="1056"/>
      <c r="AB656" s="1056"/>
      <c r="AC656" s="1056"/>
    </row>
    <row r="657" spans="1:29" x14ac:dyDescent="0.25">
      <c r="A657" s="1106"/>
      <c r="B657" s="1056"/>
      <c r="C657" s="1056"/>
      <c r="D657" s="1056"/>
      <c r="E657" s="1056"/>
      <c r="F657" s="1056"/>
      <c r="G657" s="1056"/>
      <c r="H657" s="1056"/>
      <c r="I657" s="1056"/>
      <c r="J657" s="1056"/>
      <c r="K657" s="1056"/>
      <c r="L657" s="1056"/>
      <c r="M657" s="1056"/>
      <c r="N657" s="1056"/>
      <c r="O657" s="1056"/>
      <c r="P657" s="1056"/>
      <c r="Q657" s="1056"/>
      <c r="R657" s="1056"/>
      <c r="S657" s="1056"/>
      <c r="T657" s="1056"/>
      <c r="U657" s="1056"/>
      <c r="V657" s="1056"/>
      <c r="W657" s="1056"/>
      <c r="X657" s="1056"/>
      <c r="Y657" s="1056"/>
      <c r="Z657" s="1056"/>
      <c r="AA657" s="1056"/>
      <c r="AB657" s="1056"/>
      <c r="AC657" s="1056"/>
    </row>
    <row r="658" spans="1:29" x14ac:dyDescent="0.25">
      <c r="A658" s="1106"/>
      <c r="B658" s="1056"/>
      <c r="C658" s="1056"/>
      <c r="D658" s="1056"/>
      <c r="E658" s="1056"/>
      <c r="F658" s="1056"/>
      <c r="G658" s="1056"/>
      <c r="H658" s="1056"/>
      <c r="I658" s="1056"/>
      <c r="J658" s="1056"/>
      <c r="K658" s="1056"/>
      <c r="L658" s="1056"/>
      <c r="M658" s="1056"/>
      <c r="N658" s="1056"/>
      <c r="O658" s="1056"/>
      <c r="P658" s="1056"/>
      <c r="Q658" s="1056"/>
      <c r="R658" s="1056"/>
      <c r="S658" s="1056"/>
      <c r="T658" s="1056"/>
      <c r="U658" s="1056"/>
      <c r="V658" s="1056"/>
      <c r="W658" s="1056"/>
      <c r="X658" s="1056"/>
      <c r="Y658" s="1056"/>
      <c r="Z658" s="1056"/>
      <c r="AA658" s="1056"/>
      <c r="AB658" s="1056"/>
      <c r="AC658" s="1056"/>
    </row>
    <row r="659" spans="1:29" x14ac:dyDescent="0.25">
      <c r="A659" s="1106"/>
      <c r="B659" s="1056"/>
      <c r="C659" s="1056"/>
      <c r="D659" s="1056"/>
      <c r="E659" s="1056"/>
      <c r="F659" s="1056"/>
      <c r="G659" s="1056"/>
      <c r="H659" s="1056"/>
      <c r="I659" s="1056"/>
      <c r="J659" s="1056"/>
      <c r="K659" s="1056"/>
      <c r="L659" s="1056"/>
      <c r="M659" s="1056"/>
      <c r="N659" s="1056"/>
      <c r="O659" s="1056"/>
      <c r="P659" s="1056"/>
      <c r="Q659" s="1056"/>
      <c r="R659" s="1056"/>
      <c r="S659" s="1056"/>
      <c r="T659" s="1056"/>
      <c r="U659" s="1056"/>
      <c r="V659" s="1056"/>
      <c r="W659" s="1056"/>
      <c r="X659" s="1056"/>
      <c r="Y659" s="1056"/>
      <c r="Z659" s="1056"/>
      <c r="AA659" s="1056"/>
      <c r="AB659" s="1056"/>
      <c r="AC659" s="1056"/>
    </row>
    <row r="660" spans="1:29" x14ac:dyDescent="0.25">
      <c r="A660" s="1106"/>
      <c r="B660" s="1056"/>
      <c r="C660" s="1056"/>
      <c r="D660" s="1056"/>
      <c r="E660" s="1056"/>
      <c r="F660" s="1056"/>
      <c r="G660" s="1056"/>
      <c r="H660" s="1056"/>
      <c r="I660" s="1056"/>
      <c r="J660" s="1056"/>
      <c r="K660" s="1056"/>
      <c r="L660" s="1056"/>
      <c r="M660" s="1056"/>
      <c r="N660" s="1056"/>
      <c r="O660" s="1056"/>
      <c r="P660" s="1056"/>
      <c r="Q660" s="1056"/>
      <c r="R660" s="1056"/>
      <c r="S660" s="1056"/>
      <c r="T660" s="1056"/>
      <c r="U660" s="1056"/>
      <c r="V660" s="1056"/>
      <c r="W660" s="1056"/>
      <c r="X660" s="1056"/>
      <c r="Y660" s="1056"/>
      <c r="Z660" s="1056"/>
      <c r="AA660" s="1056"/>
      <c r="AB660" s="1056"/>
      <c r="AC660" s="1056"/>
    </row>
    <row r="661" spans="1:29" x14ac:dyDescent="0.25">
      <c r="A661" s="1106"/>
      <c r="B661" s="1056"/>
      <c r="C661" s="1056"/>
      <c r="D661" s="1056"/>
      <c r="E661" s="1056"/>
      <c r="F661" s="1056"/>
      <c r="G661" s="1056"/>
      <c r="H661" s="1056"/>
      <c r="I661" s="1056"/>
      <c r="J661" s="1056"/>
      <c r="K661" s="1056"/>
      <c r="L661" s="1056"/>
      <c r="M661" s="1056"/>
      <c r="N661" s="1056"/>
      <c r="O661" s="1056"/>
      <c r="P661" s="1056"/>
      <c r="Q661" s="1056"/>
      <c r="R661" s="1056"/>
      <c r="S661" s="1056"/>
      <c r="T661" s="1056"/>
      <c r="U661" s="1056"/>
      <c r="V661" s="1056"/>
      <c r="W661" s="1056"/>
      <c r="X661" s="1056"/>
      <c r="Y661" s="1056"/>
      <c r="Z661" s="1056"/>
      <c r="AA661" s="1056"/>
      <c r="AB661" s="1056"/>
      <c r="AC661" s="1056"/>
    </row>
    <row r="662" spans="1:29" x14ac:dyDescent="0.25">
      <c r="A662" s="1106"/>
      <c r="B662" s="1056"/>
      <c r="C662" s="1056"/>
      <c r="D662" s="1056"/>
      <c r="E662" s="1056"/>
      <c r="F662" s="1056"/>
      <c r="G662" s="1056"/>
      <c r="H662" s="1056"/>
      <c r="I662" s="1056"/>
      <c r="J662" s="1056"/>
      <c r="K662" s="1056"/>
      <c r="L662" s="1056"/>
      <c r="M662" s="1056"/>
      <c r="N662" s="1056"/>
      <c r="O662" s="1056"/>
      <c r="P662" s="1056"/>
      <c r="Q662" s="1056"/>
      <c r="R662" s="1056"/>
      <c r="S662" s="1056"/>
      <c r="T662" s="1056"/>
      <c r="U662" s="1056"/>
      <c r="V662" s="1056"/>
      <c r="W662" s="1056"/>
      <c r="X662" s="1056"/>
      <c r="Y662" s="1056"/>
      <c r="Z662" s="1056"/>
      <c r="AA662" s="1056"/>
      <c r="AB662" s="1056"/>
      <c r="AC662" s="1056"/>
    </row>
    <row r="663" spans="1:29" x14ac:dyDescent="0.25">
      <c r="A663" s="1106"/>
      <c r="B663" s="1056"/>
      <c r="C663" s="1056"/>
      <c r="D663" s="1056"/>
      <c r="E663" s="1056"/>
      <c r="F663" s="1056"/>
      <c r="G663" s="1056"/>
      <c r="H663" s="1056"/>
      <c r="I663" s="1056"/>
      <c r="J663" s="1056"/>
      <c r="K663" s="1056"/>
      <c r="L663" s="1056"/>
      <c r="M663" s="1056"/>
      <c r="N663" s="1056"/>
      <c r="O663" s="1056"/>
      <c r="P663" s="1056"/>
      <c r="Q663" s="1056"/>
      <c r="R663" s="1056"/>
      <c r="S663" s="1056"/>
      <c r="T663" s="1056"/>
      <c r="U663" s="1056"/>
      <c r="V663" s="1056"/>
      <c r="W663" s="1056"/>
      <c r="X663" s="1056"/>
      <c r="Y663" s="1056"/>
      <c r="Z663" s="1056"/>
      <c r="AA663" s="1056"/>
      <c r="AB663" s="1056"/>
      <c r="AC663" s="1056"/>
    </row>
    <row r="664" spans="1:29" x14ac:dyDescent="0.25">
      <c r="A664" s="1106"/>
      <c r="B664" s="1056"/>
      <c r="C664" s="1056"/>
      <c r="D664" s="1056"/>
      <c r="E664" s="1056"/>
      <c r="F664" s="1056"/>
      <c r="G664" s="1056"/>
      <c r="H664" s="1056"/>
      <c r="I664" s="1056"/>
      <c r="J664" s="1056"/>
      <c r="K664" s="1056"/>
      <c r="L664" s="1056"/>
      <c r="M664" s="1056"/>
      <c r="N664" s="1056"/>
      <c r="O664" s="1056"/>
      <c r="P664" s="1056"/>
      <c r="Q664" s="1056"/>
      <c r="R664" s="1056"/>
      <c r="S664" s="1056"/>
      <c r="T664" s="1056"/>
      <c r="U664" s="1056"/>
      <c r="V664" s="1056"/>
      <c r="W664" s="1056"/>
      <c r="X664" s="1056"/>
      <c r="Y664" s="1056"/>
      <c r="Z664" s="1056"/>
      <c r="AA664" s="1056"/>
      <c r="AB664" s="1056"/>
      <c r="AC664" s="1056"/>
    </row>
    <row r="665" spans="1:29" x14ac:dyDescent="0.25">
      <c r="A665" s="1106"/>
      <c r="B665" s="1056"/>
      <c r="C665" s="1056"/>
      <c r="D665" s="1056"/>
      <c r="E665" s="1056"/>
      <c r="F665" s="1056"/>
      <c r="G665" s="1056"/>
      <c r="H665" s="1056"/>
      <c r="I665" s="1056"/>
      <c r="J665" s="1056"/>
      <c r="K665" s="1056"/>
      <c r="L665" s="1056"/>
      <c r="M665" s="1056"/>
      <c r="N665" s="1056"/>
      <c r="O665" s="1056"/>
      <c r="P665" s="1056"/>
      <c r="Q665" s="1056"/>
      <c r="R665" s="1056"/>
      <c r="S665" s="1056"/>
      <c r="T665" s="1056"/>
      <c r="U665" s="1056"/>
      <c r="V665" s="1056"/>
      <c r="W665" s="1056"/>
      <c r="X665" s="1056"/>
      <c r="Y665" s="1056"/>
      <c r="Z665" s="1056"/>
      <c r="AA665" s="1056"/>
      <c r="AB665" s="1056"/>
      <c r="AC665" s="1056"/>
    </row>
    <row r="666" spans="1:29" x14ac:dyDescent="0.25">
      <c r="A666" s="1106"/>
      <c r="B666" s="1056"/>
      <c r="C666" s="1056"/>
      <c r="D666" s="1056"/>
      <c r="E666" s="1056"/>
      <c r="F666" s="1056"/>
      <c r="G666" s="1056"/>
      <c r="H666" s="1056"/>
      <c r="I666" s="1056"/>
      <c r="J666" s="1056"/>
      <c r="K666" s="1056"/>
      <c r="L666" s="1056"/>
      <c r="M666" s="1056"/>
      <c r="N666" s="1056"/>
      <c r="O666" s="1056"/>
      <c r="P666" s="1056"/>
      <c r="Q666" s="1056"/>
      <c r="R666" s="1056"/>
      <c r="S666" s="1056"/>
      <c r="T666" s="1056"/>
      <c r="U666" s="1056"/>
      <c r="V666" s="1056"/>
      <c r="W666" s="1056"/>
      <c r="X666" s="1056"/>
      <c r="Y666" s="1056"/>
      <c r="Z666" s="1056"/>
      <c r="AA666" s="1056"/>
      <c r="AB666" s="1056"/>
      <c r="AC666" s="1056"/>
    </row>
    <row r="667" spans="1:29" x14ac:dyDescent="0.25">
      <c r="A667" s="1106"/>
      <c r="B667" s="1056"/>
      <c r="C667" s="1056"/>
      <c r="D667" s="1056"/>
      <c r="E667" s="1056"/>
      <c r="F667" s="1056"/>
      <c r="G667" s="1056"/>
      <c r="H667" s="1056"/>
      <c r="I667" s="1056"/>
      <c r="J667" s="1056"/>
      <c r="K667" s="1056"/>
      <c r="L667" s="1056"/>
      <c r="M667" s="1056"/>
      <c r="N667" s="1056"/>
      <c r="O667" s="1056"/>
      <c r="P667" s="1056"/>
      <c r="Q667" s="1056"/>
      <c r="R667" s="1056"/>
      <c r="S667" s="1056"/>
      <c r="T667" s="1056"/>
      <c r="U667" s="1056"/>
      <c r="V667" s="1056"/>
      <c r="W667" s="1056"/>
      <c r="X667" s="1056"/>
      <c r="Y667" s="1056"/>
      <c r="Z667" s="1056"/>
      <c r="AA667" s="1056"/>
      <c r="AB667" s="1056"/>
      <c r="AC667" s="1056"/>
    </row>
    <row r="668" spans="1:29" x14ac:dyDescent="0.25">
      <c r="A668" s="1106"/>
      <c r="B668" s="1056"/>
      <c r="C668" s="1056"/>
      <c r="D668" s="1056"/>
      <c r="E668" s="1056"/>
      <c r="F668" s="1056"/>
      <c r="G668" s="1056"/>
      <c r="H668" s="1056"/>
      <c r="I668" s="1056"/>
      <c r="J668" s="1056"/>
      <c r="K668" s="1056"/>
      <c r="L668" s="1056"/>
      <c r="M668" s="1056"/>
      <c r="N668" s="1056"/>
      <c r="O668" s="1056"/>
      <c r="P668" s="1056"/>
      <c r="Q668" s="1056"/>
      <c r="R668" s="1056"/>
      <c r="S668" s="1056"/>
      <c r="T668" s="1056"/>
      <c r="U668" s="1056"/>
      <c r="V668" s="1056"/>
      <c r="W668" s="1056"/>
      <c r="X668" s="1056"/>
      <c r="Y668" s="1056"/>
      <c r="Z668" s="1056"/>
      <c r="AA668" s="1056"/>
      <c r="AB668" s="1056"/>
      <c r="AC668" s="1056"/>
    </row>
    <row r="669" spans="1:29" x14ac:dyDescent="0.25">
      <c r="A669" s="1106"/>
      <c r="B669" s="1056"/>
      <c r="C669" s="1056"/>
      <c r="D669" s="1056"/>
      <c r="E669" s="1056"/>
      <c r="F669" s="1056"/>
      <c r="G669" s="1056"/>
      <c r="H669" s="1056"/>
      <c r="I669" s="1056"/>
      <c r="J669" s="1056"/>
      <c r="K669" s="1056"/>
      <c r="L669" s="1056"/>
      <c r="M669" s="1056"/>
      <c r="N669" s="1056"/>
      <c r="O669" s="1056"/>
      <c r="P669" s="1056"/>
      <c r="Q669" s="1056"/>
      <c r="R669" s="1056"/>
      <c r="S669" s="1056"/>
      <c r="T669" s="1056"/>
      <c r="U669" s="1056"/>
      <c r="V669" s="1056"/>
      <c r="W669" s="1056"/>
      <c r="X669" s="1056"/>
      <c r="Y669" s="1056"/>
      <c r="Z669" s="1056"/>
      <c r="AA669" s="1056"/>
      <c r="AB669" s="1056"/>
      <c r="AC669" s="1056"/>
    </row>
    <row r="670" spans="1:29" x14ac:dyDescent="0.25">
      <c r="A670" s="1106"/>
      <c r="B670" s="1056"/>
      <c r="C670" s="1056"/>
      <c r="D670" s="1056"/>
      <c r="E670" s="1056"/>
      <c r="F670" s="1056"/>
      <c r="G670" s="1056"/>
      <c r="H670" s="1056"/>
      <c r="I670" s="1056"/>
      <c r="J670" s="1056"/>
      <c r="K670" s="1056"/>
      <c r="L670" s="1056"/>
      <c r="M670" s="1056"/>
      <c r="N670" s="1056"/>
      <c r="O670" s="1056"/>
      <c r="P670" s="1056"/>
      <c r="Q670" s="1056"/>
      <c r="R670" s="1056"/>
      <c r="S670" s="1056"/>
      <c r="T670" s="1056"/>
      <c r="U670" s="1056"/>
      <c r="V670" s="1056"/>
      <c r="W670" s="1056"/>
      <c r="X670" s="1056"/>
      <c r="Y670" s="1056"/>
      <c r="Z670" s="1056"/>
      <c r="AA670" s="1056"/>
      <c r="AB670" s="1056"/>
      <c r="AC670" s="1056"/>
    </row>
    <row r="671" spans="1:29" x14ac:dyDescent="0.25">
      <c r="A671" s="1106"/>
      <c r="B671" s="1056"/>
      <c r="C671" s="1056"/>
      <c r="D671" s="1056"/>
      <c r="E671" s="1056"/>
      <c r="F671" s="1056"/>
      <c r="G671" s="1056"/>
      <c r="H671" s="1056"/>
      <c r="I671" s="1056"/>
      <c r="J671" s="1056"/>
      <c r="K671" s="1056"/>
      <c r="L671" s="1056"/>
      <c r="M671" s="1056"/>
      <c r="N671" s="1056"/>
      <c r="O671" s="1056"/>
      <c r="P671" s="1056"/>
      <c r="Q671" s="1056"/>
      <c r="R671" s="1056"/>
      <c r="S671" s="1056"/>
      <c r="T671" s="1056"/>
      <c r="U671" s="1056"/>
      <c r="V671" s="1056"/>
      <c r="W671" s="1056"/>
      <c r="X671" s="1056"/>
      <c r="Y671" s="1056"/>
      <c r="Z671" s="1056"/>
      <c r="AA671" s="1056"/>
      <c r="AB671" s="1056"/>
      <c r="AC671" s="1056"/>
    </row>
    <row r="672" spans="1:29" x14ac:dyDescent="0.25">
      <c r="A672" s="1106"/>
      <c r="B672" s="1056"/>
      <c r="C672" s="1056"/>
      <c r="D672" s="1056"/>
      <c r="E672" s="1056"/>
      <c r="F672" s="1056"/>
      <c r="G672" s="1056"/>
      <c r="H672" s="1056"/>
      <c r="I672" s="1056"/>
      <c r="J672" s="1056"/>
      <c r="K672" s="1056"/>
      <c r="L672" s="1056"/>
      <c r="M672" s="1056"/>
      <c r="N672" s="1056"/>
      <c r="O672" s="1056"/>
      <c r="P672" s="1056"/>
      <c r="Q672" s="1056"/>
      <c r="R672" s="1056"/>
      <c r="S672" s="1056"/>
      <c r="T672" s="1056"/>
      <c r="U672" s="1056"/>
      <c r="V672" s="1056"/>
      <c r="W672" s="1056"/>
      <c r="X672" s="1056"/>
      <c r="Y672" s="1056"/>
      <c r="Z672" s="1056"/>
      <c r="AA672" s="1056"/>
      <c r="AB672" s="1056"/>
      <c r="AC672" s="1056"/>
    </row>
    <row r="673" spans="1:29" x14ac:dyDescent="0.25">
      <c r="A673" s="1106"/>
      <c r="B673" s="1056"/>
      <c r="C673" s="1056"/>
      <c r="D673" s="1056"/>
      <c r="E673" s="1056"/>
      <c r="F673" s="1056"/>
      <c r="G673" s="1056"/>
      <c r="H673" s="1056"/>
      <c r="I673" s="1056"/>
      <c r="J673" s="1056"/>
      <c r="K673" s="1056"/>
      <c r="L673" s="1056"/>
      <c r="M673" s="1056"/>
      <c r="N673" s="1056"/>
      <c r="O673" s="1056"/>
      <c r="P673" s="1056"/>
      <c r="Q673" s="1056"/>
      <c r="R673" s="1056"/>
      <c r="S673" s="1056"/>
      <c r="T673" s="1056"/>
      <c r="U673" s="1056"/>
      <c r="V673" s="1056"/>
      <c r="W673" s="1056"/>
      <c r="X673" s="1056"/>
      <c r="Y673" s="1056"/>
      <c r="Z673" s="1056"/>
      <c r="AA673" s="1056"/>
      <c r="AB673" s="1056"/>
      <c r="AC673" s="1056"/>
    </row>
    <row r="674" spans="1:29" x14ac:dyDescent="0.25">
      <c r="A674" s="1106"/>
      <c r="B674" s="1056"/>
      <c r="C674" s="1056"/>
      <c r="D674" s="1056"/>
      <c r="E674" s="1056"/>
      <c r="F674" s="1056"/>
      <c r="G674" s="1056"/>
      <c r="H674" s="1056"/>
      <c r="I674" s="1056"/>
      <c r="J674" s="1056"/>
      <c r="K674" s="1056"/>
      <c r="L674" s="1056"/>
      <c r="M674" s="1056"/>
      <c r="N674" s="1056"/>
      <c r="O674" s="1056"/>
      <c r="P674" s="1056"/>
      <c r="Q674" s="1056"/>
      <c r="R674" s="1056"/>
      <c r="S674" s="1056"/>
      <c r="T674" s="1056"/>
      <c r="U674" s="1056"/>
      <c r="V674" s="1056"/>
      <c r="W674" s="1056"/>
      <c r="X674" s="1056"/>
      <c r="Y674" s="1056"/>
      <c r="Z674" s="1056"/>
      <c r="AA674" s="1056"/>
      <c r="AB674" s="1056"/>
      <c r="AC674" s="1056"/>
    </row>
    <row r="675" spans="1:29" x14ac:dyDescent="0.25">
      <c r="A675" s="1106"/>
      <c r="B675" s="1056"/>
      <c r="C675" s="1056"/>
      <c r="D675" s="1056"/>
      <c r="E675" s="1056"/>
      <c r="F675" s="1056"/>
      <c r="G675" s="1056"/>
      <c r="H675" s="1056"/>
      <c r="I675" s="1056"/>
      <c r="J675" s="1056"/>
      <c r="K675" s="1056"/>
      <c r="L675" s="1056"/>
      <c r="M675" s="1056"/>
      <c r="N675" s="1056"/>
      <c r="O675" s="1056"/>
      <c r="P675" s="1056"/>
      <c r="Q675" s="1056"/>
      <c r="R675" s="1056"/>
      <c r="S675" s="1056"/>
      <c r="T675" s="1056"/>
      <c r="U675" s="1056"/>
      <c r="V675" s="1056"/>
      <c r="W675" s="1056"/>
      <c r="X675" s="1056"/>
      <c r="Y675" s="1056"/>
      <c r="Z675" s="1056"/>
      <c r="AA675" s="1056"/>
      <c r="AB675" s="1056"/>
      <c r="AC675" s="1056"/>
    </row>
    <row r="676" spans="1:29" x14ac:dyDescent="0.25">
      <c r="A676" s="1106"/>
      <c r="B676" s="1056"/>
      <c r="C676" s="1056"/>
      <c r="D676" s="1056"/>
      <c r="E676" s="1056"/>
      <c r="F676" s="1056"/>
      <c r="G676" s="1056"/>
      <c r="H676" s="1056"/>
      <c r="I676" s="1056"/>
      <c r="J676" s="1056"/>
      <c r="K676" s="1056"/>
      <c r="L676" s="1056"/>
      <c r="M676" s="1056"/>
      <c r="N676" s="1056"/>
      <c r="O676" s="1056"/>
      <c r="P676" s="1056"/>
      <c r="Q676" s="1056"/>
      <c r="R676" s="1056"/>
      <c r="S676" s="1056"/>
      <c r="T676" s="1056"/>
      <c r="U676" s="1056"/>
      <c r="V676" s="1056"/>
      <c r="W676" s="1056"/>
      <c r="X676" s="1056"/>
      <c r="Y676" s="1056"/>
      <c r="Z676" s="1056"/>
      <c r="AA676" s="1056"/>
      <c r="AB676" s="1056"/>
      <c r="AC676" s="1056"/>
    </row>
    <row r="677" spans="1:29" x14ac:dyDescent="0.25">
      <c r="A677" s="1106"/>
      <c r="B677" s="1056"/>
      <c r="C677" s="1056"/>
      <c r="D677" s="1056"/>
      <c r="E677" s="1056"/>
      <c r="F677" s="1056"/>
      <c r="G677" s="1056"/>
      <c r="H677" s="1056"/>
      <c r="I677" s="1056"/>
      <c r="J677" s="1056"/>
      <c r="K677" s="1056"/>
      <c r="L677" s="1056"/>
      <c r="M677" s="1056"/>
      <c r="N677" s="1056"/>
      <c r="O677" s="1056"/>
      <c r="P677" s="1056"/>
      <c r="Q677" s="1056"/>
      <c r="R677" s="1056"/>
      <c r="S677" s="1056"/>
      <c r="T677" s="1056"/>
      <c r="U677" s="1056"/>
      <c r="V677" s="1056"/>
      <c r="W677" s="1056"/>
      <c r="X677" s="1056"/>
      <c r="Y677" s="1056"/>
      <c r="Z677" s="1056"/>
      <c r="AA677" s="1056"/>
      <c r="AB677" s="1056"/>
      <c r="AC677" s="1056"/>
    </row>
    <row r="678" spans="1:29" x14ac:dyDescent="0.25">
      <c r="A678" s="1106"/>
      <c r="B678" s="1056"/>
      <c r="C678" s="1056"/>
      <c r="D678" s="1056"/>
      <c r="E678" s="1056"/>
      <c r="F678" s="1056"/>
      <c r="G678" s="1056"/>
      <c r="H678" s="1056"/>
      <c r="I678" s="1056"/>
      <c r="J678" s="1056"/>
      <c r="K678" s="1056"/>
      <c r="L678" s="1056"/>
      <c r="M678" s="1056"/>
      <c r="N678" s="1056"/>
      <c r="O678" s="1056"/>
      <c r="P678" s="1056"/>
      <c r="Q678" s="1056"/>
      <c r="R678" s="1056"/>
      <c r="S678" s="1056"/>
      <c r="T678" s="1056"/>
      <c r="U678" s="1056"/>
      <c r="V678" s="1056"/>
      <c r="W678" s="1056"/>
      <c r="X678" s="1056"/>
      <c r="Y678" s="1056"/>
      <c r="Z678" s="1056"/>
      <c r="AA678" s="1056"/>
      <c r="AB678" s="1056"/>
      <c r="AC678" s="1056"/>
    </row>
    <row r="679" spans="1:29" x14ac:dyDescent="0.25">
      <c r="A679" s="1106"/>
      <c r="B679" s="1056"/>
      <c r="C679" s="1056"/>
      <c r="D679" s="1056"/>
      <c r="E679" s="1056"/>
      <c r="F679" s="1056"/>
      <c r="G679" s="1056"/>
      <c r="H679" s="1056"/>
      <c r="I679" s="1056"/>
      <c r="J679" s="1056"/>
      <c r="K679" s="1056"/>
      <c r="L679" s="1056"/>
      <c r="M679" s="1056"/>
      <c r="N679" s="1056"/>
      <c r="O679" s="1056"/>
      <c r="P679" s="1056"/>
      <c r="Q679" s="1056"/>
      <c r="R679" s="1056"/>
      <c r="S679" s="1056"/>
      <c r="T679" s="1056"/>
      <c r="U679" s="1056"/>
      <c r="V679" s="1056"/>
      <c r="W679" s="1056"/>
      <c r="X679" s="1056"/>
      <c r="Y679" s="1056"/>
      <c r="Z679" s="1056"/>
      <c r="AA679" s="1056"/>
      <c r="AB679" s="1056"/>
      <c r="AC679" s="1056"/>
    </row>
    <row r="680" spans="1:29" x14ac:dyDescent="0.25">
      <c r="A680" s="1106"/>
      <c r="B680" s="1056"/>
      <c r="C680" s="1056"/>
      <c r="D680" s="1056"/>
      <c r="E680" s="1056"/>
      <c r="F680" s="1056"/>
      <c r="G680" s="1056"/>
      <c r="H680" s="1056"/>
      <c r="I680" s="1056"/>
      <c r="J680" s="1056"/>
      <c r="K680" s="1056"/>
      <c r="L680" s="1056"/>
      <c r="M680" s="1056"/>
      <c r="N680" s="1056"/>
      <c r="O680" s="1056"/>
      <c r="P680" s="1056"/>
      <c r="Q680" s="1056"/>
      <c r="R680" s="1056"/>
      <c r="S680" s="1056"/>
      <c r="T680" s="1056"/>
      <c r="U680" s="1056"/>
      <c r="V680" s="1056"/>
      <c r="W680" s="1056"/>
      <c r="X680" s="1056"/>
      <c r="Y680" s="1056"/>
      <c r="Z680" s="1056"/>
      <c r="AA680" s="1056"/>
      <c r="AB680" s="1056"/>
      <c r="AC680" s="1056"/>
    </row>
    <row r="681" spans="1:29" x14ac:dyDescent="0.25">
      <c r="A681" s="1106"/>
      <c r="B681" s="1056"/>
      <c r="C681" s="1056"/>
      <c r="D681" s="1056"/>
      <c r="E681" s="1056"/>
      <c r="F681" s="1056"/>
      <c r="G681" s="1056"/>
      <c r="H681" s="1056"/>
      <c r="I681" s="1056"/>
      <c r="J681" s="1056"/>
      <c r="K681" s="1056"/>
      <c r="L681" s="1056"/>
      <c r="M681" s="1056"/>
      <c r="N681" s="1056"/>
      <c r="O681" s="1056"/>
      <c r="P681" s="1056"/>
      <c r="Q681" s="1056"/>
      <c r="R681" s="1056"/>
      <c r="S681" s="1056"/>
      <c r="T681" s="1056"/>
      <c r="U681" s="1056"/>
      <c r="V681" s="1056"/>
      <c r="W681" s="1056"/>
      <c r="X681" s="1056"/>
      <c r="Y681" s="1056"/>
      <c r="Z681" s="1056"/>
      <c r="AA681" s="1056"/>
      <c r="AB681" s="1056"/>
      <c r="AC681" s="1056"/>
    </row>
    <row r="682" spans="1:29" x14ac:dyDescent="0.25">
      <c r="A682" s="1106"/>
      <c r="B682" s="1056"/>
      <c r="C682" s="1056"/>
      <c r="D682" s="1056"/>
      <c r="E682" s="1056"/>
      <c r="F682" s="1056"/>
      <c r="G682" s="1056"/>
      <c r="H682" s="1056"/>
      <c r="I682" s="1056"/>
      <c r="J682" s="1056"/>
      <c r="K682" s="1056"/>
      <c r="L682" s="1056"/>
      <c r="M682" s="1056"/>
      <c r="N682" s="1056"/>
      <c r="O682" s="1056"/>
      <c r="P682" s="1056"/>
      <c r="Q682" s="1056"/>
      <c r="R682" s="1056"/>
      <c r="S682" s="1056"/>
      <c r="T682" s="1056"/>
      <c r="U682" s="1056"/>
      <c r="V682" s="1056"/>
      <c r="W682" s="1056"/>
      <c r="X682" s="1056"/>
      <c r="Y682" s="1056"/>
      <c r="Z682" s="1056"/>
      <c r="AA682" s="1056"/>
      <c r="AB682" s="1056"/>
      <c r="AC682" s="1056"/>
    </row>
    <row r="683" spans="1:29" x14ac:dyDescent="0.25">
      <c r="A683" s="1106"/>
      <c r="B683" s="1056"/>
      <c r="C683" s="1056"/>
      <c r="D683" s="1056"/>
      <c r="E683" s="1056"/>
      <c r="F683" s="1056"/>
      <c r="G683" s="1056"/>
      <c r="H683" s="1056"/>
      <c r="I683" s="1056"/>
      <c r="J683" s="1056"/>
      <c r="K683" s="1056"/>
      <c r="L683" s="1056"/>
      <c r="M683" s="1056"/>
      <c r="N683" s="1056"/>
      <c r="O683" s="1056"/>
      <c r="P683" s="1056"/>
      <c r="Q683" s="1056"/>
      <c r="R683" s="1056"/>
      <c r="S683" s="1056"/>
      <c r="T683" s="1056"/>
      <c r="U683" s="1056"/>
      <c r="V683" s="1056"/>
      <c r="W683" s="1056"/>
      <c r="X683" s="1056"/>
      <c r="Y683" s="1056"/>
      <c r="Z683" s="1056"/>
      <c r="AA683" s="1056"/>
      <c r="AB683" s="1056"/>
      <c r="AC683" s="1056"/>
    </row>
    <row r="684" spans="1:29" x14ac:dyDescent="0.25">
      <c r="A684" s="1106"/>
      <c r="B684" s="1056"/>
      <c r="C684" s="1056"/>
      <c r="D684" s="1056"/>
      <c r="E684" s="1056"/>
      <c r="F684" s="1056"/>
      <c r="G684" s="1056"/>
      <c r="H684" s="1056"/>
      <c r="I684" s="1056"/>
      <c r="J684" s="1056"/>
      <c r="K684" s="1056"/>
      <c r="L684" s="1056"/>
      <c r="M684" s="1056"/>
      <c r="N684" s="1056"/>
      <c r="O684" s="1056"/>
      <c r="P684" s="1056"/>
      <c r="Q684" s="1056"/>
      <c r="R684" s="1056"/>
      <c r="S684" s="1056"/>
      <c r="T684" s="1056"/>
      <c r="U684" s="1056"/>
      <c r="V684" s="1056"/>
      <c r="W684" s="1056"/>
      <c r="X684" s="1056"/>
      <c r="Y684" s="1056"/>
      <c r="Z684" s="1056"/>
      <c r="AA684" s="1056"/>
      <c r="AB684" s="1056"/>
      <c r="AC684" s="1056"/>
    </row>
    <row r="685" spans="1:29" x14ac:dyDescent="0.25">
      <c r="A685" s="1106"/>
      <c r="B685" s="1056"/>
      <c r="C685" s="1056"/>
      <c r="D685" s="1056"/>
      <c r="E685" s="1056"/>
      <c r="F685" s="1056"/>
      <c r="G685" s="1056"/>
      <c r="H685" s="1056"/>
      <c r="I685" s="1056"/>
      <c r="J685" s="1056"/>
      <c r="K685" s="1056"/>
      <c r="L685" s="1056"/>
      <c r="M685" s="1056"/>
      <c r="N685" s="1056"/>
      <c r="O685" s="1056"/>
      <c r="P685" s="1056"/>
      <c r="Q685" s="1056"/>
      <c r="R685" s="1056"/>
      <c r="S685" s="1056"/>
      <c r="T685" s="1056"/>
      <c r="U685" s="1056"/>
      <c r="V685" s="1056"/>
      <c r="W685" s="1056"/>
      <c r="X685" s="1056"/>
      <c r="Y685" s="1056"/>
      <c r="Z685" s="1056"/>
      <c r="AA685" s="1056"/>
      <c r="AB685" s="1056"/>
      <c r="AC685" s="1056"/>
    </row>
    <row r="686" spans="1:29" x14ac:dyDescent="0.25">
      <c r="A686" s="1106"/>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row>
    <row r="687" spans="1:29" x14ac:dyDescent="0.25">
      <c r="A687" s="110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row>
    <row r="688" spans="1:29" x14ac:dyDescent="0.25">
      <c r="A688" s="110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row>
    <row r="689" spans="1:29" x14ac:dyDescent="0.25">
      <c r="A689" s="1106"/>
      <c r="B689" s="1056"/>
      <c r="C689" s="1056"/>
      <c r="D689" s="1056"/>
      <c r="E689" s="1056"/>
      <c r="F689" s="1056"/>
      <c r="G689" s="1056"/>
      <c r="H689" s="1056"/>
      <c r="I689" s="1056"/>
      <c r="J689" s="1056"/>
      <c r="K689" s="1056"/>
      <c r="L689" s="1056"/>
      <c r="M689" s="1056"/>
      <c r="N689" s="1056"/>
      <c r="O689" s="1056"/>
      <c r="P689" s="1056"/>
      <c r="Q689" s="1056"/>
      <c r="R689" s="1056"/>
      <c r="S689" s="1056"/>
      <c r="T689" s="1056"/>
      <c r="U689" s="1056"/>
      <c r="V689" s="1056"/>
      <c r="W689" s="1056"/>
      <c r="X689" s="1056"/>
      <c r="Y689" s="1056"/>
      <c r="Z689" s="1056"/>
      <c r="AA689" s="1056"/>
      <c r="AB689" s="1056"/>
      <c r="AC689" s="1056"/>
    </row>
    <row r="690" spans="1:29" x14ac:dyDescent="0.25">
      <c r="A690" s="1106"/>
      <c r="B690" s="1056"/>
      <c r="C690" s="1056"/>
      <c r="D690" s="1056"/>
      <c r="E690" s="1056"/>
      <c r="F690" s="1056"/>
      <c r="G690" s="1056"/>
      <c r="H690" s="1056"/>
      <c r="I690" s="1056"/>
      <c r="J690" s="1056"/>
      <c r="K690" s="1056"/>
      <c r="L690" s="1056"/>
      <c r="M690" s="1056"/>
      <c r="N690" s="1056"/>
      <c r="O690" s="1056"/>
      <c r="P690" s="1056"/>
      <c r="Q690" s="1056"/>
      <c r="R690" s="1056"/>
      <c r="S690" s="1056"/>
      <c r="T690" s="1056"/>
      <c r="U690" s="1056"/>
      <c r="V690" s="1056"/>
      <c r="W690" s="1056"/>
      <c r="X690" s="1056"/>
      <c r="Y690" s="1056"/>
      <c r="Z690" s="1056"/>
      <c r="AA690" s="1056"/>
      <c r="AB690" s="1056"/>
      <c r="AC690" s="1056"/>
    </row>
    <row r="691" spans="1:29" x14ac:dyDescent="0.25">
      <c r="A691" s="1106"/>
      <c r="B691" s="1056"/>
      <c r="C691" s="1056"/>
      <c r="D691" s="1056"/>
      <c r="E691" s="1056"/>
      <c r="F691" s="1056"/>
      <c r="G691" s="1056"/>
      <c r="H691" s="1056"/>
      <c r="I691" s="1056"/>
      <c r="J691" s="1056"/>
      <c r="K691" s="1056"/>
      <c r="L691" s="1056"/>
      <c r="M691" s="1056"/>
      <c r="N691" s="1056"/>
      <c r="O691" s="1056"/>
      <c r="P691" s="1056"/>
      <c r="Q691" s="1056"/>
      <c r="R691" s="1056"/>
      <c r="S691" s="1056"/>
      <c r="T691" s="1056"/>
      <c r="U691" s="1056"/>
      <c r="V691" s="1056"/>
      <c r="W691" s="1056"/>
      <c r="X691" s="1056"/>
      <c r="Y691" s="1056"/>
      <c r="Z691" s="1056"/>
      <c r="AA691" s="1056"/>
      <c r="AB691" s="1056"/>
      <c r="AC691" s="1056"/>
    </row>
    <row r="692" spans="1:29" x14ac:dyDescent="0.25">
      <c r="A692" s="1106"/>
      <c r="B692" s="1056"/>
      <c r="C692" s="1056"/>
      <c r="D692" s="1056"/>
      <c r="E692" s="1056"/>
      <c r="F692" s="1056"/>
      <c r="G692" s="1056"/>
      <c r="H692" s="1056"/>
      <c r="I692" s="1056"/>
      <c r="J692" s="1056"/>
      <c r="K692" s="1056"/>
      <c r="L692" s="1056"/>
      <c r="M692" s="1056"/>
      <c r="N692" s="1056"/>
      <c r="O692" s="1056"/>
      <c r="P692" s="1056"/>
      <c r="Q692" s="1056"/>
      <c r="R692" s="1056"/>
      <c r="S692" s="1056"/>
      <c r="T692" s="1056"/>
      <c r="U692" s="1056"/>
      <c r="V692" s="1056"/>
      <c r="W692" s="1056"/>
      <c r="X692" s="1056"/>
      <c r="Y692" s="1056"/>
      <c r="Z692" s="1056"/>
      <c r="AA692" s="1056"/>
      <c r="AB692" s="1056"/>
      <c r="AC692" s="1056"/>
    </row>
    <row r="693" spans="1:29" x14ac:dyDescent="0.25">
      <c r="A693" s="1106"/>
      <c r="B693" s="1056"/>
      <c r="C693" s="1056"/>
      <c r="D693" s="1056"/>
      <c r="E693" s="1056"/>
      <c r="F693" s="1056"/>
      <c r="G693" s="1056"/>
      <c r="H693" s="1056"/>
      <c r="I693" s="1056"/>
      <c r="J693" s="1056"/>
      <c r="K693" s="1056"/>
      <c r="L693" s="1056"/>
      <c r="M693" s="1056"/>
      <c r="N693" s="1056"/>
      <c r="O693" s="1056"/>
      <c r="P693" s="1056"/>
      <c r="Q693" s="1056"/>
      <c r="R693" s="1056"/>
      <c r="S693" s="1056"/>
      <c r="T693" s="1056"/>
      <c r="U693" s="1056"/>
      <c r="V693" s="1056"/>
      <c r="W693" s="1056"/>
      <c r="X693" s="1056"/>
      <c r="Y693" s="1056"/>
      <c r="Z693" s="1056"/>
      <c r="AA693" s="1056"/>
      <c r="AB693" s="1056"/>
      <c r="AC693" s="1056"/>
    </row>
    <row r="694" spans="1:29" x14ac:dyDescent="0.25">
      <c r="A694" s="1106"/>
      <c r="B694" s="1056"/>
      <c r="C694" s="1056"/>
      <c r="D694" s="1056"/>
      <c r="E694" s="1056"/>
      <c r="F694" s="1056"/>
      <c r="G694" s="1056"/>
      <c r="H694" s="1056"/>
      <c r="I694" s="1056"/>
      <c r="J694" s="1056"/>
      <c r="K694" s="1056"/>
      <c r="L694" s="1056"/>
      <c r="M694" s="1056"/>
      <c r="N694" s="1056"/>
      <c r="O694" s="1056"/>
      <c r="P694" s="1056"/>
      <c r="Q694" s="1056"/>
      <c r="R694" s="1056"/>
      <c r="S694" s="1056"/>
      <c r="T694" s="1056"/>
      <c r="U694" s="1056"/>
      <c r="V694" s="1056"/>
      <c r="W694" s="1056"/>
      <c r="X694" s="1056"/>
      <c r="Y694" s="1056"/>
      <c r="Z694" s="1056"/>
      <c r="AA694" s="1056"/>
      <c r="AB694" s="1056"/>
      <c r="AC694" s="1056"/>
    </row>
    <row r="695" spans="1:29" x14ac:dyDescent="0.25">
      <c r="A695" s="1106"/>
      <c r="B695" s="1056"/>
      <c r="C695" s="1056"/>
      <c r="D695" s="1056"/>
      <c r="E695" s="1056"/>
      <c r="F695" s="1056"/>
      <c r="G695" s="1056"/>
      <c r="H695" s="1056"/>
      <c r="I695" s="1056"/>
      <c r="J695" s="1056"/>
      <c r="K695" s="1056"/>
      <c r="L695" s="1056"/>
      <c r="M695" s="1056"/>
      <c r="N695" s="1056"/>
      <c r="O695" s="1056"/>
      <c r="P695" s="1056"/>
      <c r="Q695" s="1056"/>
      <c r="R695" s="1056"/>
      <c r="S695" s="1056"/>
      <c r="T695" s="1056"/>
      <c r="U695" s="1056"/>
      <c r="V695" s="1056"/>
      <c r="W695" s="1056"/>
      <c r="X695" s="1056"/>
      <c r="Y695" s="1056"/>
      <c r="Z695" s="1056"/>
      <c r="AA695" s="1056"/>
      <c r="AB695" s="1056"/>
      <c r="AC695" s="1056"/>
    </row>
    <row r="696" spans="1:29" x14ac:dyDescent="0.25">
      <c r="A696" s="1106"/>
      <c r="B696" s="1056"/>
      <c r="C696" s="1056"/>
      <c r="D696" s="1056"/>
      <c r="E696" s="1056"/>
      <c r="F696" s="1056"/>
      <c r="G696" s="1056"/>
      <c r="H696" s="1056"/>
      <c r="I696" s="1056"/>
      <c r="J696" s="1056"/>
      <c r="K696" s="1056"/>
      <c r="L696" s="1056"/>
      <c r="M696" s="1056"/>
      <c r="N696" s="1056"/>
      <c r="O696" s="1056"/>
      <c r="P696" s="1056"/>
      <c r="Q696" s="1056"/>
      <c r="R696" s="1056"/>
      <c r="S696" s="1056"/>
      <c r="T696" s="1056"/>
      <c r="U696" s="1056"/>
      <c r="V696" s="1056"/>
      <c r="W696" s="1056"/>
      <c r="X696" s="1056"/>
      <c r="Y696" s="1056"/>
      <c r="Z696" s="1056"/>
      <c r="AA696" s="1056"/>
      <c r="AB696" s="1056"/>
      <c r="AC696" s="1056"/>
    </row>
    <row r="697" spans="1:29" x14ac:dyDescent="0.25">
      <c r="A697" s="1106"/>
      <c r="B697" s="1056"/>
      <c r="C697" s="1056"/>
      <c r="D697" s="1056"/>
      <c r="E697" s="1056"/>
      <c r="F697" s="1056"/>
      <c r="G697" s="1056"/>
      <c r="H697" s="1056"/>
      <c r="I697" s="1056"/>
      <c r="J697" s="1056"/>
      <c r="K697" s="1056"/>
      <c r="L697" s="1056"/>
      <c r="M697" s="1056"/>
      <c r="N697" s="1056"/>
      <c r="O697" s="1056"/>
      <c r="P697" s="1056"/>
      <c r="Q697" s="1056"/>
      <c r="R697" s="1056"/>
      <c r="S697" s="1056"/>
      <c r="T697" s="1056"/>
      <c r="U697" s="1056"/>
      <c r="V697" s="1056"/>
      <c r="W697" s="1056"/>
      <c r="X697" s="1056"/>
      <c r="Y697" s="1056"/>
      <c r="Z697" s="1056"/>
      <c r="AA697" s="1056"/>
      <c r="AB697" s="1056"/>
      <c r="AC697" s="1056"/>
    </row>
    <row r="698" spans="1:29" x14ac:dyDescent="0.25">
      <c r="A698" s="1106"/>
      <c r="B698" s="1056"/>
      <c r="C698" s="1056"/>
      <c r="D698" s="1056"/>
      <c r="E698" s="1056"/>
      <c r="F698" s="1056"/>
      <c r="G698" s="1056"/>
      <c r="H698" s="1056"/>
      <c r="I698" s="1056"/>
      <c r="J698" s="1056"/>
      <c r="K698" s="1056"/>
      <c r="L698" s="1056"/>
      <c r="M698" s="1056"/>
      <c r="N698" s="1056"/>
      <c r="O698" s="1056"/>
      <c r="P698" s="1056"/>
      <c r="Q698" s="1056"/>
      <c r="R698" s="1056"/>
      <c r="S698" s="1056"/>
      <c r="T698" s="1056"/>
      <c r="U698" s="1056"/>
      <c r="V698" s="1056"/>
      <c r="W698" s="1056"/>
      <c r="X698" s="1056"/>
      <c r="Y698" s="1056"/>
      <c r="Z698" s="1056"/>
      <c r="AA698" s="1056"/>
      <c r="AB698" s="1056"/>
      <c r="AC698" s="1056"/>
    </row>
    <row r="699" spans="1:29" x14ac:dyDescent="0.25">
      <c r="A699" s="1106"/>
      <c r="B699" s="1056"/>
      <c r="C699" s="1056"/>
      <c r="D699" s="1056"/>
      <c r="E699" s="1056"/>
      <c r="F699" s="1056"/>
      <c r="G699" s="1056"/>
      <c r="H699" s="1056"/>
      <c r="I699" s="1056"/>
      <c r="J699" s="1056"/>
      <c r="K699" s="1056"/>
      <c r="L699" s="1056"/>
      <c r="M699" s="1056"/>
      <c r="N699" s="1056"/>
      <c r="O699" s="1056"/>
      <c r="P699" s="1056"/>
      <c r="Q699" s="1056"/>
      <c r="R699" s="1056"/>
      <c r="S699" s="1056"/>
      <c r="T699" s="1056"/>
      <c r="U699" s="1056"/>
      <c r="V699" s="1056"/>
      <c r="W699" s="1056"/>
      <c r="X699" s="1056"/>
      <c r="Y699" s="1056"/>
      <c r="Z699" s="1056"/>
      <c r="AA699" s="1056"/>
      <c r="AB699" s="1056"/>
      <c r="AC699" s="1056"/>
    </row>
    <row r="700" spans="1:29" x14ac:dyDescent="0.25">
      <c r="A700" s="1106"/>
      <c r="B700" s="1056"/>
      <c r="C700" s="1056"/>
      <c r="D700" s="1056"/>
      <c r="E700" s="1056"/>
      <c r="F700" s="1056"/>
      <c r="G700" s="1056"/>
      <c r="H700" s="1056"/>
      <c r="I700" s="1056"/>
      <c r="J700" s="1056"/>
      <c r="K700" s="1056"/>
      <c r="L700" s="1056"/>
      <c r="M700" s="1056"/>
      <c r="N700" s="1056"/>
      <c r="O700" s="1056"/>
      <c r="P700" s="1056"/>
      <c r="Q700" s="1056"/>
      <c r="R700" s="1056"/>
      <c r="S700" s="1056"/>
      <c r="T700" s="1056"/>
      <c r="U700" s="1056"/>
      <c r="V700" s="1056"/>
      <c r="W700" s="1056"/>
      <c r="X700" s="1056"/>
      <c r="Y700" s="1056"/>
      <c r="Z700" s="1056"/>
      <c r="AA700" s="1056"/>
      <c r="AB700" s="1056"/>
      <c r="AC700" s="1056"/>
    </row>
    <row r="701" spans="1:29" x14ac:dyDescent="0.25">
      <c r="A701" s="1106"/>
      <c r="B701" s="1056"/>
      <c r="C701" s="1056"/>
      <c r="D701" s="1056"/>
      <c r="E701" s="1056"/>
      <c r="F701" s="1056"/>
      <c r="G701" s="1056"/>
      <c r="H701" s="1056"/>
      <c r="I701" s="1056"/>
      <c r="J701" s="1056"/>
      <c r="K701" s="1056"/>
      <c r="L701" s="1056"/>
      <c r="M701" s="1056"/>
      <c r="N701" s="1056"/>
      <c r="O701" s="1056"/>
      <c r="P701" s="1056"/>
      <c r="Q701" s="1056"/>
      <c r="R701" s="1056"/>
      <c r="S701" s="1056"/>
      <c r="T701" s="1056"/>
      <c r="U701" s="1056"/>
      <c r="V701" s="1056"/>
      <c r="W701" s="1056"/>
      <c r="X701" s="1056"/>
      <c r="Y701" s="1056"/>
      <c r="Z701" s="1056"/>
      <c r="AA701" s="1056"/>
      <c r="AB701" s="1056"/>
      <c r="AC701" s="1056"/>
    </row>
    <row r="702" spans="1:29" x14ac:dyDescent="0.25">
      <c r="A702" s="1106"/>
      <c r="B702" s="1056"/>
      <c r="C702" s="1056"/>
      <c r="D702" s="1056"/>
      <c r="E702" s="1056"/>
      <c r="F702" s="1056"/>
      <c r="G702" s="1056"/>
      <c r="H702" s="1056"/>
      <c r="I702" s="1056"/>
      <c r="J702" s="1056"/>
      <c r="K702" s="1056"/>
      <c r="L702" s="1056"/>
      <c r="M702" s="1056"/>
      <c r="N702" s="1056"/>
      <c r="O702" s="1056"/>
      <c r="P702" s="1056"/>
      <c r="Q702" s="1056"/>
      <c r="R702" s="1056"/>
      <c r="S702" s="1056"/>
      <c r="T702" s="1056"/>
      <c r="U702" s="1056"/>
      <c r="V702" s="1056"/>
      <c r="W702" s="1056"/>
      <c r="X702" s="1056"/>
      <c r="Y702" s="1056"/>
      <c r="Z702" s="1056"/>
      <c r="AA702" s="1056"/>
      <c r="AB702" s="1056"/>
      <c r="AC702" s="1056"/>
    </row>
    <row r="703" spans="1:29" x14ac:dyDescent="0.25">
      <c r="A703" s="1106"/>
      <c r="B703" s="1056"/>
      <c r="C703" s="1056"/>
      <c r="D703" s="1056"/>
      <c r="E703" s="1056"/>
      <c r="F703" s="1056"/>
      <c r="G703" s="1056"/>
      <c r="H703" s="1056"/>
      <c r="I703" s="1056"/>
      <c r="J703" s="1056"/>
      <c r="K703" s="1056"/>
      <c r="L703" s="1056"/>
      <c r="M703" s="1056"/>
      <c r="N703" s="1056"/>
      <c r="O703" s="1056"/>
      <c r="P703" s="1056"/>
      <c r="Q703" s="1056"/>
      <c r="R703" s="1056"/>
      <c r="S703" s="1056"/>
      <c r="T703" s="1056"/>
      <c r="U703" s="1056"/>
      <c r="V703" s="1056"/>
      <c r="W703" s="1056"/>
      <c r="X703" s="1056"/>
      <c r="Y703" s="1056"/>
      <c r="Z703" s="1056"/>
      <c r="AA703" s="1056"/>
      <c r="AB703" s="1056"/>
      <c r="AC703" s="1056"/>
    </row>
    <row r="704" spans="1:29" x14ac:dyDescent="0.25">
      <c r="A704" s="1106"/>
      <c r="B704" s="1056"/>
      <c r="C704" s="1056"/>
      <c r="D704" s="1056"/>
      <c r="E704" s="1056"/>
      <c r="F704" s="1056"/>
      <c r="G704" s="1056"/>
      <c r="H704" s="1056"/>
      <c r="I704" s="1056"/>
      <c r="J704" s="1056"/>
      <c r="K704" s="1056"/>
      <c r="L704" s="1056"/>
      <c r="M704" s="1056"/>
      <c r="N704" s="1056"/>
      <c r="O704" s="1056"/>
      <c r="P704" s="1056"/>
      <c r="Q704" s="1056"/>
      <c r="R704" s="1056"/>
      <c r="S704" s="1056"/>
      <c r="T704" s="1056"/>
      <c r="U704" s="1056"/>
      <c r="V704" s="1056"/>
      <c r="W704" s="1056"/>
      <c r="X704" s="1056"/>
      <c r="Y704" s="1056"/>
      <c r="Z704" s="1056"/>
      <c r="AA704" s="1056"/>
      <c r="AB704" s="1056"/>
      <c r="AC704" s="1056"/>
    </row>
    <row r="705" spans="1:29" x14ac:dyDescent="0.25">
      <c r="A705" s="1106"/>
      <c r="B705" s="1056"/>
      <c r="C705" s="1056"/>
      <c r="D705" s="1056"/>
      <c r="E705" s="1056"/>
      <c r="F705" s="1056"/>
      <c r="G705" s="1056"/>
      <c r="H705" s="1056"/>
      <c r="I705" s="1056"/>
      <c r="J705" s="1056"/>
      <c r="K705" s="1056"/>
      <c r="L705" s="1056"/>
      <c r="M705" s="1056"/>
      <c r="N705" s="1056"/>
      <c r="O705" s="1056"/>
      <c r="P705" s="1056"/>
      <c r="Q705" s="1056"/>
      <c r="R705" s="1056"/>
      <c r="S705" s="1056"/>
      <c r="T705" s="1056"/>
      <c r="U705" s="1056"/>
      <c r="V705" s="1056"/>
      <c r="W705" s="1056"/>
      <c r="X705" s="1056"/>
      <c r="Y705" s="1056"/>
      <c r="Z705" s="1056"/>
      <c r="AA705" s="1056"/>
      <c r="AB705" s="1056"/>
      <c r="AC705" s="1056"/>
    </row>
    <row r="706" spans="1:29" x14ac:dyDescent="0.25">
      <c r="A706" s="1106"/>
      <c r="B706" s="1056"/>
      <c r="C706" s="1056"/>
      <c r="D706" s="1056"/>
      <c r="E706" s="1056"/>
      <c r="F706" s="1056"/>
      <c r="G706" s="1056"/>
      <c r="H706" s="1056"/>
      <c r="I706" s="1056"/>
      <c r="J706" s="1056"/>
      <c r="K706" s="1056"/>
      <c r="L706" s="1056"/>
      <c r="M706" s="1056"/>
      <c r="N706" s="1056"/>
      <c r="O706" s="1056"/>
      <c r="P706" s="1056"/>
      <c r="Q706" s="1056"/>
      <c r="R706" s="1056"/>
      <c r="S706" s="1056"/>
      <c r="T706" s="1056"/>
      <c r="U706" s="1056"/>
      <c r="V706" s="1056"/>
      <c r="W706" s="1056"/>
      <c r="X706" s="1056"/>
      <c r="Y706" s="1056"/>
      <c r="Z706" s="1056"/>
      <c r="AA706" s="1056"/>
      <c r="AB706" s="1056"/>
      <c r="AC706" s="1056"/>
    </row>
    <row r="707" spans="1:29" x14ac:dyDescent="0.25">
      <c r="A707" s="1106"/>
      <c r="B707" s="1056"/>
      <c r="C707" s="1056"/>
      <c r="D707" s="1056"/>
      <c r="E707" s="1056"/>
      <c r="F707" s="1056"/>
      <c r="G707" s="1056"/>
      <c r="H707" s="1056"/>
      <c r="I707" s="1056"/>
      <c r="J707" s="1056"/>
      <c r="K707" s="1056"/>
      <c r="L707" s="1056"/>
      <c r="M707" s="1056"/>
      <c r="N707" s="1056"/>
      <c r="O707" s="1056"/>
      <c r="P707" s="1056"/>
      <c r="Q707" s="1056"/>
      <c r="R707" s="1056"/>
      <c r="S707" s="1056"/>
      <c r="T707" s="1056"/>
      <c r="U707" s="1056"/>
      <c r="V707" s="1056"/>
      <c r="W707" s="1056"/>
      <c r="X707" s="1056"/>
      <c r="Y707" s="1056"/>
      <c r="Z707" s="1056"/>
      <c r="AA707" s="1056"/>
      <c r="AB707" s="1056"/>
      <c r="AC707" s="1056"/>
    </row>
    <row r="708" spans="1:29" x14ac:dyDescent="0.25">
      <c r="A708" s="1106"/>
      <c r="B708" s="1056"/>
      <c r="C708" s="1056"/>
      <c r="D708" s="1056"/>
      <c r="E708" s="1056"/>
      <c r="F708" s="1056"/>
      <c r="G708" s="1056"/>
      <c r="H708" s="1056"/>
      <c r="I708" s="1056"/>
      <c r="J708" s="1056"/>
      <c r="K708" s="1056"/>
      <c r="L708" s="1056"/>
      <c r="M708" s="1056"/>
      <c r="N708" s="1056"/>
      <c r="O708" s="1056"/>
      <c r="P708" s="1056"/>
      <c r="Q708" s="1056"/>
      <c r="R708" s="1056"/>
      <c r="S708" s="1056"/>
      <c r="T708" s="1056"/>
      <c r="U708" s="1056"/>
      <c r="V708" s="1056"/>
      <c r="W708" s="1056"/>
      <c r="X708" s="1056"/>
      <c r="Y708" s="1056"/>
      <c r="Z708" s="1056"/>
      <c r="AA708" s="1056"/>
      <c r="AB708" s="1056"/>
      <c r="AC708" s="1056"/>
    </row>
    <row r="709" spans="1:29" x14ac:dyDescent="0.25">
      <c r="A709" s="1106"/>
      <c r="B709" s="1056"/>
      <c r="C709" s="1056"/>
      <c r="D709" s="1056"/>
      <c r="E709" s="1056"/>
      <c r="F709" s="1056"/>
      <c r="G709" s="1056"/>
      <c r="H709" s="1056"/>
      <c r="I709" s="1056"/>
      <c r="J709" s="1056"/>
      <c r="K709" s="1056"/>
      <c r="L709" s="1056"/>
      <c r="M709" s="1056"/>
      <c r="N709" s="1056"/>
      <c r="O709" s="1056"/>
      <c r="P709" s="1056"/>
      <c r="Q709" s="1056"/>
      <c r="R709" s="1056"/>
      <c r="S709" s="1056"/>
      <c r="T709" s="1056"/>
      <c r="U709" s="1056"/>
      <c r="V709" s="1056"/>
      <c r="W709" s="1056"/>
      <c r="X709" s="1056"/>
      <c r="Y709" s="1056"/>
      <c r="Z709" s="1056"/>
      <c r="AA709" s="1056"/>
      <c r="AB709" s="1056"/>
      <c r="AC709" s="1056"/>
    </row>
    <row r="710" spans="1:29" x14ac:dyDescent="0.25">
      <c r="A710" s="1106"/>
      <c r="B710" s="1056"/>
      <c r="C710" s="1056"/>
      <c r="D710" s="1056"/>
      <c r="E710" s="1056"/>
      <c r="F710" s="1056"/>
      <c r="G710" s="1056"/>
      <c r="H710" s="1056"/>
      <c r="I710" s="1056"/>
      <c r="J710" s="1056"/>
      <c r="K710" s="1056"/>
      <c r="L710" s="1056"/>
      <c r="M710" s="1056"/>
      <c r="N710" s="1056"/>
      <c r="O710" s="1056"/>
      <c r="P710" s="1056"/>
      <c r="Q710" s="1056"/>
      <c r="R710" s="1056"/>
      <c r="S710" s="1056"/>
      <c r="T710" s="1056"/>
      <c r="U710" s="1056"/>
      <c r="V710" s="1056"/>
      <c r="W710" s="1056"/>
      <c r="X710" s="1056"/>
      <c r="Y710" s="1056"/>
      <c r="Z710" s="1056"/>
      <c r="AA710" s="1056"/>
      <c r="AB710" s="1056"/>
      <c r="AC710" s="1056"/>
    </row>
    <row r="711" spans="1:29" x14ac:dyDescent="0.25">
      <c r="A711" s="1106"/>
      <c r="B711" s="1056"/>
      <c r="C711" s="1056"/>
      <c r="D711" s="1056"/>
      <c r="E711" s="1056"/>
      <c r="F711" s="1056"/>
      <c r="G711" s="1056"/>
      <c r="H711" s="1056"/>
      <c r="I711" s="1056"/>
      <c r="J711" s="1056"/>
      <c r="K711" s="1056"/>
      <c r="L711" s="1056"/>
      <c r="M711" s="1056"/>
      <c r="N711" s="1056"/>
      <c r="O711" s="1056"/>
      <c r="P711" s="1056"/>
      <c r="Q711" s="1056"/>
      <c r="R711" s="1056"/>
      <c r="S711" s="1056"/>
      <c r="T711" s="1056"/>
      <c r="U711" s="1056"/>
      <c r="V711" s="1056"/>
      <c r="W711" s="1056"/>
      <c r="X711" s="1056"/>
      <c r="Y711" s="1056"/>
      <c r="Z711" s="1056"/>
      <c r="AA711" s="1056"/>
      <c r="AB711" s="1056"/>
      <c r="AC711" s="1056"/>
    </row>
    <row r="712" spans="1:29" x14ac:dyDescent="0.25">
      <c r="A712" s="1106"/>
      <c r="B712" s="1056"/>
      <c r="C712" s="1056"/>
      <c r="D712" s="1056"/>
      <c r="E712" s="1056"/>
      <c r="F712" s="1056"/>
      <c r="G712" s="1056"/>
      <c r="H712" s="1056"/>
      <c r="I712" s="1056"/>
      <c r="J712" s="1056"/>
      <c r="K712" s="1056"/>
      <c r="L712" s="1056"/>
      <c r="M712" s="1056"/>
      <c r="N712" s="1056"/>
      <c r="O712" s="1056"/>
      <c r="P712" s="1056"/>
      <c r="Q712" s="1056"/>
      <c r="R712" s="1056"/>
      <c r="S712" s="1056"/>
      <c r="T712" s="1056"/>
      <c r="U712" s="1056"/>
      <c r="V712" s="1056"/>
      <c r="W712" s="1056"/>
      <c r="X712" s="1056"/>
      <c r="Y712" s="1056"/>
      <c r="Z712" s="1056"/>
      <c r="AA712" s="1056"/>
      <c r="AB712" s="1056"/>
      <c r="AC712" s="1056"/>
    </row>
    <row r="713" spans="1:29" x14ac:dyDescent="0.25">
      <c r="A713" s="1106"/>
      <c r="B713" s="1056"/>
      <c r="C713" s="1056"/>
      <c r="D713" s="1056"/>
      <c r="E713" s="1056"/>
      <c r="F713" s="1056"/>
      <c r="G713" s="1056"/>
      <c r="H713" s="1056"/>
      <c r="I713" s="1056"/>
      <c r="J713" s="1056"/>
      <c r="K713" s="1056"/>
      <c r="L713" s="1056"/>
      <c r="M713" s="1056"/>
      <c r="N713" s="1056"/>
      <c r="O713" s="1056"/>
      <c r="P713" s="1056"/>
      <c r="Q713" s="1056"/>
      <c r="R713" s="1056"/>
      <c r="S713" s="1056"/>
      <c r="T713" s="1056"/>
      <c r="U713" s="1056"/>
      <c r="V713" s="1056"/>
      <c r="W713" s="1056"/>
      <c r="X713" s="1056"/>
      <c r="Y713" s="1056"/>
      <c r="Z713" s="1056"/>
      <c r="AA713" s="1056"/>
      <c r="AB713" s="1056"/>
      <c r="AC713" s="1056"/>
    </row>
    <row r="714" spans="1:29" x14ac:dyDescent="0.25">
      <c r="A714" s="1106"/>
      <c r="B714" s="1056"/>
      <c r="C714" s="1056"/>
      <c r="D714" s="1056"/>
      <c r="E714" s="1056"/>
      <c r="F714" s="1056"/>
      <c r="G714" s="1056"/>
      <c r="H714" s="1056"/>
      <c r="I714" s="1056"/>
      <c r="J714" s="1056"/>
      <c r="K714" s="1056"/>
      <c r="L714" s="1056"/>
      <c r="M714" s="1056"/>
      <c r="N714" s="1056"/>
      <c r="O714" s="1056"/>
      <c r="P714" s="1056"/>
      <c r="Q714" s="1056"/>
      <c r="R714" s="1056"/>
      <c r="S714" s="1056"/>
      <c r="T714" s="1056"/>
      <c r="U714" s="1056"/>
      <c r="V714" s="1056"/>
      <c r="W714" s="1056"/>
      <c r="X714" s="1056"/>
      <c r="Y714" s="1056"/>
      <c r="Z714" s="1056"/>
      <c r="AA714" s="1056"/>
      <c r="AB714" s="1056"/>
      <c r="AC714" s="1056"/>
    </row>
    <row r="715" spans="1:29" x14ac:dyDescent="0.25">
      <c r="A715" s="1106"/>
      <c r="B715" s="1056"/>
      <c r="C715" s="1056"/>
      <c r="D715" s="1056"/>
      <c r="E715" s="1056"/>
      <c r="F715" s="1056"/>
      <c r="G715" s="1056"/>
      <c r="H715" s="1056"/>
      <c r="I715" s="1056"/>
      <c r="J715" s="1056"/>
      <c r="K715" s="1056"/>
      <c r="L715" s="1056"/>
      <c r="M715" s="1056"/>
      <c r="N715" s="1056"/>
      <c r="O715" s="1056"/>
      <c r="P715" s="1056"/>
      <c r="Q715" s="1056"/>
      <c r="R715" s="1056"/>
      <c r="S715" s="1056"/>
      <c r="T715" s="1056"/>
      <c r="U715" s="1056"/>
      <c r="V715" s="1056"/>
      <c r="W715" s="1056"/>
      <c r="X715" s="1056"/>
      <c r="Y715" s="1056"/>
      <c r="Z715" s="1056"/>
      <c r="AA715" s="1056"/>
      <c r="AB715" s="1056"/>
      <c r="AC715" s="1056"/>
    </row>
    <row r="716" spans="1:29" x14ac:dyDescent="0.25">
      <c r="A716" s="1106"/>
      <c r="B716" s="1056"/>
      <c r="C716" s="1056"/>
      <c r="D716" s="1056"/>
      <c r="E716" s="1056"/>
      <c r="F716" s="1056"/>
      <c r="G716" s="1056"/>
      <c r="H716" s="1056"/>
      <c r="I716" s="1056"/>
      <c r="J716" s="1056"/>
      <c r="K716" s="1056"/>
      <c r="L716" s="1056"/>
      <c r="M716" s="1056"/>
      <c r="N716" s="1056"/>
      <c r="O716" s="1056"/>
      <c r="P716" s="1056"/>
      <c r="Q716" s="1056"/>
      <c r="R716" s="1056"/>
      <c r="S716" s="1056"/>
      <c r="T716" s="1056"/>
      <c r="U716" s="1056"/>
      <c r="V716" s="1056"/>
      <c r="W716" s="1056"/>
      <c r="X716" s="1056"/>
      <c r="Y716" s="1056"/>
      <c r="Z716" s="1056"/>
      <c r="AA716" s="1056"/>
      <c r="AB716" s="1056"/>
      <c r="AC716" s="1056"/>
    </row>
    <row r="717" spans="1:29" x14ac:dyDescent="0.25">
      <c r="A717" s="1106"/>
      <c r="B717" s="1056"/>
      <c r="C717" s="1056"/>
      <c r="D717" s="1056"/>
      <c r="E717" s="1056"/>
      <c r="F717" s="1056"/>
      <c r="G717" s="1056"/>
      <c r="H717" s="1056"/>
      <c r="I717" s="1056"/>
      <c r="J717" s="1056"/>
      <c r="K717" s="1056"/>
      <c r="L717" s="1056"/>
      <c r="M717" s="1056"/>
      <c r="N717" s="1056"/>
      <c r="O717" s="1056"/>
      <c r="P717" s="1056"/>
      <c r="Q717" s="1056"/>
      <c r="R717" s="1056"/>
      <c r="S717" s="1056"/>
      <c r="T717" s="1056"/>
      <c r="U717" s="1056"/>
      <c r="V717" s="1056"/>
      <c r="W717" s="1056"/>
      <c r="X717" s="1056"/>
      <c r="Y717" s="1056"/>
      <c r="Z717" s="1056"/>
      <c r="AA717" s="1056"/>
      <c r="AB717" s="1056"/>
      <c r="AC717" s="1056"/>
    </row>
    <row r="718" spans="1:29" x14ac:dyDescent="0.25">
      <c r="A718" s="1106"/>
      <c r="B718" s="1056"/>
      <c r="C718" s="1056"/>
      <c r="D718" s="1056"/>
      <c r="E718" s="1056"/>
      <c r="F718" s="1056"/>
      <c r="G718" s="1056"/>
      <c r="H718" s="1056"/>
      <c r="I718" s="1056"/>
      <c r="J718" s="1056"/>
      <c r="K718" s="1056"/>
      <c r="L718" s="1056"/>
      <c r="M718" s="1056"/>
      <c r="N718" s="1056"/>
      <c r="O718" s="1056"/>
      <c r="P718" s="1056"/>
      <c r="Q718" s="1056"/>
      <c r="R718" s="1056"/>
      <c r="S718" s="1056"/>
      <c r="T718" s="1056"/>
      <c r="U718" s="1056"/>
      <c r="V718" s="1056"/>
      <c r="W718" s="1056"/>
      <c r="X718" s="1056"/>
      <c r="Y718" s="1056"/>
      <c r="Z718" s="1056"/>
      <c r="AA718" s="1056"/>
      <c r="AB718" s="1056"/>
      <c r="AC718" s="1056"/>
    </row>
    <row r="719" spans="1:29" x14ac:dyDescent="0.25">
      <c r="A719" s="1106"/>
      <c r="B719" s="1056"/>
      <c r="C719" s="1056"/>
      <c r="D719" s="1056"/>
      <c r="E719" s="1056"/>
      <c r="F719" s="1056"/>
      <c r="G719" s="1056"/>
      <c r="H719" s="1056"/>
      <c r="I719" s="1056"/>
      <c r="J719" s="1056"/>
      <c r="K719" s="1056"/>
      <c r="L719" s="1056"/>
      <c r="M719" s="1056"/>
      <c r="N719" s="1056"/>
      <c r="O719" s="1056"/>
      <c r="P719" s="1056"/>
      <c r="Q719" s="1056"/>
      <c r="R719" s="1056"/>
      <c r="S719" s="1056"/>
      <c r="T719" s="1056"/>
      <c r="U719" s="1056"/>
      <c r="V719" s="1056"/>
      <c r="W719" s="1056"/>
      <c r="X719" s="1056"/>
      <c r="Y719" s="1056"/>
      <c r="Z719" s="1056"/>
      <c r="AA719" s="1056"/>
      <c r="AB719" s="1056"/>
      <c r="AC719" s="1056"/>
    </row>
    <row r="720" spans="1:29" x14ac:dyDescent="0.25">
      <c r="A720" s="1106"/>
      <c r="B720" s="1056"/>
      <c r="C720" s="1056"/>
      <c r="D720" s="1056"/>
      <c r="E720" s="1056"/>
      <c r="F720" s="1056"/>
      <c r="G720" s="1056"/>
      <c r="H720" s="1056"/>
      <c r="I720" s="1056"/>
      <c r="J720" s="1056"/>
      <c r="K720" s="1056"/>
      <c r="L720" s="1056"/>
      <c r="M720" s="1056"/>
      <c r="N720" s="1056"/>
      <c r="O720" s="1056"/>
      <c r="P720" s="1056"/>
      <c r="Q720" s="1056"/>
      <c r="R720" s="1056"/>
      <c r="S720" s="1056"/>
      <c r="T720" s="1056"/>
      <c r="U720" s="1056"/>
      <c r="V720" s="1056"/>
      <c r="W720" s="1056"/>
      <c r="X720" s="1056"/>
      <c r="Y720" s="1056"/>
      <c r="Z720" s="1056"/>
      <c r="AA720" s="1056"/>
      <c r="AB720" s="1056"/>
      <c r="AC720" s="1056"/>
    </row>
    <row r="721" spans="1:29" x14ac:dyDescent="0.25">
      <c r="A721" s="1106"/>
      <c r="B721" s="1056"/>
      <c r="C721" s="1056"/>
      <c r="D721" s="1056"/>
      <c r="E721" s="1056"/>
      <c r="F721" s="1056"/>
      <c r="G721" s="1056"/>
      <c r="H721" s="1056"/>
      <c r="I721" s="1056"/>
      <c r="J721" s="1056"/>
      <c r="K721" s="1056"/>
      <c r="L721" s="1056"/>
      <c r="M721" s="1056"/>
      <c r="N721" s="1056"/>
      <c r="O721" s="1056"/>
      <c r="P721" s="1056"/>
      <c r="Q721" s="1056"/>
      <c r="R721" s="1056"/>
      <c r="S721" s="1056"/>
      <c r="T721" s="1056"/>
      <c r="U721" s="1056"/>
      <c r="V721" s="1056"/>
      <c r="W721" s="1056"/>
      <c r="X721" s="1056"/>
      <c r="Y721" s="1056"/>
      <c r="Z721" s="1056"/>
      <c r="AA721" s="1056"/>
      <c r="AB721" s="1056"/>
      <c r="AC721" s="1056"/>
    </row>
    <row r="722" spans="1:29" x14ac:dyDescent="0.25">
      <c r="A722" s="1106"/>
      <c r="B722" s="1056"/>
      <c r="C722" s="1056"/>
      <c r="D722" s="1056"/>
      <c r="E722" s="1056"/>
      <c r="F722" s="1056"/>
      <c r="G722" s="1056"/>
      <c r="H722" s="1056"/>
      <c r="I722" s="1056"/>
      <c r="J722" s="1056"/>
      <c r="K722" s="1056"/>
      <c r="L722" s="1056"/>
      <c r="M722" s="1056"/>
      <c r="N722" s="1056"/>
      <c r="O722" s="1056"/>
      <c r="P722" s="1056"/>
      <c r="Q722" s="1056"/>
      <c r="R722" s="1056"/>
      <c r="S722" s="1056"/>
      <c r="T722" s="1056"/>
      <c r="U722" s="1056"/>
      <c r="V722" s="1056"/>
      <c r="W722" s="1056"/>
      <c r="X722" s="1056"/>
      <c r="Y722" s="1056"/>
      <c r="Z722" s="1056"/>
      <c r="AA722" s="1056"/>
      <c r="AB722" s="1056"/>
      <c r="AC722" s="1056"/>
    </row>
    <row r="723" spans="1:29" x14ac:dyDescent="0.25">
      <c r="A723" s="1106"/>
      <c r="B723" s="1056"/>
      <c r="C723" s="1056"/>
      <c r="D723" s="1056"/>
      <c r="E723" s="1056"/>
      <c r="F723" s="1056"/>
      <c r="G723" s="1056"/>
      <c r="H723" s="1056"/>
      <c r="I723" s="1056"/>
      <c r="J723" s="1056"/>
      <c r="K723" s="1056"/>
      <c r="L723" s="1056"/>
      <c r="M723" s="1056"/>
      <c r="N723" s="1056"/>
      <c r="O723" s="1056"/>
      <c r="P723" s="1056"/>
      <c r="Q723" s="1056"/>
      <c r="R723" s="1056"/>
      <c r="S723" s="1056"/>
      <c r="T723" s="1056"/>
      <c r="U723" s="1056"/>
      <c r="V723" s="1056"/>
      <c r="W723" s="1056"/>
      <c r="X723" s="1056"/>
      <c r="Y723" s="1056"/>
      <c r="Z723" s="1056"/>
      <c r="AA723" s="1056"/>
      <c r="AB723" s="1056"/>
      <c r="AC723" s="1056"/>
    </row>
    <row r="724" spans="1:29" x14ac:dyDescent="0.25">
      <c r="A724" s="1106"/>
      <c r="B724" s="1056"/>
      <c r="C724" s="1056"/>
      <c r="D724" s="1056"/>
      <c r="E724" s="1056"/>
      <c r="F724" s="1056"/>
      <c r="G724" s="1056"/>
      <c r="H724" s="1056"/>
      <c r="I724" s="1056"/>
      <c r="J724" s="1056"/>
      <c r="K724" s="1056"/>
      <c r="L724" s="1056"/>
      <c r="M724" s="1056"/>
      <c r="N724" s="1056"/>
      <c r="O724" s="1056"/>
      <c r="P724" s="1056"/>
      <c r="Q724" s="1056"/>
      <c r="R724" s="1056"/>
      <c r="S724" s="1056"/>
      <c r="T724" s="1056"/>
      <c r="U724" s="1056"/>
      <c r="V724" s="1056"/>
      <c r="W724" s="1056"/>
      <c r="X724" s="1056"/>
      <c r="Y724" s="1056"/>
      <c r="Z724" s="1056"/>
      <c r="AA724" s="1056"/>
      <c r="AB724" s="1056"/>
      <c r="AC724" s="1056"/>
    </row>
    <row r="725" spans="1:29" x14ac:dyDescent="0.25">
      <c r="A725" s="1106"/>
      <c r="B725" s="1056"/>
      <c r="C725" s="1056"/>
      <c r="D725" s="1056"/>
      <c r="E725" s="1056"/>
      <c r="F725" s="1056"/>
      <c r="G725" s="1056"/>
      <c r="H725" s="1056"/>
      <c r="I725" s="1056"/>
      <c r="J725" s="1056"/>
      <c r="K725" s="1056"/>
      <c r="L725" s="1056"/>
      <c r="M725" s="1056"/>
      <c r="N725" s="1056"/>
      <c r="O725" s="1056"/>
      <c r="P725" s="1056"/>
      <c r="Q725" s="1056"/>
      <c r="R725" s="1056"/>
      <c r="S725" s="1056"/>
      <c r="T725" s="1056"/>
      <c r="U725" s="1056"/>
      <c r="V725" s="1056"/>
      <c r="W725" s="1056"/>
      <c r="X725" s="1056"/>
      <c r="Y725" s="1056"/>
      <c r="Z725" s="1056"/>
      <c r="AA725" s="1056"/>
      <c r="AB725" s="1056"/>
      <c r="AC725" s="1056"/>
    </row>
    <row r="726" spans="1:29" x14ac:dyDescent="0.25">
      <c r="A726" s="1106"/>
      <c r="B726" s="1056"/>
      <c r="C726" s="1056"/>
      <c r="D726" s="1056"/>
      <c r="E726" s="1056"/>
      <c r="F726" s="1056"/>
      <c r="G726" s="1056"/>
      <c r="H726" s="1056"/>
      <c r="I726" s="1056"/>
      <c r="J726" s="1056"/>
      <c r="K726" s="1056"/>
      <c r="L726" s="1056"/>
      <c r="M726" s="1056"/>
      <c r="N726" s="1056"/>
      <c r="O726" s="1056"/>
      <c r="P726" s="1056"/>
      <c r="Q726" s="1056"/>
      <c r="R726" s="1056"/>
      <c r="S726" s="1056"/>
      <c r="T726" s="1056"/>
      <c r="U726" s="1056"/>
      <c r="V726" s="1056"/>
      <c r="W726" s="1056"/>
      <c r="X726" s="1056"/>
      <c r="Y726" s="1056"/>
      <c r="Z726" s="1056"/>
      <c r="AA726" s="1056"/>
      <c r="AB726" s="1056"/>
      <c r="AC726" s="1056"/>
    </row>
    <row r="727" spans="1:29" x14ac:dyDescent="0.25">
      <c r="A727" s="1106"/>
      <c r="B727" s="1056"/>
      <c r="C727" s="1056"/>
      <c r="D727" s="1056"/>
      <c r="E727" s="1056"/>
      <c r="F727" s="1056"/>
      <c r="G727" s="1056"/>
      <c r="H727" s="1056"/>
      <c r="I727" s="1056"/>
      <c r="J727" s="1056"/>
      <c r="K727" s="1056"/>
      <c r="L727" s="1056"/>
      <c r="M727" s="1056"/>
      <c r="N727" s="1056"/>
      <c r="O727" s="1056"/>
      <c r="P727" s="1056"/>
      <c r="Q727" s="1056"/>
      <c r="R727" s="1056"/>
      <c r="S727" s="1056"/>
      <c r="T727" s="1056"/>
      <c r="U727" s="1056"/>
      <c r="V727" s="1056"/>
      <c r="W727" s="1056"/>
      <c r="X727" s="1056"/>
      <c r="Y727" s="1056"/>
      <c r="Z727" s="1056"/>
      <c r="AA727" s="1056"/>
      <c r="AB727" s="1056"/>
      <c r="AC727" s="1056"/>
    </row>
    <row r="728" spans="1:29" x14ac:dyDescent="0.25">
      <c r="A728" s="1106"/>
      <c r="B728" s="1056"/>
      <c r="C728" s="1056"/>
      <c r="D728" s="1056"/>
      <c r="E728" s="1056"/>
      <c r="F728" s="1056"/>
      <c r="G728" s="1056"/>
      <c r="H728" s="1056"/>
      <c r="I728" s="1056"/>
      <c r="J728" s="1056"/>
      <c r="K728" s="1056"/>
      <c r="L728" s="1056"/>
      <c r="M728" s="1056"/>
      <c r="N728" s="1056"/>
      <c r="O728" s="1056"/>
      <c r="P728" s="1056"/>
      <c r="Q728" s="1056"/>
      <c r="R728" s="1056"/>
      <c r="S728" s="1056"/>
      <c r="T728" s="1056"/>
      <c r="U728" s="1056"/>
      <c r="V728" s="1056"/>
      <c r="W728" s="1056"/>
      <c r="X728" s="1056"/>
      <c r="Y728" s="1056"/>
      <c r="Z728" s="1056"/>
      <c r="AA728" s="1056"/>
      <c r="AB728" s="1056"/>
      <c r="AC728" s="1056"/>
    </row>
    <row r="729" spans="1:29" x14ac:dyDescent="0.25">
      <c r="A729" s="1106"/>
      <c r="B729" s="1056"/>
      <c r="C729" s="1056"/>
      <c r="D729" s="1056"/>
      <c r="E729" s="1056"/>
      <c r="F729" s="1056"/>
      <c r="G729" s="1056"/>
      <c r="H729" s="1056"/>
      <c r="I729" s="1056"/>
      <c r="J729" s="1056"/>
      <c r="K729" s="1056"/>
      <c r="L729" s="1056"/>
      <c r="M729" s="1056"/>
      <c r="N729" s="1056"/>
      <c r="O729" s="1056"/>
      <c r="P729" s="1056"/>
      <c r="Q729" s="1056"/>
      <c r="R729" s="1056"/>
      <c r="S729" s="1056"/>
      <c r="T729" s="1056"/>
      <c r="U729" s="1056"/>
      <c r="V729" s="1056"/>
      <c r="W729" s="1056"/>
      <c r="X729" s="1056"/>
      <c r="Y729" s="1056"/>
      <c r="Z729" s="1056"/>
      <c r="AA729" s="1056"/>
      <c r="AB729" s="1056"/>
      <c r="AC729" s="1056"/>
    </row>
    <row r="730" spans="1:29" x14ac:dyDescent="0.25">
      <c r="A730" s="1106"/>
      <c r="B730" s="1056"/>
      <c r="C730" s="1056"/>
      <c r="D730" s="1056"/>
      <c r="E730" s="1056"/>
      <c r="F730" s="1056"/>
      <c r="G730" s="1056"/>
      <c r="H730" s="1056"/>
      <c r="I730" s="1056"/>
      <c r="J730" s="1056"/>
      <c r="K730" s="1056"/>
      <c r="L730" s="1056"/>
      <c r="M730" s="1056"/>
      <c r="N730" s="1056"/>
      <c r="O730" s="1056"/>
      <c r="P730" s="1056"/>
      <c r="Q730" s="1056"/>
      <c r="R730" s="1056"/>
      <c r="S730" s="1056"/>
      <c r="T730" s="1056"/>
      <c r="U730" s="1056"/>
      <c r="V730" s="1056"/>
      <c r="W730" s="1056"/>
      <c r="X730" s="1056"/>
      <c r="Y730" s="1056"/>
      <c r="Z730" s="1056"/>
      <c r="AA730" s="1056"/>
      <c r="AB730" s="1056"/>
      <c r="AC730" s="1056"/>
    </row>
    <row r="731" spans="1:29" x14ac:dyDescent="0.25">
      <c r="A731" s="1106"/>
      <c r="B731" s="1056"/>
      <c r="C731" s="1056"/>
      <c r="D731" s="1056"/>
      <c r="E731" s="1056"/>
      <c r="F731" s="1056"/>
      <c r="G731" s="1056"/>
      <c r="H731" s="1056"/>
      <c r="I731" s="1056"/>
      <c r="J731" s="1056"/>
      <c r="K731" s="1056"/>
      <c r="L731" s="1056"/>
      <c r="M731" s="1056"/>
      <c r="N731" s="1056"/>
      <c r="O731" s="1056"/>
      <c r="P731" s="1056"/>
      <c r="Q731" s="1056"/>
      <c r="R731" s="1056"/>
      <c r="S731" s="1056"/>
      <c r="T731" s="1056"/>
      <c r="U731" s="1056"/>
      <c r="V731" s="1056"/>
      <c r="W731" s="1056"/>
      <c r="X731" s="1056"/>
      <c r="Y731" s="1056"/>
      <c r="Z731" s="1056"/>
      <c r="AA731" s="1056"/>
      <c r="AB731" s="1056"/>
      <c r="AC731" s="1056"/>
    </row>
    <row r="732" spans="1:29" x14ac:dyDescent="0.25">
      <c r="A732" s="1106"/>
      <c r="B732" s="1056"/>
      <c r="C732" s="1056"/>
      <c r="D732" s="1056"/>
      <c r="E732" s="1056"/>
      <c r="F732" s="1056"/>
      <c r="G732" s="1056"/>
      <c r="H732" s="1056"/>
      <c r="I732" s="1056"/>
      <c r="J732" s="1056"/>
      <c r="K732" s="1056"/>
      <c r="L732" s="1056"/>
      <c r="M732" s="1056"/>
      <c r="N732" s="1056"/>
      <c r="O732" s="1056"/>
      <c r="P732" s="1056"/>
      <c r="Q732" s="1056"/>
      <c r="R732" s="1056"/>
      <c r="S732" s="1056"/>
      <c r="T732" s="1056"/>
      <c r="U732" s="1056"/>
      <c r="V732" s="1056"/>
      <c r="W732" s="1056"/>
      <c r="X732" s="1056"/>
      <c r="Y732" s="1056"/>
      <c r="Z732" s="1056"/>
      <c r="AA732" s="1056"/>
      <c r="AB732" s="1056"/>
      <c r="AC732" s="1056"/>
    </row>
    <row r="733" spans="1:29" x14ac:dyDescent="0.25">
      <c r="A733" s="1106"/>
      <c r="B733" s="1056"/>
      <c r="C733" s="1056"/>
      <c r="D733" s="1056"/>
      <c r="E733" s="1056"/>
      <c r="F733" s="1056"/>
      <c r="G733" s="1056"/>
      <c r="H733" s="1056"/>
      <c r="I733" s="1056"/>
      <c r="J733" s="1056"/>
      <c r="K733" s="1056"/>
      <c r="L733" s="1056"/>
      <c r="M733" s="1056"/>
      <c r="N733" s="1056"/>
      <c r="O733" s="1056"/>
      <c r="P733" s="1056"/>
      <c r="Q733" s="1056"/>
      <c r="R733" s="1056"/>
      <c r="S733" s="1056"/>
      <c r="T733" s="1056"/>
      <c r="U733" s="1056"/>
      <c r="V733" s="1056"/>
      <c r="W733" s="1056"/>
      <c r="X733" s="1056"/>
      <c r="Y733" s="1056"/>
      <c r="Z733" s="1056"/>
      <c r="AA733" s="1056"/>
      <c r="AB733" s="1056"/>
      <c r="AC733" s="1056"/>
    </row>
    <row r="734" spans="1:29" x14ac:dyDescent="0.25">
      <c r="A734" s="1106"/>
      <c r="B734" s="1056"/>
      <c r="C734" s="1056"/>
      <c r="D734" s="1056"/>
      <c r="E734" s="1056"/>
      <c r="F734" s="1056"/>
      <c r="G734" s="1056"/>
      <c r="H734" s="1056"/>
      <c r="I734" s="1056"/>
      <c r="J734" s="1056"/>
      <c r="K734" s="1056"/>
      <c r="L734" s="1056"/>
      <c r="M734" s="1056"/>
      <c r="N734" s="1056"/>
      <c r="O734" s="1056"/>
      <c r="P734" s="1056"/>
      <c r="Q734" s="1056"/>
      <c r="R734" s="1056"/>
      <c r="S734" s="1056"/>
      <c r="T734" s="1056"/>
      <c r="U734" s="1056"/>
      <c r="V734" s="1056"/>
      <c r="W734" s="1056"/>
      <c r="X734" s="1056"/>
      <c r="Y734" s="1056"/>
      <c r="Z734" s="1056"/>
      <c r="AA734" s="1056"/>
      <c r="AB734" s="1056"/>
      <c r="AC734" s="1056"/>
    </row>
    <row r="735" spans="1:29" x14ac:dyDescent="0.25">
      <c r="A735" s="1106"/>
      <c r="B735" s="1056"/>
      <c r="C735" s="1056"/>
      <c r="D735" s="1056"/>
      <c r="E735" s="1056"/>
      <c r="F735" s="1056"/>
      <c r="G735" s="1056"/>
      <c r="H735" s="1056"/>
      <c r="I735" s="1056"/>
      <c r="J735" s="1056"/>
      <c r="K735" s="1056"/>
      <c r="L735" s="1056"/>
      <c r="M735" s="1056"/>
      <c r="N735" s="1056"/>
      <c r="O735" s="1056"/>
      <c r="P735" s="1056"/>
      <c r="Q735" s="1056"/>
      <c r="R735" s="1056"/>
      <c r="S735" s="1056"/>
      <c r="T735" s="1056"/>
      <c r="U735" s="1056"/>
      <c r="V735" s="1056"/>
      <c r="W735" s="1056"/>
      <c r="X735" s="1056"/>
      <c r="Y735" s="1056"/>
      <c r="Z735" s="1056"/>
      <c r="AA735" s="1056"/>
      <c r="AB735" s="1056"/>
      <c r="AC735" s="1056"/>
    </row>
    <row r="736" spans="1:29" x14ac:dyDescent="0.25">
      <c r="A736" s="1106"/>
      <c r="B736" s="1056"/>
      <c r="C736" s="1056"/>
      <c r="D736" s="1056"/>
      <c r="E736" s="1056"/>
      <c r="F736" s="1056"/>
      <c r="G736" s="1056"/>
      <c r="H736" s="1056"/>
      <c r="I736" s="1056"/>
      <c r="J736" s="1056"/>
      <c r="K736" s="1056"/>
      <c r="L736" s="1056"/>
      <c r="M736" s="1056"/>
      <c r="N736" s="1056"/>
      <c r="O736" s="1056"/>
      <c r="P736" s="1056"/>
      <c r="Q736" s="1056"/>
      <c r="R736" s="1056"/>
      <c r="S736" s="1056"/>
      <c r="T736" s="1056"/>
      <c r="U736" s="1056"/>
      <c r="V736" s="1056"/>
      <c r="W736" s="1056"/>
      <c r="X736" s="1056"/>
      <c r="Y736" s="1056"/>
      <c r="Z736" s="1056"/>
      <c r="AA736" s="1056"/>
      <c r="AB736" s="1056"/>
      <c r="AC736" s="1056"/>
    </row>
    <row r="737" spans="1:29" x14ac:dyDescent="0.25">
      <c r="A737" s="1106"/>
      <c r="B737" s="1056"/>
      <c r="C737" s="1056"/>
      <c r="D737" s="1056"/>
      <c r="E737" s="1056"/>
      <c r="F737" s="1056"/>
      <c r="G737" s="1056"/>
      <c r="H737" s="1056"/>
      <c r="I737" s="1056"/>
      <c r="J737" s="1056"/>
      <c r="K737" s="1056"/>
      <c r="L737" s="1056"/>
      <c r="M737" s="1056"/>
      <c r="N737" s="1056"/>
      <c r="O737" s="1056"/>
      <c r="P737" s="1056"/>
      <c r="Q737" s="1056"/>
      <c r="R737" s="1056"/>
      <c r="S737" s="1056"/>
      <c r="T737" s="1056"/>
      <c r="U737" s="1056"/>
      <c r="V737" s="1056"/>
      <c r="W737" s="1056"/>
      <c r="X737" s="1056"/>
      <c r="Y737" s="1056"/>
      <c r="Z737" s="1056"/>
      <c r="AA737" s="1056"/>
      <c r="AB737" s="1056"/>
      <c r="AC737" s="1056"/>
    </row>
    <row r="738" spans="1:29" x14ac:dyDescent="0.25">
      <c r="A738" s="1106"/>
      <c r="B738" s="1056"/>
      <c r="C738" s="1056"/>
      <c r="D738" s="1056"/>
      <c r="E738" s="1056"/>
      <c r="F738" s="1056"/>
      <c r="G738" s="1056"/>
      <c r="H738" s="1056"/>
      <c r="I738" s="1056"/>
      <c r="J738" s="1056"/>
      <c r="K738" s="1056"/>
      <c r="L738" s="1056"/>
      <c r="M738" s="1056"/>
      <c r="N738" s="1056"/>
      <c r="O738" s="1056"/>
      <c r="P738" s="1056"/>
      <c r="Q738" s="1056"/>
      <c r="R738" s="1056"/>
      <c r="S738" s="1056"/>
      <c r="T738" s="1056"/>
      <c r="U738" s="1056"/>
      <c r="V738" s="1056"/>
      <c r="W738" s="1056"/>
      <c r="X738" s="1056"/>
      <c r="Y738" s="1056"/>
      <c r="Z738" s="1056"/>
      <c r="AA738" s="1056"/>
      <c r="AB738" s="1056"/>
      <c r="AC738" s="1056"/>
    </row>
    <row r="739" spans="1:29" x14ac:dyDescent="0.25">
      <c r="A739" s="1106"/>
      <c r="B739" s="1056"/>
      <c r="C739" s="1056"/>
      <c r="D739" s="1056"/>
      <c r="E739" s="1056"/>
      <c r="F739" s="1056"/>
      <c r="G739" s="1056"/>
      <c r="H739" s="1056"/>
      <c r="I739" s="1056"/>
      <c r="J739" s="1056"/>
      <c r="K739" s="1056"/>
      <c r="L739" s="1056"/>
      <c r="M739" s="1056"/>
      <c r="N739" s="1056"/>
      <c r="O739" s="1056"/>
      <c r="P739" s="1056"/>
      <c r="Q739" s="1056"/>
      <c r="R739" s="1056"/>
      <c r="S739" s="1056"/>
      <c r="T739" s="1056"/>
      <c r="U739" s="1056"/>
      <c r="V739" s="1056"/>
      <c r="W739" s="1056"/>
      <c r="X739" s="1056"/>
      <c r="Y739" s="1056"/>
      <c r="Z739" s="1056"/>
      <c r="AA739" s="1056"/>
      <c r="AB739" s="1056"/>
      <c r="AC739" s="1056"/>
    </row>
    <row r="740" spans="1:29" x14ac:dyDescent="0.25">
      <c r="A740" s="1106"/>
      <c r="B740" s="1056"/>
      <c r="C740" s="1056"/>
      <c r="D740" s="1056"/>
      <c r="E740" s="1056"/>
      <c r="F740" s="1056"/>
      <c r="G740" s="1056"/>
      <c r="H740" s="1056"/>
      <c r="I740" s="1056"/>
      <c r="J740" s="1056"/>
      <c r="K740" s="1056"/>
      <c r="L740" s="1056"/>
      <c r="M740" s="1056"/>
      <c r="N740" s="1056"/>
      <c r="O740" s="1056"/>
      <c r="P740" s="1056"/>
      <c r="Q740" s="1056"/>
      <c r="R740" s="1056"/>
      <c r="S740" s="1056"/>
      <c r="T740" s="1056"/>
      <c r="U740" s="1056"/>
      <c r="V740" s="1056"/>
      <c r="W740" s="1056"/>
      <c r="X740" s="1056"/>
      <c r="Y740" s="1056"/>
      <c r="Z740" s="1056"/>
      <c r="AA740" s="1056"/>
      <c r="AB740" s="1056"/>
      <c r="AC740" s="1056"/>
    </row>
    <row r="741" spans="1:29" x14ac:dyDescent="0.25">
      <c r="A741" s="1106"/>
      <c r="B741" s="1056"/>
      <c r="C741" s="1056"/>
      <c r="D741" s="1056"/>
      <c r="E741" s="1056"/>
      <c r="F741" s="1056"/>
      <c r="G741" s="1056"/>
      <c r="H741" s="1056"/>
      <c r="I741" s="1056"/>
      <c r="J741" s="1056"/>
      <c r="K741" s="1056"/>
      <c r="L741" s="1056"/>
      <c r="M741" s="1056"/>
      <c r="N741" s="1056"/>
      <c r="O741" s="1056"/>
      <c r="P741" s="1056"/>
      <c r="Q741" s="1056"/>
      <c r="R741" s="1056"/>
      <c r="S741" s="1056"/>
      <c r="T741" s="1056"/>
      <c r="U741" s="1056"/>
      <c r="V741" s="1056"/>
      <c r="W741" s="1056"/>
      <c r="X741" s="1056"/>
      <c r="Y741" s="1056"/>
      <c r="Z741" s="1056"/>
      <c r="AA741" s="1056"/>
      <c r="AB741" s="1056"/>
      <c r="AC741" s="1056"/>
    </row>
    <row r="742" spans="1:29" x14ac:dyDescent="0.25">
      <c r="A742" s="1106"/>
      <c r="B742" s="1056"/>
      <c r="C742" s="1056"/>
      <c r="D742" s="1056"/>
      <c r="E742" s="1056"/>
      <c r="F742" s="1056"/>
      <c r="G742" s="1056"/>
      <c r="H742" s="1056"/>
      <c r="I742" s="1056"/>
      <c r="J742" s="1056"/>
      <c r="K742" s="1056"/>
      <c r="L742" s="1056"/>
      <c r="M742" s="1056"/>
      <c r="N742" s="1056"/>
      <c r="O742" s="1056"/>
      <c r="P742" s="1056"/>
      <c r="Q742" s="1056"/>
      <c r="R742" s="1056"/>
      <c r="S742" s="1056"/>
      <c r="T742" s="1056"/>
      <c r="U742" s="1056"/>
      <c r="V742" s="1056"/>
      <c r="W742" s="1056"/>
      <c r="X742" s="1056"/>
      <c r="Y742" s="1056"/>
      <c r="Z742" s="1056"/>
      <c r="AA742" s="1056"/>
      <c r="AB742" s="1056"/>
      <c r="AC742" s="1056"/>
    </row>
    <row r="743" spans="1:29" x14ac:dyDescent="0.25">
      <c r="A743" s="1106"/>
      <c r="B743" s="1056"/>
      <c r="C743" s="1056"/>
      <c r="D743" s="1056"/>
      <c r="E743" s="1056"/>
      <c r="F743" s="1056"/>
      <c r="G743" s="1056"/>
      <c r="H743" s="1056"/>
      <c r="I743" s="1056"/>
      <c r="J743" s="1056"/>
      <c r="K743" s="1056"/>
      <c r="L743" s="1056"/>
      <c r="M743" s="1056"/>
      <c r="N743" s="1056"/>
      <c r="O743" s="1056"/>
      <c r="P743" s="1056"/>
      <c r="Q743" s="1056"/>
      <c r="R743" s="1056"/>
      <c r="S743" s="1056"/>
      <c r="T743" s="1056"/>
      <c r="U743" s="1056"/>
      <c r="V743" s="1056"/>
      <c r="W743" s="1056"/>
      <c r="X743" s="1056"/>
      <c r="Y743" s="1056"/>
      <c r="Z743" s="1056"/>
      <c r="AA743" s="1056"/>
      <c r="AB743" s="1056"/>
      <c r="AC743" s="1056"/>
    </row>
    <row r="744" spans="1:29" x14ac:dyDescent="0.25">
      <c r="A744" s="1106"/>
      <c r="B744" s="1056"/>
      <c r="C744" s="1056"/>
      <c r="D744" s="1056"/>
      <c r="E744" s="1056"/>
      <c r="F744" s="1056"/>
      <c r="G744" s="1056"/>
      <c r="H744" s="1056"/>
      <c r="I744" s="1056"/>
      <c r="J744" s="1056"/>
      <c r="K744" s="1056"/>
      <c r="L744" s="1056"/>
      <c r="M744" s="1056"/>
      <c r="N744" s="1056"/>
      <c r="O744" s="1056"/>
      <c r="P744" s="1056"/>
      <c r="Q744" s="1056"/>
      <c r="R744" s="1056"/>
      <c r="S744" s="1056"/>
      <c r="T744" s="1056"/>
      <c r="U744" s="1056"/>
      <c r="V744" s="1056"/>
      <c r="W744" s="1056"/>
      <c r="X744" s="1056"/>
      <c r="Y744" s="1056"/>
      <c r="Z744" s="1056"/>
      <c r="AA744" s="1056"/>
      <c r="AB744" s="1056"/>
      <c r="AC744" s="1056"/>
    </row>
    <row r="745" spans="1:29" x14ac:dyDescent="0.25">
      <c r="A745" s="1106"/>
      <c r="B745" s="1056"/>
      <c r="C745" s="1056"/>
      <c r="D745" s="1056"/>
      <c r="E745" s="1056"/>
      <c r="F745" s="1056"/>
      <c r="G745" s="1056"/>
      <c r="H745" s="1056"/>
      <c r="I745" s="1056"/>
      <c r="J745" s="1056"/>
      <c r="K745" s="1056"/>
      <c r="L745" s="1056"/>
      <c r="M745" s="1056"/>
      <c r="N745" s="1056"/>
      <c r="O745" s="1056"/>
      <c r="P745" s="1056"/>
      <c r="Q745" s="1056"/>
      <c r="R745" s="1056"/>
      <c r="S745" s="1056"/>
      <c r="T745" s="1056"/>
      <c r="U745" s="1056"/>
      <c r="V745" s="1056"/>
      <c r="W745" s="1056"/>
      <c r="X745" s="1056"/>
      <c r="Y745" s="1056"/>
      <c r="Z745" s="1056"/>
      <c r="AA745" s="1056"/>
      <c r="AB745" s="1056"/>
      <c r="AC745" s="1056"/>
    </row>
    <row r="746" spans="1:29" x14ac:dyDescent="0.25">
      <c r="A746" s="1106"/>
      <c r="B746" s="1056"/>
      <c r="C746" s="1056"/>
      <c r="D746" s="1056"/>
      <c r="E746" s="1056"/>
      <c r="F746" s="1056"/>
      <c r="G746" s="1056"/>
      <c r="H746" s="1056"/>
      <c r="I746" s="1056"/>
      <c r="J746" s="1056"/>
      <c r="K746" s="1056"/>
      <c r="L746" s="1056"/>
      <c r="M746" s="1056"/>
      <c r="N746" s="1056"/>
      <c r="O746" s="1056"/>
      <c r="P746" s="1056"/>
      <c r="Q746" s="1056"/>
      <c r="R746" s="1056"/>
      <c r="S746" s="1056"/>
      <c r="T746" s="1056"/>
      <c r="U746" s="1056"/>
      <c r="V746" s="1056"/>
      <c r="W746" s="1056"/>
      <c r="X746" s="1056"/>
      <c r="Y746" s="1056"/>
      <c r="Z746" s="1056"/>
      <c r="AA746" s="1056"/>
      <c r="AB746" s="1056"/>
      <c r="AC746" s="1056"/>
    </row>
    <row r="747" spans="1:29" x14ac:dyDescent="0.25">
      <c r="A747" s="1106"/>
      <c r="B747" s="1056"/>
      <c r="C747" s="1056"/>
      <c r="D747" s="1056"/>
      <c r="E747" s="1056"/>
      <c r="F747" s="1056"/>
      <c r="G747" s="1056"/>
      <c r="H747" s="1056"/>
      <c r="I747" s="1056"/>
      <c r="J747" s="1056"/>
      <c r="K747" s="1056"/>
      <c r="L747" s="1056"/>
      <c r="M747" s="1056"/>
      <c r="N747" s="1056"/>
      <c r="O747" s="1056"/>
      <c r="P747" s="1056"/>
      <c r="Q747" s="1056"/>
      <c r="R747" s="1056"/>
      <c r="S747" s="1056"/>
      <c r="T747" s="1056"/>
      <c r="U747" s="1056"/>
      <c r="V747" s="1056"/>
      <c r="W747" s="1056"/>
      <c r="X747" s="1056"/>
      <c r="Y747" s="1056"/>
      <c r="Z747" s="1056"/>
      <c r="AA747" s="1056"/>
      <c r="AB747" s="1056"/>
      <c r="AC747" s="1056"/>
    </row>
    <row r="748" spans="1:29" x14ac:dyDescent="0.25">
      <c r="A748" s="1106"/>
      <c r="B748" s="1056"/>
      <c r="C748" s="1056"/>
      <c r="D748" s="1056"/>
      <c r="E748" s="1056"/>
      <c r="F748" s="1056"/>
      <c r="G748" s="1056"/>
      <c r="H748" s="1056"/>
      <c r="I748" s="1056"/>
      <c r="J748" s="1056"/>
      <c r="K748" s="1056"/>
      <c r="L748" s="1056"/>
      <c r="M748" s="1056"/>
      <c r="N748" s="1056"/>
      <c r="O748" s="1056"/>
      <c r="P748" s="1056"/>
      <c r="Q748" s="1056"/>
      <c r="R748" s="1056"/>
      <c r="S748" s="1056"/>
      <c r="T748" s="1056"/>
      <c r="U748" s="1056"/>
      <c r="V748" s="1056"/>
      <c r="W748" s="1056"/>
      <c r="X748" s="1056"/>
      <c r="Y748" s="1056"/>
      <c r="Z748" s="1056"/>
      <c r="AA748" s="1056"/>
      <c r="AB748" s="1056"/>
      <c r="AC748" s="1056"/>
    </row>
    <row r="749" spans="1:29" x14ac:dyDescent="0.25">
      <c r="A749" s="1106"/>
      <c r="B749" s="1056"/>
      <c r="C749" s="1056"/>
      <c r="D749" s="1056"/>
      <c r="E749" s="1056"/>
      <c r="F749" s="1056"/>
      <c r="G749" s="1056"/>
      <c r="H749" s="1056"/>
      <c r="I749" s="1056"/>
      <c r="J749" s="1056"/>
      <c r="K749" s="1056"/>
      <c r="L749" s="1056"/>
      <c r="M749" s="1056"/>
      <c r="N749" s="1056"/>
      <c r="O749" s="1056"/>
      <c r="P749" s="1056"/>
      <c r="Q749" s="1056"/>
      <c r="R749" s="1056"/>
      <c r="S749" s="1056"/>
      <c r="T749" s="1056"/>
      <c r="U749" s="1056"/>
      <c r="V749" s="1056"/>
      <c r="W749" s="1056"/>
      <c r="X749" s="1056"/>
      <c r="Y749" s="1056"/>
      <c r="Z749" s="1056"/>
      <c r="AA749" s="1056"/>
      <c r="AB749" s="1056"/>
      <c r="AC749" s="1056"/>
    </row>
    <row r="750" spans="1:29" x14ac:dyDescent="0.25">
      <c r="A750" s="1106"/>
      <c r="B750" s="1056"/>
      <c r="C750" s="1056"/>
      <c r="D750" s="1056"/>
      <c r="E750" s="1056"/>
      <c r="F750" s="1056"/>
      <c r="G750" s="1056"/>
      <c r="H750" s="1056"/>
      <c r="I750" s="1056"/>
      <c r="J750" s="1056"/>
      <c r="K750" s="1056"/>
      <c r="L750" s="1056"/>
      <c r="M750" s="1056"/>
      <c r="N750" s="1056"/>
      <c r="O750" s="1056"/>
      <c r="P750" s="1056"/>
      <c r="Q750" s="1056"/>
      <c r="R750" s="1056"/>
      <c r="S750" s="1056"/>
      <c r="T750" s="1056"/>
      <c r="U750" s="1056"/>
      <c r="V750" s="1056"/>
      <c r="W750" s="1056"/>
      <c r="X750" s="1056"/>
      <c r="Y750" s="1056"/>
      <c r="Z750" s="1056"/>
      <c r="AA750" s="1056"/>
      <c r="AB750" s="1056"/>
      <c r="AC750" s="1056"/>
    </row>
    <row r="751" spans="1:29" x14ac:dyDescent="0.25">
      <c r="A751" s="1106"/>
      <c r="B751" s="1056"/>
      <c r="C751" s="1056"/>
      <c r="D751" s="1056"/>
      <c r="E751" s="1056"/>
      <c r="F751" s="1056"/>
      <c r="G751" s="1056"/>
      <c r="H751" s="1056"/>
      <c r="I751" s="1056"/>
      <c r="J751" s="1056"/>
      <c r="K751" s="1056"/>
      <c r="L751" s="1056"/>
      <c r="M751" s="1056"/>
      <c r="N751" s="1056"/>
      <c r="O751" s="1056"/>
      <c r="P751" s="1056"/>
      <c r="Q751" s="1056"/>
      <c r="R751" s="1056"/>
      <c r="S751" s="1056"/>
      <c r="T751" s="1056"/>
      <c r="U751" s="1056"/>
      <c r="V751" s="1056"/>
      <c r="W751" s="1056"/>
      <c r="X751" s="1056"/>
      <c r="Y751" s="1056"/>
      <c r="Z751" s="1056"/>
      <c r="AA751" s="1056"/>
      <c r="AB751" s="1056"/>
      <c r="AC751" s="1056"/>
    </row>
    <row r="752" spans="1:29" x14ac:dyDescent="0.25">
      <c r="A752" s="1106"/>
      <c r="B752" s="1056"/>
      <c r="C752" s="1056"/>
      <c r="D752" s="1056"/>
      <c r="E752" s="1056"/>
      <c r="F752" s="1056"/>
      <c r="G752" s="1056"/>
      <c r="H752" s="1056"/>
      <c r="I752" s="1056"/>
      <c r="J752" s="1056"/>
      <c r="K752" s="1056"/>
      <c r="L752" s="1056"/>
      <c r="M752" s="1056"/>
      <c r="N752" s="1056"/>
      <c r="O752" s="1056"/>
      <c r="P752" s="1056"/>
      <c r="Q752" s="1056"/>
      <c r="R752" s="1056"/>
      <c r="S752" s="1056"/>
      <c r="T752" s="1056"/>
      <c r="U752" s="1056"/>
      <c r="V752" s="1056"/>
      <c r="W752" s="1056"/>
      <c r="X752" s="1056"/>
      <c r="Y752" s="1056"/>
      <c r="Z752" s="1056"/>
      <c r="AA752" s="1056"/>
      <c r="AB752" s="1056"/>
      <c r="AC752" s="1056"/>
    </row>
    <row r="753" spans="1:29" x14ac:dyDescent="0.25">
      <c r="A753" s="1106"/>
      <c r="B753" s="1056"/>
      <c r="C753" s="1056"/>
      <c r="D753" s="1056"/>
      <c r="E753" s="1056"/>
      <c r="F753" s="1056"/>
      <c r="G753" s="1056"/>
      <c r="H753" s="1056"/>
      <c r="I753" s="1056"/>
      <c r="J753" s="1056"/>
      <c r="K753" s="1056"/>
      <c r="L753" s="1056"/>
      <c r="M753" s="1056"/>
      <c r="N753" s="1056"/>
      <c r="O753" s="1056"/>
      <c r="P753" s="1056"/>
      <c r="Q753" s="1056"/>
      <c r="R753" s="1056"/>
      <c r="S753" s="1056"/>
      <c r="T753" s="1056"/>
      <c r="U753" s="1056"/>
      <c r="V753" s="1056"/>
      <c r="W753" s="1056"/>
      <c r="X753" s="1056"/>
      <c r="Y753" s="1056"/>
      <c r="Z753" s="1056"/>
      <c r="AA753" s="1056"/>
      <c r="AB753" s="1056"/>
      <c r="AC753" s="1056"/>
    </row>
    <row r="754" spans="1:29" x14ac:dyDescent="0.25">
      <c r="A754" s="1106"/>
      <c r="B754" s="1056"/>
      <c r="C754" s="1056"/>
      <c r="D754" s="1056"/>
      <c r="E754" s="1056"/>
      <c r="F754" s="1056"/>
      <c r="G754" s="1056"/>
      <c r="H754" s="1056"/>
      <c r="I754" s="1056"/>
      <c r="J754" s="1056"/>
      <c r="K754" s="1056"/>
      <c r="L754" s="1056"/>
      <c r="M754" s="1056"/>
      <c r="N754" s="1056"/>
      <c r="O754" s="1056"/>
      <c r="P754" s="1056"/>
      <c r="Q754" s="1056"/>
      <c r="R754" s="1056"/>
      <c r="S754" s="1056"/>
      <c r="T754" s="1056"/>
      <c r="U754" s="1056"/>
      <c r="V754" s="1056"/>
      <c r="W754" s="1056"/>
      <c r="X754" s="1056"/>
      <c r="Y754" s="1056"/>
      <c r="Z754" s="1056"/>
      <c r="AA754" s="1056"/>
      <c r="AB754" s="1056"/>
      <c r="AC754" s="1056"/>
    </row>
    <row r="755" spans="1:29" x14ac:dyDescent="0.25">
      <c r="A755" s="1106"/>
      <c r="B755" s="1056"/>
      <c r="C755" s="1056"/>
      <c r="D755" s="1056"/>
      <c r="E755" s="1056"/>
      <c r="F755" s="1056"/>
      <c r="G755" s="1056"/>
      <c r="H755" s="1056"/>
      <c r="I755" s="1056"/>
      <c r="J755" s="1056"/>
      <c r="K755" s="1056"/>
      <c r="L755" s="1056"/>
      <c r="M755" s="1056"/>
      <c r="N755" s="1056"/>
      <c r="O755" s="1056"/>
      <c r="P755" s="1056"/>
      <c r="Q755" s="1056"/>
      <c r="R755" s="1056"/>
      <c r="S755" s="1056"/>
      <c r="T755" s="1056"/>
      <c r="U755" s="1056"/>
      <c r="V755" s="1056"/>
      <c r="W755" s="1056"/>
      <c r="X755" s="1056"/>
      <c r="Y755" s="1056"/>
      <c r="Z755" s="1056"/>
      <c r="AA755" s="1056"/>
      <c r="AB755" s="1056"/>
      <c r="AC755" s="1056"/>
    </row>
    <row r="756" spans="1:29" x14ac:dyDescent="0.25">
      <c r="A756" s="1106"/>
      <c r="B756" s="1056"/>
      <c r="C756" s="1056"/>
      <c r="D756" s="1056"/>
      <c r="E756" s="1056"/>
      <c r="F756" s="1056"/>
      <c r="G756" s="1056"/>
      <c r="H756" s="1056"/>
      <c r="I756" s="1056"/>
      <c r="J756" s="1056"/>
      <c r="K756" s="1056"/>
      <c r="L756" s="1056"/>
      <c r="M756" s="1056"/>
      <c r="N756" s="1056"/>
      <c r="O756" s="1056"/>
      <c r="P756" s="1056"/>
      <c r="Q756" s="1056"/>
      <c r="R756" s="1056"/>
      <c r="S756" s="1056"/>
      <c r="T756" s="1056"/>
      <c r="U756" s="1056"/>
      <c r="V756" s="1056"/>
      <c r="W756" s="1056"/>
      <c r="X756" s="1056"/>
      <c r="Y756" s="1056"/>
      <c r="Z756" s="1056"/>
      <c r="AA756" s="1056"/>
      <c r="AB756" s="1056"/>
      <c r="AC756" s="1056"/>
    </row>
    <row r="757" spans="1:29" x14ac:dyDescent="0.25">
      <c r="A757" s="1106"/>
      <c r="B757" s="1056"/>
      <c r="C757" s="1056"/>
      <c r="D757" s="1056"/>
      <c r="E757" s="1056"/>
      <c r="F757" s="1056"/>
      <c r="G757" s="1056"/>
      <c r="H757" s="1056"/>
      <c r="I757" s="1056"/>
      <c r="J757" s="1056"/>
      <c r="K757" s="1056"/>
      <c r="L757" s="1056"/>
      <c r="M757" s="1056"/>
      <c r="N757" s="1056"/>
      <c r="O757" s="1056"/>
      <c r="P757" s="1056"/>
      <c r="Q757" s="1056"/>
      <c r="R757" s="1056"/>
      <c r="S757" s="1056"/>
      <c r="T757" s="1056"/>
      <c r="U757" s="1056"/>
      <c r="V757" s="1056"/>
      <c r="W757" s="1056"/>
      <c r="X757" s="1056"/>
      <c r="Y757" s="1056"/>
      <c r="Z757" s="1056"/>
      <c r="AA757" s="1056"/>
      <c r="AB757" s="1056"/>
      <c r="AC757" s="1056"/>
    </row>
    <row r="758" spans="1:29" x14ac:dyDescent="0.25">
      <c r="A758" s="1106"/>
      <c r="B758" s="1056"/>
      <c r="C758" s="1056"/>
      <c r="D758" s="1056"/>
      <c r="E758" s="1056"/>
      <c r="F758" s="1056"/>
      <c r="G758" s="1056"/>
      <c r="H758" s="1056"/>
      <c r="I758" s="1056"/>
      <c r="J758" s="1056"/>
      <c r="K758" s="1056"/>
      <c r="L758" s="1056"/>
      <c r="M758" s="1056"/>
      <c r="N758" s="1056"/>
      <c r="O758" s="1056"/>
      <c r="P758" s="1056"/>
      <c r="Q758" s="1056"/>
      <c r="R758" s="1056"/>
      <c r="S758" s="1056"/>
      <c r="T758" s="1056"/>
      <c r="U758" s="1056"/>
      <c r="V758" s="1056"/>
      <c r="W758" s="1056"/>
      <c r="X758" s="1056"/>
      <c r="Y758" s="1056"/>
      <c r="Z758" s="1056"/>
      <c r="AA758" s="1056"/>
      <c r="AB758" s="1056"/>
      <c r="AC758" s="1056"/>
    </row>
    <row r="759" spans="1:29" x14ac:dyDescent="0.25">
      <c r="A759" s="1106"/>
      <c r="B759" s="1056"/>
      <c r="C759" s="1056"/>
      <c r="D759" s="1056"/>
      <c r="E759" s="1056"/>
      <c r="F759" s="1056"/>
      <c r="G759" s="1056"/>
      <c r="H759" s="1056"/>
      <c r="I759" s="1056"/>
      <c r="J759" s="1056"/>
      <c r="K759" s="1056"/>
      <c r="L759" s="1056"/>
      <c r="M759" s="1056"/>
      <c r="N759" s="1056"/>
      <c r="O759" s="1056"/>
      <c r="P759" s="1056"/>
      <c r="Q759" s="1056"/>
      <c r="R759" s="1056"/>
      <c r="S759" s="1056"/>
      <c r="T759" s="1056"/>
      <c r="U759" s="1056"/>
      <c r="V759" s="1056"/>
      <c r="W759" s="1056"/>
      <c r="X759" s="1056"/>
      <c r="Y759" s="1056"/>
      <c r="Z759" s="1056"/>
      <c r="AA759" s="1056"/>
      <c r="AB759" s="1056"/>
      <c r="AC759" s="1056"/>
    </row>
    <row r="760" spans="1:29" x14ac:dyDescent="0.25">
      <c r="A760" s="1106"/>
      <c r="B760" s="1056"/>
      <c r="C760" s="1056"/>
      <c r="D760" s="1056"/>
      <c r="E760" s="1056"/>
      <c r="F760" s="1056"/>
      <c r="G760" s="1056"/>
      <c r="H760" s="1056"/>
      <c r="I760" s="1056"/>
      <c r="J760" s="1056"/>
      <c r="K760" s="1056"/>
      <c r="L760" s="1056"/>
      <c r="M760" s="1056"/>
      <c r="N760" s="1056"/>
      <c r="O760" s="1056"/>
      <c r="P760" s="1056"/>
      <c r="Q760" s="1056"/>
      <c r="R760" s="1056"/>
      <c r="S760" s="1056"/>
      <c r="T760" s="1056"/>
      <c r="U760" s="1056"/>
      <c r="V760" s="1056"/>
      <c r="W760" s="1056"/>
      <c r="X760" s="1056"/>
      <c r="Y760" s="1056"/>
      <c r="Z760" s="1056"/>
      <c r="AA760" s="1056"/>
      <c r="AB760" s="1056"/>
      <c r="AC760" s="1056"/>
    </row>
    <row r="761" spans="1:29" x14ac:dyDescent="0.25">
      <c r="A761" s="1106"/>
      <c r="B761" s="1056"/>
      <c r="C761" s="1056"/>
      <c r="D761" s="1056"/>
      <c r="E761" s="1056"/>
      <c r="F761" s="1056"/>
      <c r="G761" s="1056"/>
      <c r="H761" s="1056"/>
      <c r="I761" s="1056"/>
      <c r="J761" s="1056"/>
      <c r="K761" s="1056"/>
      <c r="L761" s="1056"/>
      <c r="M761" s="1056"/>
      <c r="N761" s="1056"/>
      <c r="O761" s="1056"/>
      <c r="P761" s="1056"/>
      <c r="Q761" s="1056"/>
      <c r="R761" s="1056"/>
      <c r="S761" s="1056"/>
      <c r="T761" s="1056"/>
      <c r="U761" s="1056"/>
      <c r="V761" s="1056"/>
      <c r="W761" s="1056"/>
      <c r="X761" s="1056"/>
      <c r="Y761" s="1056"/>
      <c r="Z761" s="1056"/>
      <c r="AA761" s="1056"/>
      <c r="AB761" s="1056"/>
      <c r="AC761" s="1056"/>
    </row>
    <row r="762" spans="1:29" x14ac:dyDescent="0.25">
      <c r="A762" s="1106"/>
      <c r="B762" s="1056"/>
      <c r="C762" s="1056"/>
      <c r="D762" s="1056"/>
      <c r="E762" s="1056"/>
      <c r="F762" s="1056"/>
      <c r="G762" s="1056"/>
      <c r="H762" s="1056"/>
      <c r="I762" s="1056"/>
      <c r="J762" s="1056"/>
      <c r="K762" s="1056"/>
      <c r="L762" s="1056"/>
      <c r="M762" s="1056"/>
      <c r="N762" s="1056"/>
      <c r="O762" s="1056"/>
      <c r="P762" s="1056"/>
      <c r="Q762" s="1056"/>
      <c r="R762" s="1056"/>
      <c r="S762" s="1056"/>
      <c r="T762" s="1056"/>
      <c r="U762" s="1056"/>
      <c r="V762" s="1056"/>
      <c r="W762" s="1056"/>
      <c r="X762" s="1056"/>
      <c r="Y762" s="1056"/>
      <c r="Z762" s="1056"/>
      <c r="AA762" s="1056"/>
      <c r="AB762" s="1056"/>
      <c r="AC762" s="1056"/>
    </row>
    <row r="763" spans="1:29" x14ac:dyDescent="0.25">
      <c r="A763" s="1106"/>
      <c r="B763" s="1056"/>
      <c r="C763" s="1056"/>
      <c r="D763" s="1056"/>
      <c r="E763" s="1056"/>
      <c r="F763" s="1056"/>
      <c r="G763" s="1056"/>
      <c r="H763" s="1056"/>
      <c r="I763" s="1056"/>
      <c r="J763" s="1056"/>
      <c r="K763" s="1056"/>
      <c r="L763" s="1056"/>
      <c r="M763" s="1056"/>
      <c r="N763" s="1056"/>
      <c r="O763" s="1056"/>
      <c r="P763" s="1056"/>
      <c r="Q763" s="1056"/>
      <c r="R763" s="1056"/>
      <c r="S763" s="1056"/>
      <c r="T763" s="1056"/>
      <c r="U763" s="1056"/>
      <c r="V763" s="1056"/>
      <c r="W763" s="1056"/>
      <c r="X763" s="1056"/>
      <c r="Y763" s="1056"/>
      <c r="Z763" s="1056"/>
      <c r="AA763" s="1056"/>
      <c r="AB763" s="1056"/>
      <c r="AC763" s="1056"/>
    </row>
    <row r="764" spans="1:29" x14ac:dyDescent="0.25">
      <c r="A764" s="1106"/>
      <c r="B764" s="1056"/>
      <c r="C764" s="1056"/>
      <c r="D764" s="1056"/>
      <c r="E764" s="1056"/>
      <c r="F764" s="1056"/>
      <c r="G764" s="1056"/>
      <c r="H764" s="1056"/>
      <c r="I764" s="1056"/>
      <c r="J764" s="1056"/>
      <c r="K764" s="1056"/>
      <c r="L764" s="1056"/>
      <c r="M764" s="1056"/>
      <c r="N764" s="1056"/>
      <c r="O764" s="1056"/>
      <c r="P764" s="1056"/>
      <c r="Q764" s="1056"/>
      <c r="R764" s="1056"/>
      <c r="S764" s="1056"/>
      <c r="T764" s="1056"/>
      <c r="U764" s="1056"/>
      <c r="V764" s="1056"/>
      <c r="W764" s="1056"/>
      <c r="X764" s="1056"/>
      <c r="Y764" s="1056"/>
      <c r="Z764" s="1056"/>
      <c r="AA764" s="1056"/>
      <c r="AB764" s="1056"/>
      <c r="AC764" s="1056"/>
    </row>
    <row r="765" spans="1:29" x14ac:dyDescent="0.25">
      <c r="A765" s="1106"/>
      <c r="B765" s="1056"/>
      <c r="C765" s="1056"/>
      <c r="D765" s="1056"/>
      <c r="E765" s="1056"/>
      <c r="F765" s="1056"/>
      <c r="G765" s="1056"/>
      <c r="H765" s="1056"/>
      <c r="I765" s="1056"/>
      <c r="J765" s="1056"/>
      <c r="K765" s="1056"/>
      <c r="L765" s="1056"/>
      <c r="M765" s="1056"/>
      <c r="N765" s="1056"/>
      <c r="O765" s="1056"/>
      <c r="P765" s="1056"/>
      <c r="Q765" s="1056"/>
      <c r="R765" s="1056"/>
      <c r="S765" s="1056"/>
      <c r="T765" s="1056"/>
      <c r="U765" s="1056"/>
      <c r="V765" s="1056"/>
      <c r="W765" s="1056"/>
      <c r="X765" s="1056"/>
      <c r="Y765" s="1056"/>
      <c r="Z765" s="1056"/>
      <c r="AA765" s="1056"/>
      <c r="AB765" s="1056"/>
      <c r="AC765" s="1056"/>
    </row>
    <row r="766" spans="1:29" x14ac:dyDescent="0.25">
      <c r="A766" s="1106"/>
      <c r="B766" s="1056"/>
      <c r="C766" s="1056"/>
      <c r="D766" s="1056"/>
      <c r="E766" s="1056"/>
      <c r="F766" s="1056"/>
      <c r="G766" s="1056"/>
      <c r="H766" s="1056"/>
      <c r="I766" s="1056"/>
      <c r="J766" s="1056"/>
      <c r="K766" s="1056"/>
      <c r="L766" s="1056"/>
      <c r="M766" s="1056"/>
      <c r="N766" s="1056"/>
      <c r="O766" s="1056"/>
      <c r="P766" s="1056"/>
      <c r="Q766" s="1056"/>
      <c r="R766" s="1056"/>
      <c r="S766" s="1056"/>
      <c r="T766" s="1056"/>
      <c r="U766" s="1056"/>
      <c r="V766" s="1056"/>
      <c r="W766" s="1056"/>
      <c r="X766" s="1056"/>
      <c r="Y766" s="1056"/>
      <c r="Z766" s="1056"/>
      <c r="AA766" s="1056"/>
      <c r="AB766" s="1056"/>
      <c r="AC766" s="1056"/>
    </row>
    <row r="767" spans="1:29" x14ac:dyDescent="0.25">
      <c r="A767" s="1106"/>
      <c r="B767" s="1056"/>
      <c r="C767" s="1056"/>
      <c r="D767" s="1056"/>
      <c r="E767" s="1056"/>
      <c r="F767" s="1056"/>
      <c r="G767" s="1056"/>
      <c r="H767" s="1056"/>
      <c r="I767" s="1056"/>
      <c r="J767" s="1056"/>
      <c r="K767" s="1056"/>
      <c r="L767" s="1056"/>
      <c r="M767" s="1056"/>
      <c r="N767" s="1056"/>
      <c r="O767" s="1056"/>
      <c r="P767" s="1056"/>
      <c r="Q767" s="1056"/>
      <c r="R767" s="1056"/>
      <c r="S767" s="1056"/>
      <c r="T767" s="1056"/>
      <c r="U767" s="1056"/>
      <c r="V767" s="1056"/>
      <c r="W767" s="1056"/>
      <c r="X767" s="1056"/>
      <c r="Y767" s="1056"/>
      <c r="Z767" s="1056"/>
      <c r="AA767" s="1056"/>
      <c r="AB767" s="1056"/>
      <c r="AC767" s="1056"/>
    </row>
    <row r="768" spans="1:29" x14ac:dyDescent="0.25">
      <c r="A768" s="1106"/>
      <c r="B768" s="1056"/>
      <c r="C768" s="1056"/>
      <c r="D768" s="1056"/>
      <c r="E768" s="1056"/>
      <c r="F768" s="1056"/>
      <c r="G768" s="1056"/>
      <c r="H768" s="1056"/>
      <c r="I768" s="1056"/>
      <c r="J768" s="1056"/>
      <c r="K768" s="1056"/>
      <c r="L768" s="1056"/>
      <c r="M768" s="1056"/>
      <c r="N768" s="1056"/>
      <c r="O768" s="1056"/>
      <c r="P768" s="1056"/>
      <c r="Q768" s="1056"/>
      <c r="R768" s="1056"/>
      <c r="S768" s="1056"/>
      <c r="T768" s="1056"/>
      <c r="U768" s="1056"/>
      <c r="V768" s="1056"/>
      <c r="W768" s="1056"/>
      <c r="X768" s="1056"/>
      <c r="Y768" s="1056"/>
      <c r="Z768" s="1056"/>
      <c r="AA768" s="1056"/>
      <c r="AB768" s="1056"/>
      <c r="AC768" s="1056"/>
    </row>
    <row r="769" spans="1:29" x14ac:dyDescent="0.25">
      <c r="A769" s="1106"/>
      <c r="B769" s="1056"/>
      <c r="C769" s="1056"/>
      <c r="D769" s="1056"/>
      <c r="E769" s="1056"/>
      <c r="F769" s="1056"/>
      <c r="G769" s="1056"/>
      <c r="H769" s="1056"/>
      <c r="I769" s="1056"/>
      <c r="J769" s="1056"/>
      <c r="K769" s="1056"/>
      <c r="L769" s="1056"/>
      <c r="M769" s="1056"/>
      <c r="N769" s="1056"/>
      <c r="O769" s="1056"/>
      <c r="P769" s="1056"/>
      <c r="Q769" s="1056"/>
      <c r="R769" s="1056"/>
      <c r="S769" s="1056"/>
      <c r="T769" s="1056"/>
      <c r="U769" s="1056"/>
      <c r="V769" s="1056"/>
      <c r="W769" s="1056"/>
      <c r="X769" s="1056"/>
      <c r="Y769" s="1056"/>
      <c r="Z769" s="1056"/>
      <c r="AA769" s="1056"/>
      <c r="AB769" s="1056"/>
      <c r="AC769" s="1056"/>
    </row>
    <row r="770" spans="1:29" x14ac:dyDescent="0.25">
      <c r="A770" s="1106"/>
      <c r="B770" s="1056"/>
      <c r="C770" s="1056"/>
      <c r="D770" s="1056"/>
      <c r="E770" s="1056"/>
      <c r="F770" s="1056"/>
      <c r="G770" s="1056"/>
      <c r="H770" s="1056"/>
      <c r="I770" s="1056"/>
      <c r="J770" s="1056"/>
      <c r="K770" s="1056"/>
      <c r="L770" s="1056"/>
      <c r="M770" s="1056"/>
      <c r="N770" s="1056"/>
      <c r="O770" s="1056"/>
      <c r="P770" s="1056"/>
      <c r="Q770" s="1056"/>
      <c r="R770" s="1056"/>
      <c r="S770" s="1056"/>
      <c r="T770" s="1056"/>
      <c r="U770" s="1056"/>
      <c r="V770" s="1056"/>
      <c r="W770" s="1056"/>
      <c r="X770" s="1056"/>
      <c r="Y770" s="1056"/>
      <c r="Z770" s="1056"/>
      <c r="AA770" s="1056"/>
      <c r="AB770" s="1056"/>
      <c r="AC770" s="1056"/>
    </row>
    <row r="771" spans="1:29" x14ac:dyDescent="0.25">
      <c r="A771" s="1106"/>
      <c r="B771" s="1056"/>
      <c r="C771" s="1056"/>
      <c r="D771" s="1056"/>
      <c r="E771" s="1056"/>
      <c r="F771" s="1056"/>
      <c r="G771" s="1056"/>
      <c r="H771" s="1056"/>
      <c r="I771" s="1056"/>
      <c r="J771" s="1056"/>
      <c r="K771" s="1056"/>
      <c r="L771" s="1056"/>
      <c r="M771" s="1056"/>
      <c r="N771" s="1056"/>
      <c r="O771" s="1056"/>
      <c r="P771" s="1056"/>
      <c r="Q771" s="1056"/>
      <c r="R771" s="1056"/>
      <c r="S771" s="1056"/>
      <c r="T771" s="1056"/>
      <c r="U771" s="1056"/>
      <c r="V771" s="1056"/>
      <c r="W771" s="1056"/>
      <c r="X771" s="1056"/>
      <c r="Y771" s="1056"/>
      <c r="Z771" s="1056"/>
      <c r="AA771" s="1056"/>
      <c r="AB771" s="1056"/>
      <c r="AC771" s="1056"/>
    </row>
    <row r="772" spans="1:29" x14ac:dyDescent="0.25">
      <c r="A772" s="1106"/>
      <c r="B772" s="1056"/>
      <c r="C772" s="1056"/>
      <c r="D772" s="1056"/>
      <c r="E772" s="1056"/>
      <c r="F772" s="1056"/>
      <c r="G772" s="1056"/>
      <c r="H772" s="1056"/>
      <c r="I772" s="1056"/>
      <c r="J772" s="1056"/>
      <c r="K772" s="1056"/>
      <c r="L772" s="1056"/>
      <c r="M772" s="1056"/>
      <c r="N772" s="1056"/>
      <c r="O772" s="1056"/>
      <c r="P772" s="1056"/>
      <c r="Q772" s="1056"/>
      <c r="R772" s="1056"/>
      <c r="S772" s="1056"/>
      <c r="T772" s="1056"/>
      <c r="U772" s="1056"/>
      <c r="V772" s="1056"/>
      <c r="W772" s="1056"/>
      <c r="X772" s="1056"/>
      <c r="Y772" s="1056"/>
      <c r="Z772" s="1056"/>
      <c r="AA772" s="1056"/>
      <c r="AB772" s="1056"/>
      <c r="AC772" s="1056"/>
    </row>
    <row r="773" spans="1:29" x14ac:dyDescent="0.25">
      <c r="A773" s="1106"/>
      <c r="B773" s="1056"/>
      <c r="C773" s="1056"/>
      <c r="D773" s="1056"/>
      <c r="E773" s="1056"/>
      <c r="F773" s="1056"/>
      <c r="G773" s="1056"/>
      <c r="H773" s="1056"/>
      <c r="I773" s="1056"/>
      <c r="J773" s="1056"/>
      <c r="K773" s="1056"/>
      <c r="L773" s="1056"/>
      <c r="M773" s="1056"/>
      <c r="N773" s="1056"/>
      <c r="O773" s="1056"/>
      <c r="P773" s="1056"/>
      <c r="Q773" s="1056"/>
      <c r="R773" s="1056"/>
      <c r="S773" s="1056"/>
      <c r="T773" s="1056"/>
      <c r="U773" s="1056"/>
      <c r="V773" s="1056"/>
      <c r="W773" s="1056"/>
      <c r="X773" s="1056"/>
      <c r="Y773" s="1056"/>
      <c r="Z773" s="1056"/>
      <c r="AA773" s="1056"/>
      <c r="AB773" s="1056"/>
      <c r="AC773" s="1056"/>
    </row>
    <row r="774" spans="1:29" x14ac:dyDescent="0.25">
      <c r="A774" s="1106"/>
      <c r="B774" s="1056"/>
      <c r="C774" s="1056"/>
      <c r="D774" s="1056"/>
      <c r="E774" s="1056"/>
      <c r="F774" s="1056"/>
      <c r="G774" s="1056"/>
      <c r="H774" s="1056"/>
      <c r="I774" s="1056"/>
      <c r="J774" s="1056"/>
      <c r="K774" s="1056"/>
      <c r="L774" s="1056"/>
      <c r="M774" s="1056"/>
      <c r="N774" s="1056"/>
      <c r="O774" s="1056"/>
      <c r="P774" s="1056"/>
      <c r="Q774" s="1056"/>
      <c r="R774" s="1056"/>
      <c r="S774" s="1056"/>
      <c r="T774" s="1056"/>
      <c r="U774" s="1056"/>
      <c r="V774" s="1056"/>
      <c r="W774" s="1056"/>
      <c r="X774" s="1056"/>
      <c r="Y774" s="1056"/>
      <c r="Z774" s="1056"/>
      <c r="AA774" s="1056"/>
      <c r="AB774" s="1056"/>
      <c r="AC774" s="1056"/>
    </row>
    <row r="775" spans="1:29" x14ac:dyDescent="0.25">
      <c r="A775" s="1106"/>
      <c r="B775" s="1056"/>
      <c r="C775" s="1056"/>
      <c r="D775" s="1056"/>
      <c r="E775" s="1056"/>
      <c r="F775" s="1056"/>
      <c r="G775" s="1056"/>
      <c r="H775" s="1056"/>
      <c r="I775" s="1056"/>
      <c r="J775" s="1056"/>
      <c r="K775" s="1056"/>
      <c r="L775" s="1056"/>
      <c r="M775" s="1056"/>
      <c r="N775" s="1056"/>
      <c r="O775" s="1056"/>
      <c r="P775" s="1056"/>
      <c r="Q775" s="1056"/>
      <c r="R775" s="1056"/>
      <c r="S775" s="1056"/>
      <c r="T775" s="1056"/>
      <c r="U775" s="1056"/>
      <c r="V775" s="1056"/>
      <c r="W775" s="1056"/>
      <c r="X775" s="1056"/>
      <c r="Y775" s="1056"/>
      <c r="Z775" s="1056"/>
      <c r="AA775" s="1056"/>
      <c r="AB775" s="1056"/>
      <c r="AC775" s="1056"/>
    </row>
    <row r="776" spans="1:29" x14ac:dyDescent="0.25">
      <c r="A776" s="1106"/>
      <c r="B776" s="1056"/>
      <c r="C776" s="1056"/>
      <c r="D776" s="1056"/>
      <c r="E776" s="1056"/>
      <c r="F776" s="1056"/>
      <c r="G776" s="1056"/>
      <c r="H776" s="1056"/>
      <c r="I776" s="1056"/>
      <c r="J776" s="1056"/>
      <c r="K776" s="1056"/>
      <c r="L776" s="1056"/>
      <c r="M776" s="1056"/>
      <c r="N776" s="1056"/>
      <c r="O776" s="1056"/>
      <c r="P776" s="1056"/>
      <c r="Q776" s="1056"/>
      <c r="R776" s="1056"/>
      <c r="S776" s="1056"/>
      <c r="T776" s="1056"/>
      <c r="U776" s="1056"/>
      <c r="V776" s="1056"/>
      <c r="W776" s="1056"/>
      <c r="X776" s="1056"/>
      <c r="Y776" s="1056"/>
      <c r="Z776" s="1056"/>
      <c r="AA776" s="1056"/>
      <c r="AB776" s="1056"/>
      <c r="AC776" s="1056"/>
    </row>
    <row r="777" spans="1:29" x14ac:dyDescent="0.25">
      <c r="A777" s="1106"/>
      <c r="B777" s="1056"/>
      <c r="C777" s="1056"/>
      <c r="D777" s="1056"/>
      <c r="E777" s="1056"/>
      <c r="F777" s="1056"/>
      <c r="G777" s="1056"/>
      <c r="H777" s="1056"/>
      <c r="I777" s="1056"/>
      <c r="J777" s="1056"/>
      <c r="K777" s="1056"/>
      <c r="L777" s="1056"/>
      <c r="M777" s="1056"/>
      <c r="N777" s="1056"/>
      <c r="O777" s="1056"/>
      <c r="P777" s="1056"/>
      <c r="Q777" s="1056"/>
      <c r="R777" s="1056"/>
      <c r="S777" s="1056"/>
      <c r="T777" s="1056"/>
      <c r="U777" s="1056"/>
      <c r="V777" s="1056"/>
      <c r="W777" s="1056"/>
      <c r="X777" s="1056"/>
      <c r="Y777" s="1056"/>
      <c r="Z777" s="1056"/>
      <c r="AA777" s="1056"/>
      <c r="AB777" s="1056"/>
      <c r="AC777" s="1056"/>
    </row>
    <row r="778" spans="1:29" x14ac:dyDescent="0.25">
      <c r="A778" s="1106"/>
      <c r="B778" s="1056"/>
      <c r="C778" s="1056"/>
      <c r="D778" s="1056"/>
      <c r="E778" s="1056"/>
      <c r="F778" s="1056"/>
      <c r="G778" s="1056"/>
      <c r="H778" s="1056"/>
      <c r="I778" s="1056"/>
      <c r="J778" s="1056"/>
      <c r="K778" s="1056"/>
      <c r="L778" s="1056"/>
      <c r="M778" s="1056"/>
      <c r="N778" s="1056"/>
      <c r="O778" s="1056"/>
      <c r="P778" s="1056"/>
      <c r="Q778" s="1056"/>
      <c r="R778" s="1056"/>
      <c r="S778" s="1056"/>
      <c r="T778" s="1056"/>
      <c r="U778" s="1056"/>
      <c r="V778" s="1056"/>
      <c r="W778" s="1056"/>
      <c r="X778" s="1056"/>
      <c r="Y778" s="1056"/>
      <c r="Z778" s="1056"/>
      <c r="AA778" s="1056"/>
      <c r="AB778" s="1056"/>
      <c r="AC778" s="1056"/>
    </row>
    <row r="779" spans="1:29" x14ac:dyDescent="0.25">
      <c r="A779" s="1106"/>
      <c r="B779" s="1056"/>
      <c r="C779" s="1056"/>
      <c r="D779" s="1056"/>
      <c r="E779" s="1056"/>
      <c r="F779" s="1056"/>
      <c r="G779" s="1056"/>
      <c r="H779" s="1056"/>
      <c r="I779" s="1056"/>
      <c r="J779" s="1056"/>
      <c r="K779" s="1056"/>
      <c r="L779" s="1056"/>
      <c r="M779" s="1056"/>
      <c r="N779" s="1056"/>
      <c r="O779" s="1056"/>
      <c r="P779" s="1056"/>
      <c r="Q779" s="1056"/>
      <c r="R779" s="1056"/>
      <c r="S779" s="1056"/>
      <c r="T779" s="1056"/>
      <c r="U779" s="1056"/>
      <c r="V779" s="1056"/>
      <c r="W779" s="1056"/>
      <c r="X779" s="1056"/>
      <c r="Y779" s="1056"/>
      <c r="Z779" s="1056"/>
      <c r="AA779" s="1056"/>
      <c r="AB779" s="1056"/>
      <c r="AC779" s="1056"/>
    </row>
    <row r="780" spans="1:29" x14ac:dyDescent="0.25">
      <c r="A780" s="1106"/>
      <c r="B780" s="1056"/>
      <c r="C780" s="1056"/>
      <c r="D780" s="1056"/>
      <c r="E780" s="1056"/>
      <c r="F780" s="1056"/>
      <c r="G780" s="1056"/>
      <c r="H780" s="1056"/>
      <c r="I780" s="1056"/>
      <c r="J780" s="1056"/>
      <c r="K780" s="1056"/>
      <c r="L780" s="1056"/>
      <c r="M780" s="1056"/>
      <c r="N780" s="1056"/>
      <c r="O780" s="1056"/>
      <c r="P780" s="1056"/>
      <c r="Q780" s="1056"/>
      <c r="R780" s="1056"/>
      <c r="S780" s="1056"/>
      <c r="T780" s="1056"/>
      <c r="U780" s="1056"/>
      <c r="V780" s="1056"/>
      <c r="W780" s="1056"/>
      <c r="X780" s="1056"/>
      <c r="Y780" s="1056"/>
      <c r="Z780" s="1056"/>
      <c r="AA780" s="1056"/>
      <c r="AB780" s="1056"/>
      <c r="AC780" s="1056"/>
    </row>
    <row r="781" spans="1:29" x14ac:dyDescent="0.25">
      <c r="A781" s="1106"/>
      <c r="B781" s="1056"/>
      <c r="C781" s="1056"/>
      <c r="D781" s="1056"/>
      <c r="E781" s="1056"/>
      <c r="F781" s="1056"/>
      <c r="G781" s="1056"/>
      <c r="H781" s="1056"/>
      <c r="I781" s="1056"/>
      <c r="J781" s="1056"/>
      <c r="K781" s="1056"/>
      <c r="L781" s="1056"/>
      <c r="M781" s="1056"/>
      <c r="N781" s="1056"/>
      <c r="O781" s="1056"/>
      <c r="P781" s="1056"/>
      <c r="Q781" s="1056"/>
      <c r="R781" s="1056"/>
      <c r="S781" s="1056"/>
      <c r="T781" s="1056"/>
      <c r="U781" s="1056"/>
      <c r="V781" s="1056"/>
      <c r="W781" s="1056"/>
      <c r="X781" s="1056"/>
      <c r="Y781" s="1056"/>
      <c r="Z781" s="1056"/>
      <c r="AA781" s="1056"/>
      <c r="AB781" s="1056"/>
      <c r="AC781" s="1056"/>
    </row>
    <row r="782" spans="1:29" x14ac:dyDescent="0.25">
      <c r="A782" s="1106"/>
      <c r="B782" s="1056"/>
      <c r="C782" s="1056"/>
      <c r="D782" s="1056"/>
      <c r="E782" s="1056"/>
      <c r="F782" s="1056"/>
      <c r="G782" s="1056"/>
      <c r="H782" s="1056"/>
      <c r="I782" s="1056"/>
      <c r="J782" s="1056"/>
      <c r="K782" s="1056"/>
      <c r="L782" s="1056"/>
      <c r="M782" s="1056"/>
      <c r="N782" s="1056"/>
      <c r="O782" s="1056"/>
      <c r="P782" s="1056"/>
      <c r="Q782" s="1056"/>
      <c r="R782" s="1056"/>
      <c r="S782" s="1056"/>
      <c r="T782" s="1056"/>
      <c r="U782" s="1056"/>
      <c r="V782" s="1056"/>
      <c r="W782" s="1056"/>
      <c r="X782" s="1056"/>
      <c r="Y782" s="1056"/>
      <c r="Z782" s="1056"/>
      <c r="AA782" s="1056"/>
      <c r="AB782" s="1056"/>
      <c r="AC782" s="1056"/>
    </row>
    <row r="783" spans="1:29" x14ac:dyDescent="0.25">
      <c r="A783" s="1106"/>
      <c r="B783" s="1056"/>
      <c r="C783" s="1056"/>
      <c r="D783" s="1056"/>
      <c r="E783" s="1056"/>
      <c r="F783" s="1056"/>
      <c r="G783" s="1056"/>
      <c r="H783" s="1056"/>
      <c r="I783" s="1056"/>
      <c r="J783" s="1056"/>
      <c r="K783" s="1056"/>
      <c r="L783" s="1056"/>
      <c r="M783" s="1056"/>
      <c r="N783" s="1056"/>
      <c r="O783" s="1056"/>
      <c r="P783" s="1056"/>
      <c r="Q783" s="1056"/>
      <c r="R783" s="1056"/>
      <c r="S783" s="1056"/>
      <c r="T783" s="1056"/>
      <c r="U783" s="1056"/>
      <c r="V783" s="1056"/>
      <c r="W783" s="1056"/>
      <c r="X783" s="1056"/>
      <c r="Y783" s="1056"/>
      <c r="Z783" s="1056"/>
      <c r="AA783" s="1056"/>
      <c r="AB783" s="1056"/>
      <c r="AC783" s="1056"/>
    </row>
    <row r="784" spans="1:29" x14ac:dyDescent="0.25">
      <c r="A784" s="1106"/>
      <c r="B784" s="1056"/>
      <c r="C784" s="1056"/>
      <c r="D784" s="1056"/>
      <c r="E784" s="1056"/>
      <c r="F784" s="1056"/>
      <c r="G784" s="1056"/>
      <c r="H784" s="1056"/>
      <c r="I784" s="1056"/>
      <c r="J784" s="1056"/>
      <c r="K784" s="1056"/>
      <c r="L784" s="1056"/>
      <c r="M784" s="1056"/>
      <c r="N784" s="1056"/>
      <c r="O784" s="1056"/>
      <c r="P784" s="1056"/>
      <c r="Q784" s="1056"/>
      <c r="R784" s="1056"/>
      <c r="S784" s="1056"/>
      <c r="T784" s="1056"/>
      <c r="U784" s="1056"/>
      <c r="V784" s="1056"/>
      <c r="W784" s="1056"/>
      <c r="X784" s="1056"/>
      <c r="Y784" s="1056"/>
      <c r="Z784" s="1056"/>
      <c r="AA784" s="1056"/>
      <c r="AB784" s="1056"/>
      <c r="AC784" s="1056"/>
    </row>
    <row r="785" spans="1:29" x14ac:dyDescent="0.25">
      <c r="A785" s="1106"/>
      <c r="B785" s="1056"/>
      <c r="C785" s="1056"/>
      <c r="D785" s="1056"/>
      <c r="E785" s="1056"/>
      <c r="F785" s="1056"/>
      <c r="G785" s="1056"/>
      <c r="H785" s="1056"/>
      <c r="I785" s="1056"/>
      <c r="J785" s="1056"/>
      <c r="K785" s="1056"/>
      <c r="L785" s="1056"/>
      <c r="M785" s="1056"/>
      <c r="N785" s="1056"/>
      <c r="O785" s="1056"/>
      <c r="P785" s="1056"/>
      <c r="Q785" s="1056"/>
      <c r="R785" s="1056"/>
      <c r="S785" s="1056"/>
      <c r="T785" s="1056"/>
      <c r="U785" s="1056"/>
      <c r="V785" s="1056"/>
      <c r="W785" s="1056"/>
      <c r="X785" s="1056"/>
      <c r="Y785" s="1056"/>
      <c r="Z785" s="1056"/>
      <c r="AA785" s="1056"/>
      <c r="AB785" s="1056"/>
      <c r="AC785" s="1056"/>
    </row>
    <row r="786" spans="1:29" x14ac:dyDescent="0.25">
      <c r="A786" s="1106"/>
      <c r="B786" s="1056"/>
      <c r="C786" s="1056"/>
      <c r="D786" s="1056"/>
      <c r="E786" s="1056"/>
      <c r="F786" s="1056"/>
      <c r="G786" s="1056"/>
      <c r="H786" s="1056"/>
      <c r="I786" s="1056"/>
      <c r="J786" s="1056"/>
      <c r="K786" s="1056"/>
      <c r="L786" s="1056"/>
      <c r="M786" s="1056"/>
      <c r="N786" s="1056"/>
      <c r="O786" s="1056"/>
      <c r="P786" s="1056"/>
      <c r="Q786" s="1056"/>
      <c r="R786" s="1056"/>
      <c r="S786" s="1056"/>
      <c r="T786" s="1056"/>
      <c r="U786" s="1056"/>
      <c r="V786" s="1056"/>
      <c r="W786" s="1056"/>
      <c r="X786" s="1056"/>
      <c r="Y786" s="1056"/>
      <c r="Z786" s="1056"/>
      <c r="AA786" s="1056"/>
      <c r="AB786" s="1056"/>
      <c r="AC786" s="1056"/>
    </row>
    <row r="787" spans="1:29" x14ac:dyDescent="0.25">
      <c r="A787" s="1106"/>
      <c r="B787" s="1056"/>
      <c r="C787" s="1056"/>
      <c r="D787" s="1056"/>
      <c r="E787" s="1056"/>
      <c r="F787" s="1056"/>
      <c r="G787" s="1056"/>
      <c r="H787" s="1056"/>
      <c r="I787" s="1056"/>
      <c r="J787" s="1056"/>
      <c r="K787" s="1056"/>
      <c r="L787" s="1056"/>
      <c r="M787" s="1056"/>
      <c r="N787" s="1056"/>
      <c r="O787" s="1056"/>
      <c r="P787" s="1056"/>
      <c r="Q787" s="1056"/>
      <c r="R787" s="1056"/>
      <c r="S787" s="1056"/>
      <c r="T787" s="1056"/>
      <c r="U787" s="1056"/>
      <c r="V787" s="1056"/>
      <c r="W787" s="1056"/>
      <c r="X787" s="1056"/>
      <c r="Y787" s="1056"/>
      <c r="Z787" s="1056"/>
      <c r="AA787" s="1056"/>
      <c r="AB787" s="1056"/>
      <c r="AC787" s="1056"/>
    </row>
    <row r="788" spans="1:29" x14ac:dyDescent="0.25">
      <c r="A788" s="1106"/>
      <c r="B788" s="1056"/>
      <c r="C788" s="1056"/>
      <c r="D788" s="1056"/>
      <c r="E788" s="1056"/>
      <c r="F788" s="1056"/>
      <c r="G788" s="1056"/>
      <c r="H788" s="1056"/>
      <c r="I788" s="1056"/>
      <c r="J788" s="1056"/>
      <c r="K788" s="1056"/>
      <c r="L788" s="1056"/>
      <c r="M788" s="1056"/>
      <c r="N788" s="1056"/>
      <c r="O788" s="1056"/>
      <c r="P788" s="1056"/>
      <c r="Q788" s="1056"/>
      <c r="R788" s="1056"/>
      <c r="S788" s="1056"/>
      <c r="T788" s="1056"/>
      <c r="U788" s="1056"/>
      <c r="V788" s="1056"/>
      <c r="W788" s="1056"/>
      <c r="X788" s="1056"/>
      <c r="Y788" s="1056"/>
      <c r="Z788" s="1056"/>
      <c r="AA788" s="1056"/>
      <c r="AB788" s="1056"/>
      <c r="AC788" s="1056"/>
    </row>
    <row r="789" spans="1:29" x14ac:dyDescent="0.25">
      <c r="A789" s="1106"/>
      <c r="B789" s="1056"/>
      <c r="C789" s="1056"/>
      <c r="D789" s="1056"/>
      <c r="E789" s="1056"/>
      <c r="F789" s="1056"/>
      <c r="G789" s="1056"/>
      <c r="H789" s="1056"/>
      <c r="I789" s="1056"/>
      <c r="J789" s="1056"/>
      <c r="K789" s="1056"/>
      <c r="L789" s="1056"/>
      <c r="M789" s="1056"/>
      <c r="N789" s="1056"/>
      <c r="O789" s="1056"/>
      <c r="P789" s="1056"/>
      <c r="Q789" s="1056"/>
      <c r="R789" s="1056"/>
      <c r="S789" s="1056"/>
      <c r="T789" s="1056"/>
      <c r="U789" s="1056"/>
      <c r="V789" s="1056"/>
      <c r="W789" s="1056"/>
      <c r="X789" s="1056"/>
      <c r="Y789" s="1056"/>
      <c r="Z789" s="1056"/>
      <c r="AA789" s="1056"/>
      <c r="AB789" s="1056"/>
      <c r="AC789" s="1056"/>
    </row>
    <row r="790" spans="1:29" x14ac:dyDescent="0.25">
      <c r="A790" s="1106"/>
      <c r="B790" s="1056"/>
      <c r="C790" s="1056"/>
      <c r="D790" s="1056"/>
      <c r="E790" s="1056"/>
      <c r="F790" s="1056"/>
      <c r="G790" s="1056"/>
      <c r="H790" s="1056"/>
      <c r="I790" s="1056"/>
      <c r="J790" s="1056"/>
      <c r="K790" s="1056"/>
      <c r="L790" s="1056"/>
      <c r="M790" s="1056"/>
      <c r="N790" s="1056"/>
      <c r="O790" s="1056"/>
      <c r="P790" s="1056"/>
      <c r="Q790" s="1056"/>
      <c r="R790" s="1056"/>
      <c r="S790" s="1056"/>
      <c r="T790" s="1056"/>
      <c r="U790" s="1056"/>
      <c r="V790" s="1056"/>
      <c r="W790" s="1056"/>
      <c r="X790" s="1056"/>
      <c r="Y790" s="1056"/>
      <c r="Z790" s="1056"/>
      <c r="AA790" s="1056"/>
      <c r="AB790" s="1056"/>
      <c r="AC790" s="1056"/>
    </row>
    <row r="791" spans="1:29" x14ac:dyDescent="0.25">
      <c r="A791" s="1106"/>
      <c r="B791" s="1056"/>
      <c r="C791" s="1056"/>
      <c r="D791" s="1056"/>
      <c r="E791" s="1056"/>
      <c r="F791" s="1056"/>
      <c r="G791" s="1056"/>
      <c r="H791" s="1056"/>
      <c r="I791" s="1056"/>
      <c r="J791" s="1056"/>
      <c r="K791" s="1056"/>
      <c r="L791" s="1056"/>
      <c r="M791" s="1056"/>
      <c r="N791" s="1056"/>
      <c r="O791" s="1056"/>
      <c r="P791" s="1056"/>
      <c r="Q791" s="1056"/>
      <c r="R791" s="1056"/>
      <c r="S791" s="1056"/>
      <c r="T791" s="1056"/>
      <c r="U791" s="1056"/>
      <c r="V791" s="1056"/>
      <c r="W791" s="1056"/>
      <c r="X791" s="1056"/>
      <c r="Y791" s="1056"/>
      <c r="Z791" s="1056"/>
      <c r="AA791" s="1056"/>
      <c r="AB791" s="1056"/>
      <c r="AC791" s="1056"/>
    </row>
    <row r="792" spans="1:29" x14ac:dyDescent="0.25">
      <c r="A792" s="1106"/>
      <c r="B792" s="1056"/>
      <c r="C792" s="1056"/>
      <c r="D792" s="1056"/>
      <c r="E792" s="1056"/>
      <c r="F792" s="1056"/>
      <c r="G792" s="1056"/>
      <c r="H792" s="1056"/>
      <c r="I792" s="1056"/>
      <c r="J792" s="1056"/>
      <c r="K792" s="1056"/>
      <c r="L792" s="1056"/>
      <c r="M792" s="1056"/>
      <c r="N792" s="1056"/>
      <c r="O792" s="1056"/>
      <c r="P792" s="1056"/>
      <c r="Q792" s="1056"/>
      <c r="R792" s="1056"/>
      <c r="S792" s="1056"/>
      <c r="T792" s="1056"/>
      <c r="U792" s="1056"/>
      <c r="V792" s="1056"/>
      <c r="W792" s="1056"/>
      <c r="X792" s="1056"/>
      <c r="Y792" s="1056"/>
      <c r="Z792" s="1056"/>
      <c r="AA792" s="1056"/>
      <c r="AB792" s="1056"/>
      <c r="AC792" s="1056"/>
    </row>
    <row r="793" spans="1:29" x14ac:dyDescent="0.25">
      <c r="A793" s="1106"/>
      <c r="B793" s="1056"/>
      <c r="C793" s="1056"/>
      <c r="D793" s="1056"/>
      <c r="E793" s="1056"/>
      <c r="F793" s="1056"/>
      <c r="G793" s="1056"/>
      <c r="H793" s="1056"/>
      <c r="I793" s="1056"/>
      <c r="J793" s="1056"/>
      <c r="K793" s="1056"/>
      <c r="L793" s="1056"/>
      <c r="M793" s="1056"/>
      <c r="N793" s="1056"/>
      <c r="O793" s="1056"/>
      <c r="P793" s="1056"/>
      <c r="Q793" s="1056"/>
      <c r="R793" s="1056"/>
      <c r="S793" s="1056"/>
      <c r="T793" s="1056"/>
      <c r="U793" s="1056"/>
      <c r="V793" s="1056"/>
      <c r="W793" s="1056"/>
      <c r="X793" s="1056"/>
      <c r="Y793" s="1056"/>
      <c r="Z793" s="1056"/>
      <c r="AA793" s="1056"/>
      <c r="AB793" s="1056"/>
      <c r="AC793" s="1056"/>
    </row>
    <row r="794" spans="1:29" x14ac:dyDescent="0.25">
      <c r="A794" s="1106"/>
      <c r="B794" s="1056"/>
      <c r="C794" s="1056"/>
      <c r="D794" s="1056"/>
      <c r="E794" s="1056"/>
      <c r="F794" s="1056"/>
      <c r="G794" s="1056"/>
      <c r="H794" s="1056"/>
      <c r="I794" s="1056"/>
      <c r="J794" s="1056"/>
      <c r="K794" s="1056"/>
      <c r="L794" s="1056"/>
      <c r="M794" s="1056"/>
      <c r="N794" s="1056"/>
      <c r="O794" s="1056"/>
      <c r="P794" s="1056"/>
      <c r="Q794" s="1056"/>
      <c r="R794" s="1056"/>
      <c r="S794" s="1056"/>
      <c r="T794" s="1056"/>
      <c r="U794" s="1056"/>
      <c r="V794" s="1056"/>
      <c r="W794" s="1056"/>
      <c r="X794" s="1056"/>
      <c r="Y794" s="1056"/>
      <c r="Z794" s="1056"/>
      <c r="AA794" s="1056"/>
      <c r="AB794" s="1056"/>
      <c r="AC794" s="1056"/>
    </row>
    <row r="795" spans="1:29" x14ac:dyDescent="0.25">
      <c r="A795" s="1106"/>
      <c r="B795" s="1056"/>
      <c r="C795" s="1056"/>
      <c r="D795" s="1056"/>
      <c r="E795" s="1056"/>
      <c r="F795" s="1056"/>
      <c r="G795" s="1056"/>
      <c r="H795" s="1056"/>
      <c r="I795" s="1056"/>
      <c r="J795" s="1056"/>
      <c r="K795" s="1056"/>
      <c r="L795" s="1056"/>
      <c r="M795" s="1056"/>
      <c r="N795" s="1056"/>
      <c r="O795" s="1056"/>
      <c r="P795" s="1056"/>
      <c r="Q795" s="1056"/>
      <c r="R795" s="1056"/>
      <c r="S795" s="1056"/>
      <c r="T795" s="1056"/>
      <c r="U795" s="1056"/>
      <c r="V795" s="1056"/>
      <c r="W795" s="1056"/>
      <c r="X795" s="1056"/>
      <c r="Y795" s="1056"/>
      <c r="Z795" s="1056"/>
      <c r="AA795" s="1056"/>
      <c r="AB795" s="1056"/>
      <c r="AC795" s="1056"/>
    </row>
    <row r="796" spans="1:29" x14ac:dyDescent="0.25">
      <c r="A796" s="1106"/>
      <c r="B796" s="1056"/>
      <c r="C796" s="1056"/>
      <c r="D796" s="1056"/>
      <c r="E796" s="1056"/>
      <c r="F796" s="1056"/>
      <c r="G796" s="1056"/>
      <c r="H796" s="1056"/>
      <c r="I796" s="1056"/>
      <c r="J796" s="1056"/>
      <c r="K796" s="1056"/>
      <c r="L796" s="1056"/>
      <c r="M796" s="1056"/>
      <c r="N796" s="1056"/>
      <c r="O796" s="1056"/>
      <c r="P796" s="1056"/>
      <c r="Q796" s="1056"/>
      <c r="R796" s="1056"/>
      <c r="S796" s="1056"/>
      <c r="T796" s="1056"/>
      <c r="U796" s="1056"/>
      <c r="V796" s="1056"/>
      <c r="W796" s="1056"/>
      <c r="X796" s="1056"/>
      <c r="Y796" s="1056"/>
      <c r="Z796" s="1056"/>
      <c r="AA796" s="1056"/>
      <c r="AB796" s="1056"/>
      <c r="AC796" s="1056"/>
    </row>
    <row r="797" spans="1:29" x14ac:dyDescent="0.25">
      <c r="A797" s="1106"/>
      <c r="B797" s="1056"/>
      <c r="C797" s="1056"/>
      <c r="D797" s="1056"/>
      <c r="E797" s="1056"/>
      <c r="F797" s="1056"/>
      <c r="G797" s="1056"/>
      <c r="H797" s="1056"/>
      <c r="I797" s="1056"/>
      <c r="J797" s="1056"/>
      <c r="K797" s="1056"/>
      <c r="L797" s="1056"/>
      <c r="M797" s="1056"/>
      <c r="N797" s="1056"/>
      <c r="O797" s="1056"/>
      <c r="P797" s="1056"/>
      <c r="Q797" s="1056"/>
      <c r="R797" s="1056"/>
      <c r="S797" s="1056"/>
      <c r="T797" s="1056"/>
      <c r="U797" s="1056"/>
      <c r="V797" s="1056"/>
      <c r="W797" s="1056"/>
      <c r="X797" s="1056"/>
      <c r="Y797" s="1056"/>
      <c r="Z797" s="1056"/>
      <c r="AA797" s="1056"/>
      <c r="AB797" s="1056"/>
      <c r="AC797" s="1056"/>
    </row>
    <row r="798" spans="1:29" x14ac:dyDescent="0.25">
      <c r="A798" s="1106"/>
      <c r="B798" s="1056"/>
      <c r="C798" s="1056"/>
      <c r="D798" s="1056"/>
      <c r="E798" s="1056"/>
      <c r="F798" s="1056"/>
      <c r="G798" s="1056"/>
      <c r="H798" s="1056"/>
      <c r="I798" s="1056"/>
      <c r="J798" s="1056"/>
      <c r="K798" s="1056"/>
      <c r="L798" s="1056"/>
      <c r="M798" s="1056"/>
      <c r="N798" s="1056"/>
      <c r="O798" s="1056"/>
      <c r="P798" s="1056"/>
      <c r="Q798" s="1056"/>
      <c r="R798" s="1056"/>
      <c r="S798" s="1056"/>
      <c r="T798" s="1056"/>
      <c r="U798" s="1056"/>
      <c r="V798" s="1056"/>
      <c r="W798" s="1056"/>
      <c r="X798" s="1056"/>
      <c r="Y798" s="1056"/>
      <c r="Z798" s="1056"/>
      <c r="AA798" s="1056"/>
      <c r="AB798" s="1056"/>
      <c r="AC798" s="1056"/>
    </row>
    <row r="799" spans="1:29" x14ac:dyDescent="0.25">
      <c r="A799" s="1106"/>
      <c r="B799" s="1056"/>
      <c r="C799" s="1056"/>
      <c r="D799" s="1056"/>
      <c r="E799" s="1056"/>
      <c r="F799" s="1056"/>
      <c r="G799" s="1056"/>
      <c r="H799" s="1056"/>
      <c r="I799" s="1056"/>
      <c r="J799" s="1056"/>
      <c r="K799" s="1056"/>
      <c r="L799" s="1056"/>
      <c r="M799" s="1056"/>
      <c r="N799" s="1056"/>
      <c r="O799" s="1056"/>
      <c r="P799" s="1056"/>
      <c r="Q799" s="1056"/>
      <c r="R799" s="1056"/>
      <c r="S799" s="1056"/>
      <c r="T799" s="1056"/>
      <c r="U799" s="1056"/>
      <c r="V799" s="1056"/>
      <c r="W799" s="1056"/>
      <c r="X799" s="1056"/>
      <c r="Y799" s="1056"/>
      <c r="Z799" s="1056"/>
      <c r="AA799" s="1056"/>
      <c r="AB799" s="1056"/>
      <c r="AC799" s="1056"/>
    </row>
    <row r="800" spans="1:29" x14ac:dyDescent="0.25">
      <c r="A800" s="1106"/>
      <c r="B800" s="1056"/>
      <c r="C800" s="1056"/>
      <c r="D800" s="1056"/>
      <c r="E800" s="1056"/>
      <c r="F800" s="1056"/>
      <c r="G800" s="1056"/>
      <c r="H800" s="1056"/>
      <c r="I800" s="1056"/>
      <c r="J800" s="1056"/>
      <c r="K800" s="1056"/>
      <c r="L800" s="1056"/>
      <c r="M800" s="1056"/>
      <c r="N800" s="1056"/>
      <c r="O800" s="1056"/>
      <c r="P800" s="1056"/>
      <c r="Q800" s="1056"/>
      <c r="R800" s="1056"/>
      <c r="S800" s="1056"/>
      <c r="T800" s="1056"/>
      <c r="U800" s="1056"/>
      <c r="V800" s="1056"/>
      <c r="W800" s="1056"/>
      <c r="X800" s="1056"/>
      <c r="Y800" s="1056"/>
      <c r="Z800" s="1056"/>
      <c r="AA800" s="1056"/>
      <c r="AB800" s="1056"/>
      <c r="AC800" s="1056"/>
    </row>
    <row r="801" spans="1:29" x14ac:dyDescent="0.25">
      <c r="A801" s="1106"/>
      <c r="B801" s="1056"/>
      <c r="C801" s="1056"/>
      <c r="D801" s="1056"/>
      <c r="E801" s="1056"/>
      <c r="F801" s="1056"/>
      <c r="G801" s="1056"/>
      <c r="H801" s="1056"/>
      <c r="I801" s="1056"/>
      <c r="J801" s="1056"/>
      <c r="K801" s="1056"/>
      <c r="L801" s="1056"/>
      <c r="M801" s="1056"/>
      <c r="N801" s="1056"/>
      <c r="O801" s="1056"/>
      <c r="P801" s="1056"/>
      <c r="Q801" s="1056"/>
      <c r="R801" s="1056"/>
      <c r="S801" s="1056"/>
      <c r="T801" s="1056"/>
      <c r="U801" s="1056"/>
      <c r="V801" s="1056"/>
      <c r="W801" s="1056"/>
      <c r="X801" s="1056"/>
      <c r="Y801" s="1056"/>
      <c r="Z801" s="1056"/>
      <c r="AA801" s="1056"/>
      <c r="AB801" s="1056"/>
      <c r="AC801" s="1056"/>
    </row>
    <row r="802" spans="1:29" x14ac:dyDescent="0.25">
      <c r="A802" s="1106"/>
      <c r="B802" s="1056"/>
      <c r="C802" s="1056"/>
      <c r="D802" s="1056"/>
      <c r="E802" s="1056"/>
      <c r="F802" s="1056"/>
      <c r="G802" s="1056"/>
      <c r="H802" s="1056"/>
      <c r="I802" s="1056"/>
      <c r="J802" s="1056"/>
      <c r="K802" s="1056"/>
      <c r="L802" s="1056"/>
      <c r="M802" s="1056"/>
      <c r="N802" s="1056"/>
      <c r="O802" s="1056"/>
      <c r="P802" s="1056"/>
      <c r="Q802" s="1056"/>
      <c r="R802" s="1056"/>
      <c r="S802" s="1056"/>
      <c r="T802" s="1056"/>
      <c r="U802" s="1056"/>
      <c r="V802" s="1056"/>
      <c r="W802" s="1056"/>
      <c r="X802" s="1056"/>
      <c r="Y802" s="1056"/>
      <c r="Z802" s="1056"/>
      <c r="AA802" s="1056"/>
      <c r="AB802" s="1056"/>
      <c r="AC802" s="1056"/>
    </row>
    <row r="803" spans="1:29" x14ac:dyDescent="0.25">
      <c r="A803" s="1106"/>
      <c r="B803" s="1056"/>
      <c r="C803" s="1056"/>
      <c r="D803" s="1056"/>
      <c r="E803" s="1056"/>
      <c r="F803" s="1056"/>
      <c r="G803" s="1056"/>
      <c r="H803" s="1056"/>
      <c r="I803" s="1056"/>
      <c r="J803" s="1056"/>
      <c r="K803" s="1056"/>
      <c r="L803" s="1056"/>
      <c r="M803" s="1056"/>
      <c r="N803" s="1056"/>
      <c r="O803" s="1056"/>
      <c r="P803" s="1056"/>
      <c r="Q803" s="1056"/>
      <c r="R803" s="1056"/>
      <c r="S803" s="1056"/>
      <c r="T803" s="1056"/>
      <c r="U803" s="1056"/>
      <c r="V803" s="1056"/>
      <c r="W803" s="1056"/>
      <c r="X803" s="1056"/>
      <c r="Y803" s="1056"/>
      <c r="Z803" s="1056"/>
      <c r="AA803" s="1056"/>
      <c r="AB803" s="1056"/>
      <c r="AC803" s="1056"/>
    </row>
    <row r="804" spans="1:29" x14ac:dyDescent="0.25">
      <c r="A804" s="1106"/>
      <c r="B804" s="1056"/>
      <c r="C804" s="1056"/>
      <c r="D804" s="1056"/>
      <c r="E804" s="1056"/>
      <c r="F804" s="1056"/>
      <c r="G804" s="1056"/>
      <c r="H804" s="1056"/>
      <c r="I804" s="1056"/>
      <c r="J804" s="1056"/>
      <c r="K804" s="1056"/>
      <c r="L804" s="1056"/>
      <c r="M804" s="1056"/>
      <c r="N804" s="1056"/>
      <c r="O804" s="1056"/>
      <c r="P804" s="1056"/>
      <c r="Q804" s="1056"/>
      <c r="R804" s="1056"/>
      <c r="S804" s="1056"/>
      <c r="T804" s="1056"/>
      <c r="U804" s="1056"/>
      <c r="V804" s="1056"/>
      <c r="W804" s="1056"/>
      <c r="X804" s="1056"/>
      <c r="Y804" s="1056"/>
      <c r="Z804" s="1056"/>
      <c r="AA804" s="1056"/>
      <c r="AB804" s="1056"/>
      <c r="AC804" s="1056"/>
    </row>
    <row r="805" spans="1:29" x14ac:dyDescent="0.25">
      <c r="A805" s="1106"/>
      <c r="B805" s="1056"/>
      <c r="C805" s="1056"/>
      <c r="D805" s="1056"/>
      <c r="E805" s="1056"/>
      <c r="F805" s="1056"/>
      <c r="G805" s="1056"/>
      <c r="H805" s="1056"/>
      <c r="I805" s="1056"/>
      <c r="J805" s="1056"/>
      <c r="K805" s="1056"/>
      <c r="L805" s="1056"/>
      <c r="M805" s="1056"/>
      <c r="N805" s="1056"/>
      <c r="O805" s="1056"/>
      <c r="P805" s="1056"/>
      <c r="Q805" s="1056"/>
      <c r="R805" s="1056"/>
      <c r="S805" s="1056"/>
      <c r="T805" s="1056"/>
      <c r="U805" s="1056"/>
      <c r="V805" s="1056"/>
      <c r="W805" s="1056"/>
      <c r="X805" s="1056"/>
      <c r="Y805" s="1056"/>
      <c r="Z805" s="1056"/>
      <c r="AA805" s="1056"/>
      <c r="AB805" s="1056"/>
      <c r="AC805" s="1056"/>
    </row>
    <row r="806" spans="1:29" x14ac:dyDescent="0.25">
      <c r="A806" s="1106"/>
      <c r="B806" s="1056"/>
      <c r="C806" s="1056"/>
      <c r="D806" s="1056"/>
      <c r="E806" s="1056"/>
      <c r="F806" s="1056"/>
      <c r="G806" s="1056"/>
      <c r="H806" s="1056"/>
      <c r="I806" s="1056"/>
      <c r="J806" s="1056"/>
      <c r="K806" s="1056"/>
      <c r="L806" s="1056"/>
      <c r="M806" s="1056"/>
      <c r="N806" s="1056"/>
      <c r="O806" s="1056"/>
      <c r="P806" s="1056"/>
      <c r="Q806" s="1056"/>
      <c r="R806" s="1056"/>
      <c r="S806" s="1056"/>
      <c r="T806" s="1056"/>
      <c r="U806" s="1056"/>
      <c r="V806" s="1056"/>
      <c r="W806" s="1056"/>
      <c r="X806" s="1056"/>
      <c r="Y806" s="1056"/>
      <c r="Z806" s="1056"/>
      <c r="AA806" s="1056"/>
      <c r="AB806" s="1056"/>
      <c r="AC806" s="1056"/>
    </row>
    <row r="807" spans="1:29" x14ac:dyDescent="0.25">
      <c r="A807" s="1106"/>
      <c r="B807" s="1056"/>
      <c r="C807" s="1056"/>
      <c r="D807" s="1056"/>
      <c r="E807" s="1056"/>
      <c r="F807" s="1056"/>
      <c r="G807" s="1056"/>
      <c r="H807" s="1056"/>
      <c r="I807" s="1056"/>
      <c r="J807" s="1056"/>
      <c r="K807" s="1056"/>
      <c r="L807" s="1056"/>
      <c r="M807" s="1056"/>
      <c r="N807" s="1056"/>
      <c r="O807" s="1056"/>
      <c r="P807" s="1056"/>
      <c r="Q807" s="1056"/>
      <c r="R807" s="1056"/>
      <c r="S807" s="1056"/>
      <c r="T807" s="1056"/>
      <c r="U807" s="1056"/>
      <c r="V807" s="1056"/>
      <c r="W807" s="1056"/>
      <c r="X807" s="1056"/>
      <c r="Y807" s="1056"/>
      <c r="Z807" s="1056"/>
      <c r="AA807" s="1056"/>
      <c r="AB807" s="1056"/>
      <c r="AC807" s="1056"/>
    </row>
    <row r="808" spans="1:29" x14ac:dyDescent="0.25">
      <c r="A808" s="1106"/>
      <c r="B808" s="1056"/>
      <c r="C808" s="1056"/>
      <c r="D808" s="1056"/>
      <c r="E808" s="1056"/>
      <c r="F808" s="1056"/>
      <c r="G808" s="1056"/>
      <c r="H808" s="1056"/>
      <c r="I808" s="1056"/>
      <c r="J808" s="1056"/>
      <c r="K808" s="1056"/>
      <c r="L808" s="1056"/>
      <c r="M808" s="1056"/>
      <c r="N808" s="1056"/>
      <c r="O808" s="1056"/>
      <c r="P808" s="1056"/>
      <c r="Q808" s="1056"/>
      <c r="R808" s="1056"/>
      <c r="S808" s="1056"/>
      <c r="T808" s="1056"/>
      <c r="U808" s="1056"/>
      <c r="V808" s="1056"/>
      <c r="W808" s="1056"/>
      <c r="X808" s="1056"/>
      <c r="Y808" s="1056"/>
      <c r="Z808" s="1056"/>
      <c r="AA808" s="1056"/>
      <c r="AB808" s="1056"/>
      <c r="AC808" s="1056"/>
    </row>
    <row r="809" spans="1:29" x14ac:dyDescent="0.25">
      <c r="A809" s="1106"/>
      <c r="B809" s="1056"/>
      <c r="C809" s="1056"/>
      <c r="D809" s="1056"/>
      <c r="E809" s="1056"/>
      <c r="F809" s="1056"/>
      <c r="G809" s="1056"/>
      <c r="H809" s="1056"/>
      <c r="I809" s="1056"/>
      <c r="J809" s="1056"/>
      <c r="K809" s="1056"/>
      <c r="L809" s="1056"/>
      <c r="M809" s="1056"/>
      <c r="N809" s="1056"/>
      <c r="O809" s="1056"/>
      <c r="P809" s="1056"/>
      <c r="Q809" s="1056"/>
      <c r="R809" s="1056"/>
      <c r="S809" s="1056"/>
      <c r="T809" s="1056"/>
      <c r="U809" s="1056"/>
      <c r="V809" s="1056"/>
      <c r="W809" s="1056"/>
      <c r="X809" s="1056"/>
      <c r="Y809" s="1056"/>
      <c r="Z809" s="1056"/>
      <c r="AA809" s="1056"/>
      <c r="AB809" s="1056"/>
      <c r="AC809" s="1056"/>
    </row>
    <row r="810" spans="1:29" x14ac:dyDescent="0.25">
      <c r="A810" s="1106"/>
      <c r="B810" s="1056"/>
      <c r="C810" s="1056"/>
      <c r="D810" s="1056"/>
      <c r="E810" s="1056"/>
      <c r="F810" s="1056"/>
      <c r="G810" s="1056"/>
      <c r="H810" s="1056"/>
      <c r="I810" s="1056"/>
      <c r="J810" s="1056"/>
      <c r="K810" s="1056"/>
      <c r="L810" s="1056"/>
      <c r="M810" s="1056"/>
      <c r="N810" s="1056"/>
      <c r="O810" s="1056"/>
      <c r="P810" s="1056"/>
      <c r="Q810" s="1056"/>
      <c r="R810" s="1056"/>
      <c r="S810" s="1056"/>
      <c r="T810" s="1056"/>
      <c r="U810" s="1056"/>
      <c r="V810" s="1056"/>
      <c r="W810" s="1056"/>
      <c r="X810" s="1056"/>
      <c r="Y810" s="1056"/>
      <c r="Z810" s="1056"/>
      <c r="AA810" s="1056"/>
      <c r="AB810" s="1056"/>
      <c r="AC810" s="1056"/>
    </row>
    <row r="811" spans="1:29" x14ac:dyDescent="0.25">
      <c r="A811" s="1106"/>
      <c r="B811" s="1056"/>
      <c r="C811" s="1056"/>
      <c r="D811" s="1056"/>
      <c r="E811" s="1056"/>
      <c r="F811" s="1056"/>
      <c r="G811" s="1056"/>
      <c r="H811" s="1056"/>
      <c r="I811" s="1056"/>
      <c r="J811" s="1056"/>
      <c r="K811" s="1056"/>
      <c r="L811" s="1056"/>
      <c r="M811" s="1056"/>
      <c r="N811" s="1056"/>
      <c r="O811" s="1056"/>
      <c r="P811" s="1056"/>
      <c r="Q811" s="1056"/>
      <c r="R811" s="1056"/>
      <c r="S811" s="1056"/>
      <c r="T811" s="1056"/>
      <c r="U811" s="1056"/>
      <c r="V811" s="1056"/>
      <c r="W811" s="1056"/>
      <c r="X811" s="1056"/>
      <c r="Y811" s="1056"/>
      <c r="Z811" s="1056"/>
      <c r="AA811" s="1056"/>
      <c r="AB811" s="1056"/>
      <c r="AC811" s="1056"/>
    </row>
    <row r="812" spans="1:29" x14ac:dyDescent="0.25">
      <c r="A812" s="1106"/>
      <c r="B812" s="1056"/>
      <c r="C812" s="1056"/>
      <c r="D812" s="1056"/>
      <c r="E812" s="1056"/>
      <c r="F812" s="1056"/>
      <c r="G812" s="1056"/>
      <c r="H812" s="1056"/>
      <c r="I812" s="1056"/>
      <c r="J812" s="1056"/>
      <c r="K812" s="1056"/>
      <c r="L812" s="1056"/>
      <c r="M812" s="1056"/>
      <c r="N812" s="1056"/>
      <c r="O812" s="1056"/>
      <c r="P812" s="1056"/>
      <c r="Q812" s="1056"/>
      <c r="R812" s="1056"/>
      <c r="S812" s="1056"/>
      <c r="T812" s="1056"/>
      <c r="U812" s="1056"/>
      <c r="V812" s="1056"/>
      <c r="W812" s="1056"/>
      <c r="X812" s="1056"/>
      <c r="Y812" s="1056"/>
      <c r="Z812" s="1056"/>
      <c r="AA812" s="1056"/>
      <c r="AB812" s="1056"/>
      <c r="AC812" s="1056"/>
    </row>
    <row r="813" spans="1:29" x14ac:dyDescent="0.25">
      <c r="A813" s="1106"/>
      <c r="B813" s="1056"/>
      <c r="C813" s="1056"/>
      <c r="D813" s="1056"/>
      <c r="E813" s="1056"/>
      <c r="F813" s="1056"/>
      <c r="G813" s="1056"/>
      <c r="H813" s="1056"/>
      <c r="I813" s="1056"/>
      <c r="J813" s="1056"/>
      <c r="K813" s="1056"/>
      <c r="L813" s="1056"/>
      <c r="M813" s="1056"/>
      <c r="N813" s="1056"/>
      <c r="O813" s="1056"/>
      <c r="P813" s="1056"/>
      <c r="Q813" s="1056"/>
      <c r="R813" s="1056"/>
      <c r="S813" s="1056"/>
      <c r="T813" s="1056"/>
      <c r="U813" s="1056"/>
      <c r="V813" s="1056"/>
      <c r="W813" s="1056"/>
      <c r="X813" s="1056"/>
      <c r="Y813" s="1056"/>
      <c r="Z813" s="1056"/>
      <c r="AA813" s="1056"/>
      <c r="AB813" s="1056"/>
      <c r="AC813" s="1056"/>
    </row>
    <row r="814" spans="1:29" x14ac:dyDescent="0.25">
      <c r="A814" s="1106"/>
      <c r="B814" s="1056"/>
      <c r="C814" s="1056"/>
      <c r="D814" s="1056"/>
      <c r="E814" s="1056"/>
      <c r="F814" s="1056"/>
      <c r="G814" s="1056"/>
      <c r="H814" s="1056"/>
      <c r="I814" s="1056"/>
      <c r="J814" s="1056"/>
      <c r="K814" s="1056"/>
      <c r="L814" s="1056"/>
      <c r="M814" s="1056"/>
      <c r="N814" s="1056"/>
      <c r="O814" s="1056"/>
      <c r="P814" s="1056"/>
      <c r="Q814" s="1056"/>
      <c r="R814" s="1056"/>
      <c r="S814" s="1056"/>
      <c r="T814" s="1056"/>
      <c r="U814" s="1056"/>
      <c r="V814" s="1056"/>
      <c r="W814" s="1056"/>
      <c r="X814" s="1056"/>
      <c r="Y814" s="1056"/>
      <c r="Z814" s="1056"/>
      <c r="AA814" s="1056"/>
      <c r="AB814" s="1056"/>
      <c r="AC814" s="1056"/>
    </row>
    <row r="815" spans="1:29" x14ac:dyDescent="0.25">
      <c r="A815" s="1106"/>
      <c r="B815" s="1056"/>
      <c r="C815" s="1056"/>
      <c r="D815" s="1056"/>
      <c r="E815" s="1056"/>
      <c r="F815" s="1056"/>
      <c r="G815" s="1056"/>
      <c r="H815" s="1056"/>
      <c r="I815" s="1056"/>
      <c r="J815" s="1056"/>
      <c r="K815" s="1056"/>
      <c r="L815" s="1056"/>
      <c r="M815" s="1056"/>
      <c r="N815" s="1056"/>
      <c r="O815" s="1056"/>
      <c r="P815" s="1056"/>
      <c r="Q815" s="1056"/>
      <c r="R815" s="1056"/>
      <c r="S815" s="1056"/>
      <c r="T815" s="1056"/>
      <c r="U815" s="1056"/>
      <c r="V815" s="1056"/>
      <c r="W815" s="1056"/>
      <c r="X815" s="1056"/>
      <c r="Y815" s="1056"/>
      <c r="Z815" s="1056"/>
      <c r="AA815" s="1056"/>
      <c r="AB815" s="1056"/>
      <c r="AC815" s="1056"/>
    </row>
    <row r="816" spans="1:29" x14ac:dyDescent="0.25">
      <c r="A816" s="1106"/>
      <c r="B816" s="1056"/>
      <c r="C816" s="1056"/>
      <c r="D816" s="1056"/>
      <c r="E816" s="1056"/>
      <c r="F816" s="1056"/>
      <c r="G816" s="1056"/>
      <c r="H816" s="1056"/>
      <c r="I816" s="1056"/>
      <c r="J816" s="1056"/>
      <c r="K816" s="1056"/>
      <c r="L816" s="1056"/>
      <c r="M816" s="1056"/>
      <c r="N816" s="1056"/>
      <c r="O816" s="1056"/>
      <c r="P816" s="1056"/>
      <c r="Q816" s="1056"/>
      <c r="R816" s="1056"/>
      <c r="S816" s="1056"/>
      <c r="T816" s="1056"/>
      <c r="U816" s="1056"/>
      <c r="V816" s="1056"/>
      <c r="W816" s="1056"/>
      <c r="X816" s="1056"/>
      <c r="Y816" s="1056"/>
      <c r="Z816" s="1056"/>
      <c r="AA816" s="1056"/>
      <c r="AB816" s="1056"/>
      <c r="AC816" s="1056"/>
    </row>
    <row r="817" spans="1:29" x14ac:dyDescent="0.25">
      <c r="A817" s="1106"/>
      <c r="B817" s="1056"/>
      <c r="C817" s="1056"/>
      <c r="D817" s="1056"/>
      <c r="E817" s="1056"/>
      <c r="F817" s="1056"/>
      <c r="G817" s="1056"/>
      <c r="H817" s="1056"/>
      <c r="I817" s="1056"/>
      <c r="J817" s="1056"/>
      <c r="K817" s="1056"/>
      <c r="L817" s="1056"/>
      <c r="M817" s="1056"/>
      <c r="N817" s="1056"/>
      <c r="O817" s="1056"/>
      <c r="P817" s="1056"/>
      <c r="Q817" s="1056"/>
      <c r="R817" s="1056"/>
      <c r="S817" s="1056"/>
      <c r="T817" s="1056"/>
      <c r="U817" s="1056"/>
      <c r="V817" s="1056"/>
      <c r="W817" s="1056"/>
      <c r="X817" s="1056"/>
      <c r="Y817" s="1056"/>
      <c r="Z817" s="1056"/>
      <c r="AA817" s="1056"/>
      <c r="AB817" s="1056"/>
      <c r="AC817" s="1056"/>
    </row>
    <row r="818" spans="1:29" x14ac:dyDescent="0.25">
      <c r="A818" s="1106"/>
      <c r="B818" s="1056"/>
      <c r="C818" s="1056"/>
      <c r="D818" s="1056"/>
      <c r="E818" s="1056"/>
      <c r="F818" s="1056"/>
      <c r="G818" s="1056"/>
      <c r="H818" s="1056"/>
      <c r="I818" s="1056"/>
      <c r="J818" s="1056"/>
      <c r="K818" s="1056"/>
      <c r="L818" s="1056"/>
      <c r="M818" s="1056"/>
      <c r="N818" s="1056"/>
      <c r="O818" s="1056"/>
      <c r="P818" s="1056"/>
      <c r="Q818" s="1056"/>
      <c r="R818" s="1056"/>
      <c r="S818" s="1056"/>
      <c r="T818" s="1056"/>
      <c r="U818" s="1056"/>
      <c r="V818" s="1056"/>
      <c r="W818" s="1056"/>
      <c r="X818" s="1056"/>
      <c r="Y818" s="1056"/>
      <c r="Z818" s="1056"/>
      <c r="AA818" s="1056"/>
      <c r="AB818" s="1056"/>
      <c r="AC818" s="1056"/>
    </row>
    <row r="819" spans="1:29" x14ac:dyDescent="0.25">
      <c r="A819" s="1106"/>
      <c r="B819" s="1056"/>
      <c r="C819" s="1056"/>
      <c r="D819" s="1056"/>
      <c r="E819" s="1056"/>
      <c r="F819" s="1056"/>
      <c r="G819" s="1056"/>
      <c r="H819" s="1056"/>
      <c r="I819" s="1056"/>
      <c r="J819" s="1056"/>
      <c r="K819" s="1056"/>
      <c r="L819" s="1056"/>
      <c r="M819" s="1056"/>
      <c r="N819" s="1056"/>
      <c r="O819" s="1056"/>
      <c r="P819" s="1056"/>
      <c r="Q819" s="1056"/>
      <c r="R819" s="1056"/>
      <c r="S819" s="1056"/>
      <c r="T819" s="1056"/>
      <c r="U819" s="1056"/>
      <c r="V819" s="1056"/>
      <c r="W819" s="1056"/>
      <c r="X819" s="1056"/>
      <c r="Y819" s="1056"/>
      <c r="Z819" s="1056"/>
      <c r="AA819" s="1056"/>
      <c r="AB819" s="1056"/>
      <c r="AC819" s="1056"/>
    </row>
    <row r="820" spans="1:29" x14ac:dyDescent="0.25">
      <c r="A820" s="1106"/>
      <c r="B820" s="1056"/>
      <c r="C820" s="1056"/>
      <c r="D820" s="1056"/>
      <c r="E820" s="1056"/>
      <c r="F820" s="1056"/>
      <c r="G820" s="1056"/>
      <c r="H820" s="1056"/>
      <c r="I820" s="1056"/>
      <c r="J820" s="1056"/>
      <c r="K820" s="1056"/>
      <c r="L820" s="1056"/>
      <c r="M820" s="1056"/>
      <c r="N820" s="1056"/>
      <c r="O820" s="1056"/>
      <c r="P820" s="1056"/>
      <c r="Q820" s="1056"/>
      <c r="R820" s="1056"/>
      <c r="S820" s="1056"/>
      <c r="T820" s="1056"/>
      <c r="U820" s="1056"/>
      <c r="V820" s="1056"/>
      <c r="W820" s="1056"/>
      <c r="X820" s="1056"/>
      <c r="Y820" s="1056"/>
      <c r="Z820" s="1056"/>
      <c r="AA820" s="1056"/>
      <c r="AB820" s="1056"/>
      <c r="AC820" s="1056"/>
    </row>
    <row r="821" spans="1:29" x14ac:dyDescent="0.25">
      <c r="A821" s="1106"/>
      <c r="B821" s="1056"/>
      <c r="C821" s="1056"/>
      <c r="D821" s="1056"/>
      <c r="E821" s="1056"/>
      <c r="F821" s="1056"/>
      <c r="G821" s="1056"/>
      <c r="H821" s="1056"/>
      <c r="I821" s="1056"/>
      <c r="J821" s="1056"/>
      <c r="K821" s="1056"/>
      <c r="L821" s="1056"/>
      <c r="M821" s="1056"/>
      <c r="N821" s="1056"/>
      <c r="O821" s="1056"/>
      <c r="P821" s="1056"/>
      <c r="Q821" s="1056"/>
      <c r="R821" s="1056"/>
      <c r="S821" s="1056"/>
      <c r="T821" s="1056"/>
      <c r="U821" s="1056"/>
      <c r="V821" s="1056"/>
      <c r="W821" s="1056"/>
      <c r="X821" s="1056"/>
      <c r="Y821" s="1056"/>
      <c r="Z821" s="1056"/>
      <c r="AA821" s="1056"/>
      <c r="AB821" s="1056"/>
      <c r="AC821" s="1056"/>
    </row>
    <row r="822" spans="1:29" x14ac:dyDescent="0.25">
      <c r="A822" s="1106"/>
      <c r="B822" s="1056"/>
      <c r="C822" s="1056"/>
      <c r="D822" s="1056"/>
      <c r="E822" s="1056"/>
      <c r="F822" s="1056"/>
      <c r="G822" s="1056"/>
      <c r="H822" s="1056"/>
      <c r="I822" s="1056"/>
      <c r="J822" s="1056"/>
      <c r="K822" s="1056"/>
      <c r="L822" s="1056"/>
      <c r="M822" s="1056"/>
      <c r="N822" s="1056"/>
      <c r="O822" s="1056"/>
      <c r="P822" s="1056"/>
      <c r="Q822" s="1056"/>
      <c r="R822" s="1056"/>
      <c r="S822" s="1056"/>
      <c r="T822" s="1056"/>
      <c r="U822" s="1056"/>
      <c r="V822" s="1056"/>
      <c r="W822" s="1056"/>
      <c r="X822" s="1056"/>
      <c r="Y822" s="1056"/>
      <c r="Z822" s="1056"/>
      <c r="AA822" s="1056"/>
      <c r="AB822" s="1056"/>
      <c r="AC822" s="1056"/>
    </row>
    <row r="823" spans="1:29" x14ac:dyDescent="0.25">
      <c r="A823" s="1106"/>
      <c r="B823" s="1056"/>
      <c r="C823" s="1056"/>
      <c r="D823" s="1056"/>
      <c r="E823" s="1056"/>
      <c r="F823" s="1056"/>
      <c r="G823" s="1056"/>
      <c r="H823" s="1056"/>
      <c r="I823" s="1056"/>
      <c r="J823" s="1056"/>
      <c r="K823" s="1056"/>
      <c r="L823" s="1056"/>
      <c r="M823" s="1056"/>
      <c r="N823" s="1056"/>
      <c r="O823" s="1056"/>
      <c r="P823" s="1056"/>
      <c r="Q823" s="1056"/>
      <c r="R823" s="1056"/>
      <c r="S823" s="1056"/>
      <c r="T823" s="1056"/>
      <c r="U823" s="1056"/>
      <c r="V823" s="1056"/>
      <c r="W823" s="1056"/>
      <c r="X823" s="1056"/>
      <c r="Y823" s="1056"/>
      <c r="Z823" s="1056"/>
      <c r="AA823" s="1056"/>
      <c r="AB823" s="1056"/>
      <c r="AC823" s="1056"/>
    </row>
    <row r="824" spans="1:29" x14ac:dyDescent="0.25">
      <c r="A824" s="1106"/>
      <c r="B824" s="1056"/>
      <c r="C824" s="1056"/>
      <c r="D824" s="1056"/>
      <c r="E824" s="1056"/>
      <c r="F824" s="1056"/>
      <c r="G824" s="1056"/>
      <c r="H824" s="1056"/>
      <c r="I824" s="1056"/>
      <c r="J824" s="1056"/>
      <c r="K824" s="1056"/>
      <c r="L824" s="1056"/>
      <c r="M824" s="1056"/>
      <c r="N824" s="1056"/>
      <c r="O824" s="1056"/>
      <c r="P824" s="1056"/>
      <c r="Q824" s="1056"/>
      <c r="R824" s="1056"/>
      <c r="S824" s="1056"/>
      <c r="T824" s="1056"/>
      <c r="U824" s="1056"/>
      <c r="V824" s="1056"/>
      <c r="W824" s="1056"/>
      <c r="X824" s="1056"/>
      <c r="Y824" s="1056"/>
      <c r="Z824" s="1056"/>
      <c r="AA824" s="1056"/>
      <c r="AB824" s="1056"/>
      <c r="AC824" s="1056"/>
    </row>
    <row r="825" spans="1:29" x14ac:dyDescent="0.25">
      <c r="A825" s="1106"/>
      <c r="B825" s="1056"/>
      <c r="C825" s="1056"/>
      <c r="D825" s="1056"/>
      <c r="E825" s="1056"/>
      <c r="F825" s="1056"/>
      <c r="G825" s="1056"/>
      <c r="H825" s="1056"/>
      <c r="I825" s="1056"/>
      <c r="J825" s="1056"/>
      <c r="K825" s="1056"/>
      <c r="L825" s="1056"/>
      <c r="M825" s="1056"/>
      <c r="N825" s="1056"/>
      <c r="O825" s="1056"/>
      <c r="P825" s="1056"/>
      <c r="Q825" s="1056"/>
      <c r="R825" s="1056"/>
      <c r="S825" s="1056"/>
      <c r="T825" s="1056"/>
      <c r="U825" s="1056"/>
      <c r="V825" s="1056"/>
      <c r="W825" s="1056"/>
      <c r="X825" s="1056"/>
      <c r="Y825" s="1056"/>
      <c r="Z825" s="1056"/>
      <c r="AA825" s="1056"/>
      <c r="AB825" s="1056"/>
      <c r="AC825" s="1056"/>
    </row>
    <row r="826" spans="1:29" x14ac:dyDescent="0.25">
      <c r="A826" s="1106"/>
      <c r="B826" s="1056"/>
      <c r="C826" s="1056"/>
      <c r="D826" s="1056"/>
      <c r="E826" s="1056"/>
      <c r="F826" s="1056"/>
      <c r="G826" s="1056"/>
      <c r="H826" s="1056"/>
      <c r="I826" s="1056"/>
      <c r="J826" s="1056"/>
      <c r="K826" s="1056"/>
      <c r="L826" s="1056"/>
      <c r="M826" s="1056"/>
      <c r="N826" s="1056"/>
      <c r="O826" s="1056"/>
      <c r="P826" s="1056"/>
      <c r="Q826" s="1056"/>
      <c r="R826" s="1056"/>
      <c r="S826" s="1056"/>
      <c r="T826" s="1056"/>
      <c r="U826" s="1056"/>
      <c r="V826" s="1056"/>
      <c r="W826" s="1056"/>
      <c r="X826" s="1056"/>
      <c r="Y826" s="1056"/>
      <c r="Z826" s="1056"/>
      <c r="AA826" s="1056"/>
      <c r="AB826" s="1056"/>
      <c r="AC826" s="1056"/>
    </row>
    <row r="827" spans="1:29" x14ac:dyDescent="0.25">
      <c r="A827" s="1106"/>
      <c r="B827" s="1056"/>
      <c r="C827" s="1056"/>
      <c r="D827" s="1056"/>
      <c r="E827" s="1056"/>
      <c r="F827" s="1056"/>
      <c r="G827" s="1056"/>
      <c r="H827" s="1056"/>
      <c r="I827" s="1056"/>
      <c r="J827" s="1056"/>
      <c r="K827" s="1056"/>
      <c r="L827" s="1056"/>
      <c r="M827" s="1056"/>
      <c r="N827" s="1056"/>
      <c r="O827" s="1056"/>
      <c r="P827" s="1056"/>
      <c r="Q827" s="1056"/>
      <c r="R827" s="1056"/>
      <c r="S827" s="1056"/>
      <c r="T827" s="1056"/>
      <c r="U827" s="1056"/>
      <c r="V827" s="1056"/>
      <c r="W827" s="1056"/>
      <c r="X827" s="1056"/>
      <c r="Y827" s="1056"/>
      <c r="Z827" s="1056"/>
      <c r="AA827" s="1056"/>
      <c r="AB827" s="1056"/>
      <c r="AC827" s="1056"/>
    </row>
    <row r="828" spans="1:29" x14ac:dyDescent="0.25">
      <c r="A828" s="1106"/>
      <c r="B828" s="1056"/>
      <c r="C828" s="1056"/>
      <c r="D828" s="1056"/>
      <c r="E828" s="1056"/>
      <c r="F828" s="1056"/>
      <c r="G828" s="1056"/>
      <c r="H828" s="1056"/>
      <c r="I828" s="1056"/>
      <c r="J828" s="1056"/>
      <c r="K828" s="1056"/>
      <c r="L828" s="1056"/>
      <c r="M828" s="1056"/>
      <c r="N828" s="1056"/>
      <c r="O828" s="1056"/>
      <c r="P828" s="1056"/>
      <c r="Q828" s="1056"/>
      <c r="R828" s="1056"/>
      <c r="S828" s="1056"/>
      <c r="T828" s="1056"/>
      <c r="U828" s="1056"/>
      <c r="V828" s="1056"/>
      <c r="W828" s="1056"/>
      <c r="X828" s="1056"/>
      <c r="Y828" s="1056"/>
      <c r="Z828" s="1056"/>
      <c r="AA828" s="1056"/>
      <c r="AB828" s="1056"/>
      <c r="AC828" s="1056"/>
    </row>
    <row r="829" spans="1:29" x14ac:dyDescent="0.25">
      <c r="A829" s="1106"/>
      <c r="B829" s="1056"/>
      <c r="C829" s="1056"/>
      <c r="D829" s="1056"/>
      <c r="E829" s="1056"/>
      <c r="F829" s="1056"/>
      <c r="G829" s="1056"/>
      <c r="H829" s="1056"/>
      <c r="I829" s="1056"/>
      <c r="J829" s="1056"/>
      <c r="K829" s="1056"/>
      <c r="L829" s="1056"/>
      <c r="M829" s="1056"/>
      <c r="N829" s="1056"/>
      <c r="O829" s="1056"/>
      <c r="P829" s="1056"/>
      <c r="Q829" s="1056"/>
      <c r="R829" s="1056"/>
      <c r="S829" s="1056"/>
      <c r="T829" s="1056"/>
      <c r="U829" s="1056"/>
      <c r="V829" s="1056"/>
      <c r="W829" s="1056"/>
      <c r="X829" s="1056"/>
      <c r="Y829" s="1056"/>
      <c r="Z829" s="1056"/>
      <c r="AA829" s="1056"/>
      <c r="AB829" s="1056"/>
      <c r="AC829" s="1056"/>
    </row>
    <row r="830" spans="1:29" x14ac:dyDescent="0.25">
      <c r="A830" s="1106"/>
      <c r="B830" s="1056"/>
      <c r="C830" s="1056"/>
      <c r="D830" s="1056"/>
      <c r="E830" s="1056"/>
      <c r="F830" s="1056"/>
      <c r="G830" s="1056"/>
      <c r="H830" s="1056"/>
      <c r="I830" s="1056"/>
      <c r="J830" s="1056"/>
      <c r="K830" s="1056"/>
      <c r="L830" s="1056"/>
      <c r="M830" s="1056"/>
      <c r="N830" s="1056"/>
      <c r="O830" s="1056"/>
      <c r="P830" s="1056"/>
      <c r="Q830" s="1056"/>
      <c r="R830" s="1056"/>
      <c r="S830" s="1056"/>
      <c r="T830" s="1056"/>
      <c r="U830" s="1056"/>
      <c r="V830" s="1056"/>
      <c r="W830" s="1056"/>
      <c r="X830" s="1056"/>
      <c r="Y830" s="1056"/>
      <c r="Z830" s="1056"/>
      <c r="AA830" s="1056"/>
      <c r="AB830" s="1056"/>
      <c r="AC830" s="1056"/>
    </row>
    <row r="831" spans="1:29" x14ac:dyDescent="0.25">
      <c r="A831" s="1106"/>
      <c r="B831" s="1056"/>
      <c r="C831" s="1056"/>
      <c r="D831" s="1056"/>
      <c r="E831" s="1056"/>
      <c r="F831" s="1056"/>
      <c r="G831" s="1056"/>
      <c r="H831" s="1056"/>
      <c r="I831" s="1056"/>
      <c r="J831" s="1056"/>
      <c r="K831" s="1056"/>
      <c r="L831" s="1056"/>
      <c r="M831" s="1056"/>
      <c r="N831" s="1056"/>
      <c r="O831" s="1056"/>
      <c r="P831" s="1056"/>
      <c r="Q831" s="1056"/>
      <c r="R831" s="1056"/>
      <c r="S831" s="1056"/>
      <c r="T831" s="1056"/>
      <c r="U831" s="1056"/>
      <c r="V831" s="1056"/>
      <c r="W831" s="1056"/>
      <c r="X831" s="1056"/>
      <c r="Y831" s="1056"/>
      <c r="Z831" s="1056"/>
      <c r="AA831" s="1056"/>
      <c r="AB831" s="1056"/>
      <c r="AC831" s="1056"/>
    </row>
    <row r="832" spans="1:29" x14ac:dyDescent="0.25">
      <c r="A832" s="1106"/>
      <c r="B832" s="1056"/>
      <c r="C832" s="1056"/>
      <c r="D832" s="1056"/>
      <c r="E832" s="1056"/>
      <c r="F832" s="1056"/>
      <c r="G832" s="1056"/>
      <c r="H832" s="1056"/>
      <c r="I832" s="1056"/>
      <c r="J832" s="1056"/>
      <c r="K832" s="1056"/>
      <c r="L832" s="1056"/>
      <c r="M832" s="1056"/>
      <c r="N832" s="1056"/>
      <c r="O832" s="1056"/>
      <c r="P832" s="1056"/>
      <c r="Q832" s="1056"/>
      <c r="R832" s="1056"/>
      <c r="S832" s="1056"/>
      <c r="T832" s="1056"/>
      <c r="U832" s="1056"/>
      <c r="V832" s="1056"/>
      <c r="W832" s="1056"/>
      <c r="X832" s="1056"/>
      <c r="Y832" s="1056"/>
      <c r="Z832" s="1056"/>
      <c r="AA832" s="1056"/>
      <c r="AB832" s="1056"/>
      <c r="AC832" s="1056"/>
    </row>
    <row r="833" spans="1:29" x14ac:dyDescent="0.25">
      <c r="A833" s="1106"/>
      <c r="B833" s="1056"/>
      <c r="C833" s="1056"/>
      <c r="D833" s="1056"/>
      <c r="E833" s="1056"/>
      <c r="F833" s="1056"/>
      <c r="G833" s="1056"/>
      <c r="H833" s="1056"/>
      <c r="I833" s="1056"/>
      <c r="J833" s="1056"/>
      <c r="K833" s="1056"/>
      <c r="L833" s="1056"/>
      <c r="M833" s="1056"/>
      <c r="N833" s="1056"/>
      <c r="O833" s="1056"/>
      <c r="P833" s="1056"/>
      <c r="Q833" s="1056"/>
      <c r="R833" s="1056"/>
      <c r="S833" s="1056"/>
      <c r="T833" s="1056"/>
      <c r="U833" s="1056"/>
      <c r="V833" s="1056"/>
      <c r="W833" s="1056"/>
      <c r="X833" s="1056"/>
      <c r="Y833" s="1056"/>
      <c r="Z833" s="1056"/>
      <c r="AA833" s="1056"/>
      <c r="AB833" s="1056"/>
      <c r="AC833" s="1056"/>
    </row>
    <row r="834" spans="1:29" x14ac:dyDescent="0.25">
      <c r="A834" s="1106"/>
      <c r="B834" s="1056"/>
      <c r="C834" s="1056"/>
      <c r="D834" s="1056"/>
      <c r="E834" s="1056"/>
      <c r="F834" s="1056"/>
      <c r="G834" s="1056"/>
      <c r="H834" s="1056"/>
      <c r="I834" s="1056"/>
      <c r="J834" s="1056"/>
      <c r="K834" s="1056"/>
      <c r="L834" s="1056"/>
      <c r="M834" s="1056"/>
      <c r="N834" s="1056"/>
      <c r="O834" s="1056"/>
      <c r="P834" s="1056"/>
      <c r="Q834" s="1056"/>
      <c r="R834" s="1056"/>
      <c r="S834" s="1056"/>
      <c r="T834" s="1056"/>
      <c r="U834" s="1056"/>
      <c r="V834" s="1056"/>
      <c r="W834" s="1056"/>
      <c r="X834" s="1056"/>
      <c r="Y834" s="1056"/>
      <c r="Z834" s="1056"/>
      <c r="AA834" s="1056"/>
      <c r="AB834" s="1056"/>
      <c r="AC834" s="1056"/>
    </row>
    <row r="835" spans="1:29" x14ac:dyDescent="0.25">
      <c r="A835" s="1106"/>
      <c r="B835" s="1056"/>
      <c r="C835" s="1056"/>
      <c r="D835" s="1056"/>
      <c r="E835" s="1056"/>
      <c r="F835" s="1056"/>
      <c r="G835" s="1056"/>
      <c r="H835" s="1056"/>
      <c r="I835" s="1056"/>
      <c r="J835" s="1056"/>
      <c r="K835" s="1056"/>
      <c r="L835" s="1056"/>
      <c r="M835" s="1056"/>
      <c r="N835" s="1056"/>
      <c r="O835" s="1056"/>
      <c r="P835" s="1056"/>
      <c r="Q835" s="1056"/>
      <c r="R835" s="1056"/>
      <c r="S835" s="1056"/>
      <c r="T835" s="1056"/>
      <c r="U835" s="1056"/>
      <c r="V835" s="1056"/>
      <c r="W835" s="1056"/>
      <c r="X835" s="1056"/>
      <c r="Y835" s="1056"/>
      <c r="Z835" s="1056"/>
      <c r="AA835" s="1056"/>
      <c r="AB835" s="1056"/>
      <c r="AC835" s="1056"/>
    </row>
    <row r="836" spans="1:29" x14ac:dyDescent="0.25">
      <c r="A836" s="1106"/>
      <c r="B836" s="1056"/>
      <c r="C836" s="1056"/>
      <c r="D836" s="1056"/>
      <c r="E836" s="1056"/>
      <c r="F836" s="1056"/>
      <c r="G836" s="1056"/>
      <c r="H836" s="1056"/>
      <c r="I836" s="1056"/>
      <c r="J836" s="1056"/>
      <c r="K836" s="1056"/>
      <c r="L836" s="1056"/>
      <c r="M836" s="1056"/>
      <c r="N836" s="1056"/>
      <c r="O836" s="1056"/>
      <c r="P836" s="1056"/>
      <c r="Q836" s="1056"/>
      <c r="R836" s="1056"/>
      <c r="S836" s="1056"/>
      <c r="T836" s="1056"/>
      <c r="U836" s="1056"/>
      <c r="V836" s="1056"/>
      <c r="W836" s="1056"/>
      <c r="X836" s="1056"/>
      <c r="Y836" s="1056"/>
      <c r="Z836" s="1056"/>
      <c r="AA836" s="1056"/>
      <c r="AB836" s="1056"/>
      <c r="AC836" s="1056"/>
    </row>
    <row r="837" spans="1:29" x14ac:dyDescent="0.25">
      <c r="A837" s="1106"/>
      <c r="B837" s="1056"/>
      <c r="C837" s="1056"/>
      <c r="D837" s="1056"/>
      <c r="E837" s="1056"/>
      <c r="F837" s="1056"/>
      <c r="G837" s="1056"/>
      <c r="H837" s="1056"/>
      <c r="I837" s="1056"/>
      <c r="J837" s="1056"/>
      <c r="K837" s="1056"/>
      <c r="L837" s="1056"/>
      <c r="M837" s="1056"/>
      <c r="N837" s="1056"/>
      <c r="O837" s="1056"/>
      <c r="P837" s="1056"/>
      <c r="Q837" s="1056"/>
      <c r="R837" s="1056"/>
      <c r="S837" s="1056"/>
      <c r="T837" s="1056"/>
      <c r="U837" s="1056"/>
      <c r="V837" s="1056"/>
      <c r="W837" s="1056"/>
      <c r="X837" s="1056"/>
      <c r="Y837" s="1056"/>
      <c r="Z837" s="1056"/>
      <c r="AA837" s="1056"/>
      <c r="AB837" s="1056"/>
      <c r="AC837" s="1056"/>
    </row>
    <row r="838" spans="1:29" x14ac:dyDescent="0.25">
      <c r="A838" s="1106"/>
      <c r="B838" s="1056"/>
      <c r="C838" s="1056"/>
      <c r="D838" s="1056"/>
      <c r="E838" s="1056"/>
      <c r="F838" s="1056"/>
      <c r="G838" s="1056"/>
      <c r="H838" s="1056"/>
      <c r="I838" s="1056"/>
      <c r="J838" s="1056"/>
      <c r="K838" s="1056"/>
      <c r="L838" s="1056"/>
      <c r="M838" s="1056"/>
      <c r="N838" s="1056"/>
      <c r="O838" s="1056"/>
      <c r="P838" s="1056"/>
      <c r="Q838" s="1056"/>
      <c r="R838" s="1056"/>
      <c r="S838" s="1056"/>
      <c r="T838" s="1056"/>
      <c r="U838" s="1056"/>
      <c r="V838" s="1056"/>
      <c r="W838" s="1056"/>
      <c r="X838" s="1056"/>
      <c r="Y838" s="1056"/>
      <c r="Z838" s="1056"/>
      <c r="AA838" s="1056"/>
      <c r="AB838" s="1056"/>
      <c r="AC838" s="1056"/>
    </row>
    <row r="839" spans="1:29" x14ac:dyDescent="0.25">
      <c r="A839" s="1106"/>
      <c r="B839" s="1056"/>
      <c r="C839" s="1056"/>
      <c r="D839" s="1056"/>
      <c r="E839" s="1056"/>
      <c r="F839" s="1056"/>
      <c r="G839" s="1056"/>
      <c r="H839" s="1056"/>
      <c r="I839" s="1056"/>
      <c r="J839" s="1056"/>
      <c r="K839" s="1056"/>
      <c r="L839" s="1056"/>
      <c r="M839" s="1056"/>
      <c r="N839" s="1056"/>
      <c r="O839" s="1056"/>
      <c r="P839" s="1056"/>
      <c r="Q839" s="1056"/>
      <c r="R839" s="1056"/>
      <c r="S839" s="1056"/>
      <c r="T839" s="1056"/>
      <c r="U839" s="1056"/>
      <c r="V839" s="1056"/>
      <c r="W839" s="1056"/>
      <c r="X839" s="1056"/>
      <c r="Y839" s="1056"/>
      <c r="Z839" s="1056"/>
      <c r="AA839" s="1056"/>
      <c r="AB839" s="1056"/>
      <c r="AC839" s="1056"/>
    </row>
    <row r="840" spans="1:29" x14ac:dyDescent="0.25">
      <c r="A840" s="1106"/>
      <c r="B840" s="1056"/>
      <c r="C840" s="1056"/>
      <c r="D840" s="1056"/>
      <c r="E840" s="1056"/>
      <c r="F840" s="1056"/>
      <c r="G840" s="1056"/>
      <c r="H840" s="1056"/>
      <c r="I840" s="1056"/>
      <c r="J840" s="1056"/>
      <c r="K840" s="1056"/>
      <c r="L840" s="1056"/>
      <c r="M840" s="1056"/>
      <c r="N840" s="1056"/>
      <c r="O840" s="1056"/>
      <c r="P840" s="1056"/>
      <c r="Q840" s="1056"/>
      <c r="R840" s="1056"/>
      <c r="S840" s="1056"/>
      <c r="T840" s="1056"/>
      <c r="U840" s="1056"/>
      <c r="V840" s="1056"/>
      <c r="W840" s="1056"/>
      <c r="X840" s="1056"/>
      <c r="Y840" s="1056"/>
      <c r="Z840" s="1056"/>
      <c r="AA840" s="1056"/>
      <c r="AB840" s="1056"/>
      <c r="AC840" s="1056"/>
    </row>
    <row r="841" spans="1:29" x14ac:dyDescent="0.25">
      <c r="A841" s="1106"/>
      <c r="B841" s="1056"/>
      <c r="C841" s="1056"/>
      <c r="D841" s="1056"/>
      <c r="E841" s="1056"/>
      <c r="F841" s="1056"/>
      <c r="G841" s="1056"/>
      <c r="H841" s="1056"/>
      <c r="I841" s="1056"/>
      <c r="J841" s="1056"/>
      <c r="K841" s="1056"/>
      <c r="L841" s="1056"/>
      <c r="M841" s="1056"/>
      <c r="N841" s="1056"/>
      <c r="O841" s="1056"/>
      <c r="P841" s="1056"/>
      <c r="Q841" s="1056"/>
      <c r="R841" s="1056"/>
      <c r="S841" s="1056"/>
      <c r="T841" s="1056"/>
      <c r="U841" s="1056"/>
      <c r="V841" s="1056"/>
      <c r="W841" s="1056"/>
      <c r="X841" s="1056"/>
      <c r="Y841" s="1056"/>
      <c r="Z841" s="1056"/>
      <c r="AA841" s="1056"/>
      <c r="AB841" s="1056"/>
      <c r="AC841" s="1056"/>
    </row>
    <row r="842" spans="1:29" x14ac:dyDescent="0.25">
      <c r="A842" s="1106"/>
      <c r="B842" s="1056"/>
      <c r="C842" s="1056"/>
      <c r="D842" s="1056"/>
      <c r="E842" s="1056"/>
      <c r="F842" s="1056"/>
      <c r="G842" s="1056"/>
      <c r="H842" s="1056"/>
      <c r="I842" s="1056"/>
      <c r="J842" s="1056"/>
      <c r="K842" s="1056"/>
      <c r="L842" s="1056"/>
      <c r="M842" s="1056"/>
      <c r="N842" s="1056"/>
      <c r="O842" s="1056"/>
      <c r="P842" s="1056"/>
      <c r="Q842" s="1056"/>
      <c r="R842" s="1056"/>
      <c r="S842" s="1056"/>
      <c r="T842" s="1056"/>
      <c r="U842" s="1056"/>
      <c r="V842" s="1056"/>
      <c r="W842" s="1056"/>
      <c r="X842" s="1056"/>
      <c r="Y842" s="1056"/>
      <c r="Z842" s="1056"/>
      <c r="AA842" s="1056"/>
      <c r="AB842" s="1056"/>
      <c r="AC842" s="1056"/>
    </row>
    <row r="843" spans="1:29" x14ac:dyDescent="0.25">
      <c r="A843" s="1106"/>
      <c r="B843" s="1056"/>
      <c r="C843" s="1056"/>
      <c r="D843" s="1056"/>
      <c r="E843" s="1056"/>
      <c r="F843" s="1056"/>
      <c r="G843" s="1056"/>
      <c r="H843" s="1056"/>
      <c r="I843" s="1056"/>
      <c r="J843" s="1056"/>
      <c r="K843" s="1056"/>
      <c r="L843" s="1056"/>
      <c r="M843" s="1056"/>
      <c r="N843" s="1056"/>
      <c r="O843" s="1056"/>
      <c r="P843" s="1056"/>
      <c r="Q843" s="1056"/>
      <c r="R843" s="1056"/>
      <c r="S843" s="1056"/>
      <c r="T843" s="1056"/>
      <c r="U843" s="1056"/>
      <c r="V843" s="1056"/>
      <c r="W843" s="1056"/>
      <c r="X843" s="1056"/>
      <c r="Y843" s="1056"/>
      <c r="Z843" s="1056"/>
      <c r="AA843" s="1056"/>
      <c r="AB843" s="1056"/>
      <c r="AC843" s="1056"/>
    </row>
    <row r="844" spans="1:29" x14ac:dyDescent="0.25">
      <c r="A844" s="1106"/>
      <c r="B844" s="1056"/>
      <c r="C844" s="1056"/>
      <c r="D844" s="1056"/>
      <c r="E844" s="1056"/>
      <c r="F844" s="1056"/>
      <c r="G844" s="1056"/>
      <c r="H844" s="1056"/>
      <c r="I844" s="1056"/>
      <c r="J844" s="1056"/>
      <c r="K844" s="1056"/>
      <c r="L844" s="1056"/>
      <c r="M844" s="1056"/>
      <c r="N844" s="1056"/>
      <c r="O844" s="1056"/>
      <c r="P844" s="1056"/>
      <c r="Q844" s="1056"/>
      <c r="R844" s="1056"/>
      <c r="S844" s="1056"/>
      <c r="T844" s="1056"/>
      <c r="U844" s="1056"/>
      <c r="V844" s="1056"/>
      <c r="W844" s="1056"/>
      <c r="X844" s="1056"/>
      <c r="Y844" s="1056"/>
      <c r="Z844" s="1056"/>
      <c r="AA844" s="1056"/>
      <c r="AB844" s="1056"/>
      <c r="AC844" s="1056"/>
    </row>
    <row r="845" spans="1:29" x14ac:dyDescent="0.25">
      <c r="A845" s="1106"/>
      <c r="B845" s="1056"/>
      <c r="C845" s="1056"/>
      <c r="D845" s="1056"/>
      <c r="E845" s="1056"/>
      <c r="F845" s="1056"/>
      <c r="G845" s="1056"/>
      <c r="H845" s="1056"/>
      <c r="I845" s="1056"/>
      <c r="J845" s="1056"/>
      <c r="K845" s="1056"/>
      <c r="L845" s="1056"/>
      <c r="M845" s="1056"/>
      <c r="N845" s="1056"/>
      <c r="O845" s="1056"/>
      <c r="P845" s="1056"/>
      <c r="Q845" s="1056"/>
      <c r="R845" s="1056"/>
      <c r="S845" s="1056"/>
      <c r="T845" s="1056"/>
      <c r="U845" s="1056"/>
      <c r="V845" s="1056"/>
      <c r="W845" s="1056"/>
      <c r="X845" s="1056"/>
      <c r="Y845" s="1056"/>
      <c r="Z845" s="1056"/>
      <c r="AA845" s="1056"/>
      <c r="AB845" s="1056"/>
      <c r="AC845" s="1056"/>
    </row>
    <row r="846" spans="1:29" x14ac:dyDescent="0.25">
      <c r="A846" s="1106"/>
      <c r="B846" s="1056"/>
      <c r="C846" s="1056"/>
      <c r="D846" s="1056"/>
      <c r="E846" s="1056"/>
      <c r="F846" s="1056"/>
      <c r="G846" s="1056"/>
      <c r="H846" s="1056"/>
      <c r="I846" s="1056"/>
      <c r="J846" s="1056"/>
      <c r="K846" s="1056"/>
      <c r="L846" s="1056"/>
      <c r="M846" s="1056"/>
      <c r="N846" s="1056"/>
      <c r="O846" s="1056"/>
      <c r="P846" s="1056"/>
      <c r="Q846" s="1056"/>
      <c r="R846" s="1056"/>
      <c r="S846" s="1056"/>
      <c r="T846" s="1056"/>
      <c r="U846" s="1056"/>
      <c r="V846" s="1056"/>
      <c r="W846" s="1056"/>
      <c r="X846" s="1056"/>
      <c r="Y846" s="1056"/>
      <c r="Z846" s="1056"/>
      <c r="AA846" s="1056"/>
      <c r="AB846" s="1056"/>
      <c r="AC846" s="1056"/>
    </row>
    <row r="847" spans="1:29" x14ac:dyDescent="0.25">
      <c r="A847" s="1106"/>
      <c r="B847" s="1056"/>
      <c r="C847" s="1056"/>
      <c r="D847" s="1056"/>
      <c r="E847" s="1056"/>
      <c r="F847" s="1056"/>
      <c r="G847" s="1056"/>
      <c r="H847" s="1056"/>
      <c r="I847" s="1056"/>
      <c r="J847" s="1056"/>
      <c r="K847" s="1056"/>
      <c r="L847" s="1056"/>
      <c r="M847" s="1056"/>
      <c r="N847" s="1056"/>
      <c r="O847" s="1056"/>
      <c r="P847" s="1056"/>
      <c r="Q847" s="1056"/>
      <c r="R847" s="1056"/>
      <c r="S847" s="1056"/>
      <c r="T847" s="1056"/>
      <c r="U847" s="1056"/>
      <c r="V847" s="1056"/>
      <c r="W847" s="1056"/>
      <c r="X847" s="1056"/>
      <c r="Y847" s="1056"/>
      <c r="Z847" s="1056"/>
      <c r="AA847" s="1056"/>
      <c r="AB847" s="1056"/>
      <c r="AC847" s="1056"/>
    </row>
    <row r="848" spans="1:29" x14ac:dyDescent="0.25">
      <c r="A848" s="1106"/>
      <c r="B848" s="1056"/>
      <c r="C848" s="1056"/>
      <c r="D848" s="1056"/>
      <c r="E848" s="1056"/>
      <c r="F848" s="1056"/>
      <c r="G848" s="1056"/>
      <c r="H848" s="1056"/>
      <c r="I848" s="1056"/>
      <c r="J848" s="1056"/>
      <c r="K848" s="1056"/>
      <c r="L848" s="1056"/>
      <c r="M848" s="1056"/>
      <c r="N848" s="1056"/>
      <c r="O848" s="1056"/>
      <c r="P848" s="1056"/>
      <c r="Q848" s="1056"/>
      <c r="R848" s="1056"/>
      <c r="S848" s="1056"/>
      <c r="T848" s="1056"/>
      <c r="U848" s="1056"/>
      <c r="V848" s="1056"/>
      <c r="W848" s="1056"/>
      <c r="X848" s="1056"/>
      <c r="Y848" s="1056"/>
      <c r="Z848" s="1056"/>
      <c r="AA848" s="1056"/>
      <c r="AB848" s="1056"/>
      <c r="AC848" s="1056"/>
    </row>
    <row r="849" spans="1:29" x14ac:dyDescent="0.25">
      <c r="A849" s="1106"/>
      <c r="B849" s="1056"/>
      <c r="C849" s="1056"/>
      <c r="D849" s="1056"/>
      <c r="E849" s="1056"/>
      <c r="F849" s="1056"/>
      <c r="G849" s="1056"/>
      <c r="H849" s="1056"/>
      <c r="I849" s="1056"/>
      <c r="J849" s="1056"/>
      <c r="K849" s="1056"/>
      <c r="L849" s="1056"/>
      <c r="M849" s="1056"/>
      <c r="N849" s="1056"/>
      <c r="O849" s="1056"/>
      <c r="P849" s="1056"/>
      <c r="Q849" s="1056"/>
      <c r="R849" s="1056"/>
      <c r="S849" s="1056"/>
      <c r="T849" s="1056"/>
      <c r="U849" s="1056"/>
      <c r="V849" s="1056"/>
      <c r="W849" s="1056"/>
      <c r="X849" s="1056"/>
      <c r="Y849" s="1056"/>
      <c r="Z849" s="1056"/>
      <c r="AA849" s="1056"/>
      <c r="AB849" s="1056"/>
      <c r="AC849" s="1056"/>
    </row>
    <row r="850" spans="1:29" x14ac:dyDescent="0.25">
      <c r="A850" s="1106"/>
      <c r="B850" s="1056"/>
      <c r="C850" s="1056"/>
      <c r="D850" s="1056"/>
      <c r="E850" s="1056"/>
      <c r="F850" s="1056"/>
      <c r="G850" s="1056"/>
      <c r="H850" s="1056"/>
      <c r="I850" s="1056"/>
      <c r="J850" s="1056"/>
      <c r="K850" s="1056"/>
      <c r="L850" s="1056"/>
      <c r="M850" s="1056"/>
      <c r="N850" s="1056"/>
      <c r="O850" s="1056"/>
      <c r="P850" s="1056"/>
      <c r="Q850" s="1056"/>
      <c r="R850" s="1056"/>
      <c r="S850" s="1056"/>
      <c r="T850" s="1056"/>
      <c r="U850" s="1056"/>
      <c r="V850" s="1056"/>
      <c r="W850" s="1056"/>
      <c r="X850" s="1056"/>
      <c r="Y850" s="1056"/>
      <c r="Z850" s="1056"/>
      <c r="AA850" s="1056"/>
      <c r="AB850" s="1056"/>
      <c r="AC850" s="1056"/>
    </row>
    <row r="851" spans="1:29" x14ac:dyDescent="0.25">
      <c r="A851" s="1106"/>
      <c r="B851" s="1056"/>
      <c r="C851" s="1056"/>
      <c r="D851" s="1056"/>
      <c r="E851" s="1056"/>
      <c r="F851" s="1056"/>
      <c r="G851" s="1056"/>
      <c r="H851" s="1056"/>
      <c r="I851" s="1056"/>
      <c r="J851" s="1056"/>
      <c r="K851" s="1056"/>
      <c r="L851" s="1056"/>
      <c r="M851" s="1056"/>
      <c r="N851" s="1056"/>
      <c r="O851" s="1056"/>
      <c r="P851" s="1056"/>
      <c r="Q851" s="1056"/>
      <c r="R851" s="1056"/>
      <c r="S851" s="1056"/>
      <c r="T851" s="1056"/>
      <c r="U851" s="1056"/>
      <c r="V851" s="1056"/>
      <c r="W851" s="1056"/>
      <c r="X851" s="1056"/>
      <c r="Y851" s="1056"/>
      <c r="Z851" s="1056"/>
      <c r="AA851" s="1056"/>
      <c r="AB851" s="1056"/>
      <c r="AC851" s="1056"/>
    </row>
    <row r="852" spans="1:29" x14ac:dyDescent="0.25">
      <c r="A852" s="1106"/>
      <c r="B852" s="1056"/>
      <c r="C852" s="1056"/>
      <c r="D852" s="1056"/>
      <c r="E852" s="1056"/>
      <c r="F852" s="1056"/>
      <c r="G852" s="1056"/>
      <c r="H852" s="1056"/>
      <c r="I852" s="1056"/>
      <c r="J852" s="1056"/>
      <c r="K852" s="1056"/>
      <c r="L852" s="1056"/>
      <c r="M852" s="1056"/>
      <c r="N852" s="1056"/>
      <c r="O852" s="1056"/>
      <c r="P852" s="1056"/>
      <c r="Q852" s="1056"/>
      <c r="R852" s="1056"/>
      <c r="S852" s="1056"/>
      <c r="T852" s="1056"/>
      <c r="U852" s="1056"/>
      <c r="V852" s="1056"/>
      <c r="W852" s="1056"/>
      <c r="X852" s="1056"/>
      <c r="Y852" s="1056"/>
      <c r="Z852" s="1056"/>
      <c r="AA852" s="1056"/>
      <c r="AB852" s="1056"/>
      <c r="AC852" s="1056"/>
    </row>
    <row r="853" spans="1:29" x14ac:dyDescent="0.25">
      <c r="A853" s="1106"/>
      <c r="B853" s="1056"/>
      <c r="C853" s="1056"/>
      <c r="D853" s="1056"/>
      <c r="E853" s="1056"/>
      <c r="F853" s="1056"/>
      <c r="G853" s="1056"/>
      <c r="H853" s="1056"/>
      <c r="I853" s="1056"/>
      <c r="J853" s="1056"/>
      <c r="K853" s="1056"/>
      <c r="L853" s="1056"/>
      <c r="M853" s="1056"/>
      <c r="N853" s="1056"/>
      <c r="O853" s="1056"/>
      <c r="P853" s="1056"/>
      <c r="Q853" s="1056"/>
      <c r="R853" s="1056"/>
      <c r="S853" s="1056"/>
      <c r="T853" s="1056"/>
      <c r="U853" s="1056"/>
      <c r="V853" s="1056"/>
      <c r="W853" s="1056"/>
      <c r="X853" s="1056"/>
      <c r="Y853" s="1056"/>
      <c r="Z853" s="1056"/>
      <c r="AA853" s="1056"/>
      <c r="AB853" s="1056"/>
      <c r="AC853" s="1056"/>
    </row>
    <row r="854" spans="1:29" x14ac:dyDescent="0.25">
      <c r="A854" s="1106"/>
      <c r="B854" s="1056"/>
      <c r="C854" s="1056"/>
      <c r="D854" s="1056"/>
      <c r="E854" s="1056"/>
      <c r="F854" s="1056"/>
      <c r="G854" s="1056"/>
      <c r="H854" s="1056"/>
      <c r="I854" s="1056"/>
      <c r="J854" s="1056"/>
      <c r="K854" s="1056"/>
      <c r="L854" s="1056"/>
      <c r="M854" s="1056"/>
      <c r="N854" s="1056"/>
      <c r="O854" s="1056"/>
      <c r="P854" s="1056"/>
      <c r="Q854" s="1056"/>
      <c r="R854" s="1056"/>
      <c r="S854" s="1056"/>
      <c r="T854" s="1056"/>
      <c r="U854" s="1056"/>
      <c r="V854" s="1056"/>
      <c r="W854" s="1056"/>
      <c r="X854" s="1056"/>
      <c r="Y854" s="1056"/>
      <c r="Z854" s="1056"/>
      <c r="AA854" s="1056"/>
      <c r="AB854" s="1056"/>
      <c r="AC854" s="1056"/>
    </row>
    <row r="855" spans="1:29" x14ac:dyDescent="0.25">
      <c r="A855" s="1106"/>
      <c r="B855" s="1056"/>
      <c r="C855" s="1056"/>
      <c r="D855" s="1056"/>
      <c r="E855" s="1056"/>
      <c r="F855" s="1056"/>
      <c r="G855" s="1056"/>
      <c r="H855" s="1056"/>
      <c r="I855" s="1056"/>
      <c r="J855" s="1056"/>
      <c r="K855" s="1056"/>
      <c r="L855" s="1056"/>
      <c r="M855" s="1056"/>
      <c r="N855" s="1056"/>
      <c r="O855" s="1056"/>
      <c r="P855" s="1056"/>
      <c r="Q855" s="1056"/>
      <c r="R855" s="1056"/>
      <c r="S855" s="1056"/>
      <c r="T855" s="1056"/>
      <c r="U855" s="1056"/>
      <c r="V855" s="1056"/>
      <c r="W855" s="1056"/>
      <c r="X855" s="1056"/>
      <c r="Y855" s="1056"/>
      <c r="Z855" s="1056"/>
      <c r="AA855" s="1056"/>
      <c r="AB855" s="1056"/>
      <c r="AC855" s="1056"/>
    </row>
    <row r="856" spans="1:29" x14ac:dyDescent="0.25">
      <c r="A856" s="1106"/>
      <c r="B856" s="1056"/>
      <c r="C856" s="1056"/>
      <c r="D856" s="1056"/>
      <c r="E856" s="1056"/>
      <c r="F856" s="1056"/>
      <c r="G856" s="1056"/>
      <c r="H856" s="1056"/>
      <c r="I856" s="1056"/>
      <c r="J856" s="1056"/>
      <c r="K856" s="1056"/>
      <c r="L856" s="1056"/>
      <c r="M856" s="1056"/>
      <c r="N856" s="1056"/>
      <c r="O856" s="1056"/>
      <c r="P856" s="1056"/>
      <c r="Q856" s="1056"/>
      <c r="R856" s="1056"/>
      <c r="S856" s="1056"/>
      <c r="T856" s="1056"/>
      <c r="U856" s="1056"/>
      <c r="V856" s="1056"/>
      <c r="W856" s="1056"/>
      <c r="X856" s="1056"/>
      <c r="Y856" s="1056"/>
      <c r="Z856" s="1056"/>
      <c r="AA856" s="1056"/>
      <c r="AB856" s="1056"/>
      <c r="AC856" s="1056"/>
    </row>
    <row r="857" spans="1:29" x14ac:dyDescent="0.25">
      <c r="A857" s="1106"/>
      <c r="B857" s="1056"/>
      <c r="C857" s="1056"/>
      <c r="D857" s="1056"/>
      <c r="E857" s="1056"/>
      <c r="F857" s="1056"/>
      <c r="G857" s="1056"/>
      <c r="H857" s="1056"/>
      <c r="I857" s="1056"/>
      <c r="J857" s="1056"/>
      <c r="K857" s="1056"/>
      <c r="L857" s="1056"/>
      <c r="M857" s="1056"/>
      <c r="N857" s="1056"/>
      <c r="O857" s="1056"/>
      <c r="P857" s="1056"/>
      <c r="Q857" s="1056"/>
      <c r="R857" s="1056"/>
      <c r="S857" s="1056"/>
      <c r="T857" s="1056"/>
      <c r="U857" s="1056"/>
      <c r="V857" s="1056"/>
      <c r="W857" s="1056"/>
      <c r="X857" s="1056"/>
      <c r="Y857" s="1056"/>
      <c r="Z857" s="1056"/>
      <c r="AA857" s="1056"/>
      <c r="AB857" s="1056"/>
      <c r="AC857" s="1056"/>
    </row>
    <row r="858" spans="1:29" x14ac:dyDescent="0.25">
      <c r="A858" s="1106"/>
      <c r="B858" s="1056"/>
      <c r="C858" s="1056"/>
      <c r="D858" s="1056"/>
      <c r="E858" s="1056"/>
      <c r="F858" s="1056"/>
      <c r="G858" s="1056"/>
      <c r="H858" s="1056"/>
      <c r="I858" s="1056"/>
      <c r="J858" s="1056"/>
      <c r="K858" s="1056"/>
      <c r="L858" s="1056"/>
      <c r="M858" s="1056"/>
      <c r="N858" s="1056"/>
      <c r="O858" s="1056"/>
      <c r="P858" s="1056"/>
      <c r="Q858" s="1056"/>
      <c r="R858" s="1056"/>
      <c r="S858" s="1056"/>
      <c r="T858" s="1056"/>
      <c r="U858" s="1056"/>
      <c r="V858" s="1056"/>
      <c r="W858" s="1056"/>
      <c r="X858" s="1056"/>
      <c r="Y858" s="1056"/>
      <c r="Z858" s="1056"/>
      <c r="AA858" s="1056"/>
      <c r="AB858" s="1056"/>
      <c r="AC858" s="1056"/>
    </row>
    <row r="859" spans="1:29" x14ac:dyDescent="0.25">
      <c r="A859" s="1106"/>
      <c r="B859" s="1056"/>
      <c r="C859" s="1056"/>
      <c r="D859" s="1056"/>
      <c r="E859" s="1056"/>
      <c r="F859" s="1056"/>
      <c r="G859" s="1056"/>
      <c r="H859" s="1056"/>
      <c r="I859" s="1056"/>
      <c r="J859" s="1056"/>
      <c r="K859" s="1056"/>
      <c r="L859" s="1056"/>
      <c r="M859" s="1056"/>
      <c r="N859" s="1056"/>
      <c r="O859" s="1056"/>
      <c r="P859" s="1056"/>
      <c r="Q859" s="1056"/>
      <c r="R859" s="1056"/>
      <c r="S859" s="1056"/>
      <c r="T859" s="1056"/>
      <c r="U859" s="1056"/>
      <c r="V859" s="1056"/>
      <c r="W859" s="1056"/>
      <c r="X859" s="1056"/>
      <c r="Y859" s="1056"/>
      <c r="Z859" s="1056"/>
      <c r="AA859" s="1056"/>
      <c r="AB859" s="1056"/>
      <c r="AC859" s="1056"/>
    </row>
    <row r="860" spans="1:29" x14ac:dyDescent="0.25">
      <c r="A860" s="1106"/>
      <c r="B860" s="1056"/>
      <c r="C860" s="1056"/>
      <c r="D860" s="1056"/>
      <c r="E860" s="1056"/>
      <c r="F860" s="1056"/>
      <c r="G860" s="1056"/>
      <c r="H860" s="1056"/>
      <c r="I860" s="1056"/>
      <c r="J860" s="1056"/>
      <c r="K860" s="1056"/>
      <c r="L860" s="1056"/>
      <c r="M860" s="1056"/>
      <c r="N860" s="1056"/>
      <c r="O860" s="1056"/>
      <c r="P860" s="1056"/>
      <c r="Q860" s="1056"/>
      <c r="R860" s="1056"/>
      <c r="S860" s="1056"/>
      <c r="T860" s="1056"/>
      <c r="U860" s="1056"/>
      <c r="V860" s="1056"/>
      <c r="W860" s="1056"/>
      <c r="X860" s="1056"/>
      <c r="Y860" s="1056"/>
      <c r="Z860" s="1056"/>
      <c r="AA860" s="1056"/>
      <c r="AB860" s="1056"/>
      <c r="AC860" s="1056"/>
    </row>
    <row r="861" spans="1:29" x14ac:dyDescent="0.25">
      <c r="A861" s="1106"/>
      <c r="B861" s="1056"/>
      <c r="C861" s="1056"/>
      <c r="D861" s="1056"/>
      <c r="E861" s="1056"/>
      <c r="F861" s="1056"/>
      <c r="G861" s="1056"/>
      <c r="H861" s="1056"/>
      <c r="I861" s="1056"/>
      <c r="J861" s="1056"/>
      <c r="K861" s="1056"/>
      <c r="L861" s="1056"/>
      <c r="M861" s="1056"/>
      <c r="N861" s="1056"/>
      <c r="O861" s="1056"/>
      <c r="P861" s="1056"/>
      <c r="Q861" s="1056"/>
      <c r="R861" s="1056"/>
      <c r="S861" s="1056"/>
      <c r="T861" s="1056"/>
      <c r="U861" s="1056"/>
      <c r="V861" s="1056"/>
      <c r="W861" s="1056"/>
      <c r="X861" s="1056"/>
      <c r="Y861" s="1056"/>
      <c r="Z861" s="1056"/>
      <c r="AA861" s="1056"/>
      <c r="AB861" s="1056"/>
      <c r="AC861" s="1056"/>
    </row>
    <row r="862" spans="1:29" x14ac:dyDescent="0.25">
      <c r="A862" s="1106"/>
      <c r="B862" s="1056"/>
      <c r="C862" s="1056"/>
      <c r="D862" s="1056"/>
      <c r="E862" s="1056"/>
      <c r="F862" s="1056"/>
      <c r="G862" s="1056"/>
      <c r="H862" s="1056"/>
      <c r="I862" s="1056"/>
      <c r="J862" s="1056"/>
      <c r="K862" s="1056"/>
      <c r="L862" s="1056"/>
      <c r="M862" s="1056"/>
      <c r="N862" s="1056"/>
      <c r="O862" s="1056"/>
      <c r="P862" s="1056"/>
      <c r="Q862" s="1056"/>
      <c r="R862" s="1056"/>
      <c r="S862" s="1056"/>
      <c r="T862" s="1056"/>
      <c r="U862" s="1056"/>
      <c r="V862" s="1056"/>
      <c r="W862" s="1056"/>
      <c r="X862" s="1056"/>
      <c r="Y862" s="1056"/>
      <c r="Z862" s="1056"/>
      <c r="AA862" s="1056"/>
      <c r="AB862" s="1056"/>
      <c r="AC862" s="1056"/>
    </row>
    <row r="863" spans="1:29" x14ac:dyDescent="0.25">
      <c r="A863" s="1106"/>
      <c r="B863" s="1056"/>
      <c r="C863" s="1056"/>
      <c r="D863" s="1056"/>
      <c r="E863" s="1056"/>
      <c r="F863" s="1056"/>
      <c r="G863" s="1056"/>
      <c r="H863" s="1056"/>
      <c r="I863" s="1056"/>
      <c r="J863" s="1056"/>
      <c r="K863" s="1056"/>
      <c r="L863" s="1056"/>
      <c r="M863" s="1056"/>
      <c r="N863" s="1056"/>
      <c r="O863" s="1056"/>
      <c r="P863" s="1056"/>
      <c r="Q863" s="1056"/>
      <c r="R863" s="1056"/>
      <c r="S863" s="1056"/>
      <c r="T863" s="1056"/>
      <c r="U863" s="1056"/>
      <c r="V863" s="1056"/>
      <c r="W863" s="1056"/>
      <c r="X863" s="1056"/>
      <c r="Y863" s="1056"/>
      <c r="Z863" s="1056"/>
      <c r="AA863" s="1056"/>
      <c r="AB863" s="1056"/>
      <c r="AC863" s="1056"/>
    </row>
    <row r="864" spans="1:29" x14ac:dyDescent="0.25">
      <c r="A864" s="1106"/>
      <c r="B864" s="1056"/>
      <c r="C864" s="1056"/>
      <c r="D864" s="1056"/>
      <c r="E864" s="1056"/>
      <c r="F864" s="1056"/>
      <c r="G864" s="1056"/>
      <c r="H864" s="1056"/>
      <c r="I864" s="1056"/>
      <c r="J864" s="1056"/>
      <c r="K864" s="1056"/>
      <c r="L864" s="1056"/>
      <c r="M864" s="1056"/>
      <c r="N864" s="1056"/>
      <c r="O864" s="1056"/>
      <c r="P864" s="1056"/>
      <c r="Q864" s="1056"/>
      <c r="R864" s="1056"/>
      <c r="S864" s="1056"/>
      <c r="T864" s="1056"/>
      <c r="U864" s="1056"/>
      <c r="V864" s="1056"/>
      <c r="W864" s="1056"/>
      <c r="X864" s="1056"/>
      <c r="Y864" s="1056"/>
      <c r="Z864" s="1056"/>
      <c r="AA864" s="1056"/>
      <c r="AB864" s="1056"/>
      <c r="AC864" s="1056"/>
    </row>
    <row r="865" spans="1:29" x14ac:dyDescent="0.25">
      <c r="A865" s="1106"/>
      <c r="B865" s="1056"/>
      <c r="C865" s="1056"/>
      <c r="D865" s="1056"/>
      <c r="E865" s="1056"/>
      <c r="F865" s="1056"/>
      <c r="G865" s="1056"/>
      <c r="H865" s="1056"/>
      <c r="I865" s="1056"/>
      <c r="J865" s="1056"/>
      <c r="K865" s="1056"/>
      <c r="L865" s="1056"/>
      <c r="M865" s="1056"/>
      <c r="N865" s="1056"/>
      <c r="O865" s="1056"/>
      <c r="P865" s="1056"/>
      <c r="Q865" s="1056"/>
      <c r="R865" s="1056"/>
      <c r="S865" s="1056"/>
      <c r="T865" s="1056"/>
      <c r="U865" s="1056"/>
      <c r="V865" s="1056"/>
      <c r="W865" s="1056"/>
      <c r="X865" s="1056"/>
      <c r="Y865" s="1056"/>
      <c r="Z865" s="1056"/>
      <c r="AA865" s="1056"/>
      <c r="AB865" s="1056"/>
      <c r="AC865" s="1056"/>
    </row>
    <row r="866" spans="1:29" x14ac:dyDescent="0.25">
      <c r="A866" s="1106"/>
      <c r="B866" s="1056"/>
      <c r="C866" s="1056"/>
      <c r="D866" s="1056"/>
      <c r="E866" s="1056"/>
      <c r="F866" s="1056"/>
      <c r="G866" s="1056"/>
      <c r="H866" s="1056"/>
      <c r="I866" s="1056"/>
      <c r="J866" s="1056"/>
      <c r="K866" s="1056"/>
      <c r="L866" s="1056"/>
      <c r="M866" s="1056"/>
      <c r="N866" s="1056"/>
      <c r="O866" s="1056"/>
      <c r="P866" s="1056"/>
      <c r="Q866" s="1056"/>
      <c r="R866" s="1056"/>
      <c r="S866" s="1056"/>
      <c r="T866" s="1056"/>
      <c r="U866" s="1056"/>
      <c r="V866" s="1056"/>
      <c r="W866" s="1056"/>
      <c r="X866" s="1056"/>
      <c r="Y866" s="1056"/>
      <c r="Z866" s="1056"/>
      <c r="AA866" s="1056"/>
      <c r="AB866" s="1056"/>
      <c r="AC866" s="1056"/>
    </row>
    <row r="867" spans="1:29" x14ac:dyDescent="0.25">
      <c r="A867" s="1106"/>
      <c r="B867" s="1056"/>
      <c r="C867" s="1056"/>
      <c r="D867" s="1056"/>
      <c r="E867" s="1056"/>
      <c r="F867" s="1056"/>
      <c r="G867" s="1056"/>
      <c r="H867" s="1056"/>
      <c r="I867" s="1056"/>
      <c r="J867" s="1056"/>
      <c r="K867" s="1056"/>
      <c r="L867" s="1056"/>
      <c r="M867" s="1056"/>
      <c r="N867" s="1056"/>
      <c r="O867" s="1056"/>
      <c r="P867" s="1056"/>
      <c r="Q867" s="1056"/>
      <c r="R867" s="1056"/>
      <c r="S867" s="1056"/>
      <c r="T867" s="1056"/>
      <c r="U867" s="1056"/>
      <c r="V867" s="1056"/>
      <c r="W867" s="1056"/>
      <c r="X867" s="1056"/>
      <c r="Y867" s="1056"/>
      <c r="Z867" s="1056"/>
      <c r="AA867" s="1056"/>
      <c r="AB867" s="1056"/>
      <c r="AC867" s="1056"/>
    </row>
    <row r="868" spans="1:29" x14ac:dyDescent="0.25">
      <c r="A868" s="1106"/>
      <c r="B868" s="1056"/>
      <c r="C868" s="1056"/>
      <c r="D868" s="1056"/>
      <c r="E868" s="1056"/>
      <c r="F868" s="1056"/>
      <c r="G868" s="1056"/>
      <c r="H868" s="1056"/>
      <c r="I868" s="1056"/>
      <c r="J868" s="1056"/>
      <c r="K868" s="1056"/>
      <c r="L868" s="1056"/>
      <c r="M868" s="1056"/>
      <c r="N868" s="1056"/>
      <c r="O868" s="1056"/>
      <c r="P868" s="1056"/>
      <c r="Q868" s="1056"/>
      <c r="R868" s="1056"/>
      <c r="S868" s="1056"/>
      <c r="T868" s="1056"/>
      <c r="U868" s="1056"/>
      <c r="V868" s="1056"/>
      <c r="W868" s="1056"/>
      <c r="X868" s="1056"/>
      <c r="Y868" s="1056"/>
      <c r="Z868" s="1056"/>
      <c r="AA868" s="1056"/>
      <c r="AB868" s="1056"/>
      <c r="AC868" s="1056"/>
    </row>
    <row r="869" spans="1:29" x14ac:dyDescent="0.25">
      <c r="A869" s="1106"/>
      <c r="B869" s="1056"/>
      <c r="C869" s="1056"/>
      <c r="D869" s="1056"/>
      <c r="E869" s="1056"/>
      <c r="F869" s="1056"/>
      <c r="G869" s="1056"/>
      <c r="H869" s="1056"/>
      <c r="I869" s="1056"/>
      <c r="J869" s="1056"/>
      <c r="K869" s="1056"/>
      <c r="L869" s="1056"/>
      <c r="M869" s="1056"/>
      <c r="N869" s="1056"/>
      <c r="O869" s="1056"/>
      <c r="P869" s="1056"/>
      <c r="Q869" s="1056"/>
      <c r="R869" s="1056"/>
      <c r="S869" s="1056"/>
      <c r="T869" s="1056"/>
      <c r="U869" s="1056"/>
      <c r="V869" s="1056"/>
      <c r="W869" s="1056"/>
      <c r="X869" s="1056"/>
      <c r="Y869" s="1056"/>
      <c r="Z869" s="1056"/>
      <c r="AA869" s="1056"/>
      <c r="AB869" s="1056"/>
      <c r="AC869" s="1056"/>
    </row>
    <row r="870" spans="1:29" x14ac:dyDescent="0.25">
      <c r="A870" s="1106"/>
      <c r="B870" s="1056"/>
      <c r="C870" s="1056"/>
      <c r="D870" s="1056"/>
      <c r="E870" s="1056"/>
      <c r="F870" s="1056"/>
      <c r="G870" s="1056"/>
      <c r="H870" s="1056"/>
      <c r="I870" s="1056"/>
      <c r="J870" s="1056"/>
      <c r="K870" s="1056"/>
      <c r="L870" s="1056"/>
      <c r="M870" s="1056"/>
      <c r="N870" s="1056"/>
      <c r="O870" s="1056"/>
      <c r="P870" s="1056"/>
      <c r="Q870" s="1056"/>
      <c r="R870" s="1056"/>
      <c r="S870" s="1056"/>
      <c r="T870" s="1056"/>
      <c r="U870" s="1056"/>
      <c r="V870" s="1056"/>
      <c r="W870" s="1056"/>
      <c r="X870" s="1056"/>
      <c r="Y870" s="1056"/>
      <c r="Z870" s="1056"/>
      <c r="AA870" s="1056"/>
      <c r="AB870" s="1056"/>
      <c r="AC870" s="1056"/>
    </row>
    <row r="871" spans="1:29" x14ac:dyDescent="0.25">
      <c r="A871" s="1106"/>
      <c r="B871" s="1056"/>
      <c r="C871" s="1056"/>
      <c r="D871" s="1056"/>
      <c r="E871" s="1056"/>
      <c r="F871" s="1056"/>
      <c r="G871" s="1056"/>
      <c r="H871" s="1056"/>
      <c r="I871" s="1056"/>
      <c r="J871" s="1056"/>
      <c r="K871" s="1056"/>
      <c r="L871" s="1056"/>
      <c r="M871" s="1056"/>
      <c r="N871" s="1056"/>
      <c r="O871" s="1056"/>
      <c r="P871" s="1056"/>
      <c r="Q871" s="1056"/>
      <c r="R871" s="1056"/>
      <c r="S871" s="1056"/>
      <c r="T871" s="1056"/>
      <c r="U871" s="1056"/>
      <c r="V871" s="1056"/>
      <c r="W871" s="1056"/>
      <c r="X871" s="1056"/>
      <c r="Y871" s="1056"/>
      <c r="Z871" s="1056"/>
      <c r="AA871" s="1056"/>
      <c r="AB871" s="1056"/>
      <c r="AC871" s="1056"/>
    </row>
    <row r="872" spans="1:29" x14ac:dyDescent="0.25">
      <c r="A872" s="1106"/>
      <c r="B872" s="1056"/>
      <c r="C872" s="1056"/>
      <c r="D872" s="1056"/>
      <c r="E872" s="1056"/>
      <c r="F872" s="1056"/>
      <c r="G872" s="1056"/>
      <c r="H872" s="1056"/>
      <c r="I872" s="1056"/>
      <c r="J872" s="1056"/>
      <c r="K872" s="1056"/>
      <c r="L872" s="1056"/>
      <c r="M872" s="1056"/>
      <c r="N872" s="1056"/>
      <c r="O872" s="1056"/>
      <c r="P872" s="1056"/>
      <c r="Q872" s="1056"/>
      <c r="R872" s="1056"/>
      <c r="S872" s="1056"/>
      <c r="T872" s="1056"/>
      <c r="U872" s="1056"/>
      <c r="V872" s="1056"/>
      <c r="W872" s="1056"/>
      <c r="X872" s="1056"/>
      <c r="Y872" s="1056"/>
      <c r="Z872" s="1056"/>
      <c r="AA872" s="1056"/>
      <c r="AB872" s="1056"/>
      <c r="AC872" s="1056"/>
    </row>
    <row r="873" spans="1:29" x14ac:dyDescent="0.25">
      <c r="A873" s="1106"/>
      <c r="B873" s="1056"/>
      <c r="C873" s="1056"/>
      <c r="D873" s="1056"/>
      <c r="E873" s="1056"/>
      <c r="F873" s="1056"/>
      <c r="G873" s="1056"/>
      <c r="H873" s="1056"/>
      <c r="I873" s="1056"/>
      <c r="J873" s="1056"/>
      <c r="K873" s="1056"/>
      <c r="L873" s="1056"/>
      <c r="M873" s="1056"/>
      <c r="N873" s="1056"/>
      <c r="O873" s="1056"/>
      <c r="P873" s="1056"/>
      <c r="Q873" s="1056"/>
      <c r="R873" s="1056"/>
      <c r="S873" s="1056"/>
      <c r="T873" s="1056"/>
      <c r="U873" s="1056"/>
      <c r="V873" s="1056"/>
      <c r="W873" s="1056"/>
      <c r="X873" s="1056"/>
      <c r="Y873" s="1056"/>
      <c r="Z873" s="1056"/>
      <c r="AA873" s="1056"/>
      <c r="AB873" s="1056"/>
      <c r="AC873" s="1056"/>
    </row>
    <row r="874" spans="1:29" x14ac:dyDescent="0.25">
      <c r="A874" s="1106"/>
      <c r="B874" s="1056"/>
      <c r="C874" s="1056"/>
      <c r="D874" s="1056"/>
      <c r="E874" s="1056"/>
      <c r="F874" s="1056"/>
      <c r="G874" s="1056"/>
      <c r="H874" s="1056"/>
      <c r="I874" s="1056"/>
      <c r="J874" s="1056"/>
      <c r="K874" s="1056"/>
      <c r="L874" s="1056"/>
      <c r="M874" s="1056"/>
      <c r="N874" s="1056"/>
      <c r="O874" s="1056"/>
      <c r="P874" s="1056"/>
      <c r="Q874" s="1056"/>
      <c r="R874" s="1056"/>
      <c r="S874" s="1056"/>
      <c r="T874" s="1056"/>
      <c r="U874" s="1056"/>
      <c r="V874" s="1056"/>
      <c r="W874" s="1056"/>
      <c r="X874" s="1056"/>
      <c r="Y874" s="1056"/>
      <c r="Z874" s="1056"/>
      <c r="AA874" s="1056"/>
      <c r="AB874" s="1056"/>
      <c r="AC874" s="1056"/>
    </row>
    <row r="875" spans="1:29" x14ac:dyDescent="0.25">
      <c r="A875" s="1106"/>
      <c r="B875" s="1056"/>
      <c r="C875" s="1056"/>
      <c r="D875" s="1056"/>
      <c r="E875" s="1056"/>
      <c r="F875" s="1056"/>
      <c r="G875" s="1056"/>
      <c r="H875" s="1056"/>
      <c r="I875" s="1056"/>
      <c r="J875" s="1056"/>
      <c r="K875" s="1056"/>
      <c r="L875" s="1056"/>
      <c r="M875" s="1056"/>
      <c r="N875" s="1056"/>
      <c r="O875" s="1056"/>
      <c r="P875" s="1056"/>
      <c r="Q875" s="1056"/>
      <c r="R875" s="1056"/>
      <c r="S875" s="1056"/>
      <c r="T875" s="1056"/>
      <c r="U875" s="1056"/>
      <c r="V875" s="1056"/>
      <c r="W875" s="1056"/>
      <c r="X875" s="1056"/>
      <c r="Y875" s="1056"/>
      <c r="Z875" s="1056"/>
      <c r="AA875" s="1056"/>
      <c r="AB875" s="1056"/>
      <c r="AC875" s="1056"/>
    </row>
    <row r="876" spans="1:29" x14ac:dyDescent="0.25">
      <c r="A876" s="1106"/>
      <c r="B876" s="1056"/>
      <c r="C876" s="1056"/>
      <c r="D876" s="1056"/>
      <c r="E876" s="1056"/>
      <c r="F876" s="1056"/>
      <c r="G876" s="1056"/>
      <c r="H876" s="1056"/>
      <c r="I876" s="1056"/>
      <c r="J876" s="1056"/>
      <c r="K876" s="1056"/>
      <c r="L876" s="1056"/>
      <c r="M876" s="1056"/>
      <c r="N876" s="1056"/>
      <c r="O876" s="1056"/>
      <c r="P876" s="1056"/>
      <c r="Q876" s="1056"/>
      <c r="R876" s="1056"/>
      <c r="S876" s="1056"/>
      <c r="T876" s="1056"/>
      <c r="U876" s="1056"/>
      <c r="V876" s="1056"/>
      <c r="W876" s="1056"/>
      <c r="X876" s="1056"/>
      <c r="Y876" s="1056"/>
      <c r="Z876" s="1056"/>
      <c r="AA876" s="1056"/>
      <c r="AB876" s="1056"/>
      <c r="AC876" s="1056"/>
    </row>
    <row r="877" spans="1:29" x14ac:dyDescent="0.25">
      <c r="A877" s="1106"/>
      <c r="B877" s="1056"/>
      <c r="C877" s="1056"/>
      <c r="D877" s="1056"/>
      <c r="E877" s="1056"/>
      <c r="F877" s="1056"/>
      <c r="G877" s="1056"/>
      <c r="H877" s="1056"/>
      <c r="I877" s="1056"/>
      <c r="J877" s="1056"/>
      <c r="K877" s="1056"/>
      <c r="L877" s="1056"/>
      <c r="M877" s="1056"/>
      <c r="N877" s="1056"/>
      <c r="O877" s="1056"/>
      <c r="P877" s="1056"/>
      <c r="Q877" s="1056"/>
      <c r="R877" s="1056"/>
      <c r="S877" s="1056"/>
      <c r="T877" s="1056"/>
      <c r="U877" s="1056"/>
      <c r="V877" s="1056"/>
      <c r="W877" s="1056"/>
      <c r="X877" s="1056"/>
      <c r="Y877" s="1056"/>
      <c r="Z877" s="1056"/>
      <c r="AA877" s="1056"/>
      <c r="AB877" s="1056"/>
      <c r="AC877" s="1056"/>
    </row>
    <row r="878" spans="1:29" x14ac:dyDescent="0.25">
      <c r="A878" s="1106"/>
      <c r="B878" s="1056"/>
      <c r="C878" s="1056"/>
      <c r="D878" s="1056"/>
      <c r="E878" s="1056"/>
      <c r="F878" s="1056"/>
      <c r="G878" s="1056"/>
      <c r="H878" s="1056"/>
      <c r="I878" s="1056"/>
      <c r="J878" s="1056"/>
      <c r="K878" s="1056"/>
      <c r="L878" s="1056"/>
      <c r="M878" s="1056"/>
      <c r="N878" s="1056"/>
      <c r="O878" s="1056"/>
      <c r="P878" s="1056"/>
      <c r="Q878" s="1056"/>
      <c r="R878" s="1056"/>
      <c r="S878" s="1056"/>
      <c r="T878" s="1056"/>
      <c r="U878" s="1056"/>
      <c r="V878" s="1056"/>
      <c r="W878" s="1056"/>
      <c r="X878" s="1056"/>
      <c r="Y878" s="1056"/>
      <c r="Z878" s="1056"/>
      <c r="AA878" s="1056"/>
      <c r="AB878" s="1056"/>
      <c r="AC878" s="1056"/>
    </row>
    <row r="879" spans="1:29" x14ac:dyDescent="0.25">
      <c r="A879" s="1106"/>
      <c r="B879" s="1056"/>
      <c r="C879" s="1056"/>
      <c r="D879" s="1056"/>
      <c r="E879" s="1056"/>
      <c r="F879" s="1056"/>
      <c r="G879" s="1056"/>
      <c r="H879" s="1056"/>
      <c r="I879" s="1056"/>
      <c r="J879" s="1056"/>
      <c r="K879" s="1056"/>
      <c r="L879" s="1056"/>
      <c r="M879" s="1056"/>
      <c r="N879" s="1056"/>
      <c r="O879" s="1056"/>
      <c r="P879" s="1056"/>
      <c r="Q879" s="1056"/>
      <c r="R879" s="1056"/>
      <c r="S879" s="1056"/>
      <c r="T879" s="1056"/>
      <c r="U879" s="1056"/>
      <c r="V879" s="1056"/>
      <c r="W879" s="1056"/>
      <c r="X879" s="1056"/>
      <c r="Y879" s="1056"/>
      <c r="Z879" s="1056"/>
      <c r="AA879" s="1056"/>
      <c r="AB879" s="1056"/>
      <c r="AC879" s="1056"/>
    </row>
    <row r="880" spans="1:29" x14ac:dyDescent="0.25">
      <c r="A880" s="1106"/>
      <c r="B880" s="1056"/>
      <c r="C880" s="1056"/>
      <c r="D880" s="1056"/>
      <c r="E880" s="1056"/>
      <c r="F880" s="1056"/>
      <c r="G880" s="1056"/>
      <c r="H880" s="1056"/>
      <c r="I880" s="1056"/>
      <c r="J880" s="1056"/>
      <c r="K880" s="1056"/>
      <c r="L880" s="1056"/>
      <c r="M880" s="1056"/>
      <c r="N880" s="1056"/>
      <c r="O880" s="1056"/>
      <c r="P880" s="1056"/>
      <c r="Q880" s="1056"/>
      <c r="R880" s="1056"/>
      <c r="S880" s="1056"/>
      <c r="T880" s="1056"/>
      <c r="U880" s="1056"/>
      <c r="V880" s="1056"/>
      <c r="W880" s="1056"/>
      <c r="X880" s="1056"/>
      <c r="Y880" s="1056"/>
      <c r="Z880" s="1056"/>
      <c r="AA880" s="1056"/>
      <c r="AB880" s="1056"/>
      <c r="AC880" s="1056"/>
    </row>
    <row r="881" spans="1:29" x14ac:dyDescent="0.25">
      <c r="A881" s="1106"/>
      <c r="B881" s="1056"/>
      <c r="C881" s="1056"/>
      <c r="D881" s="1056"/>
      <c r="E881" s="1056"/>
      <c r="F881" s="1056"/>
      <c r="G881" s="1056"/>
      <c r="H881" s="1056"/>
      <c r="I881" s="1056"/>
      <c r="J881" s="1056"/>
      <c r="K881" s="1056"/>
      <c r="L881" s="1056"/>
      <c r="M881" s="1056"/>
      <c r="N881" s="1056"/>
      <c r="O881" s="1056"/>
      <c r="P881" s="1056"/>
      <c r="Q881" s="1056"/>
      <c r="R881" s="1056"/>
      <c r="S881" s="1056"/>
      <c r="T881" s="1056"/>
      <c r="U881" s="1056"/>
      <c r="V881" s="1056"/>
      <c r="W881" s="1056"/>
      <c r="X881" s="1056"/>
      <c r="Y881" s="1056"/>
      <c r="Z881" s="1056"/>
      <c r="AA881" s="1056"/>
      <c r="AB881" s="1056"/>
      <c r="AC881" s="1056"/>
    </row>
    <row r="882" spans="1:29" x14ac:dyDescent="0.25">
      <c r="A882" s="1106"/>
      <c r="B882" s="1056"/>
      <c r="C882" s="1056"/>
      <c r="D882" s="1056"/>
      <c r="E882" s="1056"/>
      <c r="F882" s="1056"/>
      <c r="G882" s="1056"/>
      <c r="H882" s="1056"/>
      <c r="I882" s="1056"/>
      <c r="J882" s="1056"/>
      <c r="K882" s="1056"/>
      <c r="L882" s="1056"/>
      <c r="M882" s="1056"/>
      <c r="N882" s="1056"/>
      <c r="O882" s="1056"/>
      <c r="P882" s="1056"/>
      <c r="Q882" s="1056"/>
      <c r="R882" s="1056"/>
      <c r="S882" s="1056"/>
      <c r="T882" s="1056"/>
      <c r="U882" s="1056"/>
      <c r="V882" s="1056"/>
      <c r="W882" s="1056"/>
      <c r="X882" s="1056"/>
      <c r="Y882" s="1056"/>
      <c r="Z882" s="1056"/>
      <c r="AA882" s="1056"/>
      <c r="AB882" s="1056"/>
      <c r="AC882" s="1056"/>
    </row>
    <row r="883" spans="1:29" x14ac:dyDescent="0.25">
      <c r="A883" s="1106"/>
      <c r="B883" s="1056"/>
      <c r="C883" s="1056"/>
      <c r="D883" s="1056"/>
      <c r="E883" s="1056"/>
      <c r="F883" s="1056"/>
      <c r="G883" s="1056"/>
      <c r="H883" s="1056"/>
      <c r="I883" s="1056"/>
      <c r="J883" s="1056"/>
      <c r="K883" s="1056"/>
      <c r="L883" s="1056"/>
      <c r="M883" s="1056"/>
      <c r="N883" s="1056"/>
      <c r="O883" s="1056"/>
      <c r="P883" s="1056"/>
      <c r="Q883" s="1056"/>
      <c r="R883" s="1056"/>
      <c r="S883" s="1056"/>
      <c r="T883" s="1056"/>
      <c r="U883" s="1056"/>
      <c r="V883" s="1056"/>
      <c r="W883" s="1056"/>
      <c r="X883" s="1056"/>
      <c r="Y883" s="1056"/>
      <c r="Z883" s="1056"/>
      <c r="AA883" s="1056"/>
      <c r="AB883" s="1056"/>
      <c r="AC883" s="1056"/>
    </row>
    <row r="884" spans="1:29" x14ac:dyDescent="0.25">
      <c r="A884" s="1106"/>
      <c r="B884" s="1056"/>
      <c r="C884" s="1056"/>
      <c r="D884" s="1056"/>
      <c r="E884" s="1056"/>
      <c r="F884" s="1056"/>
      <c r="G884" s="1056"/>
      <c r="H884" s="1056"/>
      <c r="I884" s="1056"/>
      <c r="J884" s="1056"/>
      <c r="K884" s="1056"/>
      <c r="L884" s="1056"/>
      <c r="M884" s="1056"/>
      <c r="N884" s="1056"/>
      <c r="O884" s="1056"/>
      <c r="P884" s="1056"/>
      <c r="Q884" s="1056"/>
      <c r="R884" s="1056"/>
      <c r="S884" s="1056"/>
      <c r="T884" s="1056"/>
      <c r="U884" s="1056"/>
      <c r="V884" s="1056"/>
      <c r="W884" s="1056"/>
      <c r="X884" s="1056"/>
      <c r="Y884" s="1056"/>
      <c r="Z884" s="1056"/>
      <c r="AA884" s="1056"/>
      <c r="AB884" s="1056"/>
      <c r="AC884" s="1056"/>
    </row>
    <row r="885" spans="1:29" x14ac:dyDescent="0.25">
      <c r="A885" s="1106"/>
      <c r="B885" s="1056"/>
      <c r="C885" s="1056"/>
      <c r="D885" s="1056"/>
      <c r="E885" s="1056"/>
      <c r="F885" s="1056"/>
      <c r="G885" s="1056"/>
      <c r="H885" s="1056"/>
      <c r="I885" s="1056"/>
      <c r="J885" s="1056"/>
      <c r="K885" s="1056"/>
      <c r="L885" s="1056"/>
      <c r="M885" s="1056"/>
      <c r="N885" s="1056"/>
      <c r="O885" s="1056"/>
      <c r="P885" s="1056"/>
      <c r="Q885" s="1056"/>
      <c r="R885" s="1056"/>
      <c r="S885" s="1056"/>
      <c r="T885" s="1056"/>
      <c r="U885" s="1056"/>
      <c r="V885" s="1056"/>
      <c r="W885" s="1056"/>
      <c r="X885" s="1056"/>
      <c r="Y885" s="1056"/>
      <c r="Z885" s="1056"/>
      <c r="AA885" s="1056"/>
      <c r="AB885" s="1056"/>
      <c r="AC885" s="1056"/>
    </row>
    <row r="886" spans="1:29" x14ac:dyDescent="0.25">
      <c r="A886" s="1106"/>
      <c r="B886" s="1056"/>
      <c r="C886" s="1056"/>
      <c r="D886" s="1056"/>
      <c r="E886" s="1056"/>
      <c r="F886" s="1056"/>
      <c r="G886" s="1056"/>
      <c r="H886" s="1056"/>
      <c r="I886" s="1056"/>
      <c r="J886" s="1056"/>
      <c r="K886" s="1056"/>
      <c r="L886" s="1056"/>
      <c r="M886" s="1056"/>
      <c r="N886" s="1056"/>
      <c r="O886" s="1056"/>
      <c r="P886" s="1056"/>
      <c r="Q886" s="1056"/>
      <c r="R886" s="1056"/>
      <c r="S886" s="1056"/>
      <c r="T886" s="1056"/>
      <c r="U886" s="1056"/>
      <c r="V886" s="1056"/>
      <c r="W886" s="1056"/>
      <c r="X886" s="1056"/>
      <c r="Y886" s="1056"/>
      <c r="Z886" s="1056"/>
      <c r="AA886" s="1056"/>
      <c r="AB886" s="1056"/>
      <c r="AC886" s="1056"/>
    </row>
    <row r="887" spans="1:29" x14ac:dyDescent="0.25">
      <c r="A887" s="1106"/>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row>
    <row r="888" spans="1:29" x14ac:dyDescent="0.25">
      <c r="A888" s="110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row>
    <row r="889" spans="1:29" x14ac:dyDescent="0.25">
      <c r="A889" s="1106"/>
      <c r="B889" s="1056"/>
      <c r="C889" s="1056"/>
      <c r="D889" s="1056"/>
      <c r="E889" s="1056"/>
      <c r="F889" s="1056"/>
      <c r="G889" s="1056"/>
      <c r="H889" s="1056"/>
      <c r="I889" s="1056"/>
      <c r="J889" s="1056"/>
      <c r="K889" s="1056"/>
      <c r="L889" s="1056"/>
      <c r="M889" s="1056"/>
      <c r="N889" s="1056"/>
      <c r="O889" s="1056"/>
      <c r="P889" s="1056"/>
      <c r="Q889" s="1056"/>
      <c r="R889" s="1056"/>
      <c r="S889" s="1056"/>
      <c r="T889" s="1056"/>
      <c r="U889" s="1056"/>
      <c r="V889" s="1056"/>
      <c r="W889" s="1056"/>
      <c r="X889" s="1056"/>
      <c r="Y889" s="1056"/>
      <c r="Z889" s="1056"/>
      <c r="AA889" s="1056"/>
      <c r="AB889" s="1056"/>
      <c r="AC889" s="1056"/>
    </row>
    <row r="890" spans="1:29" x14ac:dyDescent="0.25">
      <c r="A890" s="1106"/>
      <c r="B890" s="1056"/>
      <c r="C890" s="1056"/>
      <c r="D890" s="1056"/>
      <c r="E890" s="1056"/>
      <c r="F890" s="1056"/>
      <c r="G890" s="1056"/>
      <c r="H890" s="1056"/>
      <c r="I890" s="1056"/>
      <c r="J890" s="1056"/>
      <c r="K890" s="1056"/>
      <c r="L890" s="1056"/>
      <c r="M890" s="1056"/>
      <c r="N890" s="1056"/>
      <c r="O890" s="1056"/>
      <c r="P890" s="1056"/>
      <c r="Q890" s="1056"/>
      <c r="R890" s="1056"/>
      <c r="S890" s="1056"/>
      <c r="T890" s="1056"/>
      <c r="U890" s="1056"/>
      <c r="V890" s="1056"/>
      <c r="W890" s="1056"/>
      <c r="X890" s="1056"/>
      <c r="Y890" s="1056"/>
      <c r="Z890" s="1056"/>
      <c r="AA890" s="1056"/>
      <c r="AB890" s="1056"/>
      <c r="AC890" s="1056"/>
    </row>
    <row r="891" spans="1:29" x14ac:dyDescent="0.25">
      <c r="A891" s="1106"/>
      <c r="B891" s="1056"/>
      <c r="C891" s="1056"/>
      <c r="D891" s="1056"/>
      <c r="E891" s="1056"/>
      <c r="F891" s="1056"/>
      <c r="G891" s="1056"/>
      <c r="H891" s="1056"/>
      <c r="I891" s="1056"/>
      <c r="J891" s="1056"/>
      <c r="K891" s="1056"/>
      <c r="L891" s="1056"/>
      <c r="M891" s="1056"/>
      <c r="N891" s="1056"/>
      <c r="O891" s="1056"/>
      <c r="P891" s="1056"/>
      <c r="Q891" s="1056"/>
      <c r="R891" s="1056"/>
      <c r="S891" s="1056"/>
      <c r="T891" s="1056"/>
      <c r="U891" s="1056"/>
      <c r="V891" s="1056"/>
      <c r="W891" s="1056"/>
      <c r="X891" s="1056"/>
      <c r="Y891" s="1056"/>
      <c r="Z891" s="1056"/>
      <c r="AA891" s="1056"/>
      <c r="AB891" s="1056"/>
      <c r="AC891" s="1056"/>
    </row>
    <row r="892" spans="1:29" x14ac:dyDescent="0.25">
      <c r="A892" s="1106"/>
      <c r="B892" s="1056"/>
      <c r="C892" s="1056"/>
      <c r="D892" s="1056"/>
      <c r="E892" s="1056"/>
      <c r="F892" s="1056"/>
      <c r="G892" s="1056"/>
      <c r="H892" s="1056"/>
      <c r="I892" s="1056"/>
      <c r="J892" s="1056"/>
      <c r="K892" s="1056"/>
      <c r="L892" s="1056"/>
      <c r="M892" s="1056"/>
      <c r="N892" s="1056"/>
      <c r="O892" s="1056"/>
      <c r="P892" s="1056"/>
      <c r="Q892" s="1056"/>
      <c r="R892" s="1056"/>
      <c r="S892" s="1056"/>
      <c r="T892" s="1056"/>
      <c r="U892" s="1056"/>
      <c r="V892" s="1056"/>
      <c r="W892" s="1056"/>
      <c r="X892" s="1056"/>
      <c r="Y892" s="1056"/>
      <c r="Z892" s="1056"/>
      <c r="AA892" s="1056"/>
      <c r="AB892" s="1056"/>
      <c r="AC892" s="1056"/>
    </row>
    <row r="893" spans="1:29" x14ac:dyDescent="0.25">
      <c r="A893" s="1106"/>
      <c r="B893" s="1056"/>
      <c r="C893" s="1056"/>
      <c r="D893" s="1056"/>
      <c r="E893" s="1056"/>
      <c r="F893" s="1056"/>
      <c r="G893" s="1056"/>
      <c r="H893" s="1056"/>
      <c r="I893" s="1056"/>
      <c r="J893" s="1056"/>
      <c r="K893" s="1056"/>
      <c r="L893" s="1056"/>
      <c r="M893" s="1056"/>
      <c r="N893" s="1056"/>
      <c r="O893" s="1056"/>
      <c r="P893" s="1056"/>
      <c r="Q893" s="1056"/>
      <c r="R893" s="1056"/>
      <c r="S893" s="1056"/>
      <c r="T893" s="1056"/>
      <c r="U893" s="1056"/>
      <c r="V893" s="1056"/>
      <c r="W893" s="1056"/>
      <c r="X893" s="1056"/>
      <c r="Y893" s="1056"/>
      <c r="Z893" s="1056"/>
      <c r="AA893" s="1056"/>
      <c r="AB893" s="1056"/>
      <c r="AC893" s="1056"/>
    </row>
    <row r="894" spans="1:29" x14ac:dyDescent="0.25">
      <c r="A894" s="1106"/>
      <c r="B894" s="1056"/>
      <c r="C894" s="1056"/>
      <c r="D894" s="1056"/>
      <c r="E894" s="1056"/>
      <c r="F894" s="1056"/>
      <c r="G894" s="1056"/>
      <c r="H894" s="1056"/>
      <c r="I894" s="1056"/>
      <c r="J894" s="1056"/>
      <c r="K894" s="1056"/>
      <c r="L894" s="1056"/>
      <c r="M894" s="1056"/>
      <c r="N894" s="1056"/>
      <c r="O894" s="1056"/>
      <c r="P894" s="1056"/>
      <c r="Q894" s="1056"/>
      <c r="R894" s="1056"/>
      <c r="S894" s="1056"/>
      <c r="T894" s="1056"/>
      <c r="U894" s="1056"/>
      <c r="V894" s="1056"/>
      <c r="W894" s="1056"/>
      <c r="X894" s="1056"/>
      <c r="Y894" s="1056"/>
      <c r="Z894" s="1056"/>
      <c r="AA894" s="1056"/>
      <c r="AB894" s="1056"/>
      <c r="AC894" s="1056"/>
    </row>
    <row r="895" spans="1:29" x14ac:dyDescent="0.25">
      <c r="A895" s="1106"/>
      <c r="B895" s="1056"/>
      <c r="C895" s="1056"/>
      <c r="D895" s="1056"/>
      <c r="E895" s="1056"/>
      <c r="F895" s="1056"/>
      <c r="G895" s="1056"/>
      <c r="H895" s="1056"/>
      <c r="I895" s="1056"/>
      <c r="J895" s="1056"/>
      <c r="K895" s="1056"/>
      <c r="L895" s="1056"/>
      <c r="M895" s="1056"/>
      <c r="N895" s="1056"/>
      <c r="O895" s="1056"/>
      <c r="P895" s="1056"/>
      <c r="Q895" s="1056"/>
      <c r="R895" s="1056"/>
      <c r="S895" s="1056"/>
      <c r="T895" s="1056"/>
      <c r="U895" s="1056"/>
      <c r="V895" s="1056"/>
      <c r="W895" s="1056"/>
      <c r="X895" s="1056"/>
      <c r="Y895" s="1056"/>
      <c r="Z895" s="1056"/>
      <c r="AA895" s="1056"/>
      <c r="AB895" s="1056"/>
      <c r="AC895" s="1056"/>
    </row>
    <row r="896" spans="1:29" x14ac:dyDescent="0.25">
      <c r="A896" s="1106"/>
      <c r="B896" s="1056"/>
      <c r="C896" s="1056"/>
      <c r="D896" s="1056"/>
      <c r="E896" s="1056"/>
      <c r="F896" s="1056"/>
      <c r="G896" s="1056"/>
      <c r="H896" s="1056"/>
      <c r="I896" s="1056"/>
      <c r="J896" s="1056"/>
      <c r="K896" s="1056"/>
      <c r="L896" s="1056"/>
      <c r="M896" s="1056"/>
      <c r="N896" s="1056"/>
      <c r="O896" s="1056"/>
      <c r="P896" s="1056"/>
      <c r="Q896" s="1056"/>
      <c r="R896" s="1056"/>
      <c r="S896" s="1056"/>
      <c r="T896" s="1056"/>
      <c r="U896" s="1056"/>
      <c r="V896" s="1056"/>
      <c r="W896" s="1056"/>
      <c r="X896" s="1056"/>
      <c r="Y896" s="1056"/>
      <c r="Z896" s="1056"/>
      <c r="AA896" s="1056"/>
      <c r="AB896" s="1056"/>
      <c r="AC896" s="1056"/>
    </row>
    <row r="897" spans="1:29" x14ac:dyDescent="0.25">
      <c r="A897" s="1106"/>
      <c r="B897" s="1056"/>
      <c r="C897" s="1056"/>
      <c r="D897" s="1056"/>
      <c r="E897" s="1056"/>
      <c r="F897" s="1056"/>
      <c r="G897" s="1056"/>
      <c r="H897" s="1056"/>
      <c r="I897" s="1056"/>
      <c r="J897" s="1056"/>
      <c r="K897" s="1056"/>
      <c r="L897" s="1056"/>
      <c r="M897" s="1056"/>
      <c r="N897" s="1056"/>
      <c r="O897" s="1056"/>
      <c r="P897" s="1056"/>
      <c r="Q897" s="1056"/>
      <c r="R897" s="1056"/>
      <c r="S897" s="1056"/>
      <c r="T897" s="1056"/>
      <c r="U897" s="1056"/>
      <c r="V897" s="1056"/>
      <c r="W897" s="1056"/>
      <c r="X897" s="1056"/>
      <c r="Y897" s="1056"/>
      <c r="Z897" s="1056"/>
      <c r="AA897" s="1056"/>
      <c r="AB897" s="1056"/>
      <c r="AC897" s="1056"/>
    </row>
    <row r="898" spans="1:29" x14ac:dyDescent="0.25">
      <c r="A898" s="1106"/>
      <c r="B898" s="1056"/>
      <c r="C898" s="1056"/>
      <c r="D898" s="1056"/>
      <c r="E898" s="1056"/>
      <c r="F898" s="1056"/>
      <c r="G898" s="1056"/>
      <c r="H898" s="1056"/>
      <c r="I898" s="1056"/>
      <c r="J898" s="1056"/>
      <c r="K898" s="1056"/>
      <c r="L898" s="1056"/>
      <c r="M898" s="1056"/>
      <c r="N898" s="1056"/>
      <c r="O898" s="1056"/>
      <c r="P898" s="1056"/>
      <c r="Q898" s="1056"/>
      <c r="R898" s="1056"/>
      <c r="S898" s="1056"/>
      <c r="T898" s="1056"/>
      <c r="U898" s="1056"/>
      <c r="V898" s="1056"/>
      <c r="W898" s="1056"/>
      <c r="X898" s="1056"/>
      <c r="Y898" s="1056"/>
      <c r="Z898" s="1056"/>
      <c r="AA898" s="1056"/>
      <c r="AB898" s="1056"/>
      <c r="AC898" s="1056"/>
    </row>
    <row r="899" spans="1:29" x14ac:dyDescent="0.25">
      <c r="A899" s="1106"/>
      <c r="B899" s="1056"/>
      <c r="C899" s="1056"/>
      <c r="D899" s="1056"/>
      <c r="E899" s="1056"/>
      <c r="F899" s="1056"/>
      <c r="G899" s="1056"/>
      <c r="H899" s="1056"/>
      <c r="I899" s="1056"/>
      <c r="J899" s="1056"/>
      <c r="K899" s="1056"/>
      <c r="L899" s="1056"/>
      <c r="M899" s="1056"/>
      <c r="N899" s="1056"/>
      <c r="O899" s="1056"/>
      <c r="P899" s="1056"/>
      <c r="Q899" s="1056"/>
      <c r="R899" s="1056"/>
      <c r="S899" s="1056"/>
      <c r="T899" s="1056"/>
      <c r="U899" s="1056"/>
      <c r="V899" s="1056"/>
      <c r="W899" s="1056"/>
      <c r="X899" s="1056"/>
      <c r="Y899" s="1056"/>
      <c r="Z899" s="1056"/>
      <c r="AA899" s="1056"/>
      <c r="AB899" s="1056"/>
      <c r="AC899" s="1056"/>
    </row>
    <row r="900" spans="1:29" x14ac:dyDescent="0.25">
      <c r="A900" s="1106"/>
      <c r="B900" s="1056"/>
      <c r="C900" s="1056"/>
      <c r="D900" s="1056"/>
      <c r="E900" s="1056"/>
      <c r="F900" s="1056"/>
      <c r="G900" s="1056"/>
      <c r="H900" s="1056"/>
      <c r="I900" s="1056"/>
      <c r="J900" s="1056"/>
      <c r="K900" s="1056"/>
      <c r="L900" s="1056"/>
      <c r="M900" s="1056"/>
      <c r="N900" s="1056"/>
      <c r="O900" s="1056"/>
      <c r="P900" s="1056"/>
      <c r="Q900" s="1056"/>
      <c r="R900" s="1056"/>
      <c r="S900" s="1056"/>
      <c r="T900" s="1056"/>
      <c r="U900" s="1056"/>
      <c r="V900" s="1056"/>
      <c r="W900" s="1056"/>
      <c r="X900" s="1056"/>
      <c r="Y900" s="1056"/>
      <c r="Z900" s="1056"/>
      <c r="AA900" s="1056"/>
      <c r="AB900" s="1056"/>
      <c r="AC900" s="1056"/>
    </row>
    <row r="901" spans="1:29" x14ac:dyDescent="0.25">
      <c r="A901" s="1106"/>
      <c r="B901" s="1056"/>
      <c r="C901" s="1056"/>
      <c r="D901" s="1056"/>
      <c r="E901" s="1056"/>
      <c r="F901" s="1056"/>
      <c r="G901" s="1056"/>
      <c r="H901" s="1056"/>
      <c r="I901" s="1056"/>
      <c r="J901" s="1056"/>
      <c r="K901" s="1056"/>
      <c r="L901" s="1056"/>
      <c r="M901" s="1056"/>
      <c r="N901" s="1056"/>
      <c r="O901" s="1056"/>
      <c r="P901" s="1056"/>
      <c r="Q901" s="1056"/>
      <c r="R901" s="1056"/>
      <c r="S901" s="1056"/>
      <c r="T901" s="1056"/>
      <c r="U901" s="1056"/>
      <c r="V901" s="1056"/>
      <c r="W901" s="1056"/>
      <c r="X901" s="1056"/>
      <c r="Y901" s="1056"/>
      <c r="Z901" s="1056"/>
      <c r="AA901" s="1056"/>
      <c r="AB901" s="1056"/>
      <c r="AC901" s="1056"/>
    </row>
    <row r="902" spans="1:29" x14ac:dyDescent="0.25">
      <c r="A902" s="1106"/>
      <c r="B902" s="1056"/>
      <c r="C902" s="1056"/>
      <c r="D902" s="1056"/>
      <c r="E902" s="1056"/>
      <c r="F902" s="1056"/>
      <c r="G902" s="1056"/>
      <c r="H902" s="1056"/>
      <c r="I902" s="1056"/>
      <c r="J902" s="1056"/>
      <c r="K902" s="1056"/>
      <c r="L902" s="1056"/>
      <c r="M902" s="1056"/>
      <c r="N902" s="1056"/>
      <c r="O902" s="1056"/>
      <c r="P902" s="1056"/>
      <c r="Q902" s="1056"/>
      <c r="R902" s="1056"/>
      <c r="S902" s="1056"/>
      <c r="T902" s="1056"/>
      <c r="U902" s="1056"/>
      <c r="V902" s="1056"/>
      <c r="W902" s="1056"/>
      <c r="X902" s="1056"/>
      <c r="Y902" s="1056"/>
      <c r="Z902" s="1056"/>
      <c r="AA902" s="1056"/>
      <c r="AB902" s="1056"/>
      <c r="AC902" s="1056"/>
    </row>
    <row r="903" spans="1:29" x14ac:dyDescent="0.25">
      <c r="A903" s="1106"/>
      <c r="B903" s="1056"/>
      <c r="C903" s="1056"/>
      <c r="D903" s="1056"/>
      <c r="E903" s="1056"/>
      <c r="F903" s="1056"/>
      <c r="G903" s="1056"/>
      <c r="H903" s="1056"/>
      <c r="I903" s="1056"/>
      <c r="J903" s="1056"/>
      <c r="K903" s="1056"/>
      <c r="L903" s="1056"/>
      <c r="M903" s="1056"/>
      <c r="N903" s="1056"/>
      <c r="O903" s="1056"/>
      <c r="P903" s="1056"/>
      <c r="Q903" s="1056"/>
      <c r="R903" s="1056"/>
      <c r="S903" s="1056"/>
      <c r="T903" s="1056"/>
      <c r="U903" s="1056"/>
      <c r="V903" s="1056"/>
      <c r="W903" s="1056"/>
      <c r="X903" s="1056"/>
      <c r="Y903" s="1056"/>
      <c r="Z903" s="1056"/>
      <c r="AA903" s="1056"/>
      <c r="AB903" s="1056"/>
      <c r="AC903" s="1056"/>
    </row>
    <row r="904" spans="1:29" x14ac:dyDescent="0.25">
      <c r="A904" s="1106"/>
      <c r="B904" s="1056"/>
      <c r="C904" s="1056"/>
      <c r="D904" s="1056"/>
      <c r="E904" s="1056"/>
      <c r="F904" s="1056"/>
      <c r="G904" s="1056"/>
      <c r="H904" s="1056"/>
      <c r="I904" s="1056"/>
      <c r="J904" s="1056"/>
      <c r="K904" s="1056"/>
      <c r="L904" s="1056"/>
      <c r="M904" s="1056"/>
      <c r="N904" s="1056"/>
      <c r="O904" s="1056"/>
      <c r="P904" s="1056"/>
      <c r="Q904" s="1056"/>
      <c r="R904" s="1056"/>
      <c r="S904" s="1056"/>
      <c r="T904" s="1056"/>
      <c r="U904" s="1056"/>
      <c r="V904" s="1056"/>
      <c r="W904" s="1056"/>
      <c r="X904" s="1056"/>
      <c r="Y904" s="1056"/>
      <c r="Z904" s="1056"/>
      <c r="AA904" s="1056"/>
      <c r="AB904" s="1056"/>
      <c r="AC904" s="1056"/>
    </row>
    <row r="905" spans="1:29" x14ac:dyDescent="0.25">
      <c r="A905" s="1106"/>
      <c r="B905" s="1056"/>
      <c r="C905" s="1056"/>
      <c r="D905" s="1056"/>
      <c r="E905" s="1056"/>
      <c r="F905" s="1056"/>
      <c r="G905" s="1056"/>
      <c r="H905" s="1056"/>
      <c r="I905" s="1056"/>
      <c r="J905" s="1056"/>
      <c r="K905" s="1056"/>
      <c r="L905" s="1056"/>
      <c r="M905" s="1056"/>
      <c r="N905" s="1056"/>
      <c r="O905" s="1056"/>
      <c r="P905" s="1056"/>
      <c r="Q905" s="1056"/>
      <c r="R905" s="1056"/>
      <c r="S905" s="1056"/>
      <c r="T905" s="1056"/>
      <c r="U905" s="1056"/>
      <c r="V905" s="1056"/>
      <c r="W905" s="1056"/>
      <c r="X905" s="1056"/>
      <c r="Y905" s="1056"/>
      <c r="Z905" s="1056"/>
      <c r="AA905" s="1056"/>
      <c r="AB905" s="1056"/>
      <c r="AC905" s="1056"/>
    </row>
    <row r="906" spans="1:29" x14ac:dyDescent="0.25">
      <c r="A906" s="1106"/>
      <c r="B906" s="1056"/>
      <c r="C906" s="1056"/>
      <c r="D906" s="1056"/>
      <c r="E906" s="1056"/>
      <c r="F906" s="1056"/>
      <c r="G906" s="1056"/>
      <c r="H906" s="1056"/>
      <c r="I906" s="1056"/>
      <c r="J906" s="1056"/>
      <c r="K906" s="1056"/>
      <c r="L906" s="1056"/>
      <c r="M906" s="1056"/>
      <c r="N906" s="1056"/>
      <c r="O906" s="1056"/>
      <c r="P906" s="1056"/>
      <c r="Q906" s="1056"/>
      <c r="R906" s="1056"/>
      <c r="S906" s="1056"/>
      <c r="T906" s="1056"/>
      <c r="U906" s="1056"/>
      <c r="V906" s="1056"/>
      <c r="W906" s="1056"/>
      <c r="X906" s="1056"/>
      <c r="Y906" s="1056"/>
      <c r="Z906" s="1056"/>
      <c r="AA906" s="1056"/>
      <c r="AB906" s="1056"/>
      <c r="AC906" s="1056"/>
    </row>
    <row r="907" spans="1:29" x14ac:dyDescent="0.25">
      <c r="A907" s="1106"/>
      <c r="B907" s="1056"/>
      <c r="C907" s="1056"/>
      <c r="D907" s="1056"/>
      <c r="E907" s="1056"/>
      <c r="F907" s="1056"/>
      <c r="G907" s="1056"/>
      <c r="H907" s="1056"/>
      <c r="I907" s="1056"/>
      <c r="J907" s="1056"/>
      <c r="K907" s="1056"/>
      <c r="L907" s="1056"/>
      <c r="M907" s="1056"/>
      <c r="N907" s="1056"/>
      <c r="O907" s="1056"/>
      <c r="P907" s="1056"/>
      <c r="Q907" s="1056"/>
      <c r="R907" s="1056"/>
      <c r="S907" s="1056"/>
      <c r="T907" s="1056"/>
      <c r="U907" s="1056"/>
      <c r="V907" s="1056"/>
      <c r="W907" s="1056"/>
      <c r="X907" s="1056"/>
      <c r="Y907" s="1056"/>
      <c r="Z907" s="1056"/>
      <c r="AA907" s="1056"/>
      <c r="AB907" s="1056"/>
      <c r="AC907" s="1056"/>
    </row>
    <row r="908" spans="1:29" x14ac:dyDescent="0.25">
      <c r="A908" s="1106"/>
      <c r="B908" s="1056"/>
      <c r="C908" s="1056"/>
      <c r="D908" s="1056"/>
      <c r="E908" s="1056"/>
      <c r="F908" s="1056"/>
      <c r="G908" s="1056"/>
      <c r="H908" s="1056"/>
      <c r="I908" s="1056"/>
      <c r="J908" s="1056"/>
      <c r="K908" s="1056"/>
      <c r="L908" s="1056"/>
      <c r="M908" s="1056"/>
      <c r="N908" s="1056"/>
      <c r="O908" s="1056"/>
      <c r="P908" s="1056"/>
      <c r="Q908" s="1056"/>
      <c r="R908" s="1056"/>
      <c r="S908" s="1056"/>
      <c r="T908" s="1056"/>
      <c r="U908" s="1056"/>
      <c r="V908" s="1056"/>
      <c r="W908" s="1056"/>
      <c r="X908" s="1056"/>
      <c r="Y908" s="1056"/>
      <c r="Z908" s="1056"/>
      <c r="AA908" s="1056"/>
      <c r="AB908" s="1056"/>
      <c r="AC908" s="1056"/>
    </row>
    <row r="909" spans="1:29" x14ac:dyDescent="0.25">
      <c r="A909" s="1106"/>
      <c r="B909" s="1056"/>
      <c r="C909" s="1056"/>
      <c r="D909" s="1056"/>
      <c r="E909" s="1056"/>
      <c r="F909" s="1056"/>
      <c r="G909" s="1056"/>
      <c r="H909" s="1056"/>
      <c r="I909" s="1056"/>
      <c r="J909" s="1056"/>
      <c r="K909" s="1056"/>
      <c r="L909" s="1056"/>
      <c r="M909" s="1056"/>
      <c r="N909" s="1056"/>
      <c r="O909" s="1056"/>
      <c r="P909" s="1056"/>
      <c r="Q909" s="1056"/>
      <c r="R909" s="1056"/>
      <c r="S909" s="1056"/>
      <c r="T909" s="1056"/>
      <c r="U909" s="1056"/>
      <c r="V909" s="1056"/>
      <c r="W909" s="1056"/>
      <c r="X909" s="1056"/>
      <c r="Y909" s="1056"/>
      <c r="Z909" s="1056"/>
      <c r="AA909" s="1056"/>
      <c r="AB909" s="1056"/>
      <c r="AC909" s="1056"/>
    </row>
    <row r="910" spans="1:29" x14ac:dyDescent="0.25">
      <c r="A910" s="1106"/>
      <c r="B910" s="1056"/>
      <c r="C910" s="1056"/>
      <c r="D910" s="1056"/>
      <c r="E910" s="1056"/>
      <c r="F910" s="1056"/>
      <c r="G910" s="1056"/>
      <c r="H910" s="1056"/>
      <c r="I910" s="1056"/>
      <c r="J910" s="1056"/>
      <c r="K910" s="1056"/>
      <c r="L910" s="1056"/>
      <c r="M910" s="1056"/>
      <c r="N910" s="1056"/>
      <c r="O910" s="1056"/>
      <c r="P910" s="1056"/>
      <c r="Q910" s="1056"/>
      <c r="R910" s="1056"/>
      <c r="S910" s="1056"/>
      <c r="T910" s="1056"/>
      <c r="U910" s="1056"/>
      <c r="V910" s="1056"/>
      <c r="W910" s="1056"/>
      <c r="X910" s="1056"/>
      <c r="Y910" s="1056"/>
      <c r="Z910" s="1056"/>
      <c r="AA910" s="1056"/>
      <c r="AB910" s="1056"/>
      <c r="AC910" s="1056"/>
    </row>
    <row r="911" spans="1:29" x14ac:dyDescent="0.25">
      <c r="A911" s="1106"/>
      <c r="B911" s="1056"/>
      <c r="C911" s="1056"/>
      <c r="D911" s="1056"/>
      <c r="E911" s="1056"/>
      <c r="F911" s="1056"/>
      <c r="G911" s="1056"/>
      <c r="H911" s="1056"/>
      <c r="I911" s="1056"/>
      <c r="J911" s="1056"/>
      <c r="K911" s="1056"/>
      <c r="L911" s="1056"/>
      <c r="M911" s="1056"/>
      <c r="N911" s="1056"/>
      <c r="O911" s="1056"/>
      <c r="P911" s="1056"/>
      <c r="Q911" s="1056"/>
      <c r="R911" s="1056"/>
      <c r="S911" s="1056"/>
      <c r="T911" s="1056"/>
      <c r="U911" s="1056"/>
      <c r="V911" s="1056"/>
      <c r="W911" s="1056"/>
      <c r="X911" s="1056"/>
      <c r="Y911" s="1056"/>
      <c r="Z911" s="1056"/>
      <c r="AA911" s="1056"/>
      <c r="AB911" s="1056"/>
      <c r="AC911" s="1056"/>
    </row>
    <row r="912" spans="1:29" x14ac:dyDescent="0.25">
      <c r="A912" s="1106"/>
      <c r="B912" s="1056"/>
      <c r="C912" s="1056"/>
      <c r="D912" s="1056"/>
      <c r="E912" s="1056"/>
      <c r="F912" s="1056"/>
      <c r="G912" s="1056"/>
      <c r="H912" s="1056"/>
      <c r="I912" s="1056"/>
      <c r="J912" s="1056"/>
      <c r="K912" s="1056"/>
      <c r="L912" s="1056"/>
      <c r="M912" s="1056"/>
      <c r="N912" s="1056"/>
      <c r="O912" s="1056"/>
      <c r="P912" s="1056"/>
      <c r="Q912" s="1056"/>
      <c r="R912" s="1056"/>
      <c r="S912" s="1056"/>
      <c r="T912" s="1056"/>
      <c r="U912" s="1056"/>
      <c r="V912" s="1056"/>
      <c r="W912" s="1056"/>
      <c r="X912" s="1056"/>
      <c r="Y912" s="1056"/>
      <c r="Z912" s="1056"/>
      <c r="AA912" s="1056"/>
      <c r="AB912" s="1056"/>
      <c r="AC912" s="1056"/>
    </row>
    <row r="913" spans="1:29" x14ac:dyDescent="0.25">
      <c r="A913" s="1106"/>
      <c r="B913" s="1056"/>
      <c r="C913" s="1056"/>
      <c r="D913" s="1056"/>
      <c r="E913" s="1056"/>
      <c r="F913" s="1056"/>
      <c r="G913" s="1056"/>
      <c r="H913" s="1056"/>
      <c r="I913" s="1056"/>
      <c r="J913" s="1056"/>
      <c r="K913" s="1056"/>
      <c r="L913" s="1056"/>
      <c r="M913" s="1056"/>
      <c r="N913" s="1056"/>
      <c r="O913" s="1056"/>
      <c r="P913" s="1056"/>
      <c r="Q913" s="1056"/>
      <c r="R913" s="1056"/>
      <c r="S913" s="1056"/>
      <c r="T913" s="1056"/>
      <c r="U913" s="1056"/>
      <c r="V913" s="1056"/>
      <c r="W913" s="1056"/>
      <c r="X913" s="1056"/>
      <c r="Y913" s="1056"/>
      <c r="Z913" s="1056"/>
      <c r="AA913" s="1056"/>
      <c r="AB913" s="1056"/>
      <c r="AC913" s="1056"/>
    </row>
    <row r="914" spans="1:29" x14ac:dyDescent="0.25">
      <c r="A914" s="1106"/>
      <c r="B914" s="1056"/>
      <c r="C914" s="1056"/>
      <c r="D914" s="1056"/>
      <c r="E914" s="1056"/>
      <c r="F914" s="1056"/>
      <c r="G914" s="1056"/>
      <c r="H914" s="1056"/>
      <c r="I914" s="1056"/>
      <c r="J914" s="1056"/>
      <c r="K914" s="1056"/>
      <c r="L914" s="1056"/>
      <c r="M914" s="1056"/>
      <c r="N914" s="1056"/>
      <c r="O914" s="1056"/>
      <c r="P914" s="1056"/>
      <c r="Q914" s="1056"/>
      <c r="R914" s="1056"/>
      <c r="S914" s="1056"/>
      <c r="T914" s="1056"/>
      <c r="U914" s="1056"/>
      <c r="V914" s="1056"/>
      <c r="W914" s="1056"/>
      <c r="X914" s="1056"/>
      <c r="Y914" s="1056"/>
      <c r="Z914" s="1056"/>
      <c r="AA914" s="1056"/>
      <c r="AB914" s="1056"/>
      <c r="AC914" s="1056"/>
    </row>
    <row r="915" spans="1:29" x14ac:dyDescent="0.25">
      <c r="A915" s="1106"/>
      <c r="B915" s="1056"/>
      <c r="C915" s="1056"/>
      <c r="D915" s="1056"/>
      <c r="E915" s="1056"/>
      <c r="F915" s="1056"/>
      <c r="G915" s="1056"/>
      <c r="H915" s="1056"/>
      <c r="I915" s="1056"/>
      <c r="J915" s="1056"/>
      <c r="K915" s="1056"/>
      <c r="L915" s="1056"/>
      <c r="M915" s="1056"/>
      <c r="N915" s="1056"/>
      <c r="O915" s="1056"/>
      <c r="P915" s="1056"/>
      <c r="Q915" s="1056"/>
      <c r="R915" s="1056"/>
      <c r="S915" s="1056"/>
      <c r="T915" s="1056"/>
      <c r="U915" s="1056"/>
      <c r="V915" s="1056"/>
      <c r="W915" s="1056"/>
      <c r="X915" s="1056"/>
      <c r="Y915" s="1056"/>
      <c r="Z915" s="1056"/>
      <c r="AA915" s="1056"/>
      <c r="AB915" s="1056"/>
      <c r="AC915" s="1056"/>
    </row>
    <row r="916" spans="1:29" x14ac:dyDescent="0.25">
      <c r="A916" s="1106"/>
      <c r="B916" s="1056"/>
      <c r="C916" s="1056"/>
      <c r="D916" s="1056"/>
      <c r="E916" s="1056"/>
      <c r="F916" s="1056"/>
      <c r="G916" s="1056"/>
      <c r="H916" s="1056"/>
      <c r="I916" s="1056"/>
      <c r="J916" s="1056"/>
      <c r="K916" s="1056"/>
      <c r="L916" s="1056"/>
      <c r="M916" s="1056"/>
      <c r="N916" s="1056"/>
      <c r="O916" s="1056"/>
      <c r="P916" s="1056"/>
      <c r="Q916" s="1056"/>
      <c r="R916" s="1056"/>
      <c r="S916" s="1056"/>
      <c r="T916" s="1056"/>
      <c r="U916" s="1056"/>
      <c r="V916" s="1056"/>
      <c r="W916" s="1056"/>
      <c r="X916" s="1056"/>
      <c r="Y916" s="1056"/>
      <c r="Z916" s="1056"/>
      <c r="AA916" s="1056"/>
      <c r="AB916" s="1056"/>
      <c r="AC916" s="1056"/>
    </row>
    <row r="917" spans="1:29" x14ac:dyDescent="0.25">
      <c r="A917" s="1106"/>
      <c r="B917" s="1056"/>
      <c r="C917" s="1056"/>
      <c r="D917" s="1056"/>
      <c r="E917" s="1056"/>
      <c r="F917" s="1056"/>
      <c r="G917" s="1056"/>
      <c r="H917" s="1056"/>
      <c r="I917" s="1056"/>
      <c r="J917" s="1056"/>
      <c r="K917" s="1056"/>
      <c r="L917" s="1056"/>
      <c r="M917" s="1056"/>
      <c r="N917" s="1056"/>
      <c r="O917" s="1056"/>
      <c r="P917" s="1056"/>
      <c r="Q917" s="1056"/>
      <c r="R917" s="1056"/>
      <c r="S917" s="1056"/>
      <c r="T917" s="1056"/>
      <c r="U917" s="1056"/>
      <c r="V917" s="1056"/>
      <c r="W917" s="1056"/>
      <c r="X917" s="1056"/>
      <c r="Y917" s="1056"/>
      <c r="Z917" s="1056"/>
      <c r="AA917" s="1056"/>
      <c r="AB917" s="1056"/>
      <c r="AC917" s="1056"/>
    </row>
    <row r="918" spans="1:29" x14ac:dyDescent="0.25">
      <c r="A918" s="1106"/>
      <c r="B918" s="1056"/>
      <c r="C918" s="1056"/>
      <c r="D918" s="1056"/>
      <c r="E918" s="1056"/>
      <c r="F918" s="1056"/>
      <c r="G918" s="1056"/>
      <c r="H918" s="1056"/>
      <c r="I918" s="1056"/>
      <c r="J918" s="1056"/>
      <c r="K918" s="1056"/>
      <c r="L918" s="1056"/>
      <c r="M918" s="1056"/>
      <c r="N918" s="1056"/>
      <c r="O918" s="1056"/>
      <c r="P918" s="1056"/>
      <c r="Q918" s="1056"/>
      <c r="R918" s="1056"/>
      <c r="S918" s="1056"/>
      <c r="T918" s="1056"/>
      <c r="U918" s="1056"/>
      <c r="V918" s="1056"/>
      <c r="W918" s="1056"/>
      <c r="X918" s="1056"/>
      <c r="Y918" s="1056"/>
      <c r="Z918" s="1056"/>
      <c r="AA918" s="1056"/>
      <c r="AB918" s="1056"/>
      <c r="AC918" s="1056"/>
    </row>
    <row r="919" spans="1:29" x14ac:dyDescent="0.25">
      <c r="A919" s="1106"/>
      <c r="B919" s="1056"/>
      <c r="C919" s="1056"/>
      <c r="D919" s="1056"/>
      <c r="E919" s="1056"/>
      <c r="F919" s="1056"/>
      <c r="G919" s="1056"/>
      <c r="H919" s="1056"/>
      <c r="I919" s="1056"/>
      <c r="J919" s="1056"/>
      <c r="K919" s="1056"/>
      <c r="L919" s="1056"/>
      <c r="M919" s="1056"/>
      <c r="N919" s="1056"/>
      <c r="O919" s="1056"/>
      <c r="P919" s="1056"/>
      <c r="Q919" s="1056"/>
      <c r="R919" s="1056"/>
      <c r="S919" s="1056"/>
      <c r="T919" s="1056"/>
      <c r="U919" s="1056"/>
      <c r="V919" s="1056"/>
      <c r="W919" s="1056"/>
      <c r="X919" s="1056"/>
      <c r="Y919" s="1056"/>
      <c r="Z919" s="1056"/>
      <c r="AA919" s="1056"/>
      <c r="AB919" s="1056"/>
      <c r="AC919" s="1056"/>
    </row>
    <row r="920" spans="1:29" x14ac:dyDescent="0.25">
      <c r="A920" s="1106"/>
      <c r="B920" s="1056"/>
      <c r="C920" s="1056"/>
      <c r="D920" s="1056"/>
      <c r="E920" s="1056"/>
      <c r="F920" s="1056"/>
      <c r="G920" s="1056"/>
      <c r="H920" s="1056"/>
      <c r="I920" s="1056"/>
      <c r="J920" s="1056"/>
      <c r="K920" s="1056"/>
      <c r="L920" s="1056"/>
      <c r="M920" s="1056"/>
      <c r="N920" s="1056"/>
      <c r="O920" s="1056"/>
      <c r="P920" s="1056"/>
      <c r="Q920" s="1056"/>
      <c r="R920" s="1056"/>
      <c r="S920" s="1056"/>
      <c r="T920" s="1056"/>
      <c r="U920" s="1056"/>
      <c r="V920" s="1056"/>
      <c r="W920" s="1056"/>
      <c r="X920" s="1056"/>
      <c r="Y920" s="1056"/>
      <c r="Z920" s="1056"/>
      <c r="AA920" s="1056"/>
      <c r="AB920" s="1056"/>
      <c r="AC920" s="1056"/>
    </row>
    <row r="921" spans="1:29" x14ac:dyDescent="0.25">
      <c r="A921" s="1106"/>
      <c r="B921" s="1056"/>
      <c r="C921" s="1056"/>
      <c r="D921" s="1056"/>
      <c r="E921" s="1056"/>
      <c r="F921" s="1056"/>
      <c r="G921" s="1056"/>
      <c r="H921" s="1056"/>
      <c r="I921" s="1056"/>
      <c r="J921" s="1056"/>
      <c r="K921" s="1056"/>
      <c r="L921" s="1056"/>
      <c r="M921" s="1056"/>
      <c r="N921" s="1056"/>
      <c r="O921" s="1056"/>
      <c r="P921" s="1056"/>
      <c r="Q921" s="1056"/>
      <c r="R921" s="1056"/>
      <c r="S921" s="1056"/>
      <c r="T921" s="1056"/>
      <c r="U921" s="1056"/>
      <c r="V921" s="1056"/>
      <c r="W921" s="1056"/>
      <c r="X921" s="1056"/>
      <c r="Y921" s="1056"/>
      <c r="Z921" s="1056"/>
      <c r="AA921" s="1056"/>
      <c r="AB921" s="1056"/>
      <c r="AC921" s="1056"/>
    </row>
    <row r="922" spans="1:29" x14ac:dyDescent="0.25">
      <c r="A922" s="1106"/>
      <c r="B922" s="1056"/>
      <c r="C922" s="1056"/>
      <c r="D922" s="1056"/>
      <c r="E922" s="1056"/>
      <c r="F922" s="1056"/>
      <c r="G922" s="1056"/>
      <c r="H922" s="1056"/>
      <c r="I922" s="1056"/>
      <c r="J922" s="1056"/>
      <c r="K922" s="1056"/>
      <c r="L922" s="1056"/>
      <c r="M922" s="1056"/>
      <c r="N922" s="1056"/>
      <c r="O922" s="1056"/>
      <c r="P922" s="1056"/>
      <c r="Q922" s="1056"/>
      <c r="R922" s="1056"/>
      <c r="S922" s="1056"/>
      <c r="T922" s="1056"/>
      <c r="U922" s="1056"/>
      <c r="V922" s="1056"/>
      <c r="W922" s="1056"/>
      <c r="X922" s="1056"/>
      <c r="Y922" s="1056"/>
      <c r="Z922" s="1056"/>
      <c r="AA922" s="1056"/>
      <c r="AB922" s="1056"/>
      <c r="AC922" s="1056"/>
    </row>
    <row r="923" spans="1:29" x14ac:dyDescent="0.25">
      <c r="A923" s="1106"/>
      <c r="B923" s="1056"/>
      <c r="C923" s="1056"/>
      <c r="D923" s="1056"/>
      <c r="E923" s="1056"/>
      <c r="F923" s="1056"/>
      <c r="G923" s="1056"/>
      <c r="H923" s="1056"/>
      <c r="I923" s="1056"/>
      <c r="J923" s="1056"/>
      <c r="K923" s="1056"/>
      <c r="L923" s="1056"/>
      <c r="M923" s="1056"/>
      <c r="N923" s="1056"/>
      <c r="O923" s="1056"/>
      <c r="P923" s="1056"/>
      <c r="Q923" s="1056"/>
      <c r="R923" s="1056"/>
      <c r="S923" s="1056"/>
      <c r="T923" s="1056"/>
      <c r="U923" s="1056"/>
      <c r="V923" s="1056"/>
      <c r="W923" s="1056"/>
      <c r="X923" s="1056"/>
      <c r="Y923" s="1056"/>
      <c r="Z923" s="1056"/>
      <c r="AA923" s="1056"/>
      <c r="AB923" s="1056"/>
      <c r="AC923" s="1056"/>
    </row>
    <row r="924" spans="1:29" x14ac:dyDescent="0.25">
      <c r="A924" s="1106"/>
      <c r="B924" s="1056"/>
      <c r="C924" s="1056"/>
      <c r="D924" s="1056"/>
      <c r="E924" s="1056"/>
      <c r="F924" s="1056"/>
      <c r="G924" s="1056"/>
      <c r="H924" s="1056"/>
      <c r="I924" s="1056"/>
      <c r="J924" s="1056"/>
      <c r="K924" s="1056"/>
      <c r="L924" s="1056"/>
      <c r="M924" s="1056"/>
      <c r="N924" s="1056"/>
      <c r="O924" s="1056"/>
      <c r="P924" s="1056"/>
      <c r="Q924" s="1056"/>
      <c r="R924" s="1056"/>
      <c r="S924" s="1056"/>
      <c r="T924" s="1056"/>
      <c r="U924" s="1056"/>
      <c r="V924" s="1056"/>
      <c r="W924" s="1056"/>
      <c r="X924" s="1056"/>
      <c r="Y924" s="1056"/>
      <c r="Z924" s="1056"/>
      <c r="AA924" s="1056"/>
      <c r="AB924" s="1056"/>
      <c r="AC924" s="1056"/>
    </row>
    <row r="925" spans="1:29" x14ac:dyDescent="0.25">
      <c r="A925" s="1106"/>
      <c r="B925" s="1056"/>
      <c r="C925" s="1056"/>
      <c r="D925" s="1056"/>
      <c r="E925" s="1056"/>
      <c r="F925" s="1056"/>
      <c r="G925" s="1056"/>
      <c r="H925" s="1056"/>
      <c r="I925" s="1056"/>
      <c r="J925" s="1056"/>
      <c r="K925" s="1056"/>
      <c r="L925" s="1056"/>
      <c r="M925" s="1056"/>
      <c r="N925" s="1056"/>
      <c r="O925" s="1056"/>
      <c r="P925" s="1056"/>
      <c r="Q925" s="1056"/>
      <c r="R925" s="1056"/>
      <c r="S925" s="1056"/>
      <c r="T925" s="1056"/>
      <c r="U925" s="1056"/>
      <c r="V925" s="1056"/>
      <c r="W925" s="1056"/>
      <c r="X925" s="1056"/>
      <c r="Y925" s="1056"/>
      <c r="Z925" s="1056"/>
      <c r="AA925" s="1056"/>
      <c r="AB925" s="1056"/>
      <c r="AC925" s="1056"/>
    </row>
    <row r="926" spans="1:29" x14ac:dyDescent="0.25">
      <c r="A926" s="1106"/>
      <c r="B926" s="1056"/>
      <c r="C926" s="1056"/>
      <c r="D926" s="1056"/>
      <c r="E926" s="1056"/>
      <c r="F926" s="1056"/>
      <c r="G926" s="1056"/>
      <c r="H926" s="1056"/>
      <c r="I926" s="1056"/>
      <c r="J926" s="1056"/>
      <c r="K926" s="1056"/>
      <c r="L926" s="1056"/>
      <c r="M926" s="1056"/>
      <c r="N926" s="1056"/>
      <c r="O926" s="1056"/>
      <c r="P926" s="1056"/>
      <c r="Q926" s="1056"/>
      <c r="R926" s="1056"/>
      <c r="S926" s="1056"/>
      <c r="T926" s="1056"/>
      <c r="U926" s="1056"/>
      <c r="V926" s="1056"/>
      <c r="W926" s="1056"/>
      <c r="X926" s="1056"/>
      <c r="Y926" s="1056"/>
      <c r="Z926" s="1056"/>
      <c r="AA926" s="1056"/>
      <c r="AB926" s="1056"/>
      <c r="AC926" s="1056"/>
    </row>
    <row r="927" spans="1:29" x14ac:dyDescent="0.25">
      <c r="A927" s="1106"/>
      <c r="B927" s="1056"/>
      <c r="C927" s="1056"/>
      <c r="D927" s="1056"/>
      <c r="E927" s="1056"/>
      <c r="F927" s="1056"/>
      <c r="G927" s="1056"/>
      <c r="H927" s="1056"/>
      <c r="I927" s="1056"/>
      <c r="J927" s="1056"/>
      <c r="K927" s="1056"/>
      <c r="L927" s="1056"/>
      <c r="M927" s="1056"/>
      <c r="N927" s="1056"/>
      <c r="O927" s="1056"/>
      <c r="P927" s="1056"/>
      <c r="Q927" s="1056"/>
      <c r="R927" s="1056"/>
      <c r="S927" s="1056"/>
      <c r="T927" s="1056"/>
      <c r="U927" s="1056"/>
      <c r="V927" s="1056"/>
      <c r="W927" s="1056"/>
      <c r="X927" s="1056"/>
      <c r="Y927" s="1056"/>
      <c r="Z927" s="1056"/>
      <c r="AA927" s="1056"/>
      <c r="AB927" s="1056"/>
      <c r="AC927" s="1056"/>
    </row>
    <row r="928" spans="1:29" x14ac:dyDescent="0.25">
      <c r="A928" s="1106"/>
      <c r="B928" s="1056"/>
      <c r="C928" s="1056"/>
      <c r="D928" s="1056"/>
      <c r="E928" s="1056"/>
      <c r="F928" s="1056"/>
      <c r="G928" s="1056"/>
      <c r="H928" s="1056"/>
      <c r="I928" s="1056"/>
      <c r="J928" s="1056"/>
      <c r="K928" s="1056"/>
      <c r="L928" s="1056"/>
      <c r="M928" s="1056"/>
      <c r="N928" s="1056"/>
      <c r="O928" s="1056"/>
      <c r="P928" s="1056"/>
      <c r="Q928" s="1056"/>
      <c r="R928" s="1056"/>
      <c r="S928" s="1056"/>
      <c r="T928" s="1056"/>
      <c r="U928" s="1056"/>
      <c r="V928" s="1056"/>
      <c r="W928" s="1056"/>
      <c r="X928" s="1056"/>
      <c r="Y928" s="1056"/>
      <c r="Z928" s="1056"/>
      <c r="AA928" s="1056"/>
      <c r="AB928" s="1056"/>
      <c r="AC928" s="1056"/>
    </row>
    <row r="929" spans="1:29" x14ac:dyDescent="0.25">
      <c r="A929" s="1106"/>
      <c r="B929" s="1056"/>
      <c r="C929" s="1056"/>
      <c r="D929" s="1056"/>
      <c r="E929" s="1056"/>
      <c r="F929" s="1056"/>
      <c r="G929" s="1056"/>
      <c r="H929" s="1056"/>
      <c r="I929" s="1056"/>
      <c r="J929" s="1056"/>
      <c r="K929" s="1056"/>
      <c r="L929" s="1056"/>
      <c r="M929" s="1056"/>
      <c r="N929" s="1056"/>
      <c r="O929" s="1056"/>
      <c r="P929" s="1056"/>
      <c r="Q929" s="1056"/>
      <c r="R929" s="1056"/>
      <c r="S929" s="1056"/>
      <c r="T929" s="1056"/>
      <c r="U929" s="1056"/>
      <c r="V929" s="1056"/>
      <c r="W929" s="1056"/>
      <c r="X929" s="1056"/>
      <c r="Y929" s="1056"/>
      <c r="Z929" s="1056"/>
      <c r="AA929" s="1056"/>
      <c r="AB929" s="1056"/>
      <c r="AC929" s="1056"/>
    </row>
    <row r="930" spans="1:29" x14ac:dyDescent="0.25">
      <c r="A930" s="1106"/>
      <c r="B930" s="1056"/>
      <c r="C930" s="1056"/>
      <c r="D930" s="1056"/>
      <c r="E930" s="1056"/>
      <c r="F930" s="1056"/>
      <c r="G930" s="1056"/>
      <c r="H930" s="1056"/>
      <c r="I930" s="1056"/>
      <c r="J930" s="1056"/>
      <c r="K930" s="1056"/>
      <c r="L930" s="1056"/>
      <c r="M930" s="1056"/>
      <c r="N930" s="1056"/>
      <c r="O930" s="1056"/>
      <c r="P930" s="1056"/>
      <c r="Q930" s="1056"/>
      <c r="R930" s="1056"/>
      <c r="S930" s="1056"/>
      <c r="T930" s="1056"/>
      <c r="U930" s="1056"/>
      <c r="V930" s="1056"/>
      <c r="W930" s="1056"/>
      <c r="X930" s="1056"/>
      <c r="Y930" s="1056"/>
      <c r="Z930" s="1056"/>
      <c r="AA930" s="1056"/>
      <c r="AB930" s="1056"/>
      <c r="AC930" s="1056"/>
    </row>
    <row r="931" spans="1:29" x14ac:dyDescent="0.25">
      <c r="A931" s="1106"/>
      <c r="B931" s="1056"/>
      <c r="C931" s="1056"/>
      <c r="D931" s="1056"/>
      <c r="E931" s="1056"/>
      <c r="F931" s="1056"/>
      <c r="G931" s="1056"/>
      <c r="H931" s="1056"/>
      <c r="I931" s="1056"/>
      <c r="J931" s="1056"/>
      <c r="K931" s="1056"/>
      <c r="L931" s="1056"/>
      <c r="M931" s="1056"/>
      <c r="N931" s="1056"/>
      <c r="O931" s="1056"/>
      <c r="P931" s="1056"/>
      <c r="Q931" s="1056"/>
      <c r="R931" s="1056"/>
      <c r="S931" s="1056"/>
      <c r="T931" s="1056"/>
      <c r="U931" s="1056"/>
      <c r="V931" s="1056"/>
      <c r="W931" s="1056"/>
      <c r="X931" s="1056"/>
      <c r="Y931" s="1056"/>
      <c r="Z931" s="1056"/>
      <c r="AA931" s="1056"/>
      <c r="AB931" s="1056"/>
      <c r="AC931" s="1056"/>
    </row>
    <row r="932" spans="1:29" x14ac:dyDescent="0.25">
      <c r="A932" s="1106"/>
      <c r="B932" s="1056"/>
      <c r="C932" s="1056"/>
      <c r="D932" s="1056"/>
      <c r="E932" s="1056"/>
      <c r="F932" s="1056"/>
      <c r="G932" s="1056"/>
      <c r="H932" s="1056"/>
      <c r="I932" s="1056"/>
      <c r="J932" s="1056"/>
      <c r="K932" s="1056"/>
      <c r="L932" s="1056"/>
      <c r="M932" s="1056"/>
      <c r="N932" s="1056"/>
      <c r="O932" s="1056"/>
      <c r="P932" s="1056"/>
      <c r="Q932" s="1056"/>
      <c r="R932" s="1056"/>
      <c r="S932" s="1056"/>
      <c r="T932" s="1056"/>
      <c r="U932" s="1056"/>
      <c r="V932" s="1056"/>
      <c r="W932" s="1056"/>
      <c r="X932" s="1056"/>
      <c r="Y932" s="1056"/>
      <c r="Z932" s="1056"/>
      <c r="AA932" s="1056"/>
      <c r="AB932" s="1056"/>
      <c r="AC932" s="1056"/>
    </row>
    <row r="933" spans="1:29" x14ac:dyDescent="0.25">
      <c r="A933" s="1106"/>
      <c r="B933" s="1056"/>
      <c r="C933" s="1056"/>
      <c r="D933" s="1056"/>
      <c r="E933" s="1056"/>
      <c r="F933" s="1056"/>
      <c r="G933" s="1056"/>
      <c r="H933" s="1056"/>
      <c r="I933" s="1056"/>
      <c r="J933" s="1056"/>
      <c r="K933" s="1056"/>
      <c r="L933" s="1056"/>
      <c r="M933" s="1056"/>
      <c r="N933" s="1056"/>
      <c r="O933" s="1056"/>
      <c r="P933" s="1056"/>
      <c r="Q933" s="1056"/>
      <c r="R933" s="1056"/>
      <c r="S933" s="1056"/>
      <c r="T933" s="1056"/>
      <c r="U933" s="1056"/>
      <c r="V933" s="1056"/>
      <c r="W933" s="1056"/>
      <c r="X933" s="1056"/>
      <c r="Y933" s="1056"/>
      <c r="Z933" s="1056"/>
      <c r="AA933" s="1056"/>
      <c r="AB933" s="1056"/>
      <c r="AC933" s="1056"/>
    </row>
    <row r="934" spans="1:29" x14ac:dyDescent="0.25">
      <c r="A934" s="1106"/>
      <c r="B934" s="1056"/>
      <c r="C934" s="1056"/>
      <c r="D934" s="1056"/>
      <c r="E934" s="1056"/>
      <c r="F934" s="1056"/>
      <c r="G934" s="1056"/>
      <c r="H934" s="1056"/>
      <c r="I934" s="1056"/>
      <c r="J934" s="1056"/>
      <c r="K934" s="1056"/>
      <c r="L934" s="1056"/>
      <c r="M934" s="1056"/>
      <c r="N934" s="1056"/>
      <c r="O934" s="1056"/>
      <c r="P934" s="1056"/>
      <c r="Q934" s="1056"/>
      <c r="R934" s="1056"/>
      <c r="S934" s="1056"/>
      <c r="T934" s="1056"/>
      <c r="U934" s="1056"/>
      <c r="V934" s="1056"/>
      <c r="W934" s="1056"/>
      <c r="X934" s="1056"/>
      <c r="Y934" s="1056"/>
      <c r="Z934" s="1056"/>
      <c r="AA934" s="1056"/>
      <c r="AB934" s="1056"/>
      <c r="AC934" s="1056"/>
    </row>
    <row r="935" spans="1:29" x14ac:dyDescent="0.25">
      <c r="A935" s="1106"/>
      <c r="B935" s="1056"/>
      <c r="C935" s="1056"/>
      <c r="D935" s="1056"/>
      <c r="E935" s="1056"/>
      <c r="F935" s="1056"/>
      <c r="G935" s="1056"/>
      <c r="H935" s="1056"/>
      <c r="I935" s="1056"/>
      <c r="J935" s="1056"/>
      <c r="K935" s="1056"/>
      <c r="L935" s="1056"/>
      <c r="M935" s="1056"/>
      <c r="N935" s="1056"/>
      <c r="O935" s="1056"/>
      <c r="P935" s="1056"/>
      <c r="Q935" s="1056"/>
      <c r="R935" s="1056"/>
      <c r="S935" s="1056"/>
      <c r="T935" s="1056"/>
      <c r="U935" s="1056"/>
      <c r="V935" s="1056"/>
      <c r="W935" s="1056"/>
      <c r="X935" s="1056"/>
      <c r="Y935" s="1056"/>
      <c r="Z935" s="1056"/>
      <c r="AA935" s="1056"/>
      <c r="AB935" s="1056"/>
      <c r="AC935" s="1056"/>
    </row>
    <row r="936" spans="1:29" x14ac:dyDescent="0.25">
      <c r="A936" s="1106"/>
      <c r="B936" s="1056"/>
      <c r="C936" s="1056"/>
      <c r="D936" s="1056"/>
      <c r="E936" s="1056"/>
      <c r="F936" s="1056"/>
      <c r="G936" s="1056"/>
      <c r="H936" s="1056"/>
      <c r="I936" s="1056"/>
      <c r="J936" s="1056"/>
      <c r="K936" s="1056"/>
      <c r="L936" s="1056"/>
      <c r="M936" s="1056"/>
      <c r="N936" s="1056"/>
      <c r="O936" s="1056"/>
      <c r="P936" s="1056"/>
      <c r="Q936" s="1056"/>
      <c r="R936" s="1056"/>
      <c r="S936" s="1056"/>
      <c r="T936" s="1056"/>
      <c r="U936" s="1056"/>
      <c r="V936" s="1056"/>
      <c r="W936" s="1056"/>
      <c r="X936" s="1056"/>
      <c r="Y936" s="1056"/>
      <c r="Z936" s="1056"/>
      <c r="AA936" s="1056"/>
      <c r="AB936" s="1056"/>
      <c r="AC936" s="1056"/>
    </row>
    <row r="937" spans="1:29" x14ac:dyDescent="0.25">
      <c r="A937" s="1106"/>
      <c r="B937" s="1056"/>
      <c r="C937" s="1056"/>
      <c r="D937" s="1056"/>
      <c r="E937" s="1056"/>
      <c r="F937" s="1056"/>
      <c r="G937" s="1056"/>
      <c r="H937" s="1056"/>
      <c r="I937" s="1056"/>
      <c r="J937" s="1056"/>
      <c r="K937" s="1056"/>
      <c r="L937" s="1056"/>
      <c r="M937" s="1056"/>
      <c r="N937" s="1056"/>
      <c r="O937" s="1056"/>
      <c r="P937" s="1056"/>
      <c r="Q937" s="1056"/>
      <c r="R937" s="1056"/>
      <c r="S937" s="1056"/>
      <c r="T937" s="1056"/>
      <c r="U937" s="1056"/>
      <c r="V937" s="1056"/>
      <c r="W937" s="1056"/>
      <c r="X937" s="1056"/>
      <c r="Y937" s="1056"/>
      <c r="Z937" s="1056"/>
      <c r="AA937" s="1056"/>
      <c r="AB937" s="1056"/>
      <c r="AC937" s="1056"/>
    </row>
    <row r="938" spans="1:29" x14ac:dyDescent="0.25">
      <c r="A938" s="1106"/>
      <c r="B938" s="1056"/>
      <c r="C938" s="1056"/>
      <c r="D938" s="1056"/>
      <c r="E938" s="1056"/>
      <c r="F938" s="1056"/>
      <c r="G938" s="1056"/>
      <c r="H938" s="1056"/>
      <c r="I938" s="1056"/>
      <c r="J938" s="1056"/>
      <c r="K938" s="1056"/>
      <c r="L938" s="1056"/>
      <c r="M938" s="1056"/>
      <c r="N938" s="1056"/>
      <c r="O938" s="1056"/>
      <c r="P938" s="1056"/>
      <c r="Q938" s="1056"/>
      <c r="R938" s="1056"/>
      <c r="S938" s="1056"/>
      <c r="T938" s="1056"/>
      <c r="U938" s="1056"/>
      <c r="V938" s="1056"/>
      <c r="W938" s="1056"/>
      <c r="X938" s="1056"/>
      <c r="Y938" s="1056"/>
      <c r="Z938" s="1056"/>
      <c r="AA938" s="1056"/>
      <c r="AB938" s="1056"/>
      <c r="AC938" s="1056"/>
    </row>
    <row r="939" spans="1:29" x14ac:dyDescent="0.25">
      <c r="A939" s="1106"/>
      <c r="B939" s="1056"/>
      <c r="C939" s="1056"/>
      <c r="D939" s="1056"/>
      <c r="E939" s="1056"/>
      <c r="F939" s="1056"/>
      <c r="G939" s="1056"/>
      <c r="H939" s="1056"/>
      <c r="I939" s="1056"/>
      <c r="J939" s="1056"/>
      <c r="K939" s="1056"/>
      <c r="L939" s="1056"/>
      <c r="M939" s="1056"/>
      <c r="N939" s="1056"/>
      <c r="O939" s="1056"/>
      <c r="P939" s="1056"/>
      <c r="Q939" s="1056"/>
      <c r="R939" s="1056"/>
      <c r="S939" s="1056"/>
      <c r="T939" s="1056"/>
      <c r="U939" s="1056"/>
      <c r="V939" s="1056"/>
      <c r="W939" s="1056"/>
      <c r="X939" s="1056"/>
      <c r="Y939" s="1056"/>
      <c r="Z939" s="1056"/>
      <c r="AA939" s="1056"/>
      <c r="AB939" s="1056"/>
      <c r="AC939" s="1056"/>
    </row>
    <row r="940" spans="1:29" x14ac:dyDescent="0.25">
      <c r="A940" s="1106"/>
      <c r="B940" s="1056"/>
      <c r="C940" s="1056"/>
      <c r="D940" s="1056"/>
      <c r="E940" s="1056"/>
      <c r="F940" s="1056"/>
      <c r="G940" s="1056"/>
      <c r="H940" s="1056"/>
      <c r="I940" s="1056"/>
      <c r="J940" s="1056"/>
      <c r="K940" s="1056"/>
      <c r="L940" s="1056"/>
      <c r="M940" s="1056"/>
      <c r="N940" s="1056"/>
      <c r="O940" s="1056"/>
      <c r="P940" s="1056"/>
      <c r="Q940" s="1056"/>
      <c r="R940" s="1056"/>
      <c r="S940" s="1056"/>
      <c r="T940" s="1056"/>
      <c r="U940" s="1056"/>
      <c r="V940" s="1056"/>
      <c r="W940" s="1056"/>
      <c r="X940" s="1056"/>
      <c r="Y940" s="1056"/>
      <c r="Z940" s="1056"/>
      <c r="AA940" s="1056"/>
      <c r="AB940" s="1056"/>
      <c r="AC940" s="1056"/>
    </row>
    <row r="941" spans="1:29" x14ac:dyDescent="0.25">
      <c r="A941" s="1106"/>
      <c r="B941" s="1056"/>
      <c r="C941" s="1056"/>
      <c r="D941" s="1056"/>
      <c r="E941" s="1056"/>
      <c r="F941" s="1056"/>
      <c r="G941" s="1056"/>
      <c r="H941" s="1056"/>
      <c r="I941" s="1056"/>
      <c r="J941" s="1056"/>
      <c r="K941" s="1056"/>
      <c r="L941" s="1056"/>
      <c r="M941" s="1056"/>
      <c r="N941" s="1056"/>
      <c r="O941" s="1056"/>
      <c r="P941" s="1056"/>
      <c r="Q941" s="1056"/>
      <c r="R941" s="1056"/>
      <c r="S941" s="1056"/>
      <c r="T941" s="1056"/>
      <c r="U941" s="1056"/>
      <c r="V941" s="1056"/>
      <c r="W941" s="1056"/>
      <c r="X941" s="1056"/>
      <c r="Y941" s="1056"/>
      <c r="Z941" s="1056"/>
      <c r="AA941" s="1056"/>
      <c r="AB941" s="1056"/>
      <c r="AC941" s="1056"/>
    </row>
    <row r="942" spans="1:29" x14ac:dyDescent="0.25">
      <c r="A942" s="1106"/>
      <c r="B942" s="1056"/>
      <c r="C942" s="1056"/>
      <c r="D942" s="1056"/>
      <c r="E942" s="1056"/>
      <c r="F942" s="1056"/>
      <c r="G942" s="1056"/>
      <c r="H942" s="1056"/>
      <c r="I942" s="1056"/>
      <c r="J942" s="1056"/>
      <c r="K942" s="1056"/>
      <c r="L942" s="1056"/>
      <c r="M942" s="1056"/>
      <c r="N942" s="1056"/>
      <c r="O942" s="1056"/>
      <c r="P942" s="1056"/>
      <c r="Q942" s="1056"/>
      <c r="R942" s="1056"/>
      <c r="S942" s="1056"/>
      <c r="T942" s="1056"/>
      <c r="U942" s="1056"/>
      <c r="V942" s="1056"/>
      <c r="W942" s="1056"/>
      <c r="X942" s="1056"/>
      <c r="Y942" s="1056"/>
      <c r="Z942" s="1056"/>
      <c r="AA942" s="1056"/>
      <c r="AB942" s="1056"/>
      <c r="AC942" s="1056"/>
    </row>
    <row r="943" spans="1:29" x14ac:dyDescent="0.25">
      <c r="A943" s="1106"/>
      <c r="B943" s="1056"/>
      <c r="C943" s="1056"/>
      <c r="D943" s="1056"/>
      <c r="E943" s="1056"/>
      <c r="F943" s="1056"/>
      <c r="G943" s="1056"/>
      <c r="H943" s="1056"/>
      <c r="I943" s="1056"/>
      <c r="J943" s="1056"/>
      <c r="K943" s="1056"/>
      <c r="L943" s="1056"/>
      <c r="M943" s="1056"/>
      <c r="N943" s="1056"/>
      <c r="O943" s="1056"/>
      <c r="P943" s="1056"/>
      <c r="Q943" s="1056"/>
      <c r="R943" s="1056"/>
      <c r="S943" s="1056"/>
      <c r="T943" s="1056"/>
      <c r="U943" s="1056"/>
      <c r="V943" s="1056"/>
      <c r="W943" s="1056"/>
      <c r="X943" s="1056"/>
      <c r="Y943" s="1056"/>
      <c r="Z943" s="1056"/>
      <c r="AA943" s="1056"/>
      <c r="AB943" s="1056"/>
      <c r="AC943" s="1056"/>
    </row>
    <row r="944" spans="1:29" x14ac:dyDescent="0.25">
      <c r="A944" s="1106"/>
      <c r="B944" s="1056"/>
      <c r="C944" s="1056"/>
      <c r="D944" s="1056"/>
      <c r="E944" s="1056"/>
      <c r="F944" s="1056"/>
      <c r="G944" s="1056"/>
      <c r="H944" s="1056"/>
      <c r="I944" s="1056"/>
      <c r="J944" s="1056"/>
      <c r="K944" s="1056"/>
      <c r="L944" s="1056"/>
      <c r="M944" s="1056"/>
      <c r="N944" s="1056"/>
      <c r="O944" s="1056"/>
      <c r="P944" s="1056"/>
      <c r="Q944" s="1056"/>
      <c r="R944" s="1056"/>
      <c r="S944" s="1056"/>
      <c r="T944" s="1056"/>
      <c r="U944" s="1056"/>
      <c r="V944" s="1056"/>
      <c r="W944" s="1056"/>
      <c r="X944" s="1056"/>
      <c r="Y944" s="1056"/>
      <c r="Z944" s="1056"/>
      <c r="AA944" s="1056"/>
      <c r="AB944" s="1056"/>
      <c r="AC944" s="1056"/>
    </row>
    <row r="945" spans="1:29" x14ac:dyDescent="0.25">
      <c r="A945" s="1106"/>
      <c r="B945" s="1056"/>
      <c r="C945" s="1056"/>
      <c r="D945" s="1056"/>
      <c r="E945" s="1056"/>
      <c r="F945" s="1056"/>
      <c r="G945" s="1056"/>
      <c r="H945" s="1056"/>
      <c r="I945" s="1056"/>
      <c r="J945" s="1056"/>
      <c r="K945" s="1056"/>
      <c r="L945" s="1056"/>
      <c r="M945" s="1056"/>
      <c r="N945" s="1056"/>
      <c r="O945" s="1056"/>
      <c r="P945" s="1056"/>
      <c r="Q945" s="1056"/>
      <c r="R945" s="1056"/>
      <c r="S945" s="1056"/>
      <c r="T945" s="1056"/>
      <c r="U945" s="1056"/>
      <c r="V945" s="1056"/>
      <c r="W945" s="1056"/>
      <c r="X945" s="1056"/>
      <c r="Y945" s="1056"/>
      <c r="Z945" s="1056"/>
      <c r="AA945" s="1056"/>
      <c r="AB945" s="1056"/>
      <c r="AC945" s="1056"/>
    </row>
    <row r="946" spans="1:29" x14ac:dyDescent="0.25">
      <c r="A946" s="1106"/>
      <c r="B946" s="1056"/>
      <c r="C946" s="1056"/>
      <c r="D946" s="1056"/>
      <c r="E946" s="1056"/>
      <c r="F946" s="1056"/>
      <c r="G946" s="1056"/>
      <c r="H946" s="1056"/>
      <c r="I946" s="1056"/>
      <c r="J946" s="1056"/>
      <c r="K946" s="1056"/>
      <c r="L946" s="1056"/>
      <c r="M946" s="1056"/>
      <c r="N946" s="1056"/>
      <c r="O946" s="1056"/>
      <c r="P946" s="1056"/>
      <c r="Q946" s="1056"/>
      <c r="R946" s="1056"/>
      <c r="S946" s="1056"/>
      <c r="T946" s="1056"/>
      <c r="U946" s="1056"/>
      <c r="V946" s="1056"/>
      <c r="W946" s="1056"/>
      <c r="X946" s="1056"/>
      <c r="Y946" s="1056"/>
      <c r="Z946" s="1056"/>
      <c r="AA946" s="1056"/>
      <c r="AB946" s="1056"/>
      <c r="AC946" s="1056"/>
    </row>
    <row r="947" spans="1:29" x14ac:dyDescent="0.25">
      <c r="A947" s="1106"/>
      <c r="B947" s="1056"/>
      <c r="C947" s="1056"/>
      <c r="D947" s="1056"/>
      <c r="E947" s="1056"/>
      <c r="F947" s="1056"/>
      <c r="G947" s="1056"/>
      <c r="H947" s="1056"/>
      <c r="I947" s="1056"/>
      <c r="J947" s="1056"/>
      <c r="K947" s="1056"/>
      <c r="L947" s="1056"/>
      <c r="M947" s="1056"/>
      <c r="N947" s="1056"/>
      <c r="O947" s="1056"/>
      <c r="P947" s="1056"/>
      <c r="Q947" s="1056"/>
      <c r="R947" s="1056"/>
      <c r="S947" s="1056"/>
      <c r="T947" s="1056"/>
      <c r="U947" s="1056"/>
      <c r="V947" s="1056"/>
      <c r="W947" s="1056"/>
      <c r="X947" s="1056"/>
      <c r="Y947" s="1056"/>
      <c r="Z947" s="1056"/>
      <c r="AA947" s="1056"/>
      <c r="AB947" s="1056"/>
      <c r="AC947" s="1056"/>
    </row>
    <row r="948" spans="1:29" x14ac:dyDescent="0.25">
      <c r="A948" s="1106"/>
      <c r="B948" s="1056"/>
      <c r="C948" s="1056"/>
      <c r="D948" s="1056"/>
      <c r="E948" s="1056"/>
      <c r="F948" s="1056"/>
      <c r="G948" s="1056"/>
      <c r="H948" s="1056"/>
      <c r="I948" s="1056"/>
      <c r="J948" s="1056"/>
      <c r="K948" s="1056"/>
      <c r="L948" s="1056"/>
      <c r="M948" s="1056"/>
      <c r="N948" s="1056"/>
      <c r="O948" s="1056"/>
      <c r="P948" s="1056"/>
      <c r="Q948" s="1056"/>
      <c r="R948" s="1056"/>
      <c r="S948" s="1056"/>
      <c r="T948" s="1056"/>
      <c r="U948" s="1056"/>
      <c r="V948" s="1056"/>
      <c r="W948" s="1056"/>
      <c r="X948" s="1056"/>
      <c r="Y948" s="1056"/>
      <c r="Z948" s="1056"/>
      <c r="AA948" s="1056"/>
      <c r="AB948" s="1056"/>
      <c r="AC948" s="1056"/>
    </row>
    <row r="949" spans="1:29" x14ac:dyDescent="0.25">
      <c r="A949" s="1106"/>
      <c r="B949" s="1056"/>
      <c r="C949" s="1056"/>
      <c r="D949" s="1056"/>
      <c r="E949" s="1056"/>
      <c r="F949" s="1056"/>
      <c r="G949" s="1056"/>
      <c r="H949" s="1056"/>
      <c r="I949" s="1056"/>
      <c r="J949" s="1056"/>
      <c r="K949" s="1056"/>
      <c r="L949" s="1056"/>
      <c r="M949" s="1056"/>
      <c r="N949" s="1056"/>
      <c r="O949" s="1056"/>
      <c r="P949" s="1056"/>
      <c r="Q949" s="1056"/>
      <c r="R949" s="1056"/>
      <c r="S949" s="1056"/>
      <c r="T949" s="1056"/>
      <c r="U949" s="1056"/>
      <c r="V949" s="1056"/>
      <c r="W949" s="1056"/>
      <c r="X949" s="1056"/>
      <c r="Y949" s="1056"/>
      <c r="Z949" s="1056"/>
      <c r="AA949" s="1056"/>
      <c r="AB949" s="1056"/>
      <c r="AC949" s="1056"/>
    </row>
    <row r="950" spans="1:29" x14ac:dyDescent="0.25">
      <c r="A950" s="1106"/>
      <c r="B950" s="1056"/>
      <c r="C950" s="1056"/>
      <c r="D950" s="1056"/>
      <c r="E950" s="1056"/>
      <c r="F950" s="1056"/>
      <c r="G950" s="1056"/>
      <c r="H950" s="1056"/>
      <c r="I950" s="1056"/>
      <c r="J950" s="1056"/>
      <c r="K950" s="1056"/>
      <c r="L950" s="1056"/>
      <c r="M950" s="1056"/>
      <c r="N950" s="1056"/>
      <c r="O950" s="1056"/>
      <c r="P950" s="1056"/>
      <c r="Q950" s="1056"/>
      <c r="R950" s="1056"/>
      <c r="S950" s="1056"/>
      <c r="T950" s="1056"/>
      <c r="U950" s="1056"/>
      <c r="V950" s="1056"/>
      <c r="W950" s="1056"/>
      <c r="X950" s="1056"/>
      <c r="Y950" s="1056"/>
      <c r="Z950" s="1056"/>
      <c r="AA950" s="1056"/>
      <c r="AB950" s="1056"/>
      <c r="AC950" s="1056"/>
    </row>
    <row r="951" spans="1:29" x14ac:dyDescent="0.25">
      <c r="A951" s="1106"/>
      <c r="B951" s="1056"/>
      <c r="C951" s="1056"/>
      <c r="D951" s="1056"/>
      <c r="E951" s="1056"/>
      <c r="F951" s="1056"/>
      <c r="G951" s="1056"/>
      <c r="H951" s="1056"/>
      <c r="I951" s="1056"/>
      <c r="J951" s="1056"/>
      <c r="K951" s="1056"/>
      <c r="L951" s="1056"/>
      <c r="M951" s="1056"/>
      <c r="N951" s="1056"/>
      <c r="O951" s="1056"/>
      <c r="P951" s="1056"/>
      <c r="Q951" s="1056"/>
      <c r="R951" s="1056"/>
      <c r="S951" s="1056"/>
      <c r="T951" s="1056"/>
      <c r="U951" s="1056"/>
      <c r="V951" s="1056"/>
      <c r="W951" s="1056"/>
      <c r="X951" s="1056"/>
      <c r="Y951" s="1056"/>
      <c r="Z951" s="1056"/>
      <c r="AA951" s="1056"/>
      <c r="AB951" s="1056"/>
      <c r="AC951" s="1056"/>
    </row>
    <row r="952" spans="1:29" x14ac:dyDescent="0.25">
      <c r="A952" s="1106"/>
      <c r="B952" s="1056"/>
      <c r="C952" s="1056"/>
      <c r="D952" s="1056"/>
      <c r="E952" s="1056"/>
      <c r="F952" s="1056"/>
      <c r="G952" s="1056"/>
      <c r="H952" s="1056"/>
      <c r="I952" s="1056"/>
      <c r="J952" s="1056"/>
      <c r="K952" s="1056"/>
      <c r="L952" s="1056"/>
      <c r="M952" s="1056"/>
      <c r="N952" s="1056"/>
      <c r="O952" s="1056"/>
      <c r="P952" s="1056"/>
      <c r="Q952" s="1056"/>
      <c r="R952" s="1056"/>
      <c r="S952" s="1056"/>
      <c r="T952" s="1056"/>
      <c r="U952" s="1056"/>
      <c r="V952" s="1056"/>
      <c r="W952" s="1056"/>
      <c r="X952" s="1056"/>
      <c r="Y952" s="1056"/>
      <c r="Z952" s="1056"/>
      <c r="AA952" s="1056"/>
      <c r="AB952" s="1056"/>
      <c r="AC952" s="1056"/>
    </row>
    <row r="953" spans="1:29" x14ac:dyDescent="0.25">
      <c r="A953" s="1106"/>
      <c r="B953" s="1056"/>
      <c r="C953" s="1056"/>
      <c r="D953" s="1056"/>
      <c r="E953" s="1056"/>
      <c r="F953" s="1056"/>
      <c r="G953" s="1056"/>
      <c r="H953" s="1056"/>
      <c r="I953" s="1056"/>
      <c r="J953" s="1056"/>
      <c r="K953" s="1056"/>
      <c r="L953" s="1056"/>
      <c r="M953" s="1056"/>
      <c r="N953" s="1056"/>
      <c r="O953" s="1056"/>
      <c r="P953" s="1056"/>
      <c r="Q953" s="1056"/>
      <c r="R953" s="1056"/>
      <c r="S953" s="1056"/>
      <c r="T953" s="1056"/>
      <c r="U953" s="1056"/>
      <c r="V953" s="1056"/>
      <c r="W953" s="1056"/>
      <c r="X953" s="1056"/>
      <c r="Y953" s="1056"/>
      <c r="Z953" s="1056"/>
      <c r="AA953" s="1056"/>
      <c r="AB953" s="1056"/>
      <c r="AC953" s="1056"/>
    </row>
    <row r="954" spans="1:29" x14ac:dyDescent="0.25">
      <c r="A954" s="1106"/>
      <c r="B954" s="1056"/>
      <c r="C954" s="1056"/>
      <c r="D954" s="1056"/>
      <c r="E954" s="1056"/>
      <c r="F954" s="1056"/>
      <c r="G954" s="1056"/>
      <c r="H954" s="1056"/>
      <c r="I954" s="1056"/>
      <c r="J954" s="1056"/>
      <c r="K954" s="1056"/>
      <c r="L954" s="1056"/>
      <c r="M954" s="1056"/>
      <c r="N954" s="1056"/>
      <c r="O954" s="1056"/>
      <c r="P954" s="1056"/>
      <c r="Q954" s="1056"/>
      <c r="R954" s="1056"/>
      <c r="S954" s="1056"/>
      <c r="T954" s="1056"/>
      <c r="U954" s="1056"/>
      <c r="V954" s="1056"/>
      <c r="W954" s="1056"/>
      <c r="X954" s="1056"/>
      <c r="Y954" s="1056"/>
      <c r="Z954" s="1056"/>
      <c r="AA954" s="1056"/>
      <c r="AB954" s="1056"/>
      <c r="AC954" s="1056"/>
    </row>
    <row r="955" spans="1:29" x14ac:dyDescent="0.25">
      <c r="A955" s="1106"/>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row>
    <row r="956" spans="1:29" x14ac:dyDescent="0.25">
      <c r="A956" s="110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row>
    <row r="957" spans="1:29" x14ac:dyDescent="0.25">
      <c r="A957" s="1106"/>
      <c r="B957" s="1056"/>
      <c r="C957" s="1056"/>
      <c r="D957" s="1056"/>
      <c r="E957" s="1056"/>
      <c r="F957" s="1056"/>
      <c r="G957" s="1056"/>
      <c r="H957" s="1056"/>
      <c r="I957" s="1056"/>
      <c r="J957" s="1056"/>
      <c r="K957" s="1056"/>
      <c r="L957" s="1056"/>
      <c r="M957" s="1056"/>
      <c r="N957" s="1056"/>
      <c r="O957" s="1056"/>
      <c r="P957" s="1056"/>
      <c r="Q957" s="1056"/>
      <c r="R957" s="1056"/>
      <c r="S957" s="1056"/>
      <c r="T957" s="1056"/>
      <c r="U957" s="1056"/>
      <c r="V957" s="1056"/>
      <c r="W957" s="1056"/>
      <c r="X957" s="1056"/>
      <c r="Y957" s="1056"/>
      <c r="Z957" s="1056"/>
      <c r="AA957" s="1056"/>
      <c r="AB957" s="1056"/>
      <c r="AC957" s="1056"/>
    </row>
    <row r="958" spans="1:29" x14ac:dyDescent="0.25">
      <c r="A958" s="1106"/>
      <c r="B958" s="1056"/>
      <c r="C958" s="1056"/>
      <c r="D958" s="1056"/>
      <c r="E958" s="1056"/>
      <c r="F958" s="1056"/>
      <c r="G958" s="1056"/>
      <c r="H958" s="1056"/>
      <c r="I958" s="1056"/>
      <c r="J958" s="1056"/>
      <c r="K958" s="1056"/>
      <c r="L958" s="1056"/>
      <c r="M958" s="1056"/>
      <c r="N958" s="1056"/>
      <c r="O958" s="1056"/>
      <c r="P958" s="1056"/>
      <c r="Q958" s="1056"/>
      <c r="R958" s="1056"/>
      <c r="S958" s="1056"/>
      <c r="T958" s="1056"/>
      <c r="U958" s="1056"/>
      <c r="V958" s="1056"/>
      <c r="W958" s="1056"/>
      <c r="X958" s="1056"/>
      <c r="Y958" s="1056"/>
      <c r="Z958" s="1056"/>
      <c r="AA958" s="1056"/>
      <c r="AB958" s="1056"/>
      <c r="AC958" s="1056"/>
    </row>
    <row r="959" spans="1:29" x14ac:dyDescent="0.25">
      <c r="A959" s="1106"/>
      <c r="B959" s="1056"/>
      <c r="C959" s="1056"/>
      <c r="D959" s="1056"/>
      <c r="E959" s="1056"/>
      <c r="F959" s="1056"/>
      <c r="G959" s="1056"/>
      <c r="H959" s="1056"/>
      <c r="I959" s="1056"/>
      <c r="J959" s="1056"/>
      <c r="K959" s="1056"/>
      <c r="L959" s="1056"/>
      <c r="M959" s="1056"/>
      <c r="N959" s="1056"/>
      <c r="O959" s="1056"/>
      <c r="P959" s="1056"/>
      <c r="Q959" s="1056"/>
      <c r="R959" s="1056"/>
      <c r="S959" s="1056"/>
      <c r="T959" s="1056"/>
      <c r="U959" s="1056"/>
      <c r="V959" s="1056"/>
      <c r="W959" s="1056"/>
      <c r="X959" s="1056"/>
      <c r="Y959" s="1056"/>
      <c r="Z959" s="1056"/>
      <c r="AA959" s="1056"/>
      <c r="AB959" s="1056"/>
      <c r="AC959" s="1056"/>
    </row>
    <row r="960" spans="1:29" x14ac:dyDescent="0.25">
      <c r="A960" s="1106"/>
      <c r="B960" s="1056"/>
      <c r="C960" s="1056"/>
      <c r="D960" s="1056"/>
      <c r="E960" s="1056"/>
      <c r="F960" s="1056"/>
      <c r="G960" s="1056"/>
      <c r="H960" s="1056"/>
      <c r="I960" s="1056"/>
      <c r="J960" s="1056"/>
      <c r="K960" s="1056"/>
      <c r="L960" s="1056"/>
      <c r="M960" s="1056"/>
      <c r="N960" s="1056"/>
      <c r="O960" s="1056"/>
      <c r="P960" s="1056"/>
      <c r="Q960" s="1056"/>
      <c r="R960" s="1056"/>
      <c r="S960" s="1056"/>
      <c r="T960" s="1056"/>
      <c r="U960" s="1056"/>
      <c r="V960" s="1056"/>
      <c r="W960" s="1056"/>
      <c r="X960" s="1056"/>
      <c r="Y960" s="1056"/>
      <c r="Z960" s="1056"/>
      <c r="AA960" s="1056"/>
      <c r="AB960" s="1056"/>
      <c r="AC960" s="1056"/>
    </row>
    <row r="961" spans="1:29" x14ac:dyDescent="0.25">
      <c r="A961" s="1106"/>
      <c r="B961" s="1056"/>
      <c r="C961" s="1056"/>
      <c r="D961" s="1056"/>
      <c r="E961" s="1056"/>
      <c r="F961" s="1056"/>
      <c r="G961" s="1056"/>
      <c r="H961" s="1056"/>
      <c r="I961" s="1056"/>
      <c r="J961" s="1056"/>
      <c r="K961" s="1056"/>
      <c r="L961" s="1056"/>
      <c r="M961" s="1056"/>
      <c r="N961" s="1056"/>
      <c r="O961" s="1056"/>
      <c r="P961" s="1056"/>
      <c r="Q961" s="1056"/>
      <c r="R961" s="1056"/>
      <c r="S961" s="1056"/>
      <c r="T961" s="1056"/>
      <c r="U961" s="1056"/>
      <c r="V961" s="1056"/>
      <c r="W961" s="1056"/>
      <c r="X961" s="1056"/>
      <c r="Y961" s="1056"/>
      <c r="Z961" s="1056"/>
      <c r="AA961" s="1056"/>
      <c r="AB961" s="1056"/>
      <c r="AC961" s="1056"/>
    </row>
    <row r="962" spans="1:29" x14ac:dyDescent="0.25">
      <c r="A962" s="1106"/>
      <c r="B962" s="1056"/>
      <c r="C962" s="1056"/>
      <c r="D962" s="1056"/>
      <c r="E962" s="1056"/>
      <c r="F962" s="1056"/>
      <c r="G962" s="1056"/>
      <c r="H962" s="1056"/>
      <c r="I962" s="1056"/>
      <c r="J962" s="1056"/>
      <c r="K962" s="1056"/>
      <c r="L962" s="1056"/>
      <c r="M962" s="1056"/>
      <c r="N962" s="1056"/>
      <c r="O962" s="1056"/>
      <c r="P962" s="1056"/>
      <c r="Q962" s="1056"/>
      <c r="R962" s="1056"/>
      <c r="S962" s="1056"/>
      <c r="T962" s="1056"/>
      <c r="U962" s="1056"/>
      <c r="V962" s="1056"/>
      <c r="W962" s="1056"/>
      <c r="X962" s="1056"/>
      <c r="Y962" s="1056"/>
      <c r="Z962" s="1056"/>
      <c r="AA962" s="1056"/>
      <c r="AB962" s="1056"/>
      <c r="AC962" s="1056"/>
    </row>
    <row r="963" spans="1:29" x14ac:dyDescent="0.25">
      <c r="A963" s="1106"/>
      <c r="B963" s="1056"/>
      <c r="C963" s="1056"/>
      <c r="D963" s="1056"/>
      <c r="E963" s="1056"/>
      <c r="F963" s="1056"/>
      <c r="G963" s="1056"/>
      <c r="H963" s="1056"/>
      <c r="I963" s="1056"/>
      <c r="J963" s="1056"/>
      <c r="K963" s="1056"/>
      <c r="L963" s="1056"/>
      <c r="M963" s="1056"/>
      <c r="N963" s="1056"/>
      <c r="O963" s="1056"/>
      <c r="P963" s="1056"/>
      <c r="Q963" s="1056"/>
      <c r="R963" s="1056"/>
      <c r="S963" s="1056"/>
      <c r="T963" s="1056"/>
      <c r="U963" s="1056"/>
      <c r="V963" s="1056"/>
      <c r="W963" s="1056"/>
      <c r="X963" s="1056"/>
      <c r="Y963" s="1056"/>
      <c r="Z963" s="1056"/>
      <c r="AA963" s="1056"/>
      <c r="AB963" s="1056"/>
      <c r="AC963" s="1056"/>
    </row>
    <row r="964" spans="1:29" x14ac:dyDescent="0.25">
      <c r="A964" s="1106"/>
      <c r="B964" s="1056"/>
      <c r="C964" s="1056"/>
      <c r="D964" s="1056"/>
      <c r="E964" s="1056"/>
      <c r="F964" s="1056"/>
      <c r="G964" s="1056"/>
      <c r="H964" s="1056"/>
      <c r="I964" s="1056"/>
      <c r="J964" s="1056"/>
      <c r="K964" s="1056"/>
      <c r="L964" s="1056"/>
      <c r="M964" s="1056"/>
      <c r="N964" s="1056"/>
      <c r="O964" s="1056"/>
      <c r="P964" s="1056"/>
      <c r="Q964" s="1056"/>
      <c r="R964" s="1056"/>
      <c r="S964" s="1056"/>
      <c r="T964" s="1056"/>
      <c r="U964" s="1056"/>
      <c r="V964" s="1056"/>
      <c r="W964" s="1056"/>
      <c r="X964" s="1056"/>
      <c r="Y964" s="1056"/>
      <c r="Z964" s="1056"/>
      <c r="AA964" s="1056"/>
      <c r="AB964" s="1056"/>
      <c r="AC964" s="1056"/>
    </row>
    <row r="965" spans="1:29" x14ac:dyDescent="0.25">
      <c r="A965" s="1106"/>
      <c r="B965" s="1056"/>
      <c r="C965" s="1056"/>
      <c r="D965" s="1056"/>
      <c r="E965" s="1056"/>
      <c r="F965" s="1056"/>
      <c r="G965" s="1056"/>
      <c r="H965" s="1056"/>
      <c r="I965" s="1056"/>
      <c r="J965" s="1056"/>
      <c r="K965" s="1056"/>
      <c r="L965" s="1056"/>
      <c r="M965" s="1056"/>
      <c r="N965" s="1056"/>
      <c r="O965" s="1056"/>
      <c r="P965" s="1056"/>
      <c r="Q965" s="1056"/>
      <c r="R965" s="1056"/>
      <c r="S965" s="1056"/>
      <c r="T965" s="1056"/>
      <c r="U965" s="1056"/>
      <c r="V965" s="1056"/>
      <c r="W965" s="1056"/>
      <c r="X965" s="1056"/>
      <c r="Y965" s="1056"/>
      <c r="Z965" s="1056"/>
      <c r="AA965" s="1056"/>
      <c r="AB965" s="1056"/>
      <c r="AC965" s="1056"/>
    </row>
    <row r="966" spans="1:29" x14ac:dyDescent="0.25">
      <c r="A966" s="1106"/>
      <c r="B966" s="1056"/>
      <c r="C966" s="1056"/>
      <c r="D966" s="1056"/>
      <c r="E966" s="1056"/>
      <c r="F966" s="1056"/>
      <c r="G966" s="1056"/>
      <c r="H966" s="1056"/>
      <c r="I966" s="1056"/>
      <c r="J966" s="1056"/>
      <c r="K966" s="1056"/>
      <c r="L966" s="1056"/>
      <c r="M966" s="1056"/>
      <c r="N966" s="1056"/>
      <c r="O966" s="1056"/>
      <c r="P966" s="1056"/>
      <c r="Q966" s="1056"/>
      <c r="R966" s="1056"/>
      <c r="S966" s="1056"/>
      <c r="T966" s="1056"/>
      <c r="U966" s="1056"/>
      <c r="V966" s="1056"/>
      <c r="W966" s="1056"/>
      <c r="X966" s="1056"/>
      <c r="Y966" s="1056"/>
      <c r="Z966" s="1056"/>
      <c r="AA966" s="1056"/>
      <c r="AB966" s="1056"/>
      <c r="AC966" s="1056"/>
    </row>
    <row r="967" spans="1:29" x14ac:dyDescent="0.25">
      <c r="A967" s="1106"/>
      <c r="B967" s="1056"/>
      <c r="C967" s="1056"/>
      <c r="D967" s="1056"/>
      <c r="E967" s="1056"/>
      <c r="F967" s="1056"/>
      <c r="G967" s="1056"/>
      <c r="H967" s="1056"/>
      <c r="I967" s="1056"/>
      <c r="J967" s="1056"/>
      <c r="K967" s="1056"/>
      <c r="L967" s="1056"/>
      <c r="M967" s="1056"/>
      <c r="N967" s="1056"/>
      <c r="O967" s="1056"/>
      <c r="P967" s="1056"/>
      <c r="Q967" s="1056"/>
      <c r="R967" s="1056"/>
      <c r="S967" s="1056"/>
      <c r="T967" s="1056"/>
      <c r="U967" s="1056"/>
      <c r="V967" s="1056"/>
      <c r="W967" s="1056"/>
      <c r="X967" s="1056"/>
      <c r="Y967" s="1056"/>
      <c r="Z967" s="1056"/>
      <c r="AA967" s="1056"/>
      <c r="AB967" s="1056"/>
      <c r="AC967" s="1056"/>
    </row>
    <row r="968" spans="1:29" x14ac:dyDescent="0.25">
      <c r="A968" s="1106"/>
      <c r="B968" s="1056"/>
      <c r="C968" s="1056"/>
      <c r="D968" s="1056"/>
      <c r="E968" s="1056"/>
      <c r="F968" s="1056"/>
      <c r="G968" s="1056"/>
      <c r="H968" s="1056"/>
      <c r="I968" s="1056"/>
      <c r="J968" s="1056"/>
      <c r="K968" s="1056"/>
      <c r="L968" s="1056"/>
      <c r="M968" s="1056"/>
      <c r="N968" s="1056"/>
      <c r="O968" s="1056"/>
      <c r="P968" s="1056"/>
      <c r="Q968" s="1056"/>
      <c r="R968" s="1056"/>
      <c r="S968" s="1056"/>
      <c r="T968" s="1056"/>
      <c r="U968" s="1056"/>
      <c r="V968" s="1056"/>
      <c r="W968" s="1056"/>
      <c r="X968" s="1056"/>
      <c r="Y968" s="1056"/>
      <c r="Z968" s="1056"/>
      <c r="AA968" s="1056"/>
      <c r="AB968" s="1056"/>
      <c r="AC968" s="1056"/>
    </row>
    <row r="969" spans="1:29" x14ac:dyDescent="0.25">
      <c r="A969" s="1106"/>
      <c r="B969" s="1056"/>
      <c r="C969" s="1056"/>
      <c r="D969" s="1056"/>
      <c r="E969" s="1056"/>
      <c r="F969" s="1056"/>
      <c r="G969" s="1056"/>
      <c r="H969" s="1056"/>
      <c r="I969" s="1056"/>
      <c r="J969" s="1056"/>
      <c r="K969" s="1056"/>
      <c r="L969" s="1056"/>
      <c r="M969" s="1056"/>
      <c r="N969" s="1056"/>
      <c r="O969" s="1056"/>
      <c r="P969" s="1056"/>
      <c r="Q969" s="1056"/>
      <c r="R969" s="1056"/>
      <c r="S969" s="1056"/>
      <c r="T969" s="1056"/>
      <c r="U969" s="1056"/>
      <c r="V969" s="1056"/>
      <c r="W969" s="1056"/>
      <c r="X969" s="1056"/>
      <c r="Y969" s="1056"/>
      <c r="Z969" s="1056"/>
      <c r="AA969" s="1056"/>
      <c r="AB969" s="1056"/>
      <c r="AC969" s="1056"/>
    </row>
    <row r="970" spans="1:29" x14ac:dyDescent="0.25">
      <c r="A970" s="1106"/>
      <c r="B970" s="1056"/>
      <c r="C970" s="1056"/>
      <c r="D970" s="1056"/>
      <c r="E970" s="1056"/>
      <c r="F970" s="1056"/>
      <c r="G970" s="1056"/>
      <c r="H970" s="1056"/>
      <c r="I970" s="1056"/>
      <c r="J970" s="1056"/>
      <c r="K970" s="1056"/>
      <c r="L970" s="1056"/>
      <c r="M970" s="1056"/>
      <c r="N970" s="1056"/>
      <c r="O970" s="1056"/>
      <c r="P970" s="1056"/>
      <c r="Q970" s="1056"/>
      <c r="R970" s="1056"/>
      <c r="S970" s="1056"/>
      <c r="T970" s="1056"/>
      <c r="U970" s="1056"/>
      <c r="V970" s="1056"/>
      <c r="W970" s="1056"/>
      <c r="X970" s="1056"/>
      <c r="Y970" s="1056"/>
      <c r="Z970" s="1056"/>
      <c r="AA970" s="1056"/>
      <c r="AB970" s="1056"/>
      <c r="AC970" s="1056"/>
    </row>
    <row r="971" spans="1:29" x14ac:dyDescent="0.25">
      <c r="A971" s="1106"/>
      <c r="B971" s="1056"/>
      <c r="C971" s="1056"/>
      <c r="D971" s="1056"/>
      <c r="E971" s="1056"/>
      <c r="F971" s="1056"/>
      <c r="G971" s="1056"/>
      <c r="H971" s="1056"/>
      <c r="I971" s="1056"/>
      <c r="J971" s="1056"/>
      <c r="K971" s="1056"/>
      <c r="L971" s="1056"/>
      <c r="M971" s="1056"/>
      <c r="N971" s="1056"/>
      <c r="O971" s="1056"/>
      <c r="P971" s="1056"/>
      <c r="Q971" s="1056"/>
      <c r="R971" s="1056"/>
      <c r="S971" s="1056"/>
      <c r="T971" s="1056"/>
      <c r="U971" s="1056"/>
      <c r="V971" s="1056"/>
      <c r="W971" s="1056"/>
      <c r="X971" s="1056"/>
      <c r="Y971" s="1056"/>
      <c r="Z971" s="1056"/>
      <c r="AA971" s="1056"/>
      <c r="AB971" s="1056"/>
      <c r="AC971" s="1056"/>
    </row>
    <row r="972" spans="1:29" x14ac:dyDescent="0.25">
      <c r="A972" s="1106"/>
      <c r="B972" s="1056"/>
      <c r="C972" s="1056"/>
      <c r="D972" s="1056"/>
      <c r="E972" s="1056"/>
      <c r="F972" s="1056"/>
      <c r="G972" s="1056"/>
      <c r="H972" s="1056"/>
      <c r="I972" s="1056"/>
      <c r="J972" s="1056"/>
      <c r="K972" s="1056"/>
      <c r="L972" s="1056"/>
      <c r="M972" s="1056"/>
      <c r="N972" s="1056"/>
      <c r="O972" s="1056"/>
      <c r="P972" s="1056"/>
      <c r="Q972" s="1056"/>
      <c r="R972" s="1056"/>
      <c r="S972" s="1056"/>
      <c r="T972" s="1056"/>
      <c r="U972" s="1056"/>
      <c r="V972" s="1056"/>
      <c r="W972" s="1056"/>
      <c r="X972" s="1056"/>
      <c r="Y972" s="1056"/>
      <c r="Z972" s="1056"/>
      <c r="AA972" s="1056"/>
      <c r="AB972" s="1056"/>
      <c r="AC972" s="1056"/>
    </row>
    <row r="973" spans="1:29" x14ac:dyDescent="0.25">
      <c r="A973" s="1106"/>
      <c r="B973" s="1056"/>
      <c r="C973" s="1056"/>
      <c r="D973" s="1056"/>
      <c r="E973" s="1056"/>
      <c r="F973" s="1056"/>
      <c r="G973" s="1056"/>
      <c r="H973" s="1056"/>
      <c r="I973" s="1056"/>
      <c r="J973" s="1056"/>
      <c r="K973" s="1056"/>
      <c r="L973" s="1056"/>
      <c r="M973" s="1056"/>
      <c r="N973" s="1056"/>
      <c r="O973" s="1056"/>
      <c r="P973" s="1056"/>
      <c r="Q973" s="1056"/>
      <c r="R973" s="1056"/>
      <c r="S973" s="1056"/>
      <c r="T973" s="1056"/>
      <c r="U973" s="1056"/>
      <c r="V973" s="1056"/>
      <c r="W973" s="1056"/>
      <c r="X973" s="1056"/>
      <c r="Y973" s="1056"/>
      <c r="Z973" s="1056"/>
      <c r="AA973" s="1056"/>
      <c r="AB973" s="1056"/>
      <c r="AC973" s="1056"/>
    </row>
    <row r="974" spans="1:29" x14ac:dyDescent="0.25">
      <c r="A974" s="1106"/>
      <c r="B974" s="1056"/>
      <c r="C974" s="1056"/>
      <c r="D974" s="1056"/>
      <c r="E974" s="1056"/>
      <c r="F974" s="1056"/>
      <c r="G974" s="1056"/>
      <c r="H974" s="1056"/>
      <c r="I974" s="1056"/>
      <c r="J974" s="1056"/>
      <c r="K974" s="1056"/>
      <c r="L974" s="1056"/>
      <c r="M974" s="1056"/>
      <c r="N974" s="1056"/>
      <c r="O974" s="1056"/>
      <c r="P974" s="1056"/>
      <c r="Q974" s="1056"/>
      <c r="R974" s="1056"/>
      <c r="S974" s="1056"/>
      <c r="T974" s="1056"/>
      <c r="U974" s="1056"/>
      <c r="V974" s="1056"/>
      <c r="W974" s="1056"/>
      <c r="X974" s="1056"/>
      <c r="Y974" s="1056"/>
      <c r="Z974" s="1056"/>
      <c r="AA974" s="1056"/>
      <c r="AB974" s="1056"/>
      <c r="AC974" s="1056"/>
    </row>
    <row r="975" spans="1:29" x14ac:dyDescent="0.25">
      <c r="A975" s="1106"/>
      <c r="B975" s="1056"/>
      <c r="C975" s="1056"/>
      <c r="D975" s="1056"/>
      <c r="E975" s="1056"/>
      <c r="F975" s="1056"/>
      <c r="G975" s="1056"/>
      <c r="H975" s="1056"/>
      <c r="I975" s="1056"/>
      <c r="J975" s="1056"/>
      <c r="K975" s="1056"/>
      <c r="L975" s="1056"/>
      <c r="M975" s="1056"/>
      <c r="N975" s="1056"/>
      <c r="O975" s="1056"/>
      <c r="P975" s="1056"/>
      <c r="Q975" s="1056"/>
      <c r="R975" s="1056"/>
      <c r="S975" s="1056"/>
      <c r="T975" s="1056"/>
      <c r="U975" s="1056"/>
      <c r="V975" s="1056"/>
      <c r="W975" s="1056"/>
      <c r="X975" s="1056"/>
      <c r="Y975" s="1056"/>
      <c r="Z975" s="1056"/>
      <c r="AA975" s="1056"/>
      <c r="AB975" s="1056"/>
      <c r="AC975" s="1056"/>
    </row>
    <row r="976" spans="1:29" x14ac:dyDescent="0.25">
      <c r="A976" s="1106"/>
      <c r="B976" s="1056"/>
      <c r="C976" s="1056"/>
      <c r="D976" s="1056"/>
      <c r="E976" s="1056"/>
      <c r="F976" s="1056"/>
      <c r="G976" s="1056"/>
      <c r="H976" s="1056"/>
      <c r="I976" s="1056"/>
      <c r="J976" s="1056"/>
      <c r="K976" s="1056"/>
      <c r="L976" s="1056"/>
      <c r="M976" s="1056"/>
      <c r="N976" s="1056"/>
      <c r="O976" s="1056"/>
      <c r="P976" s="1056"/>
      <c r="Q976" s="1056"/>
      <c r="R976" s="1056"/>
      <c r="S976" s="1056"/>
      <c r="T976" s="1056"/>
      <c r="U976" s="1056"/>
      <c r="V976" s="1056"/>
      <c r="W976" s="1056"/>
      <c r="X976" s="1056"/>
      <c r="Y976" s="1056"/>
      <c r="Z976" s="1056"/>
      <c r="AA976" s="1056"/>
      <c r="AB976" s="1056"/>
      <c r="AC976" s="1056"/>
    </row>
    <row r="977" spans="1:29" x14ac:dyDescent="0.25">
      <c r="A977" s="1106"/>
      <c r="B977" s="1056"/>
      <c r="C977" s="1056"/>
      <c r="D977" s="1056"/>
      <c r="E977" s="1056"/>
      <c r="F977" s="1056"/>
      <c r="G977" s="1056"/>
      <c r="H977" s="1056"/>
      <c r="I977" s="1056"/>
      <c r="J977" s="1056"/>
      <c r="K977" s="1056"/>
      <c r="L977" s="1056"/>
      <c r="M977" s="1056"/>
      <c r="N977" s="1056"/>
      <c r="O977" s="1056"/>
      <c r="P977" s="1056"/>
      <c r="Q977" s="1056"/>
      <c r="R977" s="1056"/>
      <c r="S977" s="1056"/>
      <c r="T977" s="1056"/>
      <c r="U977" s="1056"/>
      <c r="V977" s="1056"/>
      <c r="W977" s="1056"/>
      <c r="X977" s="1056"/>
      <c r="Y977" s="1056"/>
      <c r="Z977" s="1056"/>
      <c r="AA977" s="1056"/>
      <c r="AB977" s="1056"/>
      <c r="AC977" s="1056"/>
    </row>
    <row r="978" spans="1:29" x14ac:dyDescent="0.25">
      <c r="A978" s="1106"/>
      <c r="B978" s="1056"/>
      <c r="C978" s="1056"/>
      <c r="D978" s="1056"/>
      <c r="E978" s="1056"/>
      <c r="F978" s="1056"/>
      <c r="G978" s="1056"/>
      <c r="H978" s="1056"/>
      <c r="I978" s="1056"/>
      <c r="J978" s="1056"/>
      <c r="K978" s="1056"/>
      <c r="L978" s="1056"/>
      <c r="M978" s="1056"/>
      <c r="N978" s="1056"/>
      <c r="O978" s="1056"/>
      <c r="P978" s="1056"/>
      <c r="Q978" s="1056"/>
      <c r="R978" s="1056"/>
      <c r="S978" s="1056"/>
      <c r="T978" s="1056"/>
      <c r="U978" s="1056"/>
      <c r="V978" s="1056"/>
      <c r="W978" s="1056"/>
      <c r="X978" s="1056"/>
      <c r="Y978" s="1056"/>
      <c r="Z978" s="1056"/>
      <c r="AA978" s="1056"/>
      <c r="AB978" s="1056"/>
      <c r="AC978" s="1056"/>
    </row>
    <row r="979" spans="1:29" x14ac:dyDescent="0.25">
      <c r="A979" s="1106"/>
      <c r="B979" s="1056"/>
      <c r="C979" s="1056"/>
      <c r="D979" s="1056"/>
      <c r="E979" s="1056"/>
      <c r="F979" s="1056"/>
      <c r="G979" s="1056"/>
      <c r="H979" s="1056"/>
      <c r="I979" s="1056"/>
      <c r="J979" s="1056"/>
      <c r="K979" s="1056"/>
      <c r="L979" s="1056"/>
      <c r="M979" s="1056"/>
      <c r="N979" s="1056"/>
      <c r="O979" s="1056"/>
      <c r="P979" s="1056"/>
      <c r="Q979" s="1056"/>
      <c r="R979" s="1056"/>
      <c r="S979" s="1056"/>
      <c r="T979" s="1056"/>
      <c r="U979" s="1056"/>
      <c r="V979" s="1056"/>
      <c r="W979" s="1056"/>
      <c r="X979" s="1056"/>
      <c r="Y979" s="1056"/>
      <c r="Z979" s="1056"/>
      <c r="AA979" s="1056"/>
      <c r="AB979" s="1056"/>
      <c r="AC979" s="1056"/>
    </row>
    <row r="980" spans="1:29" x14ac:dyDescent="0.25">
      <c r="A980" s="1106"/>
      <c r="B980" s="1056"/>
      <c r="C980" s="1056"/>
      <c r="D980" s="1056"/>
      <c r="E980" s="1056"/>
      <c r="F980" s="1056"/>
      <c r="G980" s="1056"/>
      <c r="H980" s="1056"/>
      <c r="I980" s="1056"/>
      <c r="J980" s="1056"/>
      <c r="K980" s="1056"/>
      <c r="L980" s="1056"/>
      <c r="M980" s="1056"/>
      <c r="N980" s="1056"/>
      <c r="O980" s="1056"/>
      <c r="P980" s="1056"/>
      <c r="Q980" s="1056"/>
      <c r="R980" s="1056"/>
      <c r="S980" s="1056"/>
      <c r="T980" s="1056"/>
      <c r="U980" s="1056"/>
      <c r="V980" s="1056"/>
      <c r="W980" s="1056"/>
      <c r="X980" s="1056"/>
      <c r="Y980" s="1056"/>
      <c r="Z980" s="1056"/>
      <c r="AA980" s="1056"/>
      <c r="AB980" s="1056"/>
      <c r="AC980" s="1056"/>
    </row>
    <row r="981" spans="1:29" x14ac:dyDescent="0.25">
      <c r="A981" s="1106"/>
      <c r="B981" s="1056"/>
      <c r="C981" s="1056"/>
      <c r="D981" s="1056"/>
      <c r="E981" s="1056"/>
      <c r="F981" s="1056"/>
      <c r="G981" s="1056"/>
      <c r="H981" s="1056"/>
      <c r="I981" s="1056"/>
      <c r="J981" s="1056"/>
      <c r="K981" s="1056"/>
      <c r="L981" s="1056"/>
      <c r="M981" s="1056"/>
      <c r="N981" s="1056"/>
      <c r="O981" s="1056"/>
      <c r="P981" s="1056"/>
      <c r="Q981" s="1056"/>
      <c r="R981" s="1056"/>
      <c r="S981" s="1056"/>
      <c r="T981" s="1056"/>
      <c r="U981" s="1056"/>
      <c r="V981" s="1056"/>
      <c r="W981" s="1056"/>
      <c r="X981" s="1056"/>
      <c r="Y981" s="1056"/>
      <c r="Z981" s="1056"/>
      <c r="AA981" s="1056"/>
      <c r="AB981" s="1056"/>
      <c r="AC981" s="1056"/>
    </row>
    <row r="982" spans="1:29" x14ac:dyDescent="0.25">
      <c r="A982" s="1106"/>
      <c r="B982" s="1056"/>
      <c r="C982" s="1056"/>
      <c r="D982" s="1056"/>
      <c r="E982" s="1056"/>
      <c r="F982" s="1056"/>
      <c r="G982" s="1056"/>
      <c r="H982" s="1056"/>
      <c r="I982" s="1056"/>
      <c r="J982" s="1056"/>
      <c r="K982" s="1056"/>
      <c r="L982" s="1056"/>
      <c r="M982" s="1056"/>
      <c r="N982" s="1056"/>
      <c r="O982" s="1056"/>
      <c r="P982" s="1056"/>
      <c r="Q982" s="1056"/>
      <c r="R982" s="1056"/>
      <c r="S982" s="1056"/>
      <c r="T982" s="1056"/>
      <c r="U982" s="1056"/>
      <c r="V982" s="1056"/>
      <c r="W982" s="1056"/>
      <c r="X982" s="1056"/>
      <c r="Y982" s="1056"/>
      <c r="Z982" s="1056"/>
      <c r="AA982" s="1056"/>
      <c r="AB982" s="1056"/>
      <c r="AC982" s="1056"/>
    </row>
    <row r="983" spans="1:29" x14ac:dyDescent="0.25">
      <c r="A983" s="1106"/>
      <c r="B983" s="1056"/>
      <c r="C983" s="1056"/>
      <c r="D983" s="1056"/>
      <c r="E983" s="1056"/>
      <c r="F983" s="1056"/>
      <c r="G983" s="1056"/>
      <c r="H983" s="1056"/>
      <c r="I983" s="1056"/>
      <c r="J983" s="1056"/>
      <c r="K983" s="1056"/>
      <c r="L983" s="1056"/>
      <c r="M983" s="1056"/>
      <c r="N983" s="1056"/>
      <c r="O983" s="1056"/>
      <c r="P983" s="1056"/>
      <c r="Q983" s="1056"/>
      <c r="R983" s="1056"/>
      <c r="S983" s="1056"/>
      <c r="T983" s="1056"/>
      <c r="U983" s="1056"/>
      <c r="V983" s="1056"/>
      <c r="W983" s="1056"/>
      <c r="X983" s="1056"/>
      <c r="Y983" s="1056"/>
      <c r="Z983" s="1056"/>
      <c r="AA983" s="1056"/>
      <c r="AB983" s="1056"/>
      <c r="AC983" s="1056"/>
    </row>
    <row r="984" spans="1:29" x14ac:dyDescent="0.25">
      <c r="A984" s="1106"/>
      <c r="B984" s="1056"/>
      <c r="C984" s="1056"/>
      <c r="D984" s="1056"/>
      <c r="E984" s="1056"/>
      <c r="F984" s="1056"/>
      <c r="G984" s="1056"/>
      <c r="H984" s="1056"/>
      <c r="I984" s="1056"/>
      <c r="J984" s="1056"/>
      <c r="K984" s="1056"/>
      <c r="L984" s="1056"/>
      <c r="M984" s="1056"/>
      <c r="N984" s="1056"/>
      <c r="O984" s="1056"/>
      <c r="P984" s="1056"/>
      <c r="Q984" s="1056"/>
      <c r="R984" s="1056"/>
      <c r="S984" s="1056"/>
      <c r="T984" s="1056"/>
      <c r="U984" s="1056"/>
      <c r="V984" s="1056"/>
      <c r="W984" s="1056"/>
      <c r="X984" s="1056"/>
      <c r="Y984" s="1056"/>
      <c r="Z984" s="1056"/>
      <c r="AA984" s="1056"/>
      <c r="AB984" s="1056"/>
      <c r="AC984" s="1056"/>
    </row>
    <row r="985" spans="1:29" x14ac:dyDescent="0.25">
      <c r="A985" s="1106"/>
      <c r="B985" s="1056"/>
      <c r="C985" s="1056"/>
      <c r="D985" s="1056"/>
      <c r="E985" s="1056"/>
      <c r="F985" s="1056"/>
      <c r="G985" s="1056"/>
      <c r="H985" s="1056"/>
      <c r="I985" s="1056"/>
      <c r="J985" s="1056"/>
      <c r="K985" s="1056"/>
      <c r="L985" s="1056"/>
      <c r="M985" s="1056"/>
      <c r="N985" s="1056"/>
      <c r="O985" s="1056"/>
      <c r="P985" s="1056"/>
      <c r="Q985" s="1056"/>
      <c r="R985" s="1056"/>
      <c r="S985" s="1056"/>
      <c r="T985" s="1056"/>
      <c r="U985" s="1056"/>
      <c r="V985" s="1056"/>
      <c r="W985" s="1056"/>
      <c r="X985" s="1056"/>
      <c r="Y985" s="1056"/>
      <c r="Z985" s="1056"/>
      <c r="AA985" s="1056"/>
      <c r="AB985" s="1056"/>
      <c r="AC985" s="1056"/>
    </row>
    <row r="986" spans="1:29" x14ac:dyDescent="0.25">
      <c r="A986" s="1106"/>
      <c r="B986" s="1056"/>
      <c r="C986" s="1056"/>
      <c r="D986" s="1056"/>
      <c r="E986" s="1056"/>
      <c r="F986" s="1056"/>
      <c r="G986" s="1056"/>
      <c r="H986" s="1056"/>
      <c r="I986" s="1056"/>
      <c r="J986" s="1056"/>
      <c r="K986" s="1056"/>
      <c r="L986" s="1056"/>
      <c r="M986" s="1056"/>
      <c r="N986" s="1056"/>
      <c r="O986" s="1056"/>
      <c r="P986" s="1056"/>
      <c r="Q986" s="1056"/>
      <c r="R986" s="1056"/>
      <c r="S986" s="1056"/>
      <c r="T986" s="1056"/>
      <c r="U986" s="1056"/>
      <c r="V986" s="1056"/>
      <c r="W986" s="1056"/>
      <c r="X986" s="1056"/>
      <c r="Y986" s="1056"/>
      <c r="Z986" s="1056"/>
      <c r="AA986" s="1056"/>
      <c r="AB986" s="1056"/>
      <c r="AC986" s="1056"/>
    </row>
    <row r="987" spans="1:29" x14ac:dyDescent="0.25">
      <c r="A987" s="1106"/>
      <c r="B987" s="1056"/>
      <c r="C987" s="1056"/>
      <c r="D987" s="1056"/>
      <c r="E987" s="1056"/>
      <c r="F987" s="1056"/>
      <c r="G987" s="1056"/>
      <c r="H987" s="1056"/>
      <c r="I987" s="1056"/>
      <c r="J987" s="1056"/>
      <c r="K987" s="1056"/>
      <c r="L987" s="1056"/>
      <c r="M987" s="1056"/>
      <c r="N987" s="1056"/>
      <c r="O987" s="1056"/>
      <c r="P987" s="1056"/>
      <c r="Q987" s="1056"/>
      <c r="R987" s="1056"/>
      <c r="S987" s="1056"/>
      <c r="T987" s="1056"/>
      <c r="U987" s="1056"/>
      <c r="V987" s="1056"/>
      <c r="W987" s="1056"/>
      <c r="X987" s="1056"/>
      <c r="Y987" s="1056"/>
      <c r="Z987" s="1056"/>
      <c r="AA987" s="1056"/>
      <c r="AB987" s="1056"/>
      <c r="AC987" s="1056"/>
    </row>
    <row r="988" spans="1:29" x14ac:dyDescent="0.25">
      <c r="A988" s="1106"/>
      <c r="B988" s="1056"/>
      <c r="C988" s="1056"/>
      <c r="D988" s="1056"/>
      <c r="E988" s="1056"/>
      <c r="F988" s="1056"/>
      <c r="G988" s="1056"/>
      <c r="H988" s="1056"/>
      <c r="I988" s="1056"/>
      <c r="J988" s="1056"/>
      <c r="K988" s="1056"/>
      <c r="L988" s="1056"/>
      <c r="M988" s="1056"/>
      <c r="N988" s="1056"/>
      <c r="O988" s="1056"/>
      <c r="P988" s="1056"/>
      <c r="Q988" s="1056"/>
      <c r="R988" s="1056"/>
      <c r="S988" s="1056"/>
      <c r="T988" s="1056"/>
      <c r="U988" s="1056"/>
      <c r="V988" s="1056"/>
      <c r="W988" s="1056"/>
      <c r="X988" s="1056"/>
      <c r="Y988" s="1056"/>
      <c r="Z988" s="1056"/>
      <c r="AA988" s="1056"/>
      <c r="AB988" s="1056"/>
      <c r="AC988" s="1056"/>
    </row>
    <row r="989" spans="1:29" x14ac:dyDescent="0.25">
      <c r="A989" s="1106"/>
      <c r="B989" s="1056"/>
      <c r="C989" s="1056"/>
      <c r="D989" s="1056"/>
      <c r="E989" s="1056"/>
      <c r="F989" s="1056"/>
      <c r="G989" s="1056"/>
      <c r="H989" s="1056"/>
      <c r="I989" s="1056"/>
      <c r="J989" s="1056"/>
      <c r="K989" s="1056"/>
      <c r="L989" s="1056"/>
      <c r="M989" s="1056"/>
      <c r="N989" s="1056"/>
      <c r="O989" s="1056"/>
      <c r="P989" s="1056"/>
      <c r="Q989" s="1056"/>
      <c r="R989" s="1056"/>
      <c r="S989" s="1056"/>
      <c r="T989" s="1056"/>
      <c r="U989" s="1056"/>
      <c r="V989" s="1056"/>
      <c r="W989" s="1056"/>
      <c r="X989" s="1056"/>
      <c r="Y989" s="1056"/>
      <c r="Z989" s="1056"/>
      <c r="AA989" s="1056"/>
      <c r="AB989" s="1056"/>
      <c r="AC989" s="1056"/>
    </row>
    <row r="990" spans="1:29" x14ac:dyDescent="0.25">
      <c r="A990" s="1106"/>
      <c r="B990" s="1056"/>
      <c r="C990" s="1056"/>
      <c r="D990" s="1056"/>
      <c r="E990" s="1056"/>
      <c r="F990" s="1056"/>
      <c r="G990" s="1056"/>
      <c r="H990" s="1056"/>
      <c r="I990" s="1056"/>
      <c r="J990" s="1056"/>
      <c r="K990" s="1056"/>
      <c r="L990" s="1056"/>
      <c r="M990" s="1056"/>
      <c r="N990" s="1056"/>
      <c r="O990" s="1056"/>
      <c r="P990" s="1056"/>
      <c r="Q990" s="1056"/>
      <c r="R990" s="1056"/>
      <c r="S990" s="1056"/>
      <c r="T990" s="1056"/>
      <c r="U990" s="1056"/>
      <c r="V990" s="1056"/>
      <c r="W990" s="1056"/>
      <c r="X990" s="1056"/>
      <c r="Y990" s="1056"/>
      <c r="Z990" s="1056"/>
      <c r="AA990" s="1056"/>
      <c r="AB990" s="1056"/>
      <c r="AC990" s="1056"/>
    </row>
    <row r="991" spans="1:29" x14ac:dyDescent="0.25">
      <c r="A991" s="1106"/>
      <c r="B991" s="1056"/>
      <c r="C991" s="1056"/>
      <c r="D991" s="1056"/>
      <c r="E991" s="1056"/>
      <c r="F991" s="1056"/>
      <c r="G991" s="1056"/>
      <c r="H991" s="1056"/>
      <c r="I991" s="1056"/>
      <c r="J991" s="1056"/>
      <c r="K991" s="1056"/>
      <c r="L991" s="1056"/>
      <c r="M991" s="1056"/>
      <c r="N991" s="1056"/>
      <c r="O991" s="1056"/>
      <c r="P991" s="1056"/>
      <c r="Q991" s="1056"/>
      <c r="R991" s="1056"/>
      <c r="S991" s="1056"/>
      <c r="T991" s="1056"/>
      <c r="U991" s="1056"/>
      <c r="V991" s="1056"/>
      <c r="W991" s="1056"/>
      <c r="X991" s="1056"/>
      <c r="Y991" s="1056"/>
      <c r="Z991" s="1056"/>
      <c r="AA991" s="1056"/>
      <c r="AB991" s="1056"/>
      <c r="AC991" s="1056"/>
    </row>
    <row r="992" spans="1:29" x14ac:dyDescent="0.25">
      <c r="A992" s="1106"/>
      <c r="B992" s="1056"/>
      <c r="C992" s="1056"/>
      <c r="D992" s="1056"/>
      <c r="E992" s="1056"/>
      <c r="F992" s="1056"/>
      <c r="G992" s="1056"/>
      <c r="H992" s="1056"/>
      <c r="I992" s="1056"/>
      <c r="J992" s="1056"/>
      <c r="K992" s="1056"/>
      <c r="L992" s="1056"/>
      <c r="M992" s="1056"/>
      <c r="N992" s="1056"/>
      <c r="O992" s="1056"/>
      <c r="P992" s="1056"/>
      <c r="Q992" s="1056"/>
      <c r="R992" s="1056"/>
      <c r="S992" s="1056"/>
      <c r="T992" s="1056"/>
      <c r="U992" s="1056"/>
      <c r="V992" s="1056"/>
      <c r="W992" s="1056"/>
      <c r="X992" s="1056"/>
      <c r="Y992" s="1056"/>
      <c r="Z992" s="1056"/>
      <c r="AA992" s="1056"/>
      <c r="AB992" s="1056"/>
      <c r="AC992" s="1056"/>
    </row>
    <row r="993" spans="1:29" x14ac:dyDescent="0.25">
      <c r="A993" s="1106"/>
      <c r="B993" s="1056"/>
      <c r="C993" s="1056"/>
      <c r="D993" s="1056"/>
      <c r="E993" s="1056"/>
      <c r="F993" s="1056"/>
      <c r="G993" s="1056"/>
      <c r="H993" s="1056"/>
      <c r="I993" s="1056"/>
      <c r="J993" s="1056"/>
      <c r="K993" s="1056"/>
      <c r="L993" s="1056"/>
      <c r="M993" s="1056"/>
      <c r="N993" s="1056"/>
      <c r="O993" s="1056"/>
      <c r="P993" s="1056"/>
      <c r="Q993" s="1056"/>
      <c r="R993" s="1056"/>
      <c r="S993" s="1056"/>
      <c r="T993" s="1056"/>
      <c r="U993" s="1056"/>
      <c r="V993" s="1056"/>
      <c r="W993" s="1056"/>
      <c r="X993" s="1056"/>
      <c r="Y993" s="1056"/>
      <c r="Z993" s="1056"/>
      <c r="AA993" s="1056"/>
      <c r="AB993" s="1056"/>
      <c r="AC993" s="1056"/>
    </row>
    <row r="994" spans="1:29" x14ac:dyDescent="0.25">
      <c r="A994" s="1106"/>
      <c r="B994" s="1056"/>
      <c r="C994" s="1056"/>
      <c r="D994" s="1056"/>
      <c r="E994" s="1056"/>
      <c r="F994" s="1056"/>
      <c r="G994" s="1056"/>
      <c r="H994" s="1056"/>
      <c r="I994" s="1056"/>
      <c r="J994" s="1056"/>
      <c r="K994" s="1056"/>
      <c r="L994" s="1056"/>
      <c r="M994" s="1056"/>
      <c r="N994" s="1056"/>
      <c r="O994" s="1056"/>
      <c r="P994" s="1056"/>
      <c r="Q994" s="1056"/>
      <c r="R994" s="1056"/>
      <c r="S994" s="1056"/>
      <c r="T994" s="1056"/>
      <c r="U994" s="1056"/>
      <c r="V994" s="1056"/>
      <c r="W994" s="1056"/>
      <c r="X994" s="1056"/>
      <c r="Y994" s="1056"/>
      <c r="Z994" s="1056"/>
      <c r="AA994" s="1056"/>
      <c r="AB994" s="1056"/>
      <c r="AC994" s="1056"/>
    </row>
    <row r="995" spans="1:29" x14ac:dyDescent="0.25">
      <c r="A995" s="1106"/>
      <c r="B995" s="1056"/>
      <c r="C995" s="1056"/>
      <c r="D995" s="1056"/>
      <c r="E995" s="1056"/>
      <c r="F995" s="1056"/>
      <c r="G995" s="1056"/>
      <c r="H995" s="1056"/>
      <c r="I995" s="1056"/>
      <c r="J995" s="1056"/>
      <c r="K995" s="1056"/>
      <c r="L995" s="1056"/>
      <c r="M995" s="1056"/>
      <c r="N995" s="1056"/>
      <c r="O995" s="1056"/>
      <c r="P995" s="1056"/>
      <c r="Q995" s="1056"/>
      <c r="R995" s="1056"/>
      <c r="S995" s="1056"/>
      <c r="T995" s="1056"/>
      <c r="U995" s="1056"/>
      <c r="V995" s="1056"/>
      <c r="W995" s="1056"/>
      <c r="X995" s="1056"/>
      <c r="Y995" s="1056"/>
      <c r="Z995" s="1056"/>
      <c r="AA995" s="1056"/>
      <c r="AB995" s="1056"/>
      <c r="AC995" s="1056"/>
    </row>
    <row r="996" spans="1:29" x14ac:dyDescent="0.25">
      <c r="A996" s="1106"/>
      <c r="B996" s="1056"/>
      <c r="C996" s="1056"/>
      <c r="D996" s="1056"/>
      <c r="E996" s="1056"/>
      <c r="F996" s="1056"/>
      <c r="G996" s="1056"/>
      <c r="H996" s="1056"/>
      <c r="I996" s="1056"/>
      <c r="J996" s="1056"/>
      <c r="K996" s="1056"/>
      <c r="L996" s="1056"/>
      <c r="M996" s="1056"/>
      <c r="N996" s="1056"/>
      <c r="O996" s="1056"/>
      <c r="P996" s="1056"/>
      <c r="Q996" s="1056"/>
      <c r="R996" s="1056"/>
      <c r="S996" s="1056"/>
      <c r="T996" s="1056"/>
      <c r="U996" s="1056"/>
      <c r="V996" s="1056"/>
      <c r="W996" s="1056"/>
      <c r="X996" s="1056"/>
      <c r="Y996" s="1056"/>
      <c r="Z996" s="1056"/>
      <c r="AA996" s="1056"/>
      <c r="AB996" s="1056"/>
      <c r="AC996" s="1056"/>
    </row>
    <row r="997" spans="1:29" x14ac:dyDescent="0.25">
      <c r="A997" s="1106"/>
      <c r="B997" s="1056"/>
      <c r="C997" s="1056"/>
      <c r="D997" s="1056"/>
      <c r="E997" s="1056"/>
      <c r="F997" s="1056"/>
      <c r="G997" s="1056"/>
      <c r="H997" s="1056"/>
      <c r="I997" s="1056"/>
      <c r="J997" s="1056"/>
      <c r="K997" s="1056"/>
      <c r="L997" s="1056"/>
      <c r="M997" s="1056"/>
      <c r="N997" s="1056"/>
      <c r="O997" s="1056"/>
      <c r="P997" s="1056"/>
      <c r="Q997" s="1056"/>
      <c r="R997" s="1056"/>
      <c r="S997" s="1056"/>
      <c r="T997" s="1056"/>
      <c r="U997" s="1056"/>
      <c r="V997" s="1056"/>
      <c r="W997" s="1056"/>
      <c r="X997" s="1056"/>
      <c r="Y997" s="1056"/>
      <c r="Z997" s="1056"/>
      <c r="AA997" s="1056"/>
      <c r="AB997" s="1056"/>
      <c r="AC997" s="1056"/>
    </row>
    <row r="998" spans="1:29" x14ac:dyDescent="0.25">
      <c r="A998" s="1106"/>
      <c r="B998" s="1056"/>
      <c r="C998" s="1056"/>
      <c r="D998" s="1056"/>
      <c r="E998" s="1056"/>
      <c r="F998" s="1056"/>
      <c r="G998" s="1056"/>
      <c r="H998" s="1056"/>
      <c r="I998" s="1056"/>
      <c r="J998" s="1056"/>
      <c r="K998" s="1056"/>
      <c r="L998" s="1056"/>
      <c r="M998" s="1056"/>
      <c r="N998" s="1056"/>
      <c r="O998" s="1056"/>
      <c r="P998" s="1056"/>
      <c r="Q998" s="1056"/>
      <c r="R998" s="1056"/>
      <c r="S998" s="1056"/>
      <c r="T998" s="1056"/>
      <c r="U998" s="1056"/>
      <c r="V998" s="1056"/>
      <c r="W998" s="1056"/>
      <c r="X998" s="1056"/>
      <c r="Y998" s="1056"/>
      <c r="Z998" s="1056"/>
      <c r="AA998" s="1056"/>
      <c r="AB998" s="1056"/>
      <c r="AC998" s="1056"/>
    </row>
    <row r="999" spans="1:29" x14ac:dyDescent="0.25">
      <c r="A999" s="1106"/>
      <c r="B999" s="1056"/>
      <c r="C999" s="1056"/>
      <c r="D999" s="1056"/>
      <c r="E999" s="1056"/>
      <c r="F999" s="1056"/>
      <c r="G999" s="1056"/>
      <c r="H999" s="1056"/>
      <c r="I999" s="1056"/>
      <c r="J999" s="1056"/>
      <c r="K999" s="1056"/>
      <c r="L999" s="1056"/>
      <c r="M999" s="1056"/>
      <c r="N999" s="1056"/>
      <c r="O999" s="1056"/>
      <c r="P999" s="1056"/>
      <c r="Q999" s="1056"/>
      <c r="R999" s="1056"/>
      <c r="S999" s="1056"/>
      <c r="T999" s="1056"/>
      <c r="U999" s="1056"/>
      <c r="V999" s="1056"/>
      <c r="W999" s="1056"/>
      <c r="X999" s="1056"/>
      <c r="Y999" s="1056"/>
      <c r="Z999" s="1056"/>
      <c r="AA999" s="1056"/>
      <c r="AB999" s="1056"/>
      <c r="AC999" s="1056"/>
    </row>
    <row r="1000" spans="1:29" x14ac:dyDescent="0.25">
      <c r="A1000" s="1106"/>
      <c r="B1000" s="1056"/>
      <c r="C1000" s="1056"/>
      <c r="D1000" s="1056"/>
      <c r="E1000" s="1056"/>
      <c r="F1000" s="1056"/>
      <c r="G1000" s="1056"/>
      <c r="H1000" s="1056"/>
      <c r="I1000" s="1056"/>
      <c r="J1000" s="1056"/>
      <c r="K1000" s="1056"/>
      <c r="L1000" s="1056"/>
      <c r="M1000" s="1056"/>
      <c r="N1000" s="1056"/>
      <c r="O1000" s="1056"/>
      <c r="P1000" s="1056"/>
      <c r="Q1000" s="1056"/>
      <c r="R1000" s="1056"/>
      <c r="S1000" s="1056"/>
      <c r="T1000" s="1056"/>
      <c r="U1000" s="1056"/>
      <c r="V1000" s="1056"/>
      <c r="W1000" s="1056"/>
      <c r="X1000" s="1056"/>
      <c r="Y1000" s="1056"/>
      <c r="Z1000" s="1056"/>
      <c r="AA1000" s="1056"/>
      <c r="AB1000" s="1056"/>
      <c r="AC1000" s="1056"/>
    </row>
  </sheetData>
  <mergeCells count="5">
    <mergeCell ref="A11:L12"/>
    <mergeCell ref="C14:C15"/>
    <mergeCell ref="D14:D15"/>
    <mergeCell ref="E14:E15"/>
    <mergeCell ref="F14:F15"/>
  </mergeCells>
  <pageMargins left="0.25" right="0.25" top="0.75" bottom="0.75" header="0.3" footer="0.3"/>
  <pageSetup paperSize="17" scale="90" orientation="landscape" r:id="rId1"/>
  <headerFooter>
    <oddFooter>&amp;C&amp;A</oddFoot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pageSetUpPr fitToPage="1"/>
  </sheetPr>
  <dimension ref="A14:AE791"/>
  <sheetViews>
    <sheetView showGridLines="0" zoomScaleNormal="100" workbookViewId="0"/>
  </sheetViews>
  <sheetFormatPr defaultColWidth="9.28515625" defaultRowHeight="15" x14ac:dyDescent="0.25"/>
  <cols>
    <col min="1" max="1" width="8.28515625" customWidth="1"/>
    <col min="2" max="2" width="70.28515625" customWidth="1"/>
    <col min="3" max="3" width="20.28515625" customWidth="1"/>
    <col min="4" max="4" width="54" bestFit="1" customWidth="1"/>
    <col min="5" max="5" width="21.28515625" customWidth="1"/>
    <col min="6" max="7" width="20.5703125" customWidth="1"/>
    <col min="8" max="12" width="20.5703125" hidden="1" customWidth="1"/>
    <col min="13" max="13" width="17.7109375" hidden="1" customWidth="1"/>
    <col min="14" max="14" width="17" hidden="1" customWidth="1"/>
    <col min="15" max="15" width="19.28515625" hidden="1" customWidth="1"/>
    <col min="16" max="17" width="9.28515625" customWidth="1"/>
    <col min="28" max="28" width="0" hidden="1" customWidth="1"/>
  </cols>
  <sheetData>
    <row r="14" spans="1:15" x14ac:dyDescent="0.25">
      <c r="A14" s="425" t="s">
        <v>360</v>
      </c>
      <c r="B14" s="358" t="s">
        <v>361</v>
      </c>
      <c r="C14" s="535">
        <f>'1. Information Sheet'!F34</f>
        <v>2023</v>
      </c>
      <c r="D14" s="1846"/>
      <c r="E14" s="1438"/>
      <c r="F14" s="1438"/>
      <c r="G14" s="1438"/>
      <c r="H14" s="1438"/>
      <c r="I14" s="1438"/>
      <c r="J14" s="1438"/>
      <c r="K14" s="1438"/>
    </row>
    <row r="15" spans="1:15" ht="32.25" customHeight="1" x14ac:dyDescent="0.25">
      <c r="B15" s="402"/>
      <c r="C15" s="515"/>
    </row>
    <row r="16" spans="1:15" ht="30" hidden="1" customHeight="1" x14ac:dyDescent="0.25">
      <c r="B16" s="358"/>
      <c r="C16" s="1849" t="s">
        <v>362</v>
      </c>
      <c r="D16" s="1850"/>
      <c r="E16" s="1851"/>
      <c r="F16" s="1844">
        <v>2016</v>
      </c>
      <c r="G16" s="1845"/>
      <c r="H16" s="1844">
        <v>2015</v>
      </c>
      <c r="I16" s="1845"/>
      <c r="J16" s="1844">
        <v>2014</v>
      </c>
      <c r="K16" s="1845"/>
      <c r="L16" s="1844">
        <v>2013</v>
      </c>
      <c r="M16" s="1845"/>
      <c r="N16" s="1844">
        <v>2012</v>
      </c>
      <c r="O16" s="1845"/>
    </row>
    <row r="17" spans="1:31" x14ac:dyDescent="0.25">
      <c r="A17" s="401" t="s">
        <v>363</v>
      </c>
      <c r="B17" s="358" t="s">
        <v>364</v>
      </c>
      <c r="C17" s="535">
        <f>'1. Information Sheet'!F42</f>
        <v>2023</v>
      </c>
      <c r="D17" s="17" t="s">
        <v>365</v>
      </c>
    </row>
    <row r="18" spans="1:31" ht="32.25" customHeight="1" x14ac:dyDescent="0.25">
      <c r="C18" s="515"/>
      <c r="E18" s="402"/>
    </row>
    <row r="19" spans="1:31" ht="72" customHeight="1" x14ac:dyDescent="0.25">
      <c r="A19" s="517" t="s">
        <v>366</v>
      </c>
      <c r="B19" s="358" t="s">
        <v>367</v>
      </c>
      <c r="C19" s="599" t="s">
        <v>146</v>
      </c>
      <c r="D19" s="598" t="s">
        <v>368</v>
      </c>
    </row>
    <row r="20" spans="1:31" ht="21" customHeight="1" x14ac:dyDescent="0.25"/>
    <row r="21" spans="1:31" ht="99" customHeight="1" x14ac:dyDescent="0.25">
      <c r="A21" s="517" t="s">
        <v>369</v>
      </c>
      <c r="B21" s="434" t="s">
        <v>370</v>
      </c>
      <c r="C21" s="599" t="s">
        <v>146</v>
      </c>
      <c r="D21" s="598" t="s">
        <v>371</v>
      </c>
    </row>
    <row r="22" spans="1:31" x14ac:dyDescent="0.25">
      <c r="B22" s="402"/>
    </row>
    <row r="23" spans="1:31" x14ac:dyDescent="0.25">
      <c r="B23" s="402"/>
    </row>
    <row r="24" spans="1:31" x14ac:dyDescent="0.25">
      <c r="A24" s="401"/>
    </row>
    <row r="25" spans="1:31" ht="60" x14ac:dyDescent="0.25">
      <c r="A25" s="517" t="s">
        <v>372</v>
      </c>
      <c r="B25" s="358" t="s">
        <v>373</v>
      </c>
      <c r="C25" s="600">
        <v>8</v>
      </c>
      <c r="P25" s="426"/>
      <c r="Q25" s="426"/>
      <c r="R25" s="426"/>
      <c r="S25" s="426"/>
      <c r="T25" s="426"/>
      <c r="U25" s="426"/>
      <c r="V25" s="426"/>
    </row>
    <row r="26" spans="1:31" x14ac:dyDescent="0.25">
      <c r="P26" s="426"/>
      <c r="Q26" s="426"/>
      <c r="R26" s="426"/>
      <c r="S26" s="426"/>
      <c r="T26" s="426"/>
      <c r="U26" s="426"/>
      <c r="V26" s="426"/>
      <c r="Z26" s="478"/>
      <c r="AA26" s="478"/>
      <c r="AB26" s="478"/>
    </row>
    <row r="27" spans="1:31" x14ac:dyDescent="0.25">
      <c r="A27" s="426"/>
      <c r="B27" s="426"/>
      <c r="C27" s="403" t="s">
        <v>374</v>
      </c>
      <c r="P27" s="426"/>
      <c r="Q27" s="426"/>
      <c r="R27" s="426"/>
      <c r="S27" s="426"/>
      <c r="T27" s="426"/>
      <c r="U27" s="426"/>
      <c r="V27" s="426"/>
      <c r="Z27" s="478"/>
      <c r="AA27" s="478"/>
      <c r="AB27" s="478"/>
      <c r="AC27" s="426"/>
    </row>
    <row r="28" spans="1:31" x14ac:dyDescent="0.25">
      <c r="A28" s="426"/>
      <c r="B28" s="426"/>
      <c r="C28" s="1847" t="s">
        <v>375</v>
      </c>
      <c r="D28" s="1847" t="s">
        <v>343</v>
      </c>
      <c r="E28" s="404"/>
      <c r="F28" s="1842">
        <v>2024</v>
      </c>
      <c r="G28" s="1843"/>
      <c r="H28" s="1842">
        <v>2023</v>
      </c>
      <c r="I28" s="1843"/>
      <c r="J28" s="1842">
        <v>2022</v>
      </c>
      <c r="K28" s="1843"/>
      <c r="L28" s="1842">
        <v>2021</v>
      </c>
      <c r="M28" s="1843"/>
      <c r="N28" s="1842">
        <v>2020</v>
      </c>
      <c r="O28" s="1843"/>
      <c r="P28" s="426"/>
      <c r="Q28" s="426"/>
      <c r="R28" s="426"/>
      <c r="S28" s="426"/>
      <c r="T28" s="426"/>
      <c r="U28" s="426"/>
      <c r="V28" s="426"/>
      <c r="Z28" s="478"/>
      <c r="AA28" s="478"/>
      <c r="AB28" s="478"/>
      <c r="AC28" s="478"/>
      <c r="AD28" s="478"/>
      <c r="AE28" s="478"/>
    </row>
    <row r="29" spans="1:31" x14ac:dyDescent="0.25">
      <c r="A29" s="426"/>
      <c r="B29" s="426"/>
      <c r="C29" s="1848"/>
      <c r="D29" s="1848"/>
      <c r="E29" s="405"/>
      <c r="F29" s="357" t="s">
        <v>376</v>
      </c>
      <c r="G29" s="357" t="s">
        <v>377</v>
      </c>
      <c r="H29" s="357" t="s">
        <v>376</v>
      </c>
      <c r="I29" s="357" t="s">
        <v>377</v>
      </c>
      <c r="J29" s="357" t="s">
        <v>376</v>
      </c>
      <c r="K29" s="357" t="s">
        <v>377</v>
      </c>
      <c r="L29" s="357" t="s">
        <v>376</v>
      </c>
      <c r="M29" s="357" t="s">
        <v>377</v>
      </c>
      <c r="N29" s="357" t="s">
        <v>376</v>
      </c>
      <c r="O29" s="357" t="s">
        <v>377</v>
      </c>
      <c r="P29" s="426"/>
      <c r="Q29" s="426"/>
      <c r="R29" s="426"/>
      <c r="S29" s="426"/>
      <c r="T29" s="426"/>
      <c r="U29" s="426"/>
      <c r="V29" s="426"/>
      <c r="Z29" s="478"/>
      <c r="AA29" s="478"/>
      <c r="AB29" s="478"/>
      <c r="AC29" s="478"/>
      <c r="AD29" s="478"/>
      <c r="AE29" s="478"/>
    </row>
    <row r="30" spans="1:31" x14ac:dyDescent="0.25">
      <c r="A30" s="426" t="str">
        <f>IF(AND(F32=G32,H32=I32,J32=K32,F32="A"),"2016 - kwh",IF(AND(F32=G32,H32=I32,J32&lt;&gt;K32,F32="A"),"2017 - kwh",IF(AND(F32=G32,H32&lt;&gt;I32,F32="A"),"2018 - kwh","N/A")))</f>
        <v>N/A</v>
      </c>
      <c r="B30" s="426" t="str">
        <f>IF(AND(F32="A",G32="A"),"A","")</f>
        <v/>
      </c>
      <c r="C30" s="406" t="s">
        <v>378</v>
      </c>
      <c r="D30" s="460" t="s">
        <v>189</v>
      </c>
      <c r="E30" s="424" t="s">
        <v>379</v>
      </c>
      <c r="F30" s="459">
        <v>108504775.26494999</v>
      </c>
      <c r="G30" s="459">
        <v>21677684.652330998</v>
      </c>
      <c r="H30" s="459"/>
      <c r="I30" s="459"/>
      <c r="J30" s="459"/>
      <c r="K30" s="459"/>
      <c r="L30" s="459"/>
      <c r="M30" s="459"/>
      <c r="N30" s="459"/>
      <c r="O30" s="459"/>
      <c r="P30" s="426"/>
      <c r="Q30" s="426"/>
      <c r="R30" s="426"/>
      <c r="S30" s="426"/>
      <c r="T30" s="426"/>
      <c r="U30" s="426"/>
      <c r="V30" s="426"/>
      <c r="Z30" s="478"/>
      <c r="AA30" s="478" t="str">
        <f>IF(AND(F32=G32,H32=I32,F32="A"),"2016 - kwh","")</f>
        <v/>
      </c>
      <c r="AB30" s="478" t="str">
        <f>IF(OR(B30="2017 - kwh",B30="2018 - kwh"),"2016 - kwh","")</f>
        <v/>
      </c>
      <c r="AC30" s="478"/>
      <c r="AD30" s="478"/>
      <c r="AE30" s="478"/>
    </row>
    <row r="31" spans="1:31" x14ac:dyDescent="0.25">
      <c r="A31" s="426" t="str">
        <f>IF(AND(F32=G32,H32=I32,J32=K32,F32="A"),"2016 - kw",IF(AND(F32=G32,H32=I32,J32&lt;&gt;K32,F32="A"),"2017 - kw",IF(AND(F32=G32,H32&lt;&gt;I32,F32="A"),"2018 - kw","N/A")))</f>
        <v>N/A</v>
      </c>
      <c r="B31" s="426" t="str">
        <f>IF(AND(F32="A",G32="A"),"A","")</f>
        <v/>
      </c>
      <c r="C31" s="407"/>
      <c r="D31" s="420" t="str">
        <f>D30 &amp; "kW"</f>
        <v>LARGE USE SERVICE CLASSIFICATIONkW</v>
      </c>
      <c r="E31" s="423" t="s">
        <v>380</v>
      </c>
      <c r="F31" s="459">
        <v>224117.80747100001</v>
      </c>
      <c r="G31" s="459">
        <v>98256.784803000002</v>
      </c>
      <c r="H31" s="459"/>
      <c r="I31" s="459"/>
      <c r="J31" s="459"/>
      <c r="K31" s="459"/>
      <c r="L31" s="459"/>
      <c r="M31" s="459"/>
      <c r="N31" s="459"/>
      <c r="O31" s="459"/>
      <c r="P31" s="426"/>
      <c r="Q31" s="426"/>
      <c r="R31" s="426"/>
      <c r="S31" s="426"/>
      <c r="T31" s="426"/>
      <c r="U31" s="426"/>
      <c r="V31" s="426"/>
      <c r="Z31" s="478"/>
      <c r="AA31" s="478" t="str">
        <f>IF(AND(F32=G32,H32=I32,F32="A"),"2016 - kw","")</f>
        <v/>
      </c>
      <c r="AB31" s="478" t="str">
        <f>IF(OR(B31="2017 - kw",B31="2018 - kw"),"2016 - kw","")</f>
        <v/>
      </c>
      <c r="AC31" s="478"/>
      <c r="AD31" s="478"/>
      <c r="AE31" s="478"/>
    </row>
    <row r="32" spans="1:31" x14ac:dyDescent="0.25">
      <c r="A32" s="426"/>
      <c r="B32" s="426"/>
      <c r="C32" s="410"/>
      <c r="D32" s="376"/>
      <c r="E32" s="422" t="s">
        <v>381</v>
      </c>
      <c r="F32" s="458" t="s">
        <v>690</v>
      </c>
      <c r="G32" s="458" t="s">
        <v>692</v>
      </c>
      <c r="H32" s="458"/>
      <c r="I32" s="458"/>
      <c r="J32" s="458"/>
      <c r="K32" s="458"/>
      <c r="L32" s="458"/>
      <c r="M32" s="458"/>
      <c r="N32" s="458"/>
      <c r="O32" s="458"/>
      <c r="P32" s="426"/>
      <c r="Q32" s="426"/>
      <c r="R32" s="426"/>
      <c r="S32" s="426"/>
      <c r="T32" s="426"/>
      <c r="U32" s="426"/>
      <c r="V32" s="426"/>
      <c r="Z32" s="478"/>
      <c r="AA32" s="478"/>
      <c r="AB32" s="478"/>
      <c r="AC32" s="478"/>
      <c r="AD32" s="478"/>
      <c r="AE32" s="478"/>
    </row>
    <row r="33" spans="1:31" x14ac:dyDescent="0.25">
      <c r="A33" s="426" t="str">
        <f>IF(AND(F35=G35,H35=I35,J35=K35,F35="A"),"2016 - kwh",IF(AND(F35=G35,H35=I35,J35&lt;&gt;K35,F35="A"),"2017 - kwh",IF(AND(F35=G35,H35&lt;&gt;I35,F35="A"),"2018 - kwh","N/A")))</f>
        <v>N/A</v>
      </c>
      <c r="B33" s="426" t="str">
        <f>IF(AND(F35="A",G35="A"),"A","")</f>
        <v/>
      </c>
      <c r="C33" s="406" t="s">
        <v>382</v>
      </c>
      <c r="D33" s="460" t="s">
        <v>189</v>
      </c>
      <c r="E33" s="424" t="s">
        <v>379</v>
      </c>
      <c r="F33" s="459">
        <v>0</v>
      </c>
      <c r="G33" s="459">
        <v>17690928.505816996</v>
      </c>
      <c r="H33" s="459"/>
      <c r="I33" s="459"/>
      <c r="J33" s="459"/>
      <c r="K33" s="459"/>
      <c r="L33" s="459"/>
      <c r="M33" s="459"/>
      <c r="N33" s="459"/>
      <c r="O33" s="459"/>
      <c r="P33" s="426"/>
      <c r="Q33" s="426"/>
      <c r="R33" s="426"/>
      <c r="S33" s="426"/>
      <c r="T33" s="426"/>
      <c r="U33" s="426"/>
      <c r="V33" s="426"/>
      <c r="Z33" s="478"/>
      <c r="AA33" s="478" t="str">
        <f>IF(AND(F35=G35,H35=I35,F35="A"),"2016 - kwh","")</f>
        <v/>
      </c>
      <c r="AB33" s="478" t="str">
        <f>IF(OR(B33="2017 - kwh",B33="2018 - kwh"),"2016 - kwh","")</f>
        <v/>
      </c>
      <c r="AC33" s="478"/>
      <c r="AD33" s="478"/>
      <c r="AE33" s="478"/>
    </row>
    <row r="34" spans="1:31" x14ac:dyDescent="0.25">
      <c r="A34" s="426" t="str">
        <f>IF(AND(F35=G35,H35=I35,J35=K35,F35="A"),"2016 - kw",IF(AND(F35=G35,H35=I35,J35&lt;&gt;K35,F35="A"),"2017 - kw",IF(AND(F35=G35,H35&lt;&gt;I35,F35="A"),"2018 - kw","N/A")))</f>
        <v>N/A</v>
      </c>
      <c r="B34" s="426" t="str">
        <f>IF(AND(F35="A",G35="A"),"A","")</f>
        <v/>
      </c>
      <c r="C34" s="407"/>
      <c r="D34" s="420" t="str">
        <f>D33 &amp; "kW"</f>
        <v>LARGE USE SERVICE CLASSIFICATIONkW</v>
      </c>
      <c r="E34" s="423" t="s">
        <v>380</v>
      </c>
      <c r="F34" s="459">
        <v>0</v>
      </c>
      <c r="G34" s="459">
        <v>26899.081663999998</v>
      </c>
      <c r="H34" s="459"/>
      <c r="I34" s="459"/>
      <c r="J34" s="459"/>
      <c r="K34" s="459"/>
      <c r="L34" s="459"/>
      <c r="M34" s="459"/>
      <c r="N34" s="459"/>
      <c r="O34" s="459"/>
      <c r="P34" s="426"/>
      <c r="Q34" s="426"/>
      <c r="R34" s="426"/>
      <c r="S34" s="426"/>
      <c r="T34" s="426"/>
      <c r="U34" s="426"/>
      <c r="V34" s="426"/>
      <c r="Z34" s="478"/>
      <c r="AA34" s="478" t="str">
        <f>IF(AND(F35=G35,H35=I35,F35="A"),"2016 - kw","")</f>
        <v/>
      </c>
      <c r="AB34" s="478" t="str">
        <f>IF(OR(B34="2017 - kw",B34="2018 - kw"),"2016 - kw","")</f>
        <v/>
      </c>
      <c r="AC34" s="478"/>
      <c r="AD34" s="478"/>
      <c r="AE34" s="478"/>
    </row>
    <row r="35" spans="1:31" x14ac:dyDescent="0.25">
      <c r="A35" s="426"/>
      <c r="B35" s="426"/>
      <c r="C35" s="410"/>
      <c r="D35" s="376"/>
      <c r="E35" s="422" t="s">
        <v>381</v>
      </c>
      <c r="F35" s="458" t="s">
        <v>692</v>
      </c>
      <c r="G35" s="458" t="s">
        <v>690</v>
      </c>
      <c r="H35" s="458"/>
      <c r="I35" s="458"/>
      <c r="J35" s="458"/>
      <c r="K35" s="458"/>
      <c r="L35" s="458"/>
      <c r="M35" s="458"/>
      <c r="N35" s="458"/>
      <c r="O35" s="458"/>
      <c r="P35" s="426"/>
      <c r="Q35" s="426"/>
      <c r="R35" s="426"/>
      <c r="S35" s="426"/>
      <c r="T35" s="426"/>
      <c r="U35" s="426"/>
      <c r="V35" s="426"/>
      <c r="Z35" s="478"/>
      <c r="AA35" s="478"/>
      <c r="AB35" s="478"/>
      <c r="AC35" s="478"/>
      <c r="AD35" s="478"/>
      <c r="AE35" s="478"/>
    </row>
    <row r="36" spans="1:31" x14ac:dyDescent="0.25">
      <c r="A36" s="426" t="str">
        <f>IF(AND(F38=G38,H38=I38,J38=K38,F38="A"),"2016 - kwh",IF(AND(F38=G38,H38=I38,J38&lt;&gt;K38,F38="A"),"2017 - kwh",IF(AND(F38=G38,H38&lt;&gt;I38,F38="A"),"2018 - kwh","N/A")))</f>
        <v>N/A</v>
      </c>
      <c r="B36" s="426" t="str">
        <f>IF(AND(F38="A",G38="A"),"A","")</f>
        <v/>
      </c>
      <c r="C36" s="406" t="s">
        <v>383</v>
      </c>
      <c r="D36" s="460" t="s">
        <v>1008</v>
      </c>
      <c r="E36" s="424" t="s">
        <v>379</v>
      </c>
      <c r="F36" s="459">
        <v>83381203.395134002</v>
      </c>
      <c r="G36" s="459">
        <v>79853943.807463005</v>
      </c>
      <c r="H36" s="459"/>
      <c r="I36" s="459"/>
      <c r="J36" s="459"/>
      <c r="K36" s="459"/>
      <c r="L36" s="459"/>
      <c r="M36" s="459"/>
      <c r="N36" s="459"/>
      <c r="O36" s="459"/>
      <c r="P36" s="426"/>
      <c r="Q36" s="426"/>
      <c r="R36" s="426"/>
      <c r="S36" s="426"/>
      <c r="T36" s="426"/>
      <c r="U36" s="426"/>
      <c r="V36" s="426"/>
      <c r="Z36" s="478"/>
      <c r="AA36" s="478" t="str">
        <f>IF(AND(F38=G38,H38=I38,F38="A"),"2016 - kwh","")</f>
        <v/>
      </c>
      <c r="AB36" s="478" t="str">
        <f>IF(OR(B36="2017 - kwh",B36="2018 - kwh"),"2016 - kwh","")</f>
        <v/>
      </c>
      <c r="AC36" s="478"/>
      <c r="AD36" s="478"/>
      <c r="AE36" s="478"/>
    </row>
    <row r="37" spans="1:31" x14ac:dyDescent="0.25">
      <c r="A37" s="426" t="str">
        <f>IF(AND(F38=G38,H38=I38,J38=K38,F38="A"),"2016 - kw",IF(AND(F38=G38,H38=I38,J38&lt;&gt;K38,F38="A"),"2017 - kw",IF(AND(F38=G38,H38&lt;&gt;I38,F38="A"),"2018 - kw","N/A")))</f>
        <v>N/A</v>
      </c>
      <c r="B37" s="426" t="str">
        <f>IF(AND(F38="A",G38="A"),"A","")</f>
        <v/>
      </c>
      <c r="C37" s="407"/>
      <c r="D37" s="420" t="str">
        <f>D36 &amp; "kW"</f>
        <v>GENERAL SERVICE 1,000 TO 4,999 KW SERVICE CLASSIFICATIONkW</v>
      </c>
      <c r="E37" s="423" t="s">
        <v>380</v>
      </c>
      <c r="F37" s="459">
        <v>204493.70383299998</v>
      </c>
      <c r="G37" s="459">
        <v>192526.79263899993</v>
      </c>
      <c r="H37" s="459"/>
      <c r="I37" s="459"/>
      <c r="J37" s="459"/>
      <c r="K37" s="459"/>
      <c r="L37" s="459"/>
      <c r="M37" s="459"/>
      <c r="N37" s="459"/>
      <c r="O37" s="459"/>
      <c r="P37" s="426"/>
      <c r="Q37" s="426"/>
      <c r="R37" s="426"/>
      <c r="S37" s="426"/>
      <c r="T37" s="426"/>
      <c r="U37" s="426"/>
      <c r="V37" s="426"/>
      <c r="Z37" s="478"/>
      <c r="AA37" s="478" t="str">
        <f>IF(AND(F38=G38,H38=I38,F38="A"),"2016 - kw","")</f>
        <v/>
      </c>
      <c r="AB37" s="478" t="str">
        <f>IF(OR(B37="2017 - kw",B37="2018 - kw"),"2016 - kw","")</f>
        <v/>
      </c>
      <c r="AC37" s="478"/>
      <c r="AD37" s="478"/>
      <c r="AE37" s="478"/>
    </row>
    <row r="38" spans="1:31" x14ac:dyDescent="0.25">
      <c r="A38" s="426"/>
      <c r="B38" s="426"/>
      <c r="C38" s="410"/>
      <c r="D38" s="376"/>
      <c r="E38" s="422" t="s">
        <v>381</v>
      </c>
      <c r="F38" s="458" t="s">
        <v>690</v>
      </c>
      <c r="G38" s="458" t="s">
        <v>692</v>
      </c>
      <c r="H38" s="458"/>
      <c r="I38" s="458"/>
      <c r="J38" s="458"/>
      <c r="K38" s="458"/>
      <c r="L38" s="458"/>
      <c r="M38" s="458"/>
      <c r="N38" s="458"/>
      <c r="O38" s="458"/>
      <c r="P38" s="426"/>
      <c r="Q38" s="426"/>
      <c r="R38" s="426"/>
      <c r="S38" s="426"/>
      <c r="T38" s="426"/>
      <c r="U38" s="426"/>
      <c r="V38" s="426"/>
      <c r="Z38" s="478"/>
      <c r="AA38" s="478"/>
      <c r="AB38" s="478"/>
      <c r="AC38" s="478"/>
      <c r="AD38" s="478"/>
      <c r="AE38" s="478"/>
    </row>
    <row r="39" spans="1:31" x14ac:dyDescent="0.25">
      <c r="A39" s="426" t="str">
        <f>IF(AND(F41=G41,H41=I41,J41=K41,F41="A"),"2016 - kwh",IF(AND(F41=G41,H41=I41,J41&lt;&gt;K41,F41="A"),"2017 - kwh",IF(AND(F41=G41,H41&lt;&gt;I41,F41="A"),"2018 - kwh","N/A")))</f>
        <v>N/A</v>
      </c>
      <c r="B39" s="426" t="str">
        <f>IF(AND(F41="A",G41="A"),"A","")</f>
        <v/>
      </c>
      <c r="C39" s="406" t="s">
        <v>384</v>
      </c>
      <c r="D39" s="460" t="s">
        <v>1008</v>
      </c>
      <c r="E39" s="424" t="s">
        <v>379</v>
      </c>
      <c r="F39" s="459">
        <v>19805497.426302999</v>
      </c>
      <c r="G39" s="459">
        <v>20781141.766125999</v>
      </c>
      <c r="H39" s="459"/>
      <c r="I39" s="459"/>
      <c r="J39" s="459"/>
      <c r="K39" s="459"/>
      <c r="L39" s="459"/>
      <c r="M39" s="459"/>
      <c r="N39" s="459"/>
      <c r="O39" s="459"/>
      <c r="P39" s="426"/>
      <c r="Q39" s="426"/>
      <c r="R39" s="426"/>
      <c r="S39" s="426"/>
      <c r="T39" s="426"/>
      <c r="U39" s="426"/>
      <c r="V39" s="426"/>
      <c r="Z39" s="478"/>
      <c r="AA39" s="478" t="str">
        <f>IF(AND(F41=G41,H41=I41,F41="A"),"2016 - kwh","")</f>
        <v/>
      </c>
      <c r="AB39" s="478" t="str">
        <f>IF(OR(B39="2017 - kwh",B39="2018 - kwh"),"2016 - kwh","")</f>
        <v/>
      </c>
      <c r="AC39" s="478"/>
      <c r="AD39" s="478"/>
      <c r="AE39" s="478"/>
    </row>
    <row r="40" spans="1:31" x14ac:dyDescent="0.25">
      <c r="A40" s="426" t="str">
        <f>IF(AND(F41=G41,H41=I41,J41=K41,F41="A"),"2016 - kw",IF(AND(F41=G41,H41=I41,J41&lt;&gt;K41,F41="A"),"2017 - kw",IF(AND(F41=G41,H41&lt;&gt;I41,F41="A"),"2018 - kw","N/A")))</f>
        <v>N/A</v>
      </c>
      <c r="B40" s="426" t="str">
        <f>IF(AND(F41="A",G41="A"),"A","")</f>
        <v/>
      </c>
      <c r="C40" s="407"/>
      <c r="D40" s="420" t="str">
        <f>D39 &amp; "kW"</f>
        <v>GENERAL SERVICE 1,000 TO 4,999 KW SERVICE CLASSIFICATIONkW</v>
      </c>
      <c r="E40" s="423" t="s">
        <v>380</v>
      </c>
      <c r="F40" s="459">
        <v>66070.271124999985</v>
      </c>
      <c r="G40" s="459">
        <v>68925.759865999993</v>
      </c>
      <c r="H40" s="459"/>
      <c r="I40" s="459"/>
      <c r="J40" s="459"/>
      <c r="K40" s="459"/>
      <c r="L40" s="459"/>
      <c r="M40" s="459"/>
      <c r="N40" s="459"/>
      <c r="O40" s="459"/>
      <c r="P40" s="426"/>
      <c r="Q40" s="426"/>
      <c r="R40" s="426"/>
      <c r="S40" s="426"/>
      <c r="T40" s="426"/>
      <c r="U40" s="426"/>
      <c r="V40" s="426"/>
      <c r="Z40" s="478"/>
      <c r="AA40" s="478" t="str">
        <f>IF(AND(F41=G41,H41=I41,F41="A"),"2016 - kw","")</f>
        <v/>
      </c>
      <c r="AB40" s="478" t="str">
        <f>IF(OR(B40="2017 - kw",B40="2018 - kw"),"2016 - kw","")</f>
        <v/>
      </c>
      <c r="AC40" s="478"/>
      <c r="AD40" s="478"/>
      <c r="AE40" s="478"/>
    </row>
    <row r="41" spans="1:31" x14ac:dyDescent="0.25">
      <c r="A41" s="426"/>
      <c r="B41" s="426"/>
      <c r="C41" s="410"/>
      <c r="D41" s="376"/>
      <c r="E41" s="422" t="s">
        <v>381</v>
      </c>
      <c r="F41" s="458" t="s">
        <v>692</v>
      </c>
      <c r="G41" s="458" t="s">
        <v>690</v>
      </c>
      <c r="H41" s="458"/>
      <c r="I41" s="458"/>
      <c r="J41" s="458"/>
      <c r="K41" s="458"/>
      <c r="L41" s="458"/>
      <c r="M41" s="458"/>
      <c r="N41" s="458"/>
      <c r="O41" s="458"/>
      <c r="P41" s="426"/>
      <c r="Q41" s="426"/>
      <c r="R41" s="426"/>
      <c r="S41" s="426"/>
      <c r="T41" s="426"/>
      <c r="U41" s="426"/>
      <c r="V41" s="426"/>
      <c r="Z41" s="478"/>
      <c r="AA41" s="478"/>
      <c r="AB41" s="478"/>
      <c r="AC41" s="478"/>
      <c r="AD41" s="478"/>
      <c r="AE41" s="478"/>
    </row>
    <row r="42" spans="1:31" x14ac:dyDescent="0.25">
      <c r="A42" s="426" t="str">
        <f>IF(AND(F44=G44,H44=I44,J44=K44,F44="A"),"2016 - kwh",IF(AND(F44=G44,H44=I44,J44&lt;&gt;K44,F44="A"),"2017 - kwh",IF(AND(F44=G44,H44&lt;&gt;I44,F44="A"),"2018 - kwh","N/A")))</f>
        <v>N/A</v>
      </c>
      <c r="B42" s="426" t="str">
        <f>IF(AND(F44="A",G44="A"),"A","")</f>
        <v/>
      </c>
      <c r="C42" s="406" t="s">
        <v>385</v>
      </c>
      <c r="D42" s="460" t="s">
        <v>990</v>
      </c>
      <c r="E42" s="424" t="s">
        <v>379</v>
      </c>
      <c r="F42" s="459">
        <v>52272601.387196995</v>
      </c>
      <c r="G42" s="459">
        <v>48939745.206956998</v>
      </c>
      <c r="H42" s="459"/>
      <c r="I42" s="459"/>
      <c r="J42" s="459"/>
      <c r="K42" s="459"/>
      <c r="L42" s="459"/>
      <c r="M42" s="459"/>
      <c r="N42" s="459"/>
      <c r="O42" s="459"/>
      <c r="P42" s="426"/>
      <c r="Q42" s="426"/>
      <c r="R42" s="426"/>
      <c r="S42" s="426"/>
      <c r="T42" s="426"/>
      <c r="U42" s="426"/>
      <c r="V42" s="426"/>
      <c r="Z42" s="478"/>
      <c r="AA42" s="478" t="str">
        <f>IF(AND(F44=G44,H44=I44,F44="A"),"2016 - kwh","")</f>
        <v/>
      </c>
      <c r="AB42" s="478" t="str">
        <f>IF(OR(B42="2017 - kwh",B42="2018 - kwh"),"2016 - kwh","")</f>
        <v/>
      </c>
      <c r="AC42" s="478"/>
      <c r="AD42" s="478"/>
      <c r="AE42" s="478"/>
    </row>
    <row r="43" spans="1:31" x14ac:dyDescent="0.25">
      <c r="A43" s="426" t="str">
        <f>IF(AND(F44=G44,H44=I44,J44=K44,F44="A"),"2016 - kw",IF(AND(F44=G44,H44=I44,J44&lt;&gt;K44,F44="A"),"2017 - kw",IF(AND(F44=G44,H44&lt;&gt;I44,F44="A"),"2018 - kw","N/A")))</f>
        <v>N/A</v>
      </c>
      <c r="B43" s="426" t="str">
        <f>IF(AND(F44="A",G44="A"),"A","")</f>
        <v/>
      </c>
      <c r="C43" s="407"/>
      <c r="D43" s="420" t="str">
        <f>D42 &amp; "kW"</f>
        <v>GENERAL SERVICE 50 TO 999 KW SERVICE CLASSIFICATIONkW</v>
      </c>
      <c r="E43" s="423" t="s">
        <v>380</v>
      </c>
      <c r="F43" s="459">
        <v>142315.578225</v>
      </c>
      <c r="G43" s="459">
        <v>136236.08091699996</v>
      </c>
      <c r="H43" s="459"/>
      <c r="I43" s="459"/>
      <c r="J43" s="459"/>
      <c r="K43" s="459"/>
      <c r="L43" s="459"/>
      <c r="M43" s="459"/>
      <c r="N43" s="459"/>
      <c r="O43" s="459"/>
      <c r="P43" s="426"/>
      <c r="Q43" s="426"/>
      <c r="R43" s="426"/>
      <c r="S43" s="426"/>
      <c r="T43" s="426"/>
      <c r="U43" s="426"/>
      <c r="V43" s="426"/>
      <c r="Z43" s="478"/>
      <c r="AA43" s="478" t="str">
        <f>IF(AND(F44=G44,H44=I44,F44="A"),"2016 - kw","")</f>
        <v/>
      </c>
      <c r="AB43" s="478" t="str">
        <f>IF(OR(B43="2017 - kw",B43="2018 - kw"),"2016 - kw","")</f>
        <v/>
      </c>
      <c r="AC43" s="478"/>
      <c r="AD43" s="478"/>
      <c r="AE43" s="478"/>
    </row>
    <row r="44" spans="1:31" x14ac:dyDescent="0.25">
      <c r="A44" s="426"/>
      <c r="B44" s="426"/>
      <c r="C44" s="410"/>
      <c r="D44" s="376"/>
      <c r="E44" s="422" t="s">
        <v>381</v>
      </c>
      <c r="F44" s="458" t="s">
        <v>690</v>
      </c>
      <c r="G44" s="458" t="s">
        <v>692</v>
      </c>
      <c r="H44" s="458"/>
      <c r="I44" s="458"/>
      <c r="J44" s="458"/>
      <c r="K44" s="458"/>
      <c r="L44" s="458"/>
      <c r="M44" s="458"/>
      <c r="N44" s="458"/>
      <c r="O44" s="458"/>
      <c r="P44" s="426"/>
      <c r="Q44" s="426"/>
      <c r="R44" s="426"/>
      <c r="S44" s="426"/>
      <c r="T44" s="426"/>
      <c r="U44" s="426"/>
      <c r="V44" s="426"/>
      <c r="Z44" s="478"/>
      <c r="AA44" s="478"/>
      <c r="AB44" s="478"/>
      <c r="AC44" s="478"/>
      <c r="AD44" s="478"/>
      <c r="AE44" s="478"/>
    </row>
    <row r="45" spans="1:31" x14ac:dyDescent="0.25">
      <c r="A45" s="426" t="str">
        <f>IF(AND(F47=G47,H47=I47,J47=K47,F47="A"),"2016 - kwh",IF(AND(F47=G47,H47=I47,J47&lt;&gt;K47,F47="A"),"2017 - kwh",IF(AND(F47=G47,H47&lt;&gt;I47,F47="A"),"2018 - kwh","N/A")))</f>
        <v>N/A</v>
      </c>
      <c r="B45" s="426" t="str">
        <f>IF(AND(F47="A",G47="A"),"A","")</f>
        <v/>
      </c>
      <c r="C45" s="406" t="s">
        <v>386</v>
      </c>
      <c r="D45" s="460" t="s">
        <v>990</v>
      </c>
      <c r="E45" s="424" t="s">
        <v>379</v>
      </c>
      <c r="F45" s="459">
        <v>7590742.3434509989</v>
      </c>
      <c r="G45" s="459">
        <v>9053196.2952740006</v>
      </c>
      <c r="H45" s="459"/>
      <c r="I45" s="459"/>
      <c r="J45" s="459"/>
      <c r="K45" s="459"/>
      <c r="L45" s="459"/>
      <c r="M45" s="459"/>
      <c r="N45" s="459"/>
      <c r="O45" s="459"/>
      <c r="P45" s="426"/>
      <c r="Q45" s="426"/>
      <c r="R45" s="426"/>
      <c r="S45" s="426"/>
      <c r="T45" s="426"/>
      <c r="U45" s="426"/>
      <c r="V45" s="426"/>
      <c r="Z45" s="478"/>
      <c r="AA45" s="478" t="str">
        <f>IF(AND(F47=G47,H47=I47,F47="A"),"2016 - kwh","")</f>
        <v/>
      </c>
      <c r="AB45" s="478" t="str">
        <f>IF(OR(B45="2017 - kwh",B45="2018 - kwh"),"2016 - kwh","")</f>
        <v/>
      </c>
      <c r="AC45" s="478"/>
      <c r="AD45" s="478"/>
      <c r="AE45" s="478"/>
    </row>
    <row r="46" spans="1:31" x14ac:dyDescent="0.25">
      <c r="A46" s="426" t="str">
        <f>IF(AND(F47=G47,H47=I47,J47=K47,F47="A"),"2016 - kw",IF(AND(F47=G47,H47=I47,J47&lt;&gt;K47,F47="A"),"2017 - kw",IF(AND(F47=G47,H47&lt;&gt;I47,F47="A"),"2018 - kw","N/A")))</f>
        <v>N/A</v>
      </c>
      <c r="B46" s="426" t="str">
        <f>IF(AND(F47="A",G47="A"),"A","")</f>
        <v/>
      </c>
      <c r="C46" s="407"/>
      <c r="D46" s="420" t="str">
        <f>D45 &amp; "kW"</f>
        <v>GENERAL SERVICE 50 TO 999 KW SERVICE CLASSIFICATIONkW</v>
      </c>
      <c r="E46" s="423" t="s">
        <v>380</v>
      </c>
      <c r="F46" s="459">
        <v>19655.490347999999</v>
      </c>
      <c r="G46" s="459">
        <v>22135.675324</v>
      </c>
      <c r="H46" s="459"/>
      <c r="I46" s="459"/>
      <c r="J46" s="459"/>
      <c r="K46" s="459"/>
      <c r="L46" s="459"/>
      <c r="M46" s="459"/>
      <c r="N46" s="459"/>
      <c r="O46" s="459"/>
      <c r="P46" s="426"/>
      <c r="Q46" s="426"/>
      <c r="R46" s="426"/>
      <c r="S46" s="426"/>
      <c r="T46" s="426"/>
      <c r="U46" s="426"/>
      <c r="V46" s="426"/>
      <c r="Z46" s="478"/>
      <c r="AA46" s="478" t="str">
        <f>IF(AND(F47=G47,H47=I47,F47="A"),"2016 - kw","")</f>
        <v/>
      </c>
      <c r="AB46" s="478" t="str">
        <f>IF(OR(B46="2017 - kw",B46="2018 - kw"),"2016 - kw","")</f>
        <v/>
      </c>
      <c r="AC46" s="478"/>
      <c r="AD46" s="478"/>
      <c r="AE46" s="478"/>
    </row>
    <row r="47" spans="1:31" x14ac:dyDescent="0.25">
      <c r="A47" s="426"/>
      <c r="B47" s="426"/>
      <c r="C47" s="410"/>
      <c r="D47" s="376"/>
      <c r="E47" s="422" t="s">
        <v>381</v>
      </c>
      <c r="F47" s="458" t="s">
        <v>692</v>
      </c>
      <c r="G47" s="458" t="s">
        <v>690</v>
      </c>
      <c r="H47" s="458"/>
      <c r="I47" s="458"/>
      <c r="J47" s="458"/>
      <c r="K47" s="458"/>
      <c r="L47" s="458"/>
      <c r="M47" s="458"/>
      <c r="N47" s="458"/>
      <c r="O47" s="458"/>
      <c r="P47" s="426"/>
      <c r="Q47" s="426"/>
      <c r="R47" s="426"/>
      <c r="S47" s="426"/>
      <c r="T47" s="426"/>
      <c r="U47" s="426"/>
      <c r="V47" s="426"/>
      <c r="Z47" s="478"/>
      <c r="AA47" s="478"/>
      <c r="AB47" s="478"/>
      <c r="AC47" s="478"/>
      <c r="AD47" s="478"/>
      <c r="AE47" s="478"/>
    </row>
    <row r="48" spans="1:31" x14ac:dyDescent="0.25">
      <c r="A48" s="426" t="str">
        <f>IF(AND(F50=G50,H50=I50,J50=K50,F50="A"),"2016 - kwh",IF(AND(F50=G50,H50=I50,J50&lt;&gt;K50,F50="A"),"2017 - kwh",IF(AND(F50=G50,H50&lt;&gt;I50,F50="A"),"2018 - kwh","N/A")))</f>
        <v>N/A</v>
      </c>
      <c r="B48" s="426" t="str">
        <f>IF(AND(F50="A",G50="A"),"A","")</f>
        <v/>
      </c>
      <c r="C48" s="406" t="s">
        <v>387</v>
      </c>
      <c r="D48" s="460" t="s">
        <v>174</v>
      </c>
      <c r="E48" s="424" t="s">
        <v>379</v>
      </c>
      <c r="F48" s="459">
        <v>1187878.8473070001</v>
      </c>
      <c r="G48" s="459">
        <v>1168117.2017829998</v>
      </c>
      <c r="H48" s="459"/>
      <c r="I48" s="459"/>
      <c r="J48" s="459"/>
      <c r="K48" s="459"/>
      <c r="L48" s="459"/>
      <c r="M48" s="459"/>
      <c r="N48" s="459"/>
      <c r="O48" s="459"/>
      <c r="P48" s="426"/>
      <c r="Q48" s="426"/>
      <c r="R48" s="426"/>
      <c r="S48" s="426"/>
      <c r="T48" s="426"/>
      <c r="U48" s="426"/>
      <c r="V48" s="426"/>
      <c r="Z48" s="478"/>
      <c r="AA48" s="478" t="str">
        <f>IF(AND(F50=G50,H50=I50,F50="A"),"2016 - kwh","")</f>
        <v/>
      </c>
      <c r="AB48" s="478" t="str">
        <f>IF(OR(B48="2017 - kwh",B48="2018 - kwh"),"2016 - kwh","")</f>
        <v/>
      </c>
      <c r="AC48" s="478"/>
      <c r="AD48" s="478"/>
      <c r="AE48" s="478"/>
    </row>
    <row r="49" spans="1:31" x14ac:dyDescent="0.25">
      <c r="A49" s="426" t="str">
        <f>IF(AND(F50=G50,H50=I50,J50=K50,F50="A"),"2016 - kw",IF(AND(F50=G50,H50=I50,J50&lt;&gt;K50,F50="A"),"2017 - kw",IF(AND(F50=G50,H50&lt;&gt;I50,F50="A"),"2018 - kw","N/A")))</f>
        <v>N/A</v>
      </c>
      <c r="B49" s="426" t="str">
        <f>IF(AND(F50="A",G50="A"),"A","")</f>
        <v/>
      </c>
      <c r="C49" s="407"/>
      <c r="D49" s="420" t="str">
        <f>D48 &amp; "kW"</f>
        <v>GENERAL SERVICE LESS THAN 50 KW SERVICE CLASSIFICATIONkW</v>
      </c>
      <c r="E49" s="423" t="s">
        <v>380</v>
      </c>
      <c r="F49" s="459">
        <v>3713.035022</v>
      </c>
      <c r="G49" s="459">
        <v>3560.3700140000005</v>
      </c>
      <c r="H49" s="459"/>
      <c r="I49" s="459"/>
      <c r="J49" s="459"/>
      <c r="K49" s="459"/>
      <c r="L49" s="459"/>
      <c r="M49" s="459"/>
      <c r="N49" s="459"/>
      <c r="O49" s="459"/>
      <c r="P49" s="426"/>
      <c r="Q49" s="426"/>
      <c r="R49" s="426"/>
      <c r="S49" s="426"/>
      <c r="T49" s="426"/>
      <c r="U49" s="426"/>
      <c r="V49" s="426"/>
      <c r="Z49" s="478"/>
      <c r="AA49" s="478" t="str">
        <f>IF(AND(F50=G50,H50=I50,F50="A"),"2016 - kw","")</f>
        <v/>
      </c>
      <c r="AB49" s="478" t="str">
        <f>IF(OR(B49="2017 - kw",B49="2018 - kw"),"2016 - kw","")</f>
        <v/>
      </c>
      <c r="AC49" s="478"/>
      <c r="AD49" s="478"/>
      <c r="AE49" s="478"/>
    </row>
    <row r="50" spans="1:31" x14ac:dyDescent="0.25">
      <c r="A50" s="426"/>
      <c r="B50" s="426"/>
      <c r="C50" s="410"/>
      <c r="D50" s="376"/>
      <c r="E50" s="422" t="s">
        <v>381</v>
      </c>
      <c r="F50" s="458" t="s">
        <v>690</v>
      </c>
      <c r="G50" s="458" t="s">
        <v>692</v>
      </c>
      <c r="H50" s="458"/>
      <c r="I50" s="458"/>
      <c r="J50" s="458"/>
      <c r="K50" s="458"/>
      <c r="L50" s="458"/>
      <c r="M50" s="458"/>
      <c r="N50" s="458"/>
      <c r="O50" s="458"/>
      <c r="P50" s="426"/>
      <c r="Q50" s="426"/>
      <c r="R50" s="426"/>
      <c r="S50" s="426"/>
      <c r="T50" s="426"/>
      <c r="U50" s="426"/>
      <c r="V50" s="426"/>
      <c r="Z50" s="478"/>
      <c r="AA50" s="478"/>
      <c r="AB50" s="478"/>
      <c r="AC50" s="478"/>
      <c r="AD50" s="478"/>
      <c r="AE50" s="478"/>
    </row>
    <row r="51" spans="1:31" x14ac:dyDescent="0.25">
      <c r="A51" s="426" t="str">
        <f>IF(AND(F53=G53,H53=I53,J53=K53,F53="A"),"2016 - kwh",IF(AND(F53=G53,H53=I53,J53&lt;&gt;K53,F53="A"),"2017 - kwh",IF(AND(F53=G53,H53&lt;&gt;I53,F53="A"),"2018 - kwh","N/A")))</f>
        <v>N/A</v>
      </c>
      <c r="B51" s="426" t="str">
        <f>IF(AND(F53="A",G53="A"),"A","")</f>
        <v/>
      </c>
      <c r="C51" s="406" t="s">
        <v>388</v>
      </c>
      <c r="D51" s="460" t="s">
        <v>174</v>
      </c>
      <c r="E51" s="424" t="s">
        <v>379</v>
      </c>
      <c r="F51" s="459">
        <v>0</v>
      </c>
      <c r="G51" s="459">
        <v>0</v>
      </c>
      <c r="H51" s="459"/>
      <c r="I51" s="459"/>
      <c r="J51" s="459"/>
      <c r="K51" s="459"/>
      <c r="L51" s="459"/>
      <c r="M51" s="459"/>
      <c r="N51" s="459"/>
      <c r="O51" s="459"/>
      <c r="P51" s="426"/>
      <c r="Q51" s="426"/>
      <c r="R51" s="426"/>
      <c r="S51" s="426"/>
      <c r="T51" s="426"/>
      <c r="U51" s="426"/>
      <c r="V51" s="426"/>
      <c r="Z51" s="478"/>
      <c r="AA51" s="478" t="str">
        <f>IF(AND(F53=G53,H53=I53,F53="A"),"2016 - kwh","")</f>
        <v/>
      </c>
      <c r="AB51" s="478" t="str">
        <f>IF(OR(B51="2017 - kwh",B51="2018 - kwh"),"2016 - kwh","")</f>
        <v/>
      </c>
      <c r="AC51" s="478"/>
      <c r="AD51" s="478"/>
      <c r="AE51" s="478"/>
    </row>
    <row r="52" spans="1:31" x14ac:dyDescent="0.25">
      <c r="A52" s="426" t="str">
        <f>IF(AND(F53=G53,H53=I53,J53=K53,F53="A"),"2016 - kw",IF(AND(F53=G53,H53=I53,J53&lt;&gt;K53,F53="A"),"2017 - kw",IF(AND(F53=G53,H53&lt;&gt;I53,F53="A"),"2018 - kw","N/A")))</f>
        <v>N/A</v>
      </c>
      <c r="B52" s="426" t="str">
        <f>IF(AND(F53="A",G53="A"),"A","")</f>
        <v/>
      </c>
      <c r="C52" s="407"/>
      <c r="D52" s="420" t="str">
        <f>D51 &amp; "kW"</f>
        <v>GENERAL SERVICE LESS THAN 50 KW SERVICE CLASSIFICATIONkW</v>
      </c>
      <c r="E52" s="423" t="s">
        <v>380</v>
      </c>
      <c r="F52" s="459">
        <v>0</v>
      </c>
      <c r="G52" s="459">
        <v>0</v>
      </c>
      <c r="H52" s="459"/>
      <c r="I52" s="459"/>
      <c r="J52" s="459"/>
      <c r="K52" s="459"/>
      <c r="L52" s="459"/>
      <c r="M52" s="459"/>
      <c r="N52" s="459"/>
      <c r="O52" s="459"/>
      <c r="P52" s="426"/>
      <c r="Q52" s="426"/>
      <c r="R52" s="426"/>
      <c r="S52" s="426"/>
      <c r="T52" s="426"/>
      <c r="U52" s="426"/>
      <c r="V52" s="426"/>
      <c r="Z52" s="478"/>
      <c r="AA52" s="478" t="str">
        <f>IF(AND(F53=G53,H53=I53,F53="A"),"2016 - kw","")</f>
        <v/>
      </c>
      <c r="AB52" s="478" t="str">
        <f>IF(OR(B52="2017 - kw",B52="2018 - kw"),"2016 - kw","")</f>
        <v/>
      </c>
      <c r="AC52" s="478"/>
      <c r="AD52" s="478"/>
      <c r="AE52" s="478"/>
    </row>
    <row r="53" spans="1:31" x14ac:dyDescent="0.25">
      <c r="A53" s="426"/>
      <c r="B53" s="426"/>
      <c r="C53" s="410"/>
      <c r="D53" s="376"/>
      <c r="E53" s="422" t="s">
        <v>381</v>
      </c>
      <c r="F53" s="458" t="s">
        <v>692</v>
      </c>
      <c r="G53" s="458" t="s">
        <v>690</v>
      </c>
      <c r="H53" s="458"/>
      <c r="I53" s="458"/>
      <c r="J53" s="458"/>
      <c r="K53" s="458"/>
      <c r="L53" s="458"/>
      <c r="M53" s="458"/>
      <c r="N53" s="458"/>
      <c r="O53" s="458"/>
      <c r="P53" s="426"/>
      <c r="Q53" s="426"/>
      <c r="R53" s="426"/>
      <c r="S53" s="426"/>
      <c r="T53" s="426"/>
      <c r="U53" s="426"/>
      <c r="V53" s="426"/>
      <c r="Z53" s="478"/>
      <c r="AA53" s="478"/>
      <c r="AB53" s="478"/>
      <c r="AC53" s="478"/>
      <c r="AD53" s="478"/>
      <c r="AE53" s="478"/>
    </row>
    <row r="54" spans="1:31" hidden="1" x14ac:dyDescent="0.25">
      <c r="A54" s="426" t="str">
        <f>IF(AND(F56=G56,H56=I56,J56=K56,F56="A"),"2016 - kwh",IF(AND(F56=G56,H56=I56,J56&lt;&gt;K56,F56="A"),"2017 - kwh",IF(AND(F56=G56,H56&lt;&gt;I56,F56="A"),"2018 - kwh","N/A")))</f>
        <v>N/A</v>
      </c>
      <c r="B54" s="426" t="str">
        <f>IF(AND(F56="A",G56="A"),"A","")</f>
        <v/>
      </c>
      <c r="C54" s="406" t="s">
        <v>389</v>
      </c>
      <c r="D54" s="460"/>
      <c r="E54" s="424" t="s">
        <v>379</v>
      </c>
      <c r="F54" s="459"/>
      <c r="G54" s="459"/>
      <c r="H54" s="459"/>
      <c r="I54" s="459"/>
      <c r="J54" s="459"/>
      <c r="K54" s="459"/>
      <c r="L54" s="459"/>
      <c r="M54" s="459"/>
      <c r="N54" s="459"/>
      <c r="O54" s="459"/>
      <c r="P54" s="426"/>
      <c r="Q54" s="426"/>
      <c r="R54" s="426"/>
      <c r="S54" s="426"/>
      <c r="T54" s="426"/>
      <c r="U54" s="426"/>
      <c r="V54" s="426"/>
      <c r="Z54" s="478"/>
      <c r="AA54" s="478" t="str">
        <f>IF(AND(F56=G56,H56=I56,F56="A"),"2016 - kwh","")</f>
        <v/>
      </c>
      <c r="AB54" s="478" t="str">
        <f>IF(OR(B54="2017 - kwh",B54="2018 - kwh"),"2016 - kwh","")</f>
        <v/>
      </c>
      <c r="AC54" s="478"/>
      <c r="AD54" s="478"/>
      <c r="AE54" s="478"/>
    </row>
    <row r="55" spans="1:31" hidden="1" x14ac:dyDescent="0.25">
      <c r="A55" s="426" t="str">
        <f>IF(AND(F56=G56,H56=I56,J56=K56,F56="A"),"2016 - kw",IF(AND(F56=G56,H56=I56,J56&lt;&gt;K56,F56="A"),"2017 - kw",IF(AND(F56=G56,H56&lt;&gt;I56,F56="A"),"2018 - kw","N/A")))</f>
        <v>N/A</v>
      </c>
      <c r="B55" s="426" t="str">
        <f>IF(AND(F56="A",G56="A"),"A","")</f>
        <v/>
      </c>
      <c r="C55" s="407"/>
      <c r="D55" s="420" t="str">
        <f>D54 &amp; "kW"</f>
        <v>kW</v>
      </c>
      <c r="E55" s="423" t="s">
        <v>380</v>
      </c>
      <c r="F55" s="459"/>
      <c r="G55" s="459"/>
      <c r="H55" s="459"/>
      <c r="I55" s="459"/>
      <c r="J55" s="459"/>
      <c r="K55" s="459"/>
      <c r="L55" s="459"/>
      <c r="M55" s="459"/>
      <c r="N55" s="459"/>
      <c r="O55" s="459"/>
      <c r="P55" s="426"/>
      <c r="Q55" s="426"/>
      <c r="R55" s="426"/>
      <c r="S55" s="426"/>
      <c r="T55" s="426"/>
      <c r="U55" s="426"/>
      <c r="V55" s="426"/>
      <c r="Z55" s="478"/>
      <c r="AA55" s="478" t="str">
        <f>IF(AND(F56=G56,H56=I56,F56="A"),"2016 - kw","")</f>
        <v/>
      </c>
      <c r="AB55" s="478" t="str">
        <f>IF(OR(B55="2017 - kw",B55="2018 - kw"),"2016 - kw","")</f>
        <v/>
      </c>
      <c r="AC55" s="478"/>
      <c r="AD55" s="478"/>
      <c r="AE55" s="478"/>
    </row>
    <row r="56" spans="1:31" hidden="1" x14ac:dyDescent="0.25">
      <c r="A56" s="426"/>
      <c r="B56" s="426"/>
      <c r="C56" s="410"/>
      <c r="D56" s="376"/>
      <c r="E56" s="422" t="s">
        <v>381</v>
      </c>
      <c r="F56" s="458"/>
      <c r="G56" s="458"/>
      <c r="H56" s="458"/>
      <c r="I56" s="458"/>
      <c r="J56" s="458"/>
      <c r="K56" s="458"/>
      <c r="L56" s="458"/>
      <c r="M56" s="458"/>
      <c r="N56" s="458"/>
      <c r="O56" s="458"/>
      <c r="P56" s="426"/>
      <c r="Q56" s="426"/>
      <c r="R56" s="426"/>
      <c r="S56" s="426"/>
      <c r="T56" s="426"/>
      <c r="U56" s="426"/>
      <c r="V56" s="426"/>
      <c r="Z56" s="478"/>
      <c r="AA56" s="478"/>
      <c r="AB56" s="478"/>
      <c r="AC56" s="478"/>
      <c r="AD56" s="478"/>
      <c r="AE56" s="478"/>
    </row>
    <row r="57" spans="1:31" hidden="1" x14ac:dyDescent="0.25">
      <c r="A57" s="426" t="str">
        <f>IF(AND(F59=G59,H59=I59,J59=K59,F59="A"),"2016 - kwh",IF(AND(F59=G59,H59=I59,J59&lt;&gt;K59,F59="A"),"2017 - kwh",IF(AND(F59=G59,H59&lt;&gt;I59,F59="A"),"2018 - kwh","N/A")))</f>
        <v>N/A</v>
      </c>
      <c r="B57" s="426" t="str">
        <f>IF(AND(F59="A",G59="A"),"A","")</f>
        <v/>
      </c>
      <c r="C57" s="406" t="s">
        <v>390</v>
      </c>
      <c r="D57" s="460"/>
      <c r="E57" s="424" t="s">
        <v>379</v>
      </c>
      <c r="F57" s="459"/>
      <c r="G57" s="459"/>
      <c r="H57" s="459"/>
      <c r="I57" s="459"/>
      <c r="J57" s="459"/>
      <c r="K57" s="459"/>
      <c r="L57" s="459"/>
      <c r="M57" s="459"/>
      <c r="N57" s="459"/>
      <c r="O57" s="459"/>
      <c r="P57" s="426"/>
      <c r="Q57" s="426"/>
      <c r="R57" s="426"/>
      <c r="S57" s="426"/>
      <c r="T57" s="426"/>
      <c r="U57" s="426"/>
      <c r="V57" s="426"/>
      <c r="Z57" s="478"/>
      <c r="AA57" s="478" t="str">
        <f>IF(AND(F59=G59,H59=I59,F59="A"),"2016 - kwh","")</f>
        <v/>
      </c>
      <c r="AB57" s="478" t="str">
        <f>IF(OR(B57="2017 - kwh",B57="2018 - kwh"),"2016 - kwh","")</f>
        <v/>
      </c>
      <c r="AC57" s="478"/>
      <c r="AD57" s="478"/>
      <c r="AE57" s="478"/>
    </row>
    <row r="58" spans="1:31" hidden="1" x14ac:dyDescent="0.25">
      <c r="A58" s="426" t="str">
        <f>IF(AND(F59=G59,H59=I59,J59=K59,F59="A"),"2016 - kw",IF(AND(F59=G59,H59=I59,J59&lt;&gt;K59,F59="A"),"2017 - kw",IF(AND(F59=G59,H59&lt;&gt;I59,F59="A"),"2018 - kw","N/A")))</f>
        <v>N/A</v>
      </c>
      <c r="B58" s="426" t="str">
        <f>IF(AND(F59="A",G59="A"),"A","")</f>
        <v/>
      </c>
      <c r="C58" s="407"/>
      <c r="D58" s="420" t="str">
        <f>D57 &amp; "kW"</f>
        <v>kW</v>
      </c>
      <c r="E58" s="423" t="s">
        <v>380</v>
      </c>
      <c r="F58" s="459"/>
      <c r="G58" s="459"/>
      <c r="H58" s="459"/>
      <c r="I58" s="459"/>
      <c r="J58" s="459"/>
      <c r="K58" s="459"/>
      <c r="L58" s="459"/>
      <c r="M58" s="459"/>
      <c r="N58" s="459"/>
      <c r="O58" s="459"/>
      <c r="P58" s="426"/>
      <c r="Q58" s="426"/>
      <c r="R58" s="426"/>
      <c r="S58" s="426"/>
      <c r="T58" s="426"/>
      <c r="U58" s="426"/>
      <c r="V58" s="426"/>
      <c r="Z58" s="478"/>
      <c r="AA58" s="478" t="str">
        <f>IF(AND(F59=G59,H59=I59,F59="A"),"2016 - kw","")</f>
        <v/>
      </c>
      <c r="AB58" s="478" t="str">
        <f>IF(OR(B58="2017 - kw",B58="2018 - kw"),"2016 - kw","")</f>
        <v/>
      </c>
      <c r="AC58" s="478"/>
      <c r="AD58" s="478"/>
      <c r="AE58" s="478"/>
    </row>
    <row r="59" spans="1:31" hidden="1" x14ac:dyDescent="0.25">
      <c r="A59" s="426"/>
      <c r="B59" s="426"/>
      <c r="C59" s="410"/>
      <c r="D59" s="376"/>
      <c r="E59" s="422" t="s">
        <v>381</v>
      </c>
      <c r="F59" s="458"/>
      <c r="G59" s="458"/>
      <c r="H59" s="458"/>
      <c r="I59" s="458"/>
      <c r="J59" s="458"/>
      <c r="K59" s="458"/>
      <c r="L59" s="458"/>
      <c r="M59" s="458"/>
      <c r="N59" s="458"/>
      <c r="O59" s="458"/>
      <c r="P59" s="426"/>
      <c r="Q59" s="426"/>
      <c r="R59" s="426"/>
      <c r="S59" s="426"/>
      <c r="T59" s="426"/>
      <c r="U59" s="426"/>
      <c r="V59" s="426"/>
      <c r="Z59" s="478"/>
      <c r="AA59" s="478"/>
      <c r="AB59" s="478"/>
      <c r="AC59" s="478"/>
      <c r="AD59" s="478"/>
      <c r="AE59" s="478"/>
    </row>
    <row r="60" spans="1:31" hidden="1" x14ac:dyDescent="0.25">
      <c r="A60" s="426" t="str">
        <f>IF(AND(F62=G62,H62=I62,J62=K62,F62="A"),"2016 - kwh",IF(AND(F62=G62,H62=I62,J62&lt;&gt;K62,F62="A"),"2017 - kwh",IF(AND(F62=G62,H62&lt;&gt;I62,F62="A"),"2018 - kwh","N/A")))</f>
        <v>N/A</v>
      </c>
      <c r="B60" s="426" t="str">
        <f>IF(AND(F62="A",G62="A"),"A","")</f>
        <v/>
      </c>
      <c r="C60" s="406" t="s">
        <v>391</v>
      </c>
      <c r="D60" s="460"/>
      <c r="E60" s="424" t="s">
        <v>379</v>
      </c>
      <c r="F60" s="459"/>
      <c r="G60" s="459"/>
      <c r="H60" s="459"/>
      <c r="I60" s="459"/>
      <c r="J60" s="459"/>
      <c r="K60" s="459"/>
      <c r="L60" s="459"/>
      <c r="M60" s="459"/>
      <c r="N60" s="459"/>
      <c r="O60" s="459"/>
      <c r="P60" s="426"/>
      <c r="Q60" s="426"/>
      <c r="R60" s="426"/>
      <c r="S60" s="426"/>
      <c r="T60" s="426"/>
      <c r="U60" s="426"/>
      <c r="V60" s="426"/>
      <c r="Z60" s="478"/>
      <c r="AA60" s="478" t="str">
        <f>IF(AND(F62=G62,H62=I62,F62="A"),"2016 - kwh","")</f>
        <v/>
      </c>
      <c r="AB60" s="478" t="str">
        <f>IF(OR(B60="2017 - kwh",B60="2018 - kwh"),"2016 - kwh","")</f>
        <v/>
      </c>
      <c r="AC60" s="478"/>
      <c r="AD60" s="478"/>
      <c r="AE60" s="478"/>
    </row>
    <row r="61" spans="1:31" hidden="1" x14ac:dyDescent="0.25">
      <c r="A61" s="426" t="str">
        <f>IF(AND(F62=G62,H62=I62,J62=K62,F62="A"),"2016 - kw",IF(AND(F62=G62,H62=I62,J62&lt;&gt;K62,F62="A"),"2017 - kw",IF(AND(F62=G62,H62&lt;&gt;I62,F62="A"),"2018 - kw","N/A")))</f>
        <v>N/A</v>
      </c>
      <c r="B61" s="426" t="str">
        <f>IF(AND(F62="A",G62="A"),"A","")</f>
        <v/>
      </c>
      <c r="C61" s="407"/>
      <c r="D61" s="420" t="str">
        <f>D60 &amp; "kW"</f>
        <v>kW</v>
      </c>
      <c r="E61" s="423" t="s">
        <v>380</v>
      </c>
      <c r="F61" s="459"/>
      <c r="G61" s="459"/>
      <c r="H61" s="459"/>
      <c r="I61" s="459"/>
      <c r="J61" s="459"/>
      <c r="K61" s="459"/>
      <c r="L61" s="459"/>
      <c r="M61" s="459"/>
      <c r="N61" s="459"/>
      <c r="O61" s="459"/>
      <c r="P61" s="426"/>
      <c r="Q61" s="426"/>
      <c r="R61" s="426"/>
      <c r="S61" s="426"/>
      <c r="T61" s="426"/>
      <c r="U61" s="426"/>
      <c r="V61" s="426"/>
      <c r="Z61" s="478"/>
      <c r="AA61" s="478" t="str">
        <f>IF(AND(F62=G62,H62=I62,F62="A"),"2016 - kw","")</f>
        <v/>
      </c>
      <c r="AB61" s="478" t="str">
        <f>IF(OR(B61="2017 - kw",B61="2018 - kw"),"2016 - kw","")</f>
        <v/>
      </c>
      <c r="AC61" s="478"/>
      <c r="AD61" s="478"/>
      <c r="AE61" s="478"/>
    </row>
    <row r="62" spans="1:31" hidden="1" x14ac:dyDescent="0.25">
      <c r="A62" s="426"/>
      <c r="B62" s="426"/>
      <c r="C62" s="410"/>
      <c r="D62" s="376"/>
      <c r="E62" s="422" t="s">
        <v>381</v>
      </c>
      <c r="F62" s="458"/>
      <c r="G62" s="458"/>
      <c r="H62" s="458"/>
      <c r="I62" s="458"/>
      <c r="J62" s="458"/>
      <c r="K62" s="458"/>
      <c r="L62" s="458"/>
      <c r="M62" s="458"/>
      <c r="N62" s="458"/>
      <c r="O62" s="458"/>
      <c r="P62" s="426"/>
      <c r="Q62" s="426"/>
      <c r="R62" s="426"/>
      <c r="S62" s="426"/>
      <c r="T62" s="426"/>
      <c r="U62" s="426"/>
      <c r="V62" s="426"/>
      <c r="Z62" s="478"/>
      <c r="AA62" s="478"/>
      <c r="AB62" s="478"/>
      <c r="AC62" s="478"/>
      <c r="AD62" s="478"/>
      <c r="AE62" s="478"/>
    </row>
    <row r="63" spans="1:31" hidden="1" x14ac:dyDescent="0.25">
      <c r="A63" s="426" t="str">
        <f>IF(AND(F65=G65,H65=I65,J65=K65,F65="A"),"2016 - kwh",IF(AND(F65=G65,H65=I65,J65&lt;&gt;K65,F65="A"),"2017 - kwh",IF(AND(F65=G65,H65&lt;&gt;I65,F65="A"),"2018 - kwh","N/A")))</f>
        <v>N/A</v>
      </c>
      <c r="B63" s="426" t="str">
        <f>IF(AND(F65="A",G65="A"),"A","")</f>
        <v/>
      </c>
      <c r="C63" s="406" t="s">
        <v>392</v>
      </c>
      <c r="D63" s="460"/>
      <c r="E63" s="424" t="s">
        <v>379</v>
      </c>
      <c r="F63" s="459"/>
      <c r="G63" s="459"/>
      <c r="H63" s="459"/>
      <c r="I63" s="459"/>
      <c r="J63" s="459"/>
      <c r="K63" s="459"/>
      <c r="L63" s="459"/>
      <c r="M63" s="459"/>
      <c r="N63" s="459"/>
      <c r="O63" s="459"/>
      <c r="P63" s="426"/>
      <c r="Q63" s="426"/>
      <c r="R63" s="426"/>
      <c r="S63" s="426"/>
      <c r="T63" s="426"/>
      <c r="U63" s="426"/>
      <c r="V63" s="426"/>
      <c r="Z63" s="478"/>
      <c r="AA63" s="478" t="str">
        <f>IF(AND(F65=G65,H65=I65,F65="A"),"2016 - kwh","")</f>
        <v/>
      </c>
      <c r="AB63" s="478" t="str">
        <f>IF(OR(B63="2017 - kwh",B63="2018 - kwh"),"2016 - kwh","")</f>
        <v/>
      </c>
      <c r="AC63" s="478"/>
      <c r="AD63" s="478"/>
      <c r="AE63" s="478"/>
    </row>
    <row r="64" spans="1:31" hidden="1" x14ac:dyDescent="0.25">
      <c r="A64" s="426" t="str">
        <f>IF(AND(F65=G65,H65=I65,J65=K65,F65="A"),"2016 - kw",IF(AND(F65=G65,H65=I65,J65&lt;&gt;K65,F65="A"),"2017 - kw",IF(AND(F65=G65,H65&lt;&gt;I65,F65="A"),"2018 - kw","N/A")))</f>
        <v>N/A</v>
      </c>
      <c r="B64" s="426" t="str">
        <f>IF(AND(F65="A",G65="A"),"A","")</f>
        <v/>
      </c>
      <c r="C64" s="407"/>
      <c r="D64" s="420" t="str">
        <f>D63 &amp; "kW"</f>
        <v>kW</v>
      </c>
      <c r="E64" s="423" t="s">
        <v>380</v>
      </c>
      <c r="F64" s="459"/>
      <c r="G64" s="459"/>
      <c r="H64" s="459"/>
      <c r="I64" s="459"/>
      <c r="J64" s="459"/>
      <c r="K64" s="459"/>
      <c r="L64" s="459"/>
      <c r="M64" s="459"/>
      <c r="N64" s="459"/>
      <c r="O64" s="459"/>
      <c r="P64" s="426"/>
      <c r="Q64" s="426"/>
      <c r="R64" s="426"/>
      <c r="S64" s="426"/>
      <c r="T64" s="426"/>
      <c r="U64" s="426"/>
      <c r="V64" s="426"/>
      <c r="Z64" s="478"/>
      <c r="AA64" s="478" t="str">
        <f>IF(AND(F65=G65,H65=I65,F65="A"),"2016 - kw","")</f>
        <v/>
      </c>
      <c r="AB64" s="478" t="str">
        <f>IF(OR(B64="2017 - kw",B64="2018 - kw"),"2016 - kw","")</f>
        <v/>
      </c>
      <c r="AC64" s="478"/>
      <c r="AD64" s="478"/>
      <c r="AE64" s="478"/>
    </row>
    <row r="65" spans="1:31" hidden="1" x14ac:dyDescent="0.25">
      <c r="A65" s="426"/>
      <c r="B65" s="426"/>
      <c r="C65" s="410"/>
      <c r="D65" s="376"/>
      <c r="E65" s="422" t="s">
        <v>381</v>
      </c>
      <c r="F65" s="458"/>
      <c r="G65" s="458"/>
      <c r="H65" s="458"/>
      <c r="I65" s="458"/>
      <c r="J65" s="458"/>
      <c r="K65" s="458"/>
      <c r="L65" s="458"/>
      <c r="M65" s="458"/>
      <c r="N65" s="458"/>
      <c r="O65" s="458"/>
      <c r="P65" s="426"/>
      <c r="Q65" s="426"/>
      <c r="R65" s="426"/>
      <c r="S65" s="426"/>
      <c r="T65" s="426"/>
      <c r="U65" s="426"/>
      <c r="V65" s="426"/>
      <c r="Z65" s="478"/>
      <c r="AA65" s="478"/>
      <c r="AB65" s="478"/>
      <c r="AC65" s="478"/>
      <c r="AD65" s="478"/>
      <c r="AE65" s="478"/>
    </row>
    <row r="66" spans="1:31" hidden="1" x14ac:dyDescent="0.25">
      <c r="A66" s="426" t="str">
        <f>IF(AND(F68=G68,H68=I68,J68=K68,F68="A"),"2016 - kwh",IF(AND(F68=G68,H68=I68,J68&lt;&gt;K68,F68="A"),"2017 - kwh",IF(AND(F68=G68,H68&lt;&gt;I68,F68="A"),"2018 - kwh","N/A")))</f>
        <v>N/A</v>
      </c>
      <c r="B66" s="426" t="str">
        <f>IF(AND(F68="A",G68="A"),"A","")</f>
        <v/>
      </c>
      <c r="C66" s="406" t="s">
        <v>393</v>
      </c>
      <c r="D66" s="460"/>
      <c r="E66" s="424" t="s">
        <v>379</v>
      </c>
      <c r="F66" s="459"/>
      <c r="G66" s="459"/>
      <c r="H66" s="459"/>
      <c r="I66" s="459"/>
      <c r="J66" s="459"/>
      <c r="K66" s="459"/>
      <c r="L66" s="459"/>
      <c r="M66" s="459"/>
      <c r="N66" s="459"/>
      <c r="O66" s="459"/>
      <c r="P66" s="426"/>
      <c r="Q66" s="426"/>
      <c r="R66" s="426"/>
      <c r="S66" s="426"/>
      <c r="T66" s="426"/>
      <c r="U66" s="426"/>
      <c r="V66" s="426"/>
      <c r="Z66" s="478"/>
      <c r="AA66" s="478" t="str">
        <f>IF(AND(F68=G68,H68=I68,F68="A"),"2016 - kwh","")</f>
        <v/>
      </c>
      <c r="AB66" s="478" t="str">
        <f>IF(OR(B66="2017 - kwh",B66="2018 - kwh"),"2016 - kwh","")</f>
        <v/>
      </c>
      <c r="AC66" s="478"/>
      <c r="AD66" s="478"/>
      <c r="AE66" s="478"/>
    </row>
    <row r="67" spans="1:31" hidden="1" x14ac:dyDescent="0.25">
      <c r="A67" s="426" t="str">
        <f>IF(AND(F68=G68,H68=I68,J68=K68,F68="A"),"2016 - kw",IF(AND(F68=G68,H68=I68,J68&lt;&gt;K68,F68="A"),"2017 - kw",IF(AND(F68=G68,H68&lt;&gt;I68,F68="A"),"2018 - kw","N/A")))</f>
        <v>N/A</v>
      </c>
      <c r="B67" s="426" t="str">
        <f>IF(AND(F68="A",G68="A"),"A","")</f>
        <v/>
      </c>
      <c r="C67" s="407"/>
      <c r="D67" s="420" t="str">
        <f>D66 &amp; "kW"</f>
        <v>kW</v>
      </c>
      <c r="E67" s="423" t="s">
        <v>380</v>
      </c>
      <c r="F67" s="459"/>
      <c r="G67" s="459"/>
      <c r="H67" s="459"/>
      <c r="I67" s="459"/>
      <c r="J67" s="459"/>
      <c r="K67" s="459"/>
      <c r="L67" s="459"/>
      <c r="M67" s="459"/>
      <c r="N67" s="459"/>
      <c r="O67" s="459"/>
      <c r="P67" s="426"/>
      <c r="Q67" s="426"/>
      <c r="R67" s="426"/>
      <c r="S67" s="426"/>
      <c r="T67" s="426"/>
      <c r="U67" s="426"/>
      <c r="V67" s="426"/>
      <c r="Z67" s="478"/>
      <c r="AA67" s="478" t="str">
        <f>IF(AND(F68=G68,H68=I68,F68="A"),"2016 - kw","")</f>
        <v/>
      </c>
      <c r="AB67" s="478" t="str">
        <f>IF(OR(B67="2017 - kw",B67="2018 - kw"),"2016 - kw","")</f>
        <v/>
      </c>
      <c r="AC67" s="478"/>
      <c r="AD67" s="478"/>
      <c r="AE67" s="478"/>
    </row>
    <row r="68" spans="1:31" hidden="1" x14ac:dyDescent="0.25">
      <c r="A68" s="426"/>
      <c r="B68" s="426"/>
      <c r="C68" s="410"/>
      <c r="D68" s="376"/>
      <c r="E68" s="422" t="s">
        <v>381</v>
      </c>
      <c r="F68" s="458"/>
      <c r="G68" s="458"/>
      <c r="H68" s="458"/>
      <c r="I68" s="458"/>
      <c r="J68" s="458"/>
      <c r="K68" s="458"/>
      <c r="L68" s="458"/>
      <c r="M68" s="458"/>
      <c r="N68" s="458"/>
      <c r="O68" s="458"/>
      <c r="P68" s="426"/>
      <c r="Q68" s="426"/>
      <c r="R68" s="426"/>
      <c r="S68" s="426"/>
      <c r="T68" s="426"/>
      <c r="U68" s="426"/>
      <c r="V68" s="426"/>
      <c r="Z68" s="478"/>
      <c r="AA68" s="478"/>
      <c r="AB68" s="478"/>
      <c r="AC68" s="478"/>
      <c r="AD68" s="478"/>
      <c r="AE68" s="478"/>
    </row>
    <row r="69" spans="1:31" hidden="1" x14ac:dyDescent="0.25">
      <c r="A69" s="426" t="str">
        <f>IF(AND(F71=G71,H71=I71,J71=K71,F71="A"),"2016 - kwh",IF(AND(F71=G71,H71=I71,J71&lt;&gt;K71,F71="A"),"2017 - kwh",IF(AND(F71=G71,H71&lt;&gt;I71,F71="A"),"2018 - kwh","N/A")))</f>
        <v>N/A</v>
      </c>
      <c r="B69" s="426" t="str">
        <f>IF(AND(F71="A",G71="A"),"A","")</f>
        <v/>
      </c>
      <c r="C69" s="406" t="s">
        <v>394</v>
      </c>
      <c r="D69" s="460"/>
      <c r="E69" s="424" t="s">
        <v>379</v>
      </c>
      <c r="F69" s="459"/>
      <c r="G69" s="459"/>
      <c r="H69" s="459"/>
      <c r="I69" s="459"/>
      <c r="J69" s="459"/>
      <c r="K69" s="459"/>
      <c r="L69" s="459"/>
      <c r="M69" s="459"/>
      <c r="N69" s="459"/>
      <c r="O69" s="459"/>
      <c r="P69" s="426"/>
      <c r="Q69" s="426"/>
      <c r="R69" s="426"/>
      <c r="S69" s="426"/>
      <c r="T69" s="426"/>
      <c r="U69" s="426"/>
      <c r="V69" s="426"/>
      <c r="Z69" s="478"/>
      <c r="AA69" s="478" t="str">
        <f>IF(AND(F71=G71,H71=I71,F71="A"),"2016 - kwh","")</f>
        <v/>
      </c>
      <c r="AB69" s="478" t="str">
        <f>IF(OR(B69="2017 - kwh",B69="2018 - kwh"),"2016 - kwh","")</f>
        <v/>
      </c>
      <c r="AC69" s="478"/>
      <c r="AD69" s="478"/>
      <c r="AE69" s="478"/>
    </row>
    <row r="70" spans="1:31" hidden="1" x14ac:dyDescent="0.25">
      <c r="A70" s="426" t="str">
        <f>IF(AND(F71=G71,H71=I71,J71=K71,F71="A"),"2016 - kw",IF(AND(F71=G71,H71=I71,J71&lt;&gt;K71,F71="A"),"2017 - kw",IF(AND(F71=G71,H71&lt;&gt;I71,F71="A"),"2018 - kw","N/A")))</f>
        <v>N/A</v>
      </c>
      <c r="B70" s="426" t="str">
        <f>IF(AND(F71="A",G71="A"),"A","")</f>
        <v/>
      </c>
      <c r="C70" s="407"/>
      <c r="D70" s="420" t="str">
        <f>D69 &amp; "kW"</f>
        <v>kW</v>
      </c>
      <c r="E70" s="423" t="s">
        <v>380</v>
      </c>
      <c r="F70" s="459"/>
      <c r="G70" s="459"/>
      <c r="H70" s="459"/>
      <c r="I70" s="459"/>
      <c r="J70" s="459"/>
      <c r="K70" s="459"/>
      <c r="L70" s="459"/>
      <c r="M70" s="459"/>
      <c r="N70" s="459"/>
      <c r="O70" s="459"/>
      <c r="P70" s="426"/>
      <c r="Q70" s="426"/>
      <c r="R70" s="426"/>
      <c r="S70" s="426"/>
      <c r="T70" s="426"/>
      <c r="U70" s="426"/>
      <c r="V70" s="426"/>
      <c r="Z70" s="478"/>
      <c r="AA70" s="478" t="str">
        <f>IF(AND(F71=G71,H71=I71,F71="A"),"2016 - kw","")</f>
        <v/>
      </c>
      <c r="AB70" s="478" t="str">
        <f>IF(OR(B70="2017 - kw",B70="2018 - kw"),"2016 - kw","")</f>
        <v/>
      </c>
      <c r="AC70" s="478"/>
      <c r="AD70" s="478"/>
      <c r="AE70" s="478"/>
    </row>
    <row r="71" spans="1:31" hidden="1" x14ac:dyDescent="0.25">
      <c r="A71" s="426"/>
      <c r="B71" s="426"/>
      <c r="C71" s="410"/>
      <c r="D71" s="376"/>
      <c r="E71" s="422" t="s">
        <v>381</v>
      </c>
      <c r="F71" s="458"/>
      <c r="G71" s="458"/>
      <c r="H71" s="458"/>
      <c r="I71" s="458"/>
      <c r="J71" s="458"/>
      <c r="K71" s="458"/>
      <c r="L71" s="458"/>
      <c r="M71" s="458"/>
      <c r="N71" s="458"/>
      <c r="O71" s="458"/>
      <c r="P71" s="426"/>
      <c r="Q71" s="426"/>
      <c r="R71" s="426"/>
      <c r="S71" s="426"/>
      <c r="T71" s="426"/>
      <c r="U71" s="426"/>
      <c r="V71" s="426"/>
      <c r="Z71" s="478"/>
      <c r="AA71" s="478"/>
      <c r="AB71" s="478"/>
      <c r="AC71" s="478"/>
      <c r="AD71" s="478"/>
      <c r="AE71" s="478"/>
    </row>
    <row r="72" spans="1:31" hidden="1" x14ac:dyDescent="0.25">
      <c r="A72" s="426" t="str">
        <f>IF(AND(F74=G74,H74=I74,J74=K74,F74="A"),"2016 - kwh",IF(AND(F74=G74,H74=I74,J74&lt;&gt;K74,F74="A"),"2017 - kwh",IF(AND(F74=G74,H74&lt;&gt;I74,F74="A"),"2018 - kwh","N/A")))</f>
        <v>N/A</v>
      </c>
      <c r="B72" s="426" t="str">
        <f>IF(AND(F74="A",G74="A"),"A","")</f>
        <v/>
      </c>
      <c r="C72" s="406" t="s">
        <v>395</v>
      </c>
      <c r="D72" s="460"/>
      <c r="E72" s="424" t="s">
        <v>379</v>
      </c>
      <c r="F72" s="459"/>
      <c r="G72" s="459"/>
      <c r="H72" s="459"/>
      <c r="I72" s="459"/>
      <c r="J72" s="459"/>
      <c r="K72" s="459"/>
      <c r="L72" s="459"/>
      <c r="M72" s="459"/>
      <c r="N72" s="459"/>
      <c r="O72" s="459"/>
      <c r="P72" s="426"/>
      <c r="Q72" s="426"/>
      <c r="R72" s="426"/>
      <c r="S72" s="426"/>
      <c r="T72" s="426"/>
      <c r="U72" s="426"/>
      <c r="V72" s="426"/>
      <c r="Z72" s="478"/>
      <c r="AA72" s="478" t="str">
        <f>IF(AND(F74=G74,H74=I74,F74="A"),"2016 - kwh","")</f>
        <v/>
      </c>
      <c r="AB72" s="478" t="str">
        <f>IF(OR(B72="2017 - kwh",B72="2018 - kwh"),"2016 - kwh","")</f>
        <v/>
      </c>
      <c r="AC72" s="478"/>
      <c r="AD72" s="478"/>
      <c r="AE72" s="478"/>
    </row>
    <row r="73" spans="1:31" hidden="1" x14ac:dyDescent="0.25">
      <c r="A73" s="426" t="str">
        <f>IF(AND(F74=G74,H74=I74,J74=K74,F74="A"),"2016 - kw",IF(AND(F74=G74,H74=I74,J74&lt;&gt;K74,F74="A"),"2017 - kw",IF(AND(F74=G74,H74&lt;&gt;I74,F74="A"),"2018 - kw","N/A")))</f>
        <v>N/A</v>
      </c>
      <c r="B73" s="426" t="str">
        <f>IF(AND(F74="A",G74="A"),"A","")</f>
        <v/>
      </c>
      <c r="C73" s="407"/>
      <c r="D73" s="420" t="str">
        <f>D72 &amp; "kW"</f>
        <v>kW</v>
      </c>
      <c r="E73" s="423" t="s">
        <v>380</v>
      </c>
      <c r="F73" s="459"/>
      <c r="G73" s="459"/>
      <c r="H73" s="459"/>
      <c r="I73" s="459"/>
      <c r="J73" s="459"/>
      <c r="K73" s="459"/>
      <c r="L73" s="459"/>
      <c r="M73" s="459"/>
      <c r="N73" s="459"/>
      <c r="O73" s="459"/>
      <c r="P73" s="426"/>
      <c r="Q73" s="426"/>
      <c r="R73" s="426"/>
      <c r="S73" s="426"/>
      <c r="T73" s="426"/>
      <c r="U73" s="426"/>
      <c r="V73" s="426"/>
      <c r="Z73" s="478"/>
      <c r="AA73" s="478" t="str">
        <f>IF(AND(F74=G74,H74=I74,F74="A"),"2016 - kw","")</f>
        <v/>
      </c>
      <c r="AB73" s="478" t="str">
        <f>IF(OR(B73="2017 - kw",B73="2018 - kw"),"2016 - kw","")</f>
        <v/>
      </c>
      <c r="AC73" s="478"/>
      <c r="AD73" s="478"/>
      <c r="AE73" s="478"/>
    </row>
    <row r="74" spans="1:31" hidden="1" x14ac:dyDescent="0.25">
      <c r="A74" s="426"/>
      <c r="B74" s="426"/>
      <c r="C74" s="410"/>
      <c r="D74" s="376"/>
      <c r="E74" s="422" t="s">
        <v>381</v>
      </c>
      <c r="F74" s="458"/>
      <c r="G74" s="458"/>
      <c r="H74" s="458"/>
      <c r="I74" s="458"/>
      <c r="J74" s="458"/>
      <c r="K74" s="458"/>
      <c r="L74" s="458"/>
      <c r="M74" s="458"/>
      <c r="N74" s="458"/>
      <c r="O74" s="458"/>
      <c r="P74" s="426"/>
      <c r="Q74" s="426"/>
      <c r="R74" s="426"/>
      <c r="S74" s="426"/>
      <c r="T74" s="426"/>
      <c r="U74" s="426"/>
      <c r="V74" s="426"/>
      <c r="Z74" s="478"/>
      <c r="AA74" s="478"/>
      <c r="AB74" s="478"/>
      <c r="AC74" s="478"/>
      <c r="AD74" s="478"/>
      <c r="AE74" s="478"/>
    </row>
    <row r="75" spans="1:31" hidden="1" x14ac:dyDescent="0.25">
      <c r="A75" s="426" t="str">
        <f>IF(AND(F77=G77,H77=I77,J77=K77,F77="A"),"2016 - kwh",IF(AND(F77=G77,H77=I77,J77&lt;&gt;K77,F77="A"),"2017 - kwh",IF(AND(F77=G77,H77&lt;&gt;I77,F77="A"),"2018 - kwh","N/A")))</f>
        <v>N/A</v>
      </c>
      <c r="B75" s="426" t="str">
        <f>IF(AND(F77="A",G77="A"),"A","")</f>
        <v/>
      </c>
      <c r="C75" s="406" t="s">
        <v>396</v>
      </c>
      <c r="D75" s="460"/>
      <c r="E75" s="424" t="s">
        <v>379</v>
      </c>
      <c r="F75" s="459"/>
      <c r="G75" s="459"/>
      <c r="H75" s="459"/>
      <c r="I75" s="459"/>
      <c r="J75" s="459"/>
      <c r="K75" s="459"/>
      <c r="L75" s="459"/>
      <c r="M75" s="459"/>
      <c r="N75" s="459"/>
      <c r="O75" s="459"/>
      <c r="P75" s="426"/>
      <c r="Q75" s="426"/>
      <c r="R75" s="426"/>
      <c r="S75" s="426"/>
      <c r="T75" s="426"/>
      <c r="U75" s="426"/>
      <c r="V75" s="426"/>
      <c r="Z75" s="478"/>
      <c r="AA75" s="478" t="str">
        <f>IF(AND(F77=G77,H77=I77,F77="A"),"2016 - kwh","")</f>
        <v/>
      </c>
      <c r="AB75" s="478" t="str">
        <f>IF(OR(B75="2017 - kwh",B75="2018 - kwh"),"2016 - kwh","")</f>
        <v/>
      </c>
      <c r="AC75" s="478"/>
      <c r="AD75" s="478"/>
      <c r="AE75" s="478"/>
    </row>
    <row r="76" spans="1:31" hidden="1" x14ac:dyDescent="0.25">
      <c r="A76" s="426" t="str">
        <f>IF(AND(F77=G77,H77=I77,J77=K77,F77="A"),"2016 - kw",IF(AND(F77=G77,H77=I77,J77&lt;&gt;K77,F77="A"),"2017 - kw",IF(AND(F77=G77,H77&lt;&gt;I77,F77="A"),"2018 - kw","N/A")))</f>
        <v>N/A</v>
      </c>
      <c r="B76" s="426" t="str">
        <f>IF(AND(F77="A",G77="A"),"A","")</f>
        <v/>
      </c>
      <c r="C76" s="407"/>
      <c r="D76" s="420" t="str">
        <f>D75 &amp; "kW"</f>
        <v>kW</v>
      </c>
      <c r="E76" s="423" t="s">
        <v>380</v>
      </c>
      <c r="F76" s="459"/>
      <c r="G76" s="459"/>
      <c r="H76" s="459"/>
      <c r="I76" s="459"/>
      <c r="J76" s="459"/>
      <c r="K76" s="459"/>
      <c r="L76" s="459"/>
      <c r="M76" s="459"/>
      <c r="N76" s="459"/>
      <c r="O76" s="459"/>
      <c r="P76" s="426"/>
      <c r="Q76" s="426"/>
      <c r="R76" s="426"/>
      <c r="S76" s="426"/>
      <c r="T76" s="426"/>
      <c r="U76" s="426"/>
      <c r="V76" s="426"/>
      <c r="Z76" s="478"/>
      <c r="AA76" s="478" t="str">
        <f>IF(AND(F77=G77,H77=I77,F77="A"),"2016 - kw","")</f>
        <v/>
      </c>
      <c r="AB76" s="478" t="str">
        <f>IF(OR(B76="2017 - kw",B76="2018 - kw"),"2016 - kw","")</f>
        <v/>
      </c>
      <c r="AC76" s="478"/>
      <c r="AD76" s="478"/>
      <c r="AE76" s="478"/>
    </row>
    <row r="77" spans="1:31" hidden="1" x14ac:dyDescent="0.25">
      <c r="A77" s="426"/>
      <c r="B77" s="426"/>
      <c r="C77" s="410"/>
      <c r="D77" s="376"/>
      <c r="E77" s="422" t="s">
        <v>381</v>
      </c>
      <c r="F77" s="458"/>
      <c r="G77" s="458"/>
      <c r="H77" s="458"/>
      <c r="I77" s="458"/>
      <c r="J77" s="458"/>
      <c r="K77" s="458"/>
      <c r="L77" s="458"/>
      <c r="M77" s="458"/>
      <c r="N77" s="458"/>
      <c r="O77" s="458"/>
      <c r="P77" s="426"/>
      <c r="Q77" s="426"/>
      <c r="R77" s="426"/>
      <c r="S77" s="426"/>
      <c r="T77" s="426"/>
      <c r="U77" s="426"/>
      <c r="V77" s="426"/>
      <c r="Z77" s="478"/>
      <c r="AA77" s="478"/>
      <c r="AB77" s="478"/>
      <c r="AC77" s="478"/>
      <c r="AD77" s="478"/>
      <c r="AE77" s="478"/>
    </row>
    <row r="78" spans="1:31" hidden="1" x14ac:dyDescent="0.25">
      <c r="A78" s="426" t="str">
        <f>IF(AND(F80=G80,H80=I80,J80=K80,F80="A"),"2016 - kwh",IF(AND(F80=G80,H80=I80,J80&lt;&gt;K80,F80="A"),"2017 - kwh",IF(AND(F80=G80,H80&lt;&gt;I80,F80="A"),"2018 - kwh","N/A")))</f>
        <v>N/A</v>
      </c>
      <c r="B78" s="426" t="str">
        <f>IF(AND(F80="A",G80="A"),"A","")</f>
        <v/>
      </c>
      <c r="C78" s="406" t="s">
        <v>397</v>
      </c>
      <c r="D78" s="460"/>
      <c r="E78" s="424" t="s">
        <v>379</v>
      </c>
      <c r="F78" s="459"/>
      <c r="G78" s="459"/>
      <c r="H78" s="459"/>
      <c r="I78" s="459"/>
      <c r="J78" s="459"/>
      <c r="K78" s="459"/>
      <c r="L78" s="459"/>
      <c r="M78" s="459"/>
      <c r="N78" s="459"/>
      <c r="O78" s="459"/>
      <c r="P78" s="426"/>
      <c r="Q78" s="426"/>
      <c r="R78" s="426"/>
      <c r="S78" s="426"/>
      <c r="T78" s="426"/>
      <c r="U78" s="426"/>
      <c r="V78" s="426"/>
      <c r="Z78" s="478"/>
      <c r="AA78" s="478" t="str">
        <f>IF(AND(F80=G80,H80=I80,F80="A"),"2016 - kwh","")</f>
        <v/>
      </c>
      <c r="AB78" s="478" t="str">
        <f>IF(OR(B78="2017 - kwh",B78="2018 - kwh"),"2016 - kwh","")</f>
        <v/>
      </c>
      <c r="AC78" s="478"/>
      <c r="AD78" s="478"/>
      <c r="AE78" s="478"/>
    </row>
    <row r="79" spans="1:31" hidden="1" x14ac:dyDescent="0.25">
      <c r="A79" s="426" t="str">
        <f>IF(AND(F80=G80,H80=I80,J80=K80,F80="A"),"2016 - kw",IF(AND(F80=G80,H80=I80,J80&lt;&gt;K80,F80="A"),"2017 - kw",IF(AND(F80=G80,H80&lt;&gt;I80,F80="A"),"2018 - kw","N/A")))</f>
        <v>N/A</v>
      </c>
      <c r="B79" s="426" t="str">
        <f>IF(AND(F80="A",G80="A"),"A","")</f>
        <v/>
      </c>
      <c r="C79" s="407"/>
      <c r="D79" s="420" t="str">
        <f>D78 &amp; "kW"</f>
        <v>kW</v>
      </c>
      <c r="E79" s="423" t="s">
        <v>380</v>
      </c>
      <c r="F79" s="459"/>
      <c r="G79" s="459"/>
      <c r="H79" s="459"/>
      <c r="I79" s="459"/>
      <c r="J79" s="459"/>
      <c r="K79" s="459"/>
      <c r="L79" s="459"/>
      <c r="M79" s="459"/>
      <c r="N79" s="459"/>
      <c r="O79" s="459"/>
      <c r="P79" s="426"/>
      <c r="Q79" s="426"/>
      <c r="R79" s="426"/>
      <c r="S79" s="426"/>
      <c r="T79" s="426"/>
      <c r="U79" s="426"/>
      <c r="V79" s="426"/>
      <c r="Z79" s="478"/>
      <c r="AA79" s="478" t="str">
        <f>IF(AND(F80=G80,H80=I80,F80="A"),"2016 - kw","")</f>
        <v/>
      </c>
      <c r="AB79" s="478" t="str">
        <f>IF(OR(B79="2017 - kw",B79="2018 - kw"),"2016 - kw","")</f>
        <v/>
      </c>
      <c r="AC79" s="478"/>
      <c r="AD79" s="478"/>
      <c r="AE79" s="478"/>
    </row>
    <row r="80" spans="1:31" hidden="1" x14ac:dyDescent="0.25">
      <c r="A80" s="426"/>
      <c r="B80" s="426"/>
      <c r="C80" s="410"/>
      <c r="D80" s="376"/>
      <c r="E80" s="422" t="s">
        <v>381</v>
      </c>
      <c r="F80" s="458"/>
      <c r="G80" s="458"/>
      <c r="H80" s="458"/>
      <c r="I80" s="458"/>
      <c r="J80" s="458"/>
      <c r="K80" s="458"/>
      <c r="L80" s="458"/>
      <c r="M80" s="458"/>
      <c r="N80" s="458"/>
      <c r="O80" s="458"/>
      <c r="P80" s="426"/>
      <c r="Q80" s="426"/>
      <c r="R80" s="426"/>
      <c r="S80" s="426"/>
      <c r="T80" s="426"/>
      <c r="U80" s="426"/>
      <c r="V80" s="426"/>
      <c r="Z80" s="478"/>
      <c r="AA80" s="478"/>
      <c r="AB80" s="478"/>
      <c r="AC80" s="478"/>
      <c r="AD80" s="478"/>
      <c r="AE80" s="478"/>
    </row>
    <row r="81" spans="1:31" hidden="1" x14ac:dyDescent="0.25">
      <c r="A81" s="426" t="str">
        <f>IF(AND(F83=G83,H83=I83,J83=K83,F83="A"),"2016 - kwh",IF(AND(F83=G83,H83=I83,J83&lt;&gt;K83,F83="A"),"2017 - kwh",IF(AND(F83=G83,H83&lt;&gt;I83,F83="A"),"2018 - kwh","N/A")))</f>
        <v>N/A</v>
      </c>
      <c r="B81" s="426" t="str">
        <f>IF(AND(F83="A",G83="A"),"A","")</f>
        <v/>
      </c>
      <c r="C81" s="406" t="s">
        <v>398</v>
      </c>
      <c r="D81" s="460"/>
      <c r="E81" s="424" t="s">
        <v>379</v>
      </c>
      <c r="F81" s="459"/>
      <c r="G81" s="459"/>
      <c r="H81" s="459"/>
      <c r="I81" s="459"/>
      <c r="J81" s="459"/>
      <c r="K81" s="459"/>
      <c r="L81" s="459"/>
      <c r="M81" s="459"/>
      <c r="N81" s="459"/>
      <c r="O81" s="459"/>
      <c r="P81" s="426"/>
      <c r="Q81" s="426"/>
      <c r="R81" s="426"/>
      <c r="S81" s="426"/>
      <c r="T81" s="426"/>
      <c r="U81" s="426"/>
      <c r="V81" s="426"/>
      <c r="Z81" s="478"/>
      <c r="AA81" s="478" t="str">
        <f>IF(AND(F83=G83,H83=I83,F83="A"),"2016 - kwh","")</f>
        <v/>
      </c>
      <c r="AB81" s="478" t="str">
        <f>IF(OR(B81="2017 - kwh",B81="2018 - kwh"),"2016 - kwh","")</f>
        <v/>
      </c>
      <c r="AC81" s="478"/>
      <c r="AD81" s="478"/>
      <c r="AE81" s="478"/>
    </row>
    <row r="82" spans="1:31" hidden="1" x14ac:dyDescent="0.25">
      <c r="A82" s="426" t="str">
        <f>IF(AND(F83=G83,H83=I83,J83=K83,F83="A"),"2016 - kw",IF(AND(F83=G83,H83=I83,J83&lt;&gt;K83,F83="A"),"2017 - kw",IF(AND(F83=G83,H83&lt;&gt;I83,F83="A"),"2018 - kw","N/A")))</f>
        <v>N/A</v>
      </c>
      <c r="B82" s="426" t="str">
        <f>IF(AND(F83="A",G83="A"),"A","")</f>
        <v/>
      </c>
      <c r="C82" s="407"/>
      <c r="D82" s="420" t="str">
        <f>D81 &amp; "kW"</f>
        <v>kW</v>
      </c>
      <c r="E82" s="423" t="s">
        <v>380</v>
      </c>
      <c r="F82" s="459"/>
      <c r="G82" s="459"/>
      <c r="H82" s="459"/>
      <c r="I82" s="459"/>
      <c r="J82" s="459"/>
      <c r="K82" s="459"/>
      <c r="L82" s="459"/>
      <c r="M82" s="459"/>
      <c r="N82" s="459"/>
      <c r="O82" s="459"/>
      <c r="P82" s="426"/>
      <c r="Q82" s="426"/>
      <c r="R82" s="426"/>
      <c r="S82" s="426"/>
      <c r="T82" s="426"/>
      <c r="U82" s="426"/>
      <c r="V82" s="426"/>
      <c r="Z82" s="478"/>
      <c r="AA82" s="478" t="str">
        <f>IF(AND(F83=G83,H83=I83,F83="A"),"2016 - kw","")</f>
        <v/>
      </c>
      <c r="AB82" s="478" t="str">
        <f>IF(OR(B82="2017 - kw",B82="2018 - kw"),"2016 - kw","")</f>
        <v/>
      </c>
      <c r="AC82" s="478"/>
      <c r="AD82" s="478"/>
      <c r="AE82" s="478"/>
    </row>
    <row r="83" spans="1:31" hidden="1" x14ac:dyDescent="0.25">
      <c r="A83" s="426"/>
      <c r="B83" s="426"/>
      <c r="C83" s="410"/>
      <c r="D83" s="376"/>
      <c r="E83" s="422" t="s">
        <v>381</v>
      </c>
      <c r="F83" s="458"/>
      <c r="G83" s="458"/>
      <c r="H83" s="458"/>
      <c r="I83" s="458"/>
      <c r="J83" s="458"/>
      <c r="K83" s="458"/>
      <c r="L83" s="458"/>
      <c r="M83" s="458"/>
      <c r="N83" s="458"/>
      <c r="O83" s="458"/>
      <c r="P83" s="426"/>
      <c r="Q83" s="426"/>
      <c r="R83" s="426"/>
      <c r="S83" s="426"/>
      <c r="T83" s="426"/>
      <c r="U83" s="426"/>
      <c r="V83" s="426"/>
      <c r="Z83" s="478"/>
      <c r="AA83" s="478"/>
      <c r="AB83" s="478"/>
      <c r="AC83" s="478"/>
      <c r="AD83" s="478"/>
      <c r="AE83" s="478"/>
    </row>
    <row r="84" spans="1:31" hidden="1" x14ac:dyDescent="0.25">
      <c r="A84" s="426" t="str">
        <f>IF(AND(F86=G86,H86=I86,J86=K86,F86="A"),"2016 - kwh",IF(AND(F86=G86,H86=I86,J86&lt;&gt;K86,F86="A"),"2017 - kwh",IF(AND(F86=G86,H86&lt;&gt;I86,F86="A"),"2018 - kwh","N/A")))</f>
        <v>N/A</v>
      </c>
      <c r="B84" s="426" t="str">
        <f>IF(AND(F86="A",G86="A"),"A","")</f>
        <v/>
      </c>
      <c r="C84" s="406" t="s">
        <v>399</v>
      </c>
      <c r="D84" s="460"/>
      <c r="E84" s="424" t="s">
        <v>379</v>
      </c>
      <c r="F84" s="459"/>
      <c r="G84" s="459"/>
      <c r="H84" s="459"/>
      <c r="I84" s="459"/>
      <c r="J84" s="459"/>
      <c r="K84" s="459"/>
      <c r="L84" s="459"/>
      <c r="M84" s="459"/>
      <c r="N84" s="459"/>
      <c r="O84" s="459"/>
      <c r="P84" s="426"/>
      <c r="Q84" s="426"/>
      <c r="R84" s="426"/>
      <c r="S84" s="426"/>
      <c r="T84" s="426"/>
      <c r="U84" s="426"/>
      <c r="V84" s="426"/>
      <c r="Z84" s="478"/>
      <c r="AA84" s="478" t="str">
        <f>IF(AND(F86=G86,H86=I86,F86="A"),"2016 - kwh","")</f>
        <v/>
      </c>
      <c r="AB84" s="478" t="str">
        <f>IF(OR(B84="2017 - kwh",B84="2018 - kwh"),"2016 - kwh","")</f>
        <v/>
      </c>
      <c r="AC84" s="478"/>
      <c r="AD84" s="478"/>
      <c r="AE84" s="478"/>
    </row>
    <row r="85" spans="1:31" hidden="1" x14ac:dyDescent="0.25">
      <c r="A85" s="426" t="str">
        <f>IF(AND(F86=G86,H86=I86,J86=K86,F86="A"),"2016 - kw",IF(AND(F86=G86,H86=I86,J86&lt;&gt;K86,F86="A"),"2017 - kw",IF(AND(F86=G86,H86&lt;&gt;I86,F86="A"),"2018 - kw","N/A")))</f>
        <v>N/A</v>
      </c>
      <c r="B85" s="426" t="str">
        <f>IF(AND(F86="A",G86="A"),"A","")</f>
        <v/>
      </c>
      <c r="C85" s="407"/>
      <c r="D85" s="420" t="str">
        <f>D84 &amp; "kW"</f>
        <v>kW</v>
      </c>
      <c r="E85" s="423" t="s">
        <v>380</v>
      </c>
      <c r="F85" s="459"/>
      <c r="G85" s="459"/>
      <c r="H85" s="459"/>
      <c r="I85" s="459"/>
      <c r="J85" s="459"/>
      <c r="K85" s="459"/>
      <c r="L85" s="459"/>
      <c r="M85" s="459"/>
      <c r="N85" s="459"/>
      <c r="O85" s="459"/>
      <c r="P85" s="426"/>
      <c r="Q85" s="426"/>
      <c r="R85" s="426"/>
      <c r="S85" s="426"/>
      <c r="T85" s="426"/>
      <c r="U85" s="426"/>
      <c r="V85" s="426"/>
      <c r="Z85" s="478"/>
      <c r="AA85" s="478" t="str">
        <f>IF(AND(F86=G86,H86=I86,F86="A"),"2016 - kw","")</f>
        <v/>
      </c>
      <c r="AB85" s="478" t="str">
        <f>IF(OR(B85="2017 - kw",B85="2018 - kw"),"2016 - kw","")</f>
        <v/>
      </c>
      <c r="AC85" s="478"/>
      <c r="AD85" s="478"/>
      <c r="AE85" s="478"/>
    </row>
    <row r="86" spans="1:31" hidden="1" x14ac:dyDescent="0.25">
      <c r="A86" s="426"/>
      <c r="B86" s="426"/>
      <c r="C86" s="410"/>
      <c r="D86" s="376"/>
      <c r="E86" s="422" t="s">
        <v>381</v>
      </c>
      <c r="F86" s="458"/>
      <c r="G86" s="458"/>
      <c r="H86" s="458"/>
      <c r="I86" s="458"/>
      <c r="J86" s="458"/>
      <c r="K86" s="458"/>
      <c r="L86" s="458"/>
      <c r="M86" s="458"/>
      <c r="N86" s="458"/>
      <c r="O86" s="458"/>
      <c r="P86" s="426"/>
      <c r="Q86" s="426"/>
      <c r="R86" s="426"/>
      <c r="S86" s="426"/>
      <c r="T86" s="426"/>
      <c r="U86" s="426"/>
      <c r="V86" s="426"/>
      <c r="Z86" s="478"/>
      <c r="AA86" s="478"/>
      <c r="AB86" s="478"/>
      <c r="AC86" s="478"/>
      <c r="AD86" s="478"/>
      <c r="AE86" s="478"/>
    </row>
    <row r="87" spans="1:31" hidden="1" x14ac:dyDescent="0.25">
      <c r="A87" s="426" t="str">
        <f>IF(AND(F89=G89,H89=I89,J89=K89,F89="A"),"2016 - kwh",IF(AND(F89=G89,H89=I89,J89&lt;&gt;K89,F89="A"),"2017 - kwh",IF(AND(F89=G89,H89&lt;&gt;I89,F89="A"),"2018 - kwh","N/A")))</f>
        <v>N/A</v>
      </c>
      <c r="B87" s="426" t="str">
        <f>IF(AND(F89="A",G89="A"),"A","")</f>
        <v/>
      </c>
      <c r="C87" s="406" t="s">
        <v>400</v>
      </c>
      <c r="D87" s="460"/>
      <c r="E87" s="424" t="s">
        <v>379</v>
      </c>
      <c r="F87" s="459"/>
      <c r="G87" s="459"/>
      <c r="H87" s="459"/>
      <c r="I87" s="459"/>
      <c r="J87" s="459"/>
      <c r="K87" s="459"/>
      <c r="L87" s="459"/>
      <c r="M87" s="459"/>
      <c r="N87" s="459"/>
      <c r="O87" s="459"/>
      <c r="P87" s="426"/>
      <c r="Q87" s="426"/>
      <c r="R87" s="426"/>
      <c r="S87" s="426"/>
      <c r="T87" s="426"/>
      <c r="U87" s="426"/>
      <c r="V87" s="426"/>
      <c r="Z87" s="478"/>
      <c r="AA87" s="478" t="str">
        <f>IF(AND(F89=G89,H89=I89,F89="A"),"2016 - kwh","")</f>
        <v/>
      </c>
      <c r="AB87" s="478" t="str">
        <f>IF(OR(B87="2017 - kwh",B87="2018 - kwh"),"2016 - kwh","")</f>
        <v/>
      </c>
      <c r="AC87" s="478"/>
      <c r="AD87" s="478"/>
      <c r="AE87" s="478"/>
    </row>
    <row r="88" spans="1:31" hidden="1" x14ac:dyDescent="0.25">
      <c r="A88" s="426" t="str">
        <f>IF(AND(F89=G89,H89=I89,J89=K89,F89="A"),"2016 - kw",IF(AND(F89=G89,H89=I89,J89&lt;&gt;K89,F89="A"),"2017 - kw",IF(AND(F89=G89,H89&lt;&gt;I89,F89="A"),"2018 - kw","N/A")))</f>
        <v>N/A</v>
      </c>
      <c r="B88" s="426" t="str">
        <f>IF(AND(F89="A",G89="A"),"A","")</f>
        <v/>
      </c>
      <c r="C88" s="407"/>
      <c r="D88" s="420" t="str">
        <f>D87 &amp; "kW"</f>
        <v>kW</v>
      </c>
      <c r="E88" s="423" t="s">
        <v>380</v>
      </c>
      <c r="F88" s="459"/>
      <c r="G88" s="459"/>
      <c r="H88" s="459"/>
      <c r="I88" s="459"/>
      <c r="J88" s="459"/>
      <c r="K88" s="459"/>
      <c r="L88" s="459"/>
      <c r="M88" s="459"/>
      <c r="N88" s="459"/>
      <c r="O88" s="459"/>
      <c r="P88" s="426"/>
      <c r="Q88" s="426"/>
      <c r="R88" s="426"/>
      <c r="S88" s="426"/>
      <c r="T88" s="426"/>
      <c r="U88" s="426"/>
      <c r="V88" s="426"/>
      <c r="Z88" s="478"/>
      <c r="AA88" s="478" t="str">
        <f>IF(AND(F89=G89,H89=I89,F89="A"),"2016 - kw","")</f>
        <v/>
      </c>
      <c r="AB88" s="478" t="str">
        <f>IF(OR(B88="2017 - kw",B88="2018 - kw"),"2016 - kw","")</f>
        <v/>
      </c>
      <c r="AC88" s="478"/>
      <c r="AD88" s="478"/>
      <c r="AE88" s="478"/>
    </row>
    <row r="89" spans="1:31" hidden="1" x14ac:dyDescent="0.25">
      <c r="A89" s="426"/>
      <c r="B89" s="426"/>
      <c r="C89" s="410"/>
      <c r="D89" s="376"/>
      <c r="E89" s="422" t="s">
        <v>381</v>
      </c>
      <c r="F89" s="458"/>
      <c r="G89" s="458"/>
      <c r="H89" s="458"/>
      <c r="I89" s="458"/>
      <c r="J89" s="458"/>
      <c r="K89" s="458"/>
      <c r="L89" s="458"/>
      <c r="M89" s="458"/>
      <c r="N89" s="458"/>
      <c r="O89" s="458"/>
      <c r="P89" s="426"/>
      <c r="Q89" s="426"/>
      <c r="R89" s="426"/>
      <c r="S89" s="426"/>
      <c r="T89" s="426"/>
      <c r="U89" s="426"/>
      <c r="V89" s="426"/>
      <c r="Z89" s="478"/>
      <c r="AA89" s="478"/>
      <c r="AB89" s="478"/>
      <c r="AC89" s="478"/>
      <c r="AD89" s="478"/>
      <c r="AE89" s="478"/>
    </row>
    <row r="90" spans="1:31" hidden="1" x14ac:dyDescent="0.25">
      <c r="A90" s="426" t="str">
        <f>IF(AND(F92=G92,H92=I92,J92=K92,F92="A"),"2016 - kwh",IF(AND(F92=G92,H92=I92,J92&lt;&gt;K92,F92="A"),"2017 - kwh",IF(AND(F92=G92,H92&lt;&gt;I92,F92="A"),"2018 - kwh","N/A")))</f>
        <v>N/A</v>
      </c>
      <c r="B90" s="426" t="str">
        <f>IF(AND(F92="A",G92="A"),"A","")</f>
        <v/>
      </c>
      <c r="C90" s="406" t="s">
        <v>401</v>
      </c>
      <c r="D90" s="460"/>
      <c r="E90" s="424" t="s">
        <v>379</v>
      </c>
      <c r="F90" s="459"/>
      <c r="G90" s="459"/>
      <c r="H90" s="459"/>
      <c r="I90" s="459"/>
      <c r="J90" s="459"/>
      <c r="K90" s="459"/>
      <c r="L90" s="459"/>
      <c r="M90" s="459"/>
      <c r="N90" s="459"/>
      <c r="O90" s="459"/>
      <c r="P90" s="426"/>
      <c r="Q90" s="426"/>
      <c r="R90" s="426"/>
      <c r="S90" s="426"/>
      <c r="T90" s="426"/>
      <c r="U90" s="426"/>
      <c r="V90" s="426"/>
      <c r="Z90" s="478"/>
      <c r="AA90" s="478" t="str">
        <f>IF(AND(F92=G92,H92=I92,F92="A"),"2016 - kwh","")</f>
        <v/>
      </c>
      <c r="AB90" s="478" t="str">
        <f>IF(OR(B90="2017 - kwh",B90="2018 - kwh"),"2016 - kwh","")</f>
        <v/>
      </c>
      <c r="AC90" s="478"/>
      <c r="AD90" s="478"/>
      <c r="AE90" s="478"/>
    </row>
    <row r="91" spans="1:31" hidden="1" x14ac:dyDescent="0.25">
      <c r="A91" s="426" t="str">
        <f>IF(AND(F92=G92,H92=I92,J92=K92,F92="A"),"2016 - kw",IF(AND(F92=G92,H92=I92,J92&lt;&gt;K92,F92="A"),"2017 - kw",IF(AND(F92=G92,H92&lt;&gt;I92,F92="A"),"2018 - kw","N/A")))</f>
        <v>N/A</v>
      </c>
      <c r="B91" s="426" t="str">
        <f>IF(AND(F92="A",G92="A"),"A","")</f>
        <v/>
      </c>
      <c r="C91" s="407"/>
      <c r="D91" s="420" t="str">
        <f>D90 &amp; "kW"</f>
        <v>kW</v>
      </c>
      <c r="E91" s="423" t="s">
        <v>380</v>
      </c>
      <c r="F91" s="459"/>
      <c r="G91" s="459"/>
      <c r="H91" s="459"/>
      <c r="I91" s="459"/>
      <c r="J91" s="459"/>
      <c r="K91" s="459"/>
      <c r="L91" s="459"/>
      <c r="M91" s="459"/>
      <c r="N91" s="459"/>
      <c r="O91" s="459"/>
      <c r="P91" s="426"/>
      <c r="Q91" s="426"/>
      <c r="R91" s="426"/>
      <c r="S91" s="426"/>
      <c r="T91" s="426"/>
      <c r="U91" s="426"/>
      <c r="V91" s="426"/>
      <c r="Z91" s="478"/>
      <c r="AA91" s="478" t="str">
        <f>IF(AND(F92=G92,H92=I92,F92="A"),"2016 - kw","")</f>
        <v/>
      </c>
      <c r="AB91" s="478" t="str">
        <f>IF(OR(B91="2017 - kw",B91="2018 - kw"),"2016 - kw","")</f>
        <v/>
      </c>
      <c r="AC91" s="478"/>
      <c r="AD91" s="478"/>
      <c r="AE91" s="478"/>
    </row>
    <row r="92" spans="1:31" hidden="1" x14ac:dyDescent="0.25">
      <c r="A92" s="426"/>
      <c r="B92" s="426"/>
      <c r="C92" s="410"/>
      <c r="D92" s="376"/>
      <c r="E92" s="422" t="s">
        <v>381</v>
      </c>
      <c r="F92" s="458"/>
      <c r="G92" s="458"/>
      <c r="H92" s="458"/>
      <c r="I92" s="458"/>
      <c r="J92" s="458"/>
      <c r="K92" s="458"/>
      <c r="L92" s="458"/>
      <c r="M92" s="458"/>
      <c r="N92" s="458"/>
      <c r="O92" s="458"/>
      <c r="P92" s="426"/>
      <c r="Q92" s="426"/>
      <c r="R92" s="426"/>
      <c r="S92" s="426"/>
      <c r="T92" s="426"/>
      <c r="U92" s="426"/>
      <c r="V92" s="426"/>
      <c r="Z92" s="478"/>
      <c r="AA92" s="478"/>
      <c r="AB92" s="478"/>
      <c r="AC92" s="478"/>
      <c r="AD92" s="478"/>
      <c r="AE92" s="478"/>
    </row>
    <row r="93" spans="1:31" hidden="1" x14ac:dyDescent="0.25">
      <c r="A93" s="426" t="str">
        <f>IF(AND(F95=G95,H95=I95,J95=K95,F95="A"),"2016 - kwh",IF(AND(F95=G95,H95=I95,J95&lt;&gt;K95,F95="A"),"2017 - kwh",IF(AND(F95=G95,H95&lt;&gt;I95,F95="A"),"2018 - kwh","N/A")))</f>
        <v>N/A</v>
      </c>
      <c r="B93" s="426" t="str">
        <f>IF(AND(F95="A",G95="A"),"A","")</f>
        <v/>
      </c>
      <c r="C93" s="406" t="s">
        <v>402</v>
      </c>
      <c r="D93" s="460"/>
      <c r="E93" s="424" t="s">
        <v>379</v>
      </c>
      <c r="F93" s="459"/>
      <c r="G93" s="459"/>
      <c r="H93" s="459"/>
      <c r="I93" s="459"/>
      <c r="J93" s="459"/>
      <c r="K93" s="459"/>
      <c r="L93" s="459"/>
      <c r="M93" s="459"/>
      <c r="N93" s="459"/>
      <c r="O93" s="459"/>
      <c r="P93" s="426"/>
      <c r="Q93" s="426"/>
      <c r="R93" s="426"/>
      <c r="S93" s="426"/>
      <c r="T93" s="426"/>
      <c r="U93" s="426"/>
      <c r="V93" s="426"/>
      <c r="Z93" s="478"/>
      <c r="AA93" s="478" t="str">
        <f>IF(AND(F95=G95,H95=I95,F95="A"),"2016 - kwh","")</f>
        <v/>
      </c>
      <c r="AB93" s="478" t="str">
        <f>IF(OR(B93="2017 - kwh",B93="2018 - kwh"),"2016 - kwh","")</f>
        <v/>
      </c>
      <c r="AC93" s="478"/>
      <c r="AD93" s="478"/>
      <c r="AE93" s="478"/>
    </row>
    <row r="94" spans="1:31" hidden="1" x14ac:dyDescent="0.25">
      <c r="A94" s="426" t="str">
        <f>IF(AND(F95=G95,H95=I95,J95=K95,F95="A"),"2016 - kw",IF(AND(F95=G95,H95=I95,J95&lt;&gt;K95,F95="A"),"2017 - kw",IF(AND(F95=G95,H95&lt;&gt;I95,F95="A"),"2018 - kw","N/A")))</f>
        <v>N/A</v>
      </c>
      <c r="B94" s="426" t="str">
        <f>IF(AND(F95="A",G95="A"),"A","")</f>
        <v/>
      </c>
      <c r="C94" s="407"/>
      <c r="D94" s="420" t="str">
        <f>D93 &amp; "kW"</f>
        <v>kW</v>
      </c>
      <c r="E94" s="423" t="s">
        <v>380</v>
      </c>
      <c r="F94" s="459"/>
      <c r="G94" s="459"/>
      <c r="H94" s="459"/>
      <c r="I94" s="459"/>
      <c r="J94" s="459"/>
      <c r="K94" s="459"/>
      <c r="L94" s="459"/>
      <c r="M94" s="459"/>
      <c r="N94" s="459"/>
      <c r="O94" s="459"/>
      <c r="P94" s="426"/>
      <c r="Q94" s="426"/>
      <c r="R94" s="426"/>
      <c r="S94" s="426"/>
      <c r="T94" s="426"/>
      <c r="U94" s="426"/>
      <c r="V94" s="426"/>
      <c r="Z94" s="478"/>
      <c r="AA94" s="478" t="str">
        <f>IF(AND(F95=G95,H95=I95,F95="A"),"2016 - kw","")</f>
        <v/>
      </c>
      <c r="AB94" s="478" t="str">
        <f>IF(OR(B94="2017 - kw",B94="2018 - kw"),"2016 - kw","")</f>
        <v/>
      </c>
      <c r="AC94" s="478"/>
      <c r="AD94" s="478"/>
      <c r="AE94" s="478"/>
    </row>
    <row r="95" spans="1:31" hidden="1" x14ac:dyDescent="0.25">
      <c r="A95" s="426"/>
      <c r="B95" s="426"/>
      <c r="C95" s="410"/>
      <c r="D95" s="376"/>
      <c r="E95" s="422" t="s">
        <v>381</v>
      </c>
      <c r="F95" s="458"/>
      <c r="G95" s="458"/>
      <c r="H95" s="458"/>
      <c r="I95" s="458"/>
      <c r="J95" s="458"/>
      <c r="K95" s="458"/>
      <c r="L95" s="458"/>
      <c r="M95" s="458"/>
      <c r="N95" s="458"/>
      <c r="O95" s="458"/>
      <c r="P95" s="426"/>
      <c r="Q95" s="426"/>
      <c r="R95" s="426"/>
      <c r="S95" s="426"/>
      <c r="T95" s="426"/>
      <c r="U95" s="426"/>
      <c r="V95" s="426"/>
      <c r="Z95" s="478"/>
      <c r="AA95" s="478"/>
      <c r="AB95" s="478"/>
      <c r="AC95" s="478"/>
      <c r="AD95" s="478"/>
      <c r="AE95" s="478"/>
    </row>
    <row r="96" spans="1:31" hidden="1" x14ac:dyDescent="0.25">
      <c r="A96" s="426" t="str">
        <f>IF(AND(F98=G98,H98=I98,J98=K98,F98="A"),"2016 - kwh",IF(AND(F98=G98,H98=I98,J98&lt;&gt;K98,F98="A"),"2017 - kwh",IF(AND(F98=G98,H98&lt;&gt;I98,F98="A"),"2018 - kwh","N/A")))</f>
        <v>N/A</v>
      </c>
      <c r="B96" s="426" t="str">
        <f>IF(AND(F98="A",G98="A"),"A","")</f>
        <v/>
      </c>
      <c r="C96" s="406" t="s">
        <v>403</v>
      </c>
      <c r="D96" s="460"/>
      <c r="E96" s="424" t="s">
        <v>379</v>
      </c>
      <c r="F96" s="459"/>
      <c r="G96" s="459"/>
      <c r="H96" s="459"/>
      <c r="I96" s="459"/>
      <c r="J96" s="459"/>
      <c r="K96" s="459"/>
      <c r="L96" s="459"/>
      <c r="M96" s="459"/>
      <c r="N96" s="459"/>
      <c r="O96" s="459"/>
      <c r="P96" s="426"/>
      <c r="Q96" s="426"/>
      <c r="R96" s="426"/>
      <c r="S96" s="426"/>
      <c r="T96" s="426"/>
      <c r="U96" s="426"/>
      <c r="V96" s="426"/>
      <c r="Z96" s="478"/>
      <c r="AA96" s="478" t="str">
        <f>IF(AND(F98=G98,H98=I98,F98="A"),"2016 - kwh","")</f>
        <v/>
      </c>
      <c r="AB96" s="478" t="str">
        <f>IF(OR(B96="2017 - kwh",B96="2018 - kwh"),"2016 - kwh","")</f>
        <v/>
      </c>
      <c r="AC96" s="478"/>
      <c r="AD96" s="478"/>
      <c r="AE96" s="478"/>
    </row>
    <row r="97" spans="1:31" hidden="1" x14ac:dyDescent="0.25">
      <c r="A97" s="426" t="str">
        <f>IF(AND(F98=G98,H98=I98,J98=K98,F98="A"),"2016 - kw",IF(AND(F98=G98,H98=I98,J98&lt;&gt;K98,F98="A"),"2017 - kw",IF(AND(F98=G98,H98&lt;&gt;I98,F98="A"),"2018 - kw","N/A")))</f>
        <v>N/A</v>
      </c>
      <c r="B97" s="426" t="str">
        <f>IF(AND(F98="A",G98="A"),"A","")</f>
        <v/>
      </c>
      <c r="C97" s="407"/>
      <c r="D97" s="420" t="str">
        <f>D96 &amp; "kW"</f>
        <v>kW</v>
      </c>
      <c r="E97" s="423" t="s">
        <v>380</v>
      </c>
      <c r="F97" s="459"/>
      <c r="G97" s="459"/>
      <c r="H97" s="459"/>
      <c r="I97" s="459"/>
      <c r="J97" s="459"/>
      <c r="K97" s="459"/>
      <c r="L97" s="459"/>
      <c r="M97" s="459"/>
      <c r="N97" s="459"/>
      <c r="O97" s="459"/>
      <c r="P97" s="426"/>
      <c r="Q97" s="426"/>
      <c r="R97" s="426"/>
      <c r="S97" s="426"/>
      <c r="T97" s="426"/>
      <c r="U97" s="426"/>
      <c r="V97" s="426"/>
      <c r="Z97" s="478"/>
      <c r="AA97" s="478" t="str">
        <f>IF(AND(F98=G98,H98=I98,F98="A"),"2016 - kw","")</f>
        <v/>
      </c>
      <c r="AB97" s="478" t="str">
        <f>IF(OR(B97="2017 - kw",B97="2018 - kw"),"2016 - kw","")</f>
        <v/>
      </c>
      <c r="AC97" s="478"/>
      <c r="AD97" s="478"/>
      <c r="AE97" s="478"/>
    </row>
    <row r="98" spans="1:31" hidden="1" x14ac:dyDescent="0.25">
      <c r="A98" s="426"/>
      <c r="B98" s="426"/>
      <c r="C98" s="410"/>
      <c r="D98" s="376"/>
      <c r="E98" s="422" t="s">
        <v>381</v>
      </c>
      <c r="F98" s="458"/>
      <c r="G98" s="458"/>
      <c r="H98" s="458"/>
      <c r="I98" s="458"/>
      <c r="J98" s="458"/>
      <c r="K98" s="458"/>
      <c r="L98" s="458"/>
      <c r="M98" s="458"/>
      <c r="N98" s="458"/>
      <c r="O98" s="458"/>
      <c r="P98" s="426"/>
      <c r="Q98" s="426"/>
      <c r="R98" s="426"/>
      <c r="S98" s="426"/>
      <c r="T98" s="426"/>
      <c r="U98" s="426"/>
      <c r="V98" s="426"/>
      <c r="Z98" s="478"/>
      <c r="AA98" s="478"/>
      <c r="AB98" s="478"/>
      <c r="AC98" s="478"/>
      <c r="AD98" s="478"/>
      <c r="AE98" s="478"/>
    </row>
    <row r="99" spans="1:31" hidden="1" x14ac:dyDescent="0.25">
      <c r="A99" s="426" t="str">
        <f>IF(AND(F101=G101,H101=I101,J101=K101,F101="A"),"2016 - kwh",IF(AND(F101=G101,H101=I101,J101&lt;&gt;K101,F101="A"),"2017 - kwh",IF(AND(F101=G101,H101&lt;&gt;I101,F101="A"),"2018 - kwh","N/A")))</f>
        <v>N/A</v>
      </c>
      <c r="B99" s="426" t="str">
        <f>IF(AND(F101="A",G101="A"),"A","")</f>
        <v/>
      </c>
      <c r="C99" s="406" t="s">
        <v>404</v>
      </c>
      <c r="D99" s="460"/>
      <c r="E99" s="424" t="s">
        <v>379</v>
      </c>
      <c r="F99" s="459"/>
      <c r="G99" s="459"/>
      <c r="H99" s="459"/>
      <c r="I99" s="459"/>
      <c r="J99" s="459"/>
      <c r="K99" s="459"/>
      <c r="L99" s="459"/>
      <c r="M99" s="459"/>
      <c r="N99" s="459"/>
      <c r="O99" s="459"/>
      <c r="P99" s="426"/>
      <c r="Q99" s="426"/>
      <c r="R99" s="426"/>
      <c r="S99" s="426"/>
      <c r="T99" s="426"/>
      <c r="U99" s="426"/>
      <c r="V99" s="426"/>
      <c r="Z99" s="478"/>
      <c r="AA99" s="478" t="str">
        <f>IF(AND(F101=G101,H101=I101,F101="A"),"2016 - kwh","")</f>
        <v/>
      </c>
      <c r="AB99" s="478" t="str">
        <f>IF(OR(B99="2017 - kwh",B99="2018 - kwh"),"2016 - kwh","")</f>
        <v/>
      </c>
      <c r="AC99" s="478"/>
      <c r="AD99" s="478"/>
      <c r="AE99" s="478"/>
    </row>
    <row r="100" spans="1:31" hidden="1" x14ac:dyDescent="0.25">
      <c r="A100" s="426" t="str">
        <f>IF(AND(F101=G101,H101=I101,J101=K101,F101="A"),"2016 - kw",IF(AND(F101=G101,H101=I101,J101&lt;&gt;K101,F101="A"),"2017 - kw",IF(AND(F101=G101,H101&lt;&gt;I101,F101="A"),"2018 - kw","N/A")))</f>
        <v>N/A</v>
      </c>
      <c r="B100" s="426" t="str">
        <f>IF(AND(F101="A",G101="A"),"A","")</f>
        <v/>
      </c>
      <c r="C100" s="407"/>
      <c r="D100" s="420" t="str">
        <f>D99 &amp; "kW"</f>
        <v>kW</v>
      </c>
      <c r="E100" s="423" t="s">
        <v>380</v>
      </c>
      <c r="F100" s="459"/>
      <c r="G100" s="459"/>
      <c r="H100" s="459"/>
      <c r="I100" s="459"/>
      <c r="J100" s="459"/>
      <c r="K100" s="459"/>
      <c r="L100" s="459"/>
      <c r="M100" s="459"/>
      <c r="N100" s="459"/>
      <c r="O100" s="459"/>
      <c r="P100" s="426"/>
      <c r="Q100" s="426"/>
      <c r="R100" s="426"/>
      <c r="S100" s="426"/>
      <c r="T100" s="426"/>
      <c r="U100" s="426"/>
      <c r="V100" s="426"/>
      <c r="Z100" s="478"/>
      <c r="AA100" s="478" t="str">
        <f>IF(AND(F101=G101,H101=I101,F101="A"),"2016 - kw","")</f>
        <v/>
      </c>
      <c r="AB100" s="478" t="str">
        <f>IF(OR(B100="2017 - kw",B100="2018 - kw"),"2016 - kw","")</f>
        <v/>
      </c>
      <c r="AC100" s="478"/>
      <c r="AD100" s="478"/>
      <c r="AE100" s="478"/>
    </row>
    <row r="101" spans="1:31" hidden="1" x14ac:dyDescent="0.25">
      <c r="A101" s="426"/>
      <c r="B101" s="426"/>
      <c r="C101" s="410"/>
      <c r="D101" s="376"/>
      <c r="E101" s="422" t="s">
        <v>381</v>
      </c>
      <c r="F101" s="458"/>
      <c r="G101" s="458"/>
      <c r="H101" s="458"/>
      <c r="I101" s="458"/>
      <c r="J101" s="458"/>
      <c r="K101" s="458"/>
      <c r="L101" s="458"/>
      <c r="M101" s="458"/>
      <c r="N101" s="458"/>
      <c r="O101" s="458"/>
      <c r="P101" s="426"/>
      <c r="Q101" s="426"/>
      <c r="R101" s="426"/>
      <c r="S101" s="426"/>
      <c r="T101" s="426"/>
      <c r="U101" s="426"/>
      <c r="V101" s="426"/>
      <c r="Z101" s="478"/>
      <c r="AA101" s="478"/>
      <c r="AB101" s="478"/>
      <c r="AC101" s="478"/>
      <c r="AD101" s="478"/>
      <c r="AE101" s="478"/>
    </row>
    <row r="102" spans="1:31" hidden="1" x14ac:dyDescent="0.25">
      <c r="A102" s="426" t="str">
        <f>IF(AND(F104=G104,H104=I104,J104=K104,F104="A"),"2016 - kwh",IF(AND(F104=G104,H104=I104,J104&lt;&gt;K104,F104="A"),"2017 - kwh",IF(AND(F104=G104,H104&lt;&gt;I104,F104="A"),"2018 - kwh","N/A")))</f>
        <v>N/A</v>
      </c>
      <c r="B102" s="426" t="str">
        <f>IF(AND(F104="A",G104="A"),"A","")</f>
        <v/>
      </c>
      <c r="C102" s="406" t="s">
        <v>405</v>
      </c>
      <c r="D102" s="460"/>
      <c r="E102" s="424" t="s">
        <v>379</v>
      </c>
      <c r="F102" s="459"/>
      <c r="G102" s="459"/>
      <c r="H102" s="459"/>
      <c r="I102" s="459"/>
      <c r="J102" s="459"/>
      <c r="K102" s="459"/>
      <c r="L102" s="459"/>
      <c r="M102" s="459"/>
      <c r="N102" s="459"/>
      <c r="O102" s="459"/>
      <c r="P102" s="426"/>
      <c r="Q102" s="426"/>
      <c r="R102" s="426"/>
      <c r="S102" s="426"/>
      <c r="T102" s="426"/>
      <c r="U102" s="426"/>
      <c r="V102" s="426"/>
      <c r="Z102" s="478"/>
      <c r="AA102" s="478" t="str">
        <f>IF(AND(F104=G104,H104=I104,F104="A"),"2016 - kwh","")</f>
        <v/>
      </c>
      <c r="AB102" s="478" t="str">
        <f>IF(OR(B102="2017 - kwh",B102="2018 - kwh"),"2016 - kwh","")</f>
        <v/>
      </c>
      <c r="AC102" s="478"/>
      <c r="AD102" s="478"/>
      <c r="AE102" s="478"/>
    </row>
    <row r="103" spans="1:31" hidden="1" x14ac:dyDescent="0.25">
      <c r="A103" s="426" t="str">
        <f>IF(AND(F104=G104,H104=I104,J104=K104,F104="A"),"2016 - kw",IF(AND(F104=G104,H104=I104,J104&lt;&gt;K104,F104="A"),"2017 - kw",IF(AND(F104=G104,H104&lt;&gt;I104,F104="A"),"2018 - kw","N/A")))</f>
        <v>N/A</v>
      </c>
      <c r="B103" s="426" t="str">
        <f>IF(AND(F104="A",G104="A"),"A","")</f>
        <v/>
      </c>
      <c r="C103" s="407"/>
      <c r="D103" s="420" t="str">
        <f>D102 &amp; "kW"</f>
        <v>kW</v>
      </c>
      <c r="E103" s="423" t="s">
        <v>380</v>
      </c>
      <c r="F103" s="459"/>
      <c r="G103" s="459"/>
      <c r="H103" s="459"/>
      <c r="I103" s="459"/>
      <c r="J103" s="459"/>
      <c r="K103" s="459"/>
      <c r="L103" s="459"/>
      <c r="M103" s="459"/>
      <c r="N103" s="459"/>
      <c r="O103" s="459"/>
      <c r="P103" s="426"/>
      <c r="Q103" s="426"/>
      <c r="R103" s="426"/>
      <c r="S103" s="426"/>
      <c r="T103" s="426"/>
      <c r="U103" s="426"/>
      <c r="V103" s="426"/>
      <c r="Z103" s="478"/>
      <c r="AA103" s="478" t="str">
        <f>IF(AND(F104=G104,H104=I104,F104="A"),"2016 - kw","")</f>
        <v/>
      </c>
      <c r="AB103" s="478" t="str">
        <f>IF(OR(B103="2017 - kw",B103="2018 - kw"),"2016 - kw","")</f>
        <v/>
      </c>
      <c r="AC103" s="478"/>
      <c r="AD103" s="478"/>
      <c r="AE103" s="478"/>
    </row>
    <row r="104" spans="1:31" hidden="1" x14ac:dyDescent="0.25">
      <c r="A104" s="426"/>
      <c r="B104" s="426"/>
      <c r="C104" s="410"/>
      <c r="D104" s="376"/>
      <c r="E104" s="422" t="s">
        <v>381</v>
      </c>
      <c r="F104" s="458"/>
      <c r="G104" s="458"/>
      <c r="H104" s="458"/>
      <c r="I104" s="458"/>
      <c r="J104" s="458"/>
      <c r="K104" s="458"/>
      <c r="L104" s="458"/>
      <c r="M104" s="458"/>
      <c r="N104" s="458"/>
      <c r="O104" s="458"/>
      <c r="P104" s="426"/>
      <c r="Q104" s="426"/>
      <c r="R104" s="426"/>
      <c r="S104" s="426"/>
      <c r="T104" s="426"/>
      <c r="U104" s="426"/>
      <c r="V104" s="426"/>
      <c r="Z104" s="478"/>
      <c r="AA104" s="478"/>
      <c r="AB104" s="478"/>
      <c r="AC104" s="478"/>
      <c r="AD104" s="478"/>
      <c r="AE104" s="478"/>
    </row>
    <row r="105" spans="1:31" hidden="1" x14ac:dyDescent="0.25">
      <c r="A105" s="426" t="str">
        <f>IF(AND(F107=G107,H107=I107,J107=K107,F107="A"),"2016 - kwh",IF(AND(F107=G107,H107=I107,J107&lt;&gt;K107,F107="A"),"2017 - kwh",IF(AND(F107=G107,H107&lt;&gt;I107,F107="A"),"2018 - kwh","N/A")))</f>
        <v>N/A</v>
      </c>
      <c r="B105" s="426" t="str">
        <f>IF(AND(F107="A",G107="A"),"A","")</f>
        <v/>
      </c>
      <c r="C105" s="406" t="s">
        <v>406</v>
      </c>
      <c r="D105" s="460"/>
      <c r="E105" s="424" t="s">
        <v>379</v>
      </c>
      <c r="F105" s="459"/>
      <c r="G105" s="459"/>
      <c r="H105" s="459"/>
      <c r="I105" s="459"/>
      <c r="J105" s="459"/>
      <c r="K105" s="459"/>
      <c r="L105" s="459"/>
      <c r="M105" s="459"/>
      <c r="N105" s="459"/>
      <c r="O105" s="459"/>
      <c r="P105" s="426"/>
      <c r="Q105" s="426"/>
      <c r="R105" s="426"/>
      <c r="S105" s="426"/>
      <c r="T105" s="426"/>
      <c r="U105" s="426"/>
      <c r="V105" s="426"/>
      <c r="Z105" s="478"/>
      <c r="AA105" s="478" t="str">
        <f>IF(AND(F107=G107,H107=I107,F107="A"),"2016 - kwh","")</f>
        <v/>
      </c>
      <c r="AB105" s="478" t="str">
        <f>IF(OR(B105="2017 - kwh",B105="2018 - kwh"),"2016 - kwh","")</f>
        <v/>
      </c>
      <c r="AC105" s="478"/>
      <c r="AD105" s="478"/>
      <c r="AE105" s="478"/>
    </row>
    <row r="106" spans="1:31" hidden="1" x14ac:dyDescent="0.25">
      <c r="A106" s="426" t="str">
        <f>IF(AND(F107=G107,H107=I107,J107=K107,F107="A"),"2016 - kw",IF(AND(F107=G107,H107=I107,J107&lt;&gt;K107,F107="A"),"2017 - kw",IF(AND(F107=G107,H107&lt;&gt;I107,F107="A"),"2018 - kw","N/A")))</f>
        <v>N/A</v>
      </c>
      <c r="B106" s="426" t="str">
        <f>IF(AND(F107="A",G107="A"),"A","")</f>
        <v/>
      </c>
      <c r="C106" s="407"/>
      <c r="D106" s="420" t="str">
        <f>D105 &amp; "kW"</f>
        <v>kW</v>
      </c>
      <c r="E106" s="423" t="s">
        <v>380</v>
      </c>
      <c r="F106" s="459"/>
      <c r="G106" s="459"/>
      <c r="H106" s="459"/>
      <c r="I106" s="459"/>
      <c r="J106" s="459"/>
      <c r="K106" s="459"/>
      <c r="L106" s="459"/>
      <c r="M106" s="459"/>
      <c r="N106" s="459"/>
      <c r="O106" s="459"/>
      <c r="P106" s="426"/>
      <c r="Q106" s="426"/>
      <c r="R106" s="426"/>
      <c r="S106" s="426"/>
      <c r="T106" s="426"/>
      <c r="U106" s="426"/>
      <c r="V106" s="426"/>
      <c r="Z106" s="478"/>
      <c r="AA106" s="478" t="str">
        <f>IF(AND(F107=G107,H107=I107,F107="A"),"2016 - kw","")</f>
        <v/>
      </c>
      <c r="AB106" s="478" t="str">
        <f>IF(OR(B106="2017 - kw",B106="2018 - kw"),"2016 - kw","")</f>
        <v/>
      </c>
      <c r="AC106" s="478"/>
      <c r="AD106" s="478"/>
      <c r="AE106" s="478"/>
    </row>
    <row r="107" spans="1:31" hidden="1" x14ac:dyDescent="0.25">
      <c r="A107" s="426"/>
      <c r="B107" s="426"/>
      <c r="C107" s="410"/>
      <c r="D107" s="376"/>
      <c r="E107" s="422" t="s">
        <v>381</v>
      </c>
      <c r="F107" s="458"/>
      <c r="G107" s="458"/>
      <c r="H107" s="458"/>
      <c r="I107" s="458"/>
      <c r="J107" s="458"/>
      <c r="K107" s="458"/>
      <c r="L107" s="458"/>
      <c r="M107" s="458"/>
      <c r="N107" s="458"/>
      <c r="O107" s="458"/>
      <c r="P107" s="426"/>
      <c r="Q107" s="426"/>
      <c r="R107" s="426"/>
      <c r="S107" s="426"/>
      <c r="T107" s="426"/>
      <c r="U107" s="426"/>
      <c r="V107" s="426"/>
      <c r="Z107" s="478"/>
      <c r="AA107" s="478"/>
      <c r="AB107" s="478"/>
      <c r="AC107" s="478"/>
      <c r="AD107" s="478"/>
      <c r="AE107" s="478"/>
    </row>
    <row r="108" spans="1:31" hidden="1" x14ac:dyDescent="0.25">
      <c r="A108" s="426" t="str">
        <f>IF(AND(F110=G110,H110=I110,J110=K110,F110="A"),"2016 - kwh",IF(AND(F110=G110,H110=I110,J110&lt;&gt;K110,F110="A"),"2017 - kwh",IF(AND(F110=G110,H110&lt;&gt;I110,F110="A"),"2018 - kwh","N/A")))</f>
        <v>N/A</v>
      </c>
      <c r="B108" s="426" t="str">
        <f>IF(AND(F110="A",G110="A"),"A","")</f>
        <v/>
      </c>
      <c r="C108" s="406" t="s">
        <v>407</v>
      </c>
      <c r="D108" s="460"/>
      <c r="E108" s="424" t="s">
        <v>379</v>
      </c>
      <c r="F108" s="459"/>
      <c r="G108" s="459"/>
      <c r="H108" s="459"/>
      <c r="I108" s="459"/>
      <c r="J108" s="459"/>
      <c r="K108" s="459"/>
      <c r="L108" s="459"/>
      <c r="M108" s="459"/>
      <c r="N108" s="459"/>
      <c r="O108" s="459"/>
      <c r="P108" s="426"/>
      <c r="Q108" s="426"/>
      <c r="R108" s="426"/>
      <c r="S108" s="426"/>
      <c r="T108" s="426"/>
      <c r="U108" s="426"/>
      <c r="V108" s="426"/>
      <c r="Z108" s="478"/>
      <c r="AA108" s="478" t="str">
        <f>IF(AND(F110=G110,H110=I110,F110="A"),"2016 - kwh","")</f>
        <v/>
      </c>
      <c r="AB108" s="478" t="str">
        <f>IF(OR(B108="2017 - kwh",B108="2018 - kwh"),"2016 - kwh","")</f>
        <v/>
      </c>
      <c r="AC108" s="478"/>
      <c r="AD108" s="478"/>
      <c r="AE108" s="478"/>
    </row>
    <row r="109" spans="1:31" hidden="1" x14ac:dyDescent="0.25">
      <c r="A109" s="426" t="str">
        <f>IF(AND(F110=G110,H110=I110,J110=K110,F110="A"),"2016 - kw",IF(AND(F110=G110,H110=I110,J110&lt;&gt;K110,F110="A"),"2017 - kw",IF(AND(F110=G110,H110&lt;&gt;I110,F110="A"),"2018 - kw","N/A")))</f>
        <v>N/A</v>
      </c>
      <c r="B109" s="426" t="str">
        <f>IF(AND(F110="A",G110="A"),"A","")</f>
        <v/>
      </c>
      <c r="C109" s="407"/>
      <c r="D109" s="420" t="str">
        <f>D108 &amp; "kW"</f>
        <v>kW</v>
      </c>
      <c r="E109" s="423" t="s">
        <v>380</v>
      </c>
      <c r="F109" s="459"/>
      <c r="G109" s="459"/>
      <c r="H109" s="459"/>
      <c r="I109" s="459"/>
      <c r="J109" s="459"/>
      <c r="K109" s="459"/>
      <c r="L109" s="459"/>
      <c r="M109" s="459"/>
      <c r="N109" s="459"/>
      <c r="O109" s="459"/>
      <c r="P109" s="426"/>
      <c r="Q109" s="426"/>
      <c r="R109" s="426"/>
      <c r="S109" s="426"/>
      <c r="T109" s="426"/>
      <c r="U109" s="426"/>
      <c r="V109" s="426"/>
      <c r="Z109" s="478"/>
      <c r="AA109" s="478" t="str">
        <f>IF(AND(F110=G110,H110=I110,F110="A"),"2016 - kw","")</f>
        <v/>
      </c>
      <c r="AB109" s="478" t="str">
        <f>IF(OR(B109="2017 - kw",B109="2018 - kw"),"2016 - kw","")</f>
        <v/>
      </c>
      <c r="AC109" s="478"/>
      <c r="AD109" s="478"/>
      <c r="AE109" s="478"/>
    </row>
    <row r="110" spans="1:31" hidden="1" x14ac:dyDescent="0.25">
      <c r="A110" s="426"/>
      <c r="B110" s="426"/>
      <c r="C110" s="410"/>
      <c r="D110" s="376"/>
      <c r="E110" s="422" t="s">
        <v>381</v>
      </c>
      <c r="F110" s="458"/>
      <c r="G110" s="458"/>
      <c r="H110" s="458"/>
      <c r="I110" s="458"/>
      <c r="J110" s="458"/>
      <c r="K110" s="458"/>
      <c r="L110" s="458"/>
      <c r="M110" s="458"/>
      <c r="N110" s="458"/>
      <c r="O110" s="458"/>
      <c r="P110" s="426"/>
      <c r="Q110" s="426"/>
      <c r="R110" s="426"/>
      <c r="S110" s="426"/>
      <c r="T110" s="426"/>
      <c r="U110" s="426"/>
      <c r="V110" s="426"/>
      <c r="Z110" s="478"/>
      <c r="AA110" s="478"/>
      <c r="AB110" s="478"/>
      <c r="AC110" s="478"/>
      <c r="AD110" s="478"/>
      <c r="AE110" s="478"/>
    </row>
    <row r="111" spans="1:31" hidden="1" x14ac:dyDescent="0.25">
      <c r="A111" s="426" t="str">
        <f>IF(AND(F113=G113,H113=I113,J113=K113,F113="A"),"2016 - kwh",IF(AND(F113=G113,H113=I113,J113&lt;&gt;K113,F113="A"),"2017 - kwh",IF(AND(F113=G113,H113&lt;&gt;I113,F113="A"),"2018 - kwh","N/A")))</f>
        <v>N/A</v>
      </c>
      <c r="B111" s="426" t="str">
        <f>IF(AND(F113="A",G113="A"),"A","")</f>
        <v/>
      </c>
      <c r="C111" s="406" t="s">
        <v>408</v>
      </c>
      <c r="D111" s="460"/>
      <c r="E111" s="424" t="s">
        <v>379</v>
      </c>
      <c r="F111" s="459"/>
      <c r="G111" s="459"/>
      <c r="H111" s="459"/>
      <c r="I111" s="459"/>
      <c r="J111" s="459"/>
      <c r="K111" s="459"/>
      <c r="L111" s="459"/>
      <c r="M111" s="459"/>
      <c r="N111" s="459"/>
      <c r="O111" s="459"/>
      <c r="P111" s="426"/>
      <c r="Q111" s="426"/>
      <c r="R111" s="426"/>
      <c r="S111" s="426"/>
      <c r="T111" s="426"/>
      <c r="U111" s="426"/>
      <c r="V111" s="426"/>
      <c r="Z111" s="478"/>
      <c r="AA111" s="478" t="str">
        <f>IF(AND(F113=G113,H113=I113,F113="A"),"2016 - kwh","")</f>
        <v/>
      </c>
      <c r="AB111" s="478" t="str">
        <f>IF(OR(B111="2017 - kwh",B111="2018 - kwh"),"2016 - kwh","")</f>
        <v/>
      </c>
      <c r="AC111" s="478"/>
      <c r="AD111" s="478"/>
      <c r="AE111" s="478"/>
    </row>
    <row r="112" spans="1:31" hidden="1" x14ac:dyDescent="0.25">
      <c r="A112" s="426" t="str">
        <f>IF(AND(F113=G113,H113=I113,J113=K113,F113="A"),"2016 - kw",IF(AND(F113=G113,H113=I113,J113&lt;&gt;K113,F113="A"),"2017 - kw",IF(AND(F113=G113,H113&lt;&gt;I113,F113="A"),"2018 - kw","N/A")))</f>
        <v>N/A</v>
      </c>
      <c r="B112" s="426" t="str">
        <f>IF(AND(F113="A",G113="A"),"A","")</f>
        <v/>
      </c>
      <c r="C112" s="407"/>
      <c r="D112" s="420" t="str">
        <f>D111 &amp; "kW"</f>
        <v>kW</v>
      </c>
      <c r="E112" s="423" t="s">
        <v>380</v>
      </c>
      <c r="F112" s="459"/>
      <c r="G112" s="459"/>
      <c r="H112" s="459"/>
      <c r="I112" s="459"/>
      <c r="J112" s="459"/>
      <c r="K112" s="459"/>
      <c r="L112" s="459"/>
      <c r="M112" s="459"/>
      <c r="N112" s="459"/>
      <c r="O112" s="459"/>
      <c r="P112" s="426"/>
      <c r="Q112" s="426"/>
      <c r="R112" s="426"/>
      <c r="S112" s="426"/>
      <c r="T112" s="426"/>
      <c r="U112" s="426"/>
      <c r="V112" s="426"/>
      <c r="Z112" s="478"/>
      <c r="AA112" s="478" t="str">
        <f>IF(AND(F113=G113,H113=I113,F113="A"),"2016 - kw","")</f>
        <v/>
      </c>
      <c r="AB112" s="478" t="str">
        <f>IF(OR(B112="2017 - kw",B112="2018 - kw"),"2016 - kw","")</f>
        <v/>
      </c>
      <c r="AC112" s="478"/>
      <c r="AD112" s="478"/>
      <c r="AE112" s="478"/>
    </row>
    <row r="113" spans="1:31" hidden="1" x14ac:dyDescent="0.25">
      <c r="A113" s="426"/>
      <c r="B113" s="426"/>
      <c r="C113" s="410"/>
      <c r="D113" s="376"/>
      <c r="E113" s="422" t="s">
        <v>381</v>
      </c>
      <c r="F113" s="458"/>
      <c r="G113" s="458"/>
      <c r="H113" s="458"/>
      <c r="I113" s="458"/>
      <c r="J113" s="458"/>
      <c r="K113" s="458"/>
      <c r="L113" s="458"/>
      <c r="M113" s="458"/>
      <c r="N113" s="458"/>
      <c r="O113" s="458"/>
      <c r="P113" s="426"/>
      <c r="Q113" s="426"/>
      <c r="R113" s="426"/>
      <c r="S113" s="426"/>
      <c r="T113" s="426"/>
      <c r="U113" s="426"/>
      <c r="V113" s="426"/>
      <c r="Z113" s="478"/>
      <c r="AA113" s="478"/>
      <c r="AB113" s="478"/>
      <c r="AC113" s="478"/>
      <c r="AD113" s="478"/>
      <c r="AE113" s="478"/>
    </row>
    <row r="114" spans="1:31" hidden="1" x14ac:dyDescent="0.25">
      <c r="A114" s="426" t="str">
        <f>IF(AND(F116=G116,H116=I116,J116=K116,F116="A"),"2016 - kwh",IF(AND(F116=G116,H116=I116,J116&lt;&gt;K116,F116="A"),"2017 - kwh",IF(AND(F116=G116,H116&lt;&gt;I116,F116="A"),"2018 - kwh","N/A")))</f>
        <v>N/A</v>
      </c>
      <c r="B114" s="426" t="str">
        <f>IF(AND(F116="A",G116="A"),"A","")</f>
        <v/>
      </c>
      <c r="C114" s="406" t="s">
        <v>409</v>
      </c>
      <c r="D114" s="460"/>
      <c r="E114" s="424" t="s">
        <v>379</v>
      </c>
      <c r="F114" s="459"/>
      <c r="G114" s="459"/>
      <c r="H114" s="459"/>
      <c r="I114" s="459"/>
      <c r="J114" s="459"/>
      <c r="K114" s="459"/>
      <c r="L114" s="459"/>
      <c r="M114" s="459"/>
      <c r="N114" s="459"/>
      <c r="O114" s="459"/>
      <c r="P114" s="426"/>
      <c r="Q114" s="426"/>
      <c r="R114" s="426"/>
      <c r="S114" s="426"/>
      <c r="T114" s="426"/>
      <c r="U114" s="426"/>
      <c r="V114" s="426"/>
      <c r="Z114" s="478"/>
      <c r="AA114" s="478" t="str">
        <f>IF(AND(F116=G116,H116=I116,F116="A"),"2016 - kwh","")</f>
        <v/>
      </c>
      <c r="AB114" s="478" t="str">
        <f>IF(OR(B114="2017 - kwh",B114="2018 - kwh"),"2016 - kwh","")</f>
        <v/>
      </c>
      <c r="AC114" s="478"/>
      <c r="AD114" s="478"/>
      <c r="AE114" s="478"/>
    </row>
    <row r="115" spans="1:31" hidden="1" x14ac:dyDescent="0.25">
      <c r="A115" s="426" t="str">
        <f>IF(AND(F116=G116,H116=I116,J116=K116,F116="A"),"2016 - kw",IF(AND(F116=G116,H116=I116,J116&lt;&gt;K116,F116="A"),"2017 - kw",IF(AND(F116=G116,H116&lt;&gt;I116,F116="A"),"2018 - kw","N/A")))</f>
        <v>N/A</v>
      </c>
      <c r="B115" s="426" t="str">
        <f>IF(AND(F116="A",G116="A"),"A","")</f>
        <v/>
      </c>
      <c r="C115" s="407"/>
      <c r="D115" s="420" t="str">
        <f>D114 &amp; "kW"</f>
        <v>kW</v>
      </c>
      <c r="E115" s="423" t="s">
        <v>380</v>
      </c>
      <c r="F115" s="459"/>
      <c r="G115" s="459"/>
      <c r="H115" s="459"/>
      <c r="I115" s="459"/>
      <c r="J115" s="459"/>
      <c r="K115" s="459"/>
      <c r="L115" s="459"/>
      <c r="M115" s="459"/>
      <c r="N115" s="459"/>
      <c r="O115" s="459"/>
      <c r="P115" s="426"/>
      <c r="Q115" s="426"/>
      <c r="R115" s="426"/>
      <c r="S115" s="426"/>
      <c r="T115" s="426"/>
      <c r="U115" s="426"/>
      <c r="V115" s="426"/>
      <c r="Z115" s="478"/>
      <c r="AA115" s="478" t="str">
        <f>IF(AND(F116=G116,H116=I116,F116="A"),"2016 - kw","")</f>
        <v/>
      </c>
      <c r="AB115" s="478" t="str">
        <f>IF(OR(B115="2017 - kw",B115="2018 - kw"),"2016 - kw","")</f>
        <v/>
      </c>
      <c r="AC115" s="478"/>
      <c r="AD115" s="478"/>
      <c r="AE115" s="478"/>
    </row>
    <row r="116" spans="1:31" hidden="1" x14ac:dyDescent="0.25">
      <c r="A116" s="426"/>
      <c r="B116" s="426"/>
      <c r="C116" s="410"/>
      <c r="D116" s="376"/>
      <c r="E116" s="422" t="s">
        <v>381</v>
      </c>
      <c r="F116" s="458"/>
      <c r="G116" s="458"/>
      <c r="H116" s="458"/>
      <c r="I116" s="458"/>
      <c r="J116" s="458"/>
      <c r="K116" s="458"/>
      <c r="L116" s="458"/>
      <c r="M116" s="458"/>
      <c r="N116" s="458"/>
      <c r="O116" s="458"/>
      <c r="P116" s="426"/>
      <c r="Q116" s="426"/>
      <c r="R116" s="426"/>
      <c r="S116" s="426"/>
      <c r="T116" s="426"/>
      <c r="U116" s="426"/>
      <c r="V116" s="426"/>
      <c r="Z116" s="478"/>
      <c r="AA116" s="478"/>
      <c r="AB116" s="478"/>
      <c r="AC116" s="478"/>
      <c r="AD116" s="478"/>
      <c r="AE116" s="478"/>
    </row>
    <row r="117" spans="1:31" hidden="1" x14ac:dyDescent="0.25">
      <c r="A117" s="426" t="str">
        <f>IF(AND(F119=G119,H119=I119,J119=K119,F119="A"),"2016 - kwh",IF(AND(F119=G119,H119=I119,J119&lt;&gt;K119,F119="A"),"2017 - kwh",IF(AND(F119=G119,H119&lt;&gt;I119,F119="A"),"2018 - kwh","N/A")))</f>
        <v>N/A</v>
      </c>
      <c r="B117" s="426" t="str">
        <f>IF(AND(F119="A",G119="A"),"A","")</f>
        <v/>
      </c>
      <c r="C117" s="406" t="s">
        <v>410</v>
      </c>
      <c r="D117" s="460"/>
      <c r="E117" s="424" t="s">
        <v>379</v>
      </c>
      <c r="F117" s="459"/>
      <c r="G117" s="459"/>
      <c r="H117" s="459"/>
      <c r="I117" s="459"/>
      <c r="J117" s="459"/>
      <c r="K117" s="459"/>
      <c r="L117" s="459"/>
      <c r="M117" s="459"/>
      <c r="N117" s="459"/>
      <c r="O117" s="459"/>
      <c r="P117" s="426"/>
      <c r="Q117" s="426"/>
      <c r="R117" s="426"/>
      <c r="S117" s="426"/>
      <c r="T117" s="426"/>
      <c r="U117" s="426"/>
      <c r="V117" s="426"/>
      <c r="Z117" s="478"/>
      <c r="AA117" s="478" t="str">
        <f>IF(AND(F119=G119,H119=I119,F119="A"),"2016 - kwh","")</f>
        <v/>
      </c>
      <c r="AB117" s="478" t="str">
        <f>IF(OR(B117="2017 - kwh",B117="2018 - kwh"),"2016 - kwh","")</f>
        <v/>
      </c>
      <c r="AC117" s="478"/>
      <c r="AD117" s="478"/>
      <c r="AE117" s="478"/>
    </row>
    <row r="118" spans="1:31" hidden="1" x14ac:dyDescent="0.25">
      <c r="A118" s="426" t="str">
        <f>IF(AND(F119=G119,H119=I119,J119=K119,F119="A"),"2016 - kw",IF(AND(F119=G119,H119=I119,J119&lt;&gt;K119,F119="A"),"2017 - kw",IF(AND(F119=G119,H119&lt;&gt;I119,F119="A"),"2018 - kw","N/A")))</f>
        <v>N/A</v>
      </c>
      <c r="B118" s="426" t="str">
        <f>IF(AND(F119="A",G119="A"),"A","")</f>
        <v/>
      </c>
      <c r="C118" s="407"/>
      <c r="D118" s="420" t="str">
        <f>D117 &amp; "kW"</f>
        <v>kW</v>
      </c>
      <c r="E118" s="423" t="s">
        <v>380</v>
      </c>
      <c r="F118" s="459"/>
      <c r="G118" s="459"/>
      <c r="H118" s="459"/>
      <c r="I118" s="459"/>
      <c r="J118" s="459"/>
      <c r="K118" s="459"/>
      <c r="L118" s="459"/>
      <c r="M118" s="459"/>
      <c r="N118" s="459"/>
      <c r="O118" s="459"/>
      <c r="P118" s="426"/>
      <c r="Q118" s="426"/>
      <c r="R118" s="426"/>
      <c r="S118" s="426"/>
      <c r="T118" s="426"/>
      <c r="U118" s="426"/>
      <c r="V118" s="426"/>
      <c r="Z118" s="478"/>
      <c r="AA118" s="478" t="str">
        <f>IF(AND(F119=G119,H119=I119,F119="A"),"2016 - kw","")</f>
        <v/>
      </c>
      <c r="AB118" s="478" t="str">
        <f>IF(OR(B118="2017 - kw",B118="2018 - kw"),"2016 - kw","")</f>
        <v/>
      </c>
      <c r="AC118" s="478"/>
      <c r="AD118" s="478"/>
      <c r="AE118" s="478"/>
    </row>
    <row r="119" spans="1:31" hidden="1" x14ac:dyDescent="0.25">
      <c r="A119" s="426"/>
      <c r="B119" s="426"/>
      <c r="C119" s="410"/>
      <c r="D119" s="376"/>
      <c r="E119" s="422" t="s">
        <v>381</v>
      </c>
      <c r="F119" s="458"/>
      <c r="G119" s="458"/>
      <c r="H119" s="458"/>
      <c r="I119" s="458"/>
      <c r="J119" s="458"/>
      <c r="K119" s="458"/>
      <c r="L119" s="458"/>
      <c r="M119" s="458"/>
      <c r="N119" s="458"/>
      <c r="O119" s="458"/>
      <c r="P119" s="426"/>
      <c r="Q119" s="426"/>
      <c r="R119" s="426"/>
      <c r="S119" s="426"/>
      <c r="T119" s="426"/>
      <c r="U119" s="426"/>
      <c r="V119" s="426"/>
      <c r="Z119" s="478"/>
      <c r="AA119" s="478"/>
      <c r="AB119" s="478"/>
      <c r="AC119" s="478"/>
      <c r="AD119" s="478"/>
      <c r="AE119" s="478"/>
    </row>
    <row r="120" spans="1:31" hidden="1" x14ac:dyDescent="0.25">
      <c r="A120" s="426" t="str">
        <f>IF(AND(F122=G122,H122=I122,J122=K122,F122="A"),"2016 - kwh",IF(AND(F122=G122,H122=I122,J122&lt;&gt;K122,F122="A"),"2017 - kwh",IF(AND(F122=G122,H122&lt;&gt;I122,F122="A"),"2018 - kwh","N/A")))</f>
        <v>N/A</v>
      </c>
      <c r="B120" s="426" t="str">
        <f>IF(AND(F122="A",G122="A"),"A","")</f>
        <v/>
      </c>
      <c r="C120" s="406" t="s">
        <v>411</v>
      </c>
      <c r="D120" s="460"/>
      <c r="E120" s="424" t="s">
        <v>379</v>
      </c>
      <c r="F120" s="459"/>
      <c r="G120" s="459"/>
      <c r="H120" s="459"/>
      <c r="I120" s="459"/>
      <c r="J120" s="459"/>
      <c r="K120" s="459"/>
      <c r="L120" s="459"/>
      <c r="M120" s="459"/>
      <c r="N120" s="459"/>
      <c r="O120" s="459"/>
      <c r="P120" s="426"/>
      <c r="Q120" s="426"/>
      <c r="R120" s="426"/>
      <c r="S120" s="426"/>
      <c r="T120" s="426"/>
      <c r="U120" s="426"/>
      <c r="V120" s="426"/>
      <c r="Z120" s="478"/>
      <c r="AA120" s="478" t="str">
        <f>IF(AND(F122=G122,H122=I122,F122="A"),"2016 - kwh","")</f>
        <v/>
      </c>
      <c r="AB120" s="478" t="str">
        <f>IF(OR(B120="2017 - kwh",B120="2018 - kwh"),"2016 - kwh","")</f>
        <v/>
      </c>
      <c r="AC120" s="478"/>
      <c r="AD120" s="478"/>
      <c r="AE120" s="478"/>
    </row>
    <row r="121" spans="1:31" hidden="1" x14ac:dyDescent="0.25">
      <c r="A121" s="426" t="str">
        <f>IF(AND(F122=G122,H122=I122,J122=K122,F122="A"),"2016 - kw",IF(AND(F122=G122,H122=I122,J122&lt;&gt;K122,F122="A"),"2017 - kw",IF(AND(F122=G122,H122&lt;&gt;I122,F122="A"),"2018 - kw","N/A")))</f>
        <v>N/A</v>
      </c>
      <c r="B121" s="426" t="str">
        <f>IF(AND(F122="A",G122="A"),"A","")</f>
        <v/>
      </c>
      <c r="C121" s="407"/>
      <c r="D121" s="420" t="str">
        <f>D120 &amp; "kW"</f>
        <v>kW</v>
      </c>
      <c r="E121" s="423" t="s">
        <v>380</v>
      </c>
      <c r="F121" s="459"/>
      <c r="G121" s="459"/>
      <c r="H121" s="459"/>
      <c r="I121" s="459"/>
      <c r="J121" s="459"/>
      <c r="K121" s="459"/>
      <c r="L121" s="459"/>
      <c r="M121" s="459"/>
      <c r="N121" s="459"/>
      <c r="O121" s="459"/>
      <c r="P121" s="426"/>
      <c r="Q121" s="426"/>
      <c r="R121" s="426"/>
      <c r="S121" s="426"/>
      <c r="T121" s="426"/>
      <c r="U121" s="426"/>
      <c r="V121" s="426"/>
      <c r="Z121" s="478"/>
      <c r="AA121" s="478" t="str">
        <f>IF(AND(F122=G122,H122=I122,F122="A"),"2016 - kw","")</f>
        <v/>
      </c>
      <c r="AB121" s="478" t="str">
        <f>IF(OR(B121="2017 - kw",B121="2018 - kw"),"2016 - kw","")</f>
        <v/>
      </c>
      <c r="AC121" s="478"/>
      <c r="AD121" s="478"/>
      <c r="AE121" s="478"/>
    </row>
    <row r="122" spans="1:31" hidden="1" x14ac:dyDescent="0.25">
      <c r="A122" s="426"/>
      <c r="B122" s="426"/>
      <c r="C122" s="410"/>
      <c r="D122" s="376"/>
      <c r="E122" s="422" t="s">
        <v>381</v>
      </c>
      <c r="F122" s="458"/>
      <c r="G122" s="458"/>
      <c r="H122" s="458"/>
      <c r="I122" s="458"/>
      <c r="J122" s="458"/>
      <c r="K122" s="458"/>
      <c r="L122" s="458"/>
      <c r="M122" s="458"/>
      <c r="N122" s="458"/>
      <c r="O122" s="458"/>
      <c r="P122" s="426"/>
      <c r="Q122" s="426"/>
      <c r="R122" s="426"/>
      <c r="S122" s="426"/>
      <c r="T122" s="426"/>
      <c r="U122" s="426"/>
      <c r="V122" s="426"/>
      <c r="Z122" s="478"/>
      <c r="AA122" s="478"/>
      <c r="AB122" s="478"/>
      <c r="AC122" s="478"/>
      <c r="AD122" s="478"/>
      <c r="AE122" s="478"/>
    </row>
    <row r="123" spans="1:31" hidden="1" x14ac:dyDescent="0.25">
      <c r="A123" s="426" t="str">
        <f>IF(AND(F125=G125,H125=I125,J125=K125,F125="A"),"2016 - kwh",IF(AND(F125=G125,H125=I125,J125&lt;&gt;K125,F125="A"),"2017 - kwh",IF(AND(F125=G125,H125&lt;&gt;I125,F125="A"),"2018 - kwh","N/A")))</f>
        <v>N/A</v>
      </c>
      <c r="B123" s="426" t="str">
        <f>IF(AND(F125="A",G125="A"),"A","")</f>
        <v/>
      </c>
      <c r="C123" s="406" t="s">
        <v>412</v>
      </c>
      <c r="D123" s="460"/>
      <c r="E123" s="424" t="s">
        <v>379</v>
      </c>
      <c r="F123" s="459"/>
      <c r="G123" s="459"/>
      <c r="H123" s="459"/>
      <c r="I123" s="459"/>
      <c r="J123" s="459"/>
      <c r="K123" s="459"/>
      <c r="L123" s="459"/>
      <c r="M123" s="459"/>
      <c r="N123" s="459"/>
      <c r="O123" s="459"/>
      <c r="P123" s="426"/>
      <c r="Q123" s="426"/>
      <c r="R123" s="426"/>
      <c r="S123" s="426"/>
      <c r="T123" s="426"/>
      <c r="U123" s="426"/>
      <c r="V123" s="426"/>
      <c r="Z123" s="478"/>
      <c r="AA123" s="478" t="str">
        <f>IF(AND(F125=G125,H125=I125,F125="A"),"2016 - kwh","")</f>
        <v/>
      </c>
      <c r="AB123" s="478" t="str">
        <f>IF(OR(B123="2017 - kwh",B123="2018 - kwh"),"2016 - kwh","")</f>
        <v/>
      </c>
      <c r="AC123" s="478"/>
      <c r="AD123" s="478"/>
      <c r="AE123" s="478"/>
    </row>
    <row r="124" spans="1:31" hidden="1" x14ac:dyDescent="0.25">
      <c r="A124" s="426" t="str">
        <f>IF(AND(F125=G125,H125=I125,J125=K125,F125="A"),"2016 - kw",IF(AND(F125=G125,H125=I125,J125&lt;&gt;K125,F125="A"),"2017 - kw",IF(AND(F125=G125,H125&lt;&gt;I125,F125="A"),"2018 - kw","N/A")))</f>
        <v>N/A</v>
      </c>
      <c r="B124" s="426" t="str">
        <f>IF(AND(F125="A",G125="A"),"A","")</f>
        <v/>
      </c>
      <c r="C124" s="407"/>
      <c r="D124" s="420" t="str">
        <f>D123 &amp; "kW"</f>
        <v>kW</v>
      </c>
      <c r="E124" s="423" t="s">
        <v>380</v>
      </c>
      <c r="F124" s="459"/>
      <c r="G124" s="459"/>
      <c r="H124" s="459"/>
      <c r="I124" s="459"/>
      <c r="J124" s="459"/>
      <c r="K124" s="459"/>
      <c r="L124" s="459"/>
      <c r="M124" s="459"/>
      <c r="N124" s="459"/>
      <c r="O124" s="459"/>
      <c r="P124" s="426"/>
      <c r="Q124" s="426"/>
      <c r="R124" s="426"/>
      <c r="S124" s="426"/>
      <c r="T124" s="426"/>
      <c r="U124" s="426"/>
      <c r="V124" s="426"/>
      <c r="Z124" s="478"/>
      <c r="AA124" s="478" t="str">
        <f>IF(AND(F125=G125,H125=I125,F125="A"),"2016 - kw","")</f>
        <v/>
      </c>
      <c r="AB124" s="478" t="str">
        <f>IF(OR(B124="2017 - kw",B124="2018 - kw"),"2016 - kw","")</f>
        <v/>
      </c>
      <c r="AC124" s="478"/>
      <c r="AD124" s="478"/>
      <c r="AE124" s="478"/>
    </row>
    <row r="125" spans="1:31" hidden="1" x14ac:dyDescent="0.25">
      <c r="A125" s="426"/>
      <c r="B125" s="426"/>
      <c r="C125" s="410"/>
      <c r="D125" s="376"/>
      <c r="E125" s="422" t="s">
        <v>381</v>
      </c>
      <c r="F125" s="458"/>
      <c r="G125" s="458"/>
      <c r="H125" s="458"/>
      <c r="I125" s="458"/>
      <c r="J125" s="458"/>
      <c r="K125" s="458"/>
      <c r="L125" s="458"/>
      <c r="M125" s="458"/>
      <c r="N125" s="458"/>
      <c r="O125" s="458"/>
      <c r="P125" s="426"/>
      <c r="Q125" s="426"/>
      <c r="R125" s="426"/>
      <c r="S125" s="426"/>
      <c r="T125" s="426"/>
      <c r="U125" s="426"/>
      <c r="V125" s="426"/>
      <c r="Z125" s="478"/>
      <c r="AA125" s="478"/>
      <c r="AB125" s="478"/>
      <c r="AC125" s="478"/>
      <c r="AD125" s="478"/>
      <c r="AE125" s="478"/>
    </row>
    <row r="126" spans="1:31" hidden="1" x14ac:dyDescent="0.25">
      <c r="A126" s="426" t="str">
        <f>IF(AND(F128=G128,H128=I128,J128=K128,F128="A"),"2016 - kwh",IF(AND(F128=G128,H128=I128,J128&lt;&gt;K128,F128="A"),"2017 - kwh",IF(AND(F128=G128,H128&lt;&gt;I128,F128="A"),"2018 - kwh","N/A")))</f>
        <v>N/A</v>
      </c>
      <c r="B126" s="426" t="str">
        <f>IF(AND(F128="A",G128="A"),"A","")</f>
        <v/>
      </c>
      <c r="C126" s="406" t="s">
        <v>413</v>
      </c>
      <c r="D126" s="460"/>
      <c r="E126" s="424" t="s">
        <v>379</v>
      </c>
      <c r="F126" s="459"/>
      <c r="G126" s="459"/>
      <c r="H126" s="459"/>
      <c r="I126" s="459"/>
      <c r="J126" s="459"/>
      <c r="K126" s="459"/>
      <c r="L126" s="459"/>
      <c r="M126" s="459"/>
      <c r="N126" s="459"/>
      <c r="O126" s="459"/>
      <c r="P126" s="426"/>
      <c r="Q126" s="426"/>
      <c r="R126" s="426"/>
      <c r="S126" s="426"/>
      <c r="T126" s="426"/>
      <c r="U126" s="426"/>
      <c r="V126" s="426"/>
      <c r="Z126" s="478"/>
      <c r="AA126" s="478" t="str">
        <f>IF(AND(F128=G128,H128=I128,F128="A"),"2016 - kwh","")</f>
        <v/>
      </c>
      <c r="AB126" s="478" t="str">
        <f>IF(OR(B126="2017 - kwh",B126="2018 - kwh"),"2016 - kwh","")</f>
        <v/>
      </c>
      <c r="AC126" s="478"/>
      <c r="AD126" s="478"/>
      <c r="AE126" s="478"/>
    </row>
    <row r="127" spans="1:31" hidden="1" x14ac:dyDescent="0.25">
      <c r="A127" s="426" t="str">
        <f>IF(AND(F128=G128,H128=I128,J128=K128,F128="A"),"2016 - kw",IF(AND(F128=G128,H128=I128,J128&lt;&gt;K128,F128="A"),"2017 - kw",IF(AND(F128=G128,H128&lt;&gt;I128,F128="A"),"2018 - kw","N/A")))</f>
        <v>N/A</v>
      </c>
      <c r="B127" s="426" t="str">
        <f>IF(AND(F128="A",G128="A"),"A","")</f>
        <v/>
      </c>
      <c r="C127" s="407"/>
      <c r="D127" s="420" t="str">
        <f>D126 &amp; "kW"</f>
        <v>kW</v>
      </c>
      <c r="E127" s="423" t="s">
        <v>380</v>
      </c>
      <c r="F127" s="459"/>
      <c r="G127" s="459"/>
      <c r="H127" s="459"/>
      <c r="I127" s="459"/>
      <c r="J127" s="459"/>
      <c r="K127" s="459"/>
      <c r="L127" s="459"/>
      <c r="M127" s="459"/>
      <c r="N127" s="459"/>
      <c r="O127" s="459"/>
      <c r="P127" s="426"/>
      <c r="Q127" s="426"/>
      <c r="R127" s="426"/>
      <c r="S127" s="426"/>
      <c r="T127" s="426"/>
      <c r="U127" s="426"/>
      <c r="V127" s="426"/>
      <c r="Z127" s="478"/>
      <c r="AA127" s="478" t="str">
        <f>IF(AND(F128=G128,H128=I128,F128="A"),"2016 - kw","")</f>
        <v/>
      </c>
      <c r="AB127" s="478" t="str">
        <f>IF(OR(B127="2017 - kw",B127="2018 - kw"),"2016 - kw","")</f>
        <v/>
      </c>
      <c r="AC127" s="478"/>
      <c r="AD127" s="478"/>
      <c r="AE127" s="478"/>
    </row>
    <row r="128" spans="1:31" hidden="1" x14ac:dyDescent="0.25">
      <c r="A128" s="426"/>
      <c r="B128" s="426"/>
      <c r="C128" s="410"/>
      <c r="D128" s="376"/>
      <c r="E128" s="422" t="s">
        <v>381</v>
      </c>
      <c r="F128" s="458"/>
      <c r="G128" s="458"/>
      <c r="H128" s="458"/>
      <c r="I128" s="458"/>
      <c r="J128" s="458"/>
      <c r="K128" s="458"/>
      <c r="L128" s="458"/>
      <c r="M128" s="458"/>
      <c r="N128" s="458"/>
      <c r="O128" s="458"/>
      <c r="P128" s="426"/>
      <c r="Q128" s="426"/>
      <c r="R128" s="426"/>
      <c r="S128" s="426"/>
      <c r="T128" s="426"/>
      <c r="U128" s="426"/>
      <c r="V128" s="426"/>
      <c r="Z128" s="478"/>
      <c r="AA128" s="478"/>
      <c r="AB128" s="478"/>
      <c r="AC128" s="478"/>
      <c r="AD128" s="478"/>
      <c r="AE128" s="478"/>
    </row>
    <row r="129" spans="1:31" hidden="1" x14ac:dyDescent="0.25">
      <c r="A129" s="426" t="str">
        <f>IF(AND(F131=G131,H131=I131,J131=K131,F131="A"),"2016 - kwh",IF(AND(F131=G131,H131=I131,J131&lt;&gt;K131,F131="A"),"2017 - kwh",IF(AND(F131=G131,H131&lt;&gt;I131,F131="A"),"2018 - kwh","N/A")))</f>
        <v>N/A</v>
      </c>
      <c r="B129" s="426" t="str">
        <f>IF(AND(F131="A",G131="A"),"A","")</f>
        <v/>
      </c>
      <c r="C129" s="406" t="s">
        <v>414</v>
      </c>
      <c r="D129" s="460"/>
      <c r="E129" s="424" t="s">
        <v>379</v>
      </c>
      <c r="F129" s="459"/>
      <c r="G129" s="459"/>
      <c r="H129" s="459"/>
      <c r="I129" s="459"/>
      <c r="J129" s="459"/>
      <c r="K129" s="459"/>
      <c r="L129" s="459"/>
      <c r="M129" s="459"/>
      <c r="N129" s="459"/>
      <c r="O129" s="459"/>
      <c r="P129" s="426"/>
      <c r="Q129" s="426"/>
      <c r="R129" s="426"/>
      <c r="S129" s="426"/>
      <c r="T129" s="426"/>
      <c r="U129" s="426"/>
      <c r="V129" s="426"/>
      <c r="Z129" s="478"/>
      <c r="AA129" s="478" t="str">
        <f>IF(AND(F131=G131,H131=I131,F131="A"),"2016 - kwh","")</f>
        <v/>
      </c>
      <c r="AB129" s="478" t="str">
        <f>IF(OR(B129="2017 - kwh",B129="2018 - kwh"),"2016 - kwh","")</f>
        <v/>
      </c>
      <c r="AC129" s="478"/>
      <c r="AD129" s="478"/>
      <c r="AE129" s="478"/>
    </row>
    <row r="130" spans="1:31" hidden="1" x14ac:dyDescent="0.25">
      <c r="A130" s="426" t="str">
        <f>IF(AND(F131=G131,H131=I131,J131=K131,F131="A"),"2016 - kw",IF(AND(F131=G131,H131=I131,J131&lt;&gt;K131,F131="A"),"2017 - kw",IF(AND(F131=G131,H131&lt;&gt;I131,F131="A"),"2018 - kw","N/A")))</f>
        <v>N/A</v>
      </c>
      <c r="B130" s="426" t="str">
        <f>IF(AND(F131="A",G131="A"),"A","")</f>
        <v/>
      </c>
      <c r="C130" s="407"/>
      <c r="D130" s="420" t="str">
        <f>D129 &amp; "kW"</f>
        <v>kW</v>
      </c>
      <c r="E130" s="423" t="s">
        <v>380</v>
      </c>
      <c r="F130" s="459"/>
      <c r="G130" s="459"/>
      <c r="H130" s="459"/>
      <c r="I130" s="459"/>
      <c r="J130" s="459"/>
      <c r="K130" s="459"/>
      <c r="L130" s="459"/>
      <c r="M130" s="459"/>
      <c r="N130" s="459"/>
      <c r="O130" s="459"/>
      <c r="P130" s="426"/>
      <c r="Q130" s="426"/>
      <c r="R130" s="426"/>
      <c r="S130" s="426"/>
      <c r="T130" s="426"/>
      <c r="U130" s="426"/>
      <c r="V130" s="426"/>
      <c r="Z130" s="478"/>
      <c r="AA130" s="478" t="str">
        <f>IF(AND(F131=G131,H131=I131,F131="A"),"2016 - kw","")</f>
        <v/>
      </c>
      <c r="AB130" s="478" t="str">
        <f>IF(OR(B130="2017 - kw",B130="2018 - kw"),"2016 - kw","")</f>
        <v/>
      </c>
      <c r="AC130" s="478"/>
      <c r="AD130" s="478"/>
      <c r="AE130" s="478"/>
    </row>
    <row r="131" spans="1:31" hidden="1" x14ac:dyDescent="0.25">
      <c r="A131" s="426"/>
      <c r="B131" s="426"/>
      <c r="C131" s="410"/>
      <c r="D131" s="376"/>
      <c r="E131" s="422" t="s">
        <v>381</v>
      </c>
      <c r="F131" s="458"/>
      <c r="G131" s="458"/>
      <c r="H131" s="458"/>
      <c r="I131" s="458"/>
      <c r="J131" s="458"/>
      <c r="K131" s="458"/>
      <c r="L131" s="458"/>
      <c r="M131" s="458"/>
      <c r="N131" s="458"/>
      <c r="O131" s="458"/>
      <c r="P131" s="426"/>
      <c r="Q131" s="426"/>
      <c r="R131" s="426"/>
      <c r="S131" s="426"/>
      <c r="T131" s="426"/>
      <c r="U131" s="426"/>
      <c r="V131" s="426"/>
      <c r="Z131" s="478"/>
      <c r="AA131" s="478"/>
      <c r="AB131" s="478"/>
      <c r="AC131" s="478"/>
      <c r="AD131" s="478"/>
      <c r="AE131" s="478"/>
    </row>
    <row r="132" spans="1:31" hidden="1" x14ac:dyDescent="0.25">
      <c r="A132" s="426" t="str">
        <f>IF(AND(F134=G134,H134=I134,J134=K134,F134="A"),"2016 - kwh",IF(AND(F134=G134,H134=I134,J134&lt;&gt;K134,F134="A"),"2017 - kwh",IF(AND(F134=G134,H134&lt;&gt;I134,F134="A"),"2018 - kwh","N/A")))</f>
        <v>N/A</v>
      </c>
      <c r="B132" s="426" t="str">
        <f>IF(AND(F134="A",G134="A"),"A","")</f>
        <v/>
      </c>
      <c r="C132" s="406" t="s">
        <v>415</v>
      </c>
      <c r="D132" s="460"/>
      <c r="E132" s="424" t="s">
        <v>379</v>
      </c>
      <c r="F132" s="459"/>
      <c r="G132" s="459"/>
      <c r="H132" s="459"/>
      <c r="I132" s="459"/>
      <c r="J132" s="459"/>
      <c r="K132" s="459"/>
      <c r="L132" s="459"/>
      <c r="M132" s="459"/>
      <c r="N132" s="459"/>
      <c r="O132" s="459"/>
      <c r="P132" s="426"/>
      <c r="Q132" s="426"/>
      <c r="R132" s="426"/>
      <c r="S132" s="426"/>
      <c r="T132" s="426"/>
      <c r="U132" s="426"/>
      <c r="V132" s="426"/>
      <c r="Z132" s="478"/>
      <c r="AA132" s="478" t="str">
        <f>IF(AND(F134=G134,H134=I134,F134="A"),"2016 - kwh","")</f>
        <v/>
      </c>
      <c r="AB132" s="478" t="str">
        <f>IF(OR(B132="2017 - kwh",B132="2018 - kwh"),"2016 - kwh","")</f>
        <v/>
      </c>
      <c r="AC132" s="478"/>
      <c r="AD132" s="478"/>
      <c r="AE132" s="478"/>
    </row>
    <row r="133" spans="1:31" hidden="1" x14ac:dyDescent="0.25">
      <c r="A133" s="426" t="str">
        <f>IF(AND(F134=G134,H134=I134,J134=K134,F134="A"),"2016 - kw",IF(AND(F134=G134,H134=I134,J134&lt;&gt;K134,F134="A"),"2017 - kw",IF(AND(F134=G134,H134&lt;&gt;I134,F134="A"),"2018 - kw","N/A")))</f>
        <v>N/A</v>
      </c>
      <c r="B133" s="426" t="str">
        <f>IF(AND(F134="A",G134="A"),"A","")</f>
        <v/>
      </c>
      <c r="C133" s="407"/>
      <c r="D133" s="420" t="str">
        <f>D132 &amp; "kW"</f>
        <v>kW</v>
      </c>
      <c r="E133" s="423" t="s">
        <v>380</v>
      </c>
      <c r="F133" s="459"/>
      <c r="G133" s="459"/>
      <c r="H133" s="459"/>
      <c r="I133" s="459"/>
      <c r="J133" s="459"/>
      <c r="K133" s="459"/>
      <c r="L133" s="459"/>
      <c r="M133" s="459"/>
      <c r="N133" s="459"/>
      <c r="O133" s="459"/>
      <c r="P133" s="426"/>
      <c r="Q133" s="426"/>
      <c r="R133" s="426"/>
      <c r="S133" s="426"/>
      <c r="T133" s="426"/>
      <c r="U133" s="426"/>
      <c r="V133" s="426"/>
      <c r="Z133" s="478"/>
      <c r="AA133" s="478" t="str">
        <f>IF(AND(F134=G134,H134=I134,F134="A"),"2016 - kw","")</f>
        <v/>
      </c>
      <c r="AB133" s="478" t="str">
        <f>IF(OR(B133="2017 - kw",B133="2018 - kw"),"2016 - kw","")</f>
        <v/>
      </c>
      <c r="AC133" s="478"/>
      <c r="AD133" s="478"/>
      <c r="AE133" s="478"/>
    </row>
    <row r="134" spans="1:31" hidden="1" x14ac:dyDescent="0.25">
      <c r="A134" s="426"/>
      <c r="B134" s="426"/>
      <c r="C134" s="410"/>
      <c r="D134" s="376"/>
      <c r="E134" s="422" t="s">
        <v>381</v>
      </c>
      <c r="F134" s="458"/>
      <c r="G134" s="458"/>
      <c r="H134" s="458"/>
      <c r="I134" s="458"/>
      <c r="J134" s="458"/>
      <c r="K134" s="458"/>
      <c r="L134" s="458"/>
      <c r="M134" s="458"/>
      <c r="N134" s="458"/>
      <c r="O134" s="458"/>
      <c r="P134" s="426"/>
      <c r="Q134" s="426"/>
      <c r="R134" s="426"/>
      <c r="S134" s="426"/>
      <c r="T134" s="426"/>
      <c r="U134" s="426"/>
      <c r="V134" s="426"/>
      <c r="Z134" s="478"/>
      <c r="AA134" s="478"/>
      <c r="AB134" s="478"/>
      <c r="AC134" s="478"/>
      <c r="AD134" s="478"/>
      <c r="AE134" s="478"/>
    </row>
    <row r="135" spans="1:31" hidden="1" x14ac:dyDescent="0.25">
      <c r="A135" s="426" t="str">
        <f>IF(AND(F137=G137,H137=I137,J137=K137,F137="A"),"2016 - kwh",IF(AND(F137=G137,H137=I137,J137&lt;&gt;K137,F137="A"),"2017 - kwh",IF(AND(F137=G137,H137&lt;&gt;I137,F137="A"),"2018 - kwh","N/A")))</f>
        <v>N/A</v>
      </c>
      <c r="B135" s="426" t="str">
        <f>IF(AND(F137="A",G137="A"),"A","")</f>
        <v/>
      </c>
      <c r="C135" s="406" t="s">
        <v>416</v>
      </c>
      <c r="D135" s="460"/>
      <c r="E135" s="424" t="s">
        <v>379</v>
      </c>
      <c r="F135" s="459"/>
      <c r="G135" s="459"/>
      <c r="H135" s="459"/>
      <c r="I135" s="459"/>
      <c r="J135" s="459"/>
      <c r="K135" s="459"/>
      <c r="L135" s="459"/>
      <c r="M135" s="459"/>
      <c r="N135" s="459"/>
      <c r="O135" s="459"/>
      <c r="P135" s="426"/>
      <c r="Q135" s="426"/>
      <c r="R135" s="426"/>
      <c r="S135" s="426"/>
      <c r="T135" s="426"/>
      <c r="U135" s="426"/>
      <c r="V135" s="426"/>
      <c r="Z135" s="478"/>
      <c r="AA135" s="478" t="str">
        <f>IF(AND(F137=G137,H137=I137,F137="A"),"2016 - kwh","")</f>
        <v/>
      </c>
      <c r="AB135" s="478" t="str">
        <f>IF(OR(B135="2017 - kwh",B135="2018 - kwh"),"2016 - kwh","")</f>
        <v/>
      </c>
      <c r="AC135" s="478"/>
      <c r="AD135" s="478"/>
      <c r="AE135" s="478"/>
    </row>
    <row r="136" spans="1:31" hidden="1" x14ac:dyDescent="0.25">
      <c r="A136" s="426" t="str">
        <f>IF(AND(F137=G137,H137=I137,J137=K137,F137="A"),"2016 - kw",IF(AND(F137=G137,H137=I137,J137&lt;&gt;K137,F137="A"),"2017 - kw",IF(AND(F137=G137,H137&lt;&gt;I137,F137="A"),"2018 - kw","N/A")))</f>
        <v>N/A</v>
      </c>
      <c r="B136" s="426" t="str">
        <f>IF(AND(F137="A",G137="A"),"A","")</f>
        <v/>
      </c>
      <c r="C136" s="407"/>
      <c r="D136" s="420" t="str">
        <f>D135 &amp; "kW"</f>
        <v>kW</v>
      </c>
      <c r="E136" s="423" t="s">
        <v>380</v>
      </c>
      <c r="F136" s="459"/>
      <c r="G136" s="459"/>
      <c r="H136" s="459"/>
      <c r="I136" s="459"/>
      <c r="J136" s="459"/>
      <c r="K136" s="459"/>
      <c r="L136" s="459"/>
      <c r="M136" s="459"/>
      <c r="N136" s="459"/>
      <c r="O136" s="459"/>
      <c r="P136" s="426"/>
      <c r="Q136" s="426"/>
      <c r="R136" s="426"/>
      <c r="S136" s="426"/>
      <c r="T136" s="426"/>
      <c r="U136" s="426"/>
      <c r="V136" s="426"/>
      <c r="Z136" s="478"/>
      <c r="AA136" s="478" t="str">
        <f>IF(AND(F137=G137,H137=I137,F137="A"),"2016 - kw","")</f>
        <v/>
      </c>
      <c r="AB136" s="478" t="str">
        <f>IF(OR(B136="2017 - kw",B136="2018 - kw"),"2016 - kw","")</f>
        <v/>
      </c>
      <c r="AC136" s="478"/>
      <c r="AD136" s="478"/>
      <c r="AE136" s="478"/>
    </row>
    <row r="137" spans="1:31" hidden="1" x14ac:dyDescent="0.25">
      <c r="A137" s="426"/>
      <c r="B137" s="426"/>
      <c r="C137" s="410"/>
      <c r="D137" s="376"/>
      <c r="E137" s="422" t="s">
        <v>381</v>
      </c>
      <c r="F137" s="458"/>
      <c r="G137" s="458"/>
      <c r="H137" s="458"/>
      <c r="I137" s="458"/>
      <c r="J137" s="458"/>
      <c r="K137" s="458"/>
      <c r="L137" s="458"/>
      <c r="M137" s="458"/>
      <c r="N137" s="458"/>
      <c r="O137" s="458"/>
      <c r="P137" s="426"/>
      <c r="Q137" s="426"/>
      <c r="R137" s="426"/>
      <c r="S137" s="426"/>
      <c r="T137" s="426"/>
      <c r="U137" s="426"/>
      <c r="V137" s="426"/>
      <c r="Z137" s="478"/>
      <c r="AA137" s="478"/>
      <c r="AB137" s="478"/>
      <c r="AC137" s="478"/>
      <c r="AD137" s="478"/>
      <c r="AE137" s="478"/>
    </row>
    <row r="138" spans="1:31" hidden="1" x14ac:dyDescent="0.25">
      <c r="A138" s="426" t="str">
        <f>IF(AND(F140=G140,H140=I140,J140=K140,F140="A"),"2016 - kwh",IF(AND(F140=G140,H140=I140,J140&lt;&gt;K140,F140="A"),"2017 - kwh",IF(AND(F140=G140,H140&lt;&gt;I140,F140="A"),"2018 - kwh","N/A")))</f>
        <v>N/A</v>
      </c>
      <c r="B138" s="426" t="str">
        <f>IF(AND(F140="A",G140="A"),"A","")</f>
        <v/>
      </c>
      <c r="C138" s="406" t="s">
        <v>417</v>
      </c>
      <c r="D138" s="460"/>
      <c r="E138" s="424" t="s">
        <v>379</v>
      </c>
      <c r="F138" s="459"/>
      <c r="G138" s="459"/>
      <c r="H138" s="459"/>
      <c r="I138" s="459"/>
      <c r="J138" s="459"/>
      <c r="K138" s="459"/>
      <c r="L138" s="459"/>
      <c r="M138" s="459"/>
      <c r="N138" s="459"/>
      <c r="O138" s="459"/>
      <c r="P138" s="426"/>
      <c r="Q138" s="426"/>
      <c r="R138" s="426"/>
      <c r="S138" s="426"/>
      <c r="T138" s="426"/>
      <c r="U138" s="426"/>
      <c r="V138" s="426"/>
      <c r="Z138" s="478"/>
      <c r="AA138" s="478" t="str">
        <f>IF(AND(F140=G140,H140=I140,F140="A"),"2016 - kwh","")</f>
        <v/>
      </c>
      <c r="AB138" s="478" t="str">
        <f>IF(OR(B138="2017 - kwh",B138="2018 - kwh"),"2016 - kwh","")</f>
        <v/>
      </c>
      <c r="AC138" s="478"/>
      <c r="AD138" s="478"/>
      <c r="AE138" s="478"/>
    </row>
    <row r="139" spans="1:31" hidden="1" x14ac:dyDescent="0.25">
      <c r="A139" s="426" t="str">
        <f>IF(AND(F140=G140,H140=I140,J140=K140,F140="A"),"2016 - kw",IF(AND(F140=G140,H140=I140,J140&lt;&gt;K140,F140="A"),"2017 - kw",IF(AND(F140=G140,H140&lt;&gt;I140,F140="A"),"2018 - kw","N/A")))</f>
        <v>N/A</v>
      </c>
      <c r="B139" s="426" t="str">
        <f>IF(AND(F140="A",G140="A"),"A","")</f>
        <v/>
      </c>
      <c r="C139" s="407"/>
      <c r="D139" s="420" t="str">
        <f>D138 &amp; "kW"</f>
        <v>kW</v>
      </c>
      <c r="E139" s="423" t="s">
        <v>380</v>
      </c>
      <c r="F139" s="459"/>
      <c r="G139" s="459"/>
      <c r="H139" s="459"/>
      <c r="I139" s="459"/>
      <c r="J139" s="459"/>
      <c r="K139" s="459"/>
      <c r="L139" s="459"/>
      <c r="M139" s="459"/>
      <c r="N139" s="459"/>
      <c r="O139" s="459"/>
      <c r="P139" s="426"/>
      <c r="Q139" s="426"/>
      <c r="R139" s="426"/>
      <c r="S139" s="426"/>
      <c r="T139" s="426"/>
      <c r="U139" s="426"/>
      <c r="V139" s="426"/>
      <c r="Z139" s="478"/>
      <c r="AA139" s="478" t="str">
        <f>IF(AND(F140=G140,H140=I140,F140="A"),"2016 - kw","")</f>
        <v/>
      </c>
      <c r="AB139" s="478" t="str">
        <f>IF(OR(B139="2017 - kw",B139="2018 - kw"),"2016 - kw","")</f>
        <v/>
      </c>
      <c r="AC139" s="478"/>
      <c r="AD139" s="478"/>
      <c r="AE139" s="478"/>
    </row>
    <row r="140" spans="1:31" hidden="1" x14ac:dyDescent="0.25">
      <c r="A140" s="426"/>
      <c r="B140" s="426"/>
      <c r="C140" s="410"/>
      <c r="D140" s="376"/>
      <c r="E140" s="422" t="s">
        <v>381</v>
      </c>
      <c r="F140" s="458"/>
      <c r="G140" s="458"/>
      <c r="H140" s="458"/>
      <c r="I140" s="458"/>
      <c r="J140" s="458"/>
      <c r="K140" s="458"/>
      <c r="L140" s="458"/>
      <c r="M140" s="458"/>
      <c r="N140" s="458"/>
      <c r="O140" s="458"/>
      <c r="P140" s="426"/>
      <c r="Q140" s="426"/>
      <c r="R140" s="426"/>
      <c r="S140" s="426"/>
      <c r="T140" s="426"/>
      <c r="U140" s="426"/>
      <c r="V140" s="426"/>
      <c r="Z140" s="478"/>
      <c r="AA140" s="478"/>
      <c r="AB140" s="478"/>
      <c r="AC140" s="478"/>
      <c r="AD140" s="478"/>
      <c r="AE140" s="478"/>
    </row>
    <row r="141" spans="1:31" hidden="1" x14ac:dyDescent="0.25">
      <c r="A141" s="426" t="str">
        <f>IF(AND(F143=G143,H143=I143,J143=K143,F143="A"),"2016 - kwh",IF(AND(F143=G143,H143=I143,J143&lt;&gt;K143,F143="A"),"2017 - kwh",IF(AND(F143=G143,H143&lt;&gt;I143,F143="A"),"2018 - kwh","N/A")))</f>
        <v>N/A</v>
      </c>
      <c r="B141" s="426" t="str">
        <f>IF(AND(F143="A",G143="A"),"A","")</f>
        <v/>
      </c>
      <c r="C141" s="406" t="s">
        <v>418</v>
      </c>
      <c r="D141" s="460"/>
      <c r="E141" s="424" t="s">
        <v>379</v>
      </c>
      <c r="F141" s="459"/>
      <c r="G141" s="459"/>
      <c r="H141" s="459"/>
      <c r="I141" s="459"/>
      <c r="J141" s="459"/>
      <c r="K141" s="459"/>
      <c r="L141" s="459"/>
      <c r="M141" s="459"/>
      <c r="N141" s="459"/>
      <c r="O141" s="459"/>
      <c r="P141" s="426"/>
      <c r="Q141" s="426"/>
      <c r="R141" s="426"/>
      <c r="S141" s="426"/>
      <c r="T141" s="426"/>
      <c r="U141" s="426"/>
      <c r="V141" s="426"/>
      <c r="Z141" s="478"/>
      <c r="AA141" s="478" t="str">
        <f>IF(AND(F143=G143,H143=I143,F143="A"),"2016 - kwh","")</f>
        <v/>
      </c>
      <c r="AB141" s="478" t="str">
        <f>IF(OR(B141="2017 - kwh",B141="2018 - kwh"),"2016 - kwh","")</f>
        <v/>
      </c>
      <c r="AC141" s="478"/>
      <c r="AD141" s="478"/>
      <c r="AE141" s="478"/>
    </row>
    <row r="142" spans="1:31" hidden="1" x14ac:dyDescent="0.25">
      <c r="A142" s="426" t="str">
        <f>IF(AND(F143=G143,H143=I143,J143=K143,F143="A"),"2016 - kw",IF(AND(F143=G143,H143=I143,J143&lt;&gt;K143,F143="A"),"2017 - kw",IF(AND(F143=G143,H143&lt;&gt;I143,F143="A"),"2018 - kw","N/A")))</f>
        <v>N/A</v>
      </c>
      <c r="B142" s="426" t="str">
        <f>IF(AND(F143="A",G143="A"),"A","")</f>
        <v/>
      </c>
      <c r="C142" s="407"/>
      <c r="D142" s="420" t="str">
        <f>D141 &amp; "kW"</f>
        <v>kW</v>
      </c>
      <c r="E142" s="423" t="s">
        <v>380</v>
      </c>
      <c r="F142" s="459"/>
      <c r="G142" s="459"/>
      <c r="H142" s="459"/>
      <c r="I142" s="459"/>
      <c r="J142" s="459"/>
      <c r="K142" s="459"/>
      <c r="L142" s="459"/>
      <c r="M142" s="459"/>
      <c r="N142" s="459"/>
      <c r="O142" s="459"/>
      <c r="P142" s="426"/>
      <c r="Q142" s="426"/>
      <c r="R142" s="426"/>
      <c r="S142" s="426"/>
      <c r="T142" s="426"/>
      <c r="U142" s="426"/>
      <c r="V142" s="426"/>
      <c r="Z142" s="478"/>
      <c r="AA142" s="478" t="str">
        <f>IF(AND(F143=G143,H143=I143,F143="A"),"2016 - kw","")</f>
        <v/>
      </c>
      <c r="AB142" s="478" t="str">
        <f>IF(OR(B142="2017 - kw",B142="2018 - kw"),"2016 - kw","")</f>
        <v/>
      </c>
      <c r="AC142" s="478"/>
      <c r="AD142" s="478"/>
      <c r="AE142" s="478"/>
    </row>
    <row r="143" spans="1:31" hidden="1" x14ac:dyDescent="0.25">
      <c r="A143" s="426"/>
      <c r="B143" s="426"/>
      <c r="C143" s="410"/>
      <c r="D143" s="376"/>
      <c r="E143" s="422" t="s">
        <v>381</v>
      </c>
      <c r="F143" s="458"/>
      <c r="G143" s="458"/>
      <c r="H143" s="458"/>
      <c r="I143" s="458"/>
      <c r="J143" s="458"/>
      <c r="K143" s="458"/>
      <c r="L143" s="458"/>
      <c r="M143" s="458"/>
      <c r="N143" s="458"/>
      <c r="O143" s="458"/>
      <c r="P143" s="426"/>
      <c r="Q143" s="426"/>
      <c r="R143" s="426"/>
      <c r="S143" s="426"/>
      <c r="T143" s="426"/>
      <c r="U143" s="426"/>
      <c r="V143" s="426"/>
      <c r="Z143" s="478"/>
      <c r="AA143" s="478"/>
      <c r="AB143" s="478"/>
      <c r="AC143" s="478"/>
      <c r="AD143" s="478"/>
      <c r="AE143" s="478"/>
    </row>
    <row r="144" spans="1:31" hidden="1" x14ac:dyDescent="0.25">
      <c r="A144" s="426" t="str">
        <f>IF(AND(F146=G146,H146=I146,J146=K146,F146="A"),"2016 - kwh",IF(AND(F146=G146,H146=I146,J146&lt;&gt;K146,F146="A"),"2017 - kwh",IF(AND(F146=G146,H146&lt;&gt;I146,F146="A"),"2018 - kwh","N/A")))</f>
        <v>N/A</v>
      </c>
      <c r="B144" s="426" t="str">
        <f>IF(AND(F146="A",G146="A"),"A","")</f>
        <v/>
      </c>
      <c r="C144" s="406" t="s">
        <v>419</v>
      </c>
      <c r="D144" s="460"/>
      <c r="E144" s="424" t="s">
        <v>379</v>
      </c>
      <c r="F144" s="459"/>
      <c r="G144" s="459"/>
      <c r="H144" s="459"/>
      <c r="I144" s="459"/>
      <c r="J144" s="459"/>
      <c r="K144" s="459"/>
      <c r="L144" s="459"/>
      <c r="M144" s="459"/>
      <c r="N144" s="459"/>
      <c r="O144" s="459"/>
      <c r="P144" s="426"/>
      <c r="Q144" s="426"/>
      <c r="R144" s="426"/>
      <c r="S144" s="426"/>
      <c r="T144" s="426"/>
      <c r="U144" s="426"/>
      <c r="V144" s="426"/>
      <c r="Z144" s="478"/>
      <c r="AA144" s="478" t="str">
        <f>IF(AND(F146=G146,H146=I146,F146="A"),"2016 - kwh","")</f>
        <v/>
      </c>
      <c r="AB144" s="478" t="str">
        <f>IF(OR(B144="2017 - kwh",B144="2018 - kwh"),"2016 - kwh","")</f>
        <v/>
      </c>
      <c r="AC144" s="478"/>
      <c r="AD144" s="478"/>
      <c r="AE144" s="478"/>
    </row>
    <row r="145" spans="1:31" hidden="1" x14ac:dyDescent="0.25">
      <c r="A145" s="426" t="str">
        <f>IF(AND(F146=G146,H146=I146,J146=K146,F146="A"),"2016 - kw",IF(AND(F146=G146,H146=I146,J146&lt;&gt;K146,F146="A"),"2017 - kw",IF(AND(F146=G146,H146&lt;&gt;I146,F146="A"),"2018 - kw","N/A")))</f>
        <v>N/A</v>
      </c>
      <c r="B145" s="426" t="str">
        <f>IF(AND(F146="A",G146="A"),"A","")</f>
        <v/>
      </c>
      <c r="C145" s="407"/>
      <c r="D145" s="420" t="str">
        <f>D144 &amp; "kW"</f>
        <v>kW</v>
      </c>
      <c r="E145" s="423" t="s">
        <v>380</v>
      </c>
      <c r="F145" s="459"/>
      <c r="G145" s="459"/>
      <c r="H145" s="459"/>
      <c r="I145" s="459"/>
      <c r="J145" s="459"/>
      <c r="K145" s="459"/>
      <c r="L145" s="459"/>
      <c r="M145" s="459"/>
      <c r="N145" s="459"/>
      <c r="O145" s="459"/>
      <c r="P145" s="426"/>
      <c r="Q145" s="426"/>
      <c r="R145" s="426"/>
      <c r="S145" s="426"/>
      <c r="T145" s="426"/>
      <c r="U145" s="426"/>
      <c r="V145" s="426"/>
      <c r="Z145" s="478"/>
      <c r="AA145" s="478" t="str">
        <f>IF(AND(F146=G146,H146=I146,F146="A"),"2016 - kw","")</f>
        <v/>
      </c>
      <c r="AB145" s="478" t="str">
        <f>IF(OR(B145="2017 - kw",B145="2018 - kw"),"2016 - kw","")</f>
        <v/>
      </c>
      <c r="AC145" s="478"/>
      <c r="AD145" s="478"/>
      <c r="AE145" s="478"/>
    </row>
    <row r="146" spans="1:31" hidden="1" x14ac:dyDescent="0.25">
      <c r="A146" s="426"/>
      <c r="B146" s="426"/>
      <c r="C146" s="410"/>
      <c r="D146" s="376"/>
      <c r="E146" s="422" t="s">
        <v>381</v>
      </c>
      <c r="F146" s="458"/>
      <c r="G146" s="458"/>
      <c r="H146" s="458"/>
      <c r="I146" s="458"/>
      <c r="J146" s="458"/>
      <c r="K146" s="458"/>
      <c r="L146" s="458"/>
      <c r="M146" s="458"/>
      <c r="N146" s="458"/>
      <c r="O146" s="458"/>
      <c r="P146" s="426"/>
      <c r="Q146" s="426"/>
      <c r="R146" s="426"/>
      <c r="S146" s="426"/>
      <c r="T146" s="426"/>
      <c r="U146" s="426"/>
      <c r="V146" s="426"/>
      <c r="Z146" s="478"/>
      <c r="AA146" s="478"/>
      <c r="AB146" s="478"/>
      <c r="AC146" s="478"/>
      <c r="AD146" s="478"/>
      <c r="AE146" s="478"/>
    </row>
    <row r="147" spans="1:31" hidden="1" x14ac:dyDescent="0.25">
      <c r="A147" s="426" t="str">
        <f>IF(AND(F149=G149,H149=I149,J149=K149,F149="A"),"2016 - kwh",IF(AND(F149=G149,H149=I149,J149&lt;&gt;K149,F149="A"),"2017 - kwh",IF(AND(F149=G149,H149&lt;&gt;I149,F149="A"),"2018 - kwh","N/A")))</f>
        <v>N/A</v>
      </c>
      <c r="B147" s="426" t="str">
        <f>IF(AND(F149="A",G149="A"),"A","")</f>
        <v/>
      </c>
      <c r="C147" s="406" t="s">
        <v>420</v>
      </c>
      <c r="D147" s="460"/>
      <c r="E147" s="424" t="s">
        <v>379</v>
      </c>
      <c r="F147" s="459"/>
      <c r="G147" s="459"/>
      <c r="H147" s="459"/>
      <c r="I147" s="459"/>
      <c r="J147" s="459"/>
      <c r="K147" s="459"/>
      <c r="L147" s="459"/>
      <c r="M147" s="459"/>
      <c r="N147" s="459"/>
      <c r="O147" s="459"/>
      <c r="P147" s="426"/>
      <c r="Q147" s="426"/>
      <c r="R147" s="426"/>
      <c r="S147" s="426"/>
      <c r="T147" s="426"/>
      <c r="U147" s="426"/>
      <c r="V147" s="426"/>
      <c r="Z147" s="478"/>
      <c r="AA147" s="478" t="str">
        <f>IF(AND(F149=G149,H149=I149,F149="A"),"2016 - kwh","")</f>
        <v/>
      </c>
      <c r="AB147" s="478" t="str">
        <f>IF(OR(B147="2017 - kwh",B147="2018 - kwh"),"2016 - kwh","")</f>
        <v/>
      </c>
      <c r="AC147" s="478"/>
      <c r="AD147" s="478"/>
      <c r="AE147" s="478"/>
    </row>
    <row r="148" spans="1:31" hidden="1" x14ac:dyDescent="0.25">
      <c r="A148" s="426" t="str">
        <f>IF(AND(F149=G149,H149=I149,J149=K149,F149="A"),"2016 - kw",IF(AND(F149=G149,H149=I149,J149&lt;&gt;K149,F149="A"),"2017 - kw",IF(AND(F149=G149,H149&lt;&gt;I149,F149="A"),"2018 - kw","N/A")))</f>
        <v>N/A</v>
      </c>
      <c r="B148" s="426" t="str">
        <f>IF(AND(F149="A",G149="A"),"A","")</f>
        <v/>
      </c>
      <c r="C148" s="407"/>
      <c r="D148" s="420" t="str">
        <f>D147 &amp; "kW"</f>
        <v>kW</v>
      </c>
      <c r="E148" s="423" t="s">
        <v>380</v>
      </c>
      <c r="F148" s="459"/>
      <c r="G148" s="459"/>
      <c r="H148" s="459"/>
      <c r="I148" s="459"/>
      <c r="J148" s="459"/>
      <c r="K148" s="459"/>
      <c r="L148" s="459"/>
      <c r="M148" s="459"/>
      <c r="N148" s="459"/>
      <c r="O148" s="459"/>
      <c r="P148" s="426"/>
      <c r="Q148" s="426"/>
      <c r="R148" s="426"/>
      <c r="S148" s="426"/>
      <c r="T148" s="426"/>
      <c r="U148" s="426"/>
      <c r="V148" s="426"/>
      <c r="Z148" s="478"/>
      <c r="AA148" s="478" t="str">
        <f>IF(AND(F149=G149,H149=I149,F149="A"),"2016 - kw","")</f>
        <v/>
      </c>
      <c r="AB148" s="478" t="str">
        <f>IF(OR(B148="2017 - kw",B148="2018 - kw"),"2016 - kw","")</f>
        <v/>
      </c>
      <c r="AC148" s="478"/>
      <c r="AD148" s="478"/>
      <c r="AE148" s="478"/>
    </row>
    <row r="149" spans="1:31" hidden="1" x14ac:dyDescent="0.25">
      <c r="A149" s="426"/>
      <c r="B149" s="426"/>
      <c r="C149" s="410"/>
      <c r="D149" s="376"/>
      <c r="E149" s="422" t="s">
        <v>381</v>
      </c>
      <c r="F149" s="458"/>
      <c r="G149" s="458"/>
      <c r="H149" s="458"/>
      <c r="I149" s="458"/>
      <c r="J149" s="458"/>
      <c r="K149" s="458"/>
      <c r="L149" s="458"/>
      <c r="M149" s="458"/>
      <c r="N149" s="458"/>
      <c r="O149" s="458"/>
      <c r="P149" s="426"/>
      <c r="Q149" s="426"/>
      <c r="R149" s="426"/>
      <c r="S149" s="426"/>
      <c r="T149" s="426"/>
      <c r="U149" s="426"/>
      <c r="V149" s="426"/>
      <c r="Z149" s="478"/>
      <c r="AA149" s="478"/>
      <c r="AB149" s="478"/>
      <c r="AC149" s="478"/>
      <c r="AD149" s="478"/>
      <c r="AE149" s="478"/>
    </row>
    <row r="150" spans="1:31" hidden="1" x14ac:dyDescent="0.25">
      <c r="A150" s="426" t="str">
        <f>IF(AND(F152=G152,H152=I152,J152=K152,F152="A"),"2016 - kwh",IF(AND(F152=G152,H152=I152,J152&lt;&gt;K152,F152="A"),"2017 - kwh",IF(AND(F152=G152,H152&lt;&gt;I152,F152="A"),"2018 - kwh","N/A")))</f>
        <v>N/A</v>
      </c>
      <c r="B150" s="426" t="str">
        <f>IF(AND(F152="A",G152="A"),"A","")</f>
        <v/>
      </c>
      <c r="C150" s="406" t="s">
        <v>421</v>
      </c>
      <c r="D150" s="460"/>
      <c r="E150" s="424" t="s">
        <v>379</v>
      </c>
      <c r="F150" s="459"/>
      <c r="G150" s="459"/>
      <c r="H150" s="459"/>
      <c r="I150" s="459"/>
      <c r="J150" s="459"/>
      <c r="K150" s="459"/>
      <c r="L150" s="459"/>
      <c r="M150" s="459"/>
      <c r="N150" s="459"/>
      <c r="O150" s="459"/>
      <c r="P150" s="426"/>
      <c r="Q150" s="426"/>
      <c r="R150" s="426"/>
      <c r="S150" s="426"/>
      <c r="T150" s="426"/>
      <c r="U150" s="426"/>
      <c r="V150" s="426"/>
      <c r="Z150" s="478"/>
      <c r="AA150" s="478" t="str">
        <f>IF(AND(F152=G152,H152=I152,F152="A"),"2016 - kwh","")</f>
        <v/>
      </c>
      <c r="AB150" s="478" t="str">
        <f>IF(OR(B150="2017 - kwh",B150="2018 - kwh"),"2016 - kwh","")</f>
        <v/>
      </c>
      <c r="AC150" s="478"/>
      <c r="AD150" s="478"/>
      <c r="AE150" s="478"/>
    </row>
    <row r="151" spans="1:31" hidden="1" x14ac:dyDescent="0.25">
      <c r="A151" s="426" t="str">
        <f>IF(AND(F152=G152,H152=I152,J152=K152,F152="A"),"2016 - kw",IF(AND(F152=G152,H152=I152,J152&lt;&gt;K152,F152="A"),"2017 - kw",IF(AND(F152=G152,H152&lt;&gt;I152,F152="A"),"2018 - kw","N/A")))</f>
        <v>N/A</v>
      </c>
      <c r="B151" s="426" t="str">
        <f>IF(AND(F152="A",G152="A"),"A","")</f>
        <v/>
      </c>
      <c r="C151" s="407"/>
      <c r="D151" s="420" t="str">
        <f>D150 &amp; "kW"</f>
        <v>kW</v>
      </c>
      <c r="E151" s="423" t="s">
        <v>380</v>
      </c>
      <c r="F151" s="459"/>
      <c r="G151" s="459"/>
      <c r="H151" s="459"/>
      <c r="I151" s="459"/>
      <c r="J151" s="459"/>
      <c r="K151" s="459"/>
      <c r="L151" s="459"/>
      <c r="M151" s="459"/>
      <c r="N151" s="459"/>
      <c r="O151" s="459"/>
      <c r="P151" s="426"/>
      <c r="Q151" s="426"/>
      <c r="R151" s="426"/>
      <c r="S151" s="426"/>
      <c r="T151" s="426"/>
      <c r="U151" s="426"/>
      <c r="V151" s="426"/>
      <c r="Z151" s="478"/>
      <c r="AA151" s="478" t="str">
        <f>IF(AND(F152=G152,H152=I152,F152="A"),"2016 - kw","")</f>
        <v/>
      </c>
      <c r="AB151" s="478" t="str">
        <f>IF(OR(B151="2017 - kw",B151="2018 - kw"),"2016 - kw","")</f>
        <v/>
      </c>
      <c r="AC151" s="478"/>
      <c r="AD151" s="478"/>
      <c r="AE151" s="478"/>
    </row>
    <row r="152" spans="1:31" hidden="1" x14ac:dyDescent="0.25">
      <c r="A152" s="426"/>
      <c r="B152" s="426"/>
      <c r="C152" s="410"/>
      <c r="D152" s="376"/>
      <c r="E152" s="422" t="s">
        <v>381</v>
      </c>
      <c r="F152" s="458"/>
      <c r="G152" s="458"/>
      <c r="H152" s="458"/>
      <c r="I152" s="458"/>
      <c r="J152" s="458"/>
      <c r="K152" s="458"/>
      <c r="L152" s="458"/>
      <c r="M152" s="458"/>
      <c r="N152" s="458"/>
      <c r="O152" s="458"/>
      <c r="P152" s="426"/>
      <c r="Q152" s="426"/>
      <c r="R152" s="426"/>
      <c r="S152" s="426"/>
      <c r="T152" s="426"/>
      <c r="U152" s="426"/>
      <c r="V152" s="426"/>
      <c r="Z152" s="478"/>
      <c r="AA152" s="478"/>
      <c r="AB152" s="478"/>
      <c r="AC152" s="478"/>
      <c r="AD152" s="478"/>
      <c r="AE152" s="478"/>
    </row>
    <row r="153" spans="1:31" hidden="1" x14ac:dyDescent="0.25">
      <c r="A153" s="426" t="str">
        <f>IF(AND(F155=G155,H155=I155,J155=K155,F155="A"),"2016 - kwh",IF(AND(F155=G155,H155=I155,J155&lt;&gt;K155,F155="A"),"2017 - kwh",IF(AND(F155=G155,H155&lt;&gt;I155,F155="A"),"2018 - kwh","N/A")))</f>
        <v>N/A</v>
      </c>
      <c r="B153" s="426" t="str">
        <f>IF(AND(F155="A",G155="A"),"A","")</f>
        <v/>
      </c>
      <c r="C153" s="406" t="s">
        <v>422</v>
      </c>
      <c r="D153" s="460"/>
      <c r="E153" s="424" t="s">
        <v>379</v>
      </c>
      <c r="F153" s="459"/>
      <c r="G153" s="459"/>
      <c r="H153" s="459"/>
      <c r="I153" s="459"/>
      <c r="J153" s="459"/>
      <c r="K153" s="459"/>
      <c r="L153" s="459"/>
      <c r="M153" s="459"/>
      <c r="N153" s="459"/>
      <c r="O153" s="459"/>
      <c r="P153" s="426"/>
      <c r="Q153" s="426"/>
      <c r="R153" s="426"/>
      <c r="S153" s="426"/>
      <c r="T153" s="426"/>
      <c r="U153" s="426"/>
      <c r="V153" s="426"/>
      <c r="Z153" s="478"/>
      <c r="AA153" s="478" t="str">
        <f>IF(AND(F155=G155,H155=I155,F155="A"),"2016 - kwh","")</f>
        <v/>
      </c>
      <c r="AB153" s="478" t="str">
        <f>IF(OR(B153="2017 - kwh",B153="2018 - kwh"),"2016 - kwh","")</f>
        <v/>
      </c>
      <c r="AC153" s="478"/>
      <c r="AD153" s="478"/>
      <c r="AE153" s="478"/>
    </row>
    <row r="154" spans="1:31" hidden="1" x14ac:dyDescent="0.25">
      <c r="A154" s="426" t="str">
        <f>IF(AND(F155=G155,H155=I155,J155=K155,F155="A"),"2016 - kw",IF(AND(F155=G155,H155=I155,J155&lt;&gt;K155,F155="A"),"2017 - kw",IF(AND(F155=G155,H155&lt;&gt;I155,F155="A"),"2018 - kw","N/A")))</f>
        <v>N/A</v>
      </c>
      <c r="B154" s="426" t="str">
        <f>IF(AND(F155="A",G155="A"),"A","")</f>
        <v/>
      </c>
      <c r="C154" s="407"/>
      <c r="D154" s="420" t="str">
        <f>D153 &amp; "kW"</f>
        <v>kW</v>
      </c>
      <c r="E154" s="423" t="s">
        <v>380</v>
      </c>
      <c r="F154" s="459"/>
      <c r="G154" s="459"/>
      <c r="H154" s="459"/>
      <c r="I154" s="459"/>
      <c r="J154" s="459"/>
      <c r="K154" s="459"/>
      <c r="L154" s="459"/>
      <c r="M154" s="459"/>
      <c r="N154" s="459"/>
      <c r="O154" s="459"/>
      <c r="P154" s="426"/>
      <c r="Q154" s="426"/>
      <c r="R154" s="426"/>
      <c r="S154" s="426"/>
      <c r="T154" s="426"/>
      <c r="U154" s="426"/>
      <c r="V154" s="426"/>
      <c r="Z154" s="478"/>
      <c r="AA154" s="478" t="str">
        <f>IF(AND(F155=G155,H155=I155,F155="A"),"2016 - kw","")</f>
        <v/>
      </c>
      <c r="AB154" s="478" t="str">
        <f>IF(OR(B154="2017 - kw",B154="2018 - kw"),"2016 - kw","")</f>
        <v/>
      </c>
      <c r="AC154" s="478"/>
      <c r="AD154" s="478"/>
      <c r="AE154" s="478"/>
    </row>
    <row r="155" spans="1:31" hidden="1" x14ac:dyDescent="0.25">
      <c r="A155" s="426"/>
      <c r="B155" s="426"/>
      <c r="C155" s="410"/>
      <c r="D155" s="376"/>
      <c r="E155" s="422" t="s">
        <v>381</v>
      </c>
      <c r="F155" s="458"/>
      <c r="G155" s="458"/>
      <c r="H155" s="458"/>
      <c r="I155" s="458"/>
      <c r="J155" s="458"/>
      <c r="K155" s="458"/>
      <c r="L155" s="458"/>
      <c r="M155" s="458"/>
      <c r="N155" s="458"/>
      <c r="O155" s="458"/>
      <c r="P155" s="426"/>
      <c r="Q155" s="426"/>
      <c r="R155" s="426"/>
      <c r="S155" s="426"/>
      <c r="T155" s="426"/>
      <c r="U155" s="426"/>
      <c r="V155" s="426"/>
      <c r="Z155" s="478"/>
      <c r="AA155" s="478"/>
      <c r="AB155" s="478"/>
      <c r="AC155" s="478"/>
      <c r="AD155" s="478"/>
      <c r="AE155" s="478"/>
    </row>
    <row r="156" spans="1:31" hidden="1" x14ac:dyDescent="0.25">
      <c r="A156" s="426" t="str">
        <f>IF(AND(F158=G158,H158=I158,J158=K158,F158="A"),"2016 - kwh",IF(AND(F158=G158,H158=I158,J158&lt;&gt;K158,F158="A"),"2017 - kwh",IF(AND(F158=G158,H158&lt;&gt;I158,F158="A"),"2018 - kwh","N/A")))</f>
        <v>N/A</v>
      </c>
      <c r="B156" s="426" t="str">
        <f>IF(AND(F158="A",G158="A"),"A","")</f>
        <v/>
      </c>
      <c r="C156" s="406" t="s">
        <v>423</v>
      </c>
      <c r="D156" s="460"/>
      <c r="E156" s="424" t="s">
        <v>379</v>
      </c>
      <c r="F156" s="459"/>
      <c r="G156" s="459"/>
      <c r="H156" s="459"/>
      <c r="I156" s="459"/>
      <c r="J156" s="459"/>
      <c r="K156" s="459"/>
      <c r="L156" s="459"/>
      <c r="M156" s="459"/>
      <c r="N156" s="459"/>
      <c r="O156" s="459"/>
      <c r="P156" s="426"/>
      <c r="Q156" s="426"/>
      <c r="R156" s="426"/>
      <c r="S156" s="426"/>
      <c r="T156" s="426"/>
      <c r="U156" s="426"/>
      <c r="V156" s="426"/>
      <c r="Z156" s="478"/>
      <c r="AA156" s="478" t="str">
        <f>IF(AND(F158=G158,H158=I158,F158="A"),"2016 - kwh","")</f>
        <v/>
      </c>
      <c r="AB156" s="478" t="str">
        <f>IF(OR(B156="2017 - kwh",B156="2018 - kwh"),"2016 - kwh","")</f>
        <v/>
      </c>
      <c r="AC156" s="478"/>
      <c r="AD156" s="478"/>
      <c r="AE156" s="478"/>
    </row>
    <row r="157" spans="1:31" hidden="1" x14ac:dyDescent="0.25">
      <c r="A157" s="426" t="str">
        <f>IF(AND(F158=G158,H158=I158,J158=K158,F158="A"),"2016 - kw",IF(AND(F158=G158,H158=I158,J158&lt;&gt;K158,F158="A"),"2017 - kw",IF(AND(F158=G158,H158&lt;&gt;I158,F158="A"),"2018 - kw","N/A")))</f>
        <v>N/A</v>
      </c>
      <c r="B157" s="426" t="str">
        <f>IF(AND(F158="A",G158="A"),"A","")</f>
        <v/>
      </c>
      <c r="C157" s="407"/>
      <c r="D157" s="420" t="str">
        <f>D156 &amp; "kW"</f>
        <v>kW</v>
      </c>
      <c r="E157" s="423" t="s">
        <v>380</v>
      </c>
      <c r="F157" s="459"/>
      <c r="G157" s="459"/>
      <c r="H157" s="459"/>
      <c r="I157" s="459"/>
      <c r="J157" s="459"/>
      <c r="K157" s="459"/>
      <c r="L157" s="459"/>
      <c r="M157" s="459"/>
      <c r="N157" s="459"/>
      <c r="O157" s="459"/>
      <c r="P157" s="426"/>
      <c r="Q157" s="426"/>
      <c r="R157" s="426"/>
      <c r="S157" s="426"/>
      <c r="T157" s="426"/>
      <c r="U157" s="426"/>
      <c r="V157" s="426"/>
      <c r="Z157" s="478"/>
      <c r="AA157" s="478" t="str">
        <f>IF(AND(F158=G158,H158=I158,F158="A"),"2016 - kw","")</f>
        <v/>
      </c>
      <c r="AB157" s="478" t="str">
        <f>IF(OR(B157="2017 - kw",B157="2018 - kw"),"2016 - kw","")</f>
        <v/>
      </c>
      <c r="AC157" s="478"/>
      <c r="AD157" s="478"/>
      <c r="AE157" s="478"/>
    </row>
    <row r="158" spans="1:31" hidden="1" x14ac:dyDescent="0.25">
      <c r="A158" s="426"/>
      <c r="B158" s="426"/>
      <c r="C158" s="410"/>
      <c r="D158" s="376"/>
      <c r="E158" s="422" t="s">
        <v>381</v>
      </c>
      <c r="F158" s="458"/>
      <c r="G158" s="458"/>
      <c r="H158" s="458"/>
      <c r="I158" s="458"/>
      <c r="J158" s="458"/>
      <c r="K158" s="458"/>
      <c r="L158" s="458"/>
      <c r="M158" s="458"/>
      <c r="N158" s="458"/>
      <c r="O158" s="458"/>
      <c r="P158" s="426"/>
      <c r="Q158" s="426"/>
      <c r="R158" s="426"/>
      <c r="S158" s="426"/>
      <c r="T158" s="426"/>
      <c r="U158" s="426"/>
      <c r="V158" s="426"/>
      <c r="Z158" s="478"/>
      <c r="AA158" s="478"/>
      <c r="AB158" s="478"/>
      <c r="AC158" s="478"/>
      <c r="AD158" s="478"/>
      <c r="AE158" s="478"/>
    </row>
    <row r="159" spans="1:31" hidden="1" x14ac:dyDescent="0.25">
      <c r="A159" s="426" t="str">
        <f>IF(AND(F161=G161,H161=I161,J161=K161,F161="A"),"2016 - kwh",IF(AND(F161=G161,H161=I161,J161&lt;&gt;K161,F161="A"),"2017 - kwh",IF(AND(F161=G161,H161&lt;&gt;I161,F161="A"),"2018 - kwh","N/A")))</f>
        <v>N/A</v>
      </c>
      <c r="B159" s="426" t="str">
        <f>IF(AND(F161="A",G161="A"),"A","")</f>
        <v/>
      </c>
      <c r="C159" s="406" t="s">
        <v>424</v>
      </c>
      <c r="D159" s="460"/>
      <c r="E159" s="424" t="s">
        <v>379</v>
      </c>
      <c r="F159" s="459"/>
      <c r="G159" s="459"/>
      <c r="H159" s="459"/>
      <c r="I159" s="459"/>
      <c r="J159" s="459"/>
      <c r="K159" s="459"/>
      <c r="L159" s="459"/>
      <c r="M159" s="459"/>
      <c r="N159" s="459"/>
      <c r="O159" s="459"/>
      <c r="P159" s="426"/>
      <c r="Q159" s="426"/>
      <c r="R159" s="426"/>
      <c r="S159" s="426"/>
      <c r="T159" s="426"/>
      <c r="U159" s="426"/>
      <c r="V159" s="426"/>
      <c r="Z159" s="478"/>
      <c r="AA159" s="478" t="str">
        <f>IF(AND(F161=G161,H161=I161,F161="A"),"2016 - kwh","")</f>
        <v/>
      </c>
      <c r="AB159" s="478" t="str">
        <f>IF(OR(B159="2017 - kwh",B159="2018 - kwh"),"2016 - kwh","")</f>
        <v/>
      </c>
      <c r="AC159" s="478"/>
      <c r="AD159" s="478"/>
      <c r="AE159" s="478"/>
    </row>
    <row r="160" spans="1:31" hidden="1" x14ac:dyDescent="0.25">
      <c r="A160" s="426" t="str">
        <f>IF(AND(F161=G161,H161=I161,J161=K161,F161="A"),"2016 - kw",IF(AND(F161=G161,H161=I161,J161&lt;&gt;K161,F161="A"),"2017 - kw",IF(AND(F161=G161,H161&lt;&gt;I161,F161="A"),"2018 - kw","N/A")))</f>
        <v>N/A</v>
      </c>
      <c r="B160" s="426" t="str">
        <f>IF(AND(F161="A",G161="A"),"A","")</f>
        <v/>
      </c>
      <c r="C160" s="407"/>
      <c r="D160" s="420" t="str">
        <f>D159 &amp; "kW"</f>
        <v>kW</v>
      </c>
      <c r="E160" s="423" t="s">
        <v>380</v>
      </c>
      <c r="F160" s="459"/>
      <c r="G160" s="459"/>
      <c r="H160" s="459"/>
      <c r="I160" s="459"/>
      <c r="J160" s="459"/>
      <c r="K160" s="459"/>
      <c r="L160" s="459"/>
      <c r="M160" s="459"/>
      <c r="N160" s="459"/>
      <c r="O160" s="459"/>
      <c r="P160" s="426"/>
      <c r="Q160" s="426"/>
      <c r="R160" s="426"/>
      <c r="S160" s="426"/>
      <c r="T160" s="426"/>
      <c r="U160" s="426"/>
      <c r="V160" s="426"/>
      <c r="Z160" s="478"/>
      <c r="AA160" s="478" t="str">
        <f>IF(AND(F161=G161,H161=I161,F161="A"),"2016 - kw","")</f>
        <v/>
      </c>
      <c r="AB160" s="478" t="str">
        <f>IF(OR(B160="2017 - kw",B160="2018 - kw"),"2016 - kw","")</f>
        <v/>
      </c>
      <c r="AC160" s="478"/>
      <c r="AD160" s="478"/>
      <c r="AE160" s="478"/>
    </row>
    <row r="161" spans="1:31" hidden="1" x14ac:dyDescent="0.25">
      <c r="A161" s="426"/>
      <c r="B161" s="426"/>
      <c r="C161" s="410"/>
      <c r="D161" s="376"/>
      <c r="E161" s="422" t="s">
        <v>381</v>
      </c>
      <c r="F161" s="458"/>
      <c r="G161" s="458"/>
      <c r="H161" s="458"/>
      <c r="I161" s="458"/>
      <c r="J161" s="458"/>
      <c r="K161" s="458"/>
      <c r="L161" s="458"/>
      <c r="M161" s="458"/>
      <c r="N161" s="458"/>
      <c r="O161" s="458"/>
      <c r="P161" s="426"/>
      <c r="Q161" s="426"/>
      <c r="R161" s="426"/>
      <c r="S161" s="426"/>
      <c r="T161" s="426"/>
      <c r="U161" s="426"/>
      <c r="V161" s="426"/>
      <c r="Z161" s="478"/>
      <c r="AA161" s="478"/>
      <c r="AB161" s="478"/>
      <c r="AC161" s="478"/>
      <c r="AD161" s="478"/>
      <c r="AE161" s="478"/>
    </row>
    <row r="162" spans="1:31" hidden="1" x14ac:dyDescent="0.25">
      <c r="A162" s="426" t="str">
        <f>IF(AND(F164=G164,H164=I164,J164=K164,F164="A"),"2016 - kwh",IF(AND(F164=G164,H164=I164,J164&lt;&gt;K164,F164="A"),"2017 - kwh",IF(AND(F164=G164,H164&lt;&gt;I164,F164="A"),"2018 - kwh","N/A")))</f>
        <v>N/A</v>
      </c>
      <c r="B162" s="426" t="str">
        <f>IF(AND(F164="A",G164="A"),"A","")</f>
        <v/>
      </c>
      <c r="C162" s="406" t="s">
        <v>425</v>
      </c>
      <c r="D162" s="460"/>
      <c r="E162" s="424" t="s">
        <v>379</v>
      </c>
      <c r="F162" s="459"/>
      <c r="G162" s="459"/>
      <c r="H162" s="459"/>
      <c r="I162" s="459"/>
      <c r="J162" s="459"/>
      <c r="K162" s="459"/>
      <c r="L162" s="459"/>
      <c r="M162" s="459"/>
      <c r="N162" s="459"/>
      <c r="O162" s="459"/>
      <c r="P162" s="426"/>
      <c r="Q162" s="426"/>
      <c r="R162" s="426"/>
      <c r="S162" s="426"/>
      <c r="T162" s="426"/>
      <c r="U162" s="426"/>
      <c r="V162" s="426"/>
      <c r="Z162" s="478"/>
      <c r="AA162" s="478" t="str">
        <f>IF(AND(F164=G164,H164=I164,F164="A"),"2016 - kwh","")</f>
        <v/>
      </c>
      <c r="AB162" s="478" t="str">
        <f>IF(OR(B162="2017 - kwh",B162="2018 - kwh"),"2016 - kwh","")</f>
        <v/>
      </c>
      <c r="AC162" s="478"/>
      <c r="AD162" s="478"/>
      <c r="AE162" s="478"/>
    </row>
    <row r="163" spans="1:31" hidden="1" x14ac:dyDescent="0.25">
      <c r="A163" s="426" t="str">
        <f>IF(AND(F164=G164,H164=I164,J164=K164,F164="A"),"2016 - kw",IF(AND(F164=G164,H164=I164,J164&lt;&gt;K164,F164="A"),"2017 - kw",IF(AND(F164=G164,H164&lt;&gt;I164,F164="A"),"2018 - kw","N/A")))</f>
        <v>N/A</v>
      </c>
      <c r="B163" s="426" t="str">
        <f>IF(AND(F164="A",G164="A"),"A","")</f>
        <v/>
      </c>
      <c r="C163" s="407"/>
      <c r="D163" s="420" t="str">
        <f>D162 &amp; "kW"</f>
        <v>kW</v>
      </c>
      <c r="E163" s="423" t="s">
        <v>380</v>
      </c>
      <c r="F163" s="459"/>
      <c r="G163" s="459"/>
      <c r="H163" s="459"/>
      <c r="I163" s="459"/>
      <c r="J163" s="459"/>
      <c r="K163" s="459"/>
      <c r="L163" s="459"/>
      <c r="M163" s="459"/>
      <c r="N163" s="459"/>
      <c r="O163" s="459"/>
      <c r="P163" s="426"/>
      <c r="Q163" s="426"/>
      <c r="R163" s="426"/>
      <c r="S163" s="426"/>
      <c r="T163" s="426"/>
      <c r="U163" s="426"/>
      <c r="V163" s="426"/>
      <c r="Z163" s="478"/>
      <c r="AA163" s="478" t="str">
        <f>IF(AND(F164=G164,H164=I164,F164="A"),"2016 - kw","")</f>
        <v/>
      </c>
      <c r="AB163" s="478" t="str">
        <f>IF(OR(B163="2017 - kw",B163="2018 - kw"),"2016 - kw","")</f>
        <v/>
      </c>
      <c r="AC163" s="478"/>
      <c r="AD163" s="478"/>
      <c r="AE163" s="478"/>
    </row>
    <row r="164" spans="1:31" hidden="1" x14ac:dyDescent="0.25">
      <c r="A164" s="426"/>
      <c r="B164" s="426"/>
      <c r="C164" s="410"/>
      <c r="D164" s="376"/>
      <c r="E164" s="422" t="s">
        <v>381</v>
      </c>
      <c r="F164" s="458"/>
      <c r="G164" s="458"/>
      <c r="H164" s="458"/>
      <c r="I164" s="458"/>
      <c r="J164" s="458"/>
      <c r="K164" s="458"/>
      <c r="L164" s="458"/>
      <c r="M164" s="458"/>
      <c r="N164" s="458"/>
      <c r="O164" s="458"/>
      <c r="P164" s="426"/>
      <c r="Q164" s="426"/>
      <c r="R164" s="426"/>
      <c r="S164" s="426"/>
      <c r="T164" s="426"/>
      <c r="U164" s="426"/>
      <c r="V164" s="426"/>
      <c r="Z164" s="478"/>
      <c r="AA164" s="478"/>
      <c r="AB164" s="478"/>
      <c r="AC164" s="478"/>
      <c r="AD164" s="478"/>
      <c r="AE164" s="478"/>
    </row>
    <row r="165" spans="1:31" hidden="1" x14ac:dyDescent="0.25">
      <c r="A165" s="426" t="str">
        <f>IF(AND(F167=G167,H167=I167,J167=K167,F167="A"),"2016 - kwh",IF(AND(F167=G167,H167=I167,J167&lt;&gt;K167,F167="A"),"2017 - kwh",IF(AND(F167=G167,H167&lt;&gt;I167,F167="A"),"2018 - kwh","N/A")))</f>
        <v>N/A</v>
      </c>
      <c r="B165" s="426" t="str">
        <f>IF(AND(F167="A",G167="A"),"A","")</f>
        <v/>
      </c>
      <c r="C165" s="406" t="s">
        <v>426</v>
      </c>
      <c r="D165" s="460"/>
      <c r="E165" s="424" t="s">
        <v>379</v>
      </c>
      <c r="F165" s="459"/>
      <c r="G165" s="459"/>
      <c r="H165" s="459"/>
      <c r="I165" s="459"/>
      <c r="J165" s="459"/>
      <c r="K165" s="459"/>
      <c r="L165" s="459"/>
      <c r="M165" s="459"/>
      <c r="N165" s="459"/>
      <c r="O165" s="459"/>
      <c r="P165" s="426"/>
      <c r="Q165" s="426"/>
      <c r="R165" s="426"/>
      <c r="S165" s="426"/>
      <c r="T165" s="426"/>
      <c r="U165" s="426"/>
      <c r="V165" s="426"/>
      <c r="Z165" s="478"/>
      <c r="AA165" s="478" t="str">
        <f>IF(AND(F167=G167,H167=I167,F167="A"),"2016 - kwh","")</f>
        <v/>
      </c>
      <c r="AB165" s="478" t="str">
        <f>IF(OR(B165="2017 - kwh",B165="2018 - kwh"),"2016 - kwh","")</f>
        <v/>
      </c>
      <c r="AC165" s="478"/>
      <c r="AD165" s="478"/>
      <c r="AE165" s="478"/>
    </row>
    <row r="166" spans="1:31" hidden="1" x14ac:dyDescent="0.25">
      <c r="A166" s="426" t="str">
        <f>IF(AND(F167=G167,H167=I167,J167=K167,F167="A"),"2016 - kw",IF(AND(F167=G167,H167=I167,J167&lt;&gt;K167,F167="A"),"2017 - kw",IF(AND(F167=G167,H167&lt;&gt;I167,F167="A"),"2018 - kw","N/A")))</f>
        <v>N/A</v>
      </c>
      <c r="B166" s="426" t="str">
        <f>IF(AND(F167="A",G167="A"),"A","")</f>
        <v/>
      </c>
      <c r="C166" s="407"/>
      <c r="D166" s="420" t="str">
        <f>D165 &amp; "kW"</f>
        <v>kW</v>
      </c>
      <c r="E166" s="423" t="s">
        <v>380</v>
      </c>
      <c r="F166" s="459"/>
      <c r="G166" s="459"/>
      <c r="H166" s="459"/>
      <c r="I166" s="459"/>
      <c r="J166" s="459"/>
      <c r="K166" s="459"/>
      <c r="L166" s="459"/>
      <c r="M166" s="459"/>
      <c r="N166" s="459"/>
      <c r="O166" s="459"/>
      <c r="P166" s="426"/>
      <c r="Q166" s="426"/>
      <c r="R166" s="426"/>
      <c r="S166" s="426"/>
      <c r="T166" s="426"/>
      <c r="U166" s="426"/>
      <c r="V166" s="426"/>
      <c r="Z166" s="478"/>
      <c r="AA166" s="478" t="str">
        <f>IF(AND(F167=G167,H167=I167,F167="A"),"2016 - kw","")</f>
        <v/>
      </c>
      <c r="AB166" s="478" t="str">
        <f>IF(OR(B166="2017 - kw",B166="2018 - kw"),"2016 - kw","")</f>
        <v/>
      </c>
      <c r="AC166" s="478"/>
      <c r="AD166" s="478"/>
      <c r="AE166" s="478"/>
    </row>
    <row r="167" spans="1:31" hidden="1" x14ac:dyDescent="0.25">
      <c r="A167" s="426"/>
      <c r="B167" s="426"/>
      <c r="C167" s="410"/>
      <c r="D167" s="376"/>
      <c r="E167" s="422" t="s">
        <v>381</v>
      </c>
      <c r="F167" s="458"/>
      <c r="G167" s="458"/>
      <c r="H167" s="458"/>
      <c r="I167" s="458"/>
      <c r="J167" s="458"/>
      <c r="K167" s="458"/>
      <c r="L167" s="458"/>
      <c r="M167" s="458"/>
      <c r="N167" s="458"/>
      <c r="O167" s="458"/>
      <c r="P167" s="426"/>
      <c r="Q167" s="426"/>
      <c r="R167" s="426"/>
      <c r="S167" s="426"/>
      <c r="T167" s="426"/>
      <c r="U167" s="426"/>
      <c r="V167" s="426"/>
      <c r="Z167" s="478"/>
      <c r="AA167" s="478"/>
      <c r="AB167" s="478"/>
      <c r="AC167" s="478"/>
      <c r="AD167" s="478"/>
      <c r="AE167" s="478"/>
    </row>
    <row r="168" spans="1:31" hidden="1" x14ac:dyDescent="0.25">
      <c r="A168" s="426" t="str">
        <f>IF(AND(F170=G170,H170=I170,J170=K170,F170="A"),"2016 - kwh",IF(AND(F170=G170,H170=I170,J170&lt;&gt;K170,F170="A"),"2017 - kwh",IF(AND(F170=G170,H170&lt;&gt;I170,F170="A"),"2018 - kwh","N/A")))</f>
        <v>N/A</v>
      </c>
      <c r="B168" s="426" t="str">
        <f>IF(AND(F170="A",G170="A"),"A","")</f>
        <v/>
      </c>
      <c r="C168" s="406" t="s">
        <v>427</v>
      </c>
      <c r="D168" s="460"/>
      <c r="E168" s="424" t="s">
        <v>379</v>
      </c>
      <c r="F168" s="459"/>
      <c r="G168" s="459"/>
      <c r="H168" s="459"/>
      <c r="I168" s="459"/>
      <c r="J168" s="459"/>
      <c r="K168" s="459"/>
      <c r="L168" s="459"/>
      <c r="M168" s="459"/>
      <c r="N168" s="459"/>
      <c r="O168" s="459"/>
      <c r="P168" s="426"/>
      <c r="Q168" s="426"/>
      <c r="R168" s="426"/>
      <c r="S168" s="426"/>
      <c r="T168" s="426"/>
      <c r="U168" s="426"/>
      <c r="V168" s="426"/>
      <c r="Z168" s="478"/>
      <c r="AA168" s="478" t="str">
        <f>IF(AND(F170=G170,H170=I170,F170="A"),"2016 - kwh","")</f>
        <v/>
      </c>
      <c r="AB168" s="478" t="str">
        <f>IF(OR(B168="2017 - kwh",B168="2018 - kwh"),"2016 - kwh","")</f>
        <v/>
      </c>
      <c r="AC168" s="478"/>
      <c r="AD168" s="478"/>
      <c r="AE168" s="478"/>
    </row>
    <row r="169" spans="1:31" hidden="1" x14ac:dyDescent="0.25">
      <c r="A169" s="426" t="str">
        <f>IF(AND(F170=G170,H170=I170,J170=K170,F170="A"),"2016 - kw",IF(AND(F170=G170,H170=I170,J170&lt;&gt;K170,F170="A"),"2017 - kw",IF(AND(F170=G170,H170&lt;&gt;I170,F170="A"),"2018 - kw","N/A")))</f>
        <v>N/A</v>
      </c>
      <c r="B169" s="426" t="str">
        <f>IF(AND(F170="A",G170="A"),"A","")</f>
        <v/>
      </c>
      <c r="C169" s="407"/>
      <c r="D169" s="420" t="str">
        <f>D168 &amp; "kW"</f>
        <v>kW</v>
      </c>
      <c r="E169" s="423" t="s">
        <v>380</v>
      </c>
      <c r="F169" s="459"/>
      <c r="G169" s="459"/>
      <c r="H169" s="459"/>
      <c r="I169" s="459"/>
      <c r="J169" s="459"/>
      <c r="K169" s="459"/>
      <c r="L169" s="459"/>
      <c r="M169" s="459"/>
      <c r="N169" s="459"/>
      <c r="O169" s="459"/>
      <c r="P169" s="426"/>
      <c r="Q169" s="426"/>
      <c r="R169" s="426"/>
      <c r="S169" s="426"/>
      <c r="T169" s="426"/>
      <c r="U169" s="426"/>
      <c r="V169" s="426"/>
      <c r="Z169" s="478"/>
      <c r="AA169" s="478" t="str">
        <f>IF(AND(F170=G170,H170=I170,F170="A"),"2016 - kw","")</f>
        <v/>
      </c>
      <c r="AB169" s="478" t="str">
        <f>IF(OR(B169="2017 - kw",B169="2018 - kw"),"2016 - kw","")</f>
        <v/>
      </c>
      <c r="AC169" s="478"/>
      <c r="AD169" s="478"/>
      <c r="AE169" s="478"/>
    </row>
    <row r="170" spans="1:31" hidden="1" x14ac:dyDescent="0.25">
      <c r="A170" s="426"/>
      <c r="B170" s="426"/>
      <c r="C170" s="410"/>
      <c r="D170" s="376"/>
      <c r="E170" s="422" t="s">
        <v>381</v>
      </c>
      <c r="F170" s="458"/>
      <c r="G170" s="458"/>
      <c r="H170" s="458"/>
      <c r="I170" s="458"/>
      <c r="J170" s="458"/>
      <c r="K170" s="458"/>
      <c r="L170" s="458"/>
      <c r="M170" s="458"/>
      <c r="N170" s="458"/>
      <c r="O170" s="458"/>
      <c r="P170" s="426"/>
      <c r="Q170" s="426"/>
      <c r="R170" s="426"/>
      <c r="S170" s="426"/>
      <c r="T170" s="426"/>
      <c r="U170" s="426"/>
      <c r="V170" s="426"/>
      <c r="Z170" s="478"/>
      <c r="AA170" s="478"/>
      <c r="AB170" s="478"/>
      <c r="AC170" s="478"/>
      <c r="AD170" s="478"/>
      <c r="AE170" s="478"/>
    </row>
    <row r="171" spans="1:31" hidden="1" x14ac:dyDescent="0.25">
      <c r="A171" s="426" t="str">
        <f>IF(AND(F173=G173,H173=I173,J173=K173,F173="A"),"2016 - kwh",IF(AND(F173=G173,H173=I173,J173&lt;&gt;K173,F173="A"),"2017 - kwh",IF(AND(F173=G173,H173&lt;&gt;I173,F173="A"),"2018 - kwh","N/A")))</f>
        <v>N/A</v>
      </c>
      <c r="B171" s="426" t="str">
        <f>IF(AND(F173="A",G173="A"),"A","")</f>
        <v/>
      </c>
      <c r="C171" s="406" t="s">
        <v>428</v>
      </c>
      <c r="D171" s="460"/>
      <c r="E171" s="424" t="s">
        <v>379</v>
      </c>
      <c r="F171" s="459"/>
      <c r="G171" s="459"/>
      <c r="H171" s="459"/>
      <c r="I171" s="459"/>
      <c r="J171" s="459"/>
      <c r="K171" s="459"/>
      <c r="L171" s="459"/>
      <c r="M171" s="459"/>
      <c r="N171" s="459"/>
      <c r="O171" s="459"/>
      <c r="P171" s="426"/>
      <c r="Q171" s="426"/>
      <c r="R171" s="426"/>
      <c r="S171" s="426"/>
      <c r="T171" s="426"/>
      <c r="U171" s="426"/>
      <c r="V171" s="426"/>
      <c r="Z171" s="478"/>
      <c r="AA171" s="478" t="str">
        <f>IF(AND(F173=G173,H173=I173,F173="A"),"2016 - kwh","")</f>
        <v/>
      </c>
      <c r="AB171" s="478" t="str">
        <f>IF(OR(B171="2017 - kwh",B171="2018 - kwh"),"2016 - kwh","")</f>
        <v/>
      </c>
      <c r="AC171" s="478"/>
      <c r="AD171" s="478"/>
      <c r="AE171" s="478"/>
    </row>
    <row r="172" spans="1:31" hidden="1" x14ac:dyDescent="0.25">
      <c r="A172" s="426" t="str">
        <f>IF(AND(F173=G173,H173=I173,J173=K173,F173="A"),"2016 - kw",IF(AND(F173=G173,H173=I173,J173&lt;&gt;K173,F173="A"),"2017 - kw",IF(AND(F173=G173,H173&lt;&gt;I173,F173="A"),"2018 - kw","N/A")))</f>
        <v>N/A</v>
      </c>
      <c r="B172" s="426" t="str">
        <f>IF(AND(F173="A",G173="A"),"A","")</f>
        <v/>
      </c>
      <c r="C172" s="407"/>
      <c r="D172" s="420" t="str">
        <f>D171 &amp; "kW"</f>
        <v>kW</v>
      </c>
      <c r="E172" s="423" t="s">
        <v>380</v>
      </c>
      <c r="F172" s="459"/>
      <c r="G172" s="459"/>
      <c r="H172" s="459"/>
      <c r="I172" s="459"/>
      <c r="J172" s="459"/>
      <c r="K172" s="459"/>
      <c r="L172" s="459"/>
      <c r="M172" s="459"/>
      <c r="N172" s="459"/>
      <c r="O172" s="459"/>
      <c r="P172" s="426"/>
      <c r="Q172" s="426"/>
      <c r="R172" s="426"/>
      <c r="S172" s="426"/>
      <c r="T172" s="426"/>
      <c r="U172" s="426"/>
      <c r="V172" s="426"/>
      <c r="Z172" s="478"/>
      <c r="AA172" s="478" t="str">
        <f>IF(AND(F173=G173,H173=I173,F173="A"),"2016 - kw","")</f>
        <v/>
      </c>
      <c r="AB172" s="478" t="str">
        <f>IF(OR(B172="2017 - kw",B172="2018 - kw"),"2016 - kw","")</f>
        <v/>
      </c>
      <c r="AC172" s="478"/>
      <c r="AD172" s="478"/>
      <c r="AE172" s="478"/>
    </row>
    <row r="173" spans="1:31" hidden="1" x14ac:dyDescent="0.25">
      <c r="A173" s="426"/>
      <c r="B173" s="426"/>
      <c r="C173" s="410"/>
      <c r="D173" s="376"/>
      <c r="E173" s="422" t="s">
        <v>381</v>
      </c>
      <c r="F173" s="458"/>
      <c r="G173" s="458"/>
      <c r="H173" s="458"/>
      <c r="I173" s="458"/>
      <c r="J173" s="458"/>
      <c r="K173" s="458"/>
      <c r="L173" s="458"/>
      <c r="M173" s="458"/>
      <c r="N173" s="458"/>
      <c r="O173" s="458"/>
      <c r="P173" s="426"/>
      <c r="Q173" s="426"/>
      <c r="R173" s="426"/>
      <c r="S173" s="426"/>
      <c r="T173" s="426"/>
      <c r="U173" s="426"/>
      <c r="V173" s="426"/>
      <c r="Z173" s="478"/>
      <c r="AA173" s="478"/>
      <c r="AB173" s="478"/>
      <c r="AC173" s="478"/>
      <c r="AD173" s="478"/>
      <c r="AE173" s="478"/>
    </row>
    <row r="174" spans="1:31" hidden="1" x14ac:dyDescent="0.25">
      <c r="A174" s="426" t="str">
        <f>IF(AND(F176=G176,H176=I176,J176=K176,F176="A"),"2016 - kwh",IF(AND(F176=G176,H176=I176,J176&lt;&gt;K176,F176="A"),"2017 - kwh",IF(AND(F176=G176,H176&lt;&gt;I176,F176="A"),"2018 - kwh","N/A")))</f>
        <v>N/A</v>
      </c>
      <c r="B174" s="426" t="str">
        <f>IF(AND(F176="A",G176="A"),"A","")</f>
        <v/>
      </c>
      <c r="C174" s="406" t="s">
        <v>429</v>
      </c>
      <c r="D174" s="460"/>
      <c r="E174" s="424" t="s">
        <v>379</v>
      </c>
      <c r="F174" s="459"/>
      <c r="G174" s="459"/>
      <c r="H174" s="459"/>
      <c r="I174" s="459"/>
      <c r="J174" s="459"/>
      <c r="K174" s="459"/>
      <c r="L174" s="459"/>
      <c r="M174" s="459"/>
      <c r="N174" s="459"/>
      <c r="O174" s="459"/>
      <c r="P174" s="426"/>
      <c r="Q174" s="426"/>
      <c r="R174" s="426"/>
      <c r="S174" s="426"/>
      <c r="T174" s="426"/>
      <c r="U174" s="426"/>
      <c r="V174" s="426"/>
      <c r="Z174" s="478"/>
      <c r="AA174" s="478" t="str">
        <f>IF(AND(F176=G176,H176=I176,F176="A"),"2016 - kwh","")</f>
        <v/>
      </c>
      <c r="AB174" s="478" t="str">
        <f>IF(OR(B174="2017 - kwh",B174="2018 - kwh"),"2016 - kwh","")</f>
        <v/>
      </c>
      <c r="AC174" s="478"/>
      <c r="AD174" s="478"/>
      <c r="AE174" s="478"/>
    </row>
    <row r="175" spans="1:31" hidden="1" x14ac:dyDescent="0.25">
      <c r="A175" s="426" t="str">
        <f>IF(AND(F176=G176,H176=I176,J176=K176,F176="A"),"2016 - kw",IF(AND(F176=G176,H176=I176,J176&lt;&gt;K176,F176="A"),"2017 - kw",IF(AND(F176=G176,H176&lt;&gt;I176,F176="A"),"2018 - kw","N/A")))</f>
        <v>N/A</v>
      </c>
      <c r="B175" s="426" t="str">
        <f>IF(AND(F176="A",G176="A"),"A","")</f>
        <v/>
      </c>
      <c r="C175" s="407"/>
      <c r="D175" s="420" t="str">
        <f>D174 &amp; "kW"</f>
        <v>kW</v>
      </c>
      <c r="E175" s="423" t="s">
        <v>380</v>
      </c>
      <c r="F175" s="459"/>
      <c r="G175" s="459"/>
      <c r="H175" s="459"/>
      <c r="I175" s="459"/>
      <c r="J175" s="459"/>
      <c r="K175" s="459"/>
      <c r="L175" s="459"/>
      <c r="M175" s="459"/>
      <c r="N175" s="459"/>
      <c r="O175" s="459"/>
      <c r="P175" s="426"/>
      <c r="Q175" s="426"/>
      <c r="R175" s="426"/>
      <c r="S175" s="426"/>
      <c r="T175" s="426"/>
      <c r="U175" s="426"/>
      <c r="V175" s="426"/>
      <c r="Z175" s="478"/>
      <c r="AA175" s="478" t="str">
        <f>IF(AND(F176=G176,H176=I176,F176="A"),"2016 - kw","")</f>
        <v/>
      </c>
      <c r="AB175" s="478" t="str">
        <f>IF(OR(B175="2017 - kw",B175="2018 - kw"),"2016 - kw","")</f>
        <v/>
      </c>
      <c r="AC175" s="478"/>
      <c r="AD175" s="478"/>
      <c r="AE175" s="478"/>
    </row>
    <row r="176" spans="1:31" hidden="1" x14ac:dyDescent="0.25">
      <c r="A176" s="426"/>
      <c r="B176" s="426"/>
      <c r="C176" s="410"/>
      <c r="D176" s="376"/>
      <c r="E176" s="422" t="s">
        <v>381</v>
      </c>
      <c r="F176" s="458"/>
      <c r="G176" s="458"/>
      <c r="H176" s="458"/>
      <c r="I176" s="458"/>
      <c r="J176" s="458"/>
      <c r="K176" s="458"/>
      <c r="L176" s="458"/>
      <c r="M176" s="458"/>
      <c r="N176" s="458"/>
      <c r="O176" s="458"/>
      <c r="P176" s="426"/>
      <c r="Q176" s="426"/>
      <c r="R176" s="426"/>
      <c r="S176" s="426"/>
      <c r="T176" s="426"/>
      <c r="U176" s="426"/>
      <c r="V176" s="426"/>
      <c r="Z176" s="478"/>
      <c r="AA176" s="478"/>
      <c r="AB176" s="478"/>
      <c r="AC176" s="478"/>
      <c r="AD176" s="478"/>
      <c r="AE176" s="478"/>
    </row>
    <row r="177" spans="1:31" hidden="1" x14ac:dyDescent="0.25">
      <c r="A177" s="426" t="str">
        <f>IF(AND(F179=G179,H179=I179,J179=K179,F179="A"),"2016 - kwh",IF(AND(F179=G179,H179=I179,J179&lt;&gt;K179,F179="A"),"2017 - kwh",IF(AND(F179=G179,H179&lt;&gt;I179,F179="A"),"2018 - kwh","N/A")))</f>
        <v>N/A</v>
      </c>
      <c r="B177" s="426" t="str">
        <f>IF(AND(F179="A",G179="A"),"A","")</f>
        <v/>
      </c>
      <c r="C177" s="406" t="s">
        <v>430</v>
      </c>
      <c r="D177" s="460"/>
      <c r="E177" s="424" t="s">
        <v>379</v>
      </c>
      <c r="F177" s="459"/>
      <c r="G177" s="459"/>
      <c r="H177" s="459"/>
      <c r="I177" s="459"/>
      <c r="J177" s="459"/>
      <c r="K177" s="459"/>
      <c r="L177" s="459"/>
      <c r="M177" s="459"/>
      <c r="N177" s="459"/>
      <c r="O177" s="459"/>
      <c r="P177" s="426"/>
      <c r="Q177" s="426"/>
      <c r="R177" s="426"/>
      <c r="S177" s="426"/>
      <c r="T177" s="426"/>
      <c r="U177" s="426"/>
      <c r="V177" s="426"/>
      <c r="Z177" s="478"/>
      <c r="AA177" s="478" t="str">
        <f>IF(AND(F179=G179,H179=I179,F179="A"),"2016 - kwh","")</f>
        <v/>
      </c>
      <c r="AB177" s="478" t="str">
        <f>IF(OR(B177="2017 - kwh",B177="2018 - kwh"),"2016 - kwh","")</f>
        <v/>
      </c>
      <c r="AC177" s="478"/>
      <c r="AD177" s="478"/>
      <c r="AE177" s="478"/>
    </row>
    <row r="178" spans="1:31" hidden="1" x14ac:dyDescent="0.25">
      <c r="A178" s="426" t="str">
        <f>IF(AND(F179=G179,H179=I179,J179=K179,F179="A"),"2016 - kw",IF(AND(F179=G179,H179=I179,J179&lt;&gt;K179,F179="A"),"2017 - kw",IF(AND(F179=G179,H179&lt;&gt;I179,F179="A"),"2018 - kw","N/A")))</f>
        <v>N/A</v>
      </c>
      <c r="B178" s="426" t="str">
        <f>IF(AND(F179="A",G179="A"),"A","")</f>
        <v/>
      </c>
      <c r="C178" s="407"/>
      <c r="D178" s="420" t="str">
        <f>D177 &amp; "kW"</f>
        <v>kW</v>
      </c>
      <c r="E178" s="423" t="s">
        <v>380</v>
      </c>
      <c r="F178" s="459"/>
      <c r="G178" s="459"/>
      <c r="H178" s="459"/>
      <c r="I178" s="459"/>
      <c r="J178" s="459"/>
      <c r="K178" s="459"/>
      <c r="L178" s="459"/>
      <c r="M178" s="459"/>
      <c r="N178" s="459"/>
      <c r="O178" s="459"/>
      <c r="P178" s="426"/>
      <c r="Q178" s="426"/>
      <c r="R178" s="426"/>
      <c r="S178" s="426"/>
      <c r="T178" s="426"/>
      <c r="U178" s="426"/>
      <c r="V178" s="426"/>
      <c r="Z178" s="478"/>
      <c r="AA178" s="478" t="str">
        <f>IF(AND(F179=G179,H179=I179,F179="A"),"2016 - kw","")</f>
        <v/>
      </c>
      <c r="AB178" s="478" t="str">
        <f>IF(OR(B178="2017 - kw",B178="2018 - kw"),"2016 - kw","")</f>
        <v/>
      </c>
      <c r="AC178" s="478"/>
      <c r="AD178" s="478"/>
      <c r="AE178" s="478"/>
    </row>
    <row r="179" spans="1:31" hidden="1" x14ac:dyDescent="0.25">
      <c r="A179" s="426"/>
      <c r="B179" s="426"/>
      <c r="C179" s="410"/>
      <c r="D179" s="376"/>
      <c r="E179" s="422" t="s">
        <v>381</v>
      </c>
      <c r="F179" s="458"/>
      <c r="G179" s="458"/>
      <c r="H179" s="458"/>
      <c r="I179" s="458"/>
      <c r="J179" s="458"/>
      <c r="K179" s="458"/>
      <c r="L179" s="458"/>
      <c r="M179" s="458"/>
      <c r="N179" s="458"/>
      <c r="O179" s="458"/>
      <c r="P179" s="426"/>
      <c r="Q179" s="426"/>
      <c r="R179" s="426"/>
      <c r="S179" s="426"/>
      <c r="T179" s="426"/>
      <c r="U179" s="426"/>
      <c r="V179" s="426"/>
      <c r="Z179" s="478"/>
      <c r="AA179" s="478"/>
      <c r="AB179" s="478"/>
      <c r="AC179" s="478"/>
      <c r="AD179" s="478"/>
      <c r="AE179" s="478"/>
    </row>
    <row r="180" spans="1:31" hidden="1" x14ac:dyDescent="0.25">
      <c r="A180" s="426" t="str">
        <f>IF(AND(F182=G182,H182=I182,J182=K182,F182="A"),"2016 - kwh",IF(AND(F182=G182,H182=I182,J182&lt;&gt;K182,F182="A"),"2017 - kwh",IF(AND(F182=G182,H182&lt;&gt;I182,F182="A"),"2018 - kwh","N/A")))</f>
        <v>N/A</v>
      </c>
      <c r="B180" s="426" t="str">
        <f>IF(AND(F182="A",G182="A"),"A","")</f>
        <v/>
      </c>
      <c r="C180" s="406" t="s">
        <v>431</v>
      </c>
      <c r="D180" s="460"/>
      <c r="E180" s="424" t="s">
        <v>379</v>
      </c>
      <c r="F180" s="459"/>
      <c r="G180" s="459"/>
      <c r="H180" s="459"/>
      <c r="I180" s="459"/>
      <c r="J180" s="459"/>
      <c r="K180" s="459"/>
      <c r="L180" s="459"/>
      <c r="M180" s="459"/>
      <c r="N180" s="459"/>
      <c r="O180" s="459"/>
      <c r="P180" s="426"/>
      <c r="Q180" s="426"/>
      <c r="R180" s="426"/>
      <c r="S180" s="426"/>
      <c r="T180" s="426"/>
      <c r="U180" s="426"/>
      <c r="V180" s="426"/>
      <c r="Z180" s="478"/>
      <c r="AA180" s="478" t="str">
        <f>IF(AND(F182=G182,H182=I182,F182="A"),"2016 - kwh","")</f>
        <v/>
      </c>
      <c r="AB180" s="478" t="str">
        <f>IF(OR(B180="2017 - kwh",B180="2018 - kwh"),"2016 - kwh","")</f>
        <v/>
      </c>
      <c r="AC180" s="478"/>
      <c r="AD180" s="478"/>
      <c r="AE180" s="478"/>
    </row>
    <row r="181" spans="1:31" hidden="1" x14ac:dyDescent="0.25">
      <c r="A181" s="426" t="str">
        <f>IF(AND(F182=G182,H182=I182,J182=K182,F182="A"),"2016 - kw",IF(AND(F182=G182,H182=I182,J182&lt;&gt;K182,F182="A"),"2017 - kw",IF(AND(F182=G182,H182&lt;&gt;I182,F182="A"),"2018 - kw","N/A")))</f>
        <v>N/A</v>
      </c>
      <c r="B181" s="426" t="str">
        <f>IF(AND(F182="A",G182="A"),"A","")</f>
        <v/>
      </c>
      <c r="C181" s="407"/>
      <c r="D181" s="420" t="str">
        <f>D180 &amp; "kW"</f>
        <v>kW</v>
      </c>
      <c r="E181" s="423" t="s">
        <v>380</v>
      </c>
      <c r="F181" s="459"/>
      <c r="G181" s="459"/>
      <c r="H181" s="459"/>
      <c r="I181" s="459"/>
      <c r="J181" s="459"/>
      <c r="K181" s="459"/>
      <c r="L181" s="459"/>
      <c r="M181" s="459"/>
      <c r="N181" s="459"/>
      <c r="O181" s="459"/>
      <c r="P181" s="426"/>
      <c r="Q181" s="426"/>
      <c r="R181" s="426"/>
      <c r="S181" s="426"/>
      <c r="T181" s="426"/>
      <c r="U181" s="426"/>
      <c r="V181" s="426"/>
      <c r="Z181" s="478"/>
      <c r="AA181" s="478" t="str">
        <f>IF(AND(F182=G182,H182=I182,F182="A"),"2016 - kw","")</f>
        <v/>
      </c>
      <c r="AB181" s="478" t="str">
        <f>IF(OR(B181="2017 - kw",B181="2018 - kw"),"2016 - kw","")</f>
        <v/>
      </c>
      <c r="AC181" s="478"/>
      <c r="AD181" s="478"/>
      <c r="AE181" s="478"/>
    </row>
    <row r="182" spans="1:31" hidden="1" x14ac:dyDescent="0.25">
      <c r="A182" s="426"/>
      <c r="B182" s="426"/>
      <c r="C182" s="410"/>
      <c r="D182" s="376"/>
      <c r="E182" s="422" t="s">
        <v>381</v>
      </c>
      <c r="F182" s="458"/>
      <c r="G182" s="458"/>
      <c r="H182" s="458"/>
      <c r="I182" s="458"/>
      <c r="J182" s="458"/>
      <c r="K182" s="458"/>
      <c r="L182" s="458"/>
      <c r="M182" s="458"/>
      <c r="N182" s="458"/>
      <c r="O182" s="458"/>
      <c r="P182" s="426"/>
      <c r="Q182" s="426"/>
      <c r="R182" s="426"/>
      <c r="S182" s="426"/>
      <c r="T182" s="426"/>
      <c r="U182" s="426"/>
      <c r="V182" s="426"/>
      <c r="Z182" s="478"/>
      <c r="AA182" s="478"/>
      <c r="AB182" s="478"/>
      <c r="AC182" s="478"/>
      <c r="AD182" s="478"/>
      <c r="AE182" s="478"/>
    </row>
    <row r="183" spans="1:31" hidden="1" x14ac:dyDescent="0.25">
      <c r="A183" s="426" t="str">
        <f>IF(AND(F185=G185,H185=I185,J185=K185,F185="A"),"2016 - kwh",IF(AND(F185=G185,H185=I185,J185&lt;&gt;K185,F185="A"),"2017 - kwh",IF(AND(F185=G185,H185&lt;&gt;I185,F185="A"),"2018 - kwh","N/A")))</f>
        <v>N/A</v>
      </c>
      <c r="B183" s="426" t="str">
        <f>IF(AND(F185="A",G185="A"),"A","")</f>
        <v/>
      </c>
      <c r="C183" s="406" t="s">
        <v>432</v>
      </c>
      <c r="D183" s="460"/>
      <c r="E183" s="424" t="s">
        <v>379</v>
      </c>
      <c r="F183" s="459"/>
      <c r="G183" s="459"/>
      <c r="H183" s="459"/>
      <c r="I183" s="459"/>
      <c r="J183" s="459"/>
      <c r="K183" s="459"/>
      <c r="L183" s="459"/>
      <c r="M183" s="459"/>
      <c r="N183" s="459"/>
      <c r="O183" s="459"/>
      <c r="P183" s="426"/>
      <c r="Q183" s="426"/>
      <c r="R183" s="426"/>
      <c r="S183" s="426"/>
      <c r="T183" s="426"/>
      <c r="U183" s="426"/>
      <c r="V183" s="426"/>
      <c r="Z183" s="478"/>
      <c r="AA183" s="478" t="str">
        <f>IF(AND(F185=G185,H185=I185,F185="A"),"2016 - kwh","")</f>
        <v/>
      </c>
      <c r="AB183" s="478" t="str">
        <f>IF(OR(B183="2017 - kwh",B183="2018 - kwh"),"2016 - kwh","")</f>
        <v/>
      </c>
      <c r="AC183" s="478"/>
      <c r="AD183" s="478"/>
      <c r="AE183" s="478"/>
    </row>
    <row r="184" spans="1:31" hidden="1" x14ac:dyDescent="0.25">
      <c r="A184" s="426" t="str">
        <f>IF(AND(F185=G185,H185=I185,J185=K185,F185="A"),"2016 - kw",IF(AND(F185=G185,H185=I185,J185&lt;&gt;K185,F185="A"),"2017 - kw",IF(AND(F185=G185,H185&lt;&gt;I185,F185="A"),"2018 - kw","N/A")))</f>
        <v>N/A</v>
      </c>
      <c r="B184" s="426" t="str">
        <f>IF(AND(F185="A",G185="A"),"A","")</f>
        <v/>
      </c>
      <c r="C184" s="407"/>
      <c r="D184" s="420" t="str">
        <f>D183 &amp; "kW"</f>
        <v>kW</v>
      </c>
      <c r="E184" s="423" t="s">
        <v>380</v>
      </c>
      <c r="F184" s="459"/>
      <c r="G184" s="459"/>
      <c r="H184" s="459"/>
      <c r="I184" s="459"/>
      <c r="J184" s="459"/>
      <c r="K184" s="459"/>
      <c r="L184" s="459"/>
      <c r="M184" s="459"/>
      <c r="N184" s="459"/>
      <c r="O184" s="459"/>
      <c r="P184" s="426"/>
      <c r="Q184" s="426"/>
      <c r="R184" s="426"/>
      <c r="S184" s="426"/>
      <c r="T184" s="426"/>
      <c r="U184" s="426"/>
      <c r="V184" s="426"/>
      <c r="Z184" s="478"/>
      <c r="AA184" s="478" t="str">
        <f>IF(AND(F185=G185,H185=I185,F185="A"),"2016 - kw","")</f>
        <v/>
      </c>
      <c r="AB184" s="478" t="str">
        <f>IF(OR(B184="2017 - kw",B184="2018 - kw"),"2016 - kw","")</f>
        <v/>
      </c>
      <c r="AC184" s="478"/>
      <c r="AD184" s="478"/>
      <c r="AE184" s="478"/>
    </row>
    <row r="185" spans="1:31" hidden="1" x14ac:dyDescent="0.25">
      <c r="A185" s="426"/>
      <c r="B185" s="426"/>
      <c r="C185" s="410"/>
      <c r="D185" s="376"/>
      <c r="E185" s="422" t="s">
        <v>381</v>
      </c>
      <c r="F185" s="458"/>
      <c r="G185" s="458"/>
      <c r="H185" s="458"/>
      <c r="I185" s="458"/>
      <c r="J185" s="458"/>
      <c r="K185" s="458"/>
      <c r="L185" s="458"/>
      <c r="M185" s="458"/>
      <c r="N185" s="458"/>
      <c r="O185" s="458"/>
      <c r="P185" s="426"/>
      <c r="Q185" s="426"/>
      <c r="R185" s="426"/>
      <c r="S185" s="426"/>
      <c r="T185" s="426"/>
      <c r="U185" s="426"/>
      <c r="V185" s="426"/>
      <c r="Z185" s="478"/>
      <c r="AA185" s="478"/>
      <c r="AB185" s="478"/>
      <c r="AC185" s="478"/>
      <c r="AD185" s="478"/>
      <c r="AE185" s="478"/>
    </row>
    <row r="186" spans="1:31" hidden="1" x14ac:dyDescent="0.25">
      <c r="A186" s="426" t="str">
        <f>IF(AND(F188=G188,H188=I188,J188=K188,F188="A"),"2016 - kwh",IF(AND(F188=G188,H188=I188,J188&lt;&gt;K188,F188="A"),"2017 - kwh",IF(AND(F188=G188,H188&lt;&gt;I188,F188="A"),"2018 - kwh","N/A")))</f>
        <v>N/A</v>
      </c>
      <c r="B186" s="426" t="str">
        <f>IF(AND(F188="A",G188="A"),"A","")</f>
        <v/>
      </c>
      <c r="C186" s="406" t="s">
        <v>433</v>
      </c>
      <c r="D186" s="460"/>
      <c r="E186" s="424" t="s">
        <v>379</v>
      </c>
      <c r="F186" s="459"/>
      <c r="G186" s="459"/>
      <c r="H186" s="459"/>
      <c r="I186" s="459"/>
      <c r="J186" s="459"/>
      <c r="K186" s="459"/>
      <c r="L186" s="459"/>
      <c r="M186" s="459"/>
      <c r="N186" s="459"/>
      <c r="O186" s="459"/>
      <c r="P186" s="426"/>
      <c r="Q186" s="426"/>
      <c r="R186" s="426"/>
      <c r="S186" s="426"/>
      <c r="T186" s="426"/>
      <c r="U186" s="426"/>
      <c r="V186" s="426"/>
      <c r="Z186" s="478"/>
      <c r="AA186" s="478" t="str">
        <f>IF(AND(F188=G188,H188=I188,F188="A"),"2016 - kwh","")</f>
        <v/>
      </c>
      <c r="AB186" s="478" t="str">
        <f>IF(OR(B186="2017 - kwh",B186="2018 - kwh"),"2016 - kwh","")</f>
        <v/>
      </c>
      <c r="AC186" s="478"/>
      <c r="AD186" s="478"/>
      <c r="AE186" s="478"/>
    </row>
    <row r="187" spans="1:31" hidden="1" x14ac:dyDescent="0.25">
      <c r="A187" s="426" t="str">
        <f>IF(AND(F188=G188,H188=I188,J188=K188,F188="A"),"2016 - kw",IF(AND(F188=G188,H188=I188,J188&lt;&gt;K188,F188="A"),"2017 - kw",IF(AND(F188=G188,H188&lt;&gt;I188,F188="A"),"2018 - kw","N/A")))</f>
        <v>N/A</v>
      </c>
      <c r="B187" s="426" t="str">
        <f>IF(AND(F188="A",G188="A"),"A","")</f>
        <v/>
      </c>
      <c r="C187" s="407"/>
      <c r="D187" s="420" t="str">
        <f>D186 &amp; "kW"</f>
        <v>kW</v>
      </c>
      <c r="E187" s="423" t="s">
        <v>380</v>
      </c>
      <c r="F187" s="459"/>
      <c r="G187" s="459"/>
      <c r="H187" s="459"/>
      <c r="I187" s="459"/>
      <c r="J187" s="459"/>
      <c r="K187" s="459"/>
      <c r="L187" s="459"/>
      <c r="M187" s="459"/>
      <c r="N187" s="459"/>
      <c r="O187" s="459"/>
      <c r="P187" s="426"/>
      <c r="Q187" s="426"/>
      <c r="R187" s="426"/>
      <c r="S187" s="426"/>
      <c r="T187" s="426"/>
      <c r="U187" s="426"/>
      <c r="V187" s="426"/>
      <c r="Z187" s="478"/>
      <c r="AA187" s="478" t="str">
        <f>IF(AND(F188=G188,H188=I188,F188="A"),"2016 - kw","")</f>
        <v/>
      </c>
      <c r="AB187" s="478" t="str">
        <f>IF(OR(B187="2017 - kw",B187="2018 - kw"),"2016 - kw","")</f>
        <v/>
      </c>
      <c r="AC187" s="478"/>
      <c r="AD187" s="478"/>
      <c r="AE187" s="478"/>
    </row>
    <row r="188" spans="1:31" hidden="1" x14ac:dyDescent="0.25">
      <c r="A188" s="426"/>
      <c r="B188" s="426"/>
      <c r="C188" s="410"/>
      <c r="D188" s="376"/>
      <c r="E188" s="422" t="s">
        <v>381</v>
      </c>
      <c r="F188" s="458"/>
      <c r="G188" s="458"/>
      <c r="H188" s="458"/>
      <c r="I188" s="458"/>
      <c r="J188" s="458"/>
      <c r="K188" s="458"/>
      <c r="L188" s="458"/>
      <c r="M188" s="458"/>
      <c r="N188" s="458"/>
      <c r="O188" s="458"/>
      <c r="P188" s="426"/>
      <c r="Q188" s="426"/>
      <c r="R188" s="426"/>
      <c r="S188" s="426"/>
      <c r="T188" s="426"/>
      <c r="U188" s="426"/>
      <c r="V188" s="426"/>
      <c r="Z188" s="478"/>
      <c r="AA188" s="478"/>
      <c r="AB188" s="478"/>
      <c r="AC188" s="478"/>
      <c r="AD188" s="478"/>
      <c r="AE188" s="478"/>
    </row>
    <row r="189" spans="1:31" hidden="1" x14ac:dyDescent="0.25">
      <c r="A189" s="426" t="str">
        <f>IF(AND(F191=G191,H191=I191,J191=K191,F191="A"),"2016 - kwh",IF(AND(F191=G191,H191=I191,J191&lt;&gt;K191,F191="A"),"2017 - kwh",IF(AND(F191=G191,H191&lt;&gt;I191,F191="A"),"2018 - kwh","N/A")))</f>
        <v>N/A</v>
      </c>
      <c r="B189" s="426" t="str">
        <f>IF(AND(F191="A",G191="A"),"A","")</f>
        <v/>
      </c>
      <c r="C189" s="406" t="s">
        <v>434</v>
      </c>
      <c r="D189" s="460"/>
      <c r="E189" s="424" t="s">
        <v>379</v>
      </c>
      <c r="F189" s="459"/>
      <c r="G189" s="459"/>
      <c r="H189" s="459"/>
      <c r="I189" s="459"/>
      <c r="J189" s="459"/>
      <c r="K189" s="459"/>
      <c r="L189" s="459"/>
      <c r="M189" s="459"/>
      <c r="N189" s="459"/>
      <c r="O189" s="459"/>
      <c r="P189" s="426"/>
      <c r="Q189" s="426"/>
      <c r="R189" s="426"/>
      <c r="S189" s="426"/>
      <c r="T189" s="426"/>
      <c r="U189" s="426"/>
      <c r="V189" s="426"/>
      <c r="Z189" s="478"/>
      <c r="AA189" s="478" t="str">
        <f>IF(AND(F191=G191,H191=I191,F191="A"),"2016 - kwh","")</f>
        <v/>
      </c>
      <c r="AB189" s="478" t="str">
        <f>IF(OR(B189="2017 - kwh",B189="2018 - kwh"),"2016 - kwh","")</f>
        <v/>
      </c>
      <c r="AC189" s="478"/>
      <c r="AD189" s="478"/>
      <c r="AE189" s="478"/>
    </row>
    <row r="190" spans="1:31" hidden="1" x14ac:dyDescent="0.25">
      <c r="A190" s="426" t="str">
        <f>IF(AND(F191=G191,H191=I191,J191=K191,F191="A"),"2016 - kw",IF(AND(F191=G191,H191=I191,J191&lt;&gt;K191,F191="A"),"2017 - kw",IF(AND(F191=G191,H191&lt;&gt;I191,F191="A"),"2018 - kw","N/A")))</f>
        <v>N/A</v>
      </c>
      <c r="B190" s="426" t="str">
        <f>IF(AND(F191="A",G191="A"),"A","")</f>
        <v/>
      </c>
      <c r="C190" s="407"/>
      <c r="D190" s="420" t="str">
        <f>D189 &amp; "kW"</f>
        <v>kW</v>
      </c>
      <c r="E190" s="423" t="s">
        <v>380</v>
      </c>
      <c r="F190" s="459"/>
      <c r="G190" s="459"/>
      <c r="H190" s="459"/>
      <c r="I190" s="459"/>
      <c r="J190" s="459"/>
      <c r="K190" s="459"/>
      <c r="L190" s="459"/>
      <c r="M190" s="459"/>
      <c r="N190" s="459"/>
      <c r="O190" s="459"/>
      <c r="P190" s="426"/>
      <c r="Q190" s="426"/>
      <c r="R190" s="426"/>
      <c r="S190" s="426"/>
      <c r="T190" s="426"/>
      <c r="U190" s="426"/>
      <c r="V190" s="426"/>
      <c r="Z190" s="478"/>
      <c r="AA190" s="478" t="str">
        <f>IF(AND(F191=G191,H191=I191,F191="A"),"2016 - kw","")</f>
        <v/>
      </c>
      <c r="AB190" s="478" t="str">
        <f>IF(OR(B190="2017 - kw",B190="2018 - kw"),"2016 - kw","")</f>
        <v/>
      </c>
      <c r="AC190" s="478"/>
      <c r="AD190" s="478"/>
      <c r="AE190" s="478"/>
    </row>
    <row r="191" spans="1:31" hidden="1" x14ac:dyDescent="0.25">
      <c r="A191" s="426"/>
      <c r="B191" s="426"/>
      <c r="C191" s="410"/>
      <c r="D191" s="376"/>
      <c r="E191" s="422" t="s">
        <v>381</v>
      </c>
      <c r="F191" s="458"/>
      <c r="G191" s="458"/>
      <c r="H191" s="458"/>
      <c r="I191" s="458"/>
      <c r="J191" s="458"/>
      <c r="K191" s="458"/>
      <c r="L191" s="458"/>
      <c r="M191" s="458"/>
      <c r="N191" s="458"/>
      <c r="O191" s="458"/>
      <c r="P191" s="426"/>
      <c r="Q191" s="426"/>
      <c r="R191" s="426"/>
      <c r="S191" s="426"/>
      <c r="T191" s="426"/>
      <c r="U191" s="426"/>
      <c r="V191" s="426"/>
      <c r="Z191" s="478"/>
      <c r="AA191" s="478"/>
      <c r="AB191" s="478"/>
      <c r="AC191" s="478"/>
      <c r="AD191" s="478"/>
      <c r="AE191" s="478"/>
    </row>
    <row r="192" spans="1:31" hidden="1" x14ac:dyDescent="0.25">
      <c r="A192" s="426" t="str">
        <f>IF(AND(F194=G194,H194=I194,J194=K194,F194="A"),"2016 - kwh",IF(AND(F194=G194,H194=I194,J194&lt;&gt;K194,F194="A"),"2017 - kwh",IF(AND(F194=G194,H194&lt;&gt;I194,F194="A"),"2018 - kwh","N/A")))</f>
        <v>N/A</v>
      </c>
      <c r="B192" s="426" t="str">
        <f>IF(AND(F194="A",G194="A"),"A","")</f>
        <v/>
      </c>
      <c r="C192" s="406" t="s">
        <v>435</v>
      </c>
      <c r="D192" s="460"/>
      <c r="E192" s="424" t="s">
        <v>379</v>
      </c>
      <c r="F192" s="459"/>
      <c r="G192" s="459"/>
      <c r="H192" s="459"/>
      <c r="I192" s="459"/>
      <c r="J192" s="459"/>
      <c r="K192" s="459"/>
      <c r="L192" s="459"/>
      <c r="M192" s="459"/>
      <c r="N192" s="459"/>
      <c r="O192" s="459"/>
      <c r="P192" s="426"/>
      <c r="Q192" s="426"/>
      <c r="R192" s="426"/>
      <c r="S192" s="426"/>
      <c r="T192" s="426"/>
      <c r="U192" s="426"/>
      <c r="V192" s="426"/>
      <c r="Z192" s="478"/>
      <c r="AA192" s="478" t="str">
        <f>IF(AND(F194=G194,H194=I194,F194="A"),"2016 - kwh","")</f>
        <v/>
      </c>
      <c r="AB192" s="478" t="str">
        <f>IF(OR(B192="2017 - kwh",B192="2018 - kwh"),"2016 - kwh","")</f>
        <v/>
      </c>
      <c r="AC192" s="478"/>
      <c r="AD192" s="478"/>
      <c r="AE192" s="478"/>
    </row>
    <row r="193" spans="1:31" hidden="1" x14ac:dyDescent="0.25">
      <c r="A193" s="426" t="str">
        <f>IF(AND(F194=G194,H194=I194,J194=K194,F194="A"),"2016 - kw",IF(AND(F194=G194,H194=I194,J194&lt;&gt;K194,F194="A"),"2017 - kw",IF(AND(F194=G194,H194&lt;&gt;I194,F194="A"),"2018 - kw","N/A")))</f>
        <v>N/A</v>
      </c>
      <c r="B193" s="426" t="str">
        <f>IF(AND(F194="A",G194="A"),"A","")</f>
        <v/>
      </c>
      <c r="C193" s="407"/>
      <c r="D193" s="420" t="str">
        <f>D192 &amp; "kW"</f>
        <v>kW</v>
      </c>
      <c r="E193" s="423" t="s">
        <v>380</v>
      </c>
      <c r="F193" s="459"/>
      <c r="G193" s="459"/>
      <c r="H193" s="459"/>
      <c r="I193" s="459"/>
      <c r="J193" s="459"/>
      <c r="K193" s="459"/>
      <c r="L193" s="459"/>
      <c r="M193" s="459"/>
      <c r="N193" s="459"/>
      <c r="O193" s="459"/>
      <c r="P193" s="426"/>
      <c r="Q193" s="426"/>
      <c r="R193" s="426"/>
      <c r="S193" s="426"/>
      <c r="T193" s="426"/>
      <c r="U193" s="426"/>
      <c r="V193" s="426"/>
      <c r="Z193" s="478"/>
      <c r="AA193" s="478" t="str">
        <f>IF(AND(F194=G194,H194=I194,F194="A"),"2016 - kw","")</f>
        <v/>
      </c>
      <c r="AB193" s="478" t="str">
        <f>IF(OR(B193="2017 - kw",B193="2018 - kw"),"2016 - kw","")</f>
        <v/>
      </c>
      <c r="AC193" s="478"/>
      <c r="AD193" s="478"/>
      <c r="AE193" s="478"/>
    </row>
    <row r="194" spans="1:31" hidden="1" x14ac:dyDescent="0.25">
      <c r="A194" s="426"/>
      <c r="B194" s="426"/>
      <c r="C194" s="410"/>
      <c r="D194" s="376"/>
      <c r="E194" s="422" t="s">
        <v>381</v>
      </c>
      <c r="F194" s="458"/>
      <c r="G194" s="458"/>
      <c r="H194" s="458"/>
      <c r="I194" s="458"/>
      <c r="J194" s="458"/>
      <c r="K194" s="458"/>
      <c r="L194" s="458"/>
      <c r="M194" s="458"/>
      <c r="N194" s="458"/>
      <c r="O194" s="458"/>
      <c r="P194" s="426"/>
      <c r="Q194" s="426"/>
      <c r="R194" s="426"/>
      <c r="S194" s="426"/>
      <c r="T194" s="426"/>
      <c r="U194" s="426"/>
      <c r="V194" s="426"/>
      <c r="Z194" s="478"/>
      <c r="AA194" s="478"/>
      <c r="AB194" s="478"/>
      <c r="AC194" s="478"/>
      <c r="AD194" s="478"/>
      <c r="AE194" s="478"/>
    </row>
    <row r="195" spans="1:31" hidden="1" x14ac:dyDescent="0.25">
      <c r="A195" s="426" t="str">
        <f>IF(AND(F197=G197,H197=I197,J197=K197,F197="A"),"2016 - kwh",IF(AND(F197=G197,H197=I197,J197&lt;&gt;K197,F197="A"),"2017 - kwh",IF(AND(F197=G197,H197&lt;&gt;I197,F197="A"),"2018 - kwh","N/A")))</f>
        <v>N/A</v>
      </c>
      <c r="B195" s="426" t="str">
        <f>IF(AND(F197="A",G197="A"),"A","")</f>
        <v/>
      </c>
      <c r="C195" s="406" t="s">
        <v>436</v>
      </c>
      <c r="D195" s="460"/>
      <c r="E195" s="424" t="s">
        <v>379</v>
      </c>
      <c r="F195" s="459"/>
      <c r="G195" s="459"/>
      <c r="H195" s="459"/>
      <c r="I195" s="459"/>
      <c r="J195" s="459"/>
      <c r="K195" s="459"/>
      <c r="L195" s="459"/>
      <c r="M195" s="459"/>
      <c r="N195" s="459"/>
      <c r="O195" s="459"/>
      <c r="P195" s="426"/>
      <c r="Q195" s="426"/>
      <c r="R195" s="426"/>
      <c r="S195" s="426"/>
      <c r="T195" s="426"/>
      <c r="U195" s="426"/>
      <c r="V195" s="426"/>
      <c r="Z195" s="478"/>
      <c r="AA195" s="478" t="str">
        <f>IF(AND(F197=G197,H197=I197,F197="A"),"2016 - kwh","")</f>
        <v/>
      </c>
      <c r="AB195" s="478" t="str">
        <f>IF(OR(B195="2017 - kwh",B195="2018 - kwh"),"2016 - kwh","")</f>
        <v/>
      </c>
      <c r="AC195" s="478"/>
      <c r="AD195" s="478"/>
      <c r="AE195" s="478"/>
    </row>
    <row r="196" spans="1:31" hidden="1" x14ac:dyDescent="0.25">
      <c r="A196" s="426" t="str">
        <f>IF(AND(F197=G197,H197=I197,J197=K197,F197="A"),"2016 - kw",IF(AND(F197=G197,H197=I197,J197&lt;&gt;K197,F197="A"),"2017 - kw",IF(AND(F197=G197,H197&lt;&gt;I197,F197="A"),"2018 - kw","N/A")))</f>
        <v>N/A</v>
      </c>
      <c r="B196" s="426" t="str">
        <f>IF(AND(F197="A",G197="A"),"A","")</f>
        <v/>
      </c>
      <c r="C196" s="407"/>
      <c r="D196" s="420" t="str">
        <f>D195 &amp; "kW"</f>
        <v>kW</v>
      </c>
      <c r="E196" s="423" t="s">
        <v>380</v>
      </c>
      <c r="F196" s="459"/>
      <c r="G196" s="459"/>
      <c r="H196" s="459"/>
      <c r="I196" s="459"/>
      <c r="J196" s="459"/>
      <c r="K196" s="459"/>
      <c r="L196" s="459"/>
      <c r="M196" s="459"/>
      <c r="N196" s="459"/>
      <c r="O196" s="459"/>
      <c r="P196" s="426"/>
      <c r="Q196" s="426"/>
      <c r="R196" s="426"/>
      <c r="S196" s="426"/>
      <c r="T196" s="426"/>
      <c r="U196" s="426"/>
      <c r="V196" s="426"/>
      <c r="Z196" s="478"/>
      <c r="AA196" s="478" t="str">
        <f>IF(AND(F197=G197,H197=I197,F197="A"),"2016 - kw","")</f>
        <v/>
      </c>
      <c r="AB196" s="478" t="str">
        <f>IF(OR(B196="2017 - kw",B196="2018 - kw"),"2016 - kw","")</f>
        <v/>
      </c>
      <c r="AC196" s="478"/>
      <c r="AD196" s="478"/>
      <c r="AE196" s="478"/>
    </row>
    <row r="197" spans="1:31" hidden="1" x14ac:dyDescent="0.25">
      <c r="A197" s="426"/>
      <c r="B197" s="426"/>
      <c r="C197" s="410"/>
      <c r="D197" s="376"/>
      <c r="E197" s="422" t="s">
        <v>381</v>
      </c>
      <c r="F197" s="458"/>
      <c r="G197" s="458"/>
      <c r="H197" s="458"/>
      <c r="I197" s="458"/>
      <c r="J197" s="458"/>
      <c r="K197" s="458"/>
      <c r="L197" s="458"/>
      <c r="M197" s="458"/>
      <c r="N197" s="458"/>
      <c r="O197" s="458"/>
      <c r="P197" s="426"/>
      <c r="Q197" s="426"/>
      <c r="R197" s="426"/>
      <c r="S197" s="426"/>
      <c r="T197" s="426"/>
      <c r="U197" s="426"/>
      <c r="V197" s="426"/>
      <c r="Z197" s="478"/>
      <c r="AA197" s="478"/>
      <c r="AB197" s="478"/>
      <c r="AC197" s="478"/>
      <c r="AD197" s="478"/>
      <c r="AE197" s="478"/>
    </row>
    <row r="198" spans="1:31" hidden="1" x14ac:dyDescent="0.25">
      <c r="A198" s="426" t="str">
        <f>IF(AND(F200=G200,H200=I200,J200=K200,F200="A"),"2016 - kwh",IF(AND(F200=G200,H200=I200,J200&lt;&gt;K200,F200="A"),"2017 - kwh",IF(AND(F200=G200,H200&lt;&gt;I200,F200="A"),"2018 - kwh","N/A")))</f>
        <v>N/A</v>
      </c>
      <c r="B198" s="426" t="str">
        <f>IF(AND(F200="A",G200="A"),"A","")</f>
        <v/>
      </c>
      <c r="C198" s="406" t="s">
        <v>437</v>
      </c>
      <c r="D198" s="460"/>
      <c r="E198" s="424" t="s">
        <v>379</v>
      </c>
      <c r="F198" s="459"/>
      <c r="G198" s="459"/>
      <c r="H198" s="459"/>
      <c r="I198" s="459"/>
      <c r="J198" s="459"/>
      <c r="K198" s="459"/>
      <c r="L198" s="459"/>
      <c r="M198" s="459"/>
      <c r="N198" s="459"/>
      <c r="O198" s="459"/>
      <c r="P198" s="426"/>
      <c r="Q198" s="426"/>
      <c r="R198" s="426"/>
      <c r="S198" s="426"/>
      <c r="T198" s="426"/>
      <c r="U198" s="426"/>
      <c r="V198" s="426"/>
      <c r="Z198" s="478"/>
      <c r="AA198" s="478" t="str">
        <f>IF(AND(F200=G200,H200=I200,F200="A"),"2016 - kwh","")</f>
        <v/>
      </c>
      <c r="AB198" s="478" t="str">
        <f>IF(OR(B198="2017 - kwh",B198="2018 - kwh"),"2016 - kwh","")</f>
        <v/>
      </c>
      <c r="AC198" s="478"/>
      <c r="AD198" s="478"/>
      <c r="AE198" s="478"/>
    </row>
    <row r="199" spans="1:31" hidden="1" x14ac:dyDescent="0.25">
      <c r="A199" s="426" t="str">
        <f>IF(AND(F200=G200,H200=I200,J200=K200,F200="A"),"2016 - kw",IF(AND(F200=G200,H200=I200,J200&lt;&gt;K200,F200="A"),"2017 - kw",IF(AND(F200=G200,H200&lt;&gt;I200,F200="A"),"2018 - kw","N/A")))</f>
        <v>N/A</v>
      </c>
      <c r="B199" s="426" t="str">
        <f>IF(AND(F200="A",G200="A"),"A","")</f>
        <v/>
      </c>
      <c r="C199" s="407"/>
      <c r="D199" s="420" t="str">
        <f>D198 &amp; "kW"</f>
        <v>kW</v>
      </c>
      <c r="E199" s="423" t="s">
        <v>380</v>
      </c>
      <c r="F199" s="459"/>
      <c r="G199" s="459"/>
      <c r="H199" s="459"/>
      <c r="I199" s="459"/>
      <c r="J199" s="459"/>
      <c r="K199" s="459"/>
      <c r="L199" s="459"/>
      <c r="M199" s="459"/>
      <c r="N199" s="459"/>
      <c r="O199" s="459"/>
      <c r="P199" s="426"/>
      <c r="Q199" s="426"/>
      <c r="R199" s="426"/>
      <c r="S199" s="426"/>
      <c r="T199" s="426"/>
      <c r="U199" s="426"/>
      <c r="V199" s="426"/>
      <c r="Z199" s="478"/>
      <c r="AA199" s="478" t="str">
        <f>IF(AND(F200=G200,H200=I200,F200="A"),"2016 - kw","")</f>
        <v/>
      </c>
      <c r="AB199" s="478" t="str">
        <f>IF(OR(B199="2017 - kw",B199="2018 - kw"),"2016 - kw","")</f>
        <v/>
      </c>
      <c r="AC199" s="478"/>
      <c r="AD199" s="478"/>
      <c r="AE199" s="478"/>
    </row>
    <row r="200" spans="1:31" hidden="1" x14ac:dyDescent="0.25">
      <c r="A200" s="426"/>
      <c r="B200" s="426"/>
      <c r="C200" s="410"/>
      <c r="D200" s="376"/>
      <c r="E200" s="422" t="s">
        <v>381</v>
      </c>
      <c r="F200" s="458"/>
      <c r="G200" s="458"/>
      <c r="H200" s="458"/>
      <c r="I200" s="458"/>
      <c r="J200" s="458"/>
      <c r="K200" s="458"/>
      <c r="L200" s="458"/>
      <c r="M200" s="458"/>
      <c r="N200" s="458"/>
      <c r="O200" s="458"/>
      <c r="P200" s="426"/>
      <c r="Q200" s="426"/>
      <c r="R200" s="426"/>
      <c r="S200" s="426"/>
      <c r="T200" s="426"/>
      <c r="U200" s="426"/>
      <c r="V200" s="426"/>
      <c r="Z200" s="478"/>
      <c r="AA200" s="478"/>
      <c r="AB200" s="478"/>
      <c r="AC200" s="478"/>
      <c r="AD200" s="478"/>
      <c r="AE200" s="478"/>
    </row>
    <row r="201" spans="1:31" hidden="1" x14ac:dyDescent="0.25">
      <c r="A201" s="426" t="str">
        <f>IF(AND(F203=G203,H203=I203,J203=K203,F203="A"),"2016 - kwh",IF(AND(F203=G203,H203=I203,J203&lt;&gt;K203,F203="A"),"2017 - kwh",IF(AND(F203=G203,H203&lt;&gt;I203,F203="A"),"2018 - kwh","N/A")))</f>
        <v>N/A</v>
      </c>
      <c r="B201" s="426" t="str">
        <f>IF(AND(F203="A",G203="A"),"A","")</f>
        <v/>
      </c>
      <c r="C201" s="406" t="s">
        <v>438</v>
      </c>
      <c r="D201" s="460"/>
      <c r="E201" s="424" t="s">
        <v>379</v>
      </c>
      <c r="F201" s="459"/>
      <c r="G201" s="459"/>
      <c r="H201" s="459"/>
      <c r="I201" s="459"/>
      <c r="J201" s="459"/>
      <c r="K201" s="459"/>
      <c r="L201" s="459"/>
      <c r="M201" s="459"/>
      <c r="N201" s="459"/>
      <c r="O201" s="459"/>
      <c r="P201" s="426"/>
      <c r="Q201" s="426"/>
      <c r="R201" s="426"/>
      <c r="S201" s="426"/>
      <c r="T201" s="426"/>
      <c r="U201" s="426"/>
      <c r="V201" s="426"/>
      <c r="Z201" s="478"/>
      <c r="AA201" s="478" t="str">
        <f>IF(AND(F203=G203,H203=I203,F203="A"),"2016 - kwh","")</f>
        <v/>
      </c>
      <c r="AB201" s="478" t="str">
        <f>IF(OR(B201="2017 - kwh",B201="2018 - kwh"),"2016 - kwh","")</f>
        <v/>
      </c>
      <c r="AC201" s="478"/>
      <c r="AD201" s="478"/>
      <c r="AE201" s="478"/>
    </row>
    <row r="202" spans="1:31" hidden="1" x14ac:dyDescent="0.25">
      <c r="A202" s="426" t="str">
        <f>IF(AND(F203=G203,H203=I203,J203=K203,F203="A"),"2016 - kw",IF(AND(F203=G203,H203=I203,J203&lt;&gt;K203,F203="A"),"2017 - kw",IF(AND(F203=G203,H203&lt;&gt;I203,F203="A"),"2018 - kw","N/A")))</f>
        <v>N/A</v>
      </c>
      <c r="B202" s="426" t="str">
        <f>IF(AND(F203="A",G203="A"),"A","")</f>
        <v/>
      </c>
      <c r="C202" s="407"/>
      <c r="D202" s="420" t="str">
        <f>D201 &amp; "kW"</f>
        <v>kW</v>
      </c>
      <c r="E202" s="423" t="s">
        <v>380</v>
      </c>
      <c r="F202" s="459"/>
      <c r="G202" s="459"/>
      <c r="H202" s="459"/>
      <c r="I202" s="459"/>
      <c r="J202" s="459"/>
      <c r="K202" s="459"/>
      <c r="L202" s="459"/>
      <c r="M202" s="459"/>
      <c r="N202" s="459"/>
      <c r="O202" s="459"/>
      <c r="P202" s="426"/>
      <c r="Q202" s="426"/>
      <c r="R202" s="426"/>
      <c r="S202" s="426"/>
      <c r="T202" s="426"/>
      <c r="U202" s="426"/>
      <c r="V202" s="426"/>
      <c r="Z202" s="478"/>
      <c r="AA202" s="478" t="str">
        <f>IF(AND(F203=G203,H203=I203,F203="A"),"2016 - kw","")</f>
        <v/>
      </c>
      <c r="AB202" s="478" t="str">
        <f>IF(OR(B202="2017 - kw",B202="2018 - kw"),"2016 - kw","")</f>
        <v/>
      </c>
      <c r="AC202" s="478"/>
      <c r="AD202" s="478"/>
      <c r="AE202" s="478"/>
    </row>
    <row r="203" spans="1:31" hidden="1" x14ac:dyDescent="0.25">
      <c r="A203" s="426"/>
      <c r="B203" s="426"/>
      <c r="C203" s="410"/>
      <c r="D203" s="376"/>
      <c r="E203" s="422" t="s">
        <v>381</v>
      </c>
      <c r="F203" s="458"/>
      <c r="G203" s="458"/>
      <c r="H203" s="458"/>
      <c r="I203" s="458"/>
      <c r="J203" s="458"/>
      <c r="K203" s="458"/>
      <c r="L203" s="458"/>
      <c r="M203" s="458"/>
      <c r="N203" s="458"/>
      <c r="O203" s="458"/>
      <c r="P203" s="426"/>
      <c r="Q203" s="426"/>
      <c r="R203" s="426"/>
      <c r="S203" s="426"/>
      <c r="T203" s="426"/>
      <c r="U203" s="426"/>
      <c r="V203" s="426"/>
      <c r="Z203" s="478"/>
      <c r="AA203" s="478"/>
      <c r="AB203" s="478"/>
      <c r="AC203" s="478"/>
      <c r="AD203" s="478"/>
      <c r="AE203" s="478"/>
    </row>
    <row r="204" spans="1:31" hidden="1" x14ac:dyDescent="0.25">
      <c r="A204" s="426" t="str">
        <f>IF(AND(F206=G206,H206=I206,J206=K206,F206="A"),"2016 - kwh",IF(AND(F206=G206,H206=I206,J206&lt;&gt;K206,F206="A"),"2017 - kwh",IF(AND(F206=G206,H206&lt;&gt;I206,F206="A"),"2018 - kwh","N/A")))</f>
        <v>N/A</v>
      </c>
      <c r="B204" s="426" t="str">
        <f>IF(AND(F206="A",G206="A"),"A","")</f>
        <v/>
      </c>
      <c r="C204" s="406" t="s">
        <v>439</v>
      </c>
      <c r="D204" s="460"/>
      <c r="E204" s="424" t="s">
        <v>379</v>
      </c>
      <c r="F204" s="459"/>
      <c r="G204" s="459"/>
      <c r="H204" s="459"/>
      <c r="I204" s="459"/>
      <c r="J204" s="459"/>
      <c r="K204" s="459"/>
      <c r="L204" s="459"/>
      <c r="M204" s="459"/>
      <c r="N204" s="459"/>
      <c r="O204" s="459"/>
      <c r="P204" s="426"/>
      <c r="Q204" s="426"/>
      <c r="R204" s="426"/>
      <c r="S204" s="426"/>
      <c r="T204" s="426"/>
      <c r="U204" s="426"/>
      <c r="V204" s="426"/>
      <c r="Z204" s="478"/>
      <c r="AA204" s="478" t="str">
        <f>IF(AND(F206=G206,H206=I206,F206="A"),"2016 - kwh","")</f>
        <v/>
      </c>
      <c r="AB204" s="478" t="str">
        <f>IF(OR(B204="2017 - kwh",B204="2018 - kwh"),"2016 - kwh","")</f>
        <v/>
      </c>
      <c r="AC204" s="478"/>
      <c r="AD204" s="478"/>
      <c r="AE204" s="478"/>
    </row>
    <row r="205" spans="1:31" hidden="1" x14ac:dyDescent="0.25">
      <c r="A205" s="426" t="str">
        <f>IF(AND(F206=G206,H206=I206,J206=K206,F206="A"),"2016 - kw",IF(AND(F206=G206,H206=I206,J206&lt;&gt;K206,F206="A"),"2017 - kw",IF(AND(F206=G206,H206&lt;&gt;I206,F206="A"),"2018 - kw","N/A")))</f>
        <v>N/A</v>
      </c>
      <c r="B205" s="426" t="str">
        <f>IF(AND(F206="A",G206="A"),"A","")</f>
        <v/>
      </c>
      <c r="C205" s="407"/>
      <c r="D205" s="420" t="str">
        <f>D204 &amp; "kW"</f>
        <v>kW</v>
      </c>
      <c r="E205" s="423" t="s">
        <v>380</v>
      </c>
      <c r="F205" s="459"/>
      <c r="G205" s="459"/>
      <c r="H205" s="459"/>
      <c r="I205" s="459"/>
      <c r="J205" s="459"/>
      <c r="K205" s="459"/>
      <c r="L205" s="459"/>
      <c r="M205" s="459"/>
      <c r="N205" s="459"/>
      <c r="O205" s="459"/>
      <c r="P205" s="426"/>
      <c r="Q205" s="426"/>
      <c r="R205" s="426"/>
      <c r="S205" s="426"/>
      <c r="T205" s="426"/>
      <c r="U205" s="426"/>
      <c r="V205" s="426"/>
      <c r="Z205" s="478"/>
      <c r="AA205" s="478" t="str">
        <f>IF(AND(F206=G206,H206=I206,F206="A"),"2016 - kw","")</f>
        <v/>
      </c>
      <c r="AB205" s="478" t="str">
        <f>IF(OR(B205="2017 - kw",B205="2018 - kw"),"2016 - kw","")</f>
        <v/>
      </c>
      <c r="AC205" s="478"/>
      <c r="AD205" s="478"/>
      <c r="AE205" s="478"/>
    </row>
    <row r="206" spans="1:31" hidden="1" x14ac:dyDescent="0.25">
      <c r="A206" s="426"/>
      <c r="B206" s="426"/>
      <c r="C206" s="410"/>
      <c r="D206" s="376"/>
      <c r="E206" s="422" t="s">
        <v>381</v>
      </c>
      <c r="F206" s="458"/>
      <c r="G206" s="458"/>
      <c r="H206" s="458"/>
      <c r="I206" s="458"/>
      <c r="J206" s="458"/>
      <c r="K206" s="458"/>
      <c r="L206" s="458"/>
      <c r="M206" s="458"/>
      <c r="N206" s="458"/>
      <c r="O206" s="458"/>
      <c r="P206" s="426"/>
      <c r="Q206" s="426"/>
      <c r="R206" s="426"/>
      <c r="S206" s="426"/>
      <c r="T206" s="426"/>
      <c r="U206" s="426"/>
      <c r="V206" s="426"/>
      <c r="Z206" s="478"/>
      <c r="AA206" s="478"/>
      <c r="AB206" s="478"/>
      <c r="AC206" s="478"/>
      <c r="AD206" s="478"/>
      <c r="AE206" s="478"/>
    </row>
    <row r="207" spans="1:31" hidden="1" x14ac:dyDescent="0.25">
      <c r="A207" s="426" t="str">
        <f>IF(AND(F209=G209,H209=I209,J209=K209,F209="A"),"2016 - kwh",IF(AND(F209=G209,H209=I209,J209&lt;&gt;K209,F209="A"),"2017 - kwh",IF(AND(F209=G209,H209&lt;&gt;I209,F209="A"),"2018 - kwh","N/A")))</f>
        <v>N/A</v>
      </c>
      <c r="B207" s="426" t="str">
        <f>IF(AND(F209="A",G209="A"),"A","")</f>
        <v/>
      </c>
      <c r="C207" s="406" t="s">
        <v>440</v>
      </c>
      <c r="D207" s="460"/>
      <c r="E207" s="424" t="s">
        <v>379</v>
      </c>
      <c r="F207" s="459"/>
      <c r="G207" s="459"/>
      <c r="H207" s="459"/>
      <c r="I207" s="459"/>
      <c r="J207" s="459"/>
      <c r="K207" s="459"/>
      <c r="L207" s="459"/>
      <c r="M207" s="459"/>
      <c r="N207" s="459"/>
      <c r="O207" s="459"/>
      <c r="P207" s="426"/>
      <c r="Q207" s="426"/>
      <c r="R207" s="426"/>
      <c r="S207" s="426"/>
      <c r="T207" s="426"/>
      <c r="U207" s="426"/>
      <c r="V207" s="426"/>
      <c r="Z207" s="478"/>
      <c r="AA207" s="478" t="str">
        <f>IF(AND(F209=G209,H209=I209,F209="A"),"2016 - kwh","")</f>
        <v/>
      </c>
      <c r="AB207" s="478" t="str">
        <f>IF(OR(B207="2017 - kwh",B207="2018 - kwh"),"2016 - kwh","")</f>
        <v/>
      </c>
      <c r="AC207" s="478"/>
      <c r="AD207" s="478"/>
      <c r="AE207" s="478"/>
    </row>
    <row r="208" spans="1:31" hidden="1" x14ac:dyDescent="0.25">
      <c r="A208" s="426" t="str">
        <f>IF(AND(F209=G209,H209=I209,J209=K209,F209="A"),"2016 - kw",IF(AND(F209=G209,H209=I209,J209&lt;&gt;K209,F209="A"),"2017 - kw",IF(AND(F209=G209,H209&lt;&gt;I209,F209="A"),"2018 - kw","N/A")))</f>
        <v>N/A</v>
      </c>
      <c r="B208" s="426" t="str">
        <f>IF(AND(F209="A",G209="A"),"A","")</f>
        <v/>
      </c>
      <c r="C208" s="407"/>
      <c r="D208" s="420" t="str">
        <f>D207 &amp; "kW"</f>
        <v>kW</v>
      </c>
      <c r="E208" s="423" t="s">
        <v>380</v>
      </c>
      <c r="F208" s="459"/>
      <c r="G208" s="459"/>
      <c r="H208" s="459"/>
      <c r="I208" s="459"/>
      <c r="J208" s="459"/>
      <c r="K208" s="459"/>
      <c r="L208" s="459"/>
      <c r="M208" s="459"/>
      <c r="N208" s="459"/>
      <c r="O208" s="459"/>
      <c r="P208" s="426"/>
      <c r="Q208" s="426"/>
      <c r="R208" s="426"/>
      <c r="S208" s="426"/>
      <c r="T208" s="426"/>
      <c r="U208" s="426"/>
      <c r="V208" s="426"/>
      <c r="Z208" s="478"/>
      <c r="AA208" s="478" t="str">
        <f>IF(AND(F209=G209,H209=I209,F209="A"),"2016 - kw","")</f>
        <v/>
      </c>
      <c r="AB208" s="478" t="str">
        <f>IF(OR(B208="2017 - kw",B208="2018 - kw"),"2016 - kw","")</f>
        <v/>
      </c>
      <c r="AC208" s="478"/>
      <c r="AD208" s="478"/>
      <c r="AE208" s="478"/>
    </row>
    <row r="209" spans="1:31" hidden="1" x14ac:dyDescent="0.25">
      <c r="A209" s="426"/>
      <c r="B209" s="426"/>
      <c r="C209" s="410"/>
      <c r="D209" s="376"/>
      <c r="E209" s="422" t="s">
        <v>381</v>
      </c>
      <c r="F209" s="458"/>
      <c r="G209" s="458"/>
      <c r="H209" s="458"/>
      <c r="I209" s="458"/>
      <c r="J209" s="458"/>
      <c r="K209" s="458"/>
      <c r="L209" s="458"/>
      <c r="M209" s="458"/>
      <c r="N209" s="458"/>
      <c r="O209" s="458"/>
      <c r="P209" s="426"/>
      <c r="Q209" s="426"/>
      <c r="R209" s="426"/>
      <c r="S209" s="426"/>
      <c r="T209" s="426"/>
      <c r="U209" s="426"/>
      <c r="V209" s="426"/>
      <c r="Z209" s="478"/>
      <c r="AA209" s="478"/>
      <c r="AB209" s="478"/>
      <c r="AC209" s="478"/>
      <c r="AD209" s="478"/>
      <c r="AE209" s="478"/>
    </row>
    <row r="210" spans="1:31" hidden="1" x14ac:dyDescent="0.25">
      <c r="A210" s="426" t="str">
        <f>IF(AND(F212=G212,H212=I212,J212=K212,F212="A"),"2016 - kwh",IF(AND(F212=G212,H212=I212,J212&lt;&gt;K212,F212="A"),"2017 - kwh",IF(AND(F212=G212,H212&lt;&gt;I212,F212="A"),"2018 - kwh","N/A")))</f>
        <v>N/A</v>
      </c>
      <c r="B210" s="426" t="str">
        <f>IF(AND(F212="A",G212="A"),"A","")</f>
        <v/>
      </c>
      <c r="C210" s="406" t="s">
        <v>441</v>
      </c>
      <c r="D210" s="460"/>
      <c r="E210" s="424" t="s">
        <v>379</v>
      </c>
      <c r="F210" s="459"/>
      <c r="G210" s="459"/>
      <c r="H210" s="459"/>
      <c r="I210" s="459"/>
      <c r="J210" s="459"/>
      <c r="K210" s="459"/>
      <c r="L210" s="459"/>
      <c r="M210" s="459"/>
      <c r="N210" s="459"/>
      <c r="O210" s="459"/>
      <c r="P210" s="426"/>
      <c r="Q210" s="426"/>
      <c r="R210" s="426"/>
      <c r="S210" s="426"/>
      <c r="T210" s="426"/>
      <c r="U210" s="426"/>
      <c r="V210" s="426"/>
      <c r="Z210" s="478"/>
      <c r="AA210" s="478" t="str">
        <f>IF(AND(F212=G212,H212=I212,F212="A"),"2016 - kwh","")</f>
        <v/>
      </c>
      <c r="AB210" s="478" t="str">
        <f>IF(OR(B210="2017 - kwh",B210="2018 - kwh"),"2016 - kwh","")</f>
        <v/>
      </c>
      <c r="AC210" s="478"/>
      <c r="AD210" s="478"/>
      <c r="AE210" s="478"/>
    </row>
    <row r="211" spans="1:31" hidden="1" x14ac:dyDescent="0.25">
      <c r="A211" s="426" t="str">
        <f>IF(AND(F212=G212,H212=I212,J212=K212,F212="A"),"2016 - kw",IF(AND(F212=G212,H212=I212,J212&lt;&gt;K212,F212="A"),"2017 - kw",IF(AND(F212=G212,H212&lt;&gt;I212,F212="A"),"2018 - kw","N/A")))</f>
        <v>N/A</v>
      </c>
      <c r="B211" s="426" t="str">
        <f>IF(AND(F212="A",G212="A"),"A","")</f>
        <v/>
      </c>
      <c r="C211" s="407"/>
      <c r="D211" s="420" t="str">
        <f>D210 &amp; "kW"</f>
        <v>kW</v>
      </c>
      <c r="E211" s="423" t="s">
        <v>380</v>
      </c>
      <c r="F211" s="459"/>
      <c r="G211" s="459"/>
      <c r="H211" s="459"/>
      <c r="I211" s="459"/>
      <c r="J211" s="459"/>
      <c r="K211" s="459"/>
      <c r="L211" s="459"/>
      <c r="M211" s="459"/>
      <c r="N211" s="459"/>
      <c r="O211" s="459"/>
      <c r="P211" s="426"/>
      <c r="Q211" s="426"/>
      <c r="R211" s="426"/>
      <c r="S211" s="426"/>
      <c r="T211" s="426"/>
      <c r="U211" s="426"/>
      <c r="V211" s="426"/>
      <c r="Z211" s="478"/>
      <c r="AA211" s="478" t="str">
        <f>IF(AND(F212=G212,H212=I212,F212="A"),"2016 - kw","")</f>
        <v/>
      </c>
      <c r="AB211" s="478" t="str">
        <f>IF(OR(B211="2017 - kw",B211="2018 - kw"),"2016 - kw","")</f>
        <v/>
      </c>
      <c r="AC211" s="478"/>
      <c r="AD211" s="478"/>
      <c r="AE211" s="478"/>
    </row>
    <row r="212" spans="1:31" hidden="1" x14ac:dyDescent="0.25">
      <c r="A212" s="426"/>
      <c r="B212" s="426"/>
      <c r="C212" s="410"/>
      <c r="D212" s="376"/>
      <c r="E212" s="422" t="s">
        <v>381</v>
      </c>
      <c r="F212" s="458"/>
      <c r="G212" s="458"/>
      <c r="H212" s="458"/>
      <c r="I212" s="458"/>
      <c r="J212" s="458"/>
      <c r="K212" s="458"/>
      <c r="L212" s="458"/>
      <c r="M212" s="458"/>
      <c r="N212" s="458"/>
      <c r="O212" s="458"/>
      <c r="P212" s="426"/>
      <c r="Q212" s="426"/>
      <c r="R212" s="426"/>
      <c r="S212" s="426"/>
      <c r="T212" s="426"/>
      <c r="U212" s="426"/>
      <c r="V212" s="426"/>
      <c r="Z212" s="478"/>
      <c r="AA212" s="478"/>
      <c r="AB212" s="478"/>
      <c r="AC212" s="478"/>
      <c r="AD212" s="478"/>
      <c r="AE212" s="478"/>
    </row>
    <row r="213" spans="1:31" hidden="1" x14ac:dyDescent="0.25">
      <c r="A213" s="426" t="str">
        <f>IF(AND(F215=G215,H215=I215,J215=K215,F215="A"),"2016 - kwh",IF(AND(F215=G215,H215=I215,J215&lt;&gt;K215,F215="A"),"2017 - kwh",IF(AND(F215=G215,H215&lt;&gt;I215,F215="A"),"2018 - kwh","N/A")))</f>
        <v>N/A</v>
      </c>
      <c r="B213" s="426" t="str">
        <f>IF(AND(F215="A",G215="A"),"A","")</f>
        <v/>
      </c>
      <c r="C213" s="406" t="s">
        <v>442</v>
      </c>
      <c r="D213" s="460"/>
      <c r="E213" s="424" t="s">
        <v>379</v>
      </c>
      <c r="F213" s="459"/>
      <c r="G213" s="459"/>
      <c r="H213" s="459"/>
      <c r="I213" s="459"/>
      <c r="J213" s="459"/>
      <c r="K213" s="459"/>
      <c r="L213" s="459"/>
      <c r="M213" s="459"/>
      <c r="N213" s="459"/>
      <c r="O213" s="459"/>
      <c r="P213" s="426"/>
      <c r="Q213" s="426"/>
      <c r="R213" s="426"/>
      <c r="S213" s="426"/>
      <c r="T213" s="426"/>
      <c r="U213" s="426"/>
      <c r="V213" s="426"/>
      <c r="Z213" s="478"/>
      <c r="AA213" s="478" t="str">
        <f>IF(AND(F215=G215,H215=I215,F215="A"),"2016 - kwh","")</f>
        <v/>
      </c>
      <c r="AB213" s="478" t="str">
        <f>IF(OR(B213="2017 - kwh",B213="2018 - kwh"),"2016 - kwh","")</f>
        <v/>
      </c>
      <c r="AC213" s="478"/>
      <c r="AD213" s="478"/>
      <c r="AE213" s="478"/>
    </row>
    <row r="214" spans="1:31" hidden="1" x14ac:dyDescent="0.25">
      <c r="A214" s="426" t="str">
        <f>IF(AND(F215=G215,H215=I215,J215=K215,F215="A"),"2016 - kw",IF(AND(F215=G215,H215=I215,J215&lt;&gt;K215,F215="A"),"2017 - kw",IF(AND(F215=G215,H215&lt;&gt;I215,F215="A"),"2018 - kw","N/A")))</f>
        <v>N/A</v>
      </c>
      <c r="B214" s="426" t="str">
        <f>IF(AND(F215="A",G215="A"),"A","")</f>
        <v/>
      </c>
      <c r="C214" s="407"/>
      <c r="D214" s="420" t="str">
        <f>D213 &amp; "kW"</f>
        <v>kW</v>
      </c>
      <c r="E214" s="423" t="s">
        <v>380</v>
      </c>
      <c r="F214" s="459"/>
      <c r="G214" s="459"/>
      <c r="H214" s="459"/>
      <c r="I214" s="459"/>
      <c r="J214" s="459"/>
      <c r="K214" s="459"/>
      <c r="L214" s="459"/>
      <c r="M214" s="459"/>
      <c r="N214" s="459"/>
      <c r="O214" s="459"/>
      <c r="P214" s="426"/>
      <c r="Q214" s="426"/>
      <c r="R214" s="426"/>
      <c r="S214" s="426"/>
      <c r="T214" s="426"/>
      <c r="U214" s="426"/>
      <c r="V214" s="426"/>
      <c r="Z214" s="478"/>
      <c r="AA214" s="478" t="str">
        <f>IF(AND(F215=G215,H215=I215,F215="A"),"2016 - kw","")</f>
        <v/>
      </c>
      <c r="AB214" s="478" t="str">
        <f>IF(OR(B214="2017 - kw",B214="2018 - kw"),"2016 - kw","")</f>
        <v/>
      </c>
      <c r="AC214" s="478"/>
      <c r="AD214" s="478"/>
      <c r="AE214" s="478"/>
    </row>
    <row r="215" spans="1:31" hidden="1" x14ac:dyDescent="0.25">
      <c r="A215" s="426"/>
      <c r="B215" s="426"/>
      <c r="C215" s="410"/>
      <c r="D215" s="376"/>
      <c r="E215" s="422" t="s">
        <v>381</v>
      </c>
      <c r="F215" s="458"/>
      <c r="G215" s="458"/>
      <c r="H215" s="458"/>
      <c r="I215" s="458"/>
      <c r="J215" s="458"/>
      <c r="K215" s="458"/>
      <c r="L215" s="458"/>
      <c r="M215" s="458"/>
      <c r="N215" s="458"/>
      <c r="O215" s="458"/>
      <c r="P215" s="426"/>
      <c r="Q215" s="426"/>
      <c r="R215" s="426"/>
      <c r="S215" s="426"/>
      <c r="T215" s="426"/>
      <c r="U215" s="426"/>
      <c r="V215" s="426"/>
      <c r="Z215" s="478"/>
      <c r="AA215" s="478"/>
      <c r="AB215" s="478"/>
      <c r="AC215" s="478"/>
      <c r="AD215" s="478"/>
      <c r="AE215" s="478"/>
    </row>
    <row r="216" spans="1:31" hidden="1" x14ac:dyDescent="0.25">
      <c r="A216" s="426" t="str">
        <f>IF(AND(F218=G218,H218=I218,J218=K218,F218="A"),"2016 - kwh",IF(AND(F218=G218,H218=I218,J218&lt;&gt;K218,F218="A"),"2017 - kwh",IF(AND(F218=G218,H218&lt;&gt;I218,F218="A"),"2018 - kwh","N/A")))</f>
        <v>N/A</v>
      </c>
      <c r="B216" s="426" t="str">
        <f>IF(AND(F218="A",G218="A"),"A","")</f>
        <v/>
      </c>
      <c r="C216" s="406" t="s">
        <v>443</v>
      </c>
      <c r="D216" s="460"/>
      <c r="E216" s="424" t="s">
        <v>379</v>
      </c>
      <c r="F216" s="459"/>
      <c r="G216" s="459"/>
      <c r="H216" s="459"/>
      <c r="I216" s="459"/>
      <c r="J216" s="459"/>
      <c r="K216" s="459"/>
      <c r="L216" s="459"/>
      <c r="M216" s="459"/>
      <c r="N216" s="459"/>
      <c r="O216" s="459"/>
      <c r="P216" s="426"/>
      <c r="Q216" s="426"/>
      <c r="R216" s="426"/>
      <c r="S216" s="426"/>
      <c r="T216" s="426"/>
      <c r="U216" s="426"/>
      <c r="V216" s="426"/>
      <c r="Z216" s="478"/>
      <c r="AA216" s="478" t="str">
        <f>IF(AND(F218=G218,H218=I218,F218="A"),"2016 - kwh","")</f>
        <v/>
      </c>
      <c r="AB216" s="478" t="str">
        <f>IF(OR(B216="2017 - kwh",B216="2018 - kwh"),"2016 - kwh","")</f>
        <v/>
      </c>
      <c r="AC216" s="478"/>
      <c r="AD216" s="478"/>
      <c r="AE216" s="478"/>
    </row>
    <row r="217" spans="1:31" hidden="1" x14ac:dyDescent="0.25">
      <c r="A217" s="426" t="str">
        <f>IF(AND(F218=G218,H218=I218,J218=K218,F218="A"),"2016 - kw",IF(AND(F218=G218,H218=I218,J218&lt;&gt;K218,F218="A"),"2017 - kw",IF(AND(F218=G218,H218&lt;&gt;I218,F218="A"),"2018 - kw","N/A")))</f>
        <v>N/A</v>
      </c>
      <c r="B217" s="426" t="str">
        <f>IF(AND(F218="A",G218="A"),"A","")</f>
        <v/>
      </c>
      <c r="C217" s="407"/>
      <c r="D217" s="420" t="str">
        <f>D216 &amp; "kW"</f>
        <v>kW</v>
      </c>
      <c r="E217" s="423" t="s">
        <v>380</v>
      </c>
      <c r="F217" s="459"/>
      <c r="G217" s="459"/>
      <c r="H217" s="459"/>
      <c r="I217" s="459"/>
      <c r="J217" s="459"/>
      <c r="K217" s="459"/>
      <c r="L217" s="459"/>
      <c r="M217" s="459"/>
      <c r="N217" s="459"/>
      <c r="O217" s="459"/>
      <c r="P217" s="426"/>
      <c r="Q217" s="426"/>
      <c r="R217" s="426"/>
      <c r="S217" s="426"/>
      <c r="T217" s="426"/>
      <c r="U217" s="426"/>
      <c r="V217" s="426"/>
      <c r="Z217" s="478"/>
      <c r="AA217" s="478" t="str">
        <f>IF(AND(F218=G218,H218=I218,F218="A"),"2016 - kw","")</f>
        <v/>
      </c>
      <c r="AB217" s="478" t="str">
        <f>IF(OR(B217="2017 - kw",B217="2018 - kw"),"2016 - kw","")</f>
        <v/>
      </c>
      <c r="AC217" s="478"/>
      <c r="AD217" s="478"/>
      <c r="AE217" s="478"/>
    </row>
    <row r="218" spans="1:31" hidden="1" x14ac:dyDescent="0.25">
      <c r="A218" s="426"/>
      <c r="B218" s="426"/>
      <c r="C218" s="410"/>
      <c r="D218" s="376"/>
      <c r="E218" s="422" t="s">
        <v>381</v>
      </c>
      <c r="F218" s="458"/>
      <c r="G218" s="458"/>
      <c r="H218" s="458"/>
      <c r="I218" s="458"/>
      <c r="J218" s="458"/>
      <c r="K218" s="458"/>
      <c r="L218" s="458"/>
      <c r="M218" s="458"/>
      <c r="N218" s="458"/>
      <c r="O218" s="458"/>
      <c r="P218" s="426"/>
      <c r="Q218" s="426"/>
      <c r="R218" s="426"/>
      <c r="S218" s="426"/>
      <c r="T218" s="426"/>
      <c r="U218" s="426"/>
      <c r="V218" s="426"/>
      <c r="Z218" s="478"/>
      <c r="AA218" s="478"/>
      <c r="AB218" s="478"/>
      <c r="AC218" s="478"/>
      <c r="AD218" s="478"/>
      <c r="AE218" s="478"/>
    </row>
    <row r="219" spans="1:31" hidden="1" x14ac:dyDescent="0.25">
      <c r="A219" s="426" t="str">
        <f>IF(AND(F221=G221,H221=I221,J221=K221,F221="A"),"2016 - kwh",IF(AND(F221=G221,H221=I221,J221&lt;&gt;K221,F221="A"),"2017 - kwh",IF(AND(F221=G221,H221&lt;&gt;I221,F221="A"),"2018 - kwh","N/A")))</f>
        <v>N/A</v>
      </c>
      <c r="B219" s="426" t="str">
        <f>IF(AND(F221="A",G221="A"),"A","")</f>
        <v/>
      </c>
      <c r="C219" s="406" t="s">
        <v>444</v>
      </c>
      <c r="D219" s="460"/>
      <c r="E219" s="424" t="s">
        <v>379</v>
      </c>
      <c r="F219" s="459"/>
      <c r="G219" s="459"/>
      <c r="H219" s="459"/>
      <c r="I219" s="459"/>
      <c r="J219" s="459"/>
      <c r="K219" s="459"/>
      <c r="L219" s="459"/>
      <c r="M219" s="459"/>
      <c r="N219" s="459"/>
      <c r="O219" s="459"/>
      <c r="P219" s="426"/>
      <c r="Q219" s="426"/>
      <c r="R219" s="426"/>
      <c r="S219" s="426"/>
      <c r="T219" s="426"/>
      <c r="U219" s="426"/>
      <c r="V219" s="426"/>
      <c r="Z219" s="478"/>
      <c r="AA219" s="478" t="str">
        <f>IF(AND(F221=G221,H221=I221,F221="A"),"2016 - kwh","")</f>
        <v/>
      </c>
      <c r="AB219" s="478" t="str">
        <f>IF(OR(B219="2017 - kwh",B219="2018 - kwh"),"2016 - kwh","")</f>
        <v/>
      </c>
      <c r="AC219" s="478"/>
      <c r="AD219" s="478"/>
      <c r="AE219" s="478"/>
    </row>
    <row r="220" spans="1:31" hidden="1" x14ac:dyDescent="0.25">
      <c r="A220" s="426" t="str">
        <f>IF(AND(F221=G221,H221=I221,J221=K221,F221="A"),"2016 - kw",IF(AND(F221=G221,H221=I221,J221&lt;&gt;K221,F221="A"),"2017 - kw",IF(AND(F221=G221,H221&lt;&gt;I221,F221="A"),"2018 - kw","N/A")))</f>
        <v>N/A</v>
      </c>
      <c r="B220" s="426" t="str">
        <f>IF(AND(F221="A",G221="A"),"A","")</f>
        <v/>
      </c>
      <c r="C220" s="407"/>
      <c r="D220" s="420" t="str">
        <f>D219 &amp; "kW"</f>
        <v>kW</v>
      </c>
      <c r="E220" s="423" t="s">
        <v>380</v>
      </c>
      <c r="F220" s="459"/>
      <c r="G220" s="459"/>
      <c r="H220" s="459"/>
      <c r="I220" s="459"/>
      <c r="J220" s="459"/>
      <c r="K220" s="459"/>
      <c r="L220" s="459"/>
      <c r="M220" s="459"/>
      <c r="N220" s="459"/>
      <c r="O220" s="459"/>
      <c r="P220" s="426"/>
      <c r="Q220" s="426"/>
      <c r="R220" s="426"/>
      <c r="S220" s="426"/>
      <c r="T220" s="426"/>
      <c r="U220" s="426"/>
      <c r="V220" s="426"/>
      <c r="Z220" s="478"/>
      <c r="AA220" s="478" t="str">
        <f>IF(AND(F221=G221,H221=I221,F221="A"),"2016 - kw","")</f>
        <v/>
      </c>
      <c r="AB220" s="478" t="str">
        <f>IF(OR(B220="2017 - kw",B220="2018 - kw"),"2016 - kw","")</f>
        <v/>
      </c>
      <c r="AC220" s="478"/>
      <c r="AD220" s="478"/>
      <c r="AE220" s="478"/>
    </row>
    <row r="221" spans="1:31" hidden="1" x14ac:dyDescent="0.25">
      <c r="A221" s="426"/>
      <c r="B221" s="426"/>
      <c r="C221" s="410"/>
      <c r="D221" s="376"/>
      <c r="E221" s="422" t="s">
        <v>381</v>
      </c>
      <c r="F221" s="458"/>
      <c r="G221" s="458"/>
      <c r="H221" s="458"/>
      <c r="I221" s="458"/>
      <c r="J221" s="458"/>
      <c r="K221" s="458"/>
      <c r="L221" s="458"/>
      <c r="M221" s="458"/>
      <c r="N221" s="458"/>
      <c r="O221" s="458"/>
      <c r="P221" s="426"/>
      <c r="Q221" s="426"/>
      <c r="R221" s="426"/>
      <c r="S221" s="426"/>
      <c r="T221" s="426"/>
      <c r="U221" s="426"/>
      <c r="V221" s="426"/>
      <c r="Z221" s="478"/>
      <c r="AA221" s="478"/>
      <c r="AB221" s="478"/>
      <c r="AC221" s="478"/>
      <c r="AD221" s="478"/>
      <c r="AE221" s="478"/>
    </row>
    <row r="222" spans="1:31" hidden="1" x14ac:dyDescent="0.25">
      <c r="A222" s="426" t="str">
        <f>IF(AND(F224=G224,H224=I224,J224=K224,F224="A"),"2016 - kwh",IF(AND(F224=G224,H224=I224,J224&lt;&gt;K224,F224="A"),"2017 - kwh",IF(AND(F224=G224,H224&lt;&gt;I224,F224="A"),"2018 - kwh","N/A")))</f>
        <v>N/A</v>
      </c>
      <c r="B222" s="426" t="str">
        <f>IF(AND(F224="A",G224="A"),"A","")</f>
        <v/>
      </c>
      <c r="C222" s="406" t="s">
        <v>445</v>
      </c>
      <c r="D222" s="460"/>
      <c r="E222" s="424" t="s">
        <v>379</v>
      </c>
      <c r="F222" s="459"/>
      <c r="G222" s="459"/>
      <c r="H222" s="459"/>
      <c r="I222" s="459"/>
      <c r="J222" s="459"/>
      <c r="K222" s="459"/>
      <c r="L222" s="459"/>
      <c r="M222" s="459"/>
      <c r="N222" s="459"/>
      <c r="O222" s="459"/>
      <c r="P222" s="426"/>
      <c r="Q222" s="426"/>
      <c r="R222" s="426"/>
      <c r="S222" s="426"/>
      <c r="T222" s="426"/>
      <c r="U222" s="426"/>
      <c r="V222" s="426"/>
      <c r="Z222" s="478"/>
      <c r="AA222" s="478" t="str">
        <f>IF(AND(F224=G224,H224=I224,F224="A"),"2016 - kwh","")</f>
        <v/>
      </c>
      <c r="AB222" s="478" t="str">
        <f>IF(OR(B222="2017 - kwh",B222="2018 - kwh"),"2016 - kwh","")</f>
        <v/>
      </c>
      <c r="AC222" s="478"/>
      <c r="AD222" s="478"/>
      <c r="AE222" s="478"/>
    </row>
    <row r="223" spans="1:31" hidden="1" x14ac:dyDescent="0.25">
      <c r="A223" s="426" t="str">
        <f>IF(AND(F224=G224,H224=I224,J224=K224,F224="A"),"2016 - kw",IF(AND(F224=G224,H224=I224,J224&lt;&gt;K224,F224="A"),"2017 - kw",IF(AND(F224=G224,H224&lt;&gt;I224,F224="A"),"2018 - kw","N/A")))</f>
        <v>N/A</v>
      </c>
      <c r="B223" s="426" t="str">
        <f>IF(AND(F224="A",G224="A"),"A","")</f>
        <v/>
      </c>
      <c r="C223" s="407"/>
      <c r="D223" s="420" t="str">
        <f>D222 &amp; "kW"</f>
        <v>kW</v>
      </c>
      <c r="E223" s="423" t="s">
        <v>380</v>
      </c>
      <c r="F223" s="459"/>
      <c r="G223" s="459"/>
      <c r="H223" s="459"/>
      <c r="I223" s="459"/>
      <c r="J223" s="459"/>
      <c r="K223" s="459"/>
      <c r="L223" s="459"/>
      <c r="M223" s="459"/>
      <c r="N223" s="459"/>
      <c r="O223" s="459"/>
      <c r="P223" s="426"/>
      <c r="Q223" s="426"/>
      <c r="R223" s="426"/>
      <c r="S223" s="426"/>
      <c r="T223" s="426"/>
      <c r="U223" s="426"/>
      <c r="V223" s="426"/>
      <c r="Z223" s="478"/>
      <c r="AA223" s="478" t="str">
        <f>IF(AND(F224=G224,H224=I224,F224="A"),"2016 - kw","")</f>
        <v/>
      </c>
      <c r="AB223" s="478" t="str">
        <f>IF(OR(B223="2017 - kw",B223="2018 - kw"),"2016 - kw","")</f>
        <v/>
      </c>
      <c r="AC223" s="478"/>
      <c r="AD223" s="478"/>
      <c r="AE223" s="478"/>
    </row>
    <row r="224" spans="1:31" hidden="1" x14ac:dyDescent="0.25">
      <c r="A224" s="426"/>
      <c r="B224" s="426"/>
      <c r="C224" s="410"/>
      <c r="D224" s="376"/>
      <c r="E224" s="422" t="s">
        <v>381</v>
      </c>
      <c r="F224" s="458"/>
      <c r="G224" s="458"/>
      <c r="H224" s="458"/>
      <c r="I224" s="458"/>
      <c r="J224" s="458"/>
      <c r="K224" s="458"/>
      <c r="L224" s="458"/>
      <c r="M224" s="458"/>
      <c r="N224" s="458"/>
      <c r="O224" s="458"/>
      <c r="P224" s="426"/>
      <c r="Q224" s="426"/>
      <c r="R224" s="426"/>
      <c r="S224" s="426"/>
      <c r="T224" s="426"/>
      <c r="U224" s="426"/>
      <c r="V224" s="426"/>
      <c r="Z224" s="478"/>
      <c r="AA224" s="478"/>
      <c r="AB224" s="478"/>
      <c r="AC224" s="478"/>
      <c r="AD224" s="478"/>
      <c r="AE224" s="478"/>
    </row>
    <row r="225" spans="1:31" hidden="1" x14ac:dyDescent="0.25">
      <c r="A225" s="426" t="str">
        <f>IF(AND(F227=G227,H227=I227,J227=K227,F227="A"),"2016 - kwh",IF(AND(F227=G227,H227=I227,J227&lt;&gt;K227,F227="A"),"2017 - kwh",IF(AND(F227=G227,H227&lt;&gt;I227,F227="A"),"2018 - kwh","N/A")))</f>
        <v>N/A</v>
      </c>
      <c r="B225" s="426" t="str">
        <f>IF(AND(F227="A",G227="A"),"A","")</f>
        <v/>
      </c>
      <c r="C225" s="406" t="s">
        <v>446</v>
      </c>
      <c r="D225" s="460"/>
      <c r="E225" s="424" t="s">
        <v>379</v>
      </c>
      <c r="F225" s="459"/>
      <c r="G225" s="459"/>
      <c r="H225" s="459"/>
      <c r="I225" s="459"/>
      <c r="J225" s="459"/>
      <c r="K225" s="459"/>
      <c r="L225" s="459"/>
      <c r="M225" s="459"/>
      <c r="N225" s="459"/>
      <c r="O225" s="459"/>
      <c r="P225" s="426"/>
      <c r="Q225" s="426"/>
      <c r="R225" s="426"/>
      <c r="S225" s="426"/>
      <c r="T225" s="426"/>
      <c r="U225" s="426"/>
      <c r="V225" s="426"/>
      <c r="Z225" s="478"/>
      <c r="AA225" s="478" t="str">
        <f>IF(AND(F227=G227,H227=I227,F227="A"),"2016 - kwh","")</f>
        <v/>
      </c>
      <c r="AB225" s="478" t="str">
        <f>IF(OR(B225="2017 - kwh",B225="2018 - kwh"),"2016 - kwh","")</f>
        <v/>
      </c>
      <c r="AC225" s="478"/>
      <c r="AD225" s="478"/>
      <c r="AE225" s="478"/>
    </row>
    <row r="226" spans="1:31" hidden="1" x14ac:dyDescent="0.25">
      <c r="A226" s="426" t="str">
        <f>IF(AND(F227=G227,H227=I227,J227=K227,F227="A"),"2016 - kw",IF(AND(F227=G227,H227=I227,J227&lt;&gt;K227,F227="A"),"2017 - kw",IF(AND(F227=G227,H227&lt;&gt;I227,F227="A"),"2018 - kw","N/A")))</f>
        <v>N/A</v>
      </c>
      <c r="B226" s="426" t="str">
        <f>IF(AND(F227="A",G227="A"),"A","")</f>
        <v/>
      </c>
      <c r="C226" s="407"/>
      <c r="D226" s="420" t="str">
        <f>D225 &amp; "kW"</f>
        <v>kW</v>
      </c>
      <c r="E226" s="423" t="s">
        <v>380</v>
      </c>
      <c r="F226" s="459"/>
      <c r="G226" s="459"/>
      <c r="H226" s="459"/>
      <c r="I226" s="459"/>
      <c r="J226" s="459"/>
      <c r="K226" s="459"/>
      <c r="L226" s="459"/>
      <c r="M226" s="459"/>
      <c r="N226" s="459"/>
      <c r="O226" s="459"/>
      <c r="P226" s="426"/>
      <c r="Q226" s="426"/>
      <c r="R226" s="426"/>
      <c r="S226" s="426"/>
      <c r="T226" s="426"/>
      <c r="U226" s="426"/>
      <c r="V226" s="426"/>
      <c r="Z226" s="478"/>
      <c r="AA226" s="478" t="str">
        <f>IF(AND(F227=G227,H227=I227,F227="A"),"2016 - kw","")</f>
        <v/>
      </c>
      <c r="AB226" s="478" t="str">
        <f>IF(OR(B226="2017 - kw",B226="2018 - kw"),"2016 - kw","")</f>
        <v/>
      </c>
      <c r="AC226" s="478"/>
      <c r="AD226" s="478"/>
      <c r="AE226" s="478"/>
    </row>
    <row r="227" spans="1:31" hidden="1" x14ac:dyDescent="0.25">
      <c r="A227" s="426"/>
      <c r="B227" s="426"/>
      <c r="C227" s="410"/>
      <c r="D227" s="376"/>
      <c r="E227" s="422" t="s">
        <v>381</v>
      </c>
      <c r="F227" s="458"/>
      <c r="G227" s="458"/>
      <c r="H227" s="458"/>
      <c r="I227" s="458"/>
      <c r="J227" s="458"/>
      <c r="K227" s="458"/>
      <c r="L227" s="458"/>
      <c r="M227" s="458"/>
      <c r="N227" s="458"/>
      <c r="O227" s="458"/>
      <c r="P227" s="426"/>
      <c r="Q227" s="426"/>
      <c r="R227" s="426"/>
      <c r="S227" s="426"/>
      <c r="T227" s="426"/>
      <c r="U227" s="426"/>
      <c r="V227" s="426"/>
      <c r="Z227" s="478"/>
      <c r="AA227" s="478"/>
      <c r="AB227" s="478"/>
      <c r="AC227" s="478"/>
      <c r="AD227" s="478"/>
      <c r="AE227" s="478"/>
    </row>
    <row r="228" spans="1:31" hidden="1" x14ac:dyDescent="0.25">
      <c r="A228" s="426" t="str">
        <f>IF(AND(F230=G230,H230=I230,J230=K230,F230="A"),"2016 - kwh",IF(AND(F230=G230,H230=I230,J230&lt;&gt;K230,F230="A"),"2017 - kwh",IF(AND(F230=G230,H230&lt;&gt;I230,F230="A"),"2018 - kwh","N/A")))</f>
        <v>N/A</v>
      </c>
      <c r="B228" s="426" t="str">
        <f>IF(AND(F230="A",G230="A"),"A","")</f>
        <v/>
      </c>
      <c r="C228" s="406" t="s">
        <v>447</v>
      </c>
      <c r="D228" s="460"/>
      <c r="E228" s="424" t="s">
        <v>379</v>
      </c>
      <c r="F228" s="459"/>
      <c r="G228" s="459"/>
      <c r="H228" s="459"/>
      <c r="I228" s="459"/>
      <c r="J228" s="459"/>
      <c r="K228" s="459"/>
      <c r="L228" s="459"/>
      <c r="M228" s="459"/>
      <c r="N228" s="459"/>
      <c r="O228" s="459"/>
      <c r="P228" s="426"/>
      <c r="Q228" s="426"/>
      <c r="R228" s="426"/>
      <c r="S228" s="426"/>
      <c r="T228" s="426"/>
      <c r="U228" s="426"/>
      <c r="V228" s="426"/>
      <c r="Z228" s="478"/>
      <c r="AA228" s="478" t="str">
        <f>IF(AND(F230=G230,H230=I230,F230="A"),"2016 - kwh","")</f>
        <v/>
      </c>
      <c r="AB228" s="478" t="str">
        <f>IF(OR(B228="2017 - kwh",B228="2018 - kwh"),"2016 - kwh","")</f>
        <v/>
      </c>
      <c r="AC228" s="478"/>
      <c r="AD228" s="478"/>
      <c r="AE228" s="478"/>
    </row>
    <row r="229" spans="1:31" hidden="1" x14ac:dyDescent="0.25">
      <c r="A229" s="426" t="str">
        <f>IF(AND(F230=G230,H230=I230,J230=K230,F230="A"),"2016 - kw",IF(AND(F230=G230,H230=I230,J230&lt;&gt;K230,F230="A"),"2017 - kw",IF(AND(F230=G230,H230&lt;&gt;I230,F230="A"),"2018 - kw","N/A")))</f>
        <v>N/A</v>
      </c>
      <c r="B229" s="426" t="str">
        <f>IF(AND(F230="A",G230="A"),"A","")</f>
        <v/>
      </c>
      <c r="C229" s="407"/>
      <c r="D229" s="420" t="str">
        <f>D228 &amp; "kW"</f>
        <v>kW</v>
      </c>
      <c r="E229" s="423" t="s">
        <v>380</v>
      </c>
      <c r="F229" s="459"/>
      <c r="G229" s="459"/>
      <c r="H229" s="459"/>
      <c r="I229" s="459"/>
      <c r="J229" s="459"/>
      <c r="K229" s="459"/>
      <c r="L229" s="459"/>
      <c r="M229" s="459"/>
      <c r="N229" s="459"/>
      <c r="O229" s="459"/>
      <c r="P229" s="426"/>
      <c r="Q229" s="426"/>
      <c r="R229" s="426"/>
      <c r="S229" s="426"/>
      <c r="T229" s="426"/>
      <c r="U229" s="426"/>
      <c r="V229" s="426"/>
      <c r="Z229" s="478"/>
      <c r="AA229" s="478" t="str">
        <f>IF(AND(F230=G230,H230=I230,F230="A"),"2016 - kw","")</f>
        <v/>
      </c>
      <c r="AB229" s="478" t="str">
        <f>IF(OR(B229="2017 - kw",B229="2018 - kw"),"2016 - kw","")</f>
        <v/>
      </c>
      <c r="AC229" s="478"/>
      <c r="AD229" s="478"/>
      <c r="AE229" s="478"/>
    </row>
    <row r="230" spans="1:31" hidden="1" x14ac:dyDescent="0.25">
      <c r="A230" s="426"/>
      <c r="B230" s="426"/>
      <c r="C230" s="410"/>
      <c r="D230" s="376"/>
      <c r="E230" s="422" t="s">
        <v>381</v>
      </c>
      <c r="F230" s="458"/>
      <c r="G230" s="458"/>
      <c r="H230" s="458"/>
      <c r="I230" s="458"/>
      <c r="J230" s="458"/>
      <c r="K230" s="458"/>
      <c r="L230" s="458"/>
      <c r="M230" s="458"/>
      <c r="N230" s="458"/>
      <c r="O230" s="458"/>
      <c r="P230" s="426"/>
      <c r="Q230" s="426"/>
      <c r="R230" s="426"/>
      <c r="S230" s="426"/>
      <c r="T230" s="426"/>
      <c r="U230" s="426"/>
      <c r="V230" s="426"/>
      <c r="Z230" s="478"/>
      <c r="AA230" s="478"/>
      <c r="AB230" s="478"/>
      <c r="AC230" s="478"/>
      <c r="AD230" s="478"/>
      <c r="AE230" s="478"/>
    </row>
    <row r="231" spans="1:31" hidden="1" x14ac:dyDescent="0.25">
      <c r="A231" s="426" t="str">
        <f>IF(AND(F233=G233,H233=I233,J233=K233,F233="A"),"2016 - kwh",IF(AND(F233=G233,H233=I233,J233&lt;&gt;K233,F233="A"),"2017 - kwh",IF(AND(F233=G233,H233&lt;&gt;I233,F233="A"),"2018 - kwh","N/A")))</f>
        <v>N/A</v>
      </c>
      <c r="B231" s="426" t="str">
        <f>IF(AND(F233="A",G233="A"),"A","")</f>
        <v/>
      </c>
      <c r="C231" s="406" t="s">
        <v>448</v>
      </c>
      <c r="D231" s="460"/>
      <c r="E231" s="424" t="s">
        <v>379</v>
      </c>
      <c r="F231" s="459"/>
      <c r="G231" s="459"/>
      <c r="H231" s="459"/>
      <c r="I231" s="459"/>
      <c r="J231" s="459"/>
      <c r="K231" s="459"/>
      <c r="L231" s="459"/>
      <c r="M231" s="459"/>
      <c r="N231" s="459"/>
      <c r="O231" s="459"/>
      <c r="P231" s="426"/>
      <c r="Q231" s="426"/>
      <c r="R231" s="426"/>
      <c r="S231" s="426"/>
      <c r="T231" s="426"/>
      <c r="U231" s="426"/>
      <c r="V231" s="426"/>
      <c r="Z231" s="478"/>
      <c r="AA231" s="478" t="str">
        <f>IF(AND(F233=G233,H233=I233,F233="A"),"2016 - kwh","")</f>
        <v/>
      </c>
      <c r="AB231" s="478" t="str">
        <f>IF(OR(B231="2017 - kwh",B231="2018 - kwh"),"2016 - kwh","")</f>
        <v/>
      </c>
      <c r="AC231" s="478"/>
      <c r="AD231" s="478"/>
      <c r="AE231" s="478"/>
    </row>
    <row r="232" spans="1:31" hidden="1" x14ac:dyDescent="0.25">
      <c r="A232" s="426" t="str">
        <f>IF(AND(F233=G233,H233=I233,J233=K233,F233="A"),"2016 - kw",IF(AND(F233=G233,H233=I233,J233&lt;&gt;K233,F233="A"),"2017 - kw",IF(AND(F233=G233,H233&lt;&gt;I233,F233="A"),"2018 - kw","N/A")))</f>
        <v>N/A</v>
      </c>
      <c r="B232" s="426" t="str">
        <f>IF(AND(F233="A",G233="A"),"A","")</f>
        <v/>
      </c>
      <c r="C232" s="407"/>
      <c r="D232" s="420" t="str">
        <f>D231 &amp; "kW"</f>
        <v>kW</v>
      </c>
      <c r="E232" s="423" t="s">
        <v>380</v>
      </c>
      <c r="F232" s="459"/>
      <c r="G232" s="459"/>
      <c r="H232" s="459"/>
      <c r="I232" s="459"/>
      <c r="J232" s="459"/>
      <c r="K232" s="459"/>
      <c r="L232" s="459"/>
      <c r="M232" s="459"/>
      <c r="N232" s="459"/>
      <c r="O232" s="459"/>
      <c r="P232" s="426"/>
      <c r="Q232" s="426"/>
      <c r="R232" s="426"/>
      <c r="S232" s="426"/>
      <c r="T232" s="426"/>
      <c r="U232" s="426"/>
      <c r="V232" s="426"/>
      <c r="Z232" s="478"/>
      <c r="AA232" s="478" t="str">
        <f>IF(AND(F233=G233,H233=I233,F233="A"),"2016 - kw","")</f>
        <v/>
      </c>
      <c r="AB232" s="478" t="str">
        <f>IF(OR(B232="2017 - kw",B232="2018 - kw"),"2016 - kw","")</f>
        <v/>
      </c>
      <c r="AC232" s="478"/>
      <c r="AD232" s="478"/>
      <c r="AE232" s="478"/>
    </row>
    <row r="233" spans="1:31" hidden="1" x14ac:dyDescent="0.25">
      <c r="A233" s="426"/>
      <c r="B233" s="426"/>
      <c r="C233" s="410"/>
      <c r="D233" s="376"/>
      <c r="E233" s="422" t="s">
        <v>381</v>
      </c>
      <c r="F233" s="458"/>
      <c r="G233" s="458"/>
      <c r="H233" s="458"/>
      <c r="I233" s="458"/>
      <c r="J233" s="458"/>
      <c r="K233" s="458"/>
      <c r="L233" s="458"/>
      <c r="M233" s="458"/>
      <c r="N233" s="458"/>
      <c r="O233" s="458"/>
      <c r="P233" s="426"/>
      <c r="Q233" s="426"/>
      <c r="R233" s="426"/>
      <c r="S233" s="426"/>
      <c r="T233" s="426"/>
      <c r="U233" s="426"/>
      <c r="V233" s="426"/>
      <c r="Z233" s="478"/>
      <c r="AA233" s="478"/>
      <c r="AB233" s="478"/>
      <c r="AC233" s="478"/>
      <c r="AD233" s="478"/>
      <c r="AE233" s="478"/>
    </row>
    <row r="234" spans="1:31" hidden="1" x14ac:dyDescent="0.25">
      <c r="A234" s="426" t="str">
        <f>IF(AND(F236=G236,H236=I236,J236=K236,F236="A"),"2016 - kwh",IF(AND(F236=G236,H236=I236,J236&lt;&gt;K236,F236="A"),"2017 - kwh",IF(AND(F236=G236,H236&lt;&gt;I236,F236="A"),"2018 - kwh","N/A")))</f>
        <v>N/A</v>
      </c>
      <c r="B234" s="426" t="str">
        <f>IF(AND(F236="A",G236="A"),"A","")</f>
        <v/>
      </c>
      <c r="C234" s="406" t="s">
        <v>449</v>
      </c>
      <c r="D234" s="460"/>
      <c r="E234" s="424" t="s">
        <v>379</v>
      </c>
      <c r="F234" s="459"/>
      <c r="G234" s="459"/>
      <c r="H234" s="459"/>
      <c r="I234" s="459"/>
      <c r="J234" s="459"/>
      <c r="K234" s="459"/>
      <c r="L234" s="459"/>
      <c r="M234" s="459"/>
      <c r="N234" s="459"/>
      <c r="O234" s="459"/>
      <c r="P234" s="426"/>
      <c r="Q234" s="426"/>
      <c r="R234" s="426"/>
      <c r="S234" s="426"/>
      <c r="T234" s="426"/>
      <c r="U234" s="426"/>
      <c r="V234" s="426"/>
      <c r="Z234" s="478"/>
      <c r="AA234" s="478" t="str">
        <f>IF(AND(F236=G236,H236=I236,F236="A"),"2016 - kwh","")</f>
        <v/>
      </c>
      <c r="AB234" s="478" t="str">
        <f>IF(OR(B234="2017 - kwh",B234="2018 - kwh"),"2016 - kwh","")</f>
        <v/>
      </c>
      <c r="AC234" s="478"/>
      <c r="AD234" s="478"/>
      <c r="AE234" s="478"/>
    </row>
    <row r="235" spans="1:31" hidden="1" x14ac:dyDescent="0.25">
      <c r="A235" s="426" t="str">
        <f>IF(AND(F236=G236,H236=I236,J236=K236,F236="A"),"2016 - kw",IF(AND(F236=G236,H236=I236,J236&lt;&gt;K236,F236="A"),"2017 - kw",IF(AND(F236=G236,H236&lt;&gt;I236,F236="A"),"2018 - kw","N/A")))</f>
        <v>N/A</v>
      </c>
      <c r="B235" s="426" t="str">
        <f>IF(AND(F236="A",G236="A"),"A","")</f>
        <v/>
      </c>
      <c r="C235" s="407"/>
      <c r="D235" s="420" t="str">
        <f>D234 &amp; "kW"</f>
        <v>kW</v>
      </c>
      <c r="E235" s="423" t="s">
        <v>380</v>
      </c>
      <c r="F235" s="459"/>
      <c r="G235" s="459"/>
      <c r="H235" s="459"/>
      <c r="I235" s="459"/>
      <c r="J235" s="459"/>
      <c r="K235" s="459"/>
      <c r="L235" s="459"/>
      <c r="M235" s="459"/>
      <c r="N235" s="459"/>
      <c r="O235" s="459"/>
      <c r="P235" s="426"/>
      <c r="Q235" s="426"/>
      <c r="R235" s="426"/>
      <c r="S235" s="426"/>
      <c r="T235" s="426"/>
      <c r="U235" s="426"/>
      <c r="V235" s="426"/>
      <c r="Z235" s="478"/>
      <c r="AA235" s="478" t="str">
        <f>IF(AND(F236=G236,H236=I236,F236="A"),"2016 - kw","")</f>
        <v/>
      </c>
      <c r="AB235" s="478" t="str">
        <f>IF(OR(B235="2017 - kw",B235="2018 - kw"),"2016 - kw","")</f>
        <v/>
      </c>
      <c r="AC235" s="478"/>
      <c r="AD235" s="478"/>
      <c r="AE235" s="478"/>
    </row>
    <row r="236" spans="1:31" hidden="1" x14ac:dyDescent="0.25">
      <c r="A236" s="426"/>
      <c r="B236" s="426"/>
      <c r="C236" s="410"/>
      <c r="D236" s="376"/>
      <c r="E236" s="422" t="s">
        <v>381</v>
      </c>
      <c r="F236" s="458"/>
      <c r="G236" s="458"/>
      <c r="H236" s="458"/>
      <c r="I236" s="458"/>
      <c r="J236" s="458"/>
      <c r="K236" s="458"/>
      <c r="L236" s="458"/>
      <c r="M236" s="458"/>
      <c r="N236" s="458"/>
      <c r="O236" s="458"/>
      <c r="P236" s="426"/>
      <c r="Q236" s="426"/>
      <c r="R236" s="426"/>
      <c r="S236" s="426"/>
      <c r="T236" s="426"/>
      <c r="U236" s="426"/>
      <c r="V236" s="426"/>
      <c r="Z236" s="478"/>
      <c r="AA236" s="478"/>
      <c r="AB236" s="478"/>
      <c r="AC236" s="478"/>
      <c r="AD236" s="478"/>
      <c r="AE236" s="478"/>
    </row>
    <row r="237" spans="1:31" hidden="1" x14ac:dyDescent="0.25">
      <c r="A237" s="426" t="str">
        <f>IF(AND(F239=G239,H239=I239,J239=K239,F239="A"),"2016 - kwh",IF(AND(F239=G239,H239=I239,J239&lt;&gt;K239,F239="A"),"2017 - kwh",IF(AND(F239=G239,H239&lt;&gt;I239,F239="A"),"2018 - kwh","N/A")))</f>
        <v>N/A</v>
      </c>
      <c r="B237" s="426" t="str">
        <f>IF(AND(F239="A",G239="A"),"A","")</f>
        <v/>
      </c>
      <c r="C237" s="406" t="s">
        <v>450</v>
      </c>
      <c r="D237" s="460"/>
      <c r="E237" s="424" t="s">
        <v>379</v>
      </c>
      <c r="F237" s="459"/>
      <c r="G237" s="459"/>
      <c r="H237" s="459"/>
      <c r="I237" s="459"/>
      <c r="J237" s="459"/>
      <c r="K237" s="459"/>
      <c r="L237" s="459"/>
      <c r="M237" s="459"/>
      <c r="N237" s="459"/>
      <c r="O237" s="459"/>
      <c r="P237" s="426"/>
      <c r="Q237" s="426"/>
      <c r="R237" s="426"/>
      <c r="S237" s="426"/>
      <c r="T237" s="426"/>
      <c r="U237" s="426"/>
      <c r="V237" s="426"/>
      <c r="Z237" s="478"/>
      <c r="AA237" s="478" t="str">
        <f>IF(AND(F239=G239,H239=I239,F239="A"),"2016 - kwh","")</f>
        <v/>
      </c>
      <c r="AB237" s="478" t="str">
        <f>IF(OR(B237="2017 - kwh",B237="2018 - kwh"),"2016 - kwh","")</f>
        <v/>
      </c>
      <c r="AC237" s="478"/>
      <c r="AD237" s="478"/>
      <c r="AE237" s="478"/>
    </row>
    <row r="238" spans="1:31" hidden="1" x14ac:dyDescent="0.25">
      <c r="A238" s="426" t="str">
        <f>IF(AND(F239=G239,H239=I239,J239=K239,F239="A"),"2016 - kw",IF(AND(F239=G239,H239=I239,J239&lt;&gt;K239,F239="A"),"2017 - kw",IF(AND(F239=G239,H239&lt;&gt;I239,F239="A"),"2018 - kw","N/A")))</f>
        <v>N/A</v>
      </c>
      <c r="B238" s="426" t="str">
        <f>IF(AND(F239="A",G239="A"),"A","")</f>
        <v/>
      </c>
      <c r="C238" s="407"/>
      <c r="D238" s="420" t="str">
        <f>D237 &amp; "kW"</f>
        <v>kW</v>
      </c>
      <c r="E238" s="423" t="s">
        <v>380</v>
      </c>
      <c r="F238" s="459"/>
      <c r="G238" s="459"/>
      <c r="H238" s="459"/>
      <c r="I238" s="459"/>
      <c r="J238" s="459"/>
      <c r="K238" s="459"/>
      <c r="L238" s="459"/>
      <c r="M238" s="459"/>
      <c r="N238" s="459"/>
      <c r="O238" s="459"/>
      <c r="P238" s="426"/>
      <c r="Q238" s="426"/>
      <c r="R238" s="426"/>
      <c r="S238" s="426"/>
      <c r="T238" s="426"/>
      <c r="U238" s="426"/>
      <c r="V238" s="426"/>
      <c r="Z238" s="478"/>
      <c r="AA238" s="478" t="str">
        <f>IF(AND(F239=G239,H239=I239,F239="A"),"2016 - kw","")</f>
        <v/>
      </c>
      <c r="AB238" s="478" t="str">
        <f>IF(OR(B238="2017 - kw",B238="2018 - kw"),"2016 - kw","")</f>
        <v/>
      </c>
      <c r="AC238" s="478"/>
      <c r="AD238" s="478"/>
      <c r="AE238" s="478"/>
    </row>
    <row r="239" spans="1:31" hidden="1" x14ac:dyDescent="0.25">
      <c r="A239" s="426"/>
      <c r="B239" s="426"/>
      <c r="C239" s="410"/>
      <c r="D239" s="376"/>
      <c r="E239" s="422" t="s">
        <v>381</v>
      </c>
      <c r="F239" s="458"/>
      <c r="G239" s="458"/>
      <c r="H239" s="458"/>
      <c r="I239" s="458"/>
      <c r="J239" s="458"/>
      <c r="K239" s="458"/>
      <c r="L239" s="458"/>
      <c r="M239" s="458"/>
      <c r="N239" s="458"/>
      <c r="O239" s="458"/>
      <c r="P239" s="426"/>
      <c r="Q239" s="426"/>
      <c r="R239" s="426"/>
      <c r="S239" s="426"/>
      <c r="T239" s="426"/>
      <c r="U239" s="426"/>
      <c r="V239" s="426"/>
      <c r="Z239" s="478"/>
      <c r="AA239" s="478"/>
      <c r="AB239" s="478"/>
      <c r="AC239" s="478"/>
      <c r="AD239" s="478"/>
      <c r="AE239" s="478"/>
    </row>
    <row r="240" spans="1:31" hidden="1" x14ac:dyDescent="0.25">
      <c r="A240" s="426" t="str">
        <f>IF(AND(F242=G242,H242=I242,J242=K242,F242="A"),"2016 - kwh",IF(AND(F242=G242,H242=I242,J242&lt;&gt;K242,F242="A"),"2017 - kwh",IF(AND(F242=G242,H242&lt;&gt;I242,F242="A"),"2018 - kwh","N/A")))</f>
        <v>N/A</v>
      </c>
      <c r="B240" s="426" t="str">
        <f>IF(AND(F242="A",G242="A"),"A","")</f>
        <v/>
      </c>
      <c r="C240" s="406" t="s">
        <v>451</v>
      </c>
      <c r="D240" s="460"/>
      <c r="E240" s="424" t="s">
        <v>379</v>
      </c>
      <c r="F240" s="459"/>
      <c r="G240" s="459"/>
      <c r="H240" s="459"/>
      <c r="I240" s="459"/>
      <c r="J240" s="459"/>
      <c r="K240" s="459"/>
      <c r="L240" s="459"/>
      <c r="M240" s="459"/>
      <c r="N240" s="459"/>
      <c r="O240" s="459"/>
      <c r="P240" s="426"/>
      <c r="Q240" s="426"/>
      <c r="R240" s="426"/>
      <c r="S240" s="426"/>
      <c r="T240" s="426"/>
      <c r="U240" s="426"/>
      <c r="V240" s="426"/>
      <c r="Z240" s="478"/>
      <c r="AA240" s="478" t="str">
        <f>IF(AND(F242=G242,H242=I242,F242="A"),"2016 - kwh","")</f>
        <v/>
      </c>
      <c r="AB240" s="478" t="str">
        <f>IF(OR(B240="2017 - kwh",B240="2018 - kwh"),"2016 - kwh","")</f>
        <v/>
      </c>
      <c r="AC240" s="478"/>
      <c r="AD240" s="478"/>
      <c r="AE240" s="478"/>
    </row>
    <row r="241" spans="1:31" hidden="1" x14ac:dyDescent="0.25">
      <c r="A241" s="426" t="str">
        <f>IF(AND(F242=G242,H242=I242,J242=K242,F242="A"),"2016 - kw",IF(AND(F242=G242,H242=I242,J242&lt;&gt;K242,F242="A"),"2017 - kw",IF(AND(F242=G242,H242&lt;&gt;I242,F242="A"),"2018 - kw","N/A")))</f>
        <v>N/A</v>
      </c>
      <c r="B241" s="426" t="str">
        <f>IF(AND(F242="A",G242="A"),"A","")</f>
        <v/>
      </c>
      <c r="C241" s="407"/>
      <c r="D241" s="420" t="str">
        <f>D240 &amp; "kW"</f>
        <v>kW</v>
      </c>
      <c r="E241" s="423" t="s">
        <v>380</v>
      </c>
      <c r="F241" s="459"/>
      <c r="G241" s="459"/>
      <c r="H241" s="459"/>
      <c r="I241" s="459"/>
      <c r="J241" s="459"/>
      <c r="K241" s="459"/>
      <c r="L241" s="459"/>
      <c r="M241" s="459"/>
      <c r="N241" s="459"/>
      <c r="O241" s="459"/>
      <c r="P241" s="426"/>
      <c r="Q241" s="426"/>
      <c r="R241" s="426"/>
      <c r="S241" s="426"/>
      <c r="T241" s="426"/>
      <c r="U241" s="426"/>
      <c r="V241" s="426"/>
      <c r="Z241" s="478"/>
      <c r="AA241" s="478" t="str">
        <f>IF(AND(F242=G242,H242=I242,F242="A"),"2016 - kw","")</f>
        <v/>
      </c>
      <c r="AB241" s="478" t="str">
        <f>IF(OR(B241="2017 - kw",B241="2018 - kw"),"2016 - kw","")</f>
        <v/>
      </c>
      <c r="AC241" s="478"/>
      <c r="AD241" s="478"/>
      <c r="AE241" s="478"/>
    </row>
    <row r="242" spans="1:31" hidden="1" x14ac:dyDescent="0.25">
      <c r="A242" s="426"/>
      <c r="B242" s="426"/>
      <c r="C242" s="410"/>
      <c r="D242" s="376"/>
      <c r="E242" s="422" t="s">
        <v>381</v>
      </c>
      <c r="F242" s="458"/>
      <c r="G242" s="458"/>
      <c r="H242" s="458"/>
      <c r="I242" s="458"/>
      <c r="J242" s="458"/>
      <c r="K242" s="458"/>
      <c r="L242" s="458"/>
      <c r="M242" s="458"/>
      <c r="N242" s="458"/>
      <c r="O242" s="458"/>
      <c r="P242" s="426"/>
      <c r="Q242" s="426"/>
      <c r="R242" s="426"/>
      <c r="S242" s="426"/>
      <c r="T242" s="426"/>
      <c r="U242" s="426"/>
      <c r="V242" s="426"/>
      <c r="Z242" s="478"/>
      <c r="AA242" s="478"/>
      <c r="AB242" s="478"/>
      <c r="AC242" s="478"/>
      <c r="AD242" s="478"/>
      <c r="AE242" s="478"/>
    </row>
    <row r="243" spans="1:31" hidden="1" x14ac:dyDescent="0.25">
      <c r="A243" s="426" t="str">
        <f>IF(AND(F245=G245,H245=I245,J245=K245,F245="A"),"2016 - kwh",IF(AND(F245=G245,H245=I245,J245&lt;&gt;K245,F245="A"),"2017 - kwh",IF(AND(F245=G245,H245&lt;&gt;I245,F245="A"),"2018 - kwh","N/A")))</f>
        <v>N/A</v>
      </c>
      <c r="B243" s="426" t="str">
        <f>IF(AND(F245="A",G245="A"),"A","")</f>
        <v/>
      </c>
      <c r="C243" s="406" t="s">
        <v>452</v>
      </c>
      <c r="D243" s="460"/>
      <c r="E243" s="424" t="s">
        <v>379</v>
      </c>
      <c r="F243" s="459"/>
      <c r="G243" s="459"/>
      <c r="H243" s="459"/>
      <c r="I243" s="459"/>
      <c r="J243" s="459"/>
      <c r="K243" s="459"/>
      <c r="L243" s="459"/>
      <c r="M243" s="459"/>
      <c r="N243" s="459"/>
      <c r="O243" s="459"/>
      <c r="P243" s="426"/>
      <c r="Q243" s="426"/>
      <c r="R243" s="426"/>
      <c r="S243" s="426"/>
      <c r="T243" s="426"/>
      <c r="U243" s="426"/>
      <c r="V243" s="426"/>
      <c r="Z243" s="478"/>
      <c r="AA243" s="478" t="str">
        <f>IF(AND(F245=G245,H245=I245,F245="A"),"2016 - kwh","")</f>
        <v/>
      </c>
      <c r="AB243" s="478" t="str">
        <f>IF(OR(B243="2017 - kwh",B243="2018 - kwh"),"2016 - kwh","")</f>
        <v/>
      </c>
      <c r="AC243" s="478"/>
      <c r="AD243" s="478"/>
      <c r="AE243" s="478"/>
    </row>
    <row r="244" spans="1:31" hidden="1" x14ac:dyDescent="0.25">
      <c r="A244" s="426" t="str">
        <f>IF(AND(F245=G245,H245=I245,J245=K245,F245="A"),"2016 - kw",IF(AND(F245=G245,H245=I245,J245&lt;&gt;K245,F245="A"),"2017 - kw",IF(AND(F245=G245,H245&lt;&gt;I245,F245="A"),"2018 - kw","N/A")))</f>
        <v>N/A</v>
      </c>
      <c r="B244" s="426" t="str">
        <f>IF(AND(F245="A",G245="A"),"A","")</f>
        <v/>
      </c>
      <c r="C244" s="407"/>
      <c r="D244" s="420" t="str">
        <f>D243 &amp; "kW"</f>
        <v>kW</v>
      </c>
      <c r="E244" s="423" t="s">
        <v>380</v>
      </c>
      <c r="F244" s="459"/>
      <c r="G244" s="459"/>
      <c r="H244" s="459"/>
      <c r="I244" s="459"/>
      <c r="J244" s="459"/>
      <c r="K244" s="459"/>
      <c r="L244" s="459"/>
      <c r="M244" s="459"/>
      <c r="N244" s="459"/>
      <c r="O244" s="459"/>
      <c r="P244" s="426"/>
      <c r="Q244" s="426"/>
      <c r="R244" s="426"/>
      <c r="S244" s="426"/>
      <c r="T244" s="426"/>
      <c r="U244" s="426"/>
      <c r="V244" s="426"/>
      <c r="Z244" s="478"/>
      <c r="AA244" s="478" t="str">
        <f>IF(AND(F245=G245,H245=I245,F245="A"),"2016 - kw","")</f>
        <v/>
      </c>
      <c r="AB244" s="478" t="str">
        <f>IF(OR(B244="2017 - kw",B244="2018 - kw"),"2016 - kw","")</f>
        <v/>
      </c>
      <c r="AC244" s="478"/>
      <c r="AD244" s="478"/>
      <c r="AE244" s="478"/>
    </row>
    <row r="245" spans="1:31" hidden="1" x14ac:dyDescent="0.25">
      <c r="A245" s="426"/>
      <c r="B245" s="426"/>
      <c r="C245" s="410"/>
      <c r="D245" s="376"/>
      <c r="E245" s="422" t="s">
        <v>381</v>
      </c>
      <c r="F245" s="458"/>
      <c r="G245" s="458"/>
      <c r="H245" s="458"/>
      <c r="I245" s="458"/>
      <c r="J245" s="458"/>
      <c r="K245" s="458"/>
      <c r="L245" s="458"/>
      <c r="M245" s="458"/>
      <c r="N245" s="458"/>
      <c r="O245" s="458"/>
      <c r="P245" s="426"/>
      <c r="Q245" s="426"/>
      <c r="R245" s="426"/>
      <c r="S245" s="426"/>
      <c r="T245" s="426"/>
      <c r="U245" s="426"/>
      <c r="V245" s="426"/>
      <c r="Z245" s="478"/>
      <c r="AA245" s="478"/>
      <c r="AB245" s="478"/>
      <c r="AC245" s="478"/>
      <c r="AD245" s="478"/>
      <c r="AE245" s="478"/>
    </row>
    <row r="246" spans="1:31" hidden="1" x14ac:dyDescent="0.25">
      <c r="A246" s="426" t="str">
        <f>IF(AND(F248=G248,H248=I248,J248=K248,F248="A"),"2016 - kwh",IF(AND(F248=G248,H248=I248,J248&lt;&gt;K248,F248="A"),"2017 - kwh",IF(AND(F248=G248,H248&lt;&gt;I248,F248="A"),"2018 - kwh","N/A")))</f>
        <v>N/A</v>
      </c>
      <c r="B246" s="426" t="str">
        <f>IF(AND(F248="A",G248="A"),"A","")</f>
        <v/>
      </c>
      <c r="C246" s="406" t="s">
        <v>453</v>
      </c>
      <c r="D246" s="460"/>
      <c r="E246" s="424" t="s">
        <v>379</v>
      </c>
      <c r="F246" s="459"/>
      <c r="G246" s="459"/>
      <c r="H246" s="459"/>
      <c r="I246" s="459"/>
      <c r="J246" s="459"/>
      <c r="K246" s="459"/>
      <c r="L246" s="459"/>
      <c r="M246" s="459"/>
      <c r="N246" s="459"/>
      <c r="O246" s="459"/>
      <c r="P246" s="426"/>
      <c r="Q246" s="426"/>
      <c r="R246" s="426"/>
      <c r="S246" s="426"/>
      <c r="T246" s="426"/>
      <c r="U246" s="426"/>
      <c r="V246" s="426"/>
      <c r="Z246" s="478"/>
      <c r="AA246" s="478" t="str">
        <f>IF(AND(F248=G248,H248=I248,F248="A"),"2016 - kwh","")</f>
        <v/>
      </c>
      <c r="AB246" s="478" t="str">
        <f>IF(OR(B246="2017 - kwh",B246="2018 - kwh"),"2016 - kwh","")</f>
        <v/>
      </c>
      <c r="AC246" s="478"/>
      <c r="AD246" s="478"/>
      <c r="AE246" s="478"/>
    </row>
    <row r="247" spans="1:31" hidden="1" x14ac:dyDescent="0.25">
      <c r="A247" s="426" t="str">
        <f>IF(AND(F248=G248,H248=I248,J248=K248,F248="A"),"2016 - kw",IF(AND(F248=G248,H248=I248,J248&lt;&gt;K248,F248="A"),"2017 - kw",IF(AND(F248=G248,H248&lt;&gt;I248,F248="A"),"2018 - kw","N/A")))</f>
        <v>N/A</v>
      </c>
      <c r="B247" s="426" t="str">
        <f>IF(AND(F248="A",G248="A"),"A","")</f>
        <v/>
      </c>
      <c r="C247" s="407"/>
      <c r="D247" s="420" t="str">
        <f>D246 &amp; "kW"</f>
        <v>kW</v>
      </c>
      <c r="E247" s="423" t="s">
        <v>380</v>
      </c>
      <c r="F247" s="459"/>
      <c r="G247" s="459"/>
      <c r="H247" s="459"/>
      <c r="I247" s="459"/>
      <c r="J247" s="459"/>
      <c r="K247" s="459"/>
      <c r="L247" s="459"/>
      <c r="M247" s="459"/>
      <c r="N247" s="459"/>
      <c r="O247" s="459"/>
      <c r="P247" s="426"/>
      <c r="Q247" s="426"/>
      <c r="R247" s="426"/>
      <c r="S247" s="426"/>
      <c r="T247" s="426"/>
      <c r="U247" s="426"/>
      <c r="V247" s="426"/>
      <c r="Z247" s="478"/>
      <c r="AA247" s="478" t="str">
        <f>IF(AND(F248=G248,H248=I248,F248="A"),"2016 - kw","")</f>
        <v/>
      </c>
      <c r="AB247" s="478" t="str">
        <f>IF(OR(B247="2017 - kw",B247="2018 - kw"),"2016 - kw","")</f>
        <v/>
      </c>
      <c r="AC247" s="478"/>
      <c r="AD247" s="478"/>
      <c r="AE247" s="478"/>
    </row>
    <row r="248" spans="1:31" hidden="1" x14ac:dyDescent="0.25">
      <c r="A248" s="426"/>
      <c r="B248" s="426"/>
      <c r="C248" s="410"/>
      <c r="D248" s="376"/>
      <c r="E248" s="422" t="s">
        <v>381</v>
      </c>
      <c r="F248" s="458"/>
      <c r="G248" s="458"/>
      <c r="H248" s="458"/>
      <c r="I248" s="458"/>
      <c r="J248" s="458"/>
      <c r="K248" s="458"/>
      <c r="L248" s="458"/>
      <c r="M248" s="458"/>
      <c r="N248" s="458"/>
      <c r="O248" s="458"/>
      <c r="P248" s="426"/>
      <c r="Q248" s="426"/>
      <c r="R248" s="426"/>
      <c r="S248" s="426"/>
      <c r="T248" s="426"/>
      <c r="U248" s="426"/>
      <c r="V248" s="426"/>
      <c r="Z248" s="478"/>
      <c r="AA248" s="478"/>
      <c r="AB248" s="478"/>
      <c r="AC248" s="478"/>
      <c r="AD248" s="478"/>
      <c r="AE248" s="478"/>
    </row>
    <row r="249" spans="1:31" hidden="1" x14ac:dyDescent="0.25">
      <c r="A249" s="426" t="str">
        <f>IF(AND(F251=G251,H251=I251,J251=K251,F251="A"),"2016 - kwh",IF(AND(F251=G251,H251=I251,J251&lt;&gt;K251,F251="A"),"2017 - kwh",IF(AND(F251=G251,H251&lt;&gt;I251,F251="A"),"2018 - kwh","N/A")))</f>
        <v>N/A</v>
      </c>
      <c r="B249" s="426" t="str">
        <f>IF(AND(F251="A",G251="A"),"A","")</f>
        <v/>
      </c>
      <c r="C249" s="406" t="s">
        <v>454</v>
      </c>
      <c r="D249" s="460"/>
      <c r="E249" s="424" t="s">
        <v>379</v>
      </c>
      <c r="F249" s="459"/>
      <c r="G249" s="459"/>
      <c r="H249" s="459"/>
      <c r="I249" s="459"/>
      <c r="J249" s="459"/>
      <c r="K249" s="459"/>
      <c r="L249" s="459"/>
      <c r="M249" s="459"/>
      <c r="N249" s="459"/>
      <c r="O249" s="459"/>
      <c r="P249" s="426"/>
      <c r="Q249" s="426"/>
      <c r="R249" s="426"/>
      <c r="S249" s="426"/>
      <c r="T249" s="426"/>
      <c r="U249" s="426"/>
      <c r="V249" s="426"/>
      <c r="Z249" s="478"/>
      <c r="AA249" s="478" t="str">
        <f>IF(AND(F251=G251,H251=I251,F251="A"),"2016 - kwh","")</f>
        <v/>
      </c>
      <c r="AB249" s="478" t="str">
        <f>IF(OR(B249="2017 - kwh",B249="2018 - kwh"),"2016 - kwh","")</f>
        <v/>
      </c>
      <c r="AC249" s="478"/>
      <c r="AD249" s="478"/>
      <c r="AE249" s="478"/>
    </row>
    <row r="250" spans="1:31" hidden="1" x14ac:dyDescent="0.25">
      <c r="A250" s="426" t="str">
        <f>IF(AND(F251=G251,H251=I251,J251=K251,F251="A"),"2016 - kw",IF(AND(F251=G251,H251=I251,J251&lt;&gt;K251,F251="A"),"2017 - kw",IF(AND(F251=G251,H251&lt;&gt;I251,F251="A"),"2018 - kw","N/A")))</f>
        <v>N/A</v>
      </c>
      <c r="B250" s="426" t="str">
        <f>IF(AND(F251="A",G251="A"),"A","")</f>
        <v/>
      </c>
      <c r="C250" s="407"/>
      <c r="D250" s="420" t="str">
        <f>D249 &amp; "kW"</f>
        <v>kW</v>
      </c>
      <c r="E250" s="423" t="s">
        <v>380</v>
      </c>
      <c r="F250" s="459"/>
      <c r="G250" s="459"/>
      <c r="H250" s="459"/>
      <c r="I250" s="459"/>
      <c r="J250" s="459"/>
      <c r="K250" s="459"/>
      <c r="L250" s="459"/>
      <c r="M250" s="459"/>
      <c r="N250" s="459"/>
      <c r="O250" s="459"/>
      <c r="P250" s="426"/>
      <c r="Q250" s="426"/>
      <c r="R250" s="426"/>
      <c r="S250" s="426"/>
      <c r="T250" s="426"/>
      <c r="U250" s="426"/>
      <c r="V250" s="426"/>
      <c r="Z250" s="478"/>
      <c r="AA250" s="478" t="str">
        <f>IF(AND(F251=G251,H251=I251,F251="A"),"2016 - kw","")</f>
        <v/>
      </c>
      <c r="AB250" s="478" t="str">
        <f>IF(OR(B250="2017 - kw",B250="2018 - kw"),"2016 - kw","")</f>
        <v/>
      </c>
      <c r="AC250" s="478"/>
      <c r="AD250" s="478"/>
      <c r="AE250" s="478"/>
    </row>
    <row r="251" spans="1:31" hidden="1" x14ac:dyDescent="0.25">
      <c r="A251" s="426"/>
      <c r="B251" s="426"/>
      <c r="C251" s="410"/>
      <c r="D251" s="376"/>
      <c r="E251" s="422" t="s">
        <v>381</v>
      </c>
      <c r="F251" s="458"/>
      <c r="G251" s="458"/>
      <c r="H251" s="458"/>
      <c r="I251" s="458"/>
      <c r="J251" s="458"/>
      <c r="K251" s="458"/>
      <c r="L251" s="458"/>
      <c r="M251" s="458"/>
      <c r="N251" s="458"/>
      <c r="O251" s="458"/>
      <c r="P251" s="426"/>
      <c r="Q251" s="426"/>
      <c r="R251" s="426"/>
      <c r="S251" s="426"/>
      <c r="T251" s="426"/>
      <c r="U251" s="426"/>
      <c r="V251" s="426"/>
      <c r="Z251" s="478"/>
      <c r="AA251" s="478"/>
      <c r="AB251" s="478"/>
      <c r="AC251" s="478"/>
      <c r="AD251" s="478"/>
      <c r="AE251" s="478"/>
    </row>
    <row r="252" spans="1:31" hidden="1" x14ac:dyDescent="0.25">
      <c r="A252" s="426" t="str">
        <f>IF(AND(F254=G254,H254=I254,J254=K254,F254="A"),"2016 - kwh",IF(AND(F254=G254,H254=I254,J254&lt;&gt;K254,F254="A"),"2017 - kwh",IF(AND(F254=G254,H254&lt;&gt;I254,F254="A"),"2018 - kwh","N/A")))</f>
        <v>N/A</v>
      </c>
      <c r="B252" s="426" t="str">
        <f>IF(AND(F254="A",G254="A"),"A","")</f>
        <v/>
      </c>
      <c r="C252" s="406" t="s">
        <v>455</v>
      </c>
      <c r="D252" s="460"/>
      <c r="E252" s="424" t="s">
        <v>379</v>
      </c>
      <c r="F252" s="459"/>
      <c r="G252" s="459"/>
      <c r="H252" s="459"/>
      <c r="I252" s="459"/>
      <c r="J252" s="459"/>
      <c r="K252" s="459"/>
      <c r="L252" s="459"/>
      <c r="M252" s="459"/>
      <c r="N252" s="459"/>
      <c r="O252" s="459"/>
      <c r="P252" s="426"/>
      <c r="Q252" s="426"/>
      <c r="R252" s="426"/>
      <c r="S252" s="426"/>
      <c r="T252" s="426"/>
      <c r="U252" s="426"/>
      <c r="V252" s="426"/>
      <c r="Z252" s="478"/>
      <c r="AA252" s="478" t="str">
        <f>IF(AND(F254=G254,H254=I254,F254="A"),"2016 - kwh","")</f>
        <v/>
      </c>
      <c r="AB252" s="478" t="str">
        <f>IF(OR(B252="2017 - kwh",B252="2018 - kwh"),"2016 - kwh","")</f>
        <v/>
      </c>
      <c r="AC252" s="478"/>
      <c r="AD252" s="478"/>
      <c r="AE252" s="478"/>
    </row>
    <row r="253" spans="1:31" hidden="1" x14ac:dyDescent="0.25">
      <c r="A253" s="426" t="str">
        <f>IF(AND(F254=G254,H254=I254,J254=K254,F254="A"),"2016 - kw",IF(AND(F254=G254,H254=I254,J254&lt;&gt;K254,F254="A"),"2017 - kw",IF(AND(F254=G254,H254&lt;&gt;I254,F254="A"),"2018 - kw","N/A")))</f>
        <v>N/A</v>
      </c>
      <c r="B253" s="426" t="str">
        <f>IF(AND(F254="A",G254="A"),"A","")</f>
        <v/>
      </c>
      <c r="C253" s="407"/>
      <c r="D253" s="420" t="str">
        <f>D252 &amp; "kW"</f>
        <v>kW</v>
      </c>
      <c r="E253" s="423" t="s">
        <v>380</v>
      </c>
      <c r="F253" s="459"/>
      <c r="G253" s="459"/>
      <c r="H253" s="459"/>
      <c r="I253" s="459"/>
      <c r="J253" s="459"/>
      <c r="K253" s="459"/>
      <c r="L253" s="459"/>
      <c r="M253" s="459"/>
      <c r="N253" s="459"/>
      <c r="O253" s="459"/>
      <c r="P253" s="426"/>
      <c r="Q253" s="426"/>
      <c r="R253" s="426"/>
      <c r="S253" s="426"/>
      <c r="T253" s="426"/>
      <c r="U253" s="426"/>
      <c r="V253" s="426"/>
      <c r="Z253" s="478"/>
      <c r="AA253" s="478" t="str">
        <f>IF(AND(F254=G254,H254=I254,F254="A"),"2016 - kw","")</f>
        <v/>
      </c>
      <c r="AB253" s="478" t="str">
        <f>IF(OR(B253="2017 - kw",B253="2018 - kw"),"2016 - kw","")</f>
        <v/>
      </c>
      <c r="AC253" s="478"/>
      <c r="AD253" s="478"/>
      <c r="AE253" s="478"/>
    </row>
    <row r="254" spans="1:31" hidden="1" x14ac:dyDescent="0.25">
      <c r="A254" s="426"/>
      <c r="B254" s="426"/>
      <c r="C254" s="410"/>
      <c r="D254" s="376"/>
      <c r="E254" s="422" t="s">
        <v>381</v>
      </c>
      <c r="F254" s="458"/>
      <c r="G254" s="458"/>
      <c r="H254" s="458"/>
      <c r="I254" s="458"/>
      <c r="J254" s="458"/>
      <c r="K254" s="458"/>
      <c r="L254" s="458"/>
      <c r="M254" s="458"/>
      <c r="N254" s="458"/>
      <c r="O254" s="458"/>
      <c r="P254" s="426"/>
      <c r="Q254" s="426"/>
      <c r="R254" s="426"/>
      <c r="S254" s="426"/>
      <c r="T254" s="426"/>
      <c r="U254" s="426"/>
      <c r="V254" s="426"/>
      <c r="Z254" s="478"/>
      <c r="AA254" s="478"/>
      <c r="AB254" s="478"/>
      <c r="AC254" s="478"/>
      <c r="AD254" s="478"/>
      <c r="AE254" s="478"/>
    </row>
    <row r="255" spans="1:31" hidden="1" x14ac:dyDescent="0.25">
      <c r="A255" s="426" t="str">
        <f>IF(AND(F257=G257,H257=I257,J257=K257,F257="A"),"2016 - kwh",IF(AND(F257=G257,H257=I257,J257&lt;&gt;K257,F257="A"),"2017 - kwh",IF(AND(F257=G257,H257&lt;&gt;I257,F257="A"),"2018 - kwh","N/A")))</f>
        <v>N/A</v>
      </c>
      <c r="B255" s="426" t="str">
        <f>IF(AND(F257="A",G257="A"),"A","")</f>
        <v/>
      </c>
      <c r="C255" s="406" t="s">
        <v>456</v>
      </c>
      <c r="D255" s="460"/>
      <c r="E255" s="424" t="s">
        <v>379</v>
      </c>
      <c r="F255" s="459"/>
      <c r="G255" s="459"/>
      <c r="H255" s="459"/>
      <c r="I255" s="459"/>
      <c r="J255" s="459"/>
      <c r="K255" s="459"/>
      <c r="L255" s="459"/>
      <c r="M255" s="459"/>
      <c r="N255" s="459"/>
      <c r="O255" s="459"/>
      <c r="P255" s="426"/>
      <c r="Q255" s="426"/>
      <c r="R255" s="426"/>
      <c r="S255" s="426"/>
      <c r="T255" s="426"/>
      <c r="U255" s="426"/>
      <c r="V255" s="426"/>
      <c r="Z255" s="478"/>
      <c r="AA255" s="478" t="str">
        <f>IF(AND(F257=G257,H257=I257,F257="A"),"2016 - kwh","")</f>
        <v/>
      </c>
      <c r="AB255" s="478" t="str">
        <f>IF(OR(B255="2017 - kwh",B255="2018 - kwh"),"2016 - kwh","")</f>
        <v/>
      </c>
      <c r="AC255" s="478"/>
      <c r="AD255" s="478"/>
      <c r="AE255" s="478"/>
    </row>
    <row r="256" spans="1:31" hidden="1" x14ac:dyDescent="0.25">
      <c r="A256" s="426" t="str">
        <f>IF(AND(F257=G257,H257=I257,J257=K257,F257="A"),"2016 - kw",IF(AND(F257=G257,H257=I257,J257&lt;&gt;K257,F257="A"),"2017 - kw",IF(AND(F257=G257,H257&lt;&gt;I257,F257="A"),"2018 - kw","N/A")))</f>
        <v>N/A</v>
      </c>
      <c r="B256" s="426" t="str">
        <f>IF(AND(F257="A",G257="A"),"A","")</f>
        <v/>
      </c>
      <c r="C256" s="407"/>
      <c r="D256" s="420" t="str">
        <f>D255 &amp; "kW"</f>
        <v>kW</v>
      </c>
      <c r="E256" s="423" t="s">
        <v>380</v>
      </c>
      <c r="F256" s="459"/>
      <c r="G256" s="459"/>
      <c r="H256" s="459"/>
      <c r="I256" s="459"/>
      <c r="J256" s="459"/>
      <c r="K256" s="459"/>
      <c r="L256" s="459"/>
      <c r="M256" s="459"/>
      <c r="N256" s="459"/>
      <c r="O256" s="459"/>
      <c r="P256" s="426"/>
      <c r="Q256" s="426"/>
      <c r="R256" s="426"/>
      <c r="S256" s="426"/>
      <c r="T256" s="426"/>
      <c r="U256" s="426"/>
      <c r="V256" s="426"/>
      <c r="Z256" s="478"/>
      <c r="AA256" s="478" t="str">
        <f>IF(AND(F257=G257,H257=I257,F257="A"),"2016 - kw","")</f>
        <v/>
      </c>
      <c r="AB256" s="478" t="str">
        <f>IF(OR(B256="2017 - kw",B256="2018 - kw"),"2016 - kw","")</f>
        <v/>
      </c>
      <c r="AC256" s="478"/>
      <c r="AD256" s="478"/>
      <c r="AE256" s="478"/>
    </row>
    <row r="257" spans="1:31" hidden="1" x14ac:dyDescent="0.25">
      <c r="A257" s="426"/>
      <c r="B257" s="426"/>
      <c r="C257" s="410"/>
      <c r="D257" s="376"/>
      <c r="E257" s="422" t="s">
        <v>381</v>
      </c>
      <c r="F257" s="458"/>
      <c r="G257" s="458"/>
      <c r="H257" s="458"/>
      <c r="I257" s="458"/>
      <c r="J257" s="458"/>
      <c r="K257" s="458"/>
      <c r="L257" s="458"/>
      <c r="M257" s="458"/>
      <c r="N257" s="458"/>
      <c r="O257" s="458"/>
      <c r="P257" s="426"/>
      <c r="Q257" s="426"/>
      <c r="R257" s="426"/>
      <c r="S257" s="426"/>
      <c r="T257" s="426"/>
      <c r="U257" s="426"/>
      <c r="V257" s="426"/>
      <c r="Z257" s="478"/>
      <c r="AA257" s="478"/>
      <c r="AB257" s="478"/>
      <c r="AC257" s="478"/>
      <c r="AD257" s="478"/>
      <c r="AE257" s="478"/>
    </row>
    <row r="258" spans="1:31" hidden="1" x14ac:dyDescent="0.25">
      <c r="A258" s="426" t="str">
        <f>IF(AND(F260=G260,H260=I260,J260=K260,F260="A"),"2016 - kwh",IF(AND(F260=G260,H260=I260,J260&lt;&gt;K260,F260="A"),"2017 - kwh",IF(AND(F260=G260,H260&lt;&gt;I260,F260="A"),"2018 - kwh","N/A")))</f>
        <v>N/A</v>
      </c>
      <c r="B258" s="426" t="str">
        <f>IF(AND(F260="A",G260="A"),"A","")</f>
        <v/>
      </c>
      <c r="C258" s="406" t="s">
        <v>457</v>
      </c>
      <c r="D258" s="460"/>
      <c r="E258" s="424" t="s">
        <v>379</v>
      </c>
      <c r="F258" s="459"/>
      <c r="G258" s="459"/>
      <c r="H258" s="459"/>
      <c r="I258" s="459"/>
      <c r="J258" s="459"/>
      <c r="K258" s="459"/>
      <c r="L258" s="459"/>
      <c r="M258" s="459"/>
      <c r="N258" s="459"/>
      <c r="O258" s="459"/>
      <c r="P258" s="426"/>
      <c r="Q258" s="426"/>
      <c r="R258" s="426"/>
      <c r="S258" s="426"/>
      <c r="T258" s="426"/>
      <c r="U258" s="426"/>
      <c r="V258" s="426"/>
      <c r="Z258" s="478"/>
      <c r="AA258" s="478" t="str">
        <f>IF(AND(F260=G260,H260=I260,F260="A"),"2016 - kwh","")</f>
        <v/>
      </c>
      <c r="AB258" s="478" t="str">
        <f>IF(OR(B258="2017 - kwh",B258="2018 - kwh"),"2016 - kwh","")</f>
        <v/>
      </c>
      <c r="AC258" s="478"/>
      <c r="AD258" s="478"/>
      <c r="AE258" s="478"/>
    </row>
    <row r="259" spans="1:31" hidden="1" x14ac:dyDescent="0.25">
      <c r="A259" s="426" t="str">
        <f>IF(AND(F260=G260,H260=I260,J260=K260,F260="A"),"2016 - kw",IF(AND(F260=G260,H260=I260,J260&lt;&gt;K260,F260="A"),"2017 - kw",IF(AND(F260=G260,H260&lt;&gt;I260,F260="A"),"2018 - kw","N/A")))</f>
        <v>N/A</v>
      </c>
      <c r="B259" s="426" t="str">
        <f>IF(AND(F260="A",G260="A"),"A","")</f>
        <v/>
      </c>
      <c r="C259" s="407"/>
      <c r="D259" s="420" t="str">
        <f>D258 &amp; "kW"</f>
        <v>kW</v>
      </c>
      <c r="E259" s="423" t="s">
        <v>380</v>
      </c>
      <c r="F259" s="459"/>
      <c r="G259" s="459"/>
      <c r="H259" s="459"/>
      <c r="I259" s="459"/>
      <c r="J259" s="459"/>
      <c r="K259" s="459"/>
      <c r="L259" s="459"/>
      <c r="M259" s="459"/>
      <c r="N259" s="459"/>
      <c r="O259" s="459"/>
      <c r="P259" s="426"/>
      <c r="Q259" s="426"/>
      <c r="R259" s="426"/>
      <c r="S259" s="426"/>
      <c r="T259" s="426"/>
      <c r="U259" s="426"/>
      <c r="V259" s="426"/>
      <c r="Z259" s="478"/>
      <c r="AA259" s="478" t="str">
        <f>IF(AND(F260=G260,H260=I260,F260="A"),"2016 - kw","")</f>
        <v/>
      </c>
      <c r="AB259" s="478" t="str">
        <f>IF(OR(B259="2017 - kw",B259="2018 - kw"),"2016 - kw","")</f>
        <v/>
      </c>
      <c r="AC259" s="478"/>
      <c r="AD259" s="478"/>
      <c r="AE259" s="478"/>
    </row>
    <row r="260" spans="1:31" hidden="1" x14ac:dyDescent="0.25">
      <c r="A260" s="426"/>
      <c r="B260" s="426"/>
      <c r="C260" s="410"/>
      <c r="D260" s="376"/>
      <c r="E260" s="422" t="s">
        <v>381</v>
      </c>
      <c r="F260" s="458"/>
      <c r="G260" s="458"/>
      <c r="H260" s="458"/>
      <c r="I260" s="458"/>
      <c r="J260" s="458"/>
      <c r="K260" s="458"/>
      <c r="L260" s="458"/>
      <c r="M260" s="458"/>
      <c r="N260" s="458"/>
      <c r="O260" s="458"/>
      <c r="P260" s="426"/>
      <c r="Q260" s="426"/>
      <c r="R260" s="426"/>
      <c r="S260" s="426"/>
      <c r="T260" s="426"/>
      <c r="U260" s="426"/>
      <c r="V260" s="426"/>
      <c r="Z260" s="478"/>
      <c r="AA260" s="478"/>
      <c r="AB260" s="478"/>
      <c r="AC260" s="478"/>
      <c r="AD260" s="478"/>
      <c r="AE260" s="478"/>
    </row>
    <row r="261" spans="1:31" hidden="1" x14ac:dyDescent="0.25">
      <c r="A261" s="426" t="str">
        <f>IF(AND(F263=G263,H263=I263,J263=K263,F263="A"),"2016 - kwh",IF(AND(F263=G263,H263=I263,J263&lt;&gt;K263,F263="A"),"2017 - kwh",IF(AND(F263=G263,H263&lt;&gt;I263,F263="A"),"2018 - kwh","N/A")))</f>
        <v>N/A</v>
      </c>
      <c r="B261" s="426" t="str">
        <f>IF(AND(F263="A",G263="A"),"A","")</f>
        <v/>
      </c>
      <c r="C261" s="406" t="s">
        <v>458</v>
      </c>
      <c r="D261" s="460"/>
      <c r="E261" s="424" t="s">
        <v>379</v>
      </c>
      <c r="F261" s="459"/>
      <c r="G261" s="459"/>
      <c r="H261" s="459"/>
      <c r="I261" s="459"/>
      <c r="J261" s="459"/>
      <c r="K261" s="459"/>
      <c r="L261" s="459"/>
      <c r="M261" s="459"/>
      <c r="N261" s="459"/>
      <c r="O261" s="459"/>
      <c r="P261" s="426"/>
      <c r="Q261" s="426"/>
      <c r="R261" s="426"/>
      <c r="S261" s="426"/>
      <c r="T261" s="426"/>
      <c r="U261" s="426"/>
      <c r="V261" s="426"/>
      <c r="Z261" s="478"/>
      <c r="AA261" s="478" t="str">
        <f>IF(AND(F263=G263,H263=I263,F263="A"),"2016 - kwh","")</f>
        <v/>
      </c>
      <c r="AB261" s="478" t="str">
        <f>IF(OR(B261="2017 - kwh",B261="2018 - kwh"),"2016 - kwh","")</f>
        <v/>
      </c>
      <c r="AC261" s="478"/>
      <c r="AD261" s="478"/>
      <c r="AE261" s="478"/>
    </row>
    <row r="262" spans="1:31" hidden="1" x14ac:dyDescent="0.25">
      <c r="A262" s="426" t="str">
        <f>IF(AND(F263=G263,H263=I263,J263=K263,F263="A"),"2016 - kw",IF(AND(F263=G263,H263=I263,J263&lt;&gt;K263,F263="A"),"2017 - kw",IF(AND(F263=G263,H263&lt;&gt;I263,F263="A"),"2018 - kw","N/A")))</f>
        <v>N/A</v>
      </c>
      <c r="B262" s="426" t="str">
        <f>IF(AND(F263="A",G263="A"),"A","")</f>
        <v/>
      </c>
      <c r="C262" s="407"/>
      <c r="D262" s="420" t="str">
        <f>D261 &amp; "kW"</f>
        <v>kW</v>
      </c>
      <c r="E262" s="423" t="s">
        <v>380</v>
      </c>
      <c r="F262" s="459"/>
      <c r="G262" s="459"/>
      <c r="H262" s="459"/>
      <c r="I262" s="459"/>
      <c r="J262" s="459"/>
      <c r="K262" s="459"/>
      <c r="L262" s="459"/>
      <c r="M262" s="459"/>
      <c r="N262" s="459"/>
      <c r="O262" s="459"/>
      <c r="P262" s="426"/>
      <c r="Q262" s="426"/>
      <c r="R262" s="426"/>
      <c r="S262" s="426"/>
      <c r="T262" s="426"/>
      <c r="U262" s="426"/>
      <c r="V262" s="426"/>
      <c r="Z262" s="478"/>
      <c r="AA262" s="478" t="str">
        <f>IF(AND(F263=G263,H263=I263,F263="A"),"2016 - kw","")</f>
        <v/>
      </c>
      <c r="AB262" s="478" t="str">
        <f>IF(OR(B262="2017 - kw",B262="2018 - kw"),"2016 - kw","")</f>
        <v/>
      </c>
      <c r="AC262" s="478"/>
      <c r="AD262" s="478"/>
      <c r="AE262" s="478"/>
    </row>
    <row r="263" spans="1:31" hidden="1" x14ac:dyDescent="0.25">
      <c r="A263" s="426"/>
      <c r="B263" s="426"/>
      <c r="C263" s="410"/>
      <c r="D263" s="376"/>
      <c r="E263" s="422" t="s">
        <v>381</v>
      </c>
      <c r="F263" s="458"/>
      <c r="G263" s="458"/>
      <c r="H263" s="458"/>
      <c r="I263" s="458"/>
      <c r="J263" s="458"/>
      <c r="K263" s="458"/>
      <c r="L263" s="458"/>
      <c r="M263" s="458"/>
      <c r="N263" s="458"/>
      <c r="O263" s="458"/>
      <c r="P263" s="426"/>
      <c r="Q263" s="426"/>
      <c r="R263" s="426"/>
      <c r="S263" s="426"/>
      <c r="T263" s="426"/>
      <c r="U263" s="426"/>
      <c r="V263" s="426"/>
      <c r="Z263" s="478"/>
      <c r="AA263" s="478"/>
      <c r="AB263" s="478"/>
      <c r="AC263" s="478"/>
      <c r="AD263" s="478"/>
      <c r="AE263" s="478"/>
    </row>
    <row r="264" spans="1:31" hidden="1" x14ac:dyDescent="0.25">
      <c r="A264" s="426" t="str">
        <f>IF(AND(F266=G266,H266=I266,J266=K266,F266="A"),"2016 - kwh",IF(AND(F266=G266,H266=I266,J266&lt;&gt;K266,F266="A"),"2017 - kwh",IF(AND(F266=G266,H266&lt;&gt;I266,F266="A"),"2018 - kwh","N/A")))</f>
        <v>N/A</v>
      </c>
      <c r="B264" s="426" t="str">
        <f>IF(AND(F266="A",G266="A"),"A","")</f>
        <v/>
      </c>
      <c r="C264" s="406" t="s">
        <v>459</v>
      </c>
      <c r="D264" s="460"/>
      <c r="E264" s="424" t="s">
        <v>379</v>
      </c>
      <c r="F264" s="459"/>
      <c r="G264" s="459"/>
      <c r="H264" s="459"/>
      <c r="I264" s="459"/>
      <c r="J264" s="459"/>
      <c r="K264" s="459"/>
      <c r="L264" s="459"/>
      <c r="M264" s="459"/>
      <c r="N264" s="459"/>
      <c r="O264" s="459"/>
      <c r="P264" s="426"/>
      <c r="Q264" s="426"/>
      <c r="R264" s="426"/>
      <c r="S264" s="426"/>
      <c r="T264" s="426"/>
      <c r="U264" s="426"/>
      <c r="V264" s="426"/>
      <c r="Z264" s="478"/>
      <c r="AA264" s="478" t="str">
        <f>IF(AND(F266=G266,H266=I266,F266="A"),"2016 - kwh","")</f>
        <v/>
      </c>
      <c r="AB264" s="478" t="str">
        <f>IF(OR(B264="2017 - kwh",B264="2018 - kwh"),"2016 - kwh","")</f>
        <v/>
      </c>
      <c r="AC264" s="478"/>
      <c r="AD264" s="478"/>
      <c r="AE264" s="478"/>
    </row>
    <row r="265" spans="1:31" hidden="1" x14ac:dyDescent="0.25">
      <c r="A265" s="426" t="str">
        <f>IF(AND(F266=G266,H266=I266,J266=K266,F266="A"),"2016 - kw",IF(AND(F266=G266,H266=I266,J266&lt;&gt;K266,F266="A"),"2017 - kw",IF(AND(F266=G266,H266&lt;&gt;I266,F266="A"),"2018 - kw","N/A")))</f>
        <v>N/A</v>
      </c>
      <c r="B265" s="426" t="str">
        <f>IF(AND(F266="A",G266="A"),"A","")</f>
        <v/>
      </c>
      <c r="C265" s="407"/>
      <c r="D265" s="420" t="str">
        <f>D264 &amp; "kW"</f>
        <v>kW</v>
      </c>
      <c r="E265" s="423" t="s">
        <v>380</v>
      </c>
      <c r="F265" s="459"/>
      <c r="G265" s="459"/>
      <c r="H265" s="459"/>
      <c r="I265" s="459"/>
      <c r="J265" s="459"/>
      <c r="K265" s="459"/>
      <c r="L265" s="459"/>
      <c r="M265" s="459"/>
      <c r="N265" s="459"/>
      <c r="O265" s="459"/>
      <c r="P265" s="426"/>
      <c r="Q265" s="426"/>
      <c r="R265" s="426"/>
      <c r="S265" s="426"/>
      <c r="T265" s="426"/>
      <c r="U265" s="426"/>
      <c r="V265" s="426"/>
      <c r="Z265" s="478"/>
      <c r="AA265" s="478" t="str">
        <f>IF(AND(F266=G266,H266=I266,F266="A"),"2016 - kw","")</f>
        <v/>
      </c>
      <c r="AB265" s="478" t="str">
        <f>IF(OR(B265="2017 - kw",B265="2018 - kw"),"2016 - kw","")</f>
        <v/>
      </c>
      <c r="AC265" s="478"/>
      <c r="AD265" s="478"/>
      <c r="AE265" s="478"/>
    </row>
    <row r="266" spans="1:31" hidden="1" x14ac:dyDescent="0.25">
      <c r="A266" s="426"/>
      <c r="B266" s="426"/>
      <c r="C266" s="410"/>
      <c r="D266" s="376"/>
      <c r="E266" s="422" t="s">
        <v>381</v>
      </c>
      <c r="F266" s="458"/>
      <c r="G266" s="458"/>
      <c r="H266" s="458"/>
      <c r="I266" s="458"/>
      <c r="J266" s="458"/>
      <c r="K266" s="458"/>
      <c r="L266" s="458"/>
      <c r="M266" s="458"/>
      <c r="N266" s="458"/>
      <c r="O266" s="458"/>
      <c r="P266" s="426"/>
      <c r="Q266" s="426"/>
      <c r="R266" s="426"/>
      <c r="S266" s="426"/>
      <c r="T266" s="426"/>
      <c r="U266" s="426"/>
      <c r="V266" s="426"/>
      <c r="Z266" s="478"/>
      <c r="AA266" s="478"/>
      <c r="AB266" s="478"/>
      <c r="AC266" s="478"/>
      <c r="AD266" s="478"/>
      <c r="AE266" s="478"/>
    </row>
    <row r="267" spans="1:31" hidden="1" x14ac:dyDescent="0.25">
      <c r="A267" s="426" t="str">
        <f>IF(AND(F269=G269,H269=I269,J269=K269,F269="A"),"2016 - kwh",IF(AND(F269=G269,H269=I269,J269&lt;&gt;K269,F269="A"),"2017 - kwh",IF(AND(F269=G269,H269&lt;&gt;I269,F269="A"),"2018 - kwh","N/A")))</f>
        <v>N/A</v>
      </c>
      <c r="B267" s="426" t="str">
        <f>IF(AND(F269="A",G269="A"),"A","")</f>
        <v/>
      </c>
      <c r="C267" s="406" t="s">
        <v>460</v>
      </c>
      <c r="D267" s="460"/>
      <c r="E267" s="424" t="s">
        <v>379</v>
      </c>
      <c r="F267" s="459"/>
      <c r="G267" s="459"/>
      <c r="H267" s="459"/>
      <c r="I267" s="459"/>
      <c r="J267" s="459"/>
      <c r="K267" s="459"/>
      <c r="L267" s="459"/>
      <c r="M267" s="459"/>
      <c r="N267" s="459"/>
      <c r="O267" s="459"/>
      <c r="P267" s="426"/>
      <c r="Q267" s="426"/>
      <c r="R267" s="426"/>
      <c r="S267" s="426"/>
      <c r="T267" s="426"/>
      <c r="U267" s="426"/>
      <c r="V267" s="426"/>
      <c r="Z267" s="478"/>
      <c r="AA267" s="478" t="str">
        <f>IF(AND(F269=G269,H269=I269,F269="A"),"2016 - kwh","")</f>
        <v/>
      </c>
      <c r="AB267" s="478" t="str">
        <f>IF(OR(B267="2017 - kwh",B267="2018 - kwh"),"2016 - kwh","")</f>
        <v/>
      </c>
      <c r="AC267" s="478"/>
      <c r="AD267" s="478"/>
      <c r="AE267" s="478"/>
    </row>
    <row r="268" spans="1:31" hidden="1" x14ac:dyDescent="0.25">
      <c r="A268" s="426" t="str">
        <f>IF(AND(F269=G269,H269=I269,J269=K269,F269="A"),"2016 - kw",IF(AND(F269=G269,H269=I269,J269&lt;&gt;K269,F269="A"),"2017 - kw",IF(AND(F269=G269,H269&lt;&gt;I269,F269="A"),"2018 - kw","N/A")))</f>
        <v>N/A</v>
      </c>
      <c r="B268" s="426" t="str">
        <f>IF(AND(F269="A",G269="A"),"A","")</f>
        <v/>
      </c>
      <c r="C268" s="407"/>
      <c r="D268" s="420" t="str">
        <f>D267 &amp; "kW"</f>
        <v>kW</v>
      </c>
      <c r="E268" s="423" t="s">
        <v>380</v>
      </c>
      <c r="F268" s="459"/>
      <c r="G268" s="459"/>
      <c r="H268" s="459"/>
      <c r="I268" s="459"/>
      <c r="J268" s="459"/>
      <c r="K268" s="459"/>
      <c r="L268" s="459"/>
      <c r="M268" s="459"/>
      <c r="N268" s="459"/>
      <c r="O268" s="459"/>
      <c r="P268" s="426"/>
      <c r="Q268" s="426"/>
      <c r="R268" s="426"/>
      <c r="S268" s="426"/>
      <c r="T268" s="426"/>
      <c r="U268" s="426"/>
      <c r="V268" s="426"/>
      <c r="Z268" s="478"/>
      <c r="AA268" s="478" t="str">
        <f>IF(AND(F269=G269,H269=I269,F269="A"),"2016 - kw","")</f>
        <v/>
      </c>
      <c r="AB268" s="478" t="str">
        <f>IF(OR(B268="2017 - kw",B268="2018 - kw"),"2016 - kw","")</f>
        <v/>
      </c>
      <c r="AC268" s="478"/>
      <c r="AD268" s="478"/>
      <c r="AE268" s="478"/>
    </row>
    <row r="269" spans="1:31" hidden="1" x14ac:dyDescent="0.25">
      <c r="A269" s="426"/>
      <c r="B269" s="426"/>
      <c r="C269" s="410"/>
      <c r="D269" s="376"/>
      <c r="E269" s="422" t="s">
        <v>381</v>
      </c>
      <c r="F269" s="458"/>
      <c r="G269" s="458"/>
      <c r="H269" s="458"/>
      <c r="I269" s="458"/>
      <c r="J269" s="458"/>
      <c r="K269" s="458"/>
      <c r="L269" s="458"/>
      <c r="M269" s="458"/>
      <c r="N269" s="458"/>
      <c r="O269" s="458"/>
      <c r="P269" s="426"/>
      <c r="Q269" s="426"/>
      <c r="R269" s="426"/>
      <c r="S269" s="426"/>
      <c r="T269" s="426"/>
      <c r="U269" s="426"/>
      <c r="V269" s="426"/>
      <c r="Z269" s="478"/>
      <c r="AA269" s="478"/>
      <c r="AB269" s="478"/>
      <c r="AC269" s="478"/>
      <c r="AD269" s="478"/>
      <c r="AE269" s="478"/>
    </row>
    <row r="270" spans="1:31" hidden="1" x14ac:dyDescent="0.25">
      <c r="A270" s="426" t="str">
        <f>IF(AND(F272=G272,H272=I272,J272=K272,F272="A"),"2016 - kwh",IF(AND(F272=G272,H272=I272,J272&lt;&gt;K272,F272="A"),"2017 - kwh",IF(AND(F272=G272,H272&lt;&gt;I272,F272="A"),"2018 - kwh","N/A")))</f>
        <v>N/A</v>
      </c>
      <c r="B270" s="426" t="str">
        <f>IF(AND(F272="A",G272="A"),"A","")</f>
        <v/>
      </c>
      <c r="C270" s="406" t="s">
        <v>461</v>
      </c>
      <c r="D270" s="460"/>
      <c r="E270" s="424" t="s">
        <v>379</v>
      </c>
      <c r="F270" s="459"/>
      <c r="G270" s="459"/>
      <c r="H270" s="459"/>
      <c r="I270" s="459"/>
      <c r="J270" s="459"/>
      <c r="K270" s="459"/>
      <c r="L270" s="459"/>
      <c r="M270" s="459"/>
      <c r="N270" s="459"/>
      <c r="O270" s="459"/>
      <c r="P270" s="426"/>
      <c r="Q270" s="426"/>
      <c r="R270" s="426"/>
      <c r="S270" s="426"/>
      <c r="T270" s="426"/>
      <c r="U270" s="426"/>
      <c r="V270" s="426"/>
      <c r="Z270" s="478"/>
      <c r="AA270" s="478" t="str">
        <f>IF(AND(F272=G272,H272=I272,F272="A"),"2016 - kwh","")</f>
        <v/>
      </c>
      <c r="AB270" s="478" t="str">
        <f>IF(OR(B270="2017 - kwh",B270="2018 - kwh"),"2016 - kwh","")</f>
        <v/>
      </c>
      <c r="AC270" s="478"/>
      <c r="AD270" s="478"/>
      <c r="AE270" s="478"/>
    </row>
    <row r="271" spans="1:31" hidden="1" x14ac:dyDescent="0.25">
      <c r="A271" s="426" t="str">
        <f>IF(AND(F272=G272,H272=I272,J272=K272,F272="A"),"2016 - kw",IF(AND(F272=G272,H272=I272,J272&lt;&gt;K272,F272="A"),"2017 - kw",IF(AND(F272=G272,H272&lt;&gt;I272,F272="A"),"2018 - kw","N/A")))</f>
        <v>N/A</v>
      </c>
      <c r="B271" s="426" t="str">
        <f>IF(AND(F272="A",G272="A"),"A","")</f>
        <v/>
      </c>
      <c r="C271" s="407"/>
      <c r="D271" s="420" t="str">
        <f>D270 &amp; "kW"</f>
        <v>kW</v>
      </c>
      <c r="E271" s="423" t="s">
        <v>380</v>
      </c>
      <c r="F271" s="459"/>
      <c r="G271" s="459"/>
      <c r="H271" s="459"/>
      <c r="I271" s="459"/>
      <c r="J271" s="459"/>
      <c r="K271" s="459"/>
      <c r="L271" s="459"/>
      <c r="M271" s="459"/>
      <c r="N271" s="459"/>
      <c r="O271" s="459"/>
      <c r="P271" s="426"/>
      <c r="Q271" s="426"/>
      <c r="R271" s="426"/>
      <c r="S271" s="426"/>
      <c r="T271" s="426"/>
      <c r="U271" s="426"/>
      <c r="V271" s="426"/>
      <c r="Z271" s="478"/>
      <c r="AA271" s="478" t="str">
        <f>IF(AND(F272=G272,H272=I272,F272="A"),"2016 - kw","")</f>
        <v/>
      </c>
      <c r="AB271" s="478" t="str">
        <f>IF(OR(B271="2017 - kw",B271="2018 - kw"),"2016 - kw","")</f>
        <v/>
      </c>
      <c r="AC271" s="478"/>
      <c r="AD271" s="478"/>
      <c r="AE271" s="478"/>
    </row>
    <row r="272" spans="1:31" hidden="1" x14ac:dyDescent="0.25">
      <c r="A272" s="426"/>
      <c r="B272" s="426"/>
      <c r="C272" s="410"/>
      <c r="D272" s="376"/>
      <c r="E272" s="422" t="s">
        <v>381</v>
      </c>
      <c r="F272" s="458"/>
      <c r="G272" s="458"/>
      <c r="H272" s="458"/>
      <c r="I272" s="458"/>
      <c r="J272" s="458"/>
      <c r="K272" s="458"/>
      <c r="L272" s="458"/>
      <c r="M272" s="458"/>
      <c r="N272" s="458"/>
      <c r="O272" s="458"/>
      <c r="P272" s="426"/>
      <c r="Q272" s="426"/>
      <c r="R272" s="426"/>
      <c r="S272" s="426"/>
      <c r="T272" s="426"/>
      <c r="U272" s="426"/>
      <c r="V272" s="426"/>
      <c r="Z272" s="478"/>
      <c r="AA272" s="478"/>
      <c r="AB272" s="478"/>
      <c r="AC272" s="478"/>
      <c r="AD272" s="478"/>
      <c r="AE272" s="478"/>
    </row>
    <row r="273" spans="1:31" hidden="1" x14ac:dyDescent="0.25">
      <c r="A273" s="426" t="str">
        <f>IF(AND(F275=G275,H275=I275,J275=K275,F275="A"),"2016 - kwh",IF(AND(F275=G275,H275=I275,J275&lt;&gt;K275,F275="A"),"2017 - kwh",IF(AND(F275=G275,H275&lt;&gt;I275,F275="A"),"2018 - kwh","N/A")))</f>
        <v>N/A</v>
      </c>
      <c r="B273" s="426" t="str">
        <f>IF(AND(F275="A",G275="A"),"A","")</f>
        <v/>
      </c>
      <c r="C273" s="406" t="s">
        <v>462</v>
      </c>
      <c r="D273" s="460"/>
      <c r="E273" s="424" t="s">
        <v>379</v>
      </c>
      <c r="F273" s="459"/>
      <c r="G273" s="459"/>
      <c r="H273" s="459"/>
      <c r="I273" s="459"/>
      <c r="J273" s="459"/>
      <c r="K273" s="459"/>
      <c r="L273" s="459"/>
      <c r="M273" s="459"/>
      <c r="N273" s="459"/>
      <c r="O273" s="459"/>
      <c r="P273" s="426"/>
      <c r="Q273" s="426"/>
      <c r="R273" s="426"/>
      <c r="S273" s="426"/>
      <c r="T273" s="426"/>
      <c r="U273" s="426"/>
      <c r="V273" s="426"/>
      <c r="Z273" s="478"/>
      <c r="AA273" s="478" t="str">
        <f>IF(AND(F275=G275,H275=I275,F275="A"),"2016 - kwh","")</f>
        <v/>
      </c>
      <c r="AB273" s="478" t="str">
        <f>IF(OR(B273="2017 - kwh",B273="2018 - kwh"),"2016 - kwh","")</f>
        <v/>
      </c>
      <c r="AC273" s="478"/>
      <c r="AD273" s="478"/>
      <c r="AE273" s="478"/>
    </row>
    <row r="274" spans="1:31" hidden="1" x14ac:dyDescent="0.25">
      <c r="A274" s="426" t="str">
        <f>IF(AND(F275=G275,H275=I275,J275=K275,F275="A"),"2016 - kw",IF(AND(F275=G275,H275=I275,J275&lt;&gt;K275,F275="A"),"2017 - kw",IF(AND(F275=G275,H275&lt;&gt;I275,F275="A"),"2018 - kw","N/A")))</f>
        <v>N/A</v>
      </c>
      <c r="B274" s="426" t="str">
        <f>IF(AND(F275="A",G275="A"),"A","")</f>
        <v/>
      </c>
      <c r="C274" s="407"/>
      <c r="D274" s="420" t="str">
        <f>D273 &amp; "kW"</f>
        <v>kW</v>
      </c>
      <c r="E274" s="423" t="s">
        <v>380</v>
      </c>
      <c r="F274" s="459"/>
      <c r="G274" s="459"/>
      <c r="H274" s="459"/>
      <c r="I274" s="459"/>
      <c r="J274" s="459"/>
      <c r="K274" s="459"/>
      <c r="L274" s="459"/>
      <c r="M274" s="459"/>
      <c r="N274" s="459"/>
      <c r="O274" s="459"/>
      <c r="P274" s="426"/>
      <c r="Q274" s="426"/>
      <c r="R274" s="426"/>
      <c r="S274" s="426"/>
      <c r="T274" s="426"/>
      <c r="U274" s="426"/>
      <c r="V274" s="426"/>
      <c r="Z274" s="478"/>
      <c r="AA274" s="478" t="str">
        <f>IF(AND(F275=G275,H275=I275,F275="A"),"2016 - kw","")</f>
        <v/>
      </c>
      <c r="AB274" s="478" t="str">
        <f>IF(OR(B274="2017 - kw",B274="2018 - kw"),"2016 - kw","")</f>
        <v/>
      </c>
      <c r="AC274" s="478"/>
      <c r="AD274" s="478"/>
      <c r="AE274" s="478"/>
    </row>
    <row r="275" spans="1:31" hidden="1" x14ac:dyDescent="0.25">
      <c r="A275" s="426"/>
      <c r="B275" s="426"/>
      <c r="C275" s="410"/>
      <c r="D275" s="376"/>
      <c r="E275" s="422" t="s">
        <v>381</v>
      </c>
      <c r="F275" s="458"/>
      <c r="G275" s="458"/>
      <c r="H275" s="458"/>
      <c r="I275" s="458"/>
      <c r="J275" s="458"/>
      <c r="K275" s="458"/>
      <c r="L275" s="458"/>
      <c r="M275" s="458"/>
      <c r="N275" s="458"/>
      <c r="O275" s="458"/>
      <c r="P275" s="426"/>
      <c r="Q275" s="426"/>
      <c r="R275" s="426"/>
      <c r="S275" s="426"/>
      <c r="T275" s="426"/>
      <c r="U275" s="426"/>
      <c r="V275" s="426"/>
      <c r="Z275" s="478"/>
      <c r="AA275" s="478"/>
      <c r="AB275" s="478"/>
      <c r="AC275" s="478"/>
      <c r="AD275" s="478"/>
      <c r="AE275" s="478"/>
    </row>
    <row r="276" spans="1:31" hidden="1" x14ac:dyDescent="0.25">
      <c r="A276" s="426" t="str">
        <f>IF(AND(F278=G278,H278=I278,J278=K278,F278="A"),"2016 - kwh",IF(AND(F278=G278,H278=I278,J278&lt;&gt;K278,F278="A"),"2017 - kwh",IF(AND(F278=G278,H278&lt;&gt;I278,F278="A"),"2018 - kwh","N/A")))</f>
        <v>N/A</v>
      </c>
      <c r="B276" s="426" t="str">
        <f>IF(AND(F278="A",G278="A"),"A","")</f>
        <v/>
      </c>
      <c r="C276" s="406" t="s">
        <v>463</v>
      </c>
      <c r="D276" s="460"/>
      <c r="E276" s="424" t="s">
        <v>379</v>
      </c>
      <c r="F276" s="459"/>
      <c r="G276" s="459"/>
      <c r="H276" s="459"/>
      <c r="I276" s="459"/>
      <c r="J276" s="459"/>
      <c r="K276" s="459"/>
      <c r="L276" s="459"/>
      <c r="M276" s="459"/>
      <c r="N276" s="459"/>
      <c r="O276" s="459"/>
      <c r="P276" s="426"/>
      <c r="Q276" s="426"/>
      <c r="R276" s="426"/>
      <c r="S276" s="426"/>
      <c r="T276" s="426"/>
      <c r="U276" s="426"/>
      <c r="V276" s="426"/>
      <c r="Z276" s="478"/>
      <c r="AA276" s="478" t="str">
        <f>IF(AND(F278=G278,H278=I278,F278="A"),"2016 - kwh","")</f>
        <v/>
      </c>
      <c r="AB276" s="478" t="str">
        <f>IF(OR(B276="2017 - kwh",B276="2018 - kwh"),"2016 - kwh","")</f>
        <v/>
      </c>
      <c r="AC276" s="478"/>
      <c r="AD276" s="478"/>
      <c r="AE276" s="478"/>
    </row>
    <row r="277" spans="1:31" hidden="1" x14ac:dyDescent="0.25">
      <c r="A277" s="426" t="str">
        <f>IF(AND(F278=G278,H278=I278,J278=K278,F278="A"),"2016 - kw",IF(AND(F278=G278,H278=I278,J278&lt;&gt;K278,F278="A"),"2017 - kw",IF(AND(F278=G278,H278&lt;&gt;I278,F278="A"),"2018 - kw","N/A")))</f>
        <v>N/A</v>
      </c>
      <c r="B277" s="426" t="str">
        <f>IF(AND(F278="A",G278="A"),"A","")</f>
        <v/>
      </c>
      <c r="C277" s="407"/>
      <c r="D277" s="420" t="str">
        <f>D276 &amp; "kW"</f>
        <v>kW</v>
      </c>
      <c r="E277" s="423" t="s">
        <v>380</v>
      </c>
      <c r="F277" s="459"/>
      <c r="G277" s="459"/>
      <c r="H277" s="459"/>
      <c r="I277" s="459"/>
      <c r="J277" s="459"/>
      <c r="K277" s="459"/>
      <c r="L277" s="459"/>
      <c r="M277" s="459"/>
      <c r="N277" s="459"/>
      <c r="O277" s="459"/>
      <c r="P277" s="426"/>
      <c r="Q277" s="426"/>
      <c r="R277" s="426"/>
      <c r="S277" s="426"/>
      <c r="T277" s="426"/>
      <c r="U277" s="426"/>
      <c r="V277" s="426"/>
      <c r="Z277" s="478"/>
      <c r="AA277" s="478" t="str">
        <f>IF(AND(F278=G278,H278=I278,F278="A"),"2016 - kw","")</f>
        <v/>
      </c>
      <c r="AB277" s="478" t="str">
        <f>IF(OR(B277="2017 - kw",B277="2018 - kw"),"2016 - kw","")</f>
        <v/>
      </c>
      <c r="AC277" s="478"/>
      <c r="AD277" s="478"/>
      <c r="AE277" s="478"/>
    </row>
    <row r="278" spans="1:31" hidden="1" x14ac:dyDescent="0.25">
      <c r="A278" s="426"/>
      <c r="B278" s="426"/>
      <c r="C278" s="410"/>
      <c r="D278" s="376"/>
      <c r="E278" s="422" t="s">
        <v>381</v>
      </c>
      <c r="F278" s="458"/>
      <c r="G278" s="458"/>
      <c r="H278" s="458"/>
      <c r="I278" s="458"/>
      <c r="J278" s="458"/>
      <c r="K278" s="458"/>
      <c r="L278" s="458"/>
      <c r="M278" s="458"/>
      <c r="N278" s="458"/>
      <c r="O278" s="458"/>
      <c r="P278" s="426"/>
      <c r="Q278" s="426"/>
      <c r="R278" s="426"/>
      <c r="S278" s="426"/>
      <c r="T278" s="426"/>
      <c r="U278" s="426"/>
      <c r="V278" s="426"/>
      <c r="Z278" s="478"/>
      <c r="AA278" s="478"/>
      <c r="AB278" s="478"/>
      <c r="AC278" s="478"/>
      <c r="AD278" s="478"/>
      <c r="AE278" s="478"/>
    </row>
    <row r="279" spans="1:31" hidden="1" x14ac:dyDescent="0.25">
      <c r="A279" s="426" t="str">
        <f>IF(AND(F281=G281,H281=I281,J281=K281,F281="A"),"2016 - kwh",IF(AND(F281=G281,H281=I281,J281&lt;&gt;K281,F281="A"),"2017 - kwh",IF(AND(F281=G281,H281&lt;&gt;I281,F281="A"),"2018 - kwh","N/A")))</f>
        <v>N/A</v>
      </c>
      <c r="B279" s="426" t="str">
        <f>IF(AND(F281="A",G281="A"),"A","")</f>
        <v/>
      </c>
      <c r="C279" s="406" t="s">
        <v>464</v>
      </c>
      <c r="D279" s="460"/>
      <c r="E279" s="424" t="s">
        <v>379</v>
      </c>
      <c r="F279" s="459"/>
      <c r="G279" s="459"/>
      <c r="H279" s="459"/>
      <c r="I279" s="459"/>
      <c r="J279" s="459"/>
      <c r="K279" s="459"/>
      <c r="L279" s="459"/>
      <c r="M279" s="459"/>
      <c r="N279" s="459"/>
      <c r="O279" s="459"/>
      <c r="P279" s="426"/>
      <c r="Q279" s="426"/>
      <c r="R279" s="426"/>
      <c r="S279" s="426"/>
      <c r="T279" s="426"/>
      <c r="U279" s="426"/>
      <c r="V279" s="426"/>
      <c r="Z279" s="478"/>
      <c r="AA279" s="478" t="str">
        <f>IF(AND(F281=G281,H281=I281,F281="A"),"2016 - kwh","")</f>
        <v/>
      </c>
      <c r="AB279" s="478" t="str">
        <f>IF(OR(B279="2017 - kwh",B279="2018 - kwh"),"2016 - kwh","")</f>
        <v/>
      </c>
      <c r="AC279" s="478"/>
      <c r="AD279" s="478"/>
      <c r="AE279" s="478"/>
    </row>
    <row r="280" spans="1:31" hidden="1" x14ac:dyDescent="0.25">
      <c r="A280" s="426" t="str">
        <f>IF(AND(F281=G281,H281=I281,J281=K281,F281="A"),"2016 - kw",IF(AND(F281=G281,H281=I281,J281&lt;&gt;K281,F281="A"),"2017 - kw",IF(AND(F281=G281,H281&lt;&gt;I281,F281="A"),"2018 - kw","N/A")))</f>
        <v>N/A</v>
      </c>
      <c r="B280" s="426" t="str">
        <f>IF(AND(F281="A",G281="A"),"A","")</f>
        <v/>
      </c>
      <c r="C280" s="407"/>
      <c r="D280" s="420" t="str">
        <f>D279 &amp; "kW"</f>
        <v>kW</v>
      </c>
      <c r="E280" s="423" t="s">
        <v>380</v>
      </c>
      <c r="F280" s="459"/>
      <c r="G280" s="459"/>
      <c r="H280" s="459"/>
      <c r="I280" s="459"/>
      <c r="J280" s="459"/>
      <c r="K280" s="459"/>
      <c r="L280" s="459"/>
      <c r="M280" s="459"/>
      <c r="N280" s="459"/>
      <c r="O280" s="459"/>
      <c r="P280" s="426"/>
      <c r="Q280" s="426"/>
      <c r="R280" s="426"/>
      <c r="S280" s="426"/>
      <c r="T280" s="426"/>
      <c r="U280" s="426"/>
      <c r="V280" s="426"/>
      <c r="Z280" s="478"/>
      <c r="AA280" s="478" t="str">
        <f>IF(AND(F281=G281,H281=I281,F281="A"),"2016 - kw","")</f>
        <v/>
      </c>
      <c r="AB280" s="478" t="str">
        <f>IF(OR(B280="2017 - kw",B280="2018 - kw"),"2016 - kw","")</f>
        <v/>
      </c>
      <c r="AC280" s="478"/>
      <c r="AD280" s="478"/>
      <c r="AE280" s="478"/>
    </row>
    <row r="281" spans="1:31" hidden="1" x14ac:dyDescent="0.25">
      <c r="A281" s="426"/>
      <c r="B281" s="426"/>
      <c r="C281" s="410"/>
      <c r="D281" s="376"/>
      <c r="E281" s="422" t="s">
        <v>381</v>
      </c>
      <c r="F281" s="458"/>
      <c r="G281" s="458"/>
      <c r="H281" s="458"/>
      <c r="I281" s="458"/>
      <c r="J281" s="458"/>
      <c r="K281" s="458"/>
      <c r="L281" s="458"/>
      <c r="M281" s="458"/>
      <c r="N281" s="458"/>
      <c r="O281" s="458"/>
      <c r="P281" s="426"/>
      <c r="Q281" s="426"/>
      <c r="R281" s="426"/>
      <c r="S281" s="426"/>
      <c r="T281" s="426"/>
      <c r="U281" s="426"/>
      <c r="V281" s="426"/>
      <c r="Z281" s="478"/>
      <c r="AA281" s="478"/>
      <c r="AB281" s="478"/>
      <c r="AC281" s="478"/>
      <c r="AD281" s="478"/>
      <c r="AE281" s="478"/>
    </row>
    <row r="282" spans="1:31" hidden="1" x14ac:dyDescent="0.25">
      <c r="A282" s="426" t="str">
        <f>IF(AND(F284=G284,H284=I284,J284=K284,F284="A"),"2016 - kwh",IF(AND(F284=G284,H284=I284,J284&lt;&gt;K284,F284="A"),"2017 - kwh",IF(AND(F284=G284,H284&lt;&gt;I284,F284="A"),"2018 - kwh","N/A")))</f>
        <v>N/A</v>
      </c>
      <c r="B282" s="426" t="str">
        <f>IF(AND(F284="A",G284="A"),"A","")</f>
        <v/>
      </c>
      <c r="C282" s="406" t="s">
        <v>465</v>
      </c>
      <c r="D282" s="460"/>
      <c r="E282" s="424" t="s">
        <v>379</v>
      </c>
      <c r="F282" s="459"/>
      <c r="G282" s="459"/>
      <c r="H282" s="459"/>
      <c r="I282" s="459"/>
      <c r="J282" s="459"/>
      <c r="K282" s="459"/>
      <c r="L282" s="459"/>
      <c r="M282" s="459"/>
      <c r="N282" s="459"/>
      <c r="O282" s="459"/>
      <c r="P282" s="426"/>
      <c r="Q282" s="426"/>
      <c r="R282" s="426"/>
      <c r="S282" s="426"/>
      <c r="T282" s="426"/>
      <c r="U282" s="426"/>
      <c r="V282" s="426"/>
      <c r="Z282" s="478"/>
      <c r="AA282" s="478" t="str">
        <f>IF(AND(F284=G284,H284=I284,F284="A"),"2016 - kwh","")</f>
        <v/>
      </c>
      <c r="AB282" s="478" t="str">
        <f>IF(OR(B282="2017 - kwh",B282="2018 - kwh"),"2016 - kwh","")</f>
        <v/>
      </c>
      <c r="AC282" s="478"/>
      <c r="AD282" s="478"/>
      <c r="AE282" s="478"/>
    </row>
    <row r="283" spans="1:31" hidden="1" x14ac:dyDescent="0.25">
      <c r="A283" s="426" t="str">
        <f>IF(AND(F284=G284,H284=I284,J284=K284,F284="A"),"2016 - kw",IF(AND(F284=G284,H284=I284,J284&lt;&gt;K284,F284="A"),"2017 - kw",IF(AND(F284=G284,H284&lt;&gt;I284,F284="A"),"2018 - kw","N/A")))</f>
        <v>N/A</v>
      </c>
      <c r="B283" s="426" t="str">
        <f>IF(AND(F284="A",G284="A"),"A","")</f>
        <v/>
      </c>
      <c r="C283" s="407"/>
      <c r="D283" s="420" t="str">
        <f>D282 &amp; "kW"</f>
        <v>kW</v>
      </c>
      <c r="E283" s="423" t="s">
        <v>380</v>
      </c>
      <c r="F283" s="459"/>
      <c r="G283" s="459"/>
      <c r="H283" s="459"/>
      <c r="I283" s="459"/>
      <c r="J283" s="459"/>
      <c r="K283" s="459"/>
      <c r="L283" s="459"/>
      <c r="M283" s="459"/>
      <c r="N283" s="459"/>
      <c r="O283" s="459"/>
      <c r="P283" s="426"/>
      <c r="Q283" s="426"/>
      <c r="R283" s="426"/>
      <c r="S283" s="426"/>
      <c r="T283" s="426"/>
      <c r="U283" s="426"/>
      <c r="V283" s="426"/>
      <c r="Z283" s="478"/>
      <c r="AA283" s="478" t="str">
        <f>IF(AND(F284=G284,H284=I284,F284="A"),"2016 - kw","")</f>
        <v/>
      </c>
      <c r="AB283" s="478" t="str">
        <f>IF(OR(B283="2017 - kw",B283="2018 - kw"),"2016 - kw","")</f>
        <v/>
      </c>
      <c r="AC283" s="478"/>
      <c r="AD283" s="478"/>
      <c r="AE283" s="478"/>
    </row>
    <row r="284" spans="1:31" hidden="1" x14ac:dyDescent="0.25">
      <c r="A284" s="426"/>
      <c r="B284" s="426"/>
      <c r="C284" s="410"/>
      <c r="D284" s="376"/>
      <c r="E284" s="422" t="s">
        <v>381</v>
      </c>
      <c r="F284" s="458"/>
      <c r="G284" s="458"/>
      <c r="H284" s="458"/>
      <c r="I284" s="458"/>
      <c r="J284" s="458"/>
      <c r="K284" s="458"/>
      <c r="L284" s="458"/>
      <c r="M284" s="458"/>
      <c r="N284" s="458"/>
      <c r="O284" s="458"/>
      <c r="P284" s="426"/>
      <c r="Q284" s="426"/>
      <c r="R284" s="426"/>
      <c r="S284" s="426"/>
      <c r="T284" s="426"/>
      <c r="U284" s="426"/>
      <c r="V284" s="426"/>
      <c r="Z284" s="478"/>
      <c r="AA284" s="478"/>
      <c r="AB284" s="478"/>
      <c r="AC284" s="478"/>
      <c r="AD284" s="478"/>
      <c r="AE284" s="478"/>
    </row>
    <row r="285" spans="1:31" hidden="1" x14ac:dyDescent="0.25">
      <c r="A285" s="426" t="str">
        <f>IF(AND(F287=G287,H287=I287,J287=K287,F287="A"),"2016 - kwh",IF(AND(F287=G287,H287=I287,J287&lt;&gt;K287,F287="A"),"2017 - kwh",IF(AND(F287=G287,H287&lt;&gt;I287,F287="A"),"2018 - kwh","N/A")))</f>
        <v>N/A</v>
      </c>
      <c r="B285" s="426" t="str">
        <f>IF(AND(F287="A",G287="A"),"A","")</f>
        <v/>
      </c>
      <c r="C285" s="406" t="s">
        <v>466</v>
      </c>
      <c r="D285" s="460"/>
      <c r="E285" s="424" t="s">
        <v>379</v>
      </c>
      <c r="F285" s="459"/>
      <c r="G285" s="459"/>
      <c r="H285" s="459"/>
      <c r="I285" s="459"/>
      <c r="J285" s="459"/>
      <c r="K285" s="459"/>
      <c r="L285" s="459"/>
      <c r="M285" s="459"/>
      <c r="N285" s="459"/>
      <c r="O285" s="459"/>
      <c r="P285" s="426"/>
      <c r="Q285" s="426"/>
      <c r="R285" s="426"/>
      <c r="S285" s="426"/>
      <c r="T285" s="426"/>
      <c r="U285" s="426"/>
      <c r="V285" s="426"/>
      <c r="Z285" s="478"/>
      <c r="AA285" s="478" t="str">
        <f>IF(AND(F287=G287,H287=I287,F287="A"),"2016 - kwh","")</f>
        <v/>
      </c>
      <c r="AB285" s="478" t="str">
        <f>IF(OR(B285="2017 - kwh",B285="2018 - kwh"),"2016 - kwh","")</f>
        <v/>
      </c>
      <c r="AC285" s="478"/>
      <c r="AD285" s="478"/>
      <c r="AE285" s="478"/>
    </row>
    <row r="286" spans="1:31" hidden="1" x14ac:dyDescent="0.25">
      <c r="A286" s="426" t="str">
        <f>IF(AND(F287=G287,H287=I287,J287=K287,F287="A"),"2016 - kw",IF(AND(F287=G287,H287=I287,J287&lt;&gt;K287,F287="A"),"2017 - kw",IF(AND(F287=G287,H287&lt;&gt;I287,F287="A"),"2018 - kw","N/A")))</f>
        <v>N/A</v>
      </c>
      <c r="B286" s="426" t="str">
        <f>IF(AND(F287="A",G287="A"),"A","")</f>
        <v/>
      </c>
      <c r="C286" s="407"/>
      <c r="D286" s="420" t="str">
        <f>D285 &amp; "kW"</f>
        <v>kW</v>
      </c>
      <c r="E286" s="423" t="s">
        <v>380</v>
      </c>
      <c r="F286" s="459"/>
      <c r="G286" s="459"/>
      <c r="H286" s="459"/>
      <c r="I286" s="459"/>
      <c r="J286" s="459"/>
      <c r="K286" s="459"/>
      <c r="L286" s="459"/>
      <c r="M286" s="459"/>
      <c r="N286" s="459"/>
      <c r="O286" s="459"/>
      <c r="P286" s="426"/>
      <c r="Q286" s="426"/>
      <c r="R286" s="426"/>
      <c r="S286" s="426"/>
      <c r="T286" s="426"/>
      <c r="U286" s="426"/>
      <c r="V286" s="426"/>
      <c r="Z286" s="478"/>
      <c r="AA286" s="478" t="str">
        <f>IF(AND(F287=G287,H287=I287,F287="A"),"2016 - kw","")</f>
        <v/>
      </c>
      <c r="AB286" s="478" t="str">
        <f>IF(OR(B286="2017 - kw",B286="2018 - kw"),"2016 - kw","")</f>
        <v/>
      </c>
      <c r="AC286" s="478"/>
      <c r="AD286" s="478"/>
      <c r="AE286" s="478"/>
    </row>
    <row r="287" spans="1:31" hidden="1" x14ac:dyDescent="0.25">
      <c r="A287" s="426"/>
      <c r="B287" s="426"/>
      <c r="C287" s="410"/>
      <c r="D287" s="376"/>
      <c r="E287" s="422" t="s">
        <v>381</v>
      </c>
      <c r="F287" s="458"/>
      <c r="G287" s="458"/>
      <c r="H287" s="458"/>
      <c r="I287" s="458"/>
      <c r="J287" s="458"/>
      <c r="K287" s="458"/>
      <c r="L287" s="458"/>
      <c r="M287" s="458"/>
      <c r="N287" s="458"/>
      <c r="O287" s="458"/>
      <c r="P287" s="426"/>
      <c r="Q287" s="426"/>
      <c r="R287" s="426"/>
      <c r="S287" s="426"/>
      <c r="T287" s="426"/>
      <c r="U287" s="426"/>
      <c r="V287" s="426"/>
      <c r="Z287" s="478"/>
      <c r="AA287" s="478"/>
      <c r="AB287" s="478"/>
      <c r="AC287" s="478"/>
      <c r="AD287" s="478"/>
      <c r="AE287" s="478"/>
    </row>
    <row r="288" spans="1:31" hidden="1" x14ac:dyDescent="0.25">
      <c r="A288" s="426" t="str">
        <f>IF(AND(F290=G290,H290=I290,J290=K290,F290="A"),"2016 - kwh",IF(AND(F290=G290,H290=I290,J290&lt;&gt;K290,F290="A"),"2017 - kwh",IF(AND(F290=G290,H290&lt;&gt;I290,F290="A"),"2018 - kwh","N/A")))</f>
        <v>N/A</v>
      </c>
      <c r="B288" s="426" t="str">
        <f>IF(AND(F290="A",G290="A"),"A","")</f>
        <v/>
      </c>
      <c r="C288" s="406" t="s">
        <v>467</v>
      </c>
      <c r="D288" s="460"/>
      <c r="E288" s="424" t="s">
        <v>379</v>
      </c>
      <c r="F288" s="459"/>
      <c r="G288" s="459"/>
      <c r="H288" s="459"/>
      <c r="I288" s="459"/>
      <c r="J288" s="459"/>
      <c r="K288" s="459"/>
      <c r="L288" s="459"/>
      <c r="M288" s="459"/>
      <c r="N288" s="459"/>
      <c r="O288" s="459"/>
      <c r="P288" s="426"/>
      <c r="Q288" s="426"/>
      <c r="R288" s="426"/>
      <c r="S288" s="426"/>
      <c r="T288" s="426"/>
      <c r="U288" s="426"/>
      <c r="V288" s="426"/>
      <c r="Z288" s="478"/>
      <c r="AA288" s="478" t="str">
        <f>IF(AND(F290=G290,H290=I290,F290="A"),"2016 - kwh","")</f>
        <v/>
      </c>
      <c r="AB288" s="478" t="str">
        <f>IF(OR(B288="2017 - kwh",B288="2018 - kwh"),"2016 - kwh","")</f>
        <v/>
      </c>
      <c r="AC288" s="478"/>
      <c r="AD288" s="478"/>
      <c r="AE288" s="478"/>
    </row>
    <row r="289" spans="1:31" hidden="1" x14ac:dyDescent="0.25">
      <c r="A289" s="426" t="str">
        <f>IF(AND(F290=G290,H290=I290,J290=K290,F290="A"),"2016 - kw",IF(AND(F290=G290,H290=I290,J290&lt;&gt;K290,F290="A"),"2017 - kw",IF(AND(F290=G290,H290&lt;&gt;I290,F290="A"),"2018 - kw","N/A")))</f>
        <v>N/A</v>
      </c>
      <c r="B289" s="426" t="str">
        <f>IF(AND(F290="A",G290="A"),"A","")</f>
        <v/>
      </c>
      <c r="C289" s="407"/>
      <c r="D289" s="420" t="str">
        <f>D288 &amp; "kW"</f>
        <v>kW</v>
      </c>
      <c r="E289" s="423" t="s">
        <v>380</v>
      </c>
      <c r="F289" s="459"/>
      <c r="G289" s="459"/>
      <c r="H289" s="459"/>
      <c r="I289" s="459"/>
      <c r="J289" s="459"/>
      <c r="K289" s="459"/>
      <c r="L289" s="459"/>
      <c r="M289" s="459"/>
      <c r="N289" s="459"/>
      <c r="O289" s="459"/>
      <c r="P289" s="426"/>
      <c r="Q289" s="426"/>
      <c r="R289" s="426"/>
      <c r="S289" s="426"/>
      <c r="T289" s="426"/>
      <c r="U289" s="426"/>
      <c r="V289" s="426"/>
      <c r="Z289" s="478"/>
      <c r="AA289" s="478" t="str">
        <f>IF(AND(F290=G290,H290=I290,F290="A"),"2016 - kw","")</f>
        <v/>
      </c>
      <c r="AB289" s="478" t="str">
        <f>IF(OR(B289="2017 - kw",B289="2018 - kw"),"2016 - kw","")</f>
        <v/>
      </c>
      <c r="AC289" s="478"/>
      <c r="AD289" s="478"/>
      <c r="AE289" s="478"/>
    </row>
    <row r="290" spans="1:31" hidden="1" x14ac:dyDescent="0.25">
      <c r="A290" s="426"/>
      <c r="B290" s="426"/>
      <c r="C290" s="410"/>
      <c r="D290" s="376"/>
      <c r="E290" s="422" t="s">
        <v>381</v>
      </c>
      <c r="F290" s="458"/>
      <c r="G290" s="458"/>
      <c r="H290" s="458"/>
      <c r="I290" s="458"/>
      <c r="J290" s="458"/>
      <c r="K290" s="458"/>
      <c r="L290" s="458"/>
      <c r="M290" s="458"/>
      <c r="N290" s="458"/>
      <c r="O290" s="458"/>
      <c r="P290" s="426"/>
      <c r="Q290" s="426"/>
      <c r="R290" s="426"/>
      <c r="S290" s="426"/>
      <c r="T290" s="426"/>
      <c r="U290" s="426"/>
      <c r="V290" s="426"/>
      <c r="Z290" s="478"/>
      <c r="AA290" s="478"/>
      <c r="AB290" s="478"/>
      <c r="AC290" s="478"/>
      <c r="AD290" s="478"/>
      <c r="AE290" s="478"/>
    </row>
    <row r="291" spans="1:31" hidden="1" x14ac:dyDescent="0.25">
      <c r="A291" s="426" t="str">
        <f>IF(AND(F293=G293,H293=I293,J293=K293,F293="A"),"2016 - kwh",IF(AND(F293=G293,H293=I293,J293&lt;&gt;K293,F293="A"),"2017 - kwh",IF(AND(F293=G293,H293&lt;&gt;I293,F293="A"),"2018 - kwh","N/A")))</f>
        <v>N/A</v>
      </c>
      <c r="B291" s="426" t="str">
        <f>IF(AND(F293="A",G293="A"),"A","")</f>
        <v/>
      </c>
      <c r="C291" s="406" t="s">
        <v>468</v>
      </c>
      <c r="D291" s="460"/>
      <c r="E291" s="424" t="s">
        <v>379</v>
      </c>
      <c r="F291" s="459"/>
      <c r="G291" s="459"/>
      <c r="H291" s="459"/>
      <c r="I291" s="459"/>
      <c r="J291" s="459"/>
      <c r="K291" s="459"/>
      <c r="L291" s="459"/>
      <c r="M291" s="459"/>
      <c r="N291" s="459"/>
      <c r="O291" s="459"/>
      <c r="P291" s="426"/>
      <c r="Q291" s="426"/>
      <c r="R291" s="426"/>
      <c r="S291" s="426"/>
      <c r="T291" s="426"/>
      <c r="U291" s="426"/>
      <c r="V291" s="426"/>
      <c r="Z291" s="478"/>
      <c r="AA291" s="478" t="str">
        <f>IF(AND(F293=G293,H293=I293,F293="A"),"2016 - kwh","")</f>
        <v/>
      </c>
      <c r="AB291" s="478" t="str">
        <f>IF(OR(B291="2017 - kwh",B291="2018 - kwh"),"2016 - kwh","")</f>
        <v/>
      </c>
      <c r="AC291" s="478"/>
      <c r="AD291" s="478"/>
      <c r="AE291" s="478"/>
    </row>
    <row r="292" spans="1:31" hidden="1" x14ac:dyDescent="0.25">
      <c r="A292" s="426" t="str">
        <f>IF(AND(F293=G293,H293=I293,J293=K293,F293="A"),"2016 - kw",IF(AND(F293=G293,H293=I293,J293&lt;&gt;K293,F293="A"),"2017 - kw",IF(AND(F293=G293,H293&lt;&gt;I293,F293="A"),"2018 - kw","N/A")))</f>
        <v>N/A</v>
      </c>
      <c r="B292" s="426" t="str">
        <f>IF(AND(F293="A",G293="A"),"A","")</f>
        <v/>
      </c>
      <c r="C292" s="407"/>
      <c r="D292" s="420" t="str">
        <f>D291 &amp; "kW"</f>
        <v>kW</v>
      </c>
      <c r="E292" s="423" t="s">
        <v>380</v>
      </c>
      <c r="F292" s="459"/>
      <c r="G292" s="459"/>
      <c r="H292" s="459"/>
      <c r="I292" s="459"/>
      <c r="J292" s="459"/>
      <c r="K292" s="459"/>
      <c r="L292" s="459"/>
      <c r="M292" s="459"/>
      <c r="N292" s="459"/>
      <c r="O292" s="459"/>
      <c r="P292" s="426"/>
      <c r="Q292" s="426"/>
      <c r="R292" s="426"/>
      <c r="S292" s="426"/>
      <c r="T292" s="426"/>
      <c r="U292" s="426"/>
      <c r="V292" s="426"/>
      <c r="Z292" s="478"/>
      <c r="AA292" s="478" t="str">
        <f>IF(AND(F293=G293,H293=I293,F293="A"),"2016 - kw","")</f>
        <v/>
      </c>
      <c r="AB292" s="478" t="str">
        <f>IF(OR(B292="2017 - kw",B292="2018 - kw"),"2016 - kw","")</f>
        <v/>
      </c>
      <c r="AC292" s="478"/>
      <c r="AD292" s="478"/>
      <c r="AE292" s="478"/>
    </row>
    <row r="293" spans="1:31" hidden="1" x14ac:dyDescent="0.25">
      <c r="A293" s="426"/>
      <c r="B293" s="426"/>
      <c r="C293" s="410"/>
      <c r="D293" s="376"/>
      <c r="E293" s="422" t="s">
        <v>381</v>
      </c>
      <c r="F293" s="458"/>
      <c r="G293" s="458"/>
      <c r="H293" s="458"/>
      <c r="I293" s="458"/>
      <c r="J293" s="458"/>
      <c r="K293" s="458"/>
      <c r="L293" s="458"/>
      <c r="M293" s="458"/>
      <c r="N293" s="458"/>
      <c r="O293" s="458"/>
      <c r="P293" s="426"/>
      <c r="Q293" s="426"/>
      <c r="R293" s="426"/>
      <c r="S293" s="426"/>
      <c r="T293" s="426"/>
      <c r="U293" s="426"/>
      <c r="V293" s="426"/>
      <c r="Z293" s="478"/>
      <c r="AA293" s="478"/>
      <c r="AB293" s="478"/>
      <c r="AC293" s="478"/>
      <c r="AD293" s="478"/>
      <c r="AE293" s="478"/>
    </row>
    <row r="294" spans="1:31" hidden="1" x14ac:dyDescent="0.25">
      <c r="A294" s="426" t="str">
        <f>IF(AND(F296=G296,H296=I296,J296=K296,F296="A"),"2016 - kwh",IF(AND(F296=G296,H296=I296,J296&lt;&gt;K296,F296="A"),"2017 - kwh",IF(AND(F296=G296,H296&lt;&gt;I296,F296="A"),"2018 - kwh","N/A")))</f>
        <v>N/A</v>
      </c>
      <c r="B294" s="426" t="str">
        <f>IF(AND(F296="A",G296="A"),"A","")</f>
        <v/>
      </c>
      <c r="C294" s="406" t="s">
        <v>469</v>
      </c>
      <c r="D294" s="460"/>
      <c r="E294" s="424" t="s">
        <v>379</v>
      </c>
      <c r="F294" s="459"/>
      <c r="G294" s="459"/>
      <c r="H294" s="459"/>
      <c r="I294" s="459"/>
      <c r="J294" s="459"/>
      <c r="K294" s="459"/>
      <c r="L294" s="459"/>
      <c r="M294" s="459"/>
      <c r="N294" s="459"/>
      <c r="O294" s="459"/>
      <c r="P294" s="426"/>
      <c r="Q294" s="426"/>
      <c r="R294" s="426"/>
      <c r="S294" s="426"/>
      <c r="T294" s="426"/>
      <c r="U294" s="426"/>
      <c r="V294" s="426"/>
      <c r="Z294" s="478"/>
      <c r="AA294" s="478" t="str">
        <f>IF(AND(F296=G296,H296=I296,F296="A"),"2016 - kwh","")</f>
        <v/>
      </c>
      <c r="AB294" s="478" t="str">
        <f>IF(OR(B294="2017 - kwh",B294="2018 - kwh"),"2016 - kwh","")</f>
        <v/>
      </c>
      <c r="AC294" s="478"/>
      <c r="AD294" s="478"/>
      <c r="AE294" s="478"/>
    </row>
    <row r="295" spans="1:31" hidden="1" x14ac:dyDescent="0.25">
      <c r="A295" s="426" t="str">
        <f>IF(AND(F296=G296,H296=I296,J296=K296,F296="A"),"2016 - kw",IF(AND(F296=G296,H296=I296,J296&lt;&gt;K296,F296="A"),"2017 - kw",IF(AND(F296=G296,H296&lt;&gt;I296,F296="A"),"2018 - kw","N/A")))</f>
        <v>N/A</v>
      </c>
      <c r="B295" s="426" t="str">
        <f>IF(AND(F296="A",G296="A"),"A","")</f>
        <v/>
      </c>
      <c r="C295" s="407"/>
      <c r="D295" s="420" t="str">
        <f>D294 &amp; "kW"</f>
        <v>kW</v>
      </c>
      <c r="E295" s="423" t="s">
        <v>380</v>
      </c>
      <c r="F295" s="459"/>
      <c r="G295" s="459"/>
      <c r="H295" s="459"/>
      <c r="I295" s="459"/>
      <c r="J295" s="459"/>
      <c r="K295" s="459"/>
      <c r="L295" s="459"/>
      <c r="M295" s="459"/>
      <c r="N295" s="459"/>
      <c r="O295" s="459"/>
      <c r="P295" s="426"/>
      <c r="Q295" s="426"/>
      <c r="R295" s="426"/>
      <c r="S295" s="426"/>
      <c r="T295" s="426"/>
      <c r="U295" s="426"/>
      <c r="V295" s="426"/>
      <c r="Z295" s="478"/>
      <c r="AA295" s="478" t="str">
        <f>IF(AND(F296=G296,H296=I296,F296="A"),"2016 - kw","")</f>
        <v/>
      </c>
      <c r="AB295" s="478" t="str">
        <f>IF(OR(B295="2017 - kw",B295="2018 - kw"),"2016 - kw","")</f>
        <v/>
      </c>
      <c r="AC295" s="478"/>
      <c r="AD295" s="478"/>
      <c r="AE295" s="478"/>
    </row>
    <row r="296" spans="1:31" hidden="1" x14ac:dyDescent="0.25">
      <c r="A296" s="426"/>
      <c r="B296" s="426"/>
      <c r="C296" s="410"/>
      <c r="D296" s="376"/>
      <c r="E296" s="422" t="s">
        <v>381</v>
      </c>
      <c r="F296" s="458"/>
      <c r="G296" s="458"/>
      <c r="H296" s="458"/>
      <c r="I296" s="458"/>
      <c r="J296" s="458"/>
      <c r="K296" s="458"/>
      <c r="L296" s="458"/>
      <c r="M296" s="458"/>
      <c r="N296" s="458"/>
      <c r="O296" s="458"/>
      <c r="P296" s="426"/>
      <c r="Q296" s="426"/>
      <c r="R296" s="426"/>
      <c r="S296" s="426"/>
      <c r="T296" s="426"/>
      <c r="U296" s="426"/>
      <c r="V296" s="426"/>
      <c r="Z296" s="478"/>
      <c r="AA296" s="478"/>
      <c r="AB296" s="478"/>
      <c r="AC296" s="478"/>
      <c r="AD296" s="478"/>
      <c r="AE296" s="478"/>
    </row>
    <row r="297" spans="1:31" hidden="1" x14ac:dyDescent="0.25">
      <c r="A297" s="426" t="str">
        <f>IF(AND(F299=G299,H299=I299,J299=K299,F299="A"),"2016 - kwh",IF(AND(F299=G299,H299=I299,J299&lt;&gt;K299,F299="A"),"2017 - kwh",IF(AND(F299=G299,H299&lt;&gt;I299,F299="A"),"2018 - kwh","N/A")))</f>
        <v>N/A</v>
      </c>
      <c r="B297" s="426" t="str">
        <f>IF(AND(F299="A",G299="A"),"A","")</f>
        <v/>
      </c>
      <c r="C297" s="406" t="s">
        <v>470</v>
      </c>
      <c r="D297" s="460"/>
      <c r="E297" s="424" t="s">
        <v>379</v>
      </c>
      <c r="F297" s="459"/>
      <c r="G297" s="459"/>
      <c r="H297" s="459"/>
      <c r="I297" s="459"/>
      <c r="J297" s="459"/>
      <c r="K297" s="459"/>
      <c r="L297" s="459"/>
      <c r="M297" s="459"/>
      <c r="N297" s="459"/>
      <c r="O297" s="459"/>
      <c r="P297" s="426"/>
      <c r="Q297" s="426"/>
      <c r="R297" s="426"/>
      <c r="S297" s="426"/>
      <c r="T297" s="426"/>
      <c r="U297" s="426"/>
      <c r="V297" s="426"/>
      <c r="Z297" s="478"/>
      <c r="AA297" s="478" t="str">
        <f>IF(AND(F299=G299,H299=I299,F299="A"),"2016 - kwh","")</f>
        <v/>
      </c>
      <c r="AB297" s="478" t="str">
        <f>IF(OR(B297="2017 - kwh",B297="2018 - kwh"),"2016 - kwh","")</f>
        <v/>
      </c>
      <c r="AC297" s="478"/>
      <c r="AD297" s="478"/>
      <c r="AE297" s="478"/>
    </row>
    <row r="298" spans="1:31" hidden="1" x14ac:dyDescent="0.25">
      <c r="A298" s="426" t="str">
        <f>IF(AND(F299=G299,H299=I299,J299=K299,F299="A"),"2016 - kw",IF(AND(F299=G299,H299=I299,J299&lt;&gt;K299,F299="A"),"2017 - kw",IF(AND(F299=G299,H299&lt;&gt;I299,F299="A"),"2018 - kw","N/A")))</f>
        <v>N/A</v>
      </c>
      <c r="B298" s="426" t="str">
        <f>IF(AND(F299="A",G299="A"),"A","")</f>
        <v/>
      </c>
      <c r="C298" s="407"/>
      <c r="D298" s="420" t="str">
        <f>D297 &amp; "kW"</f>
        <v>kW</v>
      </c>
      <c r="E298" s="423" t="s">
        <v>380</v>
      </c>
      <c r="F298" s="459"/>
      <c r="G298" s="459"/>
      <c r="H298" s="459"/>
      <c r="I298" s="459"/>
      <c r="J298" s="459"/>
      <c r="K298" s="459"/>
      <c r="L298" s="459"/>
      <c r="M298" s="459"/>
      <c r="N298" s="459"/>
      <c r="O298" s="459"/>
      <c r="P298" s="426"/>
      <c r="Q298" s="426"/>
      <c r="R298" s="426"/>
      <c r="S298" s="426"/>
      <c r="T298" s="426"/>
      <c r="U298" s="426"/>
      <c r="V298" s="426"/>
      <c r="Z298" s="478"/>
      <c r="AA298" s="478" t="str">
        <f>IF(AND(F299=G299,H299=I299,F299="A"),"2016 - kw","")</f>
        <v/>
      </c>
      <c r="AB298" s="478" t="str">
        <f>IF(OR(B298="2017 - kw",B298="2018 - kw"),"2016 - kw","")</f>
        <v/>
      </c>
      <c r="AC298" s="478"/>
      <c r="AD298" s="478"/>
      <c r="AE298" s="478"/>
    </row>
    <row r="299" spans="1:31" hidden="1" x14ac:dyDescent="0.25">
      <c r="A299" s="426"/>
      <c r="B299" s="426"/>
      <c r="C299" s="410"/>
      <c r="D299" s="376"/>
      <c r="E299" s="422" t="s">
        <v>381</v>
      </c>
      <c r="F299" s="458"/>
      <c r="G299" s="458"/>
      <c r="H299" s="458"/>
      <c r="I299" s="458"/>
      <c r="J299" s="458"/>
      <c r="K299" s="458"/>
      <c r="L299" s="458"/>
      <c r="M299" s="458"/>
      <c r="N299" s="458"/>
      <c r="O299" s="458"/>
      <c r="P299" s="426"/>
      <c r="Q299" s="426"/>
      <c r="R299" s="426"/>
      <c r="S299" s="426"/>
      <c r="T299" s="426"/>
      <c r="U299" s="426"/>
      <c r="V299" s="426"/>
      <c r="Z299" s="478"/>
      <c r="AA299" s="478"/>
      <c r="AB299" s="478"/>
      <c r="AC299" s="478"/>
      <c r="AD299" s="478"/>
      <c r="AE299" s="478"/>
    </row>
    <row r="300" spans="1:31" hidden="1" x14ac:dyDescent="0.25">
      <c r="A300" s="426" t="str">
        <f>IF(AND(F302=G302,H302=I302,J302=K302,F302="A"),"2016 - kwh",IF(AND(F302=G302,H302=I302,J302&lt;&gt;K302,F302="A"),"2017 - kwh",IF(AND(F302=G302,H302&lt;&gt;I302,F302="A"),"2018 - kwh","N/A")))</f>
        <v>N/A</v>
      </c>
      <c r="B300" s="426" t="str">
        <f>IF(AND(F302="A",G302="A"),"A","")</f>
        <v/>
      </c>
      <c r="C300" s="406" t="s">
        <v>471</v>
      </c>
      <c r="D300" s="460"/>
      <c r="E300" s="424" t="s">
        <v>379</v>
      </c>
      <c r="F300" s="459"/>
      <c r="G300" s="459"/>
      <c r="H300" s="459"/>
      <c r="I300" s="459"/>
      <c r="J300" s="459"/>
      <c r="K300" s="459"/>
      <c r="L300" s="459"/>
      <c r="M300" s="459"/>
      <c r="N300" s="459"/>
      <c r="O300" s="459"/>
      <c r="P300" s="426"/>
      <c r="Q300" s="426"/>
      <c r="R300" s="426"/>
      <c r="S300" s="426"/>
      <c r="T300" s="426"/>
      <c r="U300" s="426"/>
      <c r="V300" s="426"/>
      <c r="Z300" s="478"/>
      <c r="AA300" s="478" t="str">
        <f>IF(AND(F302=G302,H302=I302,F302="A"),"2016 - kwh","")</f>
        <v/>
      </c>
      <c r="AB300" s="478" t="str">
        <f>IF(OR(B300="2017 - kwh",B300="2018 - kwh"),"2016 - kwh","")</f>
        <v/>
      </c>
      <c r="AC300" s="478"/>
      <c r="AD300" s="478"/>
      <c r="AE300" s="478"/>
    </row>
    <row r="301" spans="1:31" hidden="1" x14ac:dyDescent="0.25">
      <c r="A301" s="426" t="str">
        <f>IF(AND(F302=G302,H302=I302,J302=K302,F302="A"),"2016 - kw",IF(AND(F302=G302,H302=I302,J302&lt;&gt;K302,F302="A"),"2017 - kw",IF(AND(F302=G302,H302&lt;&gt;I302,F302="A"),"2018 - kw","N/A")))</f>
        <v>N/A</v>
      </c>
      <c r="B301" s="426" t="str">
        <f>IF(AND(F302="A",G302="A"),"A","")</f>
        <v/>
      </c>
      <c r="C301" s="407"/>
      <c r="D301" s="420" t="str">
        <f>D300 &amp; "kW"</f>
        <v>kW</v>
      </c>
      <c r="E301" s="423" t="s">
        <v>380</v>
      </c>
      <c r="F301" s="459"/>
      <c r="G301" s="459"/>
      <c r="H301" s="459"/>
      <c r="I301" s="459"/>
      <c r="J301" s="459"/>
      <c r="K301" s="459"/>
      <c r="L301" s="459"/>
      <c r="M301" s="459"/>
      <c r="N301" s="459"/>
      <c r="O301" s="459"/>
      <c r="P301" s="426"/>
      <c r="Q301" s="426"/>
      <c r="R301" s="426"/>
      <c r="S301" s="426"/>
      <c r="T301" s="426"/>
      <c r="U301" s="426"/>
      <c r="V301" s="426"/>
      <c r="Z301" s="478"/>
      <c r="AA301" s="478" t="str">
        <f>IF(AND(F302=G302,H302=I302,F302="A"),"2016 - kw","")</f>
        <v/>
      </c>
      <c r="AB301" s="478" t="str">
        <f>IF(OR(B301="2017 - kw",B301="2018 - kw"),"2016 - kw","")</f>
        <v/>
      </c>
      <c r="AC301" s="478"/>
      <c r="AD301" s="478"/>
      <c r="AE301" s="478"/>
    </row>
    <row r="302" spans="1:31" hidden="1" x14ac:dyDescent="0.25">
      <c r="A302" s="426"/>
      <c r="B302" s="426"/>
      <c r="C302" s="410"/>
      <c r="D302" s="376"/>
      <c r="E302" s="422" t="s">
        <v>381</v>
      </c>
      <c r="F302" s="458"/>
      <c r="G302" s="458"/>
      <c r="H302" s="458"/>
      <c r="I302" s="458"/>
      <c r="J302" s="458"/>
      <c r="K302" s="458"/>
      <c r="L302" s="458"/>
      <c r="M302" s="458"/>
      <c r="N302" s="458"/>
      <c r="O302" s="458"/>
      <c r="P302" s="426"/>
      <c r="Q302" s="426"/>
      <c r="R302" s="426"/>
      <c r="S302" s="426"/>
      <c r="T302" s="426"/>
      <c r="U302" s="426"/>
      <c r="V302" s="426"/>
      <c r="Z302" s="478"/>
      <c r="AA302" s="478"/>
      <c r="AB302" s="478"/>
      <c r="AC302" s="478"/>
      <c r="AD302" s="478"/>
      <c r="AE302" s="478"/>
    </row>
    <row r="303" spans="1:31" hidden="1" x14ac:dyDescent="0.25">
      <c r="A303" s="426" t="str">
        <f>IF(AND(F305=G305,H305=I305,J305=K305,F305="A"),"2016 - kwh",IF(AND(F305=G305,H305=I305,J305&lt;&gt;K305,F305="A"),"2017 - kwh",IF(AND(F305=G305,H305&lt;&gt;I305,F305="A"),"2018 - kwh","N/A")))</f>
        <v>N/A</v>
      </c>
      <c r="B303" s="426" t="str">
        <f>IF(AND(F305="A",G305="A"),"A","")</f>
        <v/>
      </c>
      <c r="C303" s="406" t="s">
        <v>472</v>
      </c>
      <c r="D303" s="460"/>
      <c r="E303" s="424" t="s">
        <v>379</v>
      </c>
      <c r="F303" s="459"/>
      <c r="G303" s="459"/>
      <c r="H303" s="459"/>
      <c r="I303" s="459"/>
      <c r="J303" s="459"/>
      <c r="K303" s="459"/>
      <c r="L303" s="459"/>
      <c r="M303" s="459"/>
      <c r="N303" s="459"/>
      <c r="O303" s="459"/>
      <c r="P303" s="426"/>
      <c r="Q303" s="426"/>
      <c r="R303" s="426"/>
      <c r="S303" s="426"/>
      <c r="T303" s="426"/>
      <c r="U303" s="426"/>
      <c r="V303" s="426"/>
      <c r="Z303" s="478"/>
      <c r="AA303" s="478" t="str">
        <f>IF(AND(F305=G305,H305=I305,F305="A"),"2016 - kwh","")</f>
        <v/>
      </c>
      <c r="AB303" s="478" t="str">
        <f>IF(OR(B303="2017 - kwh",B303="2018 - kwh"),"2016 - kwh","")</f>
        <v/>
      </c>
      <c r="AC303" s="478"/>
      <c r="AD303" s="478"/>
      <c r="AE303" s="478"/>
    </row>
    <row r="304" spans="1:31" hidden="1" x14ac:dyDescent="0.25">
      <c r="A304" s="426" t="str">
        <f>IF(AND(F305=G305,H305=I305,J305=K305,F305="A"),"2016 - kw",IF(AND(F305=G305,H305=I305,J305&lt;&gt;K305,F305="A"),"2017 - kw",IF(AND(F305=G305,H305&lt;&gt;I305,F305="A"),"2018 - kw","N/A")))</f>
        <v>N/A</v>
      </c>
      <c r="B304" s="426" t="str">
        <f>IF(AND(F305="A",G305="A"),"A","")</f>
        <v/>
      </c>
      <c r="C304" s="407"/>
      <c r="D304" s="420" t="str">
        <f>D303 &amp; "kW"</f>
        <v>kW</v>
      </c>
      <c r="E304" s="423" t="s">
        <v>380</v>
      </c>
      <c r="F304" s="459"/>
      <c r="G304" s="459"/>
      <c r="H304" s="459"/>
      <c r="I304" s="459"/>
      <c r="J304" s="459"/>
      <c r="K304" s="459"/>
      <c r="L304" s="459"/>
      <c r="M304" s="459"/>
      <c r="N304" s="459"/>
      <c r="O304" s="459"/>
      <c r="P304" s="426"/>
      <c r="Q304" s="426"/>
      <c r="R304" s="426"/>
      <c r="S304" s="426"/>
      <c r="T304" s="426"/>
      <c r="U304" s="426"/>
      <c r="V304" s="426"/>
      <c r="Z304" s="478"/>
      <c r="AA304" s="478" t="str">
        <f>IF(AND(F305=G305,H305=I305,F305="A"),"2016 - kw","")</f>
        <v/>
      </c>
      <c r="AB304" s="478" t="str">
        <f>IF(OR(B304="2017 - kw",B304="2018 - kw"),"2016 - kw","")</f>
        <v/>
      </c>
      <c r="AC304" s="478"/>
      <c r="AD304" s="478"/>
      <c r="AE304" s="478"/>
    </row>
    <row r="305" spans="1:31" hidden="1" x14ac:dyDescent="0.25">
      <c r="A305" s="426"/>
      <c r="B305" s="426"/>
      <c r="C305" s="410"/>
      <c r="D305" s="376"/>
      <c r="E305" s="422" t="s">
        <v>381</v>
      </c>
      <c r="F305" s="458"/>
      <c r="G305" s="458"/>
      <c r="H305" s="458"/>
      <c r="I305" s="458"/>
      <c r="J305" s="458"/>
      <c r="K305" s="458"/>
      <c r="L305" s="458"/>
      <c r="M305" s="458"/>
      <c r="N305" s="458"/>
      <c r="O305" s="458"/>
      <c r="P305" s="426"/>
      <c r="Q305" s="426"/>
      <c r="R305" s="426"/>
      <c r="S305" s="426"/>
      <c r="T305" s="426"/>
      <c r="U305" s="426"/>
      <c r="V305" s="426"/>
      <c r="Z305" s="478"/>
      <c r="AA305" s="478"/>
      <c r="AB305" s="478"/>
      <c r="AC305" s="478"/>
      <c r="AD305" s="478"/>
      <c r="AE305" s="478"/>
    </row>
    <row r="306" spans="1:31" hidden="1" x14ac:dyDescent="0.25">
      <c r="A306" s="426" t="str">
        <f>IF(AND(F308=G308,H308=I308,J308=K308,F308="A"),"2016 - kwh",IF(AND(F308=G308,H308=I308,J308&lt;&gt;K308,F308="A"),"2017 - kwh",IF(AND(F308=G308,H308&lt;&gt;I308,F308="A"),"2018 - kwh","N/A")))</f>
        <v>N/A</v>
      </c>
      <c r="B306" s="426" t="str">
        <f>IF(AND(F308="A",G308="A"),"A","")</f>
        <v/>
      </c>
      <c r="C306" s="406" t="s">
        <v>473</v>
      </c>
      <c r="D306" s="460"/>
      <c r="E306" s="424" t="s">
        <v>379</v>
      </c>
      <c r="F306" s="459"/>
      <c r="G306" s="459"/>
      <c r="H306" s="459"/>
      <c r="I306" s="459"/>
      <c r="J306" s="459"/>
      <c r="K306" s="459"/>
      <c r="L306" s="459"/>
      <c r="M306" s="459"/>
      <c r="N306" s="459"/>
      <c r="O306" s="459"/>
      <c r="P306" s="426"/>
      <c r="Q306" s="426"/>
      <c r="R306" s="426"/>
      <c r="S306" s="426"/>
      <c r="T306" s="426"/>
      <c r="U306" s="426"/>
      <c r="V306" s="426"/>
      <c r="Z306" s="478"/>
      <c r="AA306" s="478" t="str">
        <f>IF(AND(F308=G308,H308=I308,F308="A"),"2016 - kwh","")</f>
        <v/>
      </c>
      <c r="AB306" s="478" t="str">
        <f>IF(OR(B306="2017 - kwh",B306="2018 - kwh"),"2016 - kwh","")</f>
        <v/>
      </c>
      <c r="AC306" s="478"/>
      <c r="AD306" s="478"/>
      <c r="AE306" s="478"/>
    </row>
    <row r="307" spans="1:31" hidden="1" x14ac:dyDescent="0.25">
      <c r="A307" s="426" t="str">
        <f>IF(AND(F308=G308,H308=I308,J308=K308,F308="A"),"2016 - kw",IF(AND(F308=G308,H308=I308,J308&lt;&gt;K308,F308="A"),"2017 - kw",IF(AND(F308=G308,H308&lt;&gt;I308,F308="A"),"2018 - kw","N/A")))</f>
        <v>N/A</v>
      </c>
      <c r="B307" s="426" t="str">
        <f>IF(AND(F308="A",G308="A"),"A","")</f>
        <v/>
      </c>
      <c r="C307" s="407"/>
      <c r="D307" s="420" t="str">
        <f>D306 &amp; "kW"</f>
        <v>kW</v>
      </c>
      <c r="E307" s="423" t="s">
        <v>380</v>
      </c>
      <c r="F307" s="459"/>
      <c r="G307" s="459"/>
      <c r="H307" s="459"/>
      <c r="I307" s="459"/>
      <c r="J307" s="459"/>
      <c r="K307" s="459"/>
      <c r="L307" s="459"/>
      <c r="M307" s="459"/>
      <c r="N307" s="459"/>
      <c r="O307" s="459"/>
      <c r="P307" s="426"/>
      <c r="Q307" s="426"/>
      <c r="R307" s="426"/>
      <c r="S307" s="426"/>
      <c r="T307" s="426"/>
      <c r="U307" s="426"/>
      <c r="V307" s="426"/>
      <c r="Z307" s="478"/>
      <c r="AA307" s="478" t="str">
        <f>IF(AND(F308=G308,H308=I308,F308="A"),"2016 - kw","")</f>
        <v/>
      </c>
      <c r="AB307" s="478" t="str">
        <f>IF(OR(B307="2017 - kw",B307="2018 - kw"),"2016 - kw","")</f>
        <v/>
      </c>
      <c r="AC307" s="478"/>
      <c r="AD307" s="478"/>
      <c r="AE307" s="478"/>
    </row>
    <row r="308" spans="1:31" hidden="1" x14ac:dyDescent="0.25">
      <c r="A308" s="426"/>
      <c r="B308" s="426"/>
      <c r="C308" s="410"/>
      <c r="D308" s="376"/>
      <c r="E308" s="422" t="s">
        <v>381</v>
      </c>
      <c r="F308" s="458"/>
      <c r="G308" s="458"/>
      <c r="H308" s="458"/>
      <c r="I308" s="458"/>
      <c r="J308" s="458"/>
      <c r="K308" s="458"/>
      <c r="L308" s="458"/>
      <c r="M308" s="458"/>
      <c r="N308" s="458"/>
      <c r="O308" s="458"/>
      <c r="P308" s="426"/>
      <c r="Q308" s="426"/>
      <c r="R308" s="426"/>
      <c r="S308" s="426"/>
      <c r="T308" s="426"/>
      <c r="U308" s="426"/>
      <c r="V308" s="426"/>
      <c r="Z308" s="478"/>
      <c r="AA308" s="478"/>
      <c r="AB308" s="478"/>
      <c r="AC308" s="478"/>
      <c r="AD308" s="478"/>
      <c r="AE308" s="478"/>
    </row>
    <row r="309" spans="1:31" hidden="1" x14ac:dyDescent="0.25">
      <c r="A309" s="426" t="str">
        <f>IF(AND(F311=G311,H311=I311,J311=K311,F311="A"),"2016 - kwh",IF(AND(F311=G311,H311=I311,J311&lt;&gt;K311,F311="A"),"2017 - kwh",IF(AND(F311=G311,H311&lt;&gt;I311,F311="A"),"2018 - kwh","N/A")))</f>
        <v>N/A</v>
      </c>
      <c r="B309" s="426" t="str">
        <f>IF(AND(F311="A",G311="A"),"A","")</f>
        <v/>
      </c>
      <c r="C309" s="406" t="s">
        <v>474</v>
      </c>
      <c r="D309" s="460"/>
      <c r="E309" s="424" t="s">
        <v>379</v>
      </c>
      <c r="F309" s="459"/>
      <c r="G309" s="459"/>
      <c r="H309" s="459"/>
      <c r="I309" s="459"/>
      <c r="J309" s="459"/>
      <c r="K309" s="459"/>
      <c r="L309" s="459"/>
      <c r="M309" s="459"/>
      <c r="N309" s="459"/>
      <c r="O309" s="459"/>
      <c r="P309" s="426"/>
      <c r="Q309" s="426"/>
      <c r="R309" s="426"/>
      <c r="S309" s="426"/>
      <c r="T309" s="426"/>
      <c r="U309" s="426"/>
      <c r="V309" s="426"/>
      <c r="Z309" s="478"/>
      <c r="AA309" s="478" t="str">
        <f>IF(AND(F311=G311,H311=I311,F311="A"),"2016 - kwh","")</f>
        <v/>
      </c>
      <c r="AB309" s="478" t="str">
        <f>IF(OR(B309="2017 - kwh",B309="2018 - kwh"),"2016 - kwh","")</f>
        <v/>
      </c>
      <c r="AC309" s="478"/>
      <c r="AD309" s="478"/>
      <c r="AE309" s="478"/>
    </row>
    <row r="310" spans="1:31" hidden="1" x14ac:dyDescent="0.25">
      <c r="A310" s="426" t="str">
        <f>IF(AND(F311=G311,H311=I311,J311=K311,F311="A"),"2016 - kw",IF(AND(F311=G311,H311=I311,J311&lt;&gt;K311,F311="A"),"2017 - kw",IF(AND(F311=G311,H311&lt;&gt;I311,F311="A"),"2018 - kw","N/A")))</f>
        <v>N/A</v>
      </c>
      <c r="B310" s="426" t="str">
        <f>IF(AND(F311="A",G311="A"),"A","")</f>
        <v/>
      </c>
      <c r="C310" s="407"/>
      <c r="D310" s="420" t="str">
        <f>D309 &amp; "kW"</f>
        <v>kW</v>
      </c>
      <c r="E310" s="423" t="s">
        <v>380</v>
      </c>
      <c r="F310" s="459"/>
      <c r="G310" s="459"/>
      <c r="H310" s="459"/>
      <c r="I310" s="459"/>
      <c r="J310" s="459"/>
      <c r="K310" s="459"/>
      <c r="L310" s="459"/>
      <c r="M310" s="459"/>
      <c r="N310" s="459"/>
      <c r="O310" s="459"/>
      <c r="P310" s="426"/>
      <c r="Q310" s="426"/>
      <c r="R310" s="426"/>
      <c r="S310" s="426"/>
      <c r="T310" s="426"/>
      <c r="U310" s="426"/>
      <c r="V310" s="426"/>
      <c r="Z310" s="478"/>
      <c r="AA310" s="478" t="str">
        <f>IF(AND(F311=G311,H311=I311,F311="A"),"2016 - kw","")</f>
        <v/>
      </c>
      <c r="AB310" s="478" t="str">
        <f>IF(OR(B310="2017 - kw",B310="2018 - kw"),"2016 - kw","")</f>
        <v/>
      </c>
      <c r="AC310" s="478"/>
      <c r="AD310" s="478"/>
      <c r="AE310" s="478"/>
    </row>
    <row r="311" spans="1:31" hidden="1" x14ac:dyDescent="0.25">
      <c r="A311" s="426"/>
      <c r="B311" s="426"/>
      <c r="C311" s="410"/>
      <c r="D311" s="376"/>
      <c r="E311" s="422" t="s">
        <v>381</v>
      </c>
      <c r="F311" s="458"/>
      <c r="G311" s="458"/>
      <c r="H311" s="458"/>
      <c r="I311" s="458"/>
      <c r="J311" s="458"/>
      <c r="K311" s="458"/>
      <c r="L311" s="458"/>
      <c r="M311" s="458"/>
      <c r="N311" s="458"/>
      <c r="O311" s="458"/>
      <c r="P311" s="426"/>
      <c r="Q311" s="426"/>
      <c r="R311" s="426"/>
      <c r="S311" s="426"/>
      <c r="T311" s="426"/>
      <c r="U311" s="426"/>
      <c r="V311" s="426"/>
      <c r="Z311" s="478"/>
      <c r="AA311" s="478"/>
      <c r="AB311" s="478"/>
      <c r="AC311" s="478"/>
      <c r="AD311" s="478"/>
      <c r="AE311" s="478"/>
    </row>
    <row r="312" spans="1:31" hidden="1" x14ac:dyDescent="0.25">
      <c r="A312" s="426" t="str">
        <f>IF(AND(F314=G314,H314=I314,J314=K314,F314="A"),"2016 - kwh",IF(AND(F314=G314,H314=I314,J314&lt;&gt;K314,F314="A"),"2017 - kwh",IF(AND(F314=G314,H314&lt;&gt;I314,F314="A"),"2018 - kwh","N/A")))</f>
        <v>N/A</v>
      </c>
      <c r="B312" s="426" t="str">
        <f>IF(AND(F314="A",G314="A"),"A","")</f>
        <v/>
      </c>
      <c r="C312" s="406" t="s">
        <v>475</v>
      </c>
      <c r="D312" s="460"/>
      <c r="E312" s="424" t="s">
        <v>379</v>
      </c>
      <c r="F312" s="459"/>
      <c r="G312" s="459"/>
      <c r="H312" s="459"/>
      <c r="I312" s="459"/>
      <c r="J312" s="459"/>
      <c r="K312" s="459"/>
      <c r="L312" s="459"/>
      <c r="M312" s="459"/>
      <c r="N312" s="459"/>
      <c r="O312" s="459"/>
      <c r="P312" s="426"/>
      <c r="Q312" s="426"/>
      <c r="R312" s="426"/>
      <c r="S312" s="426"/>
      <c r="T312" s="426"/>
      <c r="U312" s="426"/>
      <c r="V312" s="426"/>
      <c r="Z312" s="478"/>
      <c r="AA312" s="478" t="str">
        <f>IF(AND(F314=G314,H314=I314,F314="A"),"2016 - kwh","")</f>
        <v/>
      </c>
      <c r="AB312" s="478" t="str">
        <f>IF(OR(B312="2017 - kwh",B312="2018 - kwh"),"2016 - kwh","")</f>
        <v/>
      </c>
      <c r="AC312" s="478"/>
      <c r="AD312" s="478"/>
      <c r="AE312" s="478"/>
    </row>
    <row r="313" spans="1:31" hidden="1" x14ac:dyDescent="0.25">
      <c r="A313" s="426" t="str">
        <f>IF(AND(F314=G314,H314=I314,J314=K314,F314="A"),"2016 - kw",IF(AND(F314=G314,H314=I314,J314&lt;&gt;K314,F314="A"),"2017 - kw",IF(AND(F314=G314,H314&lt;&gt;I314,F314="A"),"2018 - kw","N/A")))</f>
        <v>N/A</v>
      </c>
      <c r="B313" s="426" t="str">
        <f>IF(AND(F314="A",G314="A"),"A","")</f>
        <v/>
      </c>
      <c r="C313" s="407"/>
      <c r="D313" s="420" t="str">
        <f>D312 &amp; "kW"</f>
        <v>kW</v>
      </c>
      <c r="E313" s="423" t="s">
        <v>380</v>
      </c>
      <c r="F313" s="459"/>
      <c r="G313" s="459"/>
      <c r="H313" s="459"/>
      <c r="I313" s="459"/>
      <c r="J313" s="459"/>
      <c r="K313" s="459"/>
      <c r="L313" s="459"/>
      <c r="M313" s="459"/>
      <c r="N313" s="459"/>
      <c r="O313" s="459"/>
      <c r="P313" s="426"/>
      <c r="Q313" s="426"/>
      <c r="R313" s="426"/>
      <c r="S313" s="426"/>
      <c r="T313" s="426"/>
      <c r="U313" s="426"/>
      <c r="V313" s="426"/>
      <c r="Z313" s="478"/>
      <c r="AA313" s="478" t="str">
        <f>IF(AND(F314=G314,H314=I314,F314="A"),"2016 - kw","")</f>
        <v/>
      </c>
      <c r="AB313" s="478" t="str">
        <f>IF(OR(B313="2017 - kw",B313="2018 - kw"),"2016 - kw","")</f>
        <v/>
      </c>
      <c r="AC313" s="478"/>
      <c r="AD313" s="478"/>
      <c r="AE313" s="478"/>
    </row>
    <row r="314" spans="1:31" hidden="1" x14ac:dyDescent="0.25">
      <c r="A314" s="426"/>
      <c r="B314" s="426"/>
      <c r="C314" s="410"/>
      <c r="D314" s="376"/>
      <c r="E314" s="422" t="s">
        <v>381</v>
      </c>
      <c r="F314" s="458"/>
      <c r="G314" s="458"/>
      <c r="H314" s="458"/>
      <c r="I314" s="458"/>
      <c r="J314" s="458"/>
      <c r="K314" s="458"/>
      <c r="L314" s="458"/>
      <c r="M314" s="458"/>
      <c r="N314" s="458"/>
      <c r="O314" s="458"/>
      <c r="P314" s="426"/>
      <c r="Q314" s="426"/>
      <c r="R314" s="426"/>
      <c r="S314" s="426"/>
      <c r="T314" s="426"/>
      <c r="U314" s="426"/>
      <c r="V314" s="426"/>
      <c r="Z314" s="478"/>
      <c r="AA314" s="478"/>
      <c r="AB314" s="478"/>
      <c r="AC314" s="478"/>
      <c r="AD314" s="478"/>
      <c r="AE314" s="478"/>
    </row>
    <row r="315" spans="1:31" hidden="1" x14ac:dyDescent="0.25">
      <c r="A315" s="426" t="str">
        <f>IF(AND(F317=G317,H317=I317,J317=K317,F317="A"),"2016 - kwh",IF(AND(F317=G317,H317=I317,J317&lt;&gt;K317,F317="A"),"2017 - kwh",IF(AND(F317=G317,H317&lt;&gt;I317,F317="A"),"2018 - kwh","N/A")))</f>
        <v>N/A</v>
      </c>
      <c r="B315" s="426" t="str">
        <f>IF(AND(F317="A",G317="A"),"A","")</f>
        <v/>
      </c>
      <c r="C315" s="406" t="s">
        <v>476</v>
      </c>
      <c r="D315" s="460"/>
      <c r="E315" s="424" t="s">
        <v>379</v>
      </c>
      <c r="F315" s="459"/>
      <c r="G315" s="459"/>
      <c r="H315" s="459"/>
      <c r="I315" s="459"/>
      <c r="J315" s="459"/>
      <c r="K315" s="459"/>
      <c r="L315" s="459"/>
      <c r="M315" s="459"/>
      <c r="N315" s="459"/>
      <c r="O315" s="459"/>
      <c r="P315" s="426"/>
      <c r="Q315" s="426"/>
      <c r="R315" s="426"/>
      <c r="S315" s="426"/>
      <c r="T315" s="426"/>
      <c r="U315" s="426"/>
      <c r="V315" s="426"/>
      <c r="Z315" s="478"/>
      <c r="AA315" s="478" t="str">
        <f>IF(AND(F317=G317,H317=I317,F317="A"),"2016 - kwh","")</f>
        <v/>
      </c>
      <c r="AB315" s="478" t="str">
        <f>IF(OR(B315="2017 - kwh",B315="2018 - kwh"),"2016 - kwh","")</f>
        <v/>
      </c>
      <c r="AC315" s="478"/>
      <c r="AD315" s="478"/>
      <c r="AE315" s="478"/>
    </row>
    <row r="316" spans="1:31" hidden="1" x14ac:dyDescent="0.25">
      <c r="A316" s="426" t="str">
        <f>IF(AND(F317=G317,H317=I317,J317=K317,F317="A"),"2016 - kw",IF(AND(F317=G317,H317=I317,J317&lt;&gt;K317,F317="A"),"2017 - kw",IF(AND(F317=G317,H317&lt;&gt;I317,F317="A"),"2018 - kw","N/A")))</f>
        <v>N/A</v>
      </c>
      <c r="B316" s="426" t="str">
        <f>IF(AND(F317="A",G317="A"),"A","")</f>
        <v/>
      </c>
      <c r="C316" s="407"/>
      <c r="D316" s="420" t="str">
        <f>D315 &amp; "kW"</f>
        <v>kW</v>
      </c>
      <c r="E316" s="423" t="s">
        <v>380</v>
      </c>
      <c r="F316" s="459"/>
      <c r="G316" s="459"/>
      <c r="H316" s="459"/>
      <c r="I316" s="459"/>
      <c r="J316" s="459"/>
      <c r="K316" s="459"/>
      <c r="L316" s="459"/>
      <c r="M316" s="459"/>
      <c r="N316" s="459"/>
      <c r="O316" s="459"/>
      <c r="P316" s="426"/>
      <c r="Q316" s="426"/>
      <c r="R316" s="426"/>
      <c r="S316" s="426"/>
      <c r="T316" s="426"/>
      <c r="U316" s="426"/>
      <c r="V316" s="426"/>
      <c r="Z316" s="478"/>
      <c r="AA316" s="478" t="str">
        <f>IF(AND(F317=G317,H317=I317,F317="A"),"2016 - kw","")</f>
        <v/>
      </c>
      <c r="AB316" s="478" t="str">
        <f>IF(OR(B316="2017 - kw",B316="2018 - kw"),"2016 - kw","")</f>
        <v/>
      </c>
      <c r="AC316" s="478"/>
      <c r="AD316" s="478"/>
      <c r="AE316" s="478"/>
    </row>
    <row r="317" spans="1:31" hidden="1" x14ac:dyDescent="0.25">
      <c r="A317" s="426"/>
      <c r="B317" s="426"/>
      <c r="C317" s="410"/>
      <c r="D317" s="376"/>
      <c r="E317" s="422" t="s">
        <v>381</v>
      </c>
      <c r="F317" s="458"/>
      <c r="G317" s="458"/>
      <c r="H317" s="458"/>
      <c r="I317" s="458"/>
      <c r="J317" s="458"/>
      <c r="K317" s="458"/>
      <c r="L317" s="458"/>
      <c r="M317" s="458"/>
      <c r="N317" s="458"/>
      <c r="O317" s="458"/>
      <c r="P317" s="426"/>
      <c r="Q317" s="426"/>
      <c r="R317" s="426"/>
      <c r="S317" s="426"/>
      <c r="T317" s="426"/>
      <c r="U317" s="426"/>
      <c r="V317" s="426"/>
      <c r="Z317" s="478"/>
      <c r="AA317" s="478"/>
      <c r="AB317" s="478"/>
      <c r="AC317" s="478"/>
      <c r="AD317" s="478"/>
      <c r="AE317" s="478"/>
    </row>
    <row r="318" spans="1:31" hidden="1" x14ac:dyDescent="0.25">
      <c r="A318" s="426" t="str">
        <f>IF(AND(F320=G320,H320=I320,J320=K320,F320="A"),"2016 - kwh",IF(AND(F320=G320,H320=I320,J320&lt;&gt;K320,F320="A"),"2017 - kwh",IF(AND(F320=G320,H320&lt;&gt;I320,F320="A"),"2018 - kwh","N/A")))</f>
        <v>N/A</v>
      </c>
      <c r="B318" s="426" t="str">
        <f>IF(AND(F320="A",G320="A"),"A","")</f>
        <v/>
      </c>
      <c r="C318" s="406" t="s">
        <v>477</v>
      </c>
      <c r="D318" s="460"/>
      <c r="E318" s="424" t="s">
        <v>379</v>
      </c>
      <c r="F318" s="459"/>
      <c r="G318" s="459"/>
      <c r="H318" s="459"/>
      <c r="I318" s="459"/>
      <c r="J318" s="459"/>
      <c r="K318" s="459"/>
      <c r="L318" s="459"/>
      <c r="M318" s="459"/>
      <c r="N318" s="459"/>
      <c r="O318" s="459"/>
      <c r="P318" s="426"/>
      <c r="Q318" s="426"/>
      <c r="R318" s="426"/>
      <c r="S318" s="426"/>
      <c r="T318" s="426"/>
      <c r="U318" s="426"/>
      <c r="V318" s="426"/>
      <c r="Z318" s="478"/>
      <c r="AA318" s="478" t="str">
        <f>IF(AND(F320=G320,H320=I320,F320="A"),"2016 - kwh","")</f>
        <v/>
      </c>
      <c r="AB318" s="478" t="str">
        <f>IF(OR(B318="2017 - kwh",B318="2018 - kwh"),"2016 - kwh","")</f>
        <v/>
      </c>
      <c r="AC318" s="478"/>
      <c r="AD318" s="478"/>
      <c r="AE318" s="478"/>
    </row>
    <row r="319" spans="1:31" hidden="1" x14ac:dyDescent="0.25">
      <c r="A319" s="426" t="str">
        <f>IF(AND(F320=G320,H320=I320,J320=K320,F320="A"),"2016 - kw",IF(AND(F320=G320,H320=I320,J320&lt;&gt;K320,F320="A"),"2017 - kw",IF(AND(F320=G320,H320&lt;&gt;I320,F320="A"),"2018 - kw","N/A")))</f>
        <v>N/A</v>
      </c>
      <c r="B319" s="426" t="str">
        <f>IF(AND(F320="A",G320="A"),"A","")</f>
        <v/>
      </c>
      <c r="C319" s="407"/>
      <c r="D319" s="420" t="str">
        <f>D318 &amp; "kW"</f>
        <v>kW</v>
      </c>
      <c r="E319" s="423" t="s">
        <v>380</v>
      </c>
      <c r="F319" s="459"/>
      <c r="G319" s="459"/>
      <c r="H319" s="459"/>
      <c r="I319" s="459"/>
      <c r="J319" s="459"/>
      <c r="K319" s="459"/>
      <c r="L319" s="459"/>
      <c r="M319" s="459"/>
      <c r="N319" s="459"/>
      <c r="O319" s="459"/>
      <c r="P319" s="426"/>
      <c r="Q319" s="426"/>
      <c r="R319" s="426"/>
      <c r="S319" s="426"/>
      <c r="T319" s="426"/>
      <c r="U319" s="426"/>
      <c r="V319" s="426"/>
      <c r="Z319" s="478"/>
      <c r="AA319" s="478" t="str">
        <f>IF(AND(F320=G320,H320=I320,F320="A"),"2016 - kw","")</f>
        <v/>
      </c>
      <c r="AB319" s="478" t="str">
        <f>IF(OR(B319="2017 - kw",B319="2018 - kw"),"2016 - kw","")</f>
        <v/>
      </c>
      <c r="AC319" s="478"/>
      <c r="AD319" s="478"/>
      <c r="AE319" s="478"/>
    </row>
    <row r="320" spans="1:31" hidden="1" x14ac:dyDescent="0.25">
      <c r="A320" s="426"/>
      <c r="B320" s="426"/>
      <c r="C320" s="410"/>
      <c r="D320" s="376"/>
      <c r="E320" s="422" t="s">
        <v>381</v>
      </c>
      <c r="F320" s="458"/>
      <c r="G320" s="458"/>
      <c r="H320" s="458"/>
      <c r="I320" s="458"/>
      <c r="J320" s="458"/>
      <c r="K320" s="458"/>
      <c r="L320" s="458"/>
      <c r="M320" s="458"/>
      <c r="N320" s="458"/>
      <c r="O320" s="458"/>
      <c r="P320" s="426"/>
      <c r="Q320" s="426"/>
      <c r="R320" s="426"/>
      <c r="S320" s="426"/>
      <c r="T320" s="426"/>
      <c r="U320" s="426"/>
      <c r="V320" s="426"/>
      <c r="Z320" s="478"/>
      <c r="AA320" s="478"/>
      <c r="AB320" s="478"/>
      <c r="AC320" s="478"/>
      <c r="AD320" s="478"/>
      <c r="AE320" s="478"/>
    </row>
    <row r="321" spans="1:31" hidden="1" x14ac:dyDescent="0.25">
      <c r="A321" s="426" t="str">
        <f>IF(AND(F323=G323,H323=I323,J323=K323,F323="A"),"2016 - kwh",IF(AND(F323=G323,H323=I323,J323&lt;&gt;K323,F323="A"),"2017 - kwh",IF(AND(F323=G323,H323&lt;&gt;I323,F323="A"),"2018 - kwh","N/A")))</f>
        <v>N/A</v>
      </c>
      <c r="B321" s="426" t="str">
        <f>IF(AND(F323="A",G323="A"),"A","")</f>
        <v/>
      </c>
      <c r="C321" s="406" t="s">
        <v>478</v>
      </c>
      <c r="D321" s="460"/>
      <c r="E321" s="424" t="s">
        <v>379</v>
      </c>
      <c r="F321" s="459"/>
      <c r="G321" s="459"/>
      <c r="H321" s="459"/>
      <c r="I321" s="459"/>
      <c r="J321" s="459"/>
      <c r="K321" s="459"/>
      <c r="L321" s="459"/>
      <c r="M321" s="459"/>
      <c r="N321" s="459"/>
      <c r="O321" s="459"/>
      <c r="P321" s="426"/>
      <c r="Q321" s="426"/>
      <c r="R321" s="426"/>
      <c r="S321" s="426"/>
      <c r="T321" s="426"/>
      <c r="U321" s="426"/>
      <c r="V321" s="426"/>
      <c r="Z321" s="478"/>
      <c r="AA321" s="478" t="str">
        <f>IF(AND(F323=G323,H323=I323,F323="A"),"2016 - kwh","")</f>
        <v/>
      </c>
      <c r="AB321" s="478" t="str">
        <f>IF(OR(B321="2017 - kwh",B321="2018 - kwh"),"2016 - kwh","")</f>
        <v/>
      </c>
      <c r="AC321" s="478"/>
      <c r="AD321" s="478"/>
      <c r="AE321" s="478"/>
    </row>
    <row r="322" spans="1:31" hidden="1" x14ac:dyDescent="0.25">
      <c r="A322" s="426" t="str">
        <f>IF(AND(F323=G323,H323=I323,J323=K323,F323="A"),"2016 - kw",IF(AND(F323=G323,H323=I323,J323&lt;&gt;K323,F323="A"),"2017 - kw",IF(AND(F323=G323,H323&lt;&gt;I323,F323="A"),"2018 - kw","N/A")))</f>
        <v>N/A</v>
      </c>
      <c r="B322" s="426" t="str">
        <f>IF(AND(F323="A",G323="A"),"A","")</f>
        <v/>
      </c>
      <c r="C322" s="407"/>
      <c r="D322" s="420" t="str">
        <f>D321 &amp; "kW"</f>
        <v>kW</v>
      </c>
      <c r="E322" s="423" t="s">
        <v>380</v>
      </c>
      <c r="F322" s="459"/>
      <c r="G322" s="459"/>
      <c r="H322" s="459"/>
      <c r="I322" s="459"/>
      <c r="J322" s="459"/>
      <c r="K322" s="459"/>
      <c r="L322" s="459"/>
      <c r="M322" s="459"/>
      <c r="N322" s="459"/>
      <c r="O322" s="459"/>
      <c r="P322" s="426"/>
      <c r="Q322" s="426"/>
      <c r="R322" s="426"/>
      <c r="S322" s="426"/>
      <c r="T322" s="426"/>
      <c r="U322" s="426"/>
      <c r="V322" s="426"/>
      <c r="Z322" s="478"/>
      <c r="AA322" s="478" t="str">
        <f>IF(AND(F323=G323,H323=I323,F323="A"),"2016 - kw","")</f>
        <v/>
      </c>
      <c r="AB322" s="478" t="str">
        <f>IF(OR(B322="2017 - kw",B322="2018 - kw"),"2016 - kw","")</f>
        <v/>
      </c>
      <c r="AC322" s="478"/>
      <c r="AD322" s="478"/>
      <c r="AE322" s="478"/>
    </row>
    <row r="323" spans="1:31" hidden="1" x14ac:dyDescent="0.25">
      <c r="A323" s="426"/>
      <c r="B323" s="426"/>
      <c r="C323" s="410"/>
      <c r="D323" s="376"/>
      <c r="E323" s="422" t="s">
        <v>381</v>
      </c>
      <c r="F323" s="458"/>
      <c r="G323" s="458"/>
      <c r="H323" s="458"/>
      <c r="I323" s="458"/>
      <c r="J323" s="458"/>
      <c r="K323" s="458"/>
      <c r="L323" s="458"/>
      <c r="M323" s="458"/>
      <c r="N323" s="458"/>
      <c r="O323" s="458"/>
      <c r="P323" s="426"/>
      <c r="Q323" s="426"/>
      <c r="R323" s="426"/>
      <c r="S323" s="426"/>
      <c r="T323" s="426"/>
      <c r="U323" s="426"/>
      <c r="V323" s="426"/>
      <c r="Z323" s="478"/>
      <c r="AA323" s="478"/>
      <c r="AB323" s="478"/>
      <c r="AC323" s="478"/>
      <c r="AD323" s="478"/>
      <c r="AE323" s="478"/>
    </row>
    <row r="324" spans="1:31" hidden="1" x14ac:dyDescent="0.25">
      <c r="A324" s="426" t="str">
        <f>IF(AND(F326=G326,H326=I326,J326=K326,F326="A"),"2016 - kwh",IF(AND(F326=G326,H326=I326,J326&lt;&gt;K326,F326="A"),"2017 - kwh",IF(AND(F326=G326,H326&lt;&gt;I326,F326="A"),"2018 - kwh","N/A")))</f>
        <v>N/A</v>
      </c>
      <c r="B324" s="426" t="str">
        <f>IF(AND(F326="A",G326="A"),"A","")</f>
        <v/>
      </c>
      <c r="C324" s="406" t="s">
        <v>479</v>
      </c>
      <c r="D324" s="460"/>
      <c r="E324" s="424" t="s">
        <v>379</v>
      </c>
      <c r="F324" s="459"/>
      <c r="G324" s="459"/>
      <c r="H324" s="459"/>
      <c r="I324" s="459"/>
      <c r="J324" s="459"/>
      <c r="K324" s="459"/>
      <c r="L324" s="459"/>
      <c r="M324" s="459"/>
      <c r="N324" s="459"/>
      <c r="O324" s="459"/>
      <c r="P324" s="426"/>
      <c r="Q324" s="426"/>
      <c r="R324" s="426"/>
      <c r="S324" s="426"/>
      <c r="T324" s="426"/>
      <c r="U324" s="426"/>
      <c r="V324" s="426"/>
      <c r="Z324" s="478"/>
      <c r="AA324" s="478" t="str">
        <f>IF(AND(F326=G326,H326=I326,F326="A"),"2016 - kwh","")</f>
        <v/>
      </c>
      <c r="AB324" s="478" t="str">
        <f>IF(OR(B324="2017 - kwh",B324="2018 - kwh"),"2016 - kwh","")</f>
        <v/>
      </c>
      <c r="AC324" s="478"/>
      <c r="AD324" s="478"/>
      <c r="AE324" s="478"/>
    </row>
    <row r="325" spans="1:31" hidden="1" x14ac:dyDescent="0.25">
      <c r="A325" s="426" t="str">
        <f>IF(AND(F326=G326,H326=I326,J326=K326,F326="A"),"2016 - kw",IF(AND(F326=G326,H326=I326,J326&lt;&gt;K326,F326="A"),"2017 - kw",IF(AND(F326=G326,H326&lt;&gt;I326,F326="A"),"2018 - kw","N/A")))</f>
        <v>N/A</v>
      </c>
      <c r="B325" s="426" t="str">
        <f>IF(AND(F326="A",G326="A"),"A","")</f>
        <v/>
      </c>
      <c r="C325" s="407"/>
      <c r="D325" s="420" t="str">
        <f>D324 &amp; "kW"</f>
        <v>kW</v>
      </c>
      <c r="E325" s="423" t="s">
        <v>380</v>
      </c>
      <c r="F325" s="459"/>
      <c r="G325" s="459"/>
      <c r="H325" s="459"/>
      <c r="I325" s="459"/>
      <c r="J325" s="459"/>
      <c r="K325" s="459"/>
      <c r="L325" s="459"/>
      <c r="M325" s="459"/>
      <c r="N325" s="459"/>
      <c r="O325" s="459"/>
      <c r="P325" s="426"/>
      <c r="Q325" s="426"/>
      <c r="R325" s="426"/>
      <c r="S325" s="426"/>
      <c r="T325" s="426"/>
      <c r="U325" s="426"/>
      <c r="V325" s="426"/>
      <c r="Z325" s="478"/>
      <c r="AA325" s="478" t="str">
        <f>IF(AND(F326=G326,H326=I326,F326="A"),"2016 - kw","")</f>
        <v/>
      </c>
      <c r="AB325" s="478" t="str">
        <f>IF(OR(B325="2017 - kw",B325="2018 - kw"),"2016 - kw","")</f>
        <v/>
      </c>
      <c r="AC325" s="478"/>
      <c r="AD325" s="478"/>
      <c r="AE325" s="478"/>
    </row>
    <row r="326" spans="1:31" hidden="1" x14ac:dyDescent="0.25">
      <c r="A326" s="426"/>
      <c r="B326" s="426"/>
      <c r="C326" s="410"/>
      <c r="D326" s="376"/>
      <c r="E326" s="422" t="s">
        <v>381</v>
      </c>
      <c r="F326" s="458"/>
      <c r="G326" s="458"/>
      <c r="H326" s="458"/>
      <c r="I326" s="458"/>
      <c r="J326" s="458"/>
      <c r="K326" s="458"/>
      <c r="L326" s="458"/>
      <c r="M326" s="458"/>
      <c r="N326" s="458"/>
      <c r="O326" s="458"/>
      <c r="P326" s="426"/>
      <c r="Q326" s="426"/>
      <c r="R326" s="426"/>
      <c r="S326" s="426"/>
      <c r="T326" s="426"/>
      <c r="U326" s="426"/>
      <c r="V326" s="426"/>
      <c r="Z326" s="478"/>
      <c r="AA326" s="478"/>
      <c r="AB326" s="478"/>
      <c r="AC326" s="478"/>
      <c r="AD326" s="478"/>
      <c r="AE326" s="478"/>
    </row>
    <row r="327" spans="1:31" hidden="1" x14ac:dyDescent="0.25">
      <c r="A327" s="426" t="str">
        <f>IF(AND(F329=G329,H329=I329,J329=K329,F329="A"),"2016 - kwh",IF(AND(F329=G329,H329=I329,J329&lt;&gt;K329,F329="A"),"2017 - kwh",IF(AND(F329=G329,H329&lt;&gt;I329,F329="A"),"2018 - kwh","N/A")))</f>
        <v>N/A</v>
      </c>
      <c r="B327" s="426" t="str">
        <f>IF(AND(F329="A",G329="A"),"A","")</f>
        <v/>
      </c>
      <c r="C327" s="406" t="s">
        <v>480</v>
      </c>
      <c r="D327" s="460"/>
      <c r="E327" s="424" t="s">
        <v>379</v>
      </c>
      <c r="F327" s="459"/>
      <c r="G327" s="459"/>
      <c r="H327" s="459"/>
      <c r="I327" s="459"/>
      <c r="J327" s="459"/>
      <c r="K327" s="459"/>
      <c r="L327" s="459"/>
      <c r="M327" s="459"/>
      <c r="N327" s="459"/>
      <c r="O327" s="459"/>
      <c r="P327" s="426"/>
      <c r="Q327" s="426"/>
      <c r="R327" s="426"/>
      <c r="S327" s="426"/>
      <c r="T327" s="426"/>
      <c r="U327" s="426"/>
      <c r="V327" s="426"/>
      <c r="Z327" s="478"/>
      <c r="AA327" s="478" t="str">
        <f>IF(AND(F329=G329,H329=I329,F329="A"),"2016 - kwh","")</f>
        <v/>
      </c>
      <c r="AB327" s="478" t="str">
        <f>IF(OR(B327="2017 - kwh",B327="2018 - kwh"),"2016 - kwh","")</f>
        <v/>
      </c>
      <c r="AC327" s="478"/>
      <c r="AD327" s="478"/>
      <c r="AE327" s="478"/>
    </row>
    <row r="328" spans="1:31" hidden="1" x14ac:dyDescent="0.25">
      <c r="A328" s="426" t="str">
        <f>IF(AND(F329=G329,H329=I329,J329=K329,F329="A"),"2016 - kw",IF(AND(F329=G329,H329=I329,J329&lt;&gt;K329,F329="A"),"2017 - kw",IF(AND(F329=G329,H329&lt;&gt;I329,F329="A"),"2018 - kw","N/A")))</f>
        <v>N/A</v>
      </c>
      <c r="B328" s="426" t="str">
        <f>IF(AND(F329="A",G329="A"),"A","")</f>
        <v/>
      </c>
      <c r="C328" s="407"/>
      <c r="D328" s="420" t="str">
        <f>D327 &amp; "kW"</f>
        <v>kW</v>
      </c>
      <c r="E328" s="423" t="s">
        <v>380</v>
      </c>
      <c r="F328" s="459"/>
      <c r="G328" s="459"/>
      <c r="H328" s="459"/>
      <c r="I328" s="459"/>
      <c r="J328" s="459"/>
      <c r="K328" s="459"/>
      <c r="L328" s="459"/>
      <c r="M328" s="459"/>
      <c r="N328" s="459"/>
      <c r="O328" s="459"/>
      <c r="P328" s="426"/>
      <c r="Q328" s="426"/>
      <c r="R328" s="426"/>
      <c r="S328" s="426"/>
      <c r="T328" s="426"/>
      <c r="U328" s="426"/>
      <c r="V328" s="426"/>
      <c r="Z328" s="478"/>
      <c r="AA328" s="478" t="str">
        <f>IF(AND(F329=G329,H329=I329,F329="A"),"2016 - kw","")</f>
        <v/>
      </c>
      <c r="AB328" s="478" t="str">
        <f>IF(OR(B328="2017 - kw",B328="2018 - kw"),"2016 - kw","")</f>
        <v/>
      </c>
      <c r="AC328" s="478"/>
      <c r="AD328" s="478"/>
      <c r="AE328" s="478"/>
    </row>
    <row r="329" spans="1:31" hidden="1" x14ac:dyDescent="0.25">
      <c r="A329" s="426"/>
      <c r="B329" s="426"/>
      <c r="C329" s="410"/>
      <c r="D329" s="376"/>
      <c r="E329" s="422" t="s">
        <v>381</v>
      </c>
      <c r="F329" s="458"/>
      <c r="G329" s="458"/>
      <c r="H329" s="458"/>
      <c r="I329" s="458"/>
      <c r="J329" s="458"/>
      <c r="K329" s="458"/>
      <c r="L329" s="458"/>
      <c r="M329" s="458"/>
      <c r="N329" s="458"/>
      <c r="O329" s="458"/>
      <c r="P329" s="426"/>
      <c r="Q329" s="426"/>
      <c r="R329" s="426"/>
      <c r="S329" s="426"/>
      <c r="T329" s="426"/>
      <c r="U329" s="426"/>
      <c r="V329" s="426"/>
      <c r="Z329" s="478"/>
      <c r="AA329" s="478"/>
      <c r="AB329" s="478"/>
      <c r="AC329" s="478"/>
      <c r="AD329" s="478"/>
      <c r="AE329" s="478"/>
    </row>
    <row r="330" spans="1:31" hidden="1" x14ac:dyDescent="0.25">
      <c r="A330" s="426" t="str">
        <f>IF(AND(F332=G332,H332=I332,J332=K332,F332="A"),"2016 - kwh",IF(AND(F332=G332,H332=I332,J332&lt;&gt;K332,F332="A"),"2017 - kwh",IF(AND(F332=G332,H332&lt;&gt;I332,F332="A"),"2018 - kwh","N/A")))</f>
        <v>N/A</v>
      </c>
      <c r="B330" s="426" t="str">
        <f>IF(AND(F332="A",G332="A"),"A","")</f>
        <v/>
      </c>
      <c r="C330" s="406" t="s">
        <v>481</v>
      </c>
      <c r="D330" s="460"/>
      <c r="E330" s="424" t="s">
        <v>379</v>
      </c>
      <c r="F330" s="459"/>
      <c r="G330" s="459"/>
      <c r="H330" s="459"/>
      <c r="I330" s="459"/>
      <c r="J330" s="459"/>
      <c r="K330" s="459"/>
      <c r="L330" s="459"/>
      <c r="M330" s="459"/>
      <c r="N330" s="459"/>
      <c r="O330" s="459"/>
      <c r="P330" s="426"/>
      <c r="Q330" s="426"/>
      <c r="R330" s="426"/>
      <c r="S330" s="426"/>
      <c r="T330" s="426"/>
      <c r="U330" s="426"/>
      <c r="V330" s="426"/>
      <c r="Z330" s="478"/>
      <c r="AA330" s="478" t="str">
        <f>IF(AND(F332=G332,H332=I332,F332="A"),"2016 - kwh","")</f>
        <v/>
      </c>
      <c r="AB330" s="478" t="str">
        <f>IF(OR(B330="2017 - kwh",B330="2018 - kwh"),"2016 - kwh","")</f>
        <v/>
      </c>
      <c r="AC330" s="478"/>
      <c r="AD330" s="478"/>
      <c r="AE330" s="478"/>
    </row>
    <row r="331" spans="1:31" hidden="1" x14ac:dyDescent="0.25">
      <c r="A331" s="426" t="str">
        <f>IF(AND(F332=G332,H332=I332,J332=K332,F332="A"),"2016 - kw",IF(AND(F332=G332,H332=I332,J332&lt;&gt;K332,F332="A"),"2017 - kw",IF(AND(F332=G332,H332&lt;&gt;I332,F332="A"),"2018 - kw","N/A")))</f>
        <v>N/A</v>
      </c>
      <c r="B331" s="426" t="str">
        <f>IF(AND(F332="A",G332="A"),"A","")</f>
        <v/>
      </c>
      <c r="C331" s="407"/>
      <c r="D331" s="420" t="str">
        <f>D330 &amp; "kW"</f>
        <v>kW</v>
      </c>
      <c r="E331" s="423" t="s">
        <v>380</v>
      </c>
      <c r="F331" s="459"/>
      <c r="G331" s="459"/>
      <c r="H331" s="459"/>
      <c r="I331" s="459"/>
      <c r="J331" s="459"/>
      <c r="K331" s="459"/>
      <c r="L331" s="459"/>
      <c r="M331" s="459"/>
      <c r="N331" s="459"/>
      <c r="O331" s="459"/>
      <c r="P331" s="426"/>
      <c r="Q331" s="426"/>
      <c r="R331" s="426"/>
      <c r="S331" s="426"/>
      <c r="T331" s="426"/>
      <c r="U331" s="426"/>
      <c r="V331" s="426"/>
      <c r="Z331" s="478"/>
      <c r="AA331" s="478" t="str">
        <f>IF(AND(F332=G332,H332=I332,F332="A"),"2016 - kw","")</f>
        <v/>
      </c>
      <c r="AB331" s="478" t="str">
        <f>IF(OR(B331="2017 - kw",B331="2018 - kw"),"2016 - kw","")</f>
        <v/>
      </c>
      <c r="AC331" s="478"/>
      <c r="AD331" s="478"/>
      <c r="AE331" s="478"/>
    </row>
    <row r="332" spans="1:31" hidden="1" x14ac:dyDescent="0.25">
      <c r="A332" s="426"/>
      <c r="B332" s="426"/>
      <c r="C332" s="410"/>
      <c r="D332" s="376"/>
      <c r="E332" s="422" t="s">
        <v>381</v>
      </c>
      <c r="F332" s="458"/>
      <c r="G332" s="458"/>
      <c r="H332" s="458"/>
      <c r="I332" s="458"/>
      <c r="J332" s="458"/>
      <c r="K332" s="458"/>
      <c r="L332" s="458"/>
      <c r="M332" s="458"/>
      <c r="N332" s="458"/>
      <c r="O332" s="458"/>
      <c r="P332" s="426"/>
      <c r="Q332" s="426"/>
      <c r="R332" s="426"/>
      <c r="S332" s="426"/>
      <c r="T332" s="426"/>
      <c r="U332" s="426"/>
      <c r="V332" s="426"/>
      <c r="Z332" s="478"/>
      <c r="AA332" s="478"/>
      <c r="AB332" s="478"/>
      <c r="AC332" s="478"/>
      <c r="AD332" s="478"/>
      <c r="AE332" s="478"/>
    </row>
    <row r="333" spans="1:31" hidden="1" x14ac:dyDescent="0.25">
      <c r="A333" s="426" t="str">
        <f>IF(AND(F335=G335,H335=I335,J335=K335,F335="A"),"2016 - kwh",IF(AND(F335=G335,H335=I335,J335&lt;&gt;K335,F335="A"),"2017 - kwh",IF(AND(F335=G335,H335&lt;&gt;I335,F335="A"),"2018 - kwh","N/A")))</f>
        <v>N/A</v>
      </c>
      <c r="B333" s="426" t="str">
        <f>IF(AND(F335="A",G335="A"),"A","")</f>
        <v/>
      </c>
      <c r="C333" s="406" t="s">
        <v>482</v>
      </c>
      <c r="D333" s="460"/>
      <c r="E333" s="424" t="s">
        <v>379</v>
      </c>
      <c r="F333" s="459"/>
      <c r="G333" s="459"/>
      <c r="H333" s="459"/>
      <c r="I333" s="459"/>
      <c r="J333" s="459"/>
      <c r="K333" s="459"/>
      <c r="L333" s="459"/>
      <c r="M333" s="459"/>
      <c r="N333" s="459"/>
      <c r="O333" s="459"/>
      <c r="P333" s="426"/>
      <c r="Q333" s="426"/>
      <c r="R333" s="426"/>
      <c r="S333" s="426"/>
      <c r="T333" s="426"/>
      <c r="U333" s="426"/>
      <c r="V333" s="426"/>
      <c r="Z333" s="478"/>
      <c r="AA333" s="478" t="str">
        <f>IF(AND(F335=G335,H335=I335,F335="A"),"2016 - kwh","")</f>
        <v/>
      </c>
      <c r="AB333" s="478" t="str">
        <f>IF(OR(B333="2017 - kwh",B333="2018 - kwh"),"2016 - kwh","")</f>
        <v/>
      </c>
      <c r="AC333" s="478"/>
      <c r="AD333" s="478"/>
      <c r="AE333" s="478"/>
    </row>
    <row r="334" spans="1:31" hidden="1" x14ac:dyDescent="0.25">
      <c r="A334" s="426" t="str">
        <f>IF(AND(F335=G335,H335=I335,J335=K335,F335="A"),"2016 - kw",IF(AND(F335=G335,H335=I335,J335&lt;&gt;K335,F335="A"),"2017 - kw",IF(AND(F335=G335,H335&lt;&gt;I335,F335="A"),"2018 - kw","N/A")))</f>
        <v>N/A</v>
      </c>
      <c r="B334" s="426" t="str">
        <f>IF(AND(F335="A",G335="A"),"A","")</f>
        <v/>
      </c>
      <c r="C334" s="407"/>
      <c r="D334" s="420" t="str">
        <f>D333 &amp; "kW"</f>
        <v>kW</v>
      </c>
      <c r="E334" s="423" t="s">
        <v>380</v>
      </c>
      <c r="F334" s="459"/>
      <c r="G334" s="459"/>
      <c r="H334" s="459"/>
      <c r="I334" s="459"/>
      <c r="J334" s="459"/>
      <c r="K334" s="459"/>
      <c r="L334" s="459"/>
      <c r="M334" s="459"/>
      <c r="N334" s="459"/>
      <c r="O334" s="459"/>
      <c r="P334" s="426"/>
      <c r="Q334" s="426"/>
      <c r="R334" s="426"/>
      <c r="S334" s="426"/>
      <c r="T334" s="426"/>
      <c r="U334" s="426"/>
      <c r="V334" s="426"/>
      <c r="Z334" s="478"/>
      <c r="AA334" s="478" t="str">
        <f>IF(AND(F335=G335,H335=I335,F335="A"),"2016 - kw","")</f>
        <v/>
      </c>
      <c r="AB334" s="478" t="str">
        <f>IF(OR(B334="2017 - kw",B334="2018 - kw"),"2016 - kw","")</f>
        <v/>
      </c>
      <c r="AC334" s="478"/>
      <c r="AD334" s="478"/>
      <c r="AE334" s="478"/>
    </row>
    <row r="335" spans="1:31" hidden="1" x14ac:dyDescent="0.25">
      <c r="A335" s="426"/>
      <c r="B335" s="426"/>
      <c r="C335" s="410"/>
      <c r="D335" s="376"/>
      <c r="E335" s="422" t="s">
        <v>381</v>
      </c>
      <c r="F335" s="458"/>
      <c r="G335" s="458"/>
      <c r="H335" s="458"/>
      <c r="I335" s="458"/>
      <c r="J335" s="458"/>
      <c r="K335" s="458"/>
      <c r="L335" s="458"/>
      <c r="M335" s="458"/>
      <c r="N335" s="458"/>
      <c r="O335" s="458"/>
      <c r="P335" s="426"/>
      <c r="Q335" s="426"/>
      <c r="R335" s="426"/>
      <c r="S335" s="426"/>
      <c r="T335" s="426"/>
      <c r="U335" s="426"/>
      <c r="V335" s="426"/>
      <c r="Z335" s="478"/>
      <c r="AA335" s="478"/>
      <c r="AB335" s="478"/>
      <c r="AC335" s="478"/>
      <c r="AD335" s="478"/>
      <c r="AE335" s="478"/>
    </row>
    <row r="336" spans="1:31" hidden="1" x14ac:dyDescent="0.25">
      <c r="A336" s="426" t="str">
        <f>IF(AND(F338=G338,H338=I338,J338=K338,F338="A"),"2016 - kwh",IF(AND(F338=G338,H338=I338,J338&lt;&gt;K338,F338="A"),"2017 - kwh",IF(AND(F338=G338,H338&lt;&gt;I338,F338="A"),"2018 - kwh","N/A")))</f>
        <v>N/A</v>
      </c>
      <c r="B336" s="426" t="str">
        <f>IF(AND(F338="A",G338="A"),"A","")</f>
        <v/>
      </c>
      <c r="C336" s="406" t="s">
        <v>483</v>
      </c>
      <c r="D336" s="460"/>
      <c r="E336" s="424" t="s">
        <v>379</v>
      </c>
      <c r="F336" s="459"/>
      <c r="G336" s="459"/>
      <c r="H336" s="459"/>
      <c r="I336" s="459"/>
      <c r="J336" s="459"/>
      <c r="K336" s="459"/>
      <c r="L336" s="459"/>
      <c r="M336" s="459"/>
      <c r="N336" s="459"/>
      <c r="O336" s="459"/>
      <c r="P336" s="426"/>
      <c r="Q336" s="426"/>
      <c r="R336" s="426"/>
      <c r="S336" s="426"/>
      <c r="T336" s="426"/>
      <c r="U336" s="426"/>
      <c r="V336" s="426"/>
      <c r="Z336" s="478"/>
      <c r="AA336" s="478" t="str">
        <f>IF(AND(F338=G338,H338=I338,F338="A"),"2016 - kwh","")</f>
        <v/>
      </c>
      <c r="AB336" s="478" t="str">
        <f>IF(OR(B336="2017 - kwh",B336="2018 - kwh"),"2016 - kwh","")</f>
        <v/>
      </c>
      <c r="AC336" s="478"/>
      <c r="AD336" s="478"/>
      <c r="AE336" s="478"/>
    </row>
    <row r="337" spans="1:31" hidden="1" x14ac:dyDescent="0.25">
      <c r="A337" s="426" t="str">
        <f>IF(AND(F338=G338,H338=I338,J338=K338,F338="A"),"2016 - kw",IF(AND(F338=G338,H338=I338,J338&lt;&gt;K338,F338="A"),"2017 - kw",IF(AND(F338=G338,H338&lt;&gt;I338,F338="A"),"2018 - kw","N/A")))</f>
        <v>N/A</v>
      </c>
      <c r="B337" s="426" t="str">
        <f>IF(AND(F338="A",G338="A"),"A","")</f>
        <v/>
      </c>
      <c r="C337" s="407"/>
      <c r="D337" s="420" t="str">
        <f>D336 &amp; "kW"</f>
        <v>kW</v>
      </c>
      <c r="E337" s="423" t="s">
        <v>380</v>
      </c>
      <c r="F337" s="459"/>
      <c r="G337" s="459"/>
      <c r="H337" s="459"/>
      <c r="I337" s="459"/>
      <c r="J337" s="459"/>
      <c r="K337" s="459"/>
      <c r="L337" s="459"/>
      <c r="M337" s="459"/>
      <c r="N337" s="459"/>
      <c r="O337" s="459"/>
      <c r="P337" s="426"/>
      <c r="Q337" s="426"/>
      <c r="R337" s="426"/>
      <c r="S337" s="426"/>
      <c r="T337" s="426"/>
      <c r="U337" s="426"/>
      <c r="V337" s="426"/>
      <c r="Z337" s="478"/>
      <c r="AA337" s="478" t="str">
        <f>IF(AND(F338=G338,H338=I338,F338="A"),"2016 - kw","")</f>
        <v/>
      </c>
      <c r="AB337" s="478" t="str">
        <f>IF(OR(B337="2017 - kw",B337="2018 - kw"),"2016 - kw","")</f>
        <v/>
      </c>
      <c r="AC337" s="478"/>
      <c r="AD337" s="478"/>
      <c r="AE337" s="478"/>
    </row>
    <row r="338" spans="1:31" hidden="1" x14ac:dyDescent="0.25">
      <c r="A338" s="426"/>
      <c r="B338" s="426"/>
      <c r="C338" s="410"/>
      <c r="D338" s="376"/>
      <c r="E338" s="422" t="s">
        <v>381</v>
      </c>
      <c r="F338" s="458"/>
      <c r="G338" s="458"/>
      <c r="H338" s="458"/>
      <c r="I338" s="458"/>
      <c r="J338" s="458"/>
      <c r="K338" s="458"/>
      <c r="L338" s="458"/>
      <c r="M338" s="458"/>
      <c r="N338" s="458"/>
      <c r="O338" s="458"/>
      <c r="P338" s="426"/>
      <c r="Q338" s="426"/>
      <c r="R338" s="426"/>
      <c r="S338" s="426"/>
      <c r="T338" s="426"/>
      <c r="U338" s="426"/>
      <c r="V338" s="426"/>
      <c r="Z338" s="478"/>
      <c r="AA338" s="478"/>
      <c r="AB338" s="478"/>
      <c r="AC338" s="478"/>
      <c r="AD338" s="478"/>
      <c r="AE338" s="478"/>
    </row>
    <row r="339" spans="1:31" hidden="1" x14ac:dyDescent="0.25">
      <c r="A339" s="426" t="str">
        <f>IF(AND(F341=G341,H341=I341,J341=K341,F341="A"),"2016 - kwh",IF(AND(F341=G341,H341=I341,J341&lt;&gt;K341,F341="A"),"2017 - kwh",IF(AND(F341=G341,H341&lt;&gt;I341,F341="A"),"2018 - kwh","N/A")))</f>
        <v>N/A</v>
      </c>
      <c r="B339" s="426" t="str">
        <f>IF(AND(F341="A",G341="A"),"A","")</f>
        <v/>
      </c>
      <c r="C339" s="406" t="s">
        <v>484</v>
      </c>
      <c r="D339" s="460"/>
      <c r="E339" s="424" t="s">
        <v>379</v>
      </c>
      <c r="F339" s="459"/>
      <c r="G339" s="459"/>
      <c r="H339" s="459"/>
      <c r="I339" s="459"/>
      <c r="J339" s="459"/>
      <c r="K339" s="459"/>
      <c r="L339" s="459"/>
      <c r="M339" s="459"/>
      <c r="N339" s="459"/>
      <c r="O339" s="459"/>
      <c r="P339" s="426"/>
      <c r="Q339" s="426"/>
      <c r="R339" s="426"/>
      <c r="S339" s="426"/>
      <c r="T339" s="426"/>
      <c r="U339" s="426"/>
      <c r="V339" s="426"/>
      <c r="Z339" s="478"/>
      <c r="AA339" s="478" t="str">
        <f>IF(AND(F341=G341,H341=I341,F341="A"),"2016 - kwh","")</f>
        <v/>
      </c>
      <c r="AB339" s="478" t="str">
        <f>IF(OR(B339="2017 - kwh",B339="2018 - kwh"),"2016 - kwh","")</f>
        <v/>
      </c>
      <c r="AC339" s="478"/>
      <c r="AD339" s="478"/>
      <c r="AE339" s="478"/>
    </row>
    <row r="340" spans="1:31" hidden="1" x14ac:dyDescent="0.25">
      <c r="A340" s="426" t="str">
        <f>IF(AND(F341=G341,H341=I341,J341=K341,F341="A"),"2016 - kw",IF(AND(F341=G341,H341=I341,J341&lt;&gt;K341,F341="A"),"2017 - kw",IF(AND(F341=G341,H341&lt;&gt;I341,F341="A"),"2018 - kw","N/A")))</f>
        <v>N/A</v>
      </c>
      <c r="B340" s="426" t="str">
        <f>IF(AND(F341="A",G341="A"),"A","")</f>
        <v/>
      </c>
      <c r="C340" s="407"/>
      <c r="D340" s="420" t="str">
        <f>D339 &amp; "kW"</f>
        <v>kW</v>
      </c>
      <c r="E340" s="423" t="s">
        <v>380</v>
      </c>
      <c r="F340" s="459"/>
      <c r="G340" s="459"/>
      <c r="H340" s="459"/>
      <c r="I340" s="459"/>
      <c r="J340" s="459"/>
      <c r="K340" s="459"/>
      <c r="L340" s="459"/>
      <c r="M340" s="459"/>
      <c r="N340" s="459"/>
      <c r="O340" s="459"/>
      <c r="P340" s="426"/>
      <c r="Q340" s="426"/>
      <c r="R340" s="426"/>
      <c r="S340" s="426"/>
      <c r="T340" s="426"/>
      <c r="U340" s="426"/>
      <c r="V340" s="426"/>
      <c r="Z340" s="478"/>
      <c r="AA340" s="478" t="str">
        <f>IF(AND(F341=G341,H341=I341,F341="A"),"2016 - kw","")</f>
        <v/>
      </c>
      <c r="AB340" s="478" t="str">
        <f>IF(OR(B340="2017 - kw",B340="2018 - kw"),"2016 - kw","")</f>
        <v/>
      </c>
      <c r="AC340" s="478"/>
      <c r="AD340" s="478"/>
      <c r="AE340" s="478"/>
    </row>
    <row r="341" spans="1:31" hidden="1" x14ac:dyDescent="0.25">
      <c r="A341" s="426"/>
      <c r="B341" s="426"/>
      <c r="C341" s="410"/>
      <c r="D341" s="376"/>
      <c r="E341" s="422" t="s">
        <v>381</v>
      </c>
      <c r="F341" s="458"/>
      <c r="G341" s="458"/>
      <c r="H341" s="458"/>
      <c r="I341" s="458"/>
      <c r="J341" s="458"/>
      <c r="K341" s="458"/>
      <c r="L341" s="458"/>
      <c r="M341" s="458"/>
      <c r="N341" s="458"/>
      <c r="O341" s="458"/>
      <c r="P341" s="426"/>
      <c r="Q341" s="426"/>
      <c r="R341" s="426"/>
      <c r="S341" s="426"/>
      <c r="T341" s="426"/>
      <c r="U341" s="426"/>
      <c r="V341" s="426"/>
      <c r="Z341" s="478"/>
      <c r="AA341" s="478"/>
      <c r="AB341" s="478"/>
      <c r="AC341" s="478"/>
      <c r="AD341" s="478"/>
      <c r="AE341" s="478"/>
    </row>
    <row r="342" spans="1:31" hidden="1" x14ac:dyDescent="0.25">
      <c r="A342" s="426" t="str">
        <f>IF(AND(F344=G344,H344=I344,J344=K344,F344="A"),"2016 - kwh",IF(AND(F344=G344,H344=I344,J344&lt;&gt;K344,F344="A"),"2017 - kwh",IF(AND(F344=G344,H344&lt;&gt;I344,F344="A"),"2018 - kwh","N/A")))</f>
        <v>N/A</v>
      </c>
      <c r="B342" s="426" t="str">
        <f>IF(AND(F344="A",G344="A"),"A","")</f>
        <v/>
      </c>
      <c r="C342" s="406" t="s">
        <v>485</v>
      </c>
      <c r="D342" s="460"/>
      <c r="E342" s="424" t="s">
        <v>379</v>
      </c>
      <c r="F342" s="459"/>
      <c r="G342" s="459"/>
      <c r="H342" s="459"/>
      <c r="I342" s="459"/>
      <c r="J342" s="459"/>
      <c r="K342" s="459"/>
      <c r="L342" s="459"/>
      <c r="M342" s="459"/>
      <c r="N342" s="459"/>
      <c r="O342" s="459"/>
      <c r="P342" s="426"/>
      <c r="Q342" s="426"/>
      <c r="R342" s="426"/>
      <c r="S342" s="426"/>
      <c r="T342" s="426"/>
      <c r="U342" s="426"/>
      <c r="V342" s="426"/>
      <c r="Z342" s="478"/>
      <c r="AA342" s="478" t="str">
        <f>IF(AND(F344=G344,H344=I344,F344="A"),"2016 - kwh","")</f>
        <v/>
      </c>
      <c r="AB342" s="478" t="str">
        <f>IF(OR(B342="2017 - kwh",B342="2018 - kwh"),"2016 - kwh","")</f>
        <v/>
      </c>
      <c r="AC342" s="478"/>
      <c r="AD342" s="478"/>
      <c r="AE342" s="478"/>
    </row>
    <row r="343" spans="1:31" hidden="1" x14ac:dyDescent="0.25">
      <c r="A343" s="426" t="str">
        <f>IF(AND(F344=G344,H344=I344,J344=K344,F344="A"),"2016 - kw",IF(AND(F344=G344,H344=I344,J344&lt;&gt;K344,F344="A"),"2017 - kw",IF(AND(F344=G344,H344&lt;&gt;I344,F344="A"),"2018 - kw","N/A")))</f>
        <v>N/A</v>
      </c>
      <c r="B343" s="426" t="str">
        <f>IF(AND(F344="A",G344="A"),"A","")</f>
        <v/>
      </c>
      <c r="C343" s="407"/>
      <c r="D343" s="420" t="str">
        <f>D342 &amp; "kW"</f>
        <v>kW</v>
      </c>
      <c r="E343" s="423" t="s">
        <v>380</v>
      </c>
      <c r="F343" s="459"/>
      <c r="G343" s="459"/>
      <c r="H343" s="459"/>
      <c r="I343" s="459"/>
      <c r="J343" s="459"/>
      <c r="K343" s="459"/>
      <c r="L343" s="459"/>
      <c r="M343" s="459"/>
      <c r="N343" s="459"/>
      <c r="O343" s="459"/>
      <c r="P343" s="426"/>
      <c r="Q343" s="426"/>
      <c r="R343" s="426"/>
      <c r="S343" s="426"/>
      <c r="T343" s="426"/>
      <c r="U343" s="426"/>
      <c r="V343" s="426"/>
      <c r="Z343" s="478"/>
      <c r="AA343" s="478" t="str">
        <f>IF(AND(F344=G344,H344=I344,F344="A"),"2016 - kw","")</f>
        <v/>
      </c>
      <c r="AB343" s="478" t="str">
        <f>IF(OR(B343="2017 - kw",B343="2018 - kw"),"2016 - kw","")</f>
        <v/>
      </c>
      <c r="AC343" s="478"/>
      <c r="AD343" s="478"/>
      <c r="AE343" s="478"/>
    </row>
    <row r="344" spans="1:31" hidden="1" x14ac:dyDescent="0.25">
      <c r="A344" s="426"/>
      <c r="B344" s="426"/>
      <c r="C344" s="410"/>
      <c r="D344" s="376"/>
      <c r="E344" s="422" t="s">
        <v>381</v>
      </c>
      <c r="F344" s="458"/>
      <c r="G344" s="458"/>
      <c r="H344" s="458"/>
      <c r="I344" s="458"/>
      <c r="J344" s="458"/>
      <c r="K344" s="458"/>
      <c r="L344" s="458"/>
      <c r="M344" s="458"/>
      <c r="N344" s="458"/>
      <c r="O344" s="458"/>
      <c r="P344" s="426"/>
      <c r="Q344" s="426"/>
      <c r="R344" s="426"/>
      <c r="S344" s="426"/>
      <c r="T344" s="426"/>
      <c r="U344" s="426"/>
      <c r="V344" s="426"/>
      <c r="Z344" s="478"/>
      <c r="AA344" s="478"/>
      <c r="AB344" s="478"/>
      <c r="AC344" s="478"/>
      <c r="AD344" s="478"/>
      <c r="AE344" s="478"/>
    </row>
    <row r="345" spans="1:31" hidden="1" x14ac:dyDescent="0.25">
      <c r="A345" s="426" t="str">
        <f>IF(AND(F347=G347,H347=I347,J347=K347,F347="A"),"2016 - kwh",IF(AND(F347=G347,H347=I347,J347&lt;&gt;K347,F347="A"),"2017 - kwh",IF(AND(F347=G347,H347&lt;&gt;I347,F347="A"),"2018 - kwh","N/A")))</f>
        <v>N/A</v>
      </c>
      <c r="B345" s="426" t="str">
        <f>IF(AND(F347="A",G347="A"),"A","")</f>
        <v/>
      </c>
      <c r="C345" s="406" t="s">
        <v>486</v>
      </c>
      <c r="D345" s="460"/>
      <c r="E345" s="424" t="s">
        <v>379</v>
      </c>
      <c r="F345" s="459"/>
      <c r="G345" s="459"/>
      <c r="H345" s="459"/>
      <c r="I345" s="459"/>
      <c r="J345" s="459"/>
      <c r="K345" s="459"/>
      <c r="L345" s="459"/>
      <c r="M345" s="459"/>
      <c r="N345" s="459"/>
      <c r="O345" s="459"/>
      <c r="P345" s="426"/>
      <c r="Q345" s="426"/>
      <c r="R345" s="426"/>
      <c r="S345" s="426"/>
      <c r="T345" s="426"/>
      <c r="U345" s="426"/>
      <c r="V345" s="426"/>
      <c r="Z345" s="478"/>
      <c r="AA345" s="478" t="str">
        <f>IF(AND(F347=G347,H347=I347,F347="A"),"2016 - kwh","")</f>
        <v/>
      </c>
      <c r="AB345" s="478" t="str">
        <f>IF(OR(B345="2017 - kwh",B345="2018 - kwh"),"2016 - kwh","")</f>
        <v/>
      </c>
      <c r="AC345" s="478"/>
      <c r="AD345" s="478"/>
      <c r="AE345" s="478"/>
    </row>
    <row r="346" spans="1:31" hidden="1" x14ac:dyDescent="0.25">
      <c r="A346" s="426" t="str">
        <f>IF(AND(F347=G347,H347=I347,J347=K347,F347="A"),"2016 - kw",IF(AND(F347=G347,H347=I347,J347&lt;&gt;K347,F347="A"),"2017 - kw",IF(AND(F347=G347,H347&lt;&gt;I347,F347="A"),"2018 - kw","N/A")))</f>
        <v>N/A</v>
      </c>
      <c r="B346" s="426" t="str">
        <f>IF(AND(F347="A",G347="A"),"A","")</f>
        <v/>
      </c>
      <c r="C346" s="407"/>
      <c r="D346" s="420" t="str">
        <f>D345 &amp; "kW"</f>
        <v>kW</v>
      </c>
      <c r="E346" s="423" t="s">
        <v>380</v>
      </c>
      <c r="F346" s="459"/>
      <c r="G346" s="459"/>
      <c r="H346" s="459"/>
      <c r="I346" s="459"/>
      <c r="J346" s="459"/>
      <c r="K346" s="459"/>
      <c r="L346" s="459"/>
      <c r="M346" s="459"/>
      <c r="N346" s="459"/>
      <c r="O346" s="459"/>
      <c r="P346" s="426"/>
      <c r="Q346" s="426"/>
      <c r="R346" s="426"/>
      <c r="S346" s="426"/>
      <c r="T346" s="426"/>
      <c r="U346" s="426"/>
      <c r="V346" s="426"/>
      <c r="Z346" s="478"/>
      <c r="AA346" s="478" t="str">
        <f>IF(AND(F347=G347,H347=I347,F347="A"),"2016 - kw","")</f>
        <v/>
      </c>
      <c r="AB346" s="478" t="str">
        <f>IF(OR(B346="2017 - kw",B346="2018 - kw"),"2016 - kw","")</f>
        <v/>
      </c>
      <c r="AC346" s="478"/>
      <c r="AD346" s="478"/>
      <c r="AE346" s="478"/>
    </row>
    <row r="347" spans="1:31" hidden="1" x14ac:dyDescent="0.25">
      <c r="A347" s="426"/>
      <c r="B347" s="426"/>
      <c r="C347" s="410"/>
      <c r="D347" s="376"/>
      <c r="E347" s="422" t="s">
        <v>381</v>
      </c>
      <c r="F347" s="458"/>
      <c r="G347" s="458"/>
      <c r="H347" s="458"/>
      <c r="I347" s="458"/>
      <c r="J347" s="458"/>
      <c r="K347" s="458"/>
      <c r="L347" s="458"/>
      <c r="M347" s="458"/>
      <c r="N347" s="458"/>
      <c r="O347" s="458"/>
      <c r="P347" s="426"/>
      <c r="Q347" s="426"/>
      <c r="R347" s="426"/>
      <c r="S347" s="426"/>
      <c r="T347" s="426"/>
      <c r="U347" s="426"/>
      <c r="V347" s="426"/>
      <c r="Z347" s="478"/>
      <c r="AA347" s="478"/>
      <c r="AB347" s="478"/>
      <c r="AC347" s="478"/>
      <c r="AD347" s="478"/>
      <c r="AE347" s="478"/>
    </row>
    <row r="348" spans="1:31" hidden="1" x14ac:dyDescent="0.25">
      <c r="A348" s="426" t="str">
        <f>IF(AND(F350=G350,H350=I350,J350=K350,F350="A"),"2016 - kwh",IF(AND(F350=G350,H350=I350,J350&lt;&gt;K350,F350="A"),"2017 - kwh",IF(AND(F350=G350,H350&lt;&gt;I350,F350="A"),"2018 - kwh","N/A")))</f>
        <v>N/A</v>
      </c>
      <c r="B348" s="426" t="str">
        <f>IF(AND(F350="A",G350="A"),"A","")</f>
        <v/>
      </c>
      <c r="C348" s="406" t="s">
        <v>487</v>
      </c>
      <c r="D348" s="460"/>
      <c r="E348" s="424" t="s">
        <v>379</v>
      </c>
      <c r="F348" s="459"/>
      <c r="G348" s="459"/>
      <c r="H348" s="459"/>
      <c r="I348" s="459"/>
      <c r="J348" s="459"/>
      <c r="K348" s="459"/>
      <c r="L348" s="459"/>
      <c r="M348" s="459"/>
      <c r="N348" s="459"/>
      <c r="O348" s="459"/>
      <c r="P348" s="426"/>
      <c r="Q348" s="426"/>
      <c r="R348" s="426"/>
      <c r="S348" s="426"/>
      <c r="T348" s="426"/>
      <c r="U348" s="426"/>
      <c r="V348" s="426"/>
      <c r="Z348" s="478"/>
      <c r="AA348" s="478" t="str">
        <f>IF(AND(F350=G350,H350=I350,F350="A"),"2016 - kwh","")</f>
        <v/>
      </c>
      <c r="AB348" s="478" t="str">
        <f>IF(OR(B348="2017 - kwh",B348="2018 - kwh"),"2016 - kwh","")</f>
        <v/>
      </c>
      <c r="AC348" s="478"/>
      <c r="AD348" s="478"/>
      <c r="AE348" s="478"/>
    </row>
    <row r="349" spans="1:31" hidden="1" x14ac:dyDescent="0.25">
      <c r="A349" s="426" t="str">
        <f>IF(AND(F350=G350,H350=I350,J350=K350,F350="A"),"2016 - kw",IF(AND(F350=G350,H350=I350,J350&lt;&gt;K350,F350="A"),"2017 - kw",IF(AND(F350=G350,H350&lt;&gt;I350,F350="A"),"2018 - kw","N/A")))</f>
        <v>N/A</v>
      </c>
      <c r="B349" s="426" t="str">
        <f>IF(AND(F350="A",G350="A"),"A","")</f>
        <v/>
      </c>
      <c r="C349" s="407"/>
      <c r="D349" s="420" t="str">
        <f>D348 &amp; "kW"</f>
        <v>kW</v>
      </c>
      <c r="E349" s="423" t="s">
        <v>380</v>
      </c>
      <c r="F349" s="459"/>
      <c r="G349" s="459"/>
      <c r="H349" s="459"/>
      <c r="I349" s="459"/>
      <c r="J349" s="459"/>
      <c r="K349" s="459"/>
      <c r="L349" s="459"/>
      <c r="M349" s="459"/>
      <c r="N349" s="459"/>
      <c r="O349" s="459"/>
      <c r="P349" s="426"/>
      <c r="Q349" s="426"/>
      <c r="R349" s="426"/>
      <c r="S349" s="426"/>
      <c r="T349" s="426"/>
      <c r="U349" s="426"/>
      <c r="V349" s="426"/>
      <c r="Z349" s="478"/>
      <c r="AA349" s="478" t="str">
        <f>IF(AND(F350=G350,H350=I350,F350="A"),"2016 - kw","")</f>
        <v/>
      </c>
      <c r="AB349" s="478" t="str">
        <f>IF(OR(B349="2017 - kw",B349="2018 - kw"),"2016 - kw","")</f>
        <v/>
      </c>
      <c r="AC349" s="478"/>
      <c r="AD349" s="478"/>
      <c r="AE349" s="478"/>
    </row>
    <row r="350" spans="1:31" hidden="1" x14ac:dyDescent="0.25">
      <c r="A350" s="426"/>
      <c r="B350" s="426"/>
      <c r="C350" s="410"/>
      <c r="D350" s="376"/>
      <c r="E350" s="422" t="s">
        <v>381</v>
      </c>
      <c r="F350" s="458"/>
      <c r="G350" s="458"/>
      <c r="H350" s="458"/>
      <c r="I350" s="458"/>
      <c r="J350" s="458"/>
      <c r="K350" s="458"/>
      <c r="L350" s="458"/>
      <c r="M350" s="458"/>
      <c r="N350" s="458"/>
      <c r="O350" s="458"/>
      <c r="P350" s="426"/>
      <c r="Q350" s="426"/>
      <c r="R350" s="426"/>
      <c r="S350" s="426"/>
      <c r="T350" s="426"/>
      <c r="U350" s="426"/>
      <c r="V350" s="426"/>
      <c r="Z350" s="478"/>
      <c r="AA350" s="478"/>
      <c r="AB350" s="478"/>
      <c r="AC350" s="478"/>
      <c r="AD350" s="478"/>
      <c r="AE350" s="478"/>
    </row>
    <row r="351" spans="1:31" hidden="1" x14ac:dyDescent="0.25">
      <c r="A351" s="426" t="str">
        <f>IF(AND(F353=G353,H353=I353,J353=K353,F353="A"),"2016 - kwh",IF(AND(F353=G353,H353=I353,J353&lt;&gt;K353,F353="A"),"2017 - kwh",IF(AND(F353=G353,H353&lt;&gt;I353,F353="A"),"2018 - kwh","N/A")))</f>
        <v>N/A</v>
      </c>
      <c r="B351" s="426" t="str">
        <f>IF(AND(F353="A",G353="A"),"A","")</f>
        <v/>
      </c>
      <c r="C351" s="406" t="s">
        <v>488</v>
      </c>
      <c r="D351" s="460"/>
      <c r="E351" s="424" t="s">
        <v>379</v>
      </c>
      <c r="F351" s="459"/>
      <c r="G351" s="459"/>
      <c r="H351" s="459"/>
      <c r="I351" s="459"/>
      <c r="J351" s="459"/>
      <c r="K351" s="459"/>
      <c r="L351" s="459"/>
      <c r="M351" s="459"/>
      <c r="N351" s="459"/>
      <c r="O351" s="459"/>
      <c r="P351" s="426"/>
      <c r="Q351" s="426"/>
      <c r="R351" s="426"/>
      <c r="S351" s="426"/>
      <c r="T351" s="426"/>
      <c r="U351" s="426"/>
      <c r="V351" s="426"/>
      <c r="Z351" s="478"/>
      <c r="AA351" s="478" t="str">
        <f>IF(AND(F353=G353,H353=I353,F353="A"),"2016 - kwh","")</f>
        <v/>
      </c>
      <c r="AB351" s="478" t="str">
        <f>IF(OR(B351="2017 - kwh",B351="2018 - kwh"),"2016 - kwh","")</f>
        <v/>
      </c>
      <c r="AC351" s="478"/>
      <c r="AD351" s="478"/>
      <c r="AE351" s="478"/>
    </row>
    <row r="352" spans="1:31" hidden="1" x14ac:dyDescent="0.25">
      <c r="A352" s="426" t="str">
        <f>IF(AND(F353=G353,H353=I353,J353=K353,F353="A"),"2016 - kw",IF(AND(F353=G353,H353=I353,J353&lt;&gt;K353,F353="A"),"2017 - kw",IF(AND(F353=G353,H353&lt;&gt;I353,F353="A"),"2018 - kw","N/A")))</f>
        <v>N/A</v>
      </c>
      <c r="B352" s="426" t="str">
        <f>IF(AND(F353="A",G353="A"),"A","")</f>
        <v/>
      </c>
      <c r="C352" s="407"/>
      <c r="D352" s="420" t="str">
        <f>D351 &amp; "kW"</f>
        <v>kW</v>
      </c>
      <c r="E352" s="423" t="s">
        <v>380</v>
      </c>
      <c r="F352" s="459"/>
      <c r="G352" s="459"/>
      <c r="H352" s="459"/>
      <c r="I352" s="459"/>
      <c r="J352" s="459"/>
      <c r="K352" s="459"/>
      <c r="L352" s="459"/>
      <c r="M352" s="459"/>
      <c r="N352" s="459"/>
      <c r="O352" s="459"/>
      <c r="P352" s="426"/>
      <c r="Q352" s="426"/>
      <c r="R352" s="426"/>
      <c r="S352" s="426"/>
      <c r="T352" s="426"/>
      <c r="U352" s="426"/>
      <c r="V352" s="426"/>
      <c r="Z352" s="478"/>
      <c r="AA352" s="478" t="str">
        <f>IF(AND(F353=G353,H353=I353,F353="A"),"2016 - kw","")</f>
        <v/>
      </c>
      <c r="AB352" s="478" t="str">
        <f>IF(OR(B352="2017 - kw",B352="2018 - kw"),"2016 - kw","")</f>
        <v/>
      </c>
      <c r="AC352" s="478"/>
      <c r="AD352" s="478"/>
      <c r="AE352" s="478"/>
    </row>
    <row r="353" spans="1:31" hidden="1" x14ac:dyDescent="0.25">
      <c r="A353" s="426"/>
      <c r="B353" s="426"/>
      <c r="C353" s="410"/>
      <c r="D353" s="376"/>
      <c r="E353" s="422" t="s">
        <v>381</v>
      </c>
      <c r="F353" s="458"/>
      <c r="G353" s="458"/>
      <c r="H353" s="458"/>
      <c r="I353" s="458"/>
      <c r="J353" s="458"/>
      <c r="K353" s="458"/>
      <c r="L353" s="458"/>
      <c r="M353" s="458"/>
      <c r="N353" s="458"/>
      <c r="O353" s="458"/>
      <c r="P353" s="426"/>
      <c r="Q353" s="426"/>
      <c r="R353" s="426"/>
      <c r="S353" s="426"/>
      <c r="T353" s="426"/>
      <c r="U353" s="426"/>
      <c r="V353" s="426"/>
      <c r="Z353" s="478"/>
      <c r="AA353" s="478"/>
      <c r="AB353" s="478"/>
      <c r="AC353" s="478"/>
      <c r="AD353" s="478"/>
      <c r="AE353" s="478"/>
    </row>
    <row r="354" spans="1:31" hidden="1" x14ac:dyDescent="0.25">
      <c r="A354" s="426" t="str">
        <f>IF(AND(F356=G356,H356=I356,J356=K356,F356="A"),"2016 - kwh",IF(AND(F356=G356,H356=I356,J356&lt;&gt;K356,F356="A"),"2017 - kwh",IF(AND(F356=G356,H356&lt;&gt;I356,F356="A"),"2018 - kwh","N/A")))</f>
        <v>N/A</v>
      </c>
      <c r="B354" s="426" t="str">
        <f>IF(AND(F356="A",G356="A"),"A","")</f>
        <v/>
      </c>
      <c r="C354" s="406" t="s">
        <v>489</v>
      </c>
      <c r="D354" s="460"/>
      <c r="E354" s="424" t="s">
        <v>379</v>
      </c>
      <c r="F354" s="459"/>
      <c r="G354" s="459"/>
      <c r="H354" s="459"/>
      <c r="I354" s="459"/>
      <c r="J354" s="459"/>
      <c r="K354" s="459"/>
      <c r="L354" s="459"/>
      <c r="M354" s="459"/>
      <c r="N354" s="459"/>
      <c r="O354" s="459"/>
      <c r="P354" s="426"/>
      <c r="Q354" s="426"/>
      <c r="R354" s="426"/>
      <c r="S354" s="426"/>
      <c r="T354" s="426"/>
      <c r="U354" s="426"/>
      <c r="V354" s="426"/>
      <c r="Z354" s="478"/>
      <c r="AA354" s="478" t="str">
        <f>IF(AND(F356=G356,H356=I356,F356="A"),"2016 - kwh","")</f>
        <v/>
      </c>
      <c r="AB354" s="478" t="str">
        <f>IF(OR(B354="2017 - kwh",B354="2018 - kwh"),"2016 - kwh","")</f>
        <v/>
      </c>
      <c r="AC354" s="478"/>
      <c r="AD354" s="478"/>
      <c r="AE354" s="478"/>
    </row>
    <row r="355" spans="1:31" hidden="1" x14ac:dyDescent="0.25">
      <c r="A355" s="426" t="str">
        <f>IF(AND(F356=G356,H356=I356,J356=K356,F356="A"),"2016 - kw",IF(AND(F356=G356,H356=I356,J356&lt;&gt;K356,F356="A"),"2017 - kw",IF(AND(F356=G356,H356&lt;&gt;I356,F356="A"),"2018 - kw","N/A")))</f>
        <v>N/A</v>
      </c>
      <c r="B355" s="426" t="str">
        <f>IF(AND(F356="A",G356="A"),"A","")</f>
        <v/>
      </c>
      <c r="C355" s="407"/>
      <c r="D355" s="420" t="str">
        <f>D354 &amp; "kW"</f>
        <v>kW</v>
      </c>
      <c r="E355" s="423" t="s">
        <v>380</v>
      </c>
      <c r="F355" s="459"/>
      <c r="G355" s="459"/>
      <c r="H355" s="459"/>
      <c r="I355" s="459"/>
      <c r="J355" s="459"/>
      <c r="K355" s="459"/>
      <c r="L355" s="459"/>
      <c r="M355" s="459"/>
      <c r="N355" s="459"/>
      <c r="O355" s="459"/>
      <c r="P355" s="426"/>
      <c r="Q355" s="426"/>
      <c r="R355" s="426"/>
      <c r="S355" s="426"/>
      <c r="T355" s="426"/>
      <c r="U355" s="426"/>
      <c r="V355" s="426"/>
      <c r="Z355" s="478"/>
      <c r="AA355" s="478" t="str">
        <f>IF(AND(F356=G356,H356=I356,F356="A"),"2016 - kw","")</f>
        <v/>
      </c>
      <c r="AB355" s="478" t="str">
        <f>IF(OR(B355="2017 - kw",B355="2018 - kw"),"2016 - kw","")</f>
        <v/>
      </c>
      <c r="AC355" s="478"/>
      <c r="AD355" s="478"/>
      <c r="AE355" s="478"/>
    </row>
    <row r="356" spans="1:31" hidden="1" x14ac:dyDescent="0.25">
      <c r="A356" s="426"/>
      <c r="B356" s="426"/>
      <c r="C356" s="410"/>
      <c r="D356" s="376"/>
      <c r="E356" s="422" t="s">
        <v>381</v>
      </c>
      <c r="F356" s="458"/>
      <c r="G356" s="458"/>
      <c r="H356" s="458"/>
      <c r="I356" s="458"/>
      <c r="J356" s="458"/>
      <c r="K356" s="458"/>
      <c r="L356" s="458"/>
      <c r="M356" s="458"/>
      <c r="N356" s="458"/>
      <c r="O356" s="458"/>
      <c r="P356" s="426"/>
      <c r="Q356" s="426"/>
      <c r="R356" s="426"/>
      <c r="S356" s="426"/>
      <c r="T356" s="426"/>
      <c r="U356" s="426"/>
      <c r="V356" s="426"/>
      <c r="Z356" s="478"/>
      <c r="AA356" s="478"/>
      <c r="AB356" s="478"/>
      <c r="AC356" s="478"/>
      <c r="AD356" s="478"/>
      <c r="AE356" s="478"/>
    </row>
    <row r="357" spans="1:31" hidden="1" x14ac:dyDescent="0.25">
      <c r="A357" s="426" t="str">
        <f>IF(AND(F359=G359,H359=I359,J359=K359,F359="A"),"2016 - kwh",IF(AND(F359=G359,H359=I359,J359&lt;&gt;K359,F359="A"),"2017 - kwh",IF(AND(F359=G359,H359&lt;&gt;I359,F359="A"),"2018 - kwh","N/A")))</f>
        <v>N/A</v>
      </c>
      <c r="B357" s="426" t="str">
        <f>IF(AND(F359="A",G359="A"),"A","")</f>
        <v/>
      </c>
      <c r="C357" s="406" t="s">
        <v>490</v>
      </c>
      <c r="D357" s="460"/>
      <c r="E357" s="424" t="s">
        <v>379</v>
      </c>
      <c r="F357" s="459"/>
      <c r="G357" s="459"/>
      <c r="H357" s="459"/>
      <c r="I357" s="459"/>
      <c r="J357" s="459"/>
      <c r="K357" s="459"/>
      <c r="L357" s="459"/>
      <c r="M357" s="459"/>
      <c r="N357" s="459"/>
      <c r="O357" s="459"/>
      <c r="P357" s="426"/>
      <c r="Q357" s="426"/>
      <c r="R357" s="426"/>
      <c r="S357" s="426"/>
      <c r="T357" s="426"/>
      <c r="U357" s="426"/>
      <c r="V357" s="426"/>
      <c r="Z357" s="478"/>
      <c r="AA357" s="478" t="str">
        <f>IF(AND(F359=G359,H359=I359,F359="A"),"2016 - kwh","")</f>
        <v/>
      </c>
      <c r="AB357" s="478" t="str">
        <f>IF(OR(B357="2017 - kwh",B357="2018 - kwh"),"2016 - kwh","")</f>
        <v/>
      </c>
      <c r="AC357" s="478"/>
      <c r="AD357" s="478"/>
      <c r="AE357" s="478"/>
    </row>
    <row r="358" spans="1:31" hidden="1" x14ac:dyDescent="0.25">
      <c r="A358" s="426" t="str">
        <f>IF(AND(F359=G359,H359=I359,J359=K359,F359="A"),"2016 - kw",IF(AND(F359=G359,H359=I359,J359&lt;&gt;K359,F359="A"),"2017 - kw",IF(AND(F359=G359,H359&lt;&gt;I359,F359="A"),"2018 - kw","N/A")))</f>
        <v>N/A</v>
      </c>
      <c r="B358" s="426" t="str">
        <f>IF(AND(F359="A",G359="A"),"A","")</f>
        <v/>
      </c>
      <c r="C358" s="407"/>
      <c r="D358" s="420" t="str">
        <f>D357 &amp; "kW"</f>
        <v>kW</v>
      </c>
      <c r="E358" s="423" t="s">
        <v>380</v>
      </c>
      <c r="F358" s="459"/>
      <c r="G358" s="459"/>
      <c r="H358" s="459"/>
      <c r="I358" s="459"/>
      <c r="J358" s="459"/>
      <c r="K358" s="459"/>
      <c r="L358" s="459"/>
      <c r="M358" s="459"/>
      <c r="N358" s="459"/>
      <c r="O358" s="459"/>
      <c r="P358" s="426"/>
      <c r="Q358" s="426"/>
      <c r="R358" s="426"/>
      <c r="S358" s="426"/>
      <c r="T358" s="426"/>
      <c r="U358" s="426"/>
      <c r="V358" s="426"/>
      <c r="Z358" s="478"/>
      <c r="AA358" s="478" t="str">
        <f>IF(AND(F359=G359,H359=I359,F359="A"),"2016 - kw","")</f>
        <v/>
      </c>
      <c r="AB358" s="478" t="str">
        <f>IF(OR(B358="2017 - kw",B358="2018 - kw"),"2016 - kw","")</f>
        <v/>
      </c>
      <c r="AC358" s="478"/>
      <c r="AD358" s="478"/>
      <c r="AE358" s="478"/>
    </row>
    <row r="359" spans="1:31" hidden="1" x14ac:dyDescent="0.25">
      <c r="A359" s="426"/>
      <c r="B359" s="426"/>
      <c r="C359" s="410"/>
      <c r="D359" s="376"/>
      <c r="E359" s="422" t="s">
        <v>381</v>
      </c>
      <c r="F359" s="458"/>
      <c r="G359" s="458"/>
      <c r="H359" s="458"/>
      <c r="I359" s="458"/>
      <c r="J359" s="458"/>
      <c r="K359" s="458"/>
      <c r="L359" s="458"/>
      <c r="M359" s="458"/>
      <c r="N359" s="458"/>
      <c r="O359" s="458"/>
      <c r="P359" s="426"/>
      <c r="Q359" s="426"/>
      <c r="R359" s="426"/>
      <c r="S359" s="426"/>
      <c r="T359" s="426"/>
      <c r="U359" s="426"/>
      <c r="V359" s="426"/>
      <c r="Z359" s="478"/>
      <c r="AA359" s="478"/>
      <c r="AB359" s="478"/>
      <c r="AC359" s="478"/>
      <c r="AD359" s="478"/>
      <c r="AE359" s="478"/>
    </row>
    <row r="360" spans="1:31" hidden="1" x14ac:dyDescent="0.25">
      <c r="A360" s="426" t="str">
        <f>IF(AND(F362=G362,H362=I362,J362=K362,F362="A"),"2016 - kwh",IF(AND(F362=G362,H362=I362,J362&lt;&gt;K362,F362="A"),"2017 - kwh",IF(AND(F362=G362,H362&lt;&gt;I362,F362="A"),"2018 - kwh","N/A")))</f>
        <v>N/A</v>
      </c>
      <c r="B360" s="426" t="str">
        <f>IF(AND(F362="A",G362="A"),"A","")</f>
        <v/>
      </c>
      <c r="C360" s="406" t="s">
        <v>491</v>
      </c>
      <c r="D360" s="460"/>
      <c r="E360" s="424" t="s">
        <v>379</v>
      </c>
      <c r="F360" s="459"/>
      <c r="G360" s="459"/>
      <c r="H360" s="459"/>
      <c r="I360" s="459"/>
      <c r="J360" s="459"/>
      <c r="K360" s="459"/>
      <c r="L360" s="459"/>
      <c r="M360" s="459"/>
      <c r="N360" s="459"/>
      <c r="O360" s="459"/>
      <c r="P360" s="426"/>
      <c r="Q360" s="426"/>
      <c r="R360" s="426"/>
      <c r="S360" s="426"/>
      <c r="T360" s="426"/>
      <c r="U360" s="426"/>
      <c r="V360" s="426"/>
      <c r="Z360" s="478"/>
      <c r="AA360" s="478" t="str">
        <f>IF(AND(F362=G362,H362=I362,F362="A"),"2016 - kwh","")</f>
        <v/>
      </c>
      <c r="AB360" s="478" t="str">
        <f>IF(OR(B360="2017 - kwh",B360="2018 - kwh"),"2016 - kwh","")</f>
        <v/>
      </c>
      <c r="AC360" s="478"/>
      <c r="AD360" s="478"/>
      <c r="AE360" s="478"/>
    </row>
    <row r="361" spans="1:31" hidden="1" x14ac:dyDescent="0.25">
      <c r="A361" s="426" t="str">
        <f>IF(AND(F362=G362,H362=I362,J362=K362,F362="A"),"2016 - kw",IF(AND(F362=G362,H362=I362,J362&lt;&gt;K362,F362="A"),"2017 - kw",IF(AND(F362=G362,H362&lt;&gt;I362,F362="A"),"2018 - kw","N/A")))</f>
        <v>N/A</v>
      </c>
      <c r="B361" s="426" t="str">
        <f>IF(AND(F362="A",G362="A"),"A","")</f>
        <v/>
      </c>
      <c r="C361" s="407"/>
      <c r="D361" s="420" t="str">
        <f>D360 &amp; "kW"</f>
        <v>kW</v>
      </c>
      <c r="E361" s="423" t="s">
        <v>380</v>
      </c>
      <c r="F361" s="459"/>
      <c r="G361" s="459"/>
      <c r="H361" s="459"/>
      <c r="I361" s="459"/>
      <c r="J361" s="459"/>
      <c r="K361" s="459"/>
      <c r="L361" s="459"/>
      <c r="M361" s="459"/>
      <c r="N361" s="459"/>
      <c r="O361" s="459"/>
      <c r="P361" s="426"/>
      <c r="Q361" s="426"/>
      <c r="R361" s="426"/>
      <c r="S361" s="426"/>
      <c r="T361" s="426"/>
      <c r="U361" s="426"/>
      <c r="V361" s="426"/>
      <c r="Z361" s="478"/>
      <c r="AA361" s="478" t="str">
        <f>IF(AND(F362=G362,H362=I362,F362="A"),"2016 - kw","")</f>
        <v/>
      </c>
      <c r="AB361" s="478" t="str">
        <f>IF(OR(B361="2017 - kw",B361="2018 - kw"),"2016 - kw","")</f>
        <v/>
      </c>
      <c r="AC361" s="478"/>
      <c r="AD361" s="478"/>
      <c r="AE361" s="478"/>
    </row>
    <row r="362" spans="1:31" hidden="1" x14ac:dyDescent="0.25">
      <c r="A362" s="426"/>
      <c r="B362" s="426"/>
      <c r="C362" s="410"/>
      <c r="D362" s="376"/>
      <c r="E362" s="422" t="s">
        <v>381</v>
      </c>
      <c r="F362" s="458"/>
      <c r="G362" s="458"/>
      <c r="H362" s="458"/>
      <c r="I362" s="458"/>
      <c r="J362" s="458"/>
      <c r="K362" s="458"/>
      <c r="L362" s="458"/>
      <c r="M362" s="458"/>
      <c r="N362" s="458"/>
      <c r="O362" s="458"/>
      <c r="P362" s="426"/>
      <c r="Q362" s="426"/>
      <c r="R362" s="426"/>
      <c r="S362" s="426"/>
      <c r="T362" s="426"/>
      <c r="U362" s="426"/>
      <c r="V362" s="426"/>
      <c r="Z362" s="478"/>
      <c r="AA362" s="478"/>
      <c r="AB362" s="478"/>
      <c r="AC362" s="478"/>
      <c r="AD362" s="478"/>
      <c r="AE362" s="478"/>
    </row>
    <row r="363" spans="1:31" hidden="1" x14ac:dyDescent="0.25">
      <c r="A363" s="426" t="str">
        <f>IF(AND(F365=G365,H365=I365,J365=K365,F365="A"),"2016 - kwh",IF(AND(F365=G365,H365=I365,J365&lt;&gt;K365,F365="A"),"2017 - kwh",IF(AND(F365=G365,H365&lt;&gt;I365,F365="A"),"2018 - kwh","N/A")))</f>
        <v>N/A</v>
      </c>
      <c r="B363" s="426" t="str">
        <f>IF(AND(F365="A",G365="A"),"A","")</f>
        <v/>
      </c>
      <c r="C363" s="406" t="s">
        <v>492</v>
      </c>
      <c r="D363" s="460"/>
      <c r="E363" s="424" t="s">
        <v>379</v>
      </c>
      <c r="F363" s="459"/>
      <c r="G363" s="459"/>
      <c r="H363" s="459"/>
      <c r="I363" s="459"/>
      <c r="J363" s="459"/>
      <c r="K363" s="459"/>
      <c r="L363" s="459"/>
      <c r="M363" s="459"/>
      <c r="N363" s="459"/>
      <c r="O363" s="459"/>
      <c r="P363" s="426"/>
      <c r="Q363" s="426"/>
      <c r="R363" s="426"/>
      <c r="S363" s="426"/>
      <c r="T363" s="426"/>
      <c r="U363" s="426"/>
      <c r="V363" s="426"/>
      <c r="Z363" s="478"/>
      <c r="AA363" s="478" t="str">
        <f>IF(AND(F365=G365,H365=I365,F365="A"),"2016 - kwh","")</f>
        <v/>
      </c>
      <c r="AB363" s="478" t="str">
        <f>IF(OR(B363="2017 - kwh",B363="2018 - kwh"),"2016 - kwh","")</f>
        <v/>
      </c>
      <c r="AC363" s="478"/>
      <c r="AD363" s="478"/>
      <c r="AE363" s="478"/>
    </row>
    <row r="364" spans="1:31" hidden="1" x14ac:dyDescent="0.25">
      <c r="A364" s="426" t="str">
        <f>IF(AND(F365=G365,H365=I365,J365=K365,F365="A"),"2016 - kw",IF(AND(F365=G365,H365=I365,J365&lt;&gt;K365,F365="A"),"2017 - kw",IF(AND(F365=G365,H365&lt;&gt;I365,F365="A"),"2018 - kw","N/A")))</f>
        <v>N/A</v>
      </c>
      <c r="B364" s="426" t="str">
        <f>IF(AND(F365="A",G365="A"),"A","")</f>
        <v/>
      </c>
      <c r="C364" s="407"/>
      <c r="D364" s="420" t="str">
        <f>D363 &amp; "kW"</f>
        <v>kW</v>
      </c>
      <c r="E364" s="423" t="s">
        <v>380</v>
      </c>
      <c r="F364" s="459"/>
      <c r="G364" s="459"/>
      <c r="H364" s="459"/>
      <c r="I364" s="459"/>
      <c r="J364" s="459"/>
      <c r="K364" s="459"/>
      <c r="L364" s="459"/>
      <c r="M364" s="459"/>
      <c r="N364" s="459"/>
      <c r="O364" s="459"/>
      <c r="P364" s="426"/>
      <c r="Q364" s="426"/>
      <c r="R364" s="426"/>
      <c r="S364" s="426"/>
      <c r="T364" s="426"/>
      <c r="U364" s="426"/>
      <c r="V364" s="426"/>
      <c r="Z364" s="478"/>
      <c r="AA364" s="478" t="str">
        <f>IF(AND(F365=G365,H365=I365,F365="A"),"2016 - kw","")</f>
        <v/>
      </c>
      <c r="AB364" s="478" t="str">
        <f>IF(OR(B364="2017 - kw",B364="2018 - kw"),"2016 - kw","")</f>
        <v/>
      </c>
      <c r="AC364" s="478"/>
      <c r="AD364" s="478"/>
      <c r="AE364" s="478"/>
    </row>
    <row r="365" spans="1:31" hidden="1" x14ac:dyDescent="0.25">
      <c r="A365" s="426"/>
      <c r="B365" s="426"/>
      <c r="C365" s="410"/>
      <c r="D365" s="376"/>
      <c r="E365" s="422" t="s">
        <v>381</v>
      </c>
      <c r="F365" s="458"/>
      <c r="G365" s="458"/>
      <c r="H365" s="458"/>
      <c r="I365" s="458"/>
      <c r="J365" s="458"/>
      <c r="K365" s="458"/>
      <c r="L365" s="458"/>
      <c r="M365" s="458"/>
      <c r="N365" s="458"/>
      <c r="O365" s="458"/>
      <c r="P365" s="426"/>
      <c r="Q365" s="426"/>
      <c r="R365" s="426"/>
      <c r="S365" s="426"/>
      <c r="T365" s="426"/>
      <c r="U365" s="426"/>
      <c r="V365" s="426"/>
      <c r="Z365" s="478"/>
      <c r="AA365" s="478"/>
      <c r="AB365" s="478"/>
      <c r="AC365" s="478"/>
      <c r="AD365" s="478"/>
      <c r="AE365" s="478"/>
    </row>
    <row r="366" spans="1:31" hidden="1" x14ac:dyDescent="0.25">
      <c r="A366" s="426" t="str">
        <f>IF(AND(F368=G368,H368=I368,J368=K368,F368="A"),"2016 - kwh",IF(AND(F368=G368,H368=I368,J368&lt;&gt;K368,F368="A"),"2017 - kwh",IF(AND(F368=G368,H368&lt;&gt;I368,F368="A"),"2018 - kwh","N/A")))</f>
        <v>N/A</v>
      </c>
      <c r="B366" s="426" t="str">
        <f>IF(AND(F368="A",G368="A"),"A","")</f>
        <v/>
      </c>
      <c r="C366" s="406" t="s">
        <v>493</v>
      </c>
      <c r="D366" s="460"/>
      <c r="E366" s="424" t="s">
        <v>379</v>
      </c>
      <c r="F366" s="459"/>
      <c r="G366" s="459"/>
      <c r="H366" s="459"/>
      <c r="I366" s="459"/>
      <c r="J366" s="459"/>
      <c r="K366" s="459"/>
      <c r="L366" s="459"/>
      <c r="M366" s="459"/>
      <c r="N366" s="459"/>
      <c r="O366" s="459"/>
      <c r="P366" s="426"/>
      <c r="Q366" s="426"/>
      <c r="R366" s="426"/>
      <c r="S366" s="426"/>
      <c r="T366" s="426"/>
      <c r="U366" s="426"/>
      <c r="V366" s="426"/>
      <c r="Z366" s="478"/>
      <c r="AA366" s="478" t="str">
        <f>IF(AND(F368=G368,H368=I368,F368="A"),"2016 - kwh","")</f>
        <v/>
      </c>
      <c r="AB366" s="478" t="str">
        <f>IF(OR(B366="2017 - kwh",B366="2018 - kwh"),"2016 - kwh","")</f>
        <v/>
      </c>
      <c r="AC366" s="478"/>
      <c r="AD366" s="478"/>
      <c r="AE366" s="478"/>
    </row>
    <row r="367" spans="1:31" hidden="1" x14ac:dyDescent="0.25">
      <c r="A367" s="426" t="str">
        <f>IF(AND(F368=G368,H368=I368,J368=K368,F368="A"),"2016 - kw",IF(AND(F368=G368,H368=I368,J368&lt;&gt;K368,F368="A"),"2017 - kw",IF(AND(F368=G368,H368&lt;&gt;I368,F368="A"),"2018 - kw","N/A")))</f>
        <v>N/A</v>
      </c>
      <c r="B367" s="426" t="str">
        <f>IF(AND(F368="A",G368="A"),"A","")</f>
        <v/>
      </c>
      <c r="C367" s="407"/>
      <c r="D367" s="420" t="str">
        <f>D366 &amp; "kW"</f>
        <v>kW</v>
      </c>
      <c r="E367" s="423" t="s">
        <v>380</v>
      </c>
      <c r="F367" s="459"/>
      <c r="G367" s="459"/>
      <c r="H367" s="459"/>
      <c r="I367" s="459"/>
      <c r="J367" s="459"/>
      <c r="K367" s="459"/>
      <c r="L367" s="459"/>
      <c r="M367" s="459"/>
      <c r="N367" s="459"/>
      <c r="O367" s="459"/>
      <c r="P367" s="426"/>
      <c r="Q367" s="426"/>
      <c r="R367" s="426"/>
      <c r="S367" s="426"/>
      <c r="T367" s="426"/>
      <c r="U367" s="426"/>
      <c r="V367" s="426"/>
      <c r="Z367" s="478"/>
      <c r="AA367" s="478" t="str">
        <f>IF(AND(F368=G368,H368=I368,F368="A"),"2016 - kw","")</f>
        <v/>
      </c>
      <c r="AB367" s="478" t="str">
        <f>IF(OR(B367="2017 - kw",B367="2018 - kw"),"2016 - kw","")</f>
        <v/>
      </c>
      <c r="AC367" s="478"/>
      <c r="AD367" s="478"/>
      <c r="AE367" s="478"/>
    </row>
    <row r="368" spans="1:31" hidden="1" x14ac:dyDescent="0.25">
      <c r="A368" s="426"/>
      <c r="B368" s="426"/>
      <c r="C368" s="410"/>
      <c r="D368" s="376"/>
      <c r="E368" s="422" t="s">
        <v>381</v>
      </c>
      <c r="F368" s="458"/>
      <c r="G368" s="458"/>
      <c r="H368" s="458"/>
      <c r="I368" s="458"/>
      <c r="J368" s="458"/>
      <c r="K368" s="458"/>
      <c r="L368" s="458"/>
      <c r="M368" s="458"/>
      <c r="N368" s="458"/>
      <c r="O368" s="458"/>
      <c r="P368" s="426"/>
      <c r="Q368" s="426"/>
      <c r="R368" s="426"/>
      <c r="S368" s="426"/>
      <c r="T368" s="426"/>
      <c r="U368" s="426"/>
      <c r="V368" s="426"/>
      <c r="Z368" s="478"/>
      <c r="AA368" s="478"/>
      <c r="AB368" s="478"/>
      <c r="AC368" s="478"/>
      <c r="AD368" s="478"/>
      <c r="AE368" s="478"/>
    </row>
    <row r="369" spans="1:31" hidden="1" x14ac:dyDescent="0.25">
      <c r="A369" s="426" t="str">
        <f>IF(AND(F371=G371,H371=I371,J371=K371,F371="A"),"2016 - kwh",IF(AND(F371=G371,H371=I371,J371&lt;&gt;K371,F371="A"),"2017 - kwh",IF(AND(F371=G371,H371&lt;&gt;I371,F371="A"),"2018 - kwh","N/A")))</f>
        <v>N/A</v>
      </c>
      <c r="B369" s="426" t="str">
        <f>IF(AND(F371="A",G371="A"),"A","")</f>
        <v/>
      </c>
      <c r="C369" s="406" t="s">
        <v>494</v>
      </c>
      <c r="D369" s="460"/>
      <c r="E369" s="424" t="s">
        <v>379</v>
      </c>
      <c r="F369" s="459"/>
      <c r="G369" s="459"/>
      <c r="H369" s="459"/>
      <c r="I369" s="459"/>
      <c r="J369" s="459"/>
      <c r="K369" s="459"/>
      <c r="L369" s="459"/>
      <c r="M369" s="459"/>
      <c r="N369" s="459"/>
      <c r="O369" s="459"/>
      <c r="P369" s="426"/>
      <c r="Q369" s="426"/>
      <c r="R369" s="426"/>
      <c r="S369" s="426"/>
      <c r="T369" s="426"/>
      <c r="U369" s="426"/>
      <c r="V369" s="426"/>
      <c r="Z369" s="478"/>
      <c r="AA369" s="478" t="str">
        <f>IF(AND(F371=G371,H371=I371,F371="A"),"2016 - kwh","")</f>
        <v/>
      </c>
      <c r="AB369" s="478" t="str">
        <f>IF(OR(B369="2017 - kwh",B369="2018 - kwh"),"2016 - kwh","")</f>
        <v/>
      </c>
      <c r="AC369" s="478"/>
      <c r="AD369" s="478"/>
      <c r="AE369" s="478"/>
    </row>
    <row r="370" spans="1:31" hidden="1" x14ac:dyDescent="0.25">
      <c r="A370" s="426" t="str">
        <f>IF(AND(F371=G371,H371=I371,J371=K371,F371="A"),"2016 - kw",IF(AND(F371=G371,H371=I371,J371&lt;&gt;K371,F371="A"),"2017 - kw",IF(AND(F371=G371,H371&lt;&gt;I371,F371="A"),"2018 - kw","N/A")))</f>
        <v>N/A</v>
      </c>
      <c r="B370" s="426" t="str">
        <f>IF(AND(F371="A",G371="A"),"A","")</f>
        <v/>
      </c>
      <c r="C370" s="407"/>
      <c r="D370" s="420" t="str">
        <f>D369 &amp; "kW"</f>
        <v>kW</v>
      </c>
      <c r="E370" s="423" t="s">
        <v>380</v>
      </c>
      <c r="F370" s="459"/>
      <c r="G370" s="459"/>
      <c r="H370" s="459"/>
      <c r="I370" s="459"/>
      <c r="J370" s="459"/>
      <c r="K370" s="459"/>
      <c r="L370" s="459"/>
      <c r="M370" s="459"/>
      <c r="N370" s="459"/>
      <c r="O370" s="459"/>
      <c r="P370" s="426"/>
      <c r="Q370" s="426"/>
      <c r="R370" s="426"/>
      <c r="S370" s="426"/>
      <c r="T370" s="426"/>
      <c r="U370" s="426"/>
      <c r="V370" s="426"/>
      <c r="Z370" s="478"/>
      <c r="AA370" s="478" t="str">
        <f>IF(AND(F371=G371,H371=I371,F371="A"),"2016 - kw","")</f>
        <v/>
      </c>
      <c r="AB370" s="478" t="str">
        <f>IF(OR(B370="2017 - kw",B370="2018 - kw"),"2016 - kw","")</f>
        <v/>
      </c>
      <c r="AC370" s="478"/>
      <c r="AD370" s="478"/>
      <c r="AE370" s="478"/>
    </row>
    <row r="371" spans="1:31" hidden="1" x14ac:dyDescent="0.25">
      <c r="A371" s="426"/>
      <c r="B371" s="426"/>
      <c r="C371" s="410"/>
      <c r="D371" s="376"/>
      <c r="E371" s="422" t="s">
        <v>381</v>
      </c>
      <c r="F371" s="458"/>
      <c r="G371" s="458"/>
      <c r="H371" s="458"/>
      <c r="I371" s="458"/>
      <c r="J371" s="458"/>
      <c r="K371" s="458"/>
      <c r="L371" s="458"/>
      <c r="M371" s="458"/>
      <c r="N371" s="458"/>
      <c r="O371" s="458"/>
      <c r="P371" s="426"/>
      <c r="Q371" s="426"/>
      <c r="R371" s="426"/>
      <c r="S371" s="426"/>
      <c r="T371" s="426"/>
      <c r="U371" s="426"/>
      <c r="V371" s="426"/>
      <c r="Z371" s="478"/>
      <c r="AA371" s="478"/>
      <c r="AB371" s="478"/>
      <c r="AC371" s="478"/>
      <c r="AD371" s="478"/>
      <c r="AE371" s="478"/>
    </row>
    <row r="372" spans="1:31" hidden="1" x14ac:dyDescent="0.25">
      <c r="A372" s="426" t="str">
        <f>IF(AND(F374=G374,H374=I374,J374=K374,F374="A"),"2016 - kwh",IF(AND(F374=G374,H374=I374,J374&lt;&gt;K374,F374="A"),"2017 - kwh",IF(AND(F374=G374,H374&lt;&gt;I374,F374="A"),"2018 - kwh","N/A")))</f>
        <v>N/A</v>
      </c>
      <c r="B372" s="426" t="str">
        <f>IF(AND(F374="A",G374="A"),"A","")</f>
        <v/>
      </c>
      <c r="C372" s="406" t="s">
        <v>495</v>
      </c>
      <c r="D372" s="460"/>
      <c r="E372" s="424" t="s">
        <v>379</v>
      </c>
      <c r="F372" s="459"/>
      <c r="G372" s="459"/>
      <c r="H372" s="459"/>
      <c r="I372" s="459"/>
      <c r="J372" s="459"/>
      <c r="K372" s="459"/>
      <c r="L372" s="459"/>
      <c r="M372" s="459"/>
      <c r="N372" s="459"/>
      <c r="O372" s="459"/>
      <c r="P372" s="426"/>
      <c r="Q372" s="426"/>
      <c r="R372" s="426"/>
      <c r="S372" s="426"/>
      <c r="T372" s="426"/>
      <c r="U372" s="426"/>
      <c r="V372" s="426"/>
      <c r="Z372" s="478"/>
      <c r="AA372" s="478" t="str">
        <f>IF(AND(F374=G374,H374=I374,F374="A"),"2016 - kwh","")</f>
        <v/>
      </c>
      <c r="AB372" s="478" t="str">
        <f>IF(OR(B372="2017 - kwh",B372="2018 - kwh"),"2016 - kwh","")</f>
        <v/>
      </c>
      <c r="AC372" s="478"/>
      <c r="AD372" s="478"/>
      <c r="AE372" s="478"/>
    </row>
    <row r="373" spans="1:31" hidden="1" x14ac:dyDescent="0.25">
      <c r="A373" s="426" t="str">
        <f>IF(AND(F374=G374,H374=I374,J374=K374,F374="A"),"2016 - kw",IF(AND(F374=G374,H374=I374,J374&lt;&gt;K374,F374="A"),"2017 - kw",IF(AND(F374=G374,H374&lt;&gt;I374,F374="A"),"2018 - kw","N/A")))</f>
        <v>N/A</v>
      </c>
      <c r="B373" s="426" t="str">
        <f>IF(AND(F374="A",G374="A"),"A","")</f>
        <v/>
      </c>
      <c r="C373" s="407"/>
      <c r="D373" s="420" t="str">
        <f>D372 &amp; "kW"</f>
        <v>kW</v>
      </c>
      <c r="E373" s="423" t="s">
        <v>380</v>
      </c>
      <c r="F373" s="459"/>
      <c r="G373" s="459"/>
      <c r="H373" s="459"/>
      <c r="I373" s="459"/>
      <c r="J373" s="459"/>
      <c r="K373" s="459"/>
      <c r="L373" s="459"/>
      <c r="M373" s="459"/>
      <c r="N373" s="459"/>
      <c r="O373" s="459"/>
      <c r="P373" s="426"/>
      <c r="Q373" s="426"/>
      <c r="R373" s="426"/>
      <c r="S373" s="426"/>
      <c r="T373" s="426"/>
      <c r="U373" s="426"/>
      <c r="V373" s="426"/>
      <c r="Z373" s="478"/>
      <c r="AA373" s="478" t="str">
        <f>IF(AND(F374=G374,H374=I374,F374="A"),"2016 - kw","")</f>
        <v/>
      </c>
      <c r="AB373" s="478" t="str">
        <f>IF(OR(B373="2017 - kw",B373="2018 - kw"),"2016 - kw","")</f>
        <v/>
      </c>
      <c r="AC373" s="478"/>
      <c r="AD373" s="478"/>
      <c r="AE373" s="478"/>
    </row>
    <row r="374" spans="1:31" hidden="1" x14ac:dyDescent="0.25">
      <c r="A374" s="426"/>
      <c r="B374" s="426"/>
      <c r="C374" s="410"/>
      <c r="D374" s="376"/>
      <c r="E374" s="422" t="s">
        <v>381</v>
      </c>
      <c r="F374" s="458"/>
      <c r="G374" s="458"/>
      <c r="H374" s="458"/>
      <c r="I374" s="458"/>
      <c r="J374" s="458"/>
      <c r="K374" s="458"/>
      <c r="L374" s="458"/>
      <c r="M374" s="458"/>
      <c r="N374" s="458"/>
      <c r="O374" s="458"/>
      <c r="P374" s="426"/>
      <c r="Q374" s="426"/>
      <c r="R374" s="426"/>
      <c r="S374" s="426"/>
      <c r="T374" s="426"/>
      <c r="U374" s="426"/>
      <c r="V374" s="426"/>
      <c r="Z374" s="478"/>
      <c r="AA374" s="478"/>
      <c r="AB374" s="478"/>
      <c r="AC374" s="478"/>
      <c r="AD374" s="478"/>
      <c r="AE374" s="478"/>
    </row>
    <row r="375" spans="1:31" hidden="1" x14ac:dyDescent="0.25">
      <c r="A375" s="426" t="str">
        <f>IF(AND(F377=G377,H377=I377,J377=K377,F377="A"),"2016 - kwh",IF(AND(F377=G377,H377=I377,J377&lt;&gt;K377,F377="A"),"2017 - kwh",IF(AND(F377=G377,H377&lt;&gt;I377,F377="A"),"2018 - kwh","N/A")))</f>
        <v>N/A</v>
      </c>
      <c r="B375" s="426" t="str">
        <f>IF(AND(F377="A",G377="A"),"A","")</f>
        <v/>
      </c>
      <c r="C375" s="406" t="s">
        <v>496</v>
      </c>
      <c r="D375" s="460"/>
      <c r="E375" s="424" t="s">
        <v>379</v>
      </c>
      <c r="F375" s="459"/>
      <c r="G375" s="459"/>
      <c r="H375" s="459"/>
      <c r="I375" s="459"/>
      <c r="J375" s="459"/>
      <c r="K375" s="459"/>
      <c r="L375" s="459"/>
      <c r="M375" s="459"/>
      <c r="N375" s="459"/>
      <c r="O375" s="459"/>
      <c r="P375" s="426"/>
      <c r="Q375" s="426"/>
      <c r="R375" s="426"/>
      <c r="S375" s="426"/>
      <c r="T375" s="426"/>
      <c r="U375" s="426"/>
      <c r="V375" s="426"/>
      <c r="Z375" s="478"/>
      <c r="AA375" s="478" t="str">
        <f>IF(AND(F377=G377,H377=I377,F377="A"),"2016 - kwh","")</f>
        <v/>
      </c>
      <c r="AB375" s="478" t="str">
        <f>IF(OR(B375="2017 - kwh",B375="2018 - kwh"),"2016 - kwh","")</f>
        <v/>
      </c>
      <c r="AC375" s="478"/>
      <c r="AD375" s="478"/>
      <c r="AE375" s="478"/>
    </row>
    <row r="376" spans="1:31" hidden="1" x14ac:dyDescent="0.25">
      <c r="A376" s="426" t="str">
        <f>IF(AND(F377=G377,H377=I377,J377=K377,F377="A"),"2016 - kw",IF(AND(F377=G377,H377=I377,J377&lt;&gt;K377,F377="A"),"2017 - kw",IF(AND(F377=G377,H377&lt;&gt;I377,F377="A"),"2018 - kw","N/A")))</f>
        <v>N/A</v>
      </c>
      <c r="B376" s="426" t="str">
        <f>IF(AND(F377="A",G377="A"),"A","")</f>
        <v/>
      </c>
      <c r="C376" s="407"/>
      <c r="D376" s="420" t="str">
        <f>D375 &amp; "kW"</f>
        <v>kW</v>
      </c>
      <c r="E376" s="423" t="s">
        <v>380</v>
      </c>
      <c r="F376" s="459"/>
      <c r="G376" s="459"/>
      <c r="H376" s="459"/>
      <c r="I376" s="459"/>
      <c r="J376" s="459"/>
      <c r="K376" s="459"/>
      <c r="L376" s="459"/>
      <c r="M376" s="459"/>
      <c r="N376" s="459"/>
      <c r="O376" s="459"/>
      <c r="P376" s="426"/>
      <c r="Q376" s="426"/>
      <c r="R376" s="426"/>
      <c r="S376" s="426"/>
      <c r="T376" s="426"/>
      <c r="U376" s="426"/>
      <c r="V376" s="426"/>
      <c r="Z376" s="478"/>
      <c r="AA376" s="478" t="str">
        <f>IF(AND(F377=G377,H377=I377,F377="A"),"2016 - kw","")</f>
        <v/>
      </c>
      <c r="AB376" s="478" t="str">
        <f>IF(OR(B376="2017 - kw",B376="2018 - kw"),"2016 - kw","")</f>
        <v/>
      </c>
      <c r="AC376" s="478"/>
      <c r="AD376" s="478"/>
      <c r="AE376" s="478"/>
    </row>
    <row r="377" spans="1:31" hidden="1" x14ac:dyDescent="0.25">
      <c r="A377" s="426"/>
      <c r="B377" s="426"/>
      <c r="C377" s="410"/>
      <c r="D377" s="376"/>
      <c r="E377" s="422" t="s">
        <v>381</v>
      </c>
      <c r="F377" s="458"/>
      <c r="G377" s="458"/>
      <c r="H377" s="458"/>
      <c r="I377" s="458"/>
      <c r="J377" s="458"/>
      <c r="K377" s="458"/>
      <c r="L377" s="458"/>
      <c r="M377" s="458"/>
      <c r="N377" s="458"/>
      <c r="O377" s="458"/>
      <c r="P377" s="426"/>
      <c r="Q377" s="426"/>
      <c r="R377" s="426"/>
      <c r="S377" s="426"/>
      <c r="T377" s="426"/>
      <c r="U377" s="426"/>
      <c r="V377" s="426"/>
      <c r="Z377" s="478"/>
      <c r="AA377" s="478"/>
      <c r="AB377" s="478"/>
      <c r="AC377" s="478"/>
      <c r="AD377" s="478"/>
      <c r="AE377" s="478"/>
    </row>
    <row r="378" spans="1:31" hidden="1" x14ac:dyDescent="0.25">
      <c r="A378" s="426" t="str">
        <f>IF(AND(F380=G380,H380=I380,J380=K380,F380="A"),"2016 - kwh",IF(AND(F380=G380,H380=I380,J380&lt;&gt;K380,F380="A"),"2017 - kwh",IF(AND(F380=G380,H380&lt;&gt;I380,F380="A"),"2018 - kwh","N/A")))</f>
        <v>N/A</v>
      </c>
      <c r="B378" s="426" t="str">
        <f>IF(AND(F380="A",G380="A"),"A","")</f>
        <v/>
      </c>
      <c r="C378" s="406" t="s">
        <v>497</v>
      </c>
      <c r="D378" s="460"/>
      <c r="E378" s="424" t="s">
        <v>379</v>
      </c>
      <c r="F378" s="459"/>
      <c r="G378" s="459"/>
      <c r="H378" s="459"/>
      <c r="I378" s="459"/>
      <c r="J378" s="459"/>
      <c r="K378" s="459"/>
      <c r="L378" s="459"/>
      <c r="M378" s="459"/>
      <c r="N378" s="459"/>
      <c r="O378" s="459"/>
      <c r="P378" s="426"/>
      <c r="Q378" s="426"/>
      <c r="R378" s="426"/>
      <c r="S378" s="426"/>
      <c r="T378" s="426"/>
      <c r="U378" s="426"/>
      <c r="V378" s="426"/>
      <c r="Z378" s="478"/>
      <c r="AA378" s="478" t="str">
        <f>IF(AND(F380=G380,H380=I380,F380="A"),"2016 - kwh","")</f>
        <v/>
      </c>
      <c r="AB378" s="478" t="str">
        <f>IF(OR(B378="2017 - kwh",B378="2018 - kwh"),"2016 - kwh","")</f>
        <v/>
      </c>
      <c r="AC378" s="478"/>
      <c r="AD378" s="478"/>
      <c r="AE378" s="478"/>
    </row>
    <row r="379" spans="1:31" hidden="1" x14ac:dyDescent="0.25">
      <c r="A379" s="426" t="str">
        <f>IF(AND(F380=G380,H380=I380,J380=K380,F380="A"),"2016 - kw",IF(AND(F380=G380,H380=I380,J380&lt;&gt;K380,F380="A"),"2017 - kw",IF(AND(F380=G380,H380&lt;&gt;I380,F380="A"),"2018 - kw","N/A")))</f>
        <v>N/A</v>
      </c>
      <c r="B379" s="426" t="str">
        <f>IF(AND(F380="A",G380="A"),"A","")</f>
        <v/>
      </c>
      <c r="C379" s="407"/>
      <c r="D379" s="420" t="str">
        <f>D378 &amp; "kW"</f>
        <v>kW</v>
      </c>
      <c r="E379" s="423" t="s">
        <v>380</v>
      </c>
      <c r="F379" s="459"/>
      <c r="G379" s="459"/>
      <c r="H379" s="459"/>
      <c r="I379" s="459"/>
      <c r="J379" s="459"/>
      <c r="K379" s="459"/>
      <c r="L379" s="459"/>
      <c r="M379" s="459"/>
      <c r="N379" s="459"/>
      <c r="O379" s="459"/>
      <c r="P379" s="426"/>
      <c r="Q379" s="426"/>
      <c r="R379" s="426"/>
      <c r="S379" s="426"/>
      <c r="T379" s="426"/>
      <c r="U379" s="426"/>
      <c r="V379" s="426"/>
      <c r="Z379" s="478"/>
      <c r="AA379" s="478" t="str">
        <f>IF(AND(F380=G380,H380=I380,F380="A"),"2016 - kw","")</f>
        <v/>
      </c>
      <c r="AB379" s="478" t="str">
        <f>IF(OR(B379="2017 - kw",B379="2018 - kw"),"2016 - kw","")</f>
        <v/>
      </c>
      <c r="AC379" s="478"/>
      <c r="AD379" s="478"/>
      <c r="AE379" s="478"/>
    </row>
    <row r="380" spans="1:31" hidden="1" x14ac:dyDescent="0.25">
      <c r="A380" s="426"/>
      <c r="B380" s="426"/>
      <c r="C380" s="410"/>
      <c r="D380" s="376"/>
      <c r="E380" s="422" t="s">
        <v>381</v>
      </c>
      <c r="F380" s="458"/>
      <c r="G380" s="458"/>
      <c r="H380" s="458"/>
      <c r="I380" s="458"/>
      <c r="J380" s="458"/>
      <c r="K380" s="458"/>
      <c r="L380" s="458"/>
      <c r="M380" s="458"/>
      <c r="N380" s="458"/>
      <c r="O380" s="458"/>
      <c r="P380" s="426"/>
      <c r="Q380" s="426"/>
      <c r="R380" s="426"/>
      <c r="S380" s="426"/>
      <c r="T380" s="426"/>
      <c r="U380" s="426"/>
      <c r="V380" s="426"/>
      <c r="Z380" s="478"/>
      <c r="AA380" s="478"/>
      <c r="AB380" s="478"/>
      <c r="AC380" s="478"/>
      <c r="AD380" s="478"/>
      <c r="AE380" s="478"/>
    </row>
    <row r="381" spans="1:31" hidden="1" x14ac:dyDescent="0.25">
      <c r="A381" s="426" t="str">
        <f>IF(AND(F383=G383,H383=I383,J383=K383,F383="A"),"2016 - kwh",IF(AND(F383=G383,H383=I383,J383&lt;&gt;K383,F383="A"),"2017 - kwh",IF(AND(F383=G383,H383&lt;&gt;I383,F383="A"),"2018 - kwh","N/A")))</f>
        <v>N/A</v>
      </c>
      <c r="B381" s="426" t="str">
        <f>IF(AND(F383="A",G383="A"),"A","")</f>
        <v/>
      </c>
      <c r="C381" s="406" t="s">
        <v>498</v>
      </c>
      <c r="D381" s="460"/>
      <c r="E381" s="424" t="s">
        <v>379</v>
      </c>
      <c r="F381" s="459"/>
      <c r="G381" s="459"/>
      <c r="H381" s="459"/>
      <c r="I381" s="459"/>
      <c r="J381" s="459"/>
      <c r="K381" s="459"/>
      <c r="L381" s="459"/>
      <c r="M381" s="459"/>
      <c r="N381" s="459"/>
      <c r="O381" s="459"/>
      <c r="P381" s="426"/>
      <c r="Q381" s="426"/>
      <c r="R381" s="426"/>
      <c r="S381" s="426"/>
      <c r="T381" s="426"/>
      <c r="U381" s="426"/>
      <c r="V381" s="426"/>
      <c r="Z381" s="478"/>
      <c r="AA381" s="478" t="str">
        <f>IF(AND(F383=G383,H383=I383,F383="A"),"2016 - kwh","")</f>
        <v/>
      </c>
      <c r="AB381" s="478" t="str">
        <f>IF(OR(B381="2017 - kwh",B381="2018 - kwh"),"2016 - kwh","")</f>
        <v/>
      </c>
      <c r="AC381" s="478"/>
      <c r="AD381" s="478"/>
      <c r="AE381" s="478"/>
    </row>
    <row r="382" spans="1:31" hidden="1" x14ac:dyDescent="0.25">
      <c r="A382" s="426" t="str">
        <f>IF(AND(F383=G383,H383=I383,J383=K383,F383="A"),"2016 - kw",IF(AND(F383=G383,H383=I383,J383&lt;&gt;K383,F383="A"),"2017 - kw",IF(AND(F383=G383,H383&lt;&gt;I383,F383="A"),"2018 - kw","N/A")))</f>
        <v>N/A</v>
      </c>
      <c r="B382" s="426" t="str">
        <f>IF(AND(F383="A",G383="A"),"A","")</f>
        <v/>
      </c>
      <c r="C382" s="407"/>
      <c r="D382" s="420" t="str">
        <f>D381 &amp; "kW"</f>
        <v>kW</v>
      </c>
      <c r="E382" s="423" t="s">
        <v>380</v>
      </c>
      <c r="F382" s="459"/>
      <c r="G382" s="459"/>
      <c r="H382" s="459"/>
      <c r="I382" s="459"/>
      <c r="J382" s="459"/>
      <c r="K382" s="459"/>
      <c r="L382" s="459"/>
      <c r="M382" s="459"/>
      <c r="N382" s="459"/>
      <c r="O382" s="459"/>
      <c r="P382" s="426"/>
      <c r="Q382" s="426"/>
      <c r="R382" s="426"/>
      <c r="S382" s="426"/>
      <c r="T382" s="426"/>
      <c r="U382" s="426"/>
      <c r="V382" s="426"/>
      <c r="Z382" s="478"/>
      <c r="AA382" s="478" t="str">
        <f>IF(AND(F383=G383,H383=I383,F383="A"),"2016 - kw","")</f>
        <v/>
      </c>
      <c r="AB382" s="478" t="str">
        <f>IF(OR(B382="2017 - kw",B382="2018 - kw"),"2016 - kw","")</f>
        <v/>
      </c>
      <c r="AC382" s="478"/>
      <c r="AD382" s="478"/>
      <c r="AE382" s="478"/>
    </row>
    <row r="383" spans="1:31" hidden="1" x14ac:dyDescent="0.25">
      <c r="A383" s="426"/>
      <c r="B383" s="426"/>
      <c r="C383" s="410"/>
      <c r="D383" s="376"/>
      <c r="E383" s="422" t="s">
        <v>381</v>
      </c>
      <c r="F383" s="458"/>
      <c r="G383" s="458"/>
      <c r="H383" s="458"/>
      <c r="I383" s="458"/>
      <c r="J383" s="458"/>
      <c r="K383" s="458"/>
      <c r="L383" s="458"/>
      <c r="M383" s="458"/>
      <c r="N383" s="458"/>
      <c r="O383" s="458"/>
      <c r="P383" s="426"/>
      <c r="Q383" s="426"/>
      <c r="R383" s="426"/>
      <c r="S383" s="426"/>
      <c r="T383" s="426"/>
      <c r="U383" s="426"/>
      <c r="V383" s="426"/>
      <c r="Z383" s="478"/>
      <c r="AA383" s="478"/>
      <c r="AB383" s="478"/>
      <c r="AC383" s="478"/>
      <c r="AD383" s="478"/>
      <c r="AE383" s="478"/>
    </row>
    <row r="384" spans="1:31" hidden="1" x14ac:dyDescent="0.25">
      <c r="A384" s="426" t="str">
        <f>IF(AND(F386=G386,H386=I386,J386=K386,F386="A"),"2016 - kwh",IF(AND(F386=G386,H386=I386,J386&lt;&gt;K386,F386="A"),"2017 - kwh",IF(AND(F386=G386,H386&lt;&gt;I386,F386="A"),"2018 - kwh","N/A")))</f>
        <v>N/A</v>
      </c>
      <c r="B384" s="426" t="str">
        <f>IF(AND(F386="A",G386="A"),"A","")</f>
        <v/>
      </c>
      <c r="C384" s="406" t="s">
        <v>499</v>
      </c>
      <c r="D384" s="460"/>
      <c r="E384" s="424" t="s">
        <v>379</v>
      </c>
      <c r="F384" s="459"/>
      <c r="G384" s="459"/>
      <c r="H384" s="459"/>
      <c r="I384" s="459"/>
      <c r="J384" s="459"/>
      <c r="K384" s="459"/>
      <c r="L384" s="459"/>
      <c r="M384" s="459"/>
      <c r="N384" s="459"/>
      <c r="O384" s="459"/>
      <c r="P384" s="426"/>
      <c r="Q384" s="426"/>
      <c r="R384" s="426"/>
      <c r="S384" s="426"/>
      <c r="T384" s="426"/>
      <c r="U384" s="426"/>
      <c r="V384" s="426"/>
      <c r="Z384" s="478"/>
      <c r="AA384" s="478" t="str">
        <f>IF(AND(F386=G386,H386=I386,F386="A"),"2016 - kwh","")</f>
        <v/>
      </c>
      <c r="AB384" s="478" t="str">
        <f>IF(OR(B384="2017 - kwh",B384="2018 - kwh"),"2016 - kwh","")</f>
        <v/>
      </c>
      <c r="AC384" s="478"/>
      <c r="AD384" s="478"/>
      <c r="AE384" s="478"/>
    </row>
    <row r="385" spans="1:31" hidden="1" x14ac:dyDescent="0.25">
      <c r="A385" s="426" t="str">
        <f>IF(AND(F386=G386,H386=I386,J386=K386,F386="A"),"2016 - kw",IF(AND(F386=G386,H386=I386,J386&lt;&gt;K386,F386="A"),"2017 - kw",IF(AND(F386=G386,H386&lt;&gt;I386,F386="A"),"2018 - kw","N/A")))</f>
        <v>N/A</v>
      </c>
      <c r="B385" s="426" t="str">
        <f>IF(AND(F386="A",G386="A"),"A","")</f>
        <v/>
      </c>
      <c r="C385" s="407"/>
      <c r="D385" s="420" t="str">
        <f>D384 &amp; "kW"</f>
        <v>kW</v>
      </c>
      <c r="E385" s="423" t="s">
        <v>380</v>
      </c>
      <c r="F385" s="459"/>
      <c r="G385" s="459"/>
      <c r="H385" s="459"/>
      <c r="I385" s="459"/>
      <c r="J385" s="459"/>
      <c r="K385" s="459"/>
      <c r="L385" s="459"/>
      <c r="M385" s="459"/>
      <c r="N385" s="459"/>
      <c r="O385" s="459"/>
      <c r="P385" s="426"/>
      <c r="Q385" s="426"/>
      <c r="R385" s="426"/>
      <c r="S385" s="426"/>
      <c r="T385" s="426"/>
      <c r="U385" s="426"/>
      <c r="V385" s="426"/>
      <c r="Z385" s="478"/>
      <c r="AA385" s="478" t="str">
        <f>IF(AND(F386=G386,H386=I386,F386="A"),"2016 - kw","")</f>
        <v/>
      </c>
      <c r="AB385" s="478" t="str">
        <f>IF(OR(B385="2017 - kw",B385="2018 - kw"),"2016 - kw","")</f>
        <v/>
      </c>
      <c r="AC385" s="478"/>
      <c r="AD385" s="478"/>
      <c r="AE385" s="478"/>
    </row>
    <row r="386" spans="1:31" hidden="1" x14ac:dyDescent="0.25">
      <c r="A386" s="426"/>
      <c r="B386" s="426"/>
      <c r="C386" s="410"/>
      <c r="D386" s="376"/>
      <c r="E386" s="422" t="s">
        <v>381</v>
      </c>
      <c r="F386" s="458"/>
      <c r="G386" s="458"/>
      <c r="H386" s="458"/>
      <c r="I386" s="458"/>
      <c r="J386" s="458"/>
      <c r="K386" s="458"/>
      <c r="L386" s="458"/>
      <c r="M386" s="458"/>
      <c r="N386" s="458"/>
      <c r="O386" s="458"/>
      <c r="P386" s="426"/>
      <c r="Q386" s="426"/>
      <c r="R386" s="426"/>
      <c r="S386" s="426"/>
      <c r="T386" s="426"/>
      <c r="U386" s="426"/>
      <c r="V386" s="426"/>
      <c r="Z386" s="478"/>
      <c r="AA386" s="478"/>
      <c r="AB386" s="478"/>
      <c r="AC386" s="478"/>
      <c r="AD386" s="478"/>
      <c r="AE386" s="478"/>
    </row>
    <row r="387" spans="1:31" hidden="1" x14ac:dyDescent="0.25">
      <c r="A387" s="426" t="str">
        <f>IF(AND(F389=G389,H389=I389,J389=K389,F389="A"),"2016 - kwh",IF(AND(F389=G389,H389=I389,J389&lt;&gt;K389,F389="A"),"2017 - kwh",IF(AND(F389=G389,H389&lt;&gt;I389,F389="A"),"2018 - kwh","N/A")))</f>
        <v>N/A</v>
      </c>
      <c r="B387" s="426" t="str">
        <f>IF(AND(F389="A",G389="A"),"A","")</f>
        <v/>
      </c>
      <c r="C387" s="406" t="s">
        <v>500</v>
      </c>
      <c r="D387" s="460"/>
      <c r="E387" s="424" t="s">
        <v>379</v>
      </c>
      <c r="F387" s="459"/>
      <c r="G387" s="459"/>
      <c r="H387" s="459"/>
      <c r="I387" s="459"/>
      <c r="J387" s="459"/>
      <c r="K387" s="459"/>
      <c r="L387" s="459"/>
      <c r="M387" s="459"/>
      <c r="N387" s="459"/>
      <c r="O387" s="459"/>
      <c r="P387" s="426"/>
      <c r="Q387" s="426"/>
      <c r="R387" s="426"/>
      <c r="S387" s="426"/>
      <c r="T387" s="426"/>
      <c r="U387" s="426"/>
      <c r="V387" s="426"/>
      <c r="Z387" s="478"/>
      <c r="AA387" s="478" t="str">
        <f>IF(AND(F389=G389,H389=I389,F389="A"),"2016 - kwh","")</f>
        <v/>
      </c>
      <c r="AB387" s="478" t="str">
        <f>IF(OR(B387="2017 - kwh",B387="2018 - kwh"),"2016 - kwh","")</f>
        <v/>
      </c>
      <c r="AC387" s="478"/>
      <c r="AD387" s="478"/>
      <c r="AE387" s="478"/>
    </row>
    <row r="388" spans="1:31" hidden="1" x14ac:dyDescent="0.25">
      <c r="A388" s="426" t="str">
        <f>IF(AND(F389=G389,H389=I389,J389=K389,F389="A"),"2016 - kw",IF(AND(F389=G389,H389=I389,J389&lt;&gt;K389,F389="A"),"2017 - kw",IF(AND(F389=G389,H389&lt;&gt;I389,F389="A"),"2018 - kw","N/A")))</f>
        <v>N/A</v>
      </c>
      <c r="B388" s="426" t="str">
        <f>IF(AND(F389="A",G389="A"),"A","")</f>
        <v/>
      </c>
      <c r="C388" s="407"/>
      <c r="D388" s="420" t="str">
        <f>D387 &amp; "kW"</f>
        <v>kW</v>
      </c>
      <c r="E388" s="423" t="s">
        <v>380</v>
      </c>
      <c r="F388" s="459"/>
      <c r="G388" s="459"/>
      <c r="H388" s="459"/>
      <c r="I388" s="459"/>
      <c r="J388" s="459"/>
      <c r="K388" s="459"/>
      <c r="L388" s="459"/>
      <c r="M388" s="459"/>
      <c r="N388" s="459"/>
      <c r="O388" s="459"/>
      <c r="P388" s="426"/>
      <c r="Q388" s="426"/>
      <c r="R388" s="426"/>
      <c r="S388" s="426"/>
      <c r="T388" s="426"/>
      <c r="U388" s="426"/>
      <c r="V388" s="426"/>
      <c r="Z388" s="478"/>
      <c r="AA388" s="478" t="str">
        <f>IF(AND(F389=G389,H389=I389,F389="A"),"2016 - kw","")</f>
        <v/>
      </c>
      <c r="AB388" s="478" t="str">
        <f>IF(OR(B388="2017 - kw",B388="2018 - kw"),"2016 - kw","")</f>
        <v/>
      </c>
      <c r="AC388" s="478"/>
      <c r="AD388" s="478"/>
      <c r="AE388" s="478"/>
    </row>
    <row r="389" spans="1:31" hidden="1" x14ac:dyDescent="0.25">
      <c r="A389" s="426"/>
      <c r="B389" s="426"/>
      <c r="C389" s="410"/>
      <c r="D389" s="376"/>
      <c r="E389" s="422" t="s">
        <v>381</v>
      </c>
      <c r="F389" s="458"/>
      <c r="G389" s="458"/>
      <c r="H389" s="458"/>
      <c r="I389" s="458"/>
      <c r="J389" s="458"/>
      <c r="K389" s="458"/>
      <c r="L389" s="458"/>
      <c r="M389" s="458"/>
      <c r="N389" s="458"/>
      <c r="O389" s="458"/>
      <c r="P389" s="426"/>
      <c r="Q389" s="426"/>
      <c r="R389" s="426"/>
      <c r="S389" s="426"/>
      <c r="T389" s="426"/>
      <c r="U389" s="426"/>
      <c r="V389" s="426"/>
      <c r="Z389" s="478"/>
      <c r="AA389" s="478"/>
      <c r="AB389" s="478"/>
      <c r="AC389" s="478"/>
      <c r="AD389" s="478"/>
      <c r="AE389" s="478"/>
    </row>
    <row r="390" spans="1:31" hidden="1" x14ac:dyDescent="0.25">
      <c r="A390" s="426" t="str">
        <f>IF(AND(F392=G392,H392=I392,J392=K392,F392="A"),"2016 - kwh",IF(AND(F392=G392,H392=I392,J392&lt;&gt;K392,F392="A"),"2017 - kwh",IF(AND(F392=G392,H392&lt;&gt;I392,F392="A"),"2018 - kwh","N/A")))</f>
        <v>N/A</v>
      </c>
      <c r="B390" s="426" t="str">
        <f>IF(AND(F392="A",G392="A"),"A","")</f>
        <v/>
      </c>
      <c r="C390" s="406" t="s">
        <v>501</v>
      </c>
      <c r="D390" s="460"/>
      <c r="E390" s="424" t="s">
        <v>379</v>
      </c>
      <c r="F390" s="459"/>
      <c r="G390" s="459"/>
      <c r="H390" s="459"/>
      <c r="I390" s="459"/>
      <c r="J390" s="459"/>
      <c r="K390" s="459"/>
      <c r="L390" s="459"/>
      <c r="M390" s="459"/>
      <c r="N390" s="459"/>
      <c r="O390" s="459"/>
      <c r="P390" s="426"/>
      <c r="Q390" s="426"/>
      <c r="R390" s="426"/>
      <c r="S390" s="426"/>
      <c r="T390" s="426"/>
      <c r="U390" s="426"/>
      <c r="V390" s="426"/>
      <c r="Z390" s="478"/>
      <c r="AA390" s="478" t="str">
        <f>IF(AND(F392=G392,H392=I392,F392="A"),"2016 - kwh","")</f>
        <v/>
      </c>
      <c r="AB390" s="478" t="str">
        <f>IF(OR(B390="2017 - kwh",B390="2018 - kwh"),"2016 - kwh","")</f>
        <v/>
      </c>
      <c r="AC390" s="478"/>
      <c r="AD390" s="478"/>
      <c r="AE390" s="478"/>
    </row>
    <row r="391" spans="1:31" hidden="1" x14ac:dyDescent="0.25">
      <c r="A391" s="426" t="str">
        <f>IF(AND(F392=G392,H392=I392,J392=K392,F392="A"),"2016 - kw",IF(AND(F392=G392,H392=I392,J392&lt;&gt;K392,F392="A"),"2017 - kw",IF(AND(F392=G392,H392&lt;&gt;I392,F392="A"),"2018 - kw","N/A")))</f>
        <v>N/A</v>
      </c>
      <c r="B391" s="426" t="str">
        <f>IF(AND(F392="A",G392="A"),"A","")</f>
        <v/>
      </c>
      <c r="C391" s="407"/>
      <c r="D391" s="420" t="str">
        <f>D390 &amp; "kW"</f>
        <v>kW</v>
      </c>
      <c r="E391" s="423" t="s">
        <v>380</v>
      </c>
      <c r="F391" s="459"/>
      <c r="G391" s="459"/>
      <c r="H391" s="459"/>
      <c r="I391" s="459"/>
      <c r="J391" s="459"/>
      <c r="K391" s="459"/>
      <c r="L391" s="459"/>
      <c r="M391" s="459"/>
      <c r="N391" s="459"/>
      <c r="O391" s="459"/>
      <c r="P391" s="426"/>
      <c r="Q391" s="426"/>
      <c r="R391" s="426"/>
      <c r="S391" s="426"/>
      <c r="T391" s="426"/>
      <c r="U391" s="426"/>
      <c r="V391" s="426"/>
      <c r="Z391" s="478"/>
      <c r="AA391" s="478" t="str">
        <f>IF(AND(F392=G392,H392=I392,F392="A"),"2016 - kw","")</f>
        <v/>
      </c>
      <c r="AB391" s="478" t="str">
        <f>IF(OR(B391="2017 - kw",B391="2018 - kw"),"2016 - kw","")</f>
        <v/>
      </c>
      <c r="AC391" s="478"/>
      <c r="AD391" s="478"/>
      <c r="AE391" s="478"/>
    </row>
    <row r="392" spans="1:31" hidden="1" x14ac:dyDescent="0.25">
      <c r="A392" s="426"/>
      <c r="B392" s="426"/>
      <c r="C392" s="410"/>
      <c r="D392" s="376"/>
      <c r="E392" s="422" t="s">
        <v>381</v>
      </c>
      <c r="F392" s="458"/>
      <c r="G392" s="458"/>
      <c r="H392" s="458"/>
      <c r="I392" s="458"/>
      <c r="J392" s="458"/>
      <c r="K392" s="458"/>
      <c r="L392" s="458"/>
      <c r="M392" s="458"/>
      <c r="N392" s="458"/>
      <c r="O392" s="458"/>
      <c r="P392" s="426"/>
      <c r="Q392" s="426"/>
      <c r="R392" s="426"/>
      <c r="S392" s="426"/>
      <c r="T392" s="426"/>
      <c r="U392" s="426"/>
      <c r="V392" s="426"/>
      <c r="Z392" s="478"/>
      <c r="AA392" s="478"/>
      <c r="AB392" s="478"/>
      <c r="AC392" s="478"/>
      <c r="AD392" s="478"/>
      <c r="AE392" s="478"/>
    </row>
    <row r="393" spans="1:31" hidden="1" x14ac:dyDescent="0.25">
      <c r="A393" s="426" t="str">
        <f>IF(AND(F395=G395,H395=I395,J395=K395,F395="A"),"2016 - kwh",IF(AND(F395=G395,H395=I395,J395&lt;&gt;K395,F395="A"),"2017 - kwh",IF(AND(F395=G395,H395&lt;&gt;I395,F395="A"),"2018 - kwh","N/A")))</f>
        <v>N/A</v>
      </c>
      <c r="B393" s="426" t="str">
        <f>IF(AND(F395="A",G395="A"),"A","")</f>
        <v/>
      </c>
      <c r="C393" s="406" t="s">
        <v>502</v>
      </c>
      <c r="D393" s="460"/>
      <c r="E393" s="424" t="s">
        <v>379</v>
      </c>
      <c r="F393" s="459"/>
      <c r="G393" s="459"/>
      <c r="H393" s="459"/>
      <c r="I393" s="459"/>
      <c r="J393" s="459"/>
      <c r="K393" s="459"/>
      <c r="L393" s="459"/>
      <c r="M393" s="459"/>
      <c r="N393" s="459"/>
      <c r="O393" s="459"/>
      <c r="P393" s="426"/>
      <c r="Q393" s="426"/>
      <c r="R393" s="426"/>
      <c r="S393" s="426"/>
      <c r="T393" s="426"/>
      <c r="U393" s="426"/>
      <c r="V393" s="426"/>
      <c r="Z393" s="478"/>
      <c r="AA393" s="478" t="str">
        <f>IF(AND(F395=G395,H395=I395,F395="A"),"2016 - kwh","")</f>
        <v/>
      </c>
      <c r="AB393" s="478" t="str">
        <f>IF(OR(B393="2017 - kwh",B393="2018 - kwh"),"2016 - kwh","")</f>
        <v/>
      </c>
      <c r="AC393" s="478"/>
      <c r="AD393" s="478"/>
      <c r="AE393" s="478"/>
    </row>
    <row r="394" spans="1:31" hidden="1" x14ac:dyDescent="0.25">
      <c r="A394" s="426" t="str">
        <f>IF(AND(F395=G395,H395=I395,J395=K395,F395="A"),"2016 - kw",IF(AND(F395=G395,H395=I395,J395&lt;&gt;K395,F395="A"),"2017 - kw",IF(AND(F395=G395,H395&lt;&gt;I395,F395="A"),"2018 - kw","N/A")))</f>
        <v>N/A</v>
      </c>
      <c r="B394" s="426" t="str">
        <f>IF(AND(F395="A",G395="A"),"A","")</f>
        <v/>
      </c>
      <c r="C394" s="407"/>
      <c r="D394" s="420" t="str">
        <f>D393 &amp; "kW"</f>
        <v>kW</v>
      </c>
      <c r="E394" s="423" t="s">
        <v>380</v>
      </c>
      <c r="F394" s="459"/>
      <c r="G394" s="459"/>
      <c r="H394" s="459"/>
      <c r="I394" s="459"/>
      <c r="J394" s="459"/>
      <c r="K394" s="459"/>
      <c r="L394" s="459"/>
      <c r="M394" s="459"/>
      <c r="N394" s="459"/>
      <c r="O394" s="459"/>
      <c r="P394" s="426"/>
      <c r="Q394" s="426"/>
      <c r="R394" s="426"/>
      <c r="S394" s="426"/>
      <c r="T394" s="426"/>
      <c r="U394" s="426"/>
      <c r="V394" s="426"/>
      <c r="Z394" s="478"/>
      <c r="AA394" s="478" t="str">
        <f>IF(AND(F395=G395,H395=I395,F395="A"),"2016 - kw","")</f>
        <v/>
      </c>
      <c r="AB394" s="478" t="str">
        <f>IF(OR(B394="2017 - kw",B394="2018 - kw"),"2016 - kw","")</f>
        <v/>
      </c>
      <c r="AC394" s="478"/>
      <c r="AD394" s="478"/>
      <c r="AE394" s="478"/>
    </row>
    <row r="395" spans="1:31" hidden="1" x14ac:dyDescent="0.25">
      <c r="A395" s="426"/>
      <c r="B395" s="426"/>
      <c r="C395" s="410"/>
      <c r="D395" s="376"/>
      <c r="E395" s="422" t="s">
        <v>381</v>
      </c>
      <c r="F395" s="458"/>
      <c r="G395" s="458"/>
      <c r="H395" s="458"/>
      <c r="I395" s="458"/>
      <c r="J395" s="458"/>
      <c r="K395" s="458"/>
      <c r="L395" s="458"/>
      <c r="M395" s="458"/>
      <c r="N395" s="458"/>
      <c r="O395" s="458"/>
      <c r="P395" s="426"/>
      <c r="Q395" s="426"/>
      <c r="R395" s="426"/>
      <c r="S395" s="426"/>
      <c r="T395" s="426"/>
      <c r="U395" s="426"/>
      <c r="V395" s="426"/>
      <c r="Z395" s="478"/>
      <c r="AA395" s="478"/>
      <c r="AB395" s="478"/>
      <c r="AC395" s="478"/>
      <c r="AD395" s="478"/>
      <c r="AE395" s="478"/>
    </row>
    <row r="396" spans="1:31" hidden="1" x14ac:dyDescent="0.25">
      <c r="A396" s="426" t="str">
        <f>IF(AND(F398=G398,H398=I398,J398=K398,F398="A"),"2016 - kwh",IF(AND(F398=G398,H398=I398,J398&lt;&gt;K398,F398="A"),"2017 - kwh",IF(AND(F398=G398,H398&lt;&gt;I398,F398="A"),"2018 - kwh","N/A")))</f>
        <v>N/A</v>
      </c>
      <c r="B396" s="426" t="str">
        <f>IF(AND(F398="A",G398="A"),"A","")</f>
        <v/>
      </c>
      <c r="C396" s="406" t="s">
        <v>503</v>
      </c>
      <c r="D396" s="460"/>
      <c r="E396" s="424" t="s">
        <v>379</v>
      </c>
      <c r="F396" s="459"/>
      <c r="G396" s="459"/>
      <c r="H396" s="459"/>
      <c r="I396" s="459"/>
      <c r="J396" s="459"/>
      <c r="K396" s="459"/>
      <c r="L396" s="459"/>
      <c r="M396" s="459"/>
      <c r="N396" s="459"/>
      <c r="O396" s="459"/>
      <c r="P396" s="426"/>
      <c r="Q396" s="426"/>
      <c r="R396" s="426"/>
      <c r="S396" s="426"/>
      <c r="T396" s="426"/>
      <c r="U396" s="426"/>
      <c r="V396" s="426"/>
      <c r="Z396" s="478"/>
      <c r="AA396" s="478" t="str">
        <f>IF(AND(F398=G398,H398=I398,F398="A"),"2016 - kwh","")</f>
        <v/>
      </c>
      <c r="AB396" s="478" t="str">
        <f>IF(OR(B396="2017 - kwh",B396="2018 - kwh"),"2016 - kwh","")</f>
        <v/>
      </c>
      <c r="AC396" s="478"/>
      <c r="AD396" s="478"/>
      <c r="AE396" s="478"/>
    </row>
    <row r="397" spans="1:31" hidden="1" x14ac:dyDescent="0.25">
      <c r="A397" s="426" t="str">
        <f>IF(AND(F398=G398,H398=I398,J398=K398,F398="A"),"2016 - kw",IF(AND(F398=G398,H398=I398,J398&lt;&gt;K398,F398="A"),"2017 - kw",IF(AND(F398=G398,H398&lt;&gt;I398,F398="A"),"2018 - kw","N/A")))</f>
        <v>N/A</v>
      </c>
      <c r="B397" s="426" t="str">
        <f>IF(AND(F398="A",G398="A"),"A","")</f>
        <v/>
      </c>
      <c r="C397" s="407"/>
      <c r="D397" s="420" t="str">
        <f>D396 &amp; "kW"</f>
        <v>kW</v>
      </c>
      <c r="E397" s="423" t="s">
        <v>380</v>
      </c>
      <c r="F397" s="459"/>
      <c r="G397" s="459"/>
      <c r="H397" s="459"/>
      <c r="I397" s="459"/>
      <c r="J397" s="459"/>
      <c r="K397" s="459"/>
      <c r="L397" s="459"/>
      <c r="M397" s="459"/>
      <c r="N397" s="459"/>
      <c r="O397" s="459"/>
      <c r="P397" s="426"/>
      <c r="Q397" s="426"/>
      <c r="R397" s="426"/>
      <c r="S397" s="426"/>
      <c r="T397" s="426"/>
      <c r="U397" s="426"/>
      <c r="V397" s="426"/>
      <c r="Z397" s="478"/>
      <c r="AA397" s="478" t="str">
        <f>IF(AND(F398=G398,H398=I398,F398="A"),"2016 - kw","")</f>
        <v/>
      </c>
      <c r="AB397" s="478" t="str">
        <f>IF(OR(B397="2017 - kw",B397="2018 - kw"),"2016 - kw","")</f>
        <v/>
      </c>
      <c r="AC397" s="478"/>
      <c r="AD397" s="478"/>
      <c r="AE397" s="478"/>
    </row>
    <row r="398" spans="1:31" hidden="1" x14ac:dyDescent="0.25">
      <c r="A398" s="426"/>
      <c r="B398" s="426"/>
      <c r="C398" s="410"/>
      <c r="D398" s="376"/>
      <c r="E398" s="422" t="s">
        <v>381</v>
      </c>
      <c r="F398" s="458"/>
      <c r="G398" s="458"/>
      <c r="H398" s="458"/>
      <c r="I398" s="458"/>
      <c r="J398" s="458"/>
      <c r="K398" s="458"/>
      <c r="L398" s="458"/>
      <c r="M398" s="458"/>
      <c r="N398" s="458"/>
      <c r="O398" s="458"/>
      <c r="P398" s="426"/>
      <c r="Q398" s="426"/>
      <c r="R398" s="426"/>
      <c r="S398" s="426"/>
      <c r="T398" s="426"/>
      <c r="U398" s="426"/>
      <c r="V398" s="426"/>
      <c r="Z398" s="478"/>
      <c r="AA398" s="478"/>
      <c r="AB398" s="478"/>
      <c r="AC398" s="478"/>
      <c r="AD398" s="478"/>
      <c r="AE398" s="478"/>
    </row>
    <row r="399" spans="1:31" hidden="1" x14ac:dyDescent="0.25">
      <c r="A399" s="426" t="str">
        <f>IF(AND(F401=G401,H401=I401,J401=K401,F401="A"),"2016 - kwh",IF(AND(F401=G401,H401=I401,J401&lt;&gt;K401,F401="A"),"2017 - kwh",IF(AND(F401=G401,H401&lt;&gt;I401,F401="A"),"2018 - kwh","N/A")))</f>
        <v>N/A</v>
      </c>
      <c r="B399" s="426" t="str">
        <f>IF(AND(F401="A",G401="A"),"A","")</f>
        <v/>
      </c>
      <c r="C399" s="406" t="s">
        <v>504</v>
      </c>
      <c r="D399" s="460"/>
      <c r="E399" s="424" t="s">
        <v>379</v>
      </c>
      <c r="F399" s="459"/>
      <c r="G399" s="459"/>
      <c r="H399" s="459"/>
      <c r="I399" s="459"/>
      <c r="J399" s="459"/>
      <c r="K399" s="459"/>
      <c r="L399" s="459"/>
      <c r="M399" s="459"/>
      <c r="N399" s="459"/>
      <c r="O399" s="459"/>
      <c r="P399" s="426"/>
      <c r="Q399" s="426"/>
      <c r="R399" s="426"/>
      <c r="S399" s="426"/>
      <c r="T399" s="426"/>
      <c r="U399" s="426"/>
      <c r="V399" s="426"/>
      <c r="Z399" s="478"/>
      <c r="AA399" s="478" t="str">
        <f>IF(AND(F401=G401,H401=I401,F401="A"),"2016 - kwh","")</f>
        <v/>
      </c>
      <c r="AB399" s="478" t="str">
        <f>IF(OR(B399="2017 - kwh",B399="2018 - kwh"),"2016 - kwh","")</f>
        <v/>
      </c>
      <c r="AC399" s="478"/>
      <c r="AD399" s="478"/>
      <c r="AE399" s="478"/>
    </row>
    <row r="400" spans="1:31" hidden="1" x14ac:dyDescent="0.25">
      <c r="A400" s="426" t="str">
        <f>IF(AND(F401=G401,H401=I401,J401=K401,F401="A"),"2016 - kw",IF(AND(F401=G401,H401=I401,J401&lt;&gt;K401,F401="A"),"2017 - kw",IF(AND(F401=G401,H401&lt;&gt;I401,F401="A"),"2018 - kw","N/A")))</f>
        <v>N/A</v>
      </c>
      <c r="B400" s="426" t="str">
        <f>IF(AND(F401="A",G401="A"),"A","")</f>
        <v/>
      </c>
      <c r="C400" s="407"/>
      <c r="D400" s="420" t="str">
        <f>D399 &amp; "kW"</f>
        <v>kW</v>
      </c>
      <c r="E400" s="423" t="s">
        <v>380</v>
      </c>
      <c r="F400" s="459"/>
      <c r="G400" s="459"/>
      <c r="H400" s="459"/>
      <c r="I400" s="459"/>
      <c r="J400" s="459"/>
      <c r="K400" s="459"/>
      <c r="L400" s="459"/>
      <c r="M400" s="459"/>
      <c r="N400" s="459"/>
      <c r="O400" s="459"/>
      <c r="P400" s="426"/>
      <c r="Q400" s="426"/>
      <c r="R400" s="426"/>
      <c r="S400" s="426"/>
      <c r="T400" s="426"/>
      <c r="U400" s="426"/>
      <c r="V400" s="426"/>
      <c r="Z400" s="478"/>
      <c r="AA400" s="478" t="str">
        <f>IF(AND(F401=G401,H401=I401,F401="A"),"2016 - kw","")</f>
        <v/>
      </c>
      <c r="AB400" s="478" t="str">
        <f>IF(OR(B400="2017 - kw",B400="2018 - kw"),"2016 - kw","")</f>
        <v/>
      </c>
      <c r="AC400" s="478"/>
      <c r="AD400" s="478"/>
      <c r="AE400" s="478"/>
    </row>
    <row r="401" spans="1:31" hidden="1" x14ac:dyDescent="0.25">
      <c r="A401" s="426"/>
      <c r="B401" s="426"/>
      <c r="C401" s="410"/>
      <c r="D401" s="376"/>
      <c r="E401" s="422" t="s">
        <v>381</v>
      </c>
      <c r="F401" s="458"/>
      <c r="G401" s="458"/>
      <c r="H401" s="458"/>
      <c r="I401" s="458"/>
      <c r="J401" s="458"/>
      <c r="K401" s="458"/>
      <c r="L401" s="458"/>
      <c r="M401" s="458"/>
      <c r="N401" s="458"/>
      <c r="O401" s="458"/>
      <c r="P401" s="426"/>
      <c r="Q401" s="426"/>
      <c r="R401" s="426"/>
      <c r="S401" s="426"/>
      <c r="T401" s="426"/>
      <c r="U401" s="426"/>
      <c r="V401" s="426"/>
      <c r="Z401" s="478"/>
      <c r="AA401" s="478"/>
      <c r="AB401" s="478"/>
      <c r="AC401" s="478"/>
      <c r="AD401" s="478"/>
      <c r="AE401" s="478"/>
    </row>
    <row r="402" spans="1:31" hidden="1" x14ac:dyDescent="0.25">
      <c r="A402" s="426" t="str">
        <f>IF(AND(F404=G404,H404=I404,J404=K404,F404="A"),"2016 - kwh",IF(AND(F404=G404,H404=I404,J404&lt;&gt;K404,F404="A"),"2017 - kwh",IF(AND(F404=G404,H404&lt;&gt;I404,F404="A"),"2018 - kwh","N/A")))</f>
        <v>N/A</v>
      </c>
      <c r="B402" s="426" t="str">
        <f>IF(AND(F404="A",G404="A"),"A","")</f>
        <v/>
      </c>
      <c r="C402" s="406" t="s">
        <v>505</v>
      </c>
      <c r="D402" s="460"/>
      <c r="E402" s="424" t="s">
        <v>379</v>
      </c>
      <c r="F402" s="459"/>
      <c r="G402" s="459"/>
      <c r="H402" s="459"/>
      <c r="I402" s="459"/>
      <c r="J402" s="459"/>
      <c r="K402" s="459"/>
      <c r="L402" s="459"/>
      <c r="M402" s="459"/>
      <c r="N402" s="459"/>
      <c r="O402" s="459"/>
      <c r="P402" s="426"/>
      <c r="Q402" s="426"/>
      <c r="R402" s="426"/>
      <c r="S402" s="426"/>
      <c r="T402" s="426"/>
      <c r="U402" s="426"/>
      <c r="V402" s="426"/>
      <c r="Z402" s="478"/>
      <c r="AA402" s="478" t="str">
        <f>IF(AND(F404=G404,H404=I404,F404="A"),"2016 - kwh","")</f>
        <v/>
      </c>
      <c r="AB402" s="478" t="str">
        <f>IF(OR(B402="2017 - kwh",B402="2018 - kwh"),"2016 - kwh","")</f>
        <v/>
      </c>
      <c r="AC402" s="478"/>
      <c r="AD402" s="478"/>
      <c r="AE402" s="478"/>
    </row>
    <row r="403" spans="1:31" hidden="1" x14ac:dyDescent="0.25">
      <c r="A403" s="426" t="str">
        <f>IF(AND(F404=G404,H404=I404,J404=K404,F404="A"),"2016 - kw",IF(AND(F404=G404,H404=I404,J404&lt;&gt;K404,F404="A"),"2017 - kw",IF(AND(F404=G404,H404&lt;&gt;I404,F404="A"),"2018 - kw","N/A")))</f>
        <v>N/A</v>
      </c>
      <c r="B403" s="426" t="str">
        <f>IF(AND(F404="A",G404="A"),"A","")</f>
        <v/>
      </c>
      <c r="C403" s="407"/>
      <c r="D403" s="420" t="str">
        <f>D402 &amp; "kW"</f>
        <v>kW</v>
      </c>
      <c r="E403" s="423" t="s">
        <v>380</v>
      </c>
      <c r="F403" s="459"/>
      <c r="G403" s="459"/>
      <c r="H403" s="459"/>
      <c r="I403" s="459"/>
      <c r="J403" s="459"/>
      <c r="K403" s="459"/>
      <c r="L403" s="459"/>
      <c r="M403" s="459"/>
      <c r="N403" s="459"/>
      <c r="O403" s="459"/>
      <c r="P403" s="426"/>
      <c r="Q403" s="426"/>
      <c r="R403" s="426"/>
      <c r="S403" s="426"/>
      <c r="T403" s="426"/>
      <c r="U403" s="426"/>
      <c r="V403" s="426"/>
      <c r="Z403" s="478"/>
      <c r="AA403" s="478" t="str">
        <f>IF(AND(F404=G404,H404=I404,F404="A"),"2016 - kw","")</f>
        <v/>
      </c>
      <c r="AB403" s="478" t="str">
        <f>IF(OR(B403="2017 - kw",B403="2018 - kw"),"2016 - kw","")</f>
        <v/>
      </c>
      <c r="AC403" s="478"/>
      <c r="AD403" s="478"/>
      <c r="AE403" s="478"/>
    </row>
    <row r="404" spans="1:31" hidden="1" x14ac:dyDescent="0.25">
      <c r="A404" s="426"/>
      <c r="B404" s="426"/>
      <c r="C404" s="410"/>
      <c r="D404" s="376"/>
      <c r="E404" s="422" t="s">
        <v>381</v>
      </c>
      <c r="F404" s="458"/>
      <c r="G404" s="458"/>
      <c r="H404" s="458"/>
      <c r="I404" s="458"/>
      <c r="J404" s="458"/>
      <c r="K404" s="458"/>
      <c r="L404" s="458"/>
      <c r="M404" s="458"/>
      <c r="N404" s="458"/>
      <c r="O404" s="458"/>
      <c r="P404" s="426"/>
      <c r="Q404" s="426"/>
      <c r="R404" s="426"/>
      <c r="S404" s="426"/>
      <c r="T404" s="426"/>
      <c r="U404" s="426"/>
      <c r="V404" s="426"/>
      <c r="Z404" s="478"/>
      <c r="AA404" s="478"/>
      <c r="AB404" s="478"/>
      <c r="AC404" s="478"/>
      <c r="AD404" s="478"/>
      <c r="AE404" s="478"/>
    </row>
    <row r="405" spans="1:31" hidden="1" x14ac:dyDescent="0.25">
      <c r="A405" s="426" t="str">
        <f>IF(AND(F407=G407,H407=I407,J407=K407,F407="A"),"2016 - kwh",IF(AND(F407=G407,H407=I407,J407&lt;&gt;K407,F407="A"),"2017 - kwh",IF(AND(F407=G407,H407&lt;&gt;I407,F407="A"),"2018 - kwh","N/A")))</f>
        <v>N/A</v>
      </c>
      <c r="B405" s="426" t="str">
        <f>IF(AND(F407="A",G407="A"),"A","")</f>
        <v/>
      </c>
      <c r="C405" s="406" t="s">
        <v>506</v>
      </c>
      <c r="D405" s="460"/>
      <c r="E405" s="424" t="s">
        <v>379</v>
      </c>
      <c r="F405" s="459"/>
      <c r="G405" s="459"/>
      <c r="H405" s="459"/>
      <c r="I405" s="459"/>
      <c r="J405" s="459"/>
      <c r="K405" s="459"/>
      <c r="L405" s="459"/>
      <c r="M405" s="459"/>
      <c r="N405" s="459"/>
      <c r="O405" s="459"/>
      <c r="P405" s="426"/>
      <c r="Q405" s="426"/>
      <c r="R405" s="426"/>
      <c r="S405" s="426"/>
      <c r="T405" s="426"/>
      <c r="U405" s="426"/>
      <c r="V405" s="426"/>
      <c r="Z405" s="478"/>
      <c r="AA405" s="478" t="str">
        <f>IF(AND(F407=G407,H407=I407,F407="A"),"2016 - kwh","")</f>
        <v/>
      </c>
      <c r="AB405" s="478" t="str">
        <f>IF(OR(B405="2017 - kwh",B405="2018 - kwh"),"2016 - kwh","")</f>
        <v/>
      </c>
      <c r="AC405" s="478"/>
      <c r="AD405" s="478"/>
      <c r="AE405" s="478"/>
    </row>
    <row r="406" spans="1:31" hidden="1" x14ac:dyDescent="0.25">
      <c r="A406" s="426" t="str">
        <f>IF(AND(F407=G407,H407=I407,J407=K407,F407="A"),"2016 - kw",IF(AND(F407=G407,H407=I407,J407&lt;&gt;K407,F407="A"),"2017 - kw",IF(AND(F407=G407,H407&lt;&gt;I407,F407="A"),"2018 - kw","N/A")))</f>
        <v>N/A</v>
      </c>
      <c r="B406" s="426" t="str">
        <f>IF(AND(F407="A",G407="A"),"A","")</f>
        <v/>
      </c>
      <c r="C406" s="407"/>
      <c r="D406" s="420" t="str">
        <f>D405 &amp; "kW"</f>
        <v>kW</v>
      </c>
      <c r="E406" s="423" t="s">
        <v>380</v>
      </c>
      <c r="F406" s="459"/>
      <c r="G406" s="459"/>
      <c r="H406" s="459"/>
      <c r="I406" s="459"/>
      <c r="J406" s="459"/>
      <c r="K406" s="459"/>
      <c r="L406" s="459"/>
      <c r="M406" s="459"/>
      <c r="N406" s="459"/>
      <c r="O406" s="459"/>
      <c r="P406" s="426"/>
      <c r="Q406" s="426"/>
      <c r="R406" s="426"/>
      <c r="S406" s="426"/>
      <c r="T406" s="426"/>
      <c r="U406" s="426"/>
      <c r="V406" s="426"/>
      <c r="Z406" s="478"/>
      <c r="AA406" s="478" t="str">
        <f>IF(AND(F407=G407,H407=I407,F407="A"),"2016 - kw","")</f>
        <v/>
      </c>
      <c r="AB406" s="478" t="str">
        <f>IF(OR(B406="2017 - kw",B406="2018 - kw"),"2016 - kw","")</f>
        <v/>
      </c>
      <c r="AC406" s="478"/>
      <c r="AD406" s="478"/>
      <c r="AE406" s="478"/>
    </row>
    <row r="407" spans="1:31" hidden="1" x14ac:dyDescent="0.25">
      <c r="A407" s="426"/>
      <c r="B407" s="426"/>
      <c r="C407" s="410"/>
      <c r="D407" s="376"/>
      <c r="E407" s="422" t="s">
        <v>381</v>
      </c>
      <c r="F407" s="458"/>
      <c r="G407" s="458"/>
      <c r="H407" s="458"/>
      <c r="I407" s="458"/>
      <c r="J407" s="458"/>
      <c r="K407" s="458"/>
      <c r="L407" s="458"/>
      <c r="M407" s="458"/>
      <c r="N407" s="458"/>
      <c r="O407" s="458"/>
      <c r="P407" s="426"/>
      <c r="Q407" s="426"/>
      <c r="R407" s="426"/>
      <c r="S407" s="426"/>
      <c r="T407" s="426"/>
      <c r="U407" s="426"/>
      <c r="V407" s="426"/>
      <c r="Z407" s="478"/>
      <c r="AA407" s="478"/>
      <c r="AB407" s="478"/>
      <c r="AC407" s="478"/>
      <c r="AD407" s="478"/>
      <c r="AE407" s="478"/>
    </row>
    <row r="408" spans="1:31" hidden="1" x14ac:dyDescent="0.25">
      <c r="A408" s="426" t="str">
        <f>IF(AND(F410=G410,H410=I410,J410=K410,F410="A"),"2016 - kwh",IF(AND(F410=G410,H410=I410,J410&lt;&gt;K410,F410="A"),"2017 - kwh",IF(AND(F410=G410,H410&lt;&gt;I410,F410="A"),"2018 - kwh","N/A")))</f>
        <v>N/A</v>
      </c>
      <c r="B408" s="426" t="str">
        <f>IF(AND(F410="A",G410="A"),"A","")</f>
        <v/>
      </c>
      <c r="C408" s="406" t="s">
        <v>507</v>
      </c>
      <c r="D408" s="460"/>
      <c r="E408" s="424" t="s">
        <v>379</v>
      </c>
      <c r="F408" s="459"/>
      <c r="G408" s="459"/>
      <c r="H408" s="459"/>
      <c r="I408" s="459"/>
      <c r="J408" s="459"/>
      <c r="K408" s="459"/>
      <c r="L408" s="459"/>
      <c r="M408" s="459"/>
      <c r="N408" s="459"/>
      <c r="O408" s="459"/>
      <c r="P408" s="426"/>
      <c r="Q408" s="426"/>
      <c r="R408" s="426"/>
      <c r="S408" s="426"/>
      <c r="T408" s="426"/>
      <c r="U408" s="426"/>
      <c r="V408" s="426"/>
      <c r="Z408" s="478"/>
      <c r="AA408" s="478" t="str">
        <f>IF(AND(F410=G410,H410=I410,F410="A"),"2016 - kwh","")</f>
        <v/>
      </c>
      <c r="AB408" s="478" t="str">
        <f>IF(OR(B408="2017 - kwh",B408="2018 - kwh"),"2016 - kwh","")</f>
        <v/>
      </c>
      <c r="AC408" s="478"/>
      <c r="AD408" s="478"/>
      <c r="AE408" s="478"/>
    </row>
    <row r="409" spans="1:31" hidden="1" x14ac:dyDescent="0.25">
      <c r="A409" s="426" t="str">
        <f>IF(AND(F410=G410,H410=I410,J410=K410,F410="A"),"2016 - kw",IF(AND(F410=G410,H410=I410,J410&lt;&gt;K410,F410="A"),"2017 - kw",IF(AND(F410=G410,H410&lt;&gt;I410,F410="A"),"2018 - kw","N/A")))</f>
        <v>N/A</v>
      </c>
      <c r="B409" s="426" t="str">
        <f>IF(AND(F410="A",G410="A"),"A","")</f>
        <v/>
      </c>
      <c r="C409" s="407"/>
      <c r="D409" s="420" t="str">
        <f>D408 &amp; "kW"</f>
        <v>kW</v>
      </c>
      <c r="E409" s="423" t="s">
        <v>380</v>
      </c>
      <c r="F409" s="459"/>
      <c r="G409" s="459"/>
      <c r="H409" s="459"/>
      <c r="I409" s="459"/>
      <c r="J409" s="459"/>
      <c r="K409" s="459"/>
      <c r="L409" s="459"/>
      <c r="M409" s="459"/>
      <c r="N409" s="459"/>
      <c r="O409" s="459"/>
      <c r="P409" s="426"/>
      <c r="Q409" s="426"/>
      <c r="R409" s="426"/>
      <c r="S409" s="426"/>
      <c r="T409" s="426"/>
      <c r="U409" s="426"/>
      <c r="V409" s="426"/>
      <c r="Z409" s="478"/>
      <c r="AA409" s="478" t="str">
        <f>IF(AND(F410=G410,H410=I410,F410="A"),"2016 - kw","")</f>
        <v/>
      </c>
      <c r="AB409" s="478" t="str">
        <f>IF(OR(B409="2017 - kw",B409="2018 - kw"),"2016 - kw","")</f>
        <v/>
      </c>
      <c r="AC409" s="478"/>
      <c r="AD409" s="478"/>
      <c r="AE409" s="478"/>
    </row>
    <row r="410" spans="1:31" hidden="1" x14ac:dyDescent="0.25">
      <c r="A410" s="426"/>
      <c r="B410" s="426"/>
      <c r="C410" s="410"/>
      <c r="D410" s="376"/>
      <c r="E410" s="422" t="s">
        <v>381</v>
      </c>
      <c r="F410" s="458"/>
      <c r="G410" s="458"/>
      <c r="H410" s="458"/>
      <c r="I410" s="458"/>
      <c r="J410" s="458"/>
      <c r="K410" s="458"/>
      <c r="L410" s="458"/>
      <c r="M410" s="458"/>
      <c r="N410" s="458"/>
      <c r="O410" s="458"/>
      <c r="P410" s="426"/>
      <c r="Q410" s="426"/>
      <c r="R410" s="426"/>
      <c r="S410" s="426"/>
      <c r="T410" s="426"/>
      <c r="U410" s="426"/>
      <c r="V410" s="426"/>
      <c r="Z410" s="478"/>
      <c r="AA410" s="478"/>
      <c r="AB410" s="478"/>
      <c r="AC410" s="478"/>
      <c r="AD410" s="478"/>
      <c r="AE410" s="478"/>
    </row>
    <row r="411" spans="1:31" hidden="1" x14ac:dyDescent="0.25">
      <c r="A411" s="426" t="str">
        <f>IF(AND(F413=G413,H413=I413,J413=K413,F413="A"),"2016 - kwh",IF(AND(F413=G413,H413=I413,J413&lt;&gt;K413,F413="A"),"2017 - kwh",IF(AND(F413=G413,H413&lt;&gt;I413,F413="A"),"2018 - kwh","N/A")))</f>
        <v>N/A</v>
      </c>
      <c r="B411" s="426" t="str">
        <f>IF(AND(F413="A",G413="A"),"A","")</f>
        <v/>
      </c>
      <c r="C411" s="406" t="s">
        <v>508</v>
      </c>
      <c r="D411" s="460"/>
      <c r="E411" s="424" t="s">
        <v>379</v>
      </c>
      <c r="F411" s="459"/>
      <c r="G411" s="459"/>
      <c r="H411" s="459"/>
      <c r="I411" s="459"/>
      <c r="J411" s="459"/>
      <c r="K411" s="459"/>
      <c r="L411" s="459"/>
      <c r="M411" s="459"/>
      <c r="N411" s="459"/>
      <c r="O411" s="459"/>
      <c r="P411" s="426"/>
      <c r="Q411" s="426"/>
      <c r="R411" s="426"/>
      <c r="S411" s="426"/>
      <c r="T411" s="426"/>
      <c r="U411" s="426"/>
      <c r="V411" s="426"/>
      <c r="Z411" s="478"/>
      <c r="AA411" s="478" t="str">
        <f>IF(AND(F413=G413,H413=I413,F413="A"),"2016 - kwh","")</f>
        <v/>
      </c>
      <c r="AB411" s="478" t="str">
        <f>IF(OR(B411="2017 - kwh",B411="2018 - kwh"),"2016 - kwh","")</f>
        <v/>
      </c>
      <c r="AC411" s="478"/>
      <c r="AD411" s="478"/>
      <c r="AE411" s="478"/>
    </row>
    <row r="412" spans="1:31" hidden="1" x14ac:dyDescent="0.25">
      <c r="A412" s="426" t="str">
        <f>IF(AND(F413=G413,H413=I413,J413=K413,F413="A"),"2016 - kw",IF(AND(F413=G413,H413=I413,J413&lt;&gt;K413,F413="A"),"2017 - kw",IF(AND(F413=G413,H413&lt;&gt;I413,F413="A"),"2018 - kw","N/A")))</f>
        <v>N/A</v>
      </c>
      <c r="B412" s="426" t="str">
        <f>IF(AND(F413="A",G413="A"),"A","")</f>
        <v/>
      </c>
      <c r="C412" s="407"/>
      <c r="D412" s="420" t="str">
        <f>D411 &amp; "kW"</f>
        <v>kW</v>
      </c>
      <c r="E412" s="423" t="s">
        <v>380</v>
      </c>
      <c r="F412" s="459"/>
      <c r="G412" s="459"/>
      <c r="H412" s="459"/>
      <c r="I412" s="459"/>
      <c r="J412" s="459"/>
      <c r="K412" s="459"/>
      <c r="L412" s="459"/>
      <c r="M412" s="459"/>
      <c r="N412" s="459"/>
      <c r="O412" s="459"/>
      <c r="P412" s="426"/>
      <c r="Q412" s="426"/>
      <c r="R412" s="426"/>
      <c r="S412" s="426"/>
      <c r="T412" s="426"/>
      <c r="U412" s="426"/>
      <c r="V412" s="426"/>
      <c r="Z412" s="478"/>
      <c r="AA412" s="478" t="str">
        <f>IF(AND(F413=G413,H413=I413,F413="A"),"2016 - kw","")</f>
        <v/>
      </c>
      <c r="AB412" s="478" t="str">
        <f>IF(OR(B412="2017 - kw",B412="2018 - kw"),"2016 - kw","")</f>
        <v/>
      </c>
      <c r="AC412" s="478"/>
      <c r="AD412" s="478"/>
      <c r="AE412" s="478"/>
    </row>
    <row r="413" spans="1:31" hidden="1" x14ac:dyDescent="0.25">
      <c r="A413" s="426"/>
      <c r="B413" s="426"/>
      <c r="C413" s="410"/>
      <c r="D413" s="376"/>
      <c r="E413" s="422" t="s">
        <v>381</v>
      </c>
      <c r="F413" s="458"/>
      <c r="G413" s="458"/>
      <c r="H413" s="458"/>
      <c r="I413" s="458"/>
      <c r="J413" s="458"/>
      <c r="K413" s="458"/>
      <c r="L413" s="458"/>
      <c r="M413" s="458"/>
      <c r="N413" s="458"/>
      <c r="O413" s="458"/>
      <c r="P413" s="426"/>
      <c r="Q413" s="426"/>
      <c r="R413" s="426"/>
      <c r="S413" s="426"/>
      <c r="T413" s="426"/>
      <c r="U413" s="426"/>
      <c r="V413" s="426"/>
      <c r="Z413" s="478"/>
      <c r="AA413" s="478"/>
      <c r="AB413" s="478"/>
      <c r="AC413" s="478"/>
      <c r="AD413" s="478"/>
      <c r="AE413" s="478"/>
    </row>
    <row r="414" spans="1:31" hidden="1" x14ac:dyDescent="0.25">
      <c r="A414" s="426" t="str">
        <f>IF(AND(F416=G416,H416=I416,J416=K416,F416="A"),"2016 - kwh",IF(AND(F416=G416,H416=I416,J416&lt;&gt;K416,F416="A"),"2017 - kwh",IF(AND(F416=G416,H416&lt;&gt;I416,F416="A"),"2018 - kwh","N/A")))</f>
        <v>N/A</v>
      </c>
      <c r="B414" s="426" t="str">
        <f>IF(AND(F416="A",G416="A"),"A","")</f>
        <v/>
      </c>
      <c r="C414" s="406" t="s">
        <v>509</v>
      </c>
      <c r="D414" s="460"/>
      <c r="E414" s="424" t="s">
        <v>379</v>
      </c>
      <c r="F414" s="459"/>
      <c r="G414" s="459"/>
      <c r="H414" s="459"/>
      <c r="I414" s="459"/>
      <c r="J414" s="459"/>
      <c r="K414" s="459"/>
      <c r="L414" s="459"/>
      <c r="M414" s="459"/>
      <c r="N414" s="459"/>
      <c r="O414" s="459"/>
      <c r="P414" s="426"/>
      <c r="Q414" s="426"/>
      <c r="R414" s="426"/>
      <c r="S414" s="426"/>
      <c r="T414" s="426"/>
      <c r="U414" s="426"/>
      <c r="V414" s="426"/>
      <c r="Z414" s="478"/>
      <c r="AA414" s="478" t="str">
        <f>IF(AND(F416=G416,H416=I416,F416="A"),"2016 - kwh","")</f>
        <v/>
      </c>
      <c r="AB414" s="478" t="str">
        <f>IF(OR(B414="2017 - kwh",B414="2018 - kwh"),"2016 - kwh","")</f>
        <v/>
      </c>
      <c r="AC414" s="478"/>
      <c r="AD414" s="478"/>
      <c r="AE414" s="478"/>
    </row>
    <row r="415" spans="1:31" hidden="1" x14ac:dyDescent="0.25">
      <c r="A415" s="426" t="str">
        <f>IF(AND(F416=G416,H416=I416,J416=K416,F416="A"),"2016 - kw",IF(AND(F416=G416,H416=I416,J416&lt;&gt;K416,F416="A"),"2017 - kw",IF(AND(F416=G416,H416&lt;&gt;I416,F416="A"),"2018 - kw","N/A")))</f>
        <v>N/A</v>
      </c>
      <c r="B415" s="426" t="str">
        <f>IF(AND(F416="A",G416="A"),"A","")</f>
        <v/>
      </c>
      <c r="C415" s="407"/>
      <c r="D415" s="420" t="str">
        <f>D414 &amp; "kW"</f>
        <v>kW</v>
      </c>
      <c r="E415" s="423" t="s">
        <v>380</v>
      </c>
      <c r="F415" s="459"/>
      <c r="G415" s="459"/>
      <c r="H415" s="459"/>
      <c r="I415" s="459"/>
      <c r="J415" s="459"/>
      <c r="K415" s="459"/>
      <c r="L415" s="459"/>
      <c r="M415" s="459"/>
      <c r="N415" s="459"/>
      <c r="O415" s="459"/>
      <c r="P415" s="426"/>
      <c r="Q415" s="426"/>
      <c r="R415" s="426"/>
      <c r="S415" s="426"/>
      <c r="T415" s="426"/>
      <c r="U415" s="426"/>
      <c r="V415" s="426"/>
      <c r="Z415" s="478"/>
      <c r="AA415" s="478" t="str">
        <f>IF(AND(F416=G416,H416=I416,F416="A"),"2016 - kw","")</f>
        <v/>
      </c>
      <c r="AB415" s="478" t="str">
        <f>IF(OR(B415="2017 - kw",B415="2018 - kw"),"2016 - kw","")</f>
        <v/>
      </c>
      <c r="AC415" s="478"/>
      <c r="AD415" s="478"/>
      <c r="AE415" s="478"/>
    </row>
    <row r="416" spans="1:31" hidden="1" x14ac:dyDescent="0.25">
      <c r="A416" s="426"/>
      <c r="B416" s="426"/>
      <c r="C416" s="410"/>
      <c r="D416" s="376"/>
      <c r="E416" s="422" t="s">
        <v>381</v>
      </c>
      <c r="F416" s="458"/>
      <c r="G416" s="458"/>
      <c r="H416" s="458"/>
      <c r="I416" s="458"/>
      <c r="J416" s="458"/>
      <c r="K416" s="458"/>
      <c r="L416" s="458"/>
      <c r="M416" s="458"/>
      <c r="N416" s="458"/>
      <c r="O416" s="458"/>
      <c r="P416" s="426"/>
      <c r="Q416" s="426"/>
      <c r="R416" s="426"/>
      <c r="S416" s="426"/>
      <c r="T416" s="426"/>
      <c r="U416" s="426"/>
      <c r="V416" s="426"/>
      <c r="Z416" s="478"/>
      <c r="AA416" s="478"/>
      <c r="AB416" s="478"/>
      <c r="AC416" s="478"/>
      <c r="AD416" s="478"/>
      <c r="AE416" s="478"/>
    </row>
    <row r="417" spans="1:31" hidden="1" x14ac:dyDescent="0.25">
      <c r="A417" s="426" t="str">
        <f>IF(AND(F419=G419,H419=I419,J419=K419,F419="A"),"2016 - kwh",IF(AND(F419=G419,H419=I419,J419&lt;&gt;K419,F419="A"),"2017 - kwh",IF(AND(F419=G419,H419&lt;&gt;I419,F419="A"),"2018 - kwh","N/A")))</f>
        <v>N/A</v>
      </c>
      <c r="B417" s="426" t="str">
        <f>IF(AND(F419="A",G419="A"),"A","")</f>
        <v/>
      </c>
      <c r="C417" s="406" t="s">
        <v>510</v>
      </c>
      <c r="D417" s="460"/>
      <c r="E417" s="424" t="s">
        <v>379</v>
      </c>
      <c r="F417" s="459"/>
      <c r="G417" s="459"/>
      <c r="H417" s="459"/>
      <c r="I417" s="459"/>
      <c r="J417" s="459"/>
      <c r="K417" s="459"/>
      <c r="L417" s="459"/>
      <c r="M417" s="459"/>
      <c r="N417" s="459"/>
      <c r="O417" s="459"/>
      <c r="P417" s="426"/>
      <c r="Q417" s="426"/>
      <c r="R417" s="426"/>
      <c r="S417" s="426"/>
      <c r="T417" s="426"/>
      <c r="U417" s="426"/>
      <c r="V417" s="426"/>
      <c r="Z417" s="478"/>
      <c r="AA417" s="478" t="str">
        <f>IF(AND(F419=G419,H419=I419,F419="A"),"2016 - kwh","")</f>
        <v/>
      </c>
      <c r="AB417" s="478" t="str">
        <f>IF(OR(B417="2017 - kwh",B417="2018 - kwh"),"2016 - kwh","")</f>
        <v/>
      </c>
      <c r="AC417" s="478"/>
      <c r="AD417" s="478"/>
      <c r="AE417" s="478"/>
    </row>
    <row r="418" spans="1:31" hidden="1" x14ac:dyDescent="0.25">
      <c r="A418" s="426" t="str">
        <f>IF(AND(F419=G419,H419=I419,J419=K419,F419="A"),"2016 - kw",IF(AND(F419=G419,H419=I419,J419&lt;&gt;K419,F419="A"),"2017 - kw",IF(AND(F419=G419,H419&lt;&gt;I419,F419="A"),"2018 - kw","N/A")))</f>
        <v>N/A</v>
      </c>
      <c r="B418" s="426" t="str">
        <f>IF(AND(F419="A",G419="A"),"A","")</f>
        <v/>
      </c>
      <c r="C418" s="407"/>
      <c r="D418" s="420" t="str">
        <f>D417 &amp; "kW"</f>
        <v>kW</v>
      </c>
      <c r="E418" s="423" t="s">
        <v>380</v>
      </c>
      <c r="F418" s="459"/>
      <c r="G418" s="459"/>
      <c r="H418" s="459"/>
      <c r="I418" s="459"/>
      <c r="J418" s="459"/>
      <c r="K418" s="459"/>
      <c r="L418" s="459"/>
      <c r="M418" s="459"/>
      <c r="N418" s="459"/>
      <c r="O418" s="459"/>
      <c r="P418" s="426"/>
      <c r="Q418" s="426"/>
      <c r="R418" s="426"/>
      <c r="S418" s="426"/>
      <c r="T418" s="426"/>
      <c r="U418" s="426"/>
      <c r="V418" s="426"/>
      <c r="Z418" s="478"/>
      <c r="AA418" s="478" t="str">
        <f>IF(AND(F419=G419,H419=I419,F419="A"),"2016 - kw","")</f>
        <v/>
      </c>
      <c r="AB418" s="478" t="str">
        <f>IF(OR(B418="2017 - kw",B418="2018 - kw"),"2016 - kw","")</f>
        <v/>
      </c>
      <c r="AC418" s="478"/>
      <c r="AD418" s="478"/>
      <c r="AE418" s="478"/>
    </row>
    <row r="419" spans="1:31" hidden="1" x14ac:dyDescent="0.25">
      <c r="A419" s="426"/>
      <c r="B419" s="426"/>
      <c r="C419" s="410"/>
      <c r="D419" s="376"/>
      <c r="E419" s="422" t="s">
        <v>381</v>
      </c>
      <c r="F419" s="458"/>
      <c r="G419" s="458"/>
      <c r="H419" s="458"/>
      <c r="I419" s="458"/>
      <c r="J419" s="458"/>
      <c r="K419" s="458"/>
      <c r="L419" s="458"/>
      <c r="M419" s="458"/>
      <c r="N419" s="458"/>
      <c r="O419" s="458"/>
      <c r="P419" s="426"/>
      <c r="Q419" s="426"/>
      <c r="R419" s="426"/>
      <c r="S419" s="426"/>
      <c r="T419" s="426"/>
      <c r="U419" s="426"/>
      <c r="V419" s="426"/>
      <c r="Z419" s="478"/>
      <c r="AA419" s="478"/>
      <c r="AB419" s="478"/>
      <c r="AC419" s="478"/>
      <c r="AD419" s="478"/>
      <c r="AE419" s="478"/>
    </row>
    <row r="420" spans="1:31" hidden="1" x14ac:dyDescent="0.25">
      <c r="A420" s="426" t="str">
        <f>IF(AND(F422=G422,H422=I422,J422=K422,F422="A"),"2016 - kwh",IF(AND(F422=G422,H422=I422,J422&lt;&gt;K422,F422="A"),"2017 - kwh",IF(AND(F422=G422,H422&lt;&gt;I422,F422="A"),"2018 - kwh","N/A")))</f>
        <v>N/A</v>
      </c>
      <c r="B420" s="426" t="str">
        <f>IF(AND(F422="A",G422="A"),"A","")</f>
        <v/>
      </c>
      <c r="C420" s="406" t="s">
        <v>511</v>
      </c>
      <c r="D420" s="460"/>
      <c r="E420" s="424" t="s">
        <v>379</v>
      </c>
      <c r="F420" s="459"/>
      <c r="G420" s="459"/>
      <c r="H420" s="459"/>
      <c r="I420" s="459"/>
      <c r="J420" s="459"/>
      <c r="K420" s="459"/>
      <c r="L420" s="459"/>
      <c r="M420" s="459"/>
      <c r="N420" s="459"/>
      <c r="O420" s="459"/>
      <c r="P420" s="426"/>
      <c r="Q420" s="426"/>
      <c r="R420" s="426"/>
      <c r="S420" s="426"/>
      <c r="T420" s="426"/>
      <c r="U420" s="426"/>
      <c r="V420" s="426"/>
      <c r="Z420" s="478"/>
      <c r="AA420" s="478" t="str">
        <f>IF(AND(F422=G422,H422=I422,F422="A"),"2016 - kwh","")</f>
        <v/>
      </c>
      <c r="AB420" s="478" t="str">
        <f>IF(OR(B420="2017 - kwh",B420="2018 - kwh"),"2016 - kwh","")</f>
        <v/>
      </c>
      <c r="AC420" s="478"/>
      <c r="AD420" s="478"/>
      <c r="AE420" s="478"/>
    </row>
    <row r="421" spans="1:31" hidden="1" x14ac:dyDescent="0.25">
      <c r="A421" s="426" t="str">
        <f>IF(AND(F422=G422,H422=I422,J422=K422,F422="A"),"2016 - kw",IF(AND(F422=G422,H422=I422,J422&lt;&gt;K422,F422="A"),"2017 - kw",IF(AND(F422=G422,H422&lt;&gt;I422,F422="A"),"2018 - kw","N/A")))</f>
        <v>N/A</v>
      </c>
      <c r="B421" s="426" t="str">
        <f>IF(AND(F422="A",G422="A"),"A","")</f>
        <v/>
      </c>
      <c r="C421" s="407"/>
      <c r="D421" s="420" t="str">
        <f>D420 &amp; "kW"</f>
        <v>kW</v>
      </c>
      <c r="E421" s="423" t="s">
        <v>380</v>
      </c>
      <c r="F421" s="459"/>
      <c r="G421" s="459"/>
      <c r="H421" s="459"/>
      <c r="I421" s="459"/>
      <c r="J421" s="459"/>
      <c r="K421" s="459"/>
      <c r="L421" s="459"/>
      <c r="M421" s="459"/>
      <c r="N421" s="459"/>
      <c r="O421" s="459"/>
      <c r="P421" s="426"/>
      <c r="Q421" s="426"/>
      <c r="R421" s="426"/>
      <c r="S421" s="426"/>
      <c r="T421" s="426"/>
      <c r="U421" s="426"/>
      <c r="V421" s="426"/>
      <c r="Z421" s="478"/>
      <c r="AA421" s="478" t="str">
        <f>IF(AND(F422=G422,H422=I422,F422="A"),"2016 - kw","")</f>
        <v/>
      </c>
      <c r="AB421" s="478" t="str">
        <f>IF(OR(B421="2017 - kw",B421="2018 - kw"),"2016 - kw","")</f>
        <v/>
      </c>
      <c r="AC421" s="478"/>
      <c r="AD421" s="478"/>
      <c r="AE421" s="478"/>
    </row>
    <row r="422" spans="1:31" hidden="1" x14ac:dyDescent="0.25">
      <c r="A422" s="426"/>
      <c r="B422" s="426"/>
      <c r="C422" s="410"/>
      <c r="D422" s="376"/>
      <c r="E422" s="422" t="s">
        <v>381</v>
      </c>
      <c r="F422" s="458"/>
      <c r="G422" s="458"/>
      <c r="H422" s="458"/>
      <c r="I422" s="458"/>
      <c r="J422" s="458"/>
      <c r="K422" s="458"/>
      <c r="L422" s="458"/>
      <c r="M422" s="458"/>
      <c r="N422" s="458"/>
      <c r="O422" s="458"/>
      <c r="P422" s="426"/>
      <c r="Q422" s="426"/>
      <c r="R422" s="426"/>
      <c r="S422" s="426"/>
      <c r="T422" s="426"/>
      <c r="U422" s="426"/>
      <c r="V422" s="426"/>
      <c r="Z422" s="478"/>
      <c r="AA422" s="478"/>
      <c r="AB422" s="478"/>
      <c r="AC422" s="478"/>
      <c r="AD422" s="478"/>
      <c r="AE422" s="478"/>
    </row>
    <row r="423" spans="1:31" hidden="1" x14ac:dyDescent="0.25">
      <c r="A423" s="426" t="str">
        <f>IF(AND(F425=G425,H425=I425,J425=K425,F425="A"),"2016 - kwh",IF(AND(F425=G425,H425=I425,J425&lt;&gt;K425,F425="A"),"2017 - kwh",IF(AND(F425=G425,H425&lt;&gt;I425,F425="A"),"2018 - kwh","N/A")))</f>
        <v>N/A</v>
      </c>
      <c r="B423" s="426" t="str">
        <f>IF(AND(F425="A",G425="A"),"A","")</f>
        <v/>
      </c>
      <c r="C423" s="406" t="s">
        <v>512</v>
      </c>
      <c r="D423" s="460"/>
      <c r="E423" s="424" t="s">
        <v>379</v>
      </c>
      <c r="F423" s="459"/>
      <c r="G423" s="459"/>
      <c r="H423" s="459"/>
      <c r="I423" s="459"/>
      <c r="J423" s="459"/>
      <c r="K423" s="459"/>
      <c r="L423" s="459"/>
      <c r="M423" s="459"/>
      <c r="N423" s="459"/>
      <c r="O423" s="459"/>
      <c r="P423" s="426"/>
      <c r="Q423" s="426"/>
      <c r="R423" s="426"/>
      <c r="S423" s="426"/>
      <c r="T423" s="426"/>
      <c r="U423" s="426"/>
      <c r="V423" s="426"/>
      <c r="Z423" s="478"/>
      <c r="AA423" s="478" t="str">
        <f>IF(AND(F425=G425,H425=I425,F425="A"),"2016 - kwh","")</f>
        <v/>
      </c>
      <c r="AB423" s="478" t="str">
        <f>IF(OR(B423="2017 - kwh",B423="2018 - kwh"),"2016 - kwh","")</f>
        <v/>
      </c>
      <c r="AC423" s="478"/>
      <c r="AD423" s="478"/>
      <c r="AE423" s="478"/>
    </row>
    <row r="424" spans="1:31" hidden="1" x14ac:dyDescent="0.25">
      <c r="A424" s="426" t="str">
        <f>IF(AND(F425=G425,H425=I425,J425=K425,F425="A"),"2016 - kw",IF(AND(F425=G425,H425=I425,J425&lt;&gt;K425,F425="A"),"2017 - kw",IF(AND(F425=G425,H425&lt;&gt;I425,F425="A"),"2018 - kw","N/A")))</f>
        <v>N/A</v>
      </c>
      <c r="B424" s="426" t="str">
        <f>IF(AND(F425="A",G425="A"),"A","")</f>
        <v/>
      </c>
      <c r="C424" s="407"/>
      <c r="D424" s="420" t="str">
        <f>D423 &amp; "kW"</f>
        <v>kW</v>
      </c>
      <c r="E424" s="423" t="s">
        <v>380</v>
      </c>
      <c r="F424" s="459"/>
      <c r="G424" s="459"/>
      <c r="H424" s="459"/>
      <c r="I424" s="459"/>
      <c r="J424" s="459"/>
      <c r="K424" s="459"/>
      <c r="L424" s="459"/>
      <c r="M424" s="459"/>
      <c r="N424" s="459"/>
      <c r="O424" s="459"/>
      <c r="P424" s="426"/>
      <c r="Q424" s="426"/>
      <c r="R424" s="426"/>
      <c r="S424" s="426"/>
      <c r="T424" s="426"/>
      <c r="U424" s="426"/>
      <c r="V424" s="426"/>
      <c r="Z424" s="478"/>
      <c r="AA424" s="478" t="str">
        <f>IF(AND(F425=G425,H425=I425,F425="A"),"2016 - kw","")</f>
        <v/>
      </c>
      <c r="AB424" s="478" t="str">
        <f>IF(OR(B424="2017 - kw",B424="2018 - kw"),"2016 - kw","")</f>
        <v/>
      </c>
      <c r="AC424" s="478"/>
      <c r="AD424" s="478"/>
      <c r="AE424" s="478"/>
    </row>
    <row r="425" spans="1:31" hidden="1" x14ac:dyDescent="0.25">
      <c r="A425" s="426"/>
      <c r="B425" s="426"/>
      <c r="C425" s="410"/>
      <c r="D425" s="376"/>
      <c r="E425" s="422" t="s">
        <v>381</v>
      </c>
      <c r="F425" s="458"/>
      <c r="G425" s="458"/>
      <c r="H425" s="458"/>
      <c r="I425" s="458"/>
      <c r="J425" s="458"/>
      <c r="K425" s="458"/>
      <c r="L425" s="458"/>
      <c r="M425" s="458"/>
      <c r="N425" s="458"/>
      <c r="O425" s="458"/>
      <c r="P425" s="426"/>
      <c r="Q425" s="426"/>
      <c r="R425" s="426"/>
      <c r="S425" s="426"/>
      <c r="T425" s="426"/>
      <c r="U425" s="426"/>
      <c r="V425" s="426"/>
      <c r="Z425" s="478"/>
      <c r="AA425" s="478"/>
      <c r="AB425" s="478"/>
      <c r="AC425" s="478"/>
      <c r="AD425" s="478"/>
      <c r="AE425" s="478"/>
    </row>
    <row r="426" spans="1:31" hidden="1" x14ac:dyDescent="0.25">
      <c r="A426" s="426" t="str">
        <f>IF(AND(F428=G428,H428=I428,J428=K428,F428="A"),"2016 - kwh",IF(AND(F428=G428,H428=I428,J428&lt;&gt;K428,F428="A"),"2017 - kwh",IF(AND(F428=G428,H428&lt;&gt;I428,F428="A"),"2018 - kwh","N/A")))</f>
        <v>N/A</v>
      </c>
      <c r="B426" s="426" t="str">
        <f>IF(AND(F428="A",G428="A"),"A","")</f>
        <v/>
      </c>
      <c r="C426" s="406" t="s">
        <v>513</v>
      </c>
      <c r="D426" s="460"/>
      <c r="E426" s="424" t="s">
        <v>379</v>
      </c>
      <c r="F426" s="459"/>
      <c r="G426" s="459"/>
      <c r="H426" s="459"/>
      <c r="I426" s="459"/>
      <c r="J426" s="459"/>
      <c r="K426" s="459"/>
      <c r="L426" s="459"/>
      <c r="M426" s="459"/>
      <c r="N426" s="459"/>
      <c r="O426" s="459"/>
      <c r="P426" s="426"/>
      <c r="Q426" s="426"/>
      <c r="R426" s="426"/>
      <c r="S426" s="426"/>
      <c r="T426" s="426"/>
      <c r="U426" s="426"/>
      <c r="V426" s="426"/>
      <c r="Z426" s="478"/>
      <c r="AA426" s="478" t="str">
        <f>IF(AND(F428=G428,H428=I428,F428="A"),"2016 - kwh","")</f>
        <v/>
      </c>
      <c r="AB426" s="478" t="str">
        <f>IF(OR(B426="2017 - kwh",B426="2018 - kwh"),"2016 - kwh","")</f>
        <v/>
      </c>
      <c r="AC426" s="478"/>
      <c r="AD426" s="478"/>
      <c r="AE426" s="478"/>
    </row>
    <row r="427" spans="1:31" hidden="1" x14ac:dyDescent="0.25">
      <c r="A427" s="426" t="str">
        <f>IF(AND(F428=G428,H428=I428,J428=K428,F428="A"),"2016 - kw",IF(AND(F428=G428,H428=I428,J428&lt;&gt;K428,F428="A"),"2017 - kw",IF(AND(F428=G428,H428&lt;&gt;I428,F428="A"),"2018 - kw","N/A")))</f>
        <v>N/A</v>
      </c>
      <c r="B427" s="426" t="str">
        <f>IF(AND(F428="A",G428="A"),"A","")</f>
        <v/>
      </c>
      <c r="C427" s="407"/>
      <c r="D427" s="420" t="str">
        <f>D426 &amp; "kW"</f>
        <v>kW</v>
      </c>
      <c r="E427" s="423" t="s">
        <v>380</v>
      </c>
      <c r="F427" s="459"/>
      <c r="G427" s="459"/>
      <c r="H427" s="459"/>
      <c r="I427" s="459"/>
      <c r="J427" s="459"/>
      <c r="K427" s="459"/>
      <c r="L427" s="459"/>
      <c r="M427" s="459"/>
      <c r="N427" s="459"/>
      <c r="O427" s="459"/>
      <c r="P427" s="426"/>
      <c r="Q427" s="426"/>
      <c r="R427" s="426"/>
      <c r="S427" s="426"/>
      <c r="T427" s="426"/>
      <c r="U427" s="426"/>
      <c r="V427" s="426"/>
      <c r="Z427" s="478"/>
      <c r="AA427" s="478" t="str">
        <f>IF(AND(F428=G428,H428=I428,F428="A"),"2016 - kw","")</f>
        <v/>
      </c>
      <c r="AB427" s="478" t="str">
        <f>IF(OR(B427="2017 - kw",B427="2018 - kw"),"2016 - kw","")</f>
        <v/>
      </c>
      <c r="AC427" s="478"/>
      <c r="AD427" s="478"/>
      <c r="AE427" s="478"/>
    </row>
    <row r="428" spans="1:31" hidden="1" x14ac:dyDescent="0.25">
      <c r="A428" s="426"/>
      <c r="B428" s="426"/>
      <c r="C428" s="410"/>
      <c r="D428" s="376"/>
      <c r="E428" s="422" t="s">
        <v>381</v>
      </c>
      <c r="F428" s="458"/>
      <c r="G428" s="458"/>
      <c r="H428" s="458"/>
      <c r="I428" s="458"/>
      <c r="J428" s="458"/>
      <c r="K428" s="458"/>
      <c r="L428" s="458"/>
      <c r="M428" s="458"/>
      <c r="N428" s="458"/>
      <c r="O428" s="458"/>
      <c r="P428" s="426"/>
      <c r="Q428" s="426"/>
      <c r="R428" s="426"/>
      <c r="S428" s="426"/>
      <c r="T428" s="426"/>
      <c r="U428" s="426"/>
      <c r="V428" s="426"/>
      <c r="Z428" s="478"/>
      <c r="AA428" s="478"/>
      <c r="AB428" s="478"/>
      <c r="AC428" s="478"/>
      <c r="AD428" s="478"/>
      <c r="AE428" s="478"/>
    </row>
    <row r="429" spans="1:31" hidden="1" x14ac:dyDescent="0.25">
      <c r="A429" s="426" t="str">
        <f>IF(AND(F431=G431,H431=I431,J431=K431,F431="A"),"2016 - kwh",IF(AND(F431=G431,H431=I431,J431&lt;&gt;K431,F431="A"),"2017 - kwh",IF(AND(F431=G431,H431&lt;&gt;I431,F431="A"),"2018 - kwh","N/A")))</f>
        <v>N/A</v>
      </c>
      <c r="B429" s="426" t="str">
        <f>IF(AND(F431="A",G431="A"),"A","")</f>
        <v/>
      </c>
      <c r="C429" s="406" t="s">
        <v>514</v>
      </c>
      <c r="D429" s="460"/>
      <c r="E429" s="424" t="s">
        <v>379</v>
      </c>
      <c r="F429" s="459"/>
      <c r="G429" s="459"/>
      <c r="H429" s="459"/>
      <c r="I429" s="459"/>
      <c r="J429" s="459"/>
      <c r="K429" s="459"/>
      <c r="L429" s="459"/>
      <c r="M429" s="459"/>
      <c r="N429" s="459"/>
      <c r="O429" s="459"/>
      <c r="P429" s="426"/>
      <c r="Q429" s="426"/>
      <c r="R429" s="426"/>
      <c r="S429" s="426"/>
      <c r="T429" s="426"/>
      <c r="U429" s="426"/>
      <c r="V429" s="426"/>
      <c r="Z429" s="478"/>
      <c r="AA429" s="478" t="str">
        <f>IF(AND(F431=G431,H431=I431,F431="A"),"2016 - kwh","")</f>
        <v/>
      </c>
      <c r="AB429" s="478" t="str">
        <f>IF(OR(B429="2017 - kwh",B429="2018 - kwh"),"2016 - kwh","")</f>
        <v/>
      </c>
      <c r="AC429" s="478"/>
      <c r="AD429" s="478"/>
      <c r="AE429" s="478"/>
    </row>
    <row r="430" spans="1:31" hidden="1" x14ac:dyDescent="0.25">
      <c r="A430" s="426" t="str">
        <f>IF(AND(F431=G431,H431=I431,J431=K431,F431="A"),"2016 - kw",IF(AND(F431=G431,H431=I431,J431&lt;&gt;K431,F431="A"),"2017 - kw",IF(AND(F431=G431,H431&lt;&gt;I431,F431="A"),"2018 - kw","N/A")))</f>
        <v>N/A</v>
      </c>
      <c r="B430" s="426" t="str">
        <f>IF(AND(F431="A",G431="A"),"A","")</f>
        <v/>
      </c>
      <c r="C430" s="407"/>
      <c r="D430" s="420" t="str">
        <f>D429 &amp; "kW"</f>
        <v>kW</v>
      </c>
      <c r="E430" s="423" t="s">
        <v>380</v>
      </c>
      <c r="F430" s="459"/>
      <c r="G430" s="459"/>
      <c r="H430" s="459"/>
      <c r="I430" s="459"/>
      <c r="J430" s="459"/>
      <c r="K430" s="459"/>
      <c r="L430" s="459"/>
      <c r="M430" s="459"/>
      <c r="N430" s="459"/>
      <c r="O430" s="459"/>
      <c r="P430" s="426"/>
      <c r="Q430" s="426"/>
      <c r="R430" s="426"/>
      <c r="S430" s="426"/>
      <c r="T430" s="426"/>
      <c r="U430" s="426"/>
      <c r="V430" s="426"/>
      <c r="Z430" s="478"/>
      <c r="AA430" s="478" t="str">
        <f>IF(AND(F431=G431,H431=I431,F431="A"),"2016 - kw","")</f>
        <v/>
      </c>
      <c r="AB430" s="478" t="str">
        <f>IF(OR(B430="2017 - kw",B430="2018 - kw"),"2016 - kw","")</f>
        <v/>
      </c>
      <c r="AC430" s="478"/>
      <c r="AD430" s="478"/>
      <c r="AE430" s="478"/>
    </row>
    <row r="431" spans="1:31" hidden="1" x14ac:dyDescent="0.25">
      <c r="A431" s="426"/>
      <c r="B431" s="426"/>
      <c r="C431" s="410"/>
      <c r="D431" s="461"/>
      <c r="E431" s="422" t="s">
        <v>381</v>
      </c>
      <c r="F431" s="458"/>
      <c r="G431" s="458"/>
      <c r="H431" s="458"/>
      <c r="I431" s="458"/>
      <c r="J431" s="458"/>
      <c r="K431" s="458"/>
      <c r="L431" s="458"/>
      <c r="M431" s="458"/>
      <c r="N431" s="458"/>
      <c r="O431" s="458"/>
      <c r="P431" s="426"/>
      <c r="Q431" s="426"/>
      <c r="R431" s="426"/>
      <c r="S431" s="426"/>
      <c r="T431" s="426"/>
      <c r="U431" s="426"/>
      <c r="V431" s="426"/>
      <c r="Z431" s="478"/>
      <c r="AA431" s="478"/>
      <c r="AB431" s="478"/>
      <c r="AC431" s="478"/>
      <c r="AD431" s="478"/>
      <c r="AE431" s="478"/>
    </row>
    <row r="432" spans="1:31" hidden="1" x14ac:dyDescent="0.25">
      <c r="A432" s="426" t="str">
        <f>IF(AND(F434=G434,H434=I434,J434=K434,F434="A"),"2016 - kwh",IF(AND(F434=G434,H434=I434,J434&lt;&gt;K434,F434="A"),"2017 - kwh",IF(AND(F434=G434,H434&lt;&gt;I434,F434="A"),"2018 - kwh","N/A")))</f>
        <v>N/A</v>
      </c>
      <c r="B432" s="426" t="str">
        <f>IF(AND(F434="A",G434="A"),"A","")</f>
        <v/>
      </c>
      <c r="C432" s="406" t="s">
        <v>515</v>
      </c>
      <c r="D432" s="460"/>
      <c r="E432" s="424" t="s">
        <v>379</v>
      </c>
      <c r="F432" s="459"/>
      <c r="G432" s="459"/>
      <c r="H432" s="459"/>
      <c r="I432" s="459"/>
      <c r="J432" s="459"/>
      <c r="K432" s="459"/>
      <c r="L432" s="459"/>
      <c r="M432" s="459"/>
      <c r="N432" s="459"/>
      <c r="O432" s="459"/>
      <c r="P432" s="426"/>
      <c r="Q432" s="426"/>
      <c r="R432" s="426"/>
      <c r="S432" s="426"/>
      <c r="T432" s="426"/>
      <c r="U432" s="426"/>
      <c r="V432" s="426"/>
      <c r="Z432" s="478"/>
      <c r="AA432" s="478" t="str">
        <f>IF(AND(F434=G434,H434=I434,F434="A"),"2016 - kwh","")</f>
        <v/>
      </c>
      <c r="AB432" s="478" t="str">
        <f>IF(OR(B432="2017 - kwh",B432="2018 - kwh"),"2016 - kwh","")</f>
        <v/>
      </c>
      <c r="AC432" s="478"/>
      <c r="AD432" s="478"/>
      <c r="AE432" s="478"/>
    </row>
    <row r="433" spans="1:31" hidden="1" x14ac:dyDescent="0.25">
      <c r="A433" s="426" t="str">
        <f>IF(AND(F434=G434,H434=I434,J434=K434,F434="A"),"2016 - kw",IF(AND(F434=G434,H434=I434,J434&lt;&gt;K434,F434="A"),"2017 - kw",IF(AND(F434=G434,H434&lt;&gt;I434,F434="A"),"2018 - kw","N/A")))</f>
        <v>N/A</v>
      </c>
      <c r="B433" s="426" t="str">
        <f>IF(AND(F434="A",G434="A"),"A","")</f>
        <v/>
      </c>
      <c r="C433" s="407"/>
      <c r="D433" s="420" t="str">
        <f>D432 &amp; "kW"</f>
        <v>kW</v>
      </c>
      <c r="E433" s="423" t="s">
        <v>380</v>
      </c>
      <c r="F433" s="459"/>
      <c r="G433" s="459"/>
      <c r="H433" s="459"/>
      <c r="I433" s="459"/>
      <c r="J433" s="459"/>
      <c r="K433" s="459"/>
      <c r="L433" s="459"/>
      <c r="M433" s="459"/>
      <c r="N433" s="459"/>
      <c r="O433" s="459"/>
      <c r="P433" s="426"/>
      <c r="Q433" s="426"/>
      <c r="R433" s="426"/>
      <c r="S433" s="426"/>
      <c r="T433" s="426"/>
      <c r="U433" s="426"/>
      <c r="V433" s="426"/>
      <c r="Z433" s="478"/>
      <c r="AA433" s="478" t="str">
        <f>IF(AND(F434=G434,H434=I434,F434="A"),"2016 - kw","")</f>
        <v/>
      </c>
      <c r="AB433" s="478" t="str">
        <f>IF(OR(B433="2017 - kw",B433="2018 - kw"),"2016 - kw","")</f>
        <v/>
      </c>
      <c r="AC433" s="478"/>
      <c r="AD433" s="478"/>
      <c r="AE433" s="478"/>
    </row>
    <row r="434" spans="1:31" hidden="1" x14ac:dyDescent="0.25">
      <c r="A434" s="426"/>
      <c r="B434" s="426"/>
      <c r="C434" s="410"/>
      <c r="D434" s="376"/>
      <c r="E434" s="422" t="s">
        <v>381</v>
      </c>
      <c r="F434" s="458"/>
      <c r="G434" s="458"/>
      <c r="H434" s="458"/>
      <c r="I434" s="458"/>
      <c r="J434" s="458"/>
      <c r="K434" s="458"/>
      <c r="L434" s="458"/>
      <c r="M434" s="458"/>
      <c r="N434" s="458"/>
      <c r="O434" s="458"/>
      <c r="P434" s="426"/>
      <c r="Q434" s="426"/>
      <c r="R434" s="426"/>
      <c r="S434" s="426"/>
      <c r="T434" s="426"/>
      <c r="U434" s="426"/>
      <c r="V434" s="426"/>
      <c r="Z434" s="478"/>
      <c r="AA434" s="478"/>
      <c r="AB434" s="478"/>
      <c r="AC434" s="478"/>
      <c r="AD434" s="478"/>
      <c r="AE434" s="478"/>
    </row>
    <row r="435" spans="1:31" hidden="1" x14ac:dyDescent="0.25">
      <c r="A435" s="426" t="str">
        <f>IF(AND(F437=G437,H437=I437,J437=K437,F437="A"),"2016 - kwh",IF(AND(F437=G437,H437=I437,J437&lt;&gt;K437,F437="A"),"2017 - kwh",IF(AND(F437=G437,H437&lt;&gt;I437,F437="A"),"2018 - kwh","N/A")))</f>
        <v>N/A</v>
      </c>
      <c r="B435" s="426" t="str">
        <f>IF(AND(F437="A",G437="A"),"A","")</f>
        <v/>
      </c>
      <c r="C435" s="406" t="s">
        <v>516</v>
      </c>
      <c r="D435" s="460"/>
      <c r="E435" s="424" t="s">
        <v>379</v>
      </c>
      <c r="F435" s="459"/>
      <c r="G435" s="459"/>
      <c r="H435" s="459"/>
      <c r="I435" s="459"/>
      <c r="J435" s="459"/>
      <c r="K435" s="459"/>
      <c r="L435" s="459"/>
      <c r="M435" s="459"/>
      <c r="N435" s="459"/>
      <c r="O435" s="459"/>
      <c r="P435" s="426"/>
      <c r="Q435" s="426"/>
      <c r="R435" s="426"/>
      <c r="S435" s="426"/>
      <c r="T435" s="426"/>
      <c r="U435" s="426"/>
      <c r="V435" s="426"/>
      <c r="Z435" s="478"/>
      <c r="AA435" s="478" t="str">
        <f>IF(AND(F437=G437,H437=I437,F437="A"),"2016 - kwh","")</f>
        <v/>
      </c>
      <c r="AB435" s="478" t="str">
        <f>IF(OR(B435="2017 - kwh",B435="2018 - kwh"),"2016 - kwh","")</f>
        <v/>
      </c>
      <c r="AC435" s="478"/>
      <c r="AD435" s="478"/>
      <c r="AE435" s="478"/>
    </row>
    <row r="436" spans="1:31" hidden="1" x14ac:dyDescent="0.25">
      <c r="A436" s="426" t="str">
        <f>IF(AND(F437=G437,H437=I437,J437=K437,F437="A"),"2016 - kw",IF(AND(F437=G437,H437=I437,J437&lt;&gt;K437,F437="A"),"2017 - kw",IF(AND(F437=G437,H437&lt;&gt;I437,F437="A"),"2018 - kw","N/A")))</f>
        <v>N/A</v>
      </c>
      <c r="B436" s="426" t="str">
        <f>IF(AND(F437="A",G437="A"),"A","")</f>
        <v/>
      </c>
      <c r="C436" s="407"/>
      <c r="D436" s="420" t="str">
        <f>D435 &amp; "kW"</f>
        <v>kW</v>
      </c>
      <c r="E436" s="423" t="s">
        <v>380</v>
      </c>
      <c r="F436" s="459"/>
      <c r="G436" s="459"/>
      <c r="H436" s="459"/>
      <c r="I436" s="459"/>
      <c r="J436" s="459"/>
      <c r="K436" s="459"/>
      <c r="L436" s="459"/>
      <c r="M436" s="459"/>
      <c r="N436" s="459"/>
      <c r="O436" s="459"/>
      <c r="P436" s="426"/>
      <c r="Q436" s="426"/>
      <c r="R436" s="426"/>
      <c r="S436" s="426"/>
      <c r="T436" s="426"/>
      <c r="U436" s="426"/>
      <c r="V436" s="426"/>
      <c r="Z436" s="478"/>
      <c r="AA436" s="478" t="str">
        <f>IF(AND(F437=G437,H437=I437,F437="A"),"2016 - kw","")</f>
        <v/>
      </c>
      <c r="AB436" s="478" t="str">
        <f>IF(OR(B436="2017 - kw",B436="2018 - kw"),"2016 - kw","")</f>
        <v/>
      </c>
      <c r="AC436" s="478"/>
      <c r="AD436" s="478"/>
      <c r="AE436" s="478"/>
    </row>
    <row r="437" spans="1:31" hidden="1" x14ac:dyDescent="0.25">
      <c r="A437" s="426"/>
      <c r="B437" s="426"/>
      <c r="C437" s="410"/>
      <c r="D437" s="376"/>
      <c r="E437" s="422" t="s">
        <v>381</v>
      </c>
      <c r="F437" s="458"/>
      <c r="G437" s="458"/>
      <c r="H437" s="458"/>
      <c r="I437" s="458"/>
      <c r="J437" s="458"/>
      <c r="K437" s="458"/>
      <c r="L437" s="458"/>
      <c r="M437" s="458"/>
      <c r="N437" s="458"/>
      <c r="O437" s="458"/>
      <c r="P437" s="426"/>
      <c r="Q437" s="426"/>
      <c r="R437" s="426"/>
      <c r="S437" s="426"/>
      <c r="T437" s="426"/>
      <c r="U437" s="426"/>
      <c r="V437" s="426"/>
      <c r="Z437" s="478"/>
      <c r="AA437" s="478"/>
      <c r="AB437" s="478"/>
      <c r="AC437" s="478"/>
      <c r="AD437" s="478"/>
      <c r="AE437" s="478"/>
    </row>
    <row r="438" spans="1:31" hidden="1" x14ac:dyDescent="0.25">
      <c r="A438" s="426" t="str">
        <f>IF(AND(F440=G440,H440=I440,J440=K440,F440="A"),"2016 - kwh",IF(AND(F440=G440,H440=I440,J440&lt;&gt;K440,F440="A"),"2017 - kwh",IF(AND(F440=G440,H440&lt;&gt;I440,F440="A"),"2018 - kwh","N/A")))</f>
        <v>N/A</v>
      </c>
      <c r="B438" s="426" t="str">
        <f>IF(AND(F440="A",G440="A"),"A","")</f>
        <v/>
      </c>
      <c r="C438" s="406" t="s">
        <v>517</v>
      </c>
      <c r="D438" s="460"/>
      <c r="E438" s="424" t="s">
        <v>379</v>
      </c>
      <c r="F438" s="459"/>
      <c r="G438" s="459"/>
      <c r="H438" s="459"/>
      <c r="I438" s="459"/>
      <c r="J438" s="459"/>
      <c r="K438" s="459"/>
      <c r="L438" s="459"/>
      <c r="M438" s="459"/>
      <c r="N438" s="459"/>
      <c r="O438" s="459"/>
      <c r="P438" s="426"/>
      <c r="Q438" s="426"/>
      <c r="R438" s="426"/>
      <c r="S438" s="426"/>
      <c r="T438" s="426"/>
      <c r="U438" s="426"/>
      <c r="V438" s="426"/>
      <c r="Z438" s="478"/>
      <c r="AA438" s="478" t="str">
        <f>IF(AND(F440=G440,H440=I440,F440="A"),"2016 - kwh","")</f>
        <v/>
      </c>
      <c r="AB438" s="478" t="str">
        <f>IF(OR(B438="2017 - kwh",B438="2018 - kwh"),"2016 - kwh","")</f>
        <v/>
      </c>
      <c r="AC438" s="478"/>
      <c r="AD438" s="478"/>
      <c r="AE438" s="478"/>
    </row>
    <row r="439" spans="1:31" hidden="1" x14ac:dyDescent="0.25">
      <c r="A439" s="426" t="str">
        <f>IF(AND(F440=G440,H440=I440,J440=K440,F440="A"),"2016 - kw",IF(AND(F440=G440,H440=I440,J440&lt;&gt;K440,F440="A"),"2017 - kw",IF(AND(F440=G440,H440&lt;&gt;I440,F440="A"),"2018 - kw","N/A")))</f>
        <v>N/A</v>
      </c>
      <c r="B439" s="426" t="str">
        <f>IF(AND(F440="A",G440="A"),"A","")</f>
        <v/>
      </c>
      <c r="C439" s="407"/>
      <c r="D439" s="420" t="str">
        <f>D438 &amp; "kW"</f>
        <v>kW</v>
      </c>
      <c r="E439" s="423" t="s">
        <v>380</v>
      </c>
      <c r="F439" s="459"/>
      <c r="G439" s="459"/>
      <c r="H439" s="459"/>
      <c r="I439" s="459"/>
      <c r="J439" s="459"/>
      <c r="K439" s="459"/>
      <c r="L439" s="459"/>
      <c r="M439" s="459"/>
      <c r="N439" s="459"/>
      <c r="O439" s="459"/>
      <c r="P439" s="426"/>
      <c r="Q439" s="426"/>
      <c r="R439" s="426"/>
      <c r="S439" s="426"/>
      <c r="T439" s="426"/>
      <c r="U439" s="426"/>
      <c r="V439" s="426"/>
      <c r="Z439" s="478"/>
      <c r="AA439" s="478" t="str">
        <f>IF(AND(F440=G440,H440=I440,F440="A"),"2016 - kw","")</f>
        <v/>
      </c>
      <c r="AB439" s="478" t="str">
        <f>IF(OR(B439="2017 - kw",B439="2018 - kw"),"2016 - kw","")</f>
        <v/>
      </c>
      <c r="AC439" s="478"/>
      <c r="AD439" s="478"/>
      <c r="AE439" s="478"/>
    </row>
    <row r="440" spans="1:31" hidden="1" x14ac:dyDescent="0.25">
      <c r="A440" s="426"/>
      <c r="B440" s="426"/>
      <c r="C440" s="410"/>
      <c r="D440" s="376"/>
      <c r="E440" s="422" t="s">
        <v>381</v>
      </c>
      <c r="F440" s="458"/>
      <c r="G440" s="458"/>
      <c r="H440" s="458"/>
      <c r="I440" s="458"/>
      <c r="J440" s="458"/>
      <c r="K440" s="458"/>
      <c r="L440" s="458"/>
      <c r="M440" s="458"/>
      <c r="N440" s="458"/>
      <c r="O440" s="458"/>
      <c r="P440" s="426"/>
      <c r="Q440" s="426"/>
      <c r="R440" s="426"/>
      <c r="S440" s="426"/>
      <c r="T440" s="426"/>
      <c r="U440" s="426"/>
      <c r="V440" s="426"/>
      <c r="Z440" s="478"/>
      <c r="AA440" s="478"/>
      <c r="AB440" s="478"/>
      <c r="AC440" s="478"/>
      <c r="AD440" s="478"/>
      <c r="AE440" s="478"/>
    </row>
    <row r="441" spans="1:31" hidden="1" x14ac:dyDescent="0.25">
      <c r="A441" s="426" t="str">
        <f>IF(AND(F443=G443,H443=I443,J443=K443,F443="A"),"2016 - kwh",IF(AND(F443=G443,H443=I443,J443&lt;&gt;K443,F443="A"),"2017 - kwh",IF(AND(F443=G443,H443&lt;&gt;I443,F443="A"),"2018 - kwh","N/A")))</f>
        <v>N/A</v>
      </c>
      <c r="B441" s="426" t="str">
        <f>IF(AND(F443="A",G443="A"),"A","")</f>
        <v/>
      </c>
      <c r="C441" s="406" t="s">
        <v>518</v>
      </c>
      <c r="D441" s="460"/>
      <c r="E441" s="424" t="s">
        <v>379</v>
      </c>
      <c r="F441" s="459"/>
      <c r="G441" s="459"/>
      <c r="H441" s="459"/>
      <c r="I441" s="459"/>
      <c r="J441" s="459"/>
      <c r="K441" s="459"/>
      <c r="L441" s="459"/>
      <c r="M441" s="459"/>
      <c r="N441" s="459"/>
      <c r="O441" s="459"/>
      <c r="P441" s="426"/>
      <c r="Q441" s="426"/>
      <c r="R441" s="426"/>
      <c r="S441" s="426"/>
      <c r="T441" s="426"/>
      <c r="U441" s="426"/>
      <c r="V441" s="426"/>
      <c r="Z441" s="478"/>
      <c r="AA441" s="478" t="str">
        <f>IF(AND(F443=G443,H443=I443,F443="A"),"2016 - kwh","")</f>
        <v/>
      </c>
      <c r="AB441" s="478" t="str">
        <f>IF(OR(B441="2017 - kwh",B441="2018 - kwh"),"2016 - kwh","")</f>
        <v/>
      </c>
      <c r="AC441" s="478"/>
      <c r="AD441" s="478"/>
      <c r="AE441" s="478"/>
    </row>
    <row r="442" spans="1:31" hidden="1" x14ac:dyDescent="0.25">
      <c r="A442" s="426" t="str">
        <f>IF(AND(F443=G443,H443=I443,J443=K443,F443="A"),"2016 - kw",IF(AND(F443=G443,H443=I443,J443&lt;&gt;K443,F443="A"),"2017 - kw",IF(AND(F443=G443,H443&lt;&gt;I443,F443="A"),"2018 - kw","N/A")))</f>
        <v>N/A</v>
      </c>
      <c r="B442" s="426" t="str">
        <f>IF(AND(F443="A",G443="A"),"A","")</f>
        <v/>
      </c>
      <c r="C442" s="407"/>
      <c r="D442" s="420" t="str">
        <f>D441 &amp; "kW"</f>
        <v>kW</v>
      </c>
      <c r="E442" s="423" t="s">
        <v>380</v>
      </c>
      <c r="F442" s="459"/>
      <c r="G442" s="459"/>
      <c r="H442" s="459"/>
      <c r="I442" s="459"/>
      <c r="J442" s="459"/>
      <c r="K442" s="459"/>
      <c r="L442" s="459"/>
      <c r="M442" s="459"/>
      <c r="N442" s="459"/>
      <c r="O442" s="459"/>
      <c r="P442" s="426"/>
      <c r="Q442" s="426"/>
      <c r="R442" s="426"/>
      <c r="S442" s="426"/>
      <c r="T442" s="426"/>
      <c r="U442" s="426"/>
      <c r="V442" s="426"/>
      <c r="Z442" s="478"/>
      <c r="AA442" s="478" t="str">
        <f>IF(AND(F443=G443,H443=I443,F443="A"),"2016 - kw","")</f>
        <v/>
      </c>
      <c r="AB442" s="478" t="str">
        <f>IF(OR(B442="2017 - kw",B442="2018 - kw"),"2016 - kw","")</f>
        <v/>
      </c>
      <c r="AC442" s="478"/>
      <c r="AD442" s="478"/>
      <c r="AE442" s="478"/>
    </row>
    <row r="443" spans="1:31" hidden="1" x14ac:dyDescent="0.25">
      <c r="A443" s="426"/>
      <c r="B443" s="426"/>
      <c r="C443" s="410"/>
      <c r="D443" s="376"/>
      <c r="E443" s="422" t="s">
        <v>381</v>
      </c>
      <c r="F443" s="458"/>
      <c r="G443" s="458"/>
      <c r="H443" s="458"/>
      <c r="I443" s="458"/>
      <c r="J443" s="458"/>
      <c r="K443" s="458"/>
      <c r="L443" s="458"/>
      <c r="M443" s="458"/>
      <c r="N443" s="458"/>
      <c r="O443" s="458"/>
      <c r="P443" s="426"/>
      <c r="Q443" s="426"/>
      <c r="R443" s="426"/>
      <c r="S443" s="426"/>
      <c r="T443" s="426"/>
      <c r="U443" s="426"/>
      <c r="V443" s="426"/>
      <c r="Z443" s="478"/>
      <c r="AA443" s="478"/>
      <c r="AB443" s="478"/>
      <c r="AC443" s="478"/>
      <c r="AD443" s="478"/>
      <c r="AE443" s="478"/>
    </row>
    <row r="444" spans="1:31" hidden="1" x14ac:dyDescent="0.25">
      <c r="A444" s="426" t="str">
        <f>IF(AND(F446=G446,H446=I446,J446=K446,F446="A"),"2016 - kwh",IF(AND(F446=G446,H446=I446,J446&lt;&gt;K446,F446="A"),"2017 - kwh",IF(AND(F446=G446,H446&lt;&gt;I446,F446="A"),"2018 - kwh","N/A")))</f>
        <v>N/A</v>
      </c>
      <c r="B444" s="426" t="str">
        <f>IF(AND(F446="A",G446="A"),"A","")</f>
        <v/>
      </c>
      <c r="C444" s="406" t="s">
        <v>519</v>
      </c>
      <c r="D444" s="460"/>
      <c r="E444" s="424" t="s">
        <v>379</v>
      </c>
      <c r="F444" s="459"/>
      <c r="G444" s="459"/>
      <c r="H444" s="459"/>
      <c r="I444" s="459"/>
      <c r="J444" s="459"/>
      <c r="K444" s="459"/>
      <c r="L444" s="459"/>
      <c r="M444" s="459"/>
      <c r="N444" s="459"/>
      <c r="O444" s="459"/>
      <c r="P444" s="426"/>
      <c r="Q444" s="426"/>
      <c r="R444" s="426"/>
      <c r="S444" s="426"/>
      <c r="T444" s="426"/>
      <c r="U444" s="426"/>
      <c r="V444" s="426"/>
      <c r="Z444" s="478"/>
      <c r="AA444" s="478" t="str">
        <f>IF(AND(F446=G446,H446=I446,F446="A"),"2016 - kwh","")</f>
        <v/>
      </c>
      <c r="AB444" s="478" t="str">
        <f>IF(OR(B444="2017 - kwh",B444="2018 - kwh"),"2016 - kwh","")</f>
        <v/>
      </c>
      <c r="AC444" s="478"/>
      <c r="AD444" s="478"/>
      <c r="AE444" s="478"/>
    </row>
    <row r="445" spans="1:31" hidden="1" x14ac:dyDescent="0.25">
      <c r="A445" s="426" t="str">
        <f>IF(AND(F446=G446,H446=I446,J446=K446,F446="A"),"2016 - kw",IF(AND(F446=G446,H446=I446,J446&lt;&gt;K446,F446="A"),"2017 - kw",IF(AND(F446=G446,H446&lt;&gt;I446,F446="A"),"2018 - kw","N/A")))</f>
        <v>N/A</v>
      </c>
      <c r="B445" s="426" t="str">
        <f>IF(AND(F446="A",G446="A"),"A","")</f>
        <v/>
      </c>
      <c r="C445" s="407"/>
      <c r="D445" s="420" t="str">
        <f>D444 &amp; "kW"</f>
        <v>kW</v>
      </c>
      <c r="E445" s="423" t="s">
        <v>380</v>
      </c>
      <c r="F445" s="459"/>
      <c r="G445" s="459"/>
      <c r="H445" s="459"/>
      <c r="I445" s="459"/>
      <c r="J445" s="459"/>
      <c r="K445" s="459"/>
      <c r="L445" s="459"/>
      <c r="M445" s="459"/>
      <c r="N445" s="459"/>
      <c r="O445" s="459"/>
      <c r="P445" s="426"/>
      <c r="Q445" s="426"/>
      <c r="R445" s="426"/>
      <c r="S445" s="426"/>
      <c r="T445" s="426"/>
      <c r="U445" s="426"/>
      <c r="V445" s="426"/>
      <c r="Z445" s="478"/>
      <c r="AA445" s="478" t="str">
        <f>IF(AND(F446=G446,H446=I446,F446="A"),"2016 - kw","")</f>
        <v/>
      </c>
      <c r="AB445" s="478" t="str">
        <f>IF(OR(B445="2017 - kw",B445="2018 - kw"),"2016 - kw","")</f>
        <v/>
      </c>
      <c r="AC445" s="478"/>
      <c r="AD445" s="478"/>
      <c r="AE445" s="478"/>
    </row>
    <row r="446" spans="1:31" hidden="1" x14ac:dyDescent="0.25">
      <c r="A446" s="426"/>
      <c r="B446" s="426"/>
      <c r="C446" s="410"/>
      <c r="D446" s="376"/>
      <c r="E446" s="422" t="s">
        <v>381</v>
      </c>
      <c r="F446" s="458"/>
      <c r="G446" s="458"/>
      <c r="H446" s="458"/>
      <c r="I446" s="458"/>
      <c r="J446" s="458"/>
      <c r="K446" s="458"/>
      <c r="L446" s="458"/>
      <c r="M446" s="458"/>
      <c r="N446" s="458"/>
      <c r="O446" s="458"/>
      <c r="P446" s="426"/>
      <c r="Q446" s="426"/>
      <c r="R446" s="426"/>
      <c r="S446" s="426"/>
      <c r="T446" s="426"/>
      <c r="U446" s="426"/>
      <c r="V446" s="426"/>
      <c r="Z446" s="478"/>
      <c r="AA446" s="478"/>
      <c r="AB446" s="478"/>
      <c r="AC446" s="478"/>
      <c r="AD446" s="478"/>
      <c r="AE446" s="478"/>
    </row>
    <row r="447" spans="1:31" hidden="1" x14ac:dyDescent="0.25">
      <c r="A447" s="426" t="str">
        <f>IF(AND(F449=G449,H449=I449,J449=K449,F449="A"),"2016 - kwh",IF(AND(F449=G449,H449=I449,J449&lt;&gt;K449,F449="A"),"2017 - kwh",IF(AND(F449=G449,H449&lt;&gt;I449,F449="A"),"2018 - kwh","N/A")))</f>
        <v>N/A</v>
      </c>
      <c r="B447" s="426" t="str">
        <f>IF(AND(F449="A",G449="A"),"A","")</f>
        <v/>
      </c>
      <c r="C447" s="406" t="s">
        <v>520</v>
      </c>
      <c r="D447" s="460"/>
      <c r="E447" s="424" t="s">
        <v>379</v>
      </c>
      <c r="F447" s="459"/>
      <c r="G447" s="459"/>
      <c r="H447" s="459"/>
      <c r="I447" s="459"/>
      <c r="J447" s="459"/>
      <c r="K447" s="459"/>
      <c r="L447" s="459"/>
      <c r="M447" s="459"/>
      <c r="N447" s="459"/>
      <c r="O447" s="459"/>
      <c r="P447" s="426"/>
      <c r="Q447" s="426"/>
      <c r="R447" s="426"/>
      <c r="S447" s="426"/>
      <c r="T447" s="426"/>
      <c r="U447" s="426"/>
      <c r="V447" s="426"/>
      <c r="Z447" s="478"/>
      <c r="AA447" s="478" t="str">
        <f>IF(AND(F449=G449,H449=I449,F449="A"),"2016 - kwh","")</f>
        <v/>
      </c>
      <c r="AB447" s="478" t="str">
        <f>IF(OR(B447="2017 - kwh",B447="2018 - kwh"),"2016 - kwh","")</f>
        <v/>
      </c>
      <c r="AC447" s="478"/>
      <c r="AD447" s="478"/>
      <c r="AE447" s="478"/>
    </row>
    <row r="448" spans="1:31" hidden="1" x14ac:dyDescent="0.25">
      <c r="A448" s="426" t="str">
        <f>IF(AND(F449=G449,H449=I449,J449=K449,F449="A"),"2016 - kw",IF(AND(F449=G449,H449=I449,J449&lt;&gt;K449,F449="A"),"2017 - kw",IF(AND(F449=G449,H449&lt;&gt;I449,F449="A"),"2018 - kw","N/A")))</f>
        <v>N/A</v>
      </c>
      <c r="B448" s="426" t="str">
        <f>IF(AND(F449="A",G449="A"),"A","")</f>
        <v/>
      </c>
      <c r="C448" s="407"/>
      <c r="D448" s="420" t="str">
        <f>D447 &amp; "kW"</f>
        <v>kW</v>
      </c>
      <c r="E448" s="423" t="s">
        <v>380</v>
      </c>
      <c r="F448" s="459"/>
      <c r="G448" s="459"/>
      <c r="H448" s="459"/>
      <c r="I448" s="459"/>
      <c r="J448" s="459"/>
      <c r="K448" s="459"/>
      <c r="L448" s="459"/>
      <c r="M448" s="459"/>
      <c r="N448" s="459"/>
      <c r="O448" s="459"/>
      <c r="P448" s="426"/>
      <c r="Q448" s="426"/>
      <c r="R448" s="426"/>
      <c r="S448" s="426"/>
      <c r="T448" s="426"/>
      <c r="U448" s="426"/>
      <c r="V448" s="426"/>
      <c r="Z448" s="478"/>
      <c r="AA448" s="478" t="str">
        <f>IF(AND(F449=G449,H449=I449,F449="A"),"2016 - kw","")</f>
        <v/>
      </c>
      <c r="AB448" s="478" t="str">
        <f>IF(OR(B448="2017 - kw",B448="2018 - kw"),"2016 - kw","")</f>
        <v/>
      </c>
      <c r="AC448" s="478"/>
      <c r="AD448" s="478"/>
      <c r="AE448" s="478"/>
    </row>
    <row r="449" spans="1:31" hidden="1" x14ac:dyDescent="0.25">
      <c r="A449" s="426"/>
      <c r="B449" s="426"/>
      <c r="C449" s="410"/>
      <c r="D449" s="376"/>
      <c r="E449" s="422" t="s">
        <v>381</v>
      </c>
      <c r="F449" s="458"/>
      <c r="G449" s="458"/>
      <c r="H449" s="458"/>
      <c r="I449" s="458"/>
      <c r="J449" s="458"/>
      <c r="K449" s="458"/>
      <c r="L449" s="458"/>
      <c r="M449" s="458"/>
      <c r="N449" s="458"/>
      <c r="O449" s="458"/>
      <c r="P449" s="426"/>
      <c r="Q449" s="426"/>
      <c r="R449" s="426"/>
      <c r="S449" s="426"/>
      <c r="T449" s="426"/>
      <c r="U449" s="426"/>
      <c r="V449" s="426"/>
      <c r="Z449" s="478"/>
      <c r="AA449" s="478"/>
      <c r="AB449" s="478"/>
      <c r="AC449" s="478"/>
      <c r="AD449" s="478"/>
      <c r="AE449" s="478"/>
    </row>
    <row r="450" spans="1:31" hidden="1" x14ac:dyDescent="0.25">
      <c r="A450" s="426" t="str">
        <f>IF(AND(F452=G452,H452=I452,J452=K452,F452="A"),"2016 - kwh",IF(AND(F452=G452,H452=I452,J452&lt;&gt;K452,F452="A"),"2017 - kwh",IF(AND(F452=G452,H452&lt;&gt;I452,F452="A"),"2018 - kwh","N/A")))</f>
        <v>N/A</v>
      </c>
      <c r="B450" s="426" t="str">
        <f>IF(AND(F452="A",G452="A"),"A","")</f>
        <v/>
      </c>
      <c r="C450" s="406" t="s">
        <v>521</v>
      </c>
      <c r="D450" s="460"/>
      <c r="E450" s="424" t="s">
        <v>379</v>
      </c>
      <c r="F450" s="459"/>
      <c r="G450" s="459"/>
      <c r="H450" s="459"/>
      <c r="I450" s="459"/>
      <c r="J450" s="459"/>
      <c r="K450" s="459"/>
      <c r="L450" s="459"/>
      <c r="M450" s="459"/>
      <c r="N450" s="459"/>
      <c r="O450" s="459"/>
      <c r="P450" s="426"/>
      <c r="Q450" s="426"/>
      <c r="R450" s="426"/>
      <c r="S450" s="426"/>
      <c r="T450" s="426"/>
      <c r="U450" s="426"/>
      <c r="V450" s="426"/>
      <c r="Z450" s="478"/>
      <c r="AA450" s="478" t="str">
        <f>IF(AND(F452=G452,H452=I452,F452="A"),"2016 - kwh","")</f>
        <v/>
      </c>
      <c r="AB450" s="478" t="str">
        <f>IF(OR(B450="2017 - kwh",B450="2018 - kwh"),"2016 - kwh","")</f>
        <v/>
      </c>
      <c r="AC450" s="478"/>
      <c r="AD450" s="478"/>
      <c r="AE450" s="478"/>
    </row>
    <row r="451" spans="1:31" hidden="1" x14ac:dyDescent="0.25">
      <c r="A451" s="426" t="str">
        <f>IF(AND(F452=G452,H452=I452,J452=K452,F452="A"),"2016 - kw",IF(AND(F452=G452,H452=I452,J452&lt;&gt;K452,F452="A"),"2017 - kw",IF(AND(F452=G452,H452&lt;&gt;I452,F452="A"),"2018 - kw","N/A")))</f>
        <v>N/A</v>
      </c>
      <c r="B451" s="426" t="str">
        <f>IF(AND(F452="A",G452="A"),"A","")</f>
        <v/>
      </c>
      <c r="C451" s="407"/>
      <c r="D451" s="420" t="str">
        <f>D450 &amp; "kW"</f>
        <v>kW</v>
      </c>
      <c r="E451" s="423" t="s">
        <v>380</v>
      </c>
      <c r="F451" s="459"/>
      <c r="G451" s="459"/>
      <c r="H451" s="459"/>
      <c r="I451" s="459"/>
      <c r="J451" s="459"/>
      <c r="K451" s="459"/>
      <c r="L451" s="459"/>
      <c r="M451" s="459"/>
      <c r="N451" s="459"/>
      <c r="O451" s="459"/>
      <c r="P451" s="426"/>
      <c r="Q451" s="426"/>
      <c r="R451" s="426"/>
      <c r="S451" s="426"/>
      <c r="T451" s="426"/>
      <c r="U451" s="426"/>
      <c r="V451" s="426"/>
      <c r="Z451" s="478"/>
      <c r="AA451" s="478" t="str">
        <f>IF(AND(F452=G452,H452=I452,F452="A"),"2016 - kw","")</f>
        <v/>
      </c>
      <c r="AB451" s="478" t="str">
        <f>IF(OR(B451="2017 - kw",B451="2018 - kw"),"2016 - kw","")</f>
        <v/>
      </c>
      <c r="AC451" s="478"/>
      <c r="AD451" s="478"/>
      <c r="AE451" s="478"/>
    </row>
    <row r="452" spans="1:31" hidden="1" x14ac:dyDescent="0.25">
      <c r="A452" s="426"/>
      <c r="B452" s="426"/>
      <c r="C452" s="410"/>
      <c r="D452" s="376"/>
      <c r="E452" s="422" t="s">
        <v>381</v>
      </c>
      <c r="F452" s="458"/>
      <c r="G452" s="458"/>
      <c r="H452" s="458"/>
      <c r="I452" s="458"/>
      <c r="J452" s="458"/>
      <c r="K452" s="458"/>
      <c r="L452" s="458"/>
      <c r="M452" s="458"/>
      <c r="N452" s="458"/>
      <c r="O452" s="458"/>
      <c r="P452" s="426"/>
      <c r="Q452" s="426"/>
      <c r="R452" s="426"/>
      <c r="S452" s="426"/>
      <c r="T452" s="426"/>
      <c r="U452" s="426"/>
      <c r="V452" s="426"/>
      <c r="Z452" s="478"/>
      <c r="AA452" s="478"/>
      <c r="AB452" s="478"/>
      <c r="AC452" s="478"/>
      <c r="AD452" s="478"/>
      <c r="AE452" s="478"/>
    </row>
    <row r="453" spans="1:31" hidden="1" x14ac:dyDescent="0.25">
      <c r="A453" s="426" t="str">
        <f>IF(AND(F455=G455,H455=I455,J455=K455,F455="A"),"2016 - kwh",IF(AND(F455=G455,H455=I455,J455&lt;&gt;K455,F455="A"),"2017 - kwh",IF(AND(F455=G455,H455&lt;&gt;I455,F455="A"),"2018 - kwh","N/A")))</f>
        <v>N/A</v>
      </c>
      <c r="B453" s="426" t="str">
        <f>IF(AND(F455="A",G455="A"),"A","")</f>
        <v/>
      </c>
      <c r="C453" s="406" t="s">
        <v>522</v>
      </c>
      <c r="D453" s="460"/>
      <c r="E453" s="424" t="s">
        <v>379</v>
      </c>
      <c r="F453" s="459"/>
      <c r="G453" s="459"/>
      <c r="H453" s="459"/>
      <c r="I453" s="459"/>
      <c r="J453" s="459"/>
      <c r="K453" s="459"/>
      <c r="L453" s="459"/>
      <c r="M453" s="459"/>
      <c r="N453" s="459"/>
      <c r="O453" s="459"/>
      <c r="P453" s="426"/>
      <c r="Q453" s="426"/>
      <c r="R453" s="426"/>
      <c r="S453" s="426"/>
      <c r="T453" s="426"/>
      <c r="U453" s="426"/>
      <c r="V453" s="426"/>
      <c r="Z453" s="478"/>
      <c r="AA453" s="478" t="str">
        <f>IF(AND(F455=G455,H455=I455,F455="A"),"2016 - kwh","")</f>
        <v/>
      </c>
      <c r="AB453" s="478" t="str">
        <f>IF(OR(B453="2017 - kwh",B453="2018 - kwh"),"2016 - kwh","")</f>
        <v/>
      </c>
      <c r="AC453" s="478"/>
      <c r="AD453" s="478"/>
      <c r="AE453" s="478"/>
    </row>
    <row r="454" spans="1:31" hidden="1" x14ac:dyDescent="0.25">
      <c r="A454" s="426" t="str">
        <f>IF(AND(F455=G455,H455=I455,J455=K455,F455="A"),"2016 - kw",IF(AND(F455=G455,H455=I455,J455&lt;&gt;K455,F455="A"),"2017 - kw",IF(AND(F455=G455,H455&lt;&gt;I455,F455="A"),"2018 - kw","N/A")))</f>
        <v>N/A</v>
      </c>
      <c r="B454" s="426" t="str">
        <f>IF(AND(F455="A",G455="A"),"A","")</f>
        <v/>
      </c>
      <c r="C454" s="407"/>
      <c r="D454" s="420" t="str">
        <f>D453 &amp; "kW"</f>
        <v>kW</v>
      </c>
      <c r="E454" s="423" t="s">
        <v>380</v>
      </c>
      <c r="F454" s="459"/>
      <c r="G454" s="459"/>
      <c r="H454" s="459"/>
      <c r="I454" s="459"/>
      <c r="J454" s="459"/>
      <c r="K454" s="459"/>
      <c r="L454" s="459"/>
      <c r="M454" s="459"/>
      <c r="N454" s="459"/>
      <c r="O454" s="459"/>
      <c r="P454" s="426"/>
      <c r="Q454" s="426"/>
      <c r="R454" s="426"/>
      <c r="S454" s="426"/>
      <c r="T454" s="426"/>
      <c r="U454" s="426"/>
      <c r="V454" s="426"/>
      <c r="Z454" s="478"/>
      <c r="AA454" s="478" t="str">
        <f>IF(AND(F455=G455,H455=I455,F455="A"),"2016 - kw","")</f>
        <v/>
      </c>
      <c r="AB454" s="478" t="str">
        <f>IF(OR(B454="2017 - kw",B454="2018 - kw"),"2016 - kw","")</f>
        <v/>
      </c>
      <c r="AC454" s="478"/>
      <c r="AD454" s="478"/>
      <c r="AE454" s="478"/>
    </row>
    <row r="455" spans="1:31" hidden="1" x14ac:dyDescent="0.25">
      <c r="A455" s="426"/>
      <c r="B455" s="426"/>
      <c r="C455" s="410"/>
      <c r="D455" s="376"/>
      <c r="E455" s="422" t="s">
        <v>381</v>
      </c>
      <c r="F455" s="458"/>
      <c r="G455" s="458"/>
      <c r="H455" s="458"/>
      <c r="I455" s="458"/>
      <c r="J455" s="458"/>
      <c r="K455" s="458"/>
      <c r="L455" s="458"/>
      <c r="M455" s="458"/>
      <c r="N455" s="458"/>
      <c r="O455" s="458"/>
      <c r="P455" s="426"/>
      <c r="Q455" s="426"/>
      <c r="R455" s="426"/>
      <c r="S455" s="426"/>
      <c r="T455" s="426"/>
      <c r="U455" s="426"/>
      <c r="V455" s="426"/>
      <c r="Z455" s="478"/>
      <c r="AA455" s="478"/>
      <c r="AB455" s="478"/>
      <c r="AC455" s="478"/>
      <c r="AD455" s="478"/>
      <c r="AE455" s="478"/>
    </row>
    <row r="456" spans="1:31" hidden="1" x14ac:dyDescent="0.25">
      <c r="A456" s="426" t="str">
        <f>IF(AND(F458=G458,H458=I458,J458=K458,F458="A"),"2016 - kwh",IF(AND(F458=G458,H458=I458,J458&lt;&gt;K458,F458="A"),"2017 - kwh",IF(AND(F458=G458,H458&lt;&gt;I458,F458="A"),"2018 - kwh","N/A")))</f>
        <v>N/A</v>
      </c>
      <c r="B456" s="426" t="str">
        <f>IF(AND(F458="A",G458="A"),"A","")</f>
        <v/>
      </c>
      <c r="C456" s="406" t="s">
        <v>523</v>
      </c>
      <c r="D456" s="460"/>
      <c r="E456" s="424" t="s">
        <v>379</v>
      </c>
      <c r="F456" s="459"/>
      <c r="G456" s="459"/>
      <c r="H456" s="459"/>
      <c r="I456" s="459"/>
      <c r="J456" s="459"/>
      <c r="K456" s="459"/>
      <c r="L456" s="459"/>
      <c r="M456" s="459"/>
      <c r="N456" s="459"/>
      <c r="O456" s="459"/>
      <c r="P456" s="426"/>
      <c r="Q456" s="426"/>
      <c r="R456" s="426"/>
      <c r="S456" s="426"/>
      <c r="T456" s="426"/>
      <c r="U456" s="426"/>
      <c r="V456" s="426"/>
      <c r="Z456" s="478"/>
      <c r="AA456" s="478" t="str">
        <f>IF(AND(F458=G458,H458=I458,F458="A"),"2016 - kwh","")</f>
        <v/>
      </c>
      <c r="AB456" s="478" t="str">
        <f>IF(OR(B456="2017 - kwh",B456="2018 - kwh"),"2016 - kwh","")</f>
        <v/>
      </c>
      <c r="AC456" s="478"/>
      <c r="AD456" s="478"/>
      <c r="AE456" s="478"/>
    </row>
    <row r="457" spans="1:31" hidden="1" x14ac:dyDescent="0.25">
      <c r="A457" s="426" t="str">
        <f>IF(AND(F458=G458,H458=I458,J458=K458,F458="A"),"2016 - kw",IF(AND(F458=G458,H458=I458,J458&lt;&gt;K458,F458="A"),"2017 - kw",IF(AND(F458=G458,H458&lt;&gt;I458,F458="A"),"2018 - kw","N/A")))</f>
        <v>N/A</v>
      </c>
      <c r="B457" s="426" t="str">
        <f>IF(AND(F458="A",G458="A"),"A","")</f>
        <v/>
      </c>
      <c r="C457" s="407"/>
      <c r="D457" s="420" t="str">
        <f>D456 &amp; "kW"</f>
        <v>kW</v>
      </c>
      <c r="E457" s="423" t="s">
        <v>380</v>
      </c>
      <c r="F457" s="459"/>
      <c r="G457" s="459"/>
      <c r="H457" s="459"/>
      <c r="I457" s="459"/>
      <c r="J457" s="459"/>
      <c r="K457" s="459"/>
      <c r="L457" s="459"/>
      <c r="M457" s="459"/>
      <c r="N457" s="459"/>
      <c r="O457" s="459"/>
      <c r="P457" s="426"/>
      <c r="Q457" s="426"/>
      <c r="R457" s="426"/>
      <c r="S457" s="426"/>
      <c r="T457" s="426"/>
      <c r="U457" s="426"/>
      <c r="V457" s="426"/>
      <c r="Z457" s="478"/>
      <c r="AA457" s="478" t="str">
        <f>IF(AND(F458=G458,H458=I458,F458="A"),"2016 - kw","")</f>
        <v/>
      </c>
      <c r="AB457" s="478" t="str">
        <f>IF(OR(B457="2017 - kw",B457="2018 - kw"),"2016 - kw","")</f>
        <v/>
      </c>
      <c r="AC457" s="478"/>
      <c r="AD457" s="478"/>
      <c r="AE457" s="478"/>
    </row>
    <row r="458" spans="1:31" hidden="1" x14ac:dyDescent="0.25">
      <c r="A458" s="426"/>
      <c r="B458" s="426"/>
      <c r="C458" s="410"/>
      <c r="D458" s="376"/>
      <c r="E458" s="422" t="s">
        <v>381</v>
      </c>
      <c r="F458" s="458"/>
      <c r="G458" s="458"/>
      <c r="H458" s="458"/>
      <c r="I458" s="458"/>
      <c r="J458" s="458"/>
      <c r="K458" s="458"/>
      <c r="L458" s="458"/>
      <c r="M458" s="458"/>
      <c r="N458" s="458"/>
      <c r="O458" s="458"/>
      <c r="P458" s="426"/>
      <c r="Q458" s="426"/>
      <c r="R458" s="426"/>
      <c r="S458" s="426"/>
      <c r="T458" s="426"/>
      <c r="U458" s="426"/>
      <c r="V458" s="426"/>
      <c r="Z458" s="478"/>
      <c r="AA458" s="478"/>
      <c r="AB458" s="478"/>
      <c r="AC458" s="478"/>
      <c r="AD458" s="478"/>
      <c r="AE458" s="478"/>
    </row>
    <row r="459" spans="1:31" hidden="1" x14ac:dyDescent="0.25">
      <c r="A459" s="426" t="str">
        <f>IF(AND(F461=G461,H461=I461,J461=K461,F461="A"),"2016 - kwh",IF(AND(F461=G461,H461=I461,J461&lt;&gt;K461,F461="A"),"2017 - kwh",IF(AND(F461=G461,H461&lt;&gt;I461,F461="A"),"2018 - kwh","N/A")))</f>
        <v>N/A</v>
      </c>
      <c r="B459" s="426" t="str">
        <f>IF(AND(F461="A",G461="A"),"A","")</f>
        <v/>
      </c>
      <c r="C459" s="406" t="s">
        <v>524</v>
      </c>
      <c r="D459" s="460"/>
      <c r="E459" s="424" t="s">
        <v>379</v>
      </c>
      <c r="F459" s="459"/>
      <c r="G459" s="459"/>
      <c r="H459" s="459"/>
      <c r="I459" s="459"/>
      <c r="J459" s="459"/>
      <c r="K459" s="459"/>
      <c r="L459" s="459"/>
      <c r="M459" s="459"/>
      <c r="N459" s="459"/>
      <c r="O459" s="459"/>
      <c r="P459" s="426"/>
      <c r="Q459" s="426"/>
      <c r="R459" s="426"/>
      <c r="S459" s="426"/>
      <c r="T459" s="426"/>
      <c r="U459" s="426"/>
      <c r="V459" s="426"/>
      <c r="Z459" s="478"/>
      <c r="AA459" s="478" t="str">
        <f>IF(AND(F461=G461,H461=I461,F461="A"),"2016 - kwh","")</f>
        <v/>
      </c>
      <c r="AB459" s="478" t="str">
        <f>IF(OR(B459="2017 - kwh",B459="2018 - kwh"),"2016 - kwh","")</f>
        <v/>
      </c>
      <c r="AC459" s="478"/>
      <c r="AD459" s="478"/>
      <c r="AE459" s="478"/>
    </row>
    <row r="460" spans="1:31" hidden="1" x14ac:dyDescent="0.25">
      <c r="A460" s="426" t="str">
        <f>IF(AND(F461=G461,H461=I461,J461=K461,F461="A"),"2016 - kw",IF(AND(F461=G461,H461=I461,J461&lt;&gt;K461,F461="A"),"2017 - kw",IF(AND(F461=G461,H461&lt;&gt;I461,F461="A"),"2018 - kw","N/A")))</f>
        <v>N/A</v>
      </c>
      <c r="B460" s="426" t="str">
        <f>IF(AND(F461="A",G461="A"),"A","")</f>
        <v/>
      </c>
      <c r="C460" s="407"/>
      <c r="D460" s="420" t="str">
        <f>D459 &amp; "kW"</f>
        <v>kW</v>
      </c>
      <c r="E460" s="423" t="s">
        <v>380</v>
      </c>
      <c r="F460" s="459"/>
      <c r="G460" s="459"/>
      <c r="H460" s="459"/>
      <c r="I460" s="459"/>
      <c r="J460" s="459"/>
      <c r="K460" s="459"/>
      <c r="L460" s="459"/>
      <c r="M460" s="459"/>
      <c r="N460" s="459"/>
      <c r="O460" s="459"/>
      <c r="P460" s="426"/>
      <c r="Q460" s="426"/>
      <c r="R460" s="426"/>
      <c r="S460" s="426"/>
      <c r="T460" s="426"/>
      <c r="U460" s="426"/>
      <c r="V460" s="426"/>
      <c r="Z460" s="478"/>
      <c r="AA460" s="478" t="str">
        <f>IF(AND(F461=G461,H461=I461,F461="A"),"2016 - kw","")</f>
        <v/>
      </c>
      <c r="AB460" s="478" t="str">
        <f>IF(OR(B460="2017 - kw",B460="2018 - kw"),"2016 - kw","")</f>
        <v/>
      </c>
      <c r="AC460" s="478"/>
      <c r="AD460" s="478"/>
      <c r="AE460" s="478"/>
    </row>
    <row r="461" spans="1:31" hidden="1" x14ac:dyDescent="0.25">
      <c r="A461" s="426"/>
      <c r="B461" s="426"/>
      <c r="C461" s="410"/>
      <c r="D461" s="376"/>
      <c r="E461" s="422" t="s">
        <v>381</v>
      </c>
      <c r="F461" s="458"/>
      <c r="G461" s="458"/>
      <c r="H461" s="458"/>
      <c r="I461" s="458"/>
      <c r="J461" s="458"/>
      <c r="K461" s="458"/>
      <c r="L461" s="458"/>
      <c r="M461" s="458"/>
      <c r="N461" s="458"/>
      <c r="O461" s="458"/>
      <c r="P461" s="426"/>
      <c r="Q461" s="426"/>
      <c r="R461" s="426"/>
      <c r="S461" s="426"/>
      <c r="T461" s="426"/>
      <c r="U461" s="426"/>
      <c r="V461" s="426"/>
      <c r="Z461" s="478"/>
      <c r="AA461" s="478"/>
      <c r="AB461" s="478"/>
      <c r="AC461" s="478"/>
      <c r="AD461" s="478"/>
      <c r="AE461" s="478"/>
    </row>
    <row r="462" spans="1:31" hidden="1" x14ac:dyDescent="0.25">
      <c r="A462" s="426" t="str">
        <f>IF(AND(F464=G464,H464=I464,J464=K464,F464="A"),"2016 - kwh",IF(AND(F464=G464,H464=I464,J464&lt;&gt;K464,F464="A"),"2017 - kwh",IF(AND(F464=G464,H464&lt;&gt;I464,F464="A"),"2018 - kwh","N/A")))</f>
        <v>N/A</v>
      </c>
      <c r="B462" s="426" t="str">
        <f>IF(AND(F464="A",G464="A"),"A","")</f>
        <v/>
      </c>
      <c r="C462" s="406" t="s">
        <v>525</v>
      </c>
      <c r="D462" s="460"/>
      <c r="E462" s="424" t="s">
        <v>379</v>
      </c>
      <c r="F462" s="459"/>
      <c r="G462" s="459"/>
      <c r="H462" s="459"/>
      <c r="I462" s="459"/>
      <c r="J462" s="459"/>
      <c r="K462" s="459"/>
      <c r="L462" s="459"/>
      <c r="M462" s="459"/>
      <c r="N462" s="459"/>
      <c r="O462" s="459"/>
      <c r="P462" s="426"/>
      <c r="Q462" s="426"/>
      <c r="R462" s="426"/>
      <c r="S462" s="426"/>
      <c r="T462" s="426"/>
      <c r="U462" s="426"/>
      <c r="V462" s="426"/>
      <c r="Z462" s="478"/>
      <c r="AA462" s="478" t="str">
        <f>IF(AND(F464=G464,H464=I464,F464="A"),"2016 - kwh","")</f>
        <v/>
      </c>
      <c r="AB462" s="478" t="str">
        <f>IF(OR(B462="2017 - kwh",B462="2018 - kwh"),"2016 - kwh","")</f>
        <v/>
      </c>
      <c r="AC462" s="478"/>
      <c r="AD462" s="478"/>
      <c r="AE462" s="478"/>
    </row>
    <row r="463" spans="1:31" hidden="1" x14ac:dyDescent="0.25">
      <c r="A463" s="426" t="str">
        <f>IF(AND(F464=G464,H464=I464,J464=K464,F464="A"),"2016 - kw",IF(AND(F464=G464,H464=I464,J464&lt;&gt;K464,F464="A"),"2017 - kw",IF(AND(F464=G464,H464&lt;&gt;I464,F464="A"),"2018 - kw","N/A")))</f>
        <v>N/A</v>
      </c>
      <c r="B463" s="426" t="str">
        <f>IF(AND(F464="A",G464="A"),"A","")</f>
        <v/>
      </c>
      <c r="C463" s="407"/>
      <c r="D463" s="420" t="str">
        <f>D462 &amp; "kW"</f>
        <v>kW</v>
      </c>
      <c r="E463" s="423" t="s">
        <v>380</v>
      </c>
      <c r="F463" s="459"/>
      <c r="G463" s="459"/>
      <c r="H463" s="459"/>
      <c r="I463" s="459"/>
      <c r="J463" s="459"/>
      <c r="K463" s="459"/>
      <c r="L463" s="459"/>
      <c r="M463" s="459"/>
      <c r="N463" s="459"/>
      <c r="O463" s="459"/>
      <c r="P463" s="426"/>
      <c r="Q463" s="426"/>
      <c r="R463" s="426"/>
      <c r="S463" s="426"/>
      <c r="T463" s="426"/>
      <c r="U463" s="426"/>
      <c r="V463" s="426"/>
      <c r="Z463" s="478"/>
      <c r="AA463" s="478" t="str">
        <f>IF(AND(F464=G464,H464=I464,F464="A"),"2016 - kw","")</f>
        <v/>
      </c>
      <c r="AB463" s="478" t="str">
        <f>IF(OR(B463="2017 - kw",B463="2018 - kw"),"2016 - kw","")</f>
        <v/>
      </c>
      <c r="AC463" s="478"/>
      <c r="AD463" s="478"/>
      <c r="AE463" s="478"/>
    </row>
    <row r="464" spans="1:31" hidden="1" x14ac:dyDescent="0.25">
      <c r="A464" s="426"/>
      <c r="B464" s="426"/>
      <c r="C464" s="410"/>
      <c r="D464" s="376"/>
      <c r="E464" s="422" t="s">
        <v>381</v>
      </c>
      <c r="F464" s="458"/>
      <c r="G464" s="458"/>
      <c r="H464" s="458"/>
      <c r="I464" s="458"/>
      <c r="J464" s="458"/>
      <c r="K464" s="458"/>
      <c r="L464" s="458"/>
      <c r="M464" s="458"/>
      <c r="N464" s="458"/>
      <c r="O464" s="458"/>
      <c r="P464" s="426"/>
      <c r="Q464" s="426"/>
      <c r="R464" s="426"/>
      <c r="S464" s="426"/>
      <c r="T464" s="426"/>
      <c r="U464" s="426"/>
      <c r="V464" s="426"/>
      <c r="Z464" s="478"/>
      <c r="AA464" s="478"/>
      <c r="AB464" s="478"/>
      <c r="AC464" s="478"/>
      <c r="AD464" s="478"/>
      <c r="AE464" s="478"/>
    </row>
    <row r="465" spans="1:31" hidden="1" x14ac:dyDescent="0.25">
      <c r="A465" s="426" t="str">
        <f>IF(AND(F467=G467,H467=I467,J467=K467,F467="A"),"2016 - kwh",IF(AND(F467=G467,H467=I467,J467&lt;&gt;K467,F467="A"),"2017 - kwh",IF(AND(F467=G467,H467&lt;&gt;I467,F467="A"),"2018 - kwh","N/A")))</f>
        <v>N/A</v>
      </c>
      <c r="B465" s="426" t="str">
        <f>IF(AND(F467="A",G467="A"),"A","")</f>
        <v/>
      </c>
      <c r="C465" s="406" t="s">
        <v>526</v>
      </c>
      <c r="D465" s="460"/>
      <c r="E465" s="424" t="s">
        <v>379</v>
      </c>
      <c r="F465" s="459"/>
      <c r="G465" s="459"/>
      <c r="H465" s="459"/>
      <c r="I465" s="459"/>
      <c r="J465" s="459"/>
      <c r="K465" s="459"/>
      <c r="L465" s="459"/>
      <c r="M465" s="459"/>
      <c r="N465" s="459"/>
      <c r="O465" s="459"/>
      <c r="P465" s="426"/>
      <c r="Q465" s="426"/>
      <c r="R465" s="426"/>
      <c r="S465" s="426"/>
      <c r="T465" s="426"/>
      <c r="U465" s="426"/>
      <c r="V465" s="426"/>
      <c r="Z465" s="478"/>
      <c r="AA465" s="478" t="str">
        <f>IF(AND(F467=G467,H467=I467,F467="A"),"2016 - kwh","")</f>
        <v/>
      </c>
      <c r="AB465" s="478" t="str">
        <f>IF(OR(B465="2017 - kwh",B465="2018 - kwh"),"2016 - kwh","")</f>
        <v/>
      </c>
      <c r="AC465" s="478"/>
      <c r="AD465" s="478"/>
      <c r="AE465" s="478"/>
    </row>
    <row r="466" spans="1:31" hidden="1" x14ac:dyDescent="0.25">
      <c r="A466" s="426" t="str">
        <f>IF(AND(F467=G467,H467=I467,J467=K467,F467="A"),"2016 - kw",IF(AND(F467=G467,H467=I467,J467&lt;&gt;K467,F467="A"),"2017 - kw",IF(AND(F467=G467,H467&lt;&gt;I467,F467="A"),"2018 - kw","N/A")))</f>
        <v>N/A</v>
      </c>
      <c r="B466" s="426" t="str">
        <f>IF(AND(F467="A",G467="A"),"A","")</f>
        <v/>
      </c>
      <c r="C466" s="407"/>
      <c r="D466" s="420" t="str">
        <f>D465 &amp; "kW"</f>
        <v>kW</v>
      </c>
      <c r="E466" s="423" t="s">
        <v>380</v>
      </c>
      <c r="F466" s="459"/>
      <c r="G466" s="459"/>
      <c r="H466" s="459"/>
      <c r="I466" s="459"/>
      <c r="J466" s="459"/>
      <c r="K466" s="459"/>
      <c r="L466" s="459"/>
      <c r="M466" s="459"/>
      <c r="N466" s="459"/>
      <c r="O466" s="459"/>
      <c r="P466" s="426"/>
      <c r="Q466" s="426"/>
      <c r="R466" s="426"/>
      <c r="S466" s="426"/>
      <c r="T466" s="426"/>
      <c r="U466" s="426"/>
      <c r="V466" s="426"/>
      <c r="Z466" s="478"/>
      <c r="AA466" s="478" t="str">
        <f>IF(AND(F467=G467,H467=I467,F467="A"),"2016 - kw","")</f>
        <v/>
      </c>
      <c r="AB466" s="478" t="str">
        <f>IF(OR(B466="2017 - kw",B466="2018 - kw"),"2016 - kw","")</f>
        <v/>
      </c>
      <c r="AC466" s="478"/>
      <c r="AD466" s="478"/>
      <c r="AE466" s="478"/>
    </row>
    <row r="467" spans="1:31" hidden="1" x14ac:dyDescent="0.25">
      <c r="A467" s="426"/>
      <c r="B467" s="426"/>
      <c r="C467" s="410"/>
      <c r="D467" s="376"/>
      <c r="E467" s="422" t="s">
        <v>381</v>
      </c>
      <c r="F467" s="458"/>
      <c r="G467" s="458"/>
      <c r="H467" s="458"/>
      <c r="I467" s="458"/>
      <c r="J467" s="458"/>
      <c r="K467" s="458"/>
      <c r="L467" s="458"/>
      <c r="M467" s="458"/>
      <c r="N467" s="458"/>
      <c r="O467" s="458"/>
      <c r="P467" s="426"/>
      <c r="Q467" s="426"/>
      <c r="R467" s="426"/>
      <c r="S467" s="426"/>
      <c r="T467" s="426"/>
      <c r="U467" s="426"/>
      <c r="V467" s="426"/>
      <c r="Z467" s="478"/>
      <c r="AA467" s="478"/>
      <c r="AB467" s="478"/>
      <c r="AC467" s="478"/>
      <c r="AD467" s="478"/>
      <c r="AE467" s="478"/>
    </row>
    <row r="468" spans="1:31" hidden="1" x14ac:dyDescent="0.25">
      <c r="A468" s="426" t="str">
        <f>IF(AND(F470=G470,H470=I470,J470=K470,F470="A"),"2016 - kwh",IF(AND(F470=G470,H470=I470,J470&lt;&gt;K470,F470="A"),"2017 - kwh",IF(AND(F470=G470,H470&lt;&gt;I470,F470="A"),"2018 - kwh","N/A")))</f>
        <v>N/A</v>
      </c>
      <c r="B468" s="426" t="str">
        <f>IF(AND(F470="A",G470="A"),"A","")</f>
        <v/>
      </c>
      <c r="C468" s="406" t="s">
        <v>527</v>
      </c>
      <c r="D468" s="460"/>
      <c r="E468" s="424" t="s">
        <v>379</v>
      </c>
      <c r="F468" s="459"/>
      <c r="G468" s="459"/>
      <c r="H468" s="459"/>
      <c r="I468" s="459"/>
      <c r="J468" s="459"/>
      <c r="K468" s="459"/>
      <c r="L468" s="459"/>
      <c r="M468" s="459"/>
      <c r="N468" s="459"/>
      <c r="O468" s="459"/>
      <c r="P468" s="426"/>
      <c r="Q468" s="426"/>
      <c r="R468" s="426"/>
      <c r="S468" s="426"/>
      <c r="T468" s="426"/>
      <c r="U468" s="426"/>
      <c r="V468" s="426"/>
      <c r="Z468" s="478"/>
      <c r="AA468" s="478" t="str">
        <f>IF(AND(F470=G470,H470=I470,F470="A"),"2016 - kwh","")</f>
        <v/>
      </c>
      <c r="AB468" s="478" t="str">
        <f>IF(OR(B468="2017 - kwh",B468="2018 - kwh"),"2016 - kwh","")</f>
        <v/>
      </c>
      <c r="AC468" s="478"/>
      <c r="AD468" s="478"/>
      <c r="AE468" s="478"/>
    </row>
    <row r="469" spans="1:31" hidden="1" x14ac:dyDescent="0.25">
      <c r="A469" s="426" t="str">
        <f>IF(AND(F470=G470,H470=I470,J470=K470,F470="A"),"2016 - kw",IF(AND(F470=G470,H470=I470,J470&lt;&gt;K470,F470="A"),"2017 - kw",IF(AND(F470=G470,H470&lt;&gt;I470,F470="A"),"2018 - kw","N/A")))</f>
        <v>N/A</v>
      </c>
      <c r="B469" s="426" t="str">
        <f>IF(AND(F470="A",G470="A"),"A","")</f>
        <v/>
      </c>
      <c r="C469" s="407"/>
      <c r="D469" s="420" t="str">
        <f>D468 &amp; "kW"</f>
        <v>kW</v>
      </c>
      <c r="E469" s="423" t="s">
        <v>380</v>
      </c>
      <c r="F469" s="459"/>
      <c r="G469" s="459"/>
      <c r="H469" s="459"/>
      <c r="I469" s="459"/>
      <c r="J469" s="459"/>
      <c r="K469" s="459"/>
      <c r="L469" s="459"/>
      <c r="M469" s="459"/>
      <c r="N469" s="459"/>
      <c r="O469" s="459"/>
      <c r="P469" s="426"/>
      <c r="Q469" s="426"/>
      <c r="R469" s="426"/>
      <c r="S469" s="426"/>
      <c r="T469" s="426"/>
      <c r="U469" s="426"/>
      <c r="V469" s="426"/>
      <c r="Z469" s="478"/>
      <c r="AA469" s="478" t="str">
        <f>IF(AND(F470=G470,H470=I470,F470="A"),"2016 - kw","")</f>
        <v/>
      </c>
      <c r="AB469" s="478" t="str">
        <f>IF(OR(B469="2017 - kw",B469="2018 - kw"),"2016 - kw","")</f>
        <v/>
      </c>
      <c r="AC469" s="478"/>
      <c r="AD469" s="478"/>
      <c r="AE469" s="478"/>
    </row>
    <row r="470" spans="1:31" hidden="1" x14ac:dyDescent="0.25">
      <c r="A470" s="426"/>
      <c r="B470" s="426"/>
      <c r="C470" s="410"/>
      <c r="D470" s="376"/>
      <c r="E470" s="422" t="s">
        <v>381</v>
      </c>
      <c r="F470" s="458"/>
      <c r="G470" s="458"/>
      <c r="H470" s="458"/>
      <c r="I470" s="458"/>
      <c r="J470" s="458"/>
      <c r="K470" s="458"/>
      <c r="L470" s="458"/>
      <c r="M470" s="458"/>
      <c r="N470" s="458"/>
      <c r="O470" s="458"/>
      <c r="P470" s="426"/>
      <c r="Q470" s="426"/>
      <c r="R470" s="426"/>
      <c r="S470" s="426"/>
      <c r="T470" s="426"/>
      <c r="U470" s="426"/>
      <c r="V470" s="426"/>
      <c r="Z470" s="478"/>
      <c r="AA470" s="478"/>
      <c r="AB470" s="478"/>
      <c r="AC470" s="478"/>
      <c r="AD470" s="478"/>
      <c r="AE470" s="478"/>
    </row>
    <row r="471" spans="1:31" hidden="1" x14ac:dyDescent="0.25">
      <c r="A471" s="426" t="str">
        <f>IF(AND(F473=G473,H473=I473,J473=K473,F473="A"),"2016 - kwh",IF(AND(F473=G473,H473=I473,J473&lt;&gt;K473,F473="A"),"2017 - kwh",IF(AND(F473=G473,H473&lt;&gt;I473,F473="A"),"2018 - kwh","N/A")))</f>
        <v>N/A</v>
      </c>
      <c r="B471" s="426" t="str">
        <f>IF(AND(F473="A",G473="A"),"A","")</f>
        <v/>
      </c>
      <c r="C471" s="406" t="s">
        <v>528</v>
      </c>
      <c r="D471" s="460"/>
      <c r="E471" s="424" t="s">
        <v>379</v>
      </c>
      <c r="F471" s="459"/>
      <c r="G471" s="459"/>
      <c r="H471" s="459"/>
      <c r="I471" s="459"/>
      <c r="J471" s="459"/>
      <c r="K471" s="459"/>
      <c r="L471" s="459"/>
      <c r="M471" s="459"/>
      <c r="N471" s="459"/>
      <c r="O471" s="459"/>
      <c r="P471" s="426"/>
      <c r="Q471" s="426"/>
      <c r="R471" s="426"/>
      <c r="S471" s="426"/>
      <c r="T471" s="426"/>
      <c r="U471" s="426"/>
      <c r="V471" s="426"/>
      <c r="Z471" s="478"/>
      <c r="AA471" s="478" t="str">
        <f>IF(AND(F473=G473,H473=I473,F473="A"),"2016 - kwh","")</f>
        <v/>
      </c>
      <c r="AB471" s="478" t="str">
        <f>IF(OR(B471="2017 - kwh",B471="2018 - kwh"),"2016 - kwh","")</f>
        <v/>
      </c>
      <c r="AC471" s="478"/>
      <c r="AD471" s="478"/>
      <c r="AE471" s="478"/>
    </row>
    <row r="472" spans="1:31" hidden="1" x14ac:dyDescent="0.25">
      <c r="A472" s="426" t="str">
        <f>IF(AND(F473=G473,H473=I473,J473=K473,F473="A"),"2016 - kw",IF(AND(F473=G473,H473=I473,J473&lt;&gt;K473,F473="A"),"2017 - kw",IF(AND(F473=G473,H473&lt;&gt;I473,F473="A"),"2018 - kw","N/A")))</f>
        <v>N/A</v>
      </c>
      <c r="B472" s="426" t="str">
        <f>IF(AND(F473="A",G473="A"),"A","")</f>
        <v/>
      </c>
      <c r="C472" s="407"/>
      <c r="D472" s="420" t="str">
        <f>D471 &amp; "kW"</f>
        <v>kW</v>
      </c>
      <c r="E472" s="423" t="s">
        <v>380</v>
      </c>
      <c r="F472" s="459"/>
      <c r="G472" s="459"/>
      <c r="H472" s="459"/>
      <c r="I472" s="459"/>
      <c r="J472" s="459"/>
      <c r="K472" s="459"/>
      <c r="L472" s="459"/>
      <c r="M472" s="459"/>
      <c r="N472" s="459"/>
      <c r="O472" s="459"/>
      <c r="P472" s="426"/>
      <c r="Q472" s="426"/>
      <c r="R472" s="426"/>
      <c r="S472" s="426"/>
      <c r="T472" s="426"/>
      <c r="U472" s="426"/>
      <c r="V472" s="426"/>
      <c r="Z472" s="478"/>
      <c r="AA472" s="478" t="str">
        <f>IF(AND(F473=G473,H473=I473,F473="A"),"2016 - kw","")</f>
        <v/>
      </c>
      <c r="AB472" s="478" t="str">
        <f>IF(OR(B472="2017 - kw",B472="2018 - kw"),"2016 - kw","")</f>
        <v/>
      </c>
      <c r="AC472" s="478"/>
      <c r="AD472" s="478"/>
      <c r="AE472" s="478"/>
    </row>
    <row r="473" spans="1:31" hidden="1" x14ac:dyDescent="0.25">
      <c r="A473" s="426"/>
      <c r="B473" s="426"/>
      <c r="C473" s="410"/>
      <c r="D473" s="376"/>
      <c r="E473" s="422" t="s">
        <v>381</v>
      </c>
      <c r="F473" s="458"/>
      <c r="G473" s="458"/>
      <c r="H473" s="458"/>
      <c r="I473" s="458"/>
      <c r="J473" s="458"/>
      <c r="K473" s="458"/>
      <c r="L473" s="458"/>
      <c r="M473" s="458"/>
      <c r="N473" s="458"/>
      <c r="O473" s="458"/>
      <c r="P473" s="426"/>
      <c r="Q473" s="426"/>
      <c r="R473" s="426"/>
      <c r="S473" s="426"/>
      <c r="T473" s="426"/>
      <c r="U473" s="426"/>
      <c r="V473" s="426"/>
      <c r="Z473" s="478"/>
      <c r="AA473" s="478"/>
      <c r="AB473" s="478"/>
      <c r="AC473" s="478"/>
      <c r="AD473" s="478"/>
      <c r="AE473" s="478"/>
    </row>
    <row r="474" spans="1:31" hidden="1" x14ac:dyDescent="0.25">
      <c r="A474" s="426" t="str">
        <f>IF(AND(F476=G476,H476=I476,J476=K476,F476="A"),"2016 - kwh",IF(AND(F476=G476,H476=I476,J476&lt;&gt;K476,F476="A"),"2017 - kwh",IF(AND(F476=G476,H476&lt;&gt;I476,F476="A"),"2018 - kwh","N/A")))</f>
        <v>N/A</v>
      </c>
      <c r="B474" s="426" t="str">
        <f>IF(AND(F476="A",G476="A"),"A","")</f>
        <v/>
      </c>
      <c r="C474" s="406" t="s">
        <v>529</v>
      </c>
      <c r="D474" s="460"/>
      <c r="E474" s="424" t="s">
        <v>379</v>
      </c>
      <c r="F474" s="459"/>
      <c r="G474" s="459"/>
      <c r="H474" s="459"/>
      <c r="I474" s="459"/>
      <c r="J474" s="459"/>
      <c r="K474" s="459"/>
      <c r="L474" s="459"/>
      <c r="M474" s="459"/>
      <c r="N474" s="459"/>
      <c r="O474" s="459"/>
      <c r="P474" s="426"/>
      <c r="Q474" s="426"/>
      <c r="R474" s="426"/>
      <c r="S474" s="426"/>
      <c r="T474" s="426"/>
      <c r="U474" s="426"/>
      <c r="V474" s="426"/>
      <c r="Z474" s="478"/>
      <c r="AA474" s="478" t="str">
        <f>IF(AND(F476=G476,H476=I476,F476="A"),"2016 - kwh","")</f>
        <v/>
      </c>
      <c r="AB474" s="478" t="str">
        <f>IF(OR(B474="2017 - kwh",B474="2018 - kwh"),"2016 - kwh","")</f>
        <v/>
      </c>
      <c r="AC474" s="478"/>
      <c r="AD474" s="478"/>
      <c r="AE474" s="478"/>
    </row>
    <row r="475" spans="1:31" hidden="1" x14ac:dyDescent="0.25">
      <c r="A475" s="426" t="str">
        <f>IF(AND(F476=G476,H476=I476,J476=K476,F476="A"),"2016 - kw",IF(AND(F476=G476,H476=I476,J476&lt;&gt;K476,F476="A"),"2017 - kw",IF(AND(F476=G476,H476&lt;&gt;I476,F476="A"),"2018 - kw","N/A")))</f>
        <v>N/A</v>
      </c>
      <c r="B475" s="426" t="str">
        <f>IF(AND(F476="A",G476="A"),"A","")</f>
        <v/>
      </c>
      <c r="C475" s="407"/>
      <c r="D475" s="420" t="str">
        <f>D474 &amp; "kW"</f>
        <v>kW</v>
      </c>
      <c r="E475" s="423" t="s">
        <v>380</v>
      </c>
      <c r="F475" s="459"/>
      <c r="G475" s="459"/>
      <c r="H475" s="459"/>
      <c r="I475" s="459"/>
      <c r="J475" s="459"/>
      <c r="K475" s="459"/>
      <c r="L475" s="459"/>
      <c r="M475" s="459"/>
      <c r="N475" s="459"/>
      <c r="O475" s="459"/>
      <c r="P475" s="426"/>
      <c r="Q475" s="426"/>
      <c r="R475" s="426"/>
      <c r="S475" s="426"/>
      <c r="T475" s="426"/>
      <c r="U475" s="426"/>
      <c r="V475" s="426"/>
      <c r="Z475" s="478"/>
      <c r="AA475" s="478" t="str">
        <f>IF(AND(F476=G476,H476=I476,F476="A"),"2016 - kw","")</f>
        <v/>
      </c>
      <c r="AB475" s="478" t="str">
        <f>IF(OR(B475="2017 - kw",B475="2018 - kw"),"2016 - kw","")</f>
        <v/>
      </c>
      <c r="AC475" s="478"/>
      <c r="AD475" s="478"/>
      <c r="AE475" s="478"/>
    </row>
    <row r="476" spans="1:31" hidden="1" x14ac:dyDescent="0.25">
      <c r="A476" s="426"/>
      <c r="B476" s="426"/>
      <c r="C476" s="410"/>
      <c r="D476" s="376"/>
      <c r="E476" s="422" t="s">
        <v>381</v>
      </c>
      <c r="F476" s="458"/>
      <c r="G476" s="458"/>
      <c r="H476" s="458"/>
      <c r="I476" s="458"/>
      <c r="J476" s="458"/>
      <c r="K476" s="458"/>
      <c r="L476" s="458"/>
      <c r="M476" s="458"/>
      <c r="N476" s="458"/>
      <c r="O476" s="458"/>
      <c r="P476" s="426"/>
      <c r="Q476" s="426"/>
      <c r="R476" s="426"/>
      <c r="S476" s="426"/>
      <c r="T476" s="426"/>
      <c r="U476" s="426"/>
      <c r="V476" s="426"/>
      <c r="Z476" s="478"/>
      <c r="AA476" s="478"/>
      <c r="AB476" s="478"/>
      <c r="AC476" s="478"/>
      <c r="AD476" s="478"/>
      <c r="AE476" s="478"/>
    </row>
    <row r="477" spans="1:31" hidden="1" x14ac:dyDescent="0.25">
      <c r="A477" s="426" t="str">
        <f>IF(AND(F479=G479,H479=I479,J479=K479,F479="A"),"2016 - kwh",IF(AND(F479=G479,H479=I479,J479&lt;&gt;K479,F479="A"),"2017 - kwh",IF(AND(F479=G479,H479&lt;&gt;I479,F479="A"),"2018 - kwh","N/A")))</f>
        <v>N/A</v>
      </c>
      <c r="B477" s="426" t="str">
        <f>IF(AND(F479="A",G479="A"),"A","")</f>
        <v/>
      </c>
      <c r="C477" s="409" t="s">
        <v>530</v>
      </c>
      <c r="D477" s="460"/>
      <c r="E477" s="424" t="s">
        <v>379</v>
      </c>
      <c r="F477" s="459"/>
      <c r="G477" s="459"/>
      <c r="H477" s="459"/>
      <c r="I477" s="459"/>
      <c r="J477" s="459"/>
      <c r="K477" s="459"/>
      <c r="L477" s="459"/>
      <c r="M477" s="459"/>
      <c r="N477" s="459"/>
      <c r="O477" s="459"/>
      <c r="P477" s="426"/>
      <c r="Q477" s="426"/>
      <c r="R477" s="426"/>
      <c r="S477" s="426"/>
      <c r="T477" s="426"/>
      <c r="U477" s="426"/>
      <c r="V477" s="426"/>
      <c r="Z477" s="478"/>
      <c r="AA477" s="478" t="str">
        <f>IF(AND(F479=G479,H479=I479,F479="A"),"2016 - kwh","")</f>
        <v/>
      </c>
      <c r="AB477" s="478" t="str">
        <f>IF(OR(B477="2017 - kwh",B477="2018 - kwh"),"2016 - kwh","")</f>
        <v/>
      </c>
      <c r="AC477" s="478"/>
      <c r="AD477" s="478"/>
      <c r="AE477" s="478"/>
    </row>
    <row r="478" spans="1:31" hidden="1" x14ac:dyDescent="0.25">
      <c r="A478" s="426" t="str">
        <f>IF(AND(F479=G479,H479=I479,J479=K479,F479="A"),"2016 - kw",IF(AND(F479=G479,H479=I479,J479&lt;&gt;K479,F479="A"),"2017 - kw",IF(AND(F479=G479,H479&lt;&gt;I479,F479="A"),"2018 - kw","N/A")))</f>
        <v>N/A</v>
      </c>
      <c r="B478" s="426" t="str">
        <f>IF(AND(F479="A",G479="A"),"A","")</f>
        <v/>
      </c>
      <c r="C478" s="408"/>
      <c r="D478" s="420" t="str">
        <f>D477 &amp; "kW"</f>
        <v>kW</v>
      </c>
      <c r="E478" s="423" t="s">
        <v>380</v>
      </c>
      <c r="F478" s="459"/>
      <c r="G478" s="459"/>
      <c r="H478" s="459"/>
      <c r="I478" s="459"/>
      <c r="J478" s="459"/>
      <c r="K478" s="459"/>
      <c r="L478" s="459"/>
      <c r="M478" s="459"/>
      <c r="N478" s="459"/>
      <c r="O478" s="459"/>
      <c r="P478" s="426"/>
      <c r="Q478" s="426"/>
      <c r="R478" s="426"/>
      <c r="S478" s="426"/>
      <c r="T478" s="426"/>
      <c r="U478" s="426"/>
      <c r="V478" s="426"/>
      <c r="Z478" s="478"/>
      <c r="AA478" s="478" t="str">
        <f>IF(AND(F479=G479,H479=I479,F479="A"),"2016 - kw","")</f>
        <v/>
      </c>
      <c r="AB478" s="478" t="str">
        <f>IF(OR(B478="2017 - kw",B478="2018 - kw"),"2016 - kw","")</f>
        <v/>
      </c>
      <c r="AC478" s="478"/>
      <c r="AD478" s="478"/>
      <c r="AE478" s="478"/>
    </row>
    <row r="479" spans="1:31" hidden="1" x14ac:dyDescent="0.25">
      <c r="A479" s="426"/>
      <c r="B479" s="426"/>
      <c r="C479" s="410"/>
      <c r="D479" s="376"/>
      <c r="E479" s="422" t="s">
        <v>381</v>
      </c>
      <c r="F479" s="458"/>
      <c r="G479" s="458"/>
      <c r="H479" s="458"/>
      <c r="I479" s="458"/>
      <c r="J479" s="458"/>
      <c r="K479" s="458"/>
      <c r="L479" s="458"/>
      <c r="M479" s="458"/>
      <c r="N479" s="458"/>
      <c r="O479" s="458"/>
      <c r="P479" s="426"/>
      <c r="Q479" s="426"/>
      <c r="R479" s="426"/>
      <c r="S479" s="426"/>
      <c r="T479" s="426"/>
      <c r="U479" s="426"/>
      <c r="V479" s="426"/>
      <c r="Z479" s="478"/>
      <c r="AA479" s="478"/>
      <c r="AB479" s="478"/>
      <c r="AC479" s="478"/>
      <c r="AD479" s="478"/>
      <c r="AE479" s="478"/>
    </row>
    <row r="480" spans="1:31" ht="14.25" hidden="1" customHeight="1" x14ac:dyDescent="0.25">
      <c r="A480" s="426"/>
      <c r="B480" s="426"/>
      <c r="P480" s="426"/>
      <c r="Q480" s="426"/>
      <c r="R480" s="426"/>
      <c r="S480" s="426"/>
      <c r="T480" s="426"/>
      <c r="U480" s="426"/>
      <c r="V480" s="426"/>
      <c r="Z480" s="478"/>
      <c r="AA480" s="478"/>
      <c r="AB480" s="478"/>
      <c r="AC480" s="478"/>
      <c r="AD480" s="478"/>
      <c r="AE480" s="478"/>
    </row>
    <row r="481" spans="1:29" hidden="1" x14ac:dyDescent="0.25">
      <c r="A481" s="426"/>
      <c r="B481" s="426"/>
      <c r="F481" s="402"/>
      <c r="P481" s="426"/>
      <c r="Q481" s="426"/>
      <c r="R481" s="426"/>
      <c r="S481" s="426"/>
      <c r="T481" s="426"/>
      <c r="U481" s="426"/>
      <c r="V481" s="426"/>
      <c r="Z481" s="426"/>
      <c r="AA481" s="426"/>
      <c r="AB481" s="426"/>
      <c r="AC481" s="426"/>
    </row>
    <row r="482" spans="1:29" hidden="1" x14ac:dyDescent="0.25">
      <c r="A482" s="426"/>
      <c r="B482" s="426"/>
      <c r="E482" s="411"/>
      <c r="P482" s="426"/>
      <c r="Q482" s="426"/>
      <c r="R482" s="426"/>
      <c r="S482" s="426"/>
      <c r="T482" s="426"/>
      <c r="U482" s="426"/>
      <c r="V482" s="426"/>
    </row>
    <row r="483" spans="1:29" hidden="1" x14ac:dyDescent="0.25">
      <c r="A483" s="426"/>
      <c r="B483" s="426"/>
      <c r="F483" s="402"/>
      <c r="P483" s="426"/>
      <c r="Q483" s="426"/>
      <c r="R483" s="426"/>
      <c r="S483" s="426"/>
      <c r="T483" s="426"/>
      <c r="U483" s="426"/>
      <c r="V483" s="426"/>
    </row>
    <row r="484" spans="1:29" hidden="1" x14ac:dyDescent="0.25">
      <c r="C484" s="412"/>
      <c r="F484" s="402"/>
      <c r="P484" s="426"/>
      <c r="Q484" s="426"/>
      <c r="R484" s="426"/>
      <c r="S484" s="426"/>
      <c r="T484" s="426"/>
      <c r="U484" s="426"/>
      <c r="V484" s="426"/>
    </row>
    <row r="485" spans="1:29" ht="14.25" customHeight="1" x14ac:dyDescent="0.25">
      <c r="P485" s="426"/>
      <c r="Q485" s="426"/>
      <c r="R485" s="426"/>
      <c r="S485" s="426"/>
      <c r="T485" s="426"/>
      <c r="U485" s="426"/>
      <c r="V485" s="426"/>
    </row>
    <row r="487" spans="1:29" ht="71.25" customHeight="1" x14ac:dyDescent="0.25">
      <c r="A487" s="517" t="s">
        <v>531</v>
      </c>
      <c r="B487" s="358" t="s">
        <v>532</v>
      </c>
      <c r="C487" s="600">
        <v>4</v>
      </c>
    </row>
    <row r="488" spans="1:29" ht="120" x14ac:dyDescent="0.25">
      <c r="B488" s="597" t="s">
        <v>533</v>
      </c>
    </row>
    <row r="490" spans="1:29" x14ac:dyDescent="0.25">
      <c r="C490" s="403" t="s">
        <v>534</v>
      </c>
      <c r="F490" s="402"/>
    </row>
    <row r="491" spans="1:29" x14ac:dyDescent="0.25">
      <c r="A491" s="426"/>
      <c r="B491" s="426"/>
      <c r="C491" s="357"/>
      <c r="D491" s="357" t="s">
        <v>343</v>
      </c>
      <c r="E491" s="357"/>
      <c r="F491" s="1842">
        <f>F28</f>
        <v>2024</v>
      </c>
      <c r="G491" s="1843"/>
      <c r="H491" s="1842">
        <f>H28</f>
        <v>2023</v>
      </c>
      <c r="I491" s="1843"/>
      <c r="J491" s="1842">
        <f>J28</f>
        <v>2022</v>
      </c>
      <c r="K491" s="1843"/>
      <c r="L491" s="1842">
        <f>L28</f>
        <v>2021</v>
      </c>
      <c r="M491" s="1843"/>
      <c r="N491" s="1842">
        <f>N28</f>
        <v>2020</v>
      </c>
      <c r="O491" s="1843"/>
      <c r="P491" s="426"/>
      <c r="Q491" s="426"/>
      <c r="R491" s="426"/>
      <c r="S491" s="426"/>
      <c r="T491" s="426"/>
      <c r="U491" s="426"/>
      <c r="V491" s="426"/>
      <c r="W491" s="426"/>
    </row>
    <row r="492" spans="1:29" x14ac:dyDescent="0.25">
      <c r="A492" s="426"/>
      <c r="B492" s="426"/>
      <c r="C492" s="413" t="s">
        <v>535</v>
      </c>
      <c r="D492" s="460" t="s">
        <v>189</v>
      </c>
      <c r="E492" s="414" t="s">
        <v>379</v>
      </c>
      <c r="F492" s="1840">
        <v>1564490670.3019371</v>
      </c>
      <c r="G492" s="1841"/>
      <c r="H492" s="1840"/>
      <c r="I492" s="1841"/>
      <c r="J492" s="1840"/>
      <c r="K492" s="1841"/>
      <c r="L492" s="1840"/>
      <c r="M492" s="1841"/>
      <c r="N492" s="1840"/>
      <c r="O492" s="1841"/>
      <c r="P492" s="426"/>
      <c r="Q492" s="426"/>
      <c r="R492" s="426"/>
      <c r="S492" s="426"/>
      <c r="T492" s="426"/>
      <c r="U492" s="426"/>
      <c r="V492" s="426"/>
      <c r="W492" s="426"/>
    </row>
    <row r="493" spans="1:29" x14ac:dyDescent="0.25">
      <c r="A493" s="426"/>
      <c r="B493" s="426"/>
      <c r="C493" s="413"/>
      <c r="D493" s="421" t="str">
        <f>D492&amp;"KW"</f>
        <v>LARGE USE SERVICE CLASSIFICATIONKW</v>
      </c>
      <c r="E493" s="414" t="s">
        <v>380</v>
      </c>
      <c r="F493" s="1840">
        <v>3234455.5639219997</v>
      </c>
      <c r="G493" s="1841"/>
      <c r="H493" s="1840"/>
      <c r="I493" s="1841"/>
      <c r="J493" s="1840"/>
      <c r="K493" s="1841"/>
      <c r="L493" s="1840"/>
      <c r="M493" s="1841"/>
      <c r="N493" s="1840"/>
      <c r="O493" s="1841"/>
      <c r="P493" s="426"/>
      <c r="Q493" s="426"/>
      <c r="R493" s="426"/>
      <c r="S493" s="426"/>
      <c r="T493" s="426"/>
      <c r="U493" s="426"/>
      <c r="V493" s="426"/>
      <c r="W493" s="426"/>
    </row>
    <row r="494" spans="1:29" x14ac:dyDescent="0.25">
      <c r="A494" s="426"/>
      <c r="B494" s="426"/>
      <c r="C494" s="415" t="s">
        <v>536</v>
      </c>
      <c r="D494" s="460" t="s">
        <v>1008</v>
      </c>
      <c r="E494" s="414" t="s">
        <v>379</v>
      </c>
      <c r="F494" s="1840">
        <v>3517088425.001327</v>
      </c>
      <c r="G494" s="1841"/>
      <c r="H494" s="1840"/>
      <c r="I494" s="1841"/>
      <c r="J494" s="1840"/>
      <c r="K494" s="1841"/>
      <c r="L494" s="1840"/>
      <c r="M494" s="1841"/>
      <c r="N494" s="1840"/>
      <c r="O494" s="1841"/>
      <c r="P494" s="426"/>
      <c r="Q494" s="426"/>
      <c r="R494" s="426"/>
      <c r="S494" s="426"/>
      <c r="T494" s="426"/>
      <c r="U494" s="426"/>
      <c r="V494" s="426"/>
      <c r="W494" s="426"/>
    </row>
    <row r="495" spans="1:29" x14ac:dyDescent="0.25">
      <c r="A495" s="426"/>
      <c r="B495" s="426"/>
      <c r="C495" s="415"/>
      <c r="D495" s="421" t="str">
        <f>D494&amp;"KW"</f>
        <v>GENERAL SERVICE 1,000 TO 4,999 KW SERVICE CLASSIFICATIONKW</v>
      </c>
      <c r="E495" s="414" t="s">
        <v>380</v>
      </c>
      <c r="F495" s="1840">
        <v>7423835.5873000016</v>
      </c>
      <c r="G495" s="1841"/>
      <c r="H495" s="1840"/>
      <c r="I495" s="1841"/>
      <c r="J495" s="1840"/>
      <c r="K495" s="1841"/>
      <c r="L495" s="1840"/>
      <c r="M495" s="1841"/>
      <c r="N495" s="1840"/>
      <c r="O495" s="1841"/>
      <c r="P495" s="426"/>
      <c r="Q495" s="426"/>
      <c r="R495" s="426"/>
      <c r="S495" s="426"/>
      <c r="T495" s="426"/>
      <c r="U495" s="426"/>
      <c r="V495" s="426"/>
      <c r="W495" s="426"/>
    </row>
    <row r="496" spans="1:29" x14ac:dyDescent="0.25">
      <c r="A496" s="426"/>
      <c r="B496" s="426"/>
      <c r="C496" s="415" t="s">
        <v>537</v>
      </c>
      <c r="D496" s="460" t="s">
        <v>990</v>
      </c>
      <c r="E496" s="414" t="s">
        <v>379</v>
      </c>
      <c r="F496" s="1840">
        <v>560169348.86164284</v>
      </c>
      <c r="G496" s="1841"/>
      <c r="H496" s="1840"/>
      <c r="I496" s="1841"/>
      <c r="J496" s="1840"/>
      <c r="K496" s="1841"/>
      <c r="L496" s="1840"/>
      <c r="M496" s="1841"/>
      <c r="N496" s="1840"/>
      <c r="O496" s="1841"/>
      <c r="P496" s="426"/>
      <c r="Q496" s="426"/>
      <c r="R496" s="426"/>
      <c r="S496" s="426"/>
      <c r="T496" s="426"/>
      <c r="U496" s="426"/>
      <c r="V496" s="426"/>
      <c r="W496" s="426"/>
    </row>
    <row r="497" spans="1:23" x14ac:dyDescent="0.25">
      <c r="A497" s="426"/>
      <c r="B497" s="426"/>
      <c r="C497" s="415"/>
      <c r="D497" s="421" t="str">
        <f>D496&amp;"KW"</f>
        <v>GENERAL SERVICE 50 TO 999 KW SERVICE CLASSIFICATIONKW</v>
      </c>
      <c r="E497" s="414" t="s">
        <v>380</v>
      </c>
      <c r="F497" s="1840">
        <v>1385398.3424570006</v>
      </c>
      <c r="G497" s="1841"/>
      <c r="H497" s="1840"/>
      <c r="I497" s="1841"/>
      <c r="J497" s="1840"/>
      <c r="K497" s="1841"/>
      <c r="L497" s="1840"/>
      <c r="M497" s="1841"/>
      <c r="N497" s="1840"/>
      <c r="O497" s="1841"/>
      <c r="P497" s="426"/>
      <c r="Q497" s="426"/>
      <c r="R497" s="426"/>
      <c r="S497" s="426"/>
      <c r="T497" s="426"/>
      <c r="U497" s="426"/>
      <c r="V497" s="426"/>
      <c r="W497" s="426"/>
    </row>
    <row r="498" spans="1:23" x14ac:dyDescent="0.25">
      <c r="A498" s="426"/>
      <c r="B498" s="426"/>
      <c r="C498" s="415" t="s">
        <v>538</v>
      </c>
      <c r="D498" s="460" t="s">
        <v>174</v>
      </c>
      <c r="E498" s="414" t="s">
        <v>379</v>
      </c>
      <c r="F498" s="1840">
        <v>291489.36387999996</v>
      </c>
      <c r="G498" s="1841"/>
      <c r="H498" s="1840"/>
      <c r="I498" s="1841"/>
      <c r="J498" s="1840"/>
      <c r="K498" s="1841"/>
      <c r="L498" s="1840"/>
      <c r="M498" s="1841"/>
      <c r="N498" s="1840"/>
      <c r="O498" s="1841"/>
      <c r="P498" s="426"/>
      <c r="Q498" s="426"/>
      <c r="R498" s="426"/>
      <c r="S498" s="426"/>
      <c r="T498" s="426"/>
      <c r="U498" s="426"/>
      <c r="V498" s="426"/>
      <c r="W498" s="426"/>
    </row>
    <row r="499" spans="1:23" x14ac:dyDescent="0.25">
      <c r="A499" s="426"/>
      <c r="B499" s="426"/>
      <c r="C499" s="415"/>
      <c r="D499" s="421" t="str">
        <f>D498&amp;"KW"</f>
        <v>GENERAL SERVICE LESS THAN 50 KW SERVICE CLASSIFICATIONKW</v>
      </c>
      <c r="E499" s="414" t="s">
        <v>380</v>
      </c>
      <c r="F499" s="1840">
        <v>968.35997800000007</v>
      </c>
      <c r="G499" s="1841"/>
      <c r="H499" s="1840"/>
      <c r="I499" s="1841"/>
      <c r="J499" s="1840"/>
      <c r="K499" s="1841"/>
      <c r="L499" s="1840"/>
      <c r="M499" s="1841"/>
      <c r="N499" s="1840"/>
      <c r="O499" s="1841"/>
      <c r="P499" s="426"/>
      <c r="Q499" s="426"/>
      <c r="R499" s="426"/>
      <c r="S499" s="426"/>
      <c r="T499" s="426"/>
      <c r="U499" s="426"/>
      <c r="V499" s="426"/>
      <c r="W499" s="426"/>
    </row>
    <row r="500" spans="1:23" hidden="1" x14ac:dyDescent="0.25">
      <c r="A500" s="426"/>
      <c r="B500" s="426"/>
      <c r="C500" s="415" t="s">
        <v>539</v>
      </c>
      <c r="D500" s="460"/>
      <c r="E500" s="414" t="s">
        <v>379</v>
      </c>
      <c r="F500" s="1840"/>
      <c r="G500" s="1841"/>
      <c r="H500" s="1840"/>
      <c r="I500" s="1841"/>
      <c r="J500" s="1840"/>
      <c r="K500" s="1841"/>
      <c r="L500" s="1840"/>
      <c r="M500" s="1841"/>
      <c r="N500" s="1840"/>
      <c r="O500" s="1841"/>
      <c r="P500" s="426"/>
      <c r="Q500" s="426"/>
      <c r="R500" s="426"/>
      <c r="S500" s="426"/>
      <c r="T500" s="426"/>
      <c r="U500" s="426"/>
      <c r="V500" s="426"/>
      <c r="W500" s="426"/>
    </row>
    <row r="501" spans="1:23" hidden="1" x14ac:dyDescent="0.25">
      <c r="A501" s="426"/>
      <c r="B501" s="426"/>
      <c r="C501" s="415"/>
      <c r="D501" s="421" t="str">
        <f>D500&amp;"KW"</f>
        <v>KW</v>
      </c>
      <c r="E501" s="414" t="s">
        <v>380</v>
      </c>
      <c r="F501" s="1840"/>
      <c r="G501" s="1841"/>
      <c r="H501" s="1840"/>
      <c r="I501" s="1841"/>
      <c r="J501" s="1840"/>
      <c r="K501" s="1841"/>
      <c r="L501" s="1840"/>
      <c r="M501" s="1841"/>
      <c r="N501" s="1840"/>
      <c r="O501" s="1841"/>
      <c r="P501" s="426"/>
      <c r="Q501" s="426"/>
      <c r="R501" s="426"/>
      <c r="S501" s="426"/>
      <c r="T501" s="426"/>
      <c r="U501" s="426"/>
      <c r="V501" s="426"/>
      <c r="W501" s="426"/>
    </row>
    <row r="502" spans="1:23" hidden="1" x14ac:dyDescent="0.25">
      <c r="A502" s="426"/>
      <c r="B502" s="426"/>
      <c r="C502" s="415" t="s">
        <v>540</v>
      </c>
      <c r="D502" s="460"/>
      <c r="E502" s="414" t="s">
        <v>379</v>
      </c>
      <c r="F502" s="1840"/>
      <c r="G502" s="1841"/>
      <c r="H502" s="1840"/>
      <c r="I502" s="1841"/>
      <c r="J502" s="1840"/>
      <c r="K502" s="1841"/>
      <c r="L502" s="1840"/>
      <c r="M502" s="1841"/>
      <c r="N502" s="1840"/>
      <c r="O502" s="1841"/>
      <c r="P502" s="426"/>
      <c r="Q502" s="426"/>
      <c r="R502" s="426"/>
      <c r="S502" s="426"/>
      <c r="T502" s="426"/>
      <c r="U502" s="426"/>
      <c r="V502" s="426"/>
      <c r="W502" s="426"/>
    </row>
    <row r="503" spans="1:23" hidden="1" x14ac:dyDescent="0.25">
      <c r="A503" s="426"/>
      <c r="B503" s="426"/>
      <c r="C503" s="415"/>
      <c r="D503" s="421" t="str">
        <f>D502&amp;"KW"</f>
        <v>KW</v>
      </c>
      <c r="E503" s="414" t="s">
        <v>380</v>
      </c>
      <c r="F503" s="1840"/>
      <c r="G503" s="1841"/>
      <c r="H503" s="1840"/>
      <c r="I503" s="1841"/>
      <c r="J503" s="1840"/>
      <c r="K503" s="1841"/>
      <c r="L503" s="1840"/>
      <c r="M503" s="1841"/>
      <c r="N503" s="1840"/>
      <c r="O503" s="1841"/>
      <c r="P503" s="426"/>
      <c r="Q503" s="426"/>
      <c r="R503" s="426"/>
      <c r="S503" s="426"/>
      <c r="T503" s="426"/>
      <c r="U503" s="426"/>
      <c r="V503" s="426"/>
      <c r="W503" s="426"/>
    </row>
    <row r="504" spans="1:23" hidden="1" x14ac:dyDescent="0.25">
      <c r="A504" s="426"/>
      <c r="B504" s="426"/>
      <c r="C504" s="415" t="s">
        <v>541</v>
      </c>
      <c r="D504" s="460"/>
      <c r="E504" s="414" t="s">
        <v>379</v>
      </c>
      <c r="F504" s="1840"/>
      <c r="G504" s="1841"/>
      <c r="H504" s="1840"/>
      <c r="I504" s="1841"/>
      <c r="J504" s="1840"/>
      <c r="K504" s="1841"/>
      <c r="L504" s="1840"/>
      <c r="M504" s="1841"/>
      <c r="N504" s="1840"/>
      <c r="O504" s="1841"/>
      <c r="P504" s="426"/>
      <c r="Q504" s="426"/>
      <c r="R504" s="426"/>
      <c r="S504" s="426"/>
      <c r="T504" s="426"/>
      <c r="U504" s="426"/>
      <c r="V504" s="426"/>
      <c r="W504" s="426"/>
    </row>
    <row r="505" spans="1:23" hidden="1" x14ac:dyDescent="0.25">
      <c r="A505" s="426"/>
      <c r="B505" s="426"/>
      <c r="C505" s="415"/>
      <c r="D505" s="421" t="str">
        <f>D504&amp;"KW"</f>
        <v>KW</v>
      </c>
      <c r="E505" s="414" t="s">
        <v>380</v>
      </c>
      <c r="F505" s="1840"/>
      <c r="G505" s="1841"/>
      <c r="H505" s="1840"/>
      <c r="I505" s="1841"/>
      <c r="J505" s="1840"/>
      <c r="K505" s="1841"/>
      <c r="L505" s="1840"/>
      <c r="M505" s="1841"/>
      <c r="N505" s="1840"/>
      <c r="O505" s="1841"/>
      <c r="P505" s="426"/>
      <c r="Q505" s="426"/>
      <c r="R505" s="426"/>
      <c r="S505" s="426"/>
      <c r="T505" s="426"/>
      <c r="U505" s="426"/>
      <c r="V505" s="426"/>
      <c r="W505" s="426"/>
    </row>
    <row r="506" spans="1:23" hidden="1" x14ac:dyDescent="0.25">
      <c r="A506" s="426"/>
      <c r="B506" s="426"/>
      <c r="C506" s="415" t="s">
        <v>542</v>
      </c>
      <c r="D506" s="460"/>
      <c r="E506" s="414" t="s">
        <v>379</v>
      </c>
      <c r="F506" s="1840"/>
      <c r="G506" s="1841"/>
      <c r="H506" s="1840"/>
      <c r="I506" s="1841"/>
      <c r="J506" s="1840"/>
      <c r="K506" s="1841"/>
      <c r="L506" s="1840"/>
      <c r="M506" s="1841"/>
      <c r="N506" s="1840"/>
      <c r="O506" s="1841"/>
      <c r="P506" s="426"/>
      <c r="Q506" s="426"/>
      <c r="R506" s="426"/>
      <c r="S506" s="426"/>
      <c r="T506" s="426"/>
      <c r="U506" s="426"/>
      <c r="V506" s="426"/>
      <c r="W506" s="426"/>
    </row>
    <row r="507" spans="1:23" hidden="1" x14ac:dyDescent="0.25">
      <c r="A507" s="426"/>
      <c r="B507" s="426"/>
      <c r="C507" s="415"/>
      <c r="D507" s="421" t="str">
        <f>D506&amp;"KW"</f>
        <v>KW</v>
      </c>
      <c r="E507" s="414" t="s">
        <v>380</v>
      </c>
      <c r="F507" s="1840"/>
      <c r="G507" s="1841"/>
      <c r="H507" s="1840"/>
      <c r="I507" s="1841"/>
      <c r="J507" s="1840"/>
      <c r="K507" s="1841"/>
      <c r="L507" s="1840"/>
      <c r="M507" s="1841"/>
      <c r="N507" s="1840"/>
      <c r="O507" s="1841"/>
      <c r="P507" s="426"/>
      <c r="Q507" s="426"/>
      <c r="R507" s="426"/>
      <c r="S507" s="426"/>
      <c r="T507" s="426"/>
      <c r="U507" s="426"/>
      <c r="V507" s="426"/>
      <c r="W507" s="426"/>
    </row>
    <row r="508" spans="1:23" hidden="1" x14ac:dyDescent="0.25">
      <c r="A508" s="426"/>
      <c r="B508" s="426"/>
      <c r="C508" s="415" t="s">
        <v>543</v>
      </c>
      <c r="D508" s="460"/>
      <c r="E508" s="414" t="s">
        <v>379</v>
      </c>
      <c r="F508" s="1840"/>
      <c r="G508" s="1841"/>
      <c r="H508" s="1840"/>
      <c r="I508" s="1841"/>
      <c r="J508" s="1840"/>
      <c r="K508" s="1841"/>
      <c r="L508" s="1840"/>
      <c r="M508" s="1841"/>
      <c r="N508" s="1840"/>
      <c r="O508" s="1841"/>
      <c r="P508" s="426"/>
      <c r="Q508" s="426"/>
      <c r="R508" s="426"/>
      <c r="S508" s="426"/>
      <c r="T508" s="426"/>
      <c r="U508" s="426"/>
      <c r="V508" s="426"/>
      <c r="W508" s="426"/>
    </row>
    <row r="509" spans="1:23" hidden="1" x14ac:dyDescent="0.25">
      <c r="A509" s="426"/>
      <c r="B509" s="426"/>
      <c r="C509" s="415"/>
      <c r="D509" s="421" t="str">
        <f>D508&amp;"KW"</f>
        <v>KW</v>
      </c>
      <c r="E509" s="414" t="s">
        <v>380</v>
      </c>
      <c r="F509" s="1840"/>
      <c r="G509" s="1841"/>
      <c r="H509" s="1840"/>
      <c r="I509" s="1841"/>
      <c r="J509" s="1840"/>
      <c r="K509" s="1841"/>
      <c r="L509" s="1840"/>
      <c r="M509" s="1841"/>
      <c r="N509" s="1840"/>
      <c r="O509" s="1841"/>
      <c r="P509" s="426"/>
      <c r="Q509" s="426"/>
      <c r="R509" s="426"/>
      <c r="S509" s="426"/>
      <c r="T509" s="426"/>
      <c r="U509" s="426"/>
      <c r="V509" s="426"/>
      <c r="W509" s="426"/>
    </row>
    <row r="510" spans="1:23" hidden="1" x14ac:dyDescent="0.25">
      <c r="A510" s="426"/>
      <c r="B510" s="426"/>
      <c r="C510" s="415" t="s">
        <v>544</v>
      </c>
      <c r="D510" s="460"/>
      <c r="E510" s="414" t="s">
        <v>379</v>
      </c>
      <c r="F510" s="1840"/>
      <c r="G510" s="1841"/>
      <c r="H510" s="1840"/>
      <c r="I510" s="1841"/>
      <c r="J510" s="1840"/>
      <c r="K510" s="1841"/>
      <c r="L510" s="1840"/>
      <c r="M510" s="1841"/>
      <c r="N510" s="1840"/>
      <c r="O510" s="1841"/>
      <c r="P510" s="426"/>
      <c r="Q510" s="426"/>
      <c r="R510" s="426"/>
      <c r="S510" s="426"/>
      <c r="T510" s="426"/>
      <c r="U510" s="426"/>
      <c r="V510" s="426"/>
      <c r="W510" s="426"/>
    </row>
    <row r="511" spans="1:23" hidden="1" x14ac:dyDescent="0.25">
      <c r="A511" s="426"/>
      <c r="B511" s="426"/>
      <c r="C511" s="415"/>
      <c r="D511" s="421" t="str">
        <f>D510&amp;"KW"</f>
        <v>KW</v>
      </c>
      <c r="E511" s="414" t="s">
        <v>380</v>
      </c>
      <c r="F511" s="1840"/>
      <c r="G511" s="1841"/>
      <c r="H511" s="1840"/>
      <c r="I511" s="1841"/>
      <c r="J511" s="1840"/>
      <c r="K511" s="1841"/>
      <c r="L511" s="1840"/>
      <c r="M511" s="1841"/>
      <c r="N511" s="1840"/>
      <c r="O511" s="1841"/>
      <c r="P511" s="426"/>
      <c r="Q511" s="426"/>
      <c r="R511" s="426"/>
      <c r="S511" s="426"/>
      <c r="T511" s="426"/>
      <c r="U511" s="426"/>
      <c r="V511" s="426"/>
      <c r="W511" s="426"/>
    </row>
    <row r="512" spans="1:23" hidden="1" x14ac:dyDescent="0.25">
      <c r="A512" s="426"/>
      <c r="B512" s="426"/>
      <c r="C512" s="415" t="s">
        <v>545</v>
      </c>
      <c r="D512" s="460"/>
      <c r="E512" s="414" t="s">
        <v>379</v>
      </c>
      <c r="F512" s="1840"/>
      <c r="G512" s="1841"/>
      <c r="H512" s="1840"/>
      <c r="I512" s="1841"/>
      <c r="J512" s="1840"/>
      <c r="K512" s="1841"/>
      <c r="L512" s="1840"/>
      <c r="M512" s="1841"/>
      <c r="N512" s="1840"/>
      <c r="O512" s="1841"/>
      <c r="P512" s="426"/>
      <c r="Q512" s="426"/>
      <c r="R512" s="426"/>
      <c r="S512" s="426"/>
      <c r="T512" s="426"/>
      <c r="U512" s="426"/>
      <c r="V512" s="426"/>
      <c r="W512" s="426"/>
    </row>
    <row r="513" spans="1:23" hidden="1" x14ac:dyDescent="0.25">
      <c r="A513" s="426"/>
      <c r="B513" s="426"/>
      <c r="C513" s="415"/>
      <c r="D513" s="421" t="str">
        <f>D512&amp;"KW"</f>
        <v>KW</v>
      </c>
      <c r="E513" s="414" t="s">
        <v>380</v>
      </c>
      <c r="F513" s="1840"/>
      <c r="G513" s="1841"/>
      <c r="H513" s="1840"/>
      <c r="I513" s="1841"/>
      <c r="J513" s="1840"/>
      <c r="K513" s="1841"/>
      <c r="L513" s="1840"/>
      <c r="M513" s="1841"/>
      <c r="N513" s="1840"/>
      <c r="O513" s="1841"/>
      <c r="P513" s="426"/>
      <c r="Q513" s="426"/>
      <c r="R513" s="426"/>
      <c r="S513" s="426"/>
      <c r="T513" s="426"/>
      <c r="U513" s="426"/>
      <c r="V513" s="426"/>
      <c r="W513" s="426"/>
    </row>
    <row r="514" spans="1:23" hidden="1" x14ac:dyDescent="0.25">
      <c r="A514" s="426"/>
      <c r="B514" s="426"/>
      <c r="C514" s="415" t="s">
        <v>546</v>
      </c>
      <c r="D514" s="460"/>
      <c r="E514" s="414" t="s">
        <v>379</v>
      </c>
      <c r="F514" s="1840"/>
      <c r="G514" s="1841"/>
      <c r="H514" s="1840"/>
      <c r="I514" s="1841"/>
      <c r="J514" s="1840"/>
      <c r="K514" s="1841"/>
      <c r="L514" s="1840"/>
      <c r="M514" s="1841"/>
      <c r="N514" s="1840"/>
      <c r="O514" s="1841"/>
      <c r="P514" s="426"/>
      <c r="Q514" s="426"/>
      <c r="R514" s="426"/>
      <c r="S514" s="426"/>
      <c r="T514" s="426"/>
      <c r="U514" s="426"/>
      <c r="V514" s="426"/>
      <c r="W514" s="426"/>
    </row>
    <row r="515" spans="1:23" hidden="1" x14ac:dyDescent="0.25">
      <c r="A515" s="426"/>
      <c r="B515" s="426"/>
      <c r="C515" s="415"/>
      <c r="D515" s="421" t="str">
        <f>D514&amp;"KW"</f>
        <v>KW</v>
      </c>
      <c r="E515" s="414" t="s">
        <v>380</v>
      </c>
      <c r="F515" s="1840"/>
      <c r="G515" s="1841"/>
      <c r="H515" s="1840"/>
      <c r="I515" s="1841"/>
      <c r="J515" s="1840"/>
      <c r="K515" s="1841"/>
      <c r="L515" s="1840"/>
      <c r="M515" s="1841"/>
      <c r="N515" s="1840"/>
      <c r="O515" s="1841"/>
      <c r="P515" s="426"/>
      <c r="Q515" s="426"/>
      <c r="R515" s="426"/>
      <c r="S515" s="426"/>
      <c r="T515" s="426"/>
      <c r="U515" s="426"/>
      <c r="V515" s="426"/>
      <c r="W515" s="426"/>
    </row>
    <row r="516" spans="1:23" hidden="1" x14ac:dyDescent="0.25">
      <c r="A516" s="426"/>
      <c r="B516" s="426"/>
      <c r="C516" s="415" t="s">
        <v>547</v>
      </c>
      <c r="D516" s="460"/>
      <c r="E516" s="414" t="s">
        <v>379</v>
      </c>
      <c r="F516" s="1840"/>
      <c r="G516" s="1841"/>
      <c r="H516" s="1840"/>
      <c r="I516" s="1841"/>
      <c r="J516" s="1840"/>
      <c r="K516" s="1841"/>
      <c r="L516" s="1840"/>
      <c r="M516" s="1841"/>
      <c r="N516" s="1840"/>
      <c r="O516" s="1841"/>
      <c r="P516" s="426"/>
      <c r="Q516" s="426"/>
      <c r="R516" s="426"/>
      <c r="S516" s="426"/>
      <c r="T516" s="426"/>
      <c r="U516" s="426"/>
      <c r="V516" s="426"/>
      <c r="W516" s="426"/>
    </row>
    <row r="517" spans="1:23" hidden="1" x14ac:dyDescent="0.25">
      <c r="A517" s="426"/>
      <c r="B517" s="426"/>
      <c r="C517" s="415"/>
      <c r="D517" s="421" t="str">
        <f>D516&amp;"KW"</f>
        <v>KW</v>
      </c>
      <c r="E517" s="414" t="s">
        <v>380</v>
      </c>
      <c r="F517" s="1840"/>
      <c r="G517" s="1841"/>
      <c r="H517" s="1840"/>
      <c r="I517" s="1841"/>
      <c r="J517" s="1840"/>
      <c r="K517" s="1841"/>
      <c r="L517" s="1840"/>
      <c r="M517" s="1841"/>
      <c r="N517" s="1840"/>
      <c r="O517" s="1841"/>
      <c r="P517" s="426"/>
      <c r="Q517" s="426"/>
      <c r="R517" s="426"/>
      <c r="S517" s="426"/>
      <c r="T517" s="426"/>
      <c r="U517" s="426"/>
      <c r="V517" s="426"/>
      <c r="W517" s="426"/>
    </row>
    <row r="518" spans="1:23" hidden="1" x14ac:dyDescent="0.25">
      <c r="A518" s="426"/>
      <c r="B518" s="426"/>
      <c r="C518" s="415" t="s">
        <v>548</v>
      </c>
      <c r="D518" s="460"/>
      <c r="E518" s="414" t="s">
        <v>379</v>
      </c>
      <c r="F518" s="1840"/>
      <c r="G518" s="1841"/>
      <c r="H518" s="1840"/>
      <c r="I518" s="1841"/>
      <c r="J518" s="1840"/>
      <c r="K518" s="1841"/>
      <c r="L518" s="1840"/>
      <c r="M518" s="1841"/>
      <c r="N518" s="1840"/>
      <c r="O518" s="1841"/>
      <c r="P518" s="426"/>
      <c r="Q518" s="426"/>
      <c r="R518" s="426"/>
      <c r="S518" s="426"/>
      <c r="T518" s="426"/>
      <c r="U518" s="426"/>
      <c r="V518" s="426"/>
      <c r="W518" s="426"/>
    </row>
    <row r="519" spans="1:23" hidden="1" x14ac:dyDescent="0.25">
      <c r="A519" s="426"/>
      <c r="B519" s="426"/>
      <c r="C519" s="415"/>
      <c r="D519" s="421" t="str">
        <f>D518&amp;"KW"</f>
        <v>KW</v>
      </c>
      <c r="E519" s="414" t="s">
        <v>380</v>
      </c>
      <c r="F519" s="1840"/>
      <c r="G519" s="1841"/>
      <c r="H519" s="1840"/>
      <c r="I519" s="1841"/>
      <c r="J519" s="1840"/>
      <c r="K519" s="1841"/>
      <c r="L519" s="1840"/>
      <c r="M519" s="1841"/>
      <c r="N519" s="1840"/>
      <c r="O519" s="1841"/>
      <c r="P519" s="426"/>
      <c r="Q519" s="426"/>
      <c r="R519" s="426"/>
      <c r="S519" s="426"/>
      <c r="T519" s="426"/>
      <c r="U519" s="426"/>
      <c r="V519" s="426"/>
      <c r="W519" s="426"/>
    </row>
    <row r="520" spans="1:23" hidden="1" x14ac:dyDescent="0.25">
      <c r="A520" s="426"/>
      <c r="B520" s="426"/>
      <c r="C520" s="415" t="s">
        <v>549</v>
      </c>
      <c r="D520" s="460"/>
      <c r="E520" s="414" t="s">
        <v>379</v>
      </c>
      <c r="F520" s="1840"/>
      <c r="G520" s="1841"/>
      <c r="H520" s="1840"/>
      <c r="I520" s="1841"/>
      <c r="J520" s="1840"/>
      <c r="K520" s="1841"/>
      <c r="L520" s="1840"/>
      <c r="M520" s="1841"/>
      <c r="N520" s="1840"/>
      <c r="O520" s="1841"/>
      <c r="P520" s="426"/>
      <c r="Q520" s="426"/>
      <c r="R520" s="426"/>
      <c r="S520" s="426"/>
      <c r="T520" s="426"/>
      <c r="U520" s="426"/>
      <c r="V520" s="426"/>
      <c r="W520" s="426"/>
    </row>
    <row r="521" spans="1:23" hidden="1" x14ac:dyDescent="0.25">
      <c r="A521" s="426"/>
      <c r="B521" s="426"/>
      <c r="C521" s="415"/>
      <c r="D521" s="421" t="str">
        <f>D520&amp;"KW"</f>
        <v>KW</v>
      </c>
      <c r="E521" s="414" t="s">
        <v>380</v>
      </c>
      <c r="F521" s="1840"/>
      <c r="G521" s="1841"/>
      <c r="H521" s="1840"/>
      <c r="I521" s="1841"/>
      <c r="J521" s="1840"/>
      <c r="K521" s="1841"/>
      <c r="L521" s="1840"/>
      <c r="M521" s="1841"/>
      <c r="N521" s="1840"/>
      <c r="O521" s="1841"/>
      <c r="P521" s="426"/>
      <c r="Q521" s="426"/>
      <c r="R521" s="426"/>
      <c r="S521" s="426"/>
      <c r="T521" s="426"/>
      <c r="U521" s="426"/>
      <c r="V521" s="426"/>
      <c r="W521" s="426"/>
    </row>
    <row r="522" spans="1:23" hidden="1" x14ac:dyDescent="0.25">
      <c r="A522" s="426"/>
      <c r="B522" s="426"/>
      <c r="C522" s="415" t="s">
        <v>550</v>
      </c>
      <c r="D522" s="460"/>
      <c r="E522" s="414" t="s">
        <v>379</v>
      </c>
      <c r="F522" s="1840"/>
      <c r="G522" s="1841"/>
      <c r="H522" s="1840"/>
      <c r="I522" s="1841"/>
      <c r="J522" s="1840"/>
      <c r="K522" s="1841"/>
      <c r="L522" s="1840"/>
      <c r="M522" s="1841"/>
      <c r="N522" s="1840"/>
      <c r="O522" s="1841"/>
      <c r="P522" s="426"/>
      <c r="Q522" s="426"/>
      <c r="R522" s="426"/>
      <c r="S522" s="426"/>
      <c r="T522" s="426"/>
      <c r="U522" s="426"/>
      <c r="V522" s="426"/>
      <c r="W522" s="426"/>
    </row>
    <row r="523" spans="1:23" hidden="1" x14ac:dyDescent="0.25">
      <c r="A523" s="426"/>
      <c r="B523" s="426"/>
      <c r="C523" s="415"/>
      <c r="D523" s="421" t="str">
        <f>D522&amp;"KW"</f>
        <v>KW</v>
      </c>
      <c r="E523" s="414" t="s">
        <v>380</v>
      </c>
      <c r="F523" s="1840"/>
      <c r="G523" s="1841"/>
      <c r="H523" s="1840"/>
      <c r="I523" s="1841"/>
      <c r="J523" s="1840"/>
      <c r="K523" s="1841"/>
      <c r="L523" s="1840"/>
      <c r="M523" s="1841"/>
      <c r="N523" s="1840"/>
      <c r="O523" s="1841"/>
      <c r="P523" s="426"/>
      <c r="Q523" s="426"/>
      <c r="R523" s="426"/>
      <c r="S523" s="426"/>
      <c r="T523" s="426"/>
      <c r="U523" s="426"/>
      <c r="V523" s="426"/>
      <c r="W523" s="426"/>
    </row>
    <row r="524" spans="1:23" hidden="1" x14ac:dyDescent="0.25">
      <c r="A524" s="426"/>
      <c r="B524" s="426"/>
      <c r="C524" s="415" t="s">
        <v>551</v>
      </c>
      <c r="D524" s="460"/>
      <c r="E524" s="414" t="s">
        <v>379</v>
      </c>
      <c r="F524" s="1840"/>
      <c r="G524" s="1841"/>
      <c r="H524" s="1840"/>
      <c r="I524" s="1841"/>
      <c r="J524" s="1840"/>
      <c r="K524" s="1841"/>
      <c r="L524" s="1840"/>
      <c r="M524" s="1841"/>
      <c r="N524" s="1840"/>
      <c r="O524" s="1841"/>
      <c r="P524" s="426"/>
      <c r="Q524" s="426"/>
      <c r="R524" s="426"/>
      <c r="S524" s="426"/>
      <c r="T524" s="426"/>
      <c r="U524" s="426"/>
      <c r="V524" s="426"/>
      <c r="W524" s="426"/>
    </row>
    <row r="525" spans="1:23" hidden="1" x14ac:dyDescent="0.25">
      <c r="A525" s="426"/>
      <c r="B525" s="426"/>
      <c r="C525" s="415"/>
      <c r="D525" s="421" t="str">
        <f>D524&amp;"KW"</f>
        <v>KW</v>
      </c>
      <c r="E525" s="414" t="s">
        <v>380</v>
      </c>
      <c r="F525" s="1840"/>
      <c r="G525" s="1841"/>
      <c r="H525" s="1840"/>
      <c r="I525" s="1841"/>
      <c r="J525" s="1840"/>
      <c r="K525" s="1841"/>
      <c r="L525" s="1840"/>
      <c r="M525" s="1841"/>
      <c r="N525" s="1840"/>
      <c r="O525" s="1841"/>
      <c r="P525" s="426"/>
      <c r="Q525" s="426"/>
      <c r="R525" s="426"/>
      <c r="S525" s="426"/>
      <c r="T525" s="426"/>
      <c r="U525" s="426"/>
      <c r="V525" s="426"/>
      <c r="W525" s="426"/>
    </row>
    <row r="526" spans="1:23" hidden="1" x14ac:dyDescent="0.25">
      <c r="A526" s="426"/>
      <c r="B526" s="426"/>
      <c r="C526" s="415" t="s">
        <v>552</v>
      </c>
      <c r="D526" s="460"/>
      <c r="E526" s="414" t="s">
        <v>379</v>
      </c>
      <c r="F526" s="1840"/>
      <c r="G526" s="1841"/>
      <c r="H526" s="1840"/>
      <c r="I526" s="1841"/>
      <c r="J526" s="1840"/>
      <c r="K526" s="1841"/>
      <c r="L526" s="1840"/>
      <c r="M526" s="1841"/>
      <c r="N526" s="1840"/>
      <c r="O526" s="1841"/>
      <c r="P526" s="426"/>
      <c r="Q526" s="426"/>
      <c r="R526" s="426"/>
      <c r="S526" s="426"/>
      <c r="T526" s="426"/>
      <c r="U526" s="426"/>
      <c r="V526" s="426"/>
      <c r="W526" s="426"/>
    </row>
    <row r="527" spans="1:23" hidden="1" x14ac:dyDescent="0.25">
      <c r="A527" s="426"/>
      <c r="B527" s="426"/>
      <c r="C527" s="415"/>
      <c r="D527" s="421" t="str">
        <f>D526&amp;"KW"</f>
        <v>KW</v>
      </c>
      <c r="E527" s="414" t="s">
        <v>380</v>
      </c>
      <c r="F527" s="1840"/>
      <c r="G527" s="1841"/>
      <c r="H527" s="1840"/>
      <c r="I527" s="1841"/>
      <c r="J527" s="1840"/>
      <c r="K527" s="1841"/>
      <c r="L527" s="1840"/>
      <c r="M527" s="1841"/>
      <c r="N527" s="1840"/>
      <c r="O527" s="1841"/>
      <c r="P527" s="426"/>
      <c r="Q527" s="426"/>
      <c r="R527" s="426"/>
      <c r="S527" s="426"/>
      <c r="T527" s="426"/>
      <c r="U527" s="426"/>
      <c r="V527" s="426"/>
      <c r="W527" s="426"/>
    </row>
    <row r="528" spans="1:23" hidden="1" x14ac:dyDescent="0.25">
      <c r="A528" s="426"/>
      <c r="B528" s="426"/>
      <c r="C528" s="415" t="s">
        <v>553</v>
      </c>
      <c r="D528" s="460"/>
      <c r="E528" s="414" t="s">
        <v>379</v>
      </c>
      <c r="F528" s="1840"/>
      <c r="G528" s="1841"/>
      <c r="H528" s="1840"/>
      <c r="I528" s="1841"/>
      <c r="J528" s="1840"/>
      <c r="K528" s="1841"/>
      <c r="L528" s="1840"/>
      <c r="M528" s="1841"/>
      <c r="N528" s="1840"/>
      <c r="O528" s="1841"/>
      <c r="P528" s="426"/>
      <c r="Q528" s="426"/>
      <c r="R528" s="426"/>
      <c r="S528" s="426"/>
      <c r="T528" s="426"/>
      <c r="U528" s="426"/>
      <c r="V528" s="426"/>
      <c r="W528" s="426"/>
    </row>
    <row r="529" spans="1:23" hidden="1" x14ac:dyDescent="0.25">
      <c r="A529" s="426"/>
      <c r="B529" s="426"/>
      <c r="C529" s="415"/>
      <c r="D529" s="421" t="str">
        <f>D528&amp;"KW"</f>
        <v>KW</v>
      </c>
      <c r="E529" s="414" t="s">
        <v>380</v>
      </c>
      <c r="F529" s="1840"/>
      <c r="G529" s="1841"/>
      <c r="H529" s="1840"/>
      <c r="I529" s="1841"/>
      <c r="J529" s="1840"/>
      <c r="K529" s="1841"/>
      <c r="L529" s="1840"/>
      <c r="M529" s="1841"/>
      <c r="N529" s="1840"/>
      <c r="O529" s="1841"/>
      <c r="P529" s="426"/>
      <c r="Q529" s="426"/>
      <c r="R529" s="426"/>
      <c r="S529" s="426"/>
      <c r="T529" s="426"/>
      <c r="U529" s="426"/>
      <c r="V529" s="426"/>
      <c r="W529" s="426"/>
    </row>
    <row r="530" spans="1:23" hidden="1" x14ac:dyDescent="0.25">
      <c r="A530" s="426"/>
      <c r="B530" s="426"/>
      <c r="C530" s="415" t="s">
        <v>554</v>
      </c>
      <c r="D530" s="460"/>
      <c r="E530" s="414" t="s">
        <v>379</v>
      </c>
      <c r="F530" s="1840"/>
      <c r="G530" s="1841"/>
      <c r="H530" s="1840"/>
      <c r="I530" s="1841"/>
      <c r="J530" s="1840"/>
      <c r="K530" s="1841"/>
      <c r="L530" s="1840"/>
      <c r="M530" s="1841"/>
      <c r="N530" s="1840"/>
      <c r="O530" s="1841"/>
      <c r="P530" s="426"/>
      <c r="Q530" s="426"/>
      <c r="R530" s="426"/>
      <c r="S530" s="426"/>
      <c r="T530" s="426"/>
      <c r="U530" s="426"/>
      <c r="V530" s="426"/>
      <c r="W530" s="426"/>
    </row>
    <row r="531" spans="1:23" hidden="1" x14ac:dyDescent="0.25">
      <c r="A531" s="426"/>
      <c r="B531" s="426"/>
      <c r="C531" s="415"/>
      <c r="D531" s="421" t="str">
        <f>D530&amp;"KW"</f>
        <v>KW</v>
      </c>
      <c r="E531" s="414" t="s">
        <v>380</v>
      </c>
      <c r="F531" s="1840"/>
      <c r="G531" s="1841"/>
      <c r="H531" s="1840"/>
      <c r="I531" s="1841"/>
      <c r="J531" s="1840"/>
      <c r="K531" s="1841"/>
      <c r="L531" s="1840"/>
      <c r="M531" s="1841"/>
      <c r="N531" s="1840"/>
      <c r="O531" s="1841"/>
      <c r="P531" s="426"/>
      <c r="Q531" s="426"/>
      <c r="R531" s="426"/>
      <c r="S531" s="426"/>
      <c r="T531" s="426"/>
      <c r="U531" s="426"/>
      <c r="V531" s="426"/>
      <c r="W531" s="426"/>
    </row>
    <row r="532" spans="1:23" hidden="1" x14ac:dyDescent="0.25">
      <c r="A532" s="426"/>
      <c r="B532" s="426"/>
      <c r="C532" s="415" t="s">
        <v>555</v>
      </c>
      <c r="D532" s="460"/>
      <c r="E532" s="414" t="s">
        <v>379</v>
      </c>
      <c r="F532" s="1840"/>
      <c r="G532" s="1841"/>
      <c r="H532" s="1840"/>
      <c r="I532" s="1841"/>
      <c r="J532" s="1840"/>
      <c r="K532" s="1841"/>
      <c r="L532" s="1840"/>
      <c r="M532" s="1841"/>
      <c r="N532" s="1840"/>
      <c r="O532" s="1841"/>
      <c r="P532" s="426"/>
      <c r="Q532" s="426"/>
      <c r="R532" s="426"/>
      <c r="S532" s="426"/>
      <c r="T532" s="426"/>
      <c r="U532" s="426"/>
      <c r="V532" s="426"/>
      <c r="W532" s="426"/>
    </row>
    <row r="533" spans="1:23" hidden="1" x14ac:dyDescent="0.25">
      <c r="A533" s="426"/>
      <c r="B533" s="426"/>
      <c r="C533" s="415"/>
      <c r="D533" s="421" t="str">
        <f>D532&amp;"KW"</f>
        <v>KW</v>
      </c>
      <c r="E533" s="414" t="s">
        <v>380</v>
      </c>
      <c r="F533" s="1840"/>
      <c r="G533" s="1841"/>
      <c r="H533" s="1840"/>
      <c r="I533" s="1841"/>
      <c r="J533" s="1840"/>
      <c r="K533" s="1841"/>
      <c r="L533" s="1840"/>
      <c r="M533" s="1841"/>
      <c r="N533" s="1840"/>
      <c r="O533" s="1841"/>
      <c r="P533" s="426"/>
      <c r="Q533" s="426"/>
      <c r="R533" s="426"/>
      <c r="S533" s="426"/>
      <c r="T533" s="426"/>
      <c r="U533" s="426"/>
      <c r="V533" s="426"/>
      <c r="W533" s="426"/>
    </row>
    <row r="534" spans="1:23" hidden="1" x14ac:dyDescent="0.25">
      <c r="A534" s="426"/>
      <c r="B534" s="426"/>
      <c r="C534" s="415" t="s">
        <v>556</v>
      </c>
      <c r="D534" s="460"/>
      <c r="E534" s="414" t="s">
        <v>379</v>
      </c>
      <c r="F534" s="1840"/>
      <c r="G534" s="1841"/>
      <c r="H534" s="1840"/>
      <c r="I534" s="1841"/>
      <c r="J534" s="1840"/>
      <c r="K534" s="1841"/>
      <c r="L534" s="1840"/>
      <c r="M534" s="1841"/>
      <c r="N534" s="1840"/>
      <c r="O534" s="1841"/>
      <c r="P534" s="426"/>
      <c r="Q534" s="426"/>
      <c r="R534" s="426"/>
      <c r="S534" s="426"/>
      <c r="T534" s="426"/>
      <c r="U534" s="426"/>
      <c r="V534" s="426"/>
      <c r="W534" s="426"/>
    </row>
    <row r="535" spans="1:23" hidden="1" x14ac:dyDescent="0.25">
      <c r="A535" s="426"/>
      <c r="B535" s="426"/>
      <c r="C535" s="415"/>
      <c r="D535" s="421" t="str">
        <f>D534&amp;"KW"</f>
        <v>KW</v>
      </c>
      <c r="E535" s="414" t="s">
        <v>380</v>
      </c>
      <c r="F535" s="1840"/>
      <c r="G535" s="1841"/>
      <c r="H535" s="1840"/>
      <c r="I535" s="1841"/>
      <c r="J535" s="1840"/>
      <c r="K535" s="1841"/>
      <c r="L535" s="1840"/>
      <c r="M535" s="1841"/>
      <c r="N535" s="1840"/>
      <c r="O535" s="1841"/>
      <c r="P535" s="426"/>
      <c r="Q535" s="426"/>
      <c r="R535" s="426"/>
      <c r="S535" s="426"/>
      <c r="T535" s="426"/>
      <c r="U535" s="426"/>
      <c r="V535" s="426"/>
      <c r="W535" s="426"/>
    </row>
    <row r="536" spans="1:23" hidden="1" x14ac:dyDescent="0.25">
      <c r="A536" s="426"/>
      <c r="B536" s="426"/>
      <c r="C536" s="415" t="s">
        <v>557</v>
      </c>
      <c r="D536" s="460"/>
      <c r="E536" s="414" t="s">
        <v>379</v>
      </c>
      <c r="F536" s="1840"/>
      <c r="G536" s="1841"/>
      <c r="H536" s="1840"/>
      <c r="I536" s="1841"/>
      <c r="J536" s="1840"/>
      <c r="K536" s="1841"/>
      <c r="L536" s="1840"/>
      <c r="M536" s="1841"/>
      <c r="N536" s="1840"/>
      <c r="O536" s="1841"/>
      <c r="P536" s="426"/>
      <c r="Q536" s="426"/>
      <c r="R536" s="426"/>
      <c r="S536" s="426"/>
      <c r="T536" s="426"/>
      <c r="U536" s="426"/>
      <c r="V536" s="426"/>
      <c r="W536" s="426"/>
    </row>
    <row r="537" spans="1:23" hidden="1" x14ac:dyDescent="0.25">
      <c r="A537" s="426"/>
      <c r="B537" s="426"/>
      <c r="C537" s="415"/>
      <c r="D537" s="421" t="str">
        <f>D536&amp;"KW"</f>
        <v>KW</v>
      </c>
      <c r="E537" s="414" t="s">
        <v>380</v>
      </c>
      <c r="F537" s="1840"/>
      <c r="G537" s="1841"/>
      <c r="H537" s="1840"/>
      <c r="I537" s="1841"/>
      <c r="J537" s="1840"/>
      <c r="K537" s="1841"/>
      <c r="L537" s="1840"/>
      <c r="M537" s="1841"/>
      <c r="N537" s="1840"/>
      <c r="O537" s="1841"/>
      <c r="P537" s="426"/>
      <c r="Q537" s="426"/>
      <c r="R537" s="426"/>
      <c r="S537" s="426"/>
      <c r="T537" s="426"/>
      <c r="U537" s="426"/>
      <c r="V537" s="426"/>
      <c r="W537" s="426"/>
    </row>
    <row r="538" spans="1:23" hidden="1" x14ac:dyDescent="0.25">
      <c r="A538" s="426"/>
      <c r="B538" s="426"/>
      <c r="C538" s="415" t="s">
        <v>558</v>
      </c>
      <c r="D538" s="460"/>
      <c r="E538" s="414" t="s">
        <v>379</v>
      </c>
      <c r="F538" s="1840"/>
      <c r="G538" s="1841"/>
      <c r="H538" s="1840"/>
      <c r="I538" s="1841"/>
      <c r="J538" s="1840"/>
      <c r="K538" s="1841"/>
      <c r="L538" s="1840"/>
      <c r="M538" s="1841"/>
      <c r="N538" s="1840"/>
      <c r="O538" s="1841"/>
      <c r="P538" s="426"/>
      <c r="Q538" s="426"/>
      <c r="R538" s="426"/>
      <c r="S538" s="426"/>
      <c r="T538" s="426"/>
      <c r="U538" s="426"/>
      <c r="V538" s="426"/>
      <c r="W538" s="426"/>
    </row>
    <row r="539" spans="1:23" hidden="1" x14ac:dyDescent="0.25">
      <c r="A539" s="426"/>
      <c r="B539" s="426"/>
      <c r="C539" s="415"/>
      <c r="D539" s="421" t="str">
        <f>D538&amp;"KW"</f>
        <v>KW</v>
      </c>
      <c r="E539" s="414" t="s">
        <v>380</v>
      </c>
      <c r="F539" s="1840"/>
      <c r="G539" s="1841"/>
      <c r="H539" s="1840"/>
      <c r="I539" s="1841"/>
      <c r="J539" s="1840"/>
      <c r="K539" s="1841"/>
      <c r="L539" s="1840"/>
      <c r="M539" s="1841"/>
      <c r="N539" s="1840"/>
      <c r="O539" s="1841"/>
      <c r="P539" s="426"/>
      <c r="Q539" s="426"/>
      <c r="R539" s="426"/>
      <c r="S539" s="426"/>
      <c r="T539" s="426"/>
      <c r="U539" s="426"/>
      <c r="V539" s="426"/>
      <c r="W539" s="426"/>
    </row>
    <row r="540" spans="1:23" hidden="1" x14ac:dyDescent="0.25">
      <c r="A540" s="426"/>
      <c r="B540" s="426"/>
      <c r="C540" s="415" t="s">
        <v>559</v>
      </c>
      <c r="D540" s="460"/>
      <c r="E540" s="414" t="s">
        <v>379</v>
      </c>
      <c r="F540" s="1840"/>
      <c r="G540" s="1841"/>
      <c r="H540" s="1840"/>
      <c r="I540" s="1841"/>
      <c r="J540" s="1840"/>
      <c r="K540" s="1841"/>
      <c r="L540" s="1840"/>
      <c r="M540" s="1841"/>
      <c r="N540" s="1840"/>
      <c r="O540" s="1841"/>
      <c r="P540" s="426"/>
      <c r="Q540" s="426"/>
      <c r="R540" s="426"/>
      <c r="S540" s="426"/>
      <c r="T540" s="426"/>
      <c r="U540" s="426"/>
      <c r="V540" s="426"/>
      <c r="W540" s="426"/>
    </row>
    <row r="541" spans="1:23" hidden="1" x14ac:dyDescent="0.25">
      <c r="A541" s="426"/>
      <c r="B541" s="426"/>
      <c r="C541" s="415"/>
      <c r="D541" s="421" t="str">
        <f>D540&amp;"KW"</f>
        <v>KW</v>
      </c>
      <c r="E541" s="414" t="s">
        <v>380</v>
      </c>
      <c r="F541" s="1840"/>
      <c r="G541" s="1841"/>
      <c r="H541" s="1840"/>
      <c r="I541" s="1841"/>
      <c r="J541" s="1840"/>
      <c r="K541" s="1841"/>
      <c r="L541" s="1840"/>
      <c r="M541" s="1841"/>
      <c r="N541" s="1840"/>
      <c r="O541" s="1841"/>
      <c r="P541" s="426"/>
      <c r="Q541" s="426"/>
      <c r="R541" s="426"/>
      <c r="S541" s="426"/>
      <c r="T541" s="426"/>
      <c r="U541" s="426"/>
      <c r="V541" s="426"/>
      <c r="W541" s="426"/>
    </row>
    <row r="542" spans="1:23" hidden="1" x14ac:dyDescent="0.25">
      <c r="A542" s="426"/>
      <c r="B542" s="426"/>
      <c r="C542" s="415" t="s">
        <v>560</v>
      </c>
      <c r="D542" s="460"/>
      <c r="E542" s="414" t="s">
        <v>379</v>
      </c>
      <c r="F542" s="1840"/>
      <c r="G542" s="1841"/>
      <c r="H542" s="1840"/>
      <c r="I542" s="1841"/>
      <c r="J542" s="1840"/>
      <c r="K542" s="1841"/>
      <c r="L542" s="1840"/>
      <c r="M542" s="1841"/>
      <c r="N542" s="1840"/>
      <c r="O542" s="1841"/>
      <c r="P542" s="426"/>
      <c r="Q542" s="426"/>
      <c r="R542" s="426"/>
      <c r="S542" s="426"/>
      <c r="T542" s="426"/>
      <c r="U542" s="426"/>
      <c r="V542" s="426"/>
      <c r="W542" s="426"/>
    </row>
    <row r="543" spans="1:23" hidden="1" x14ac:dyDescent="0.25">
      <c r="A543" s="426"/>
      <c r="B543" s="426"/>
      <c r="C543" s="415"/>
      <c r="D543" s="421" t="str">
        <f>D542&amp;"KW"</f>
        <v>KW</v>
      </c>
      <c r="E543" s="414" t="s">
        <v>380</v>
      </c>
      <c r="F543" s="1840"/>
      <c r="G543" s="1841"/>
      <c r="H543" s="1840"/>
      <c r="I543" s="1841"/>
      <c r="J543" s="1840"/>
      <c r="K543" s="1841"/>
      <c r="L543" s="1840"/>
      <c r="M543" s="1841"/>
      <c r="N543" s="1840"/>
      <c r="O543" s="1841"/>
      <c r="P543" s="426"/>
      <c r="Q543" s="426"/>
      <c r="R543" s="426"/>
      <c r="S543" s="426"/>
      <c r="T543" s="426"/>
      <c r="U543" s="426"/>
      <c r="V543" s="426"/>
      <c r="W543" s="426"/>
    </row>
    <row r="544" spans="1:23" hidden="1" x14ac:dyDescent="0.25">
      <c r="A544" s="426"/>
      <c r="B544" s="426"/>
      <c r="C544" s="415" t="s">
        <v>561</v>
      </c>
      <c r="D544" s="460"/>
      <c r="E544" s="414" t="s">
        <v>379</v>
      </c>
      <c r="F544" s="1840"/>
      <c r="G544" s="1841"/>
      <c r="H544" s="1840"/>
      <c r="I544" s="1841"/>
      <c r="J544" s="1840"/>
      <c r="K544" s="1841"/>
      <c r="L544" s="1840"/>
      <c r="M544" s="1841"/>
      <c r="N544" s="1840"/>
      <c r="O544" s="1841"/>
      <c r="P544" s="426"/>
      <c r="Q544" s="426"/>
      <c r="R544" s="426"/>
      <c r="S544" s="426"/>
      <c r="T544" s="426"/>
      <c r="U544" s="426"/>
      <c r="V544" s="426"/>
      <c r="W544" s="426"/>
    </row>
    <row r="545" spans="1:23" hidden="1" x14ac:dyDescent="0.25">
      <c r="A545" s="426"/>
      <c r="B545" s="426"/>
      <c r="C545" s="415"/>
      <c r="D545" s="421" t="str">
        <f>D544&amp;"KW"</f>
        <v>KW</v>
      </c>
      <c r="E545" s="414" t="s">
        <v>380</v>
      </c>
      <c r="F545" s="1840"/>
      <c r="G545" s="1841"/>
      <c r="H545" s="1840"/>
      <c r="I545" s="1841"/>
      <c r="J545" s="1840"/>
      <c r="K545" s="1841"/>
      <c r="L545" s="1840"/>
      <c r="M545" s="1841"/>
      <c r="N545" s="1840"/>
      <c r="O545" s="1841"/>
      <c r="P545" s="426"/>
      <c r="Q545" s="426"/>
      <c r="R545" s="426"/>
      <c r="S545" s="426"/>
      <c r="T545" s="426"/>
      <c r="U545" s="426"/>
      <c r="V545" s="426"/>
      <c r="W545" s="426"/>
    </row>
    <row r="546" spans="1:23" hidden="1" x14ac:dyDescent="0.25">
      <c r="A546" s="426"/>
      <c r="B546" s="426"/>
      <c r="C546" s="415" t="s">
        <v>562</v>
      </c>
      <c r="D546" s="460"/>
      <c r="E546" s="414" t="s">
        <v>379</v>
      </c>
      <c r="F546" s="1840"/>
      <c r="G546" s="1841"/>
      <c r="H546" s="1840"/>
      <c r="I546" s="1841"/>
      <c r="J546" s="1840"/>
      <c r="K546" s="1841"/>
      <c r="L546" s="1840"/>
      <c r="M546" s="1841"/>
      <c r="N546" s="1840"/>
      <c r="O546" s="1841"/>
      <c r="P546" s="426"/>
      <c r="Q546" s="426"/>
      <c r="R546" s="426"/>
      <c r="S546" s="426"/>
      <c r="T546" s="426"/>
      <c r="U546" s="426"/>
      <c r="V546" s="426"/>
      <c r="W546" s="426"/>
    </row>
    <row r="547" spans="1:23" hidden="1" x14ac:dyDescent="0.25">
      <c r="A547" s="426"/>
      <c r="B547" s="426"/>
      <c r="C547" s="415"/>
      <c r="D547" s="421" t="str">
        <f>D546&amp;"KW"</f>
        <v>KW</v>
      </c>
      <c r="E547" s="414" t="s">
        <v>380</v>
      </c>
      <c r="F547" s="1840"/>
      <c r="G547" s="1841"/>
      <c r="H547" s="1840"/>
      <c r="I547" s="1841"/>
      <c r="J547" s="1840"/>
      <c r="K547" s="1841"/>
      <c r="L547" s="1840"/>
      <c r="M547" s="1841"/>
      <c r="N547" s="1840"/>
      <c r="O547" s="1841"/>
      <c r="P547" s="426"/>
      <c r="Q547" s="426"/>
      <c r="R547" s="426"/>
      <c r="S547" s="426"/>
      <c r="T547" s="426"/>
      <c r="U547" s="426"/>
      <c r="V547" s="426"/>
      <c r="W547" s="426"/>
    </row>
    <row r="548" spans="1:23" hidden="1" x14ac:dyDescent="0.25">
      <c r="A548" s="426"/>
      <c r="B548" s="426"/>
      <c r="C548" s="415" t="s">
        <v>563</v>
      </c>
      <c r="D548" s="460"/>
      <c r="E548" s="414" t="s">
        <v>379</v>
      </c>
      <c r="F548" s="1840"/>
      <c r="G548" s="1841"/>
      <c r="H548" s="1840"/>
      <c r="I548" s="1841"/>
      <c r="J548" s="1840"/>
      <c r="K548" s="1841"/>
      <c r="L548" s="1840"/>
      <c r="M548" s="1841"/>
      <c r="N548" s="1840"/>
      <c r="O548" s="1841"/>
      <c r="P548" s="426"/>
      <c r="Q548" s="426"/>
      <c r="R548" s="426"/>
      <c r="S548" s="426"/>
      <c r="T548" s="426"/>
      <c r="U548" s="426"/>
      <c r="V548" s="426"/>
      <c r="W548" s="426"/>
    </row>
    <row r="549" spans="1:23" hidden="1" x14ac:dyDescent="0.25">
      <c r="A549" s="426"/>
      <c r="B549" s="426"/>
      <c r="C549" s="415"/>
      <c r="D549" s="421" t="str">
        <f>D548&amp;"KW"</f>
        <v>KW</v>
      </c>
      <c r="E549" s="414" t="s">
        <v>380</v>
      </c>
      <c r="F549" s="1840"/>
      <c r="G549" s="1841"/>
      <c r="H549" s="1840"/>
      <c r="I549" s="1841"/>
      <c r="J549" s="1840"/>
      <c r="K549" s="1841"/>
      <c r="L549" s="1840"/>
      <c r="M549" s="1841"/>
      <c r="N549" s="1840"/>
      <c r="O549" s="1841"/>
      <c r="P549" s="426"/>
      <c r="Q549" s="426"/>
      <c r="R549" s="426"/>
      <c r="S549" s="426"/>
      <c r="T549" s="426"/>
      <c r="U549" s="426"/>
      <c r="V549" s="426"/>
      <c r="W549" s="426"/>
    </row>
    <row r="550" spans="1:23" hidden="1" x14ac:dyDescent="0.25">
      <c r="A550" s="426"/>
      <c r="B550" s="426"/>
      <c r="C550" s="415" t="s">
        <v>564</v>
      </c>
      <c r="D550" s="460"/>
      <c r="E550" s="414" t="s">
        <v>379</v>
      </c>
      <c r="F550" s="1840"/>
      <c r="G550" s="1841"/>
      <c r="H550" s="1840"/>
      <c r="I550" s="1841"/>
      <c r="J550" s="1840"/>
      <c r="K550" s="1841"/>
      <c r="L550" s="1840"/>
      <c r="M550" s="1841"/>
      <c r="N550" s="1840"/>
      <c r="O550" s="1841"/>
      <c r="P550" s="426"/>
      <c r="Q550" s="426"/>
      <c r="R550" s="426"/>
      <c r="S550" s="426"/>
      <c r="T550" s="426"/>
      <c r="U550" s="426"/>
      <c r="V550" s="426"/>
      <c r="W550" s="426"/>
    </row>
    <row r="551" spans="1:23" hidden="1" x14ac:dyDescent="0.25">
      <c r="A551" s="426"/>
      <c r="B551" s="426"/>
      <c r="C551" s="415"/>
      <c r="D551" s="421" t="str">
        <f>D550&amp;"KW"</f>
        <v>KW</v>
      </c>
      <c r="E551" s="414" t="s">
        <v>380</v>
      </c>
      <c r="F551" s="1840"/>
      <c r="G551" s="1841"/>
      <c r="H551" s="1840"/>
      <c r="I551" s="1841"/>
      <c r="J551" s="1840"/>
      <c r="K551" s="1841"/>
      <c r="L551" s="1840"/>
      <c r="M551" s="1841"/>
      <c r="N551" s="1840"/>
      <c r="O551" s="1841"/>
      <c r="P551" s="426"/>
      <c r="Q551" s="426"/>
      <c r="R551" s="426"/>
      <c r="S551" s="426"/>
      <c r="T551" s="426"/>
      <c r="U551" s="426"/>
      <c r="V551" s="426"/>
      <c r="W551" s="426"/>
    </row>
    <row r="552" spans="1:23" hidden="1" x14ac:dyDescent="0.25">
      <c r="A552" s="426"/>
      <c r="B552" s="426"/>
      <c r="C552" s="415" t="s">
        <v>565</v>
      </c>
      <c r="D552" s="460"/>
      <c r="E552" s="414" t="s">
        <v>379</v>
      </c>
      <c r="F552" s="1840"/>
      <c r="G552" s="1841"/>
      <c r="H552" s="1840"/>
      <c r="I552" s="1841"/>
      <c r="J552" s="1840"/>
      <c r="K552" s="1841"/>
      <c r="L552" s="1840"/>
      <c r="M552" s="1841"/>
      <c r="N552" s="1840"/>
      <c r="O552" s="1841"/>
      <c r="P552" s="426"/>
      <c r="Q552" s="426"/>
      <c r="R552" s="426"/>
      <c r="S552" s="426"/>
      <c r="T552" s="426"/>
      <c r="U552" s="426"/>
      <c r="V552" s="426"/>
      <c r="W552" s="426"/>
    </row>
    <row r="553" spans="1:23" hidden="1" x14ac:dyDescent="0.25">
      <c r="A553" s="426"/>
      <c r="B553" s="426"/>
      <c r="C553" s="415"/>
      <c r="D553" s="421" t="str">
        <f>D552&amp;"KW"</f>
        <v>KW</v>
      </c>
      <c r="E553" s="414" t="s">
        <v>380</v>
      </c>
      <c r="F553" s="1840"/>
      <c r="G553" s="1841"/>
      <c r="H553" s="1840"/>
      <c r="I553" s="1841"/>
      <c r="J553" s="1840"/>
      <c r="K553" s="1841"/>
      <c r="L553" s="1840"/>
      <c r="M553" s="1841"/>
      <c r="N553" s="1840"/>
      <c r="O553" s="1841"/>
      <c r="P553" s="426"/>
      <c r="Q553" s="426"/>
      <c r="R553" s="426"/>
      <c r="S553" s="426"/>
      <c r="T553" s="426"/>
      <c r="U553" s="426"/>
      <c r="V553" s="426"/>
      <c r="W553" s="426"/>
    </row>
    <row r="554" spans="1:23" hidden="1" x14ac:dyDescent="0.25">
      <c r="A554" s="426"/>
      <c r="B554" s="426"/>
      <c r="C554" s="415" t="s">
        <v>566</v>
      </c>
      <c r="D554" s="460"/>
      <c r="E554" s="414" t="s">
        <v>379</v>
      </c>
      <c r="F554" s="1840"/>
      <c r="G554" s="1841"/>
      <c r="H554" s="1840"/>
      <c r="I554" s="1841"/>
      <c r="J554" s="1840"/>
      <c r="K554" s="1841"/>
      <c r="L554" s="1840"/>
      <c r="M554" s="1841"/>
      <c r="N554" s="1840"/>
      <c r="O554" s="1841"/>
      <c r="P554" s="426"/>
      <c r="Q554" s="426"/>
      <c r="R554" s="426"/>
      <c r="S554" s="426"/>
      <c r="T554" s="426"/>
      <c r="U554" s="426"/>
      <c r="V554" s="426"/>
      <c r="W554" s="426"/>
    </row>
    <row r="555" spans="1:23" hidden="1" x14ac:dyDescent="0.25">
      <c r="A555" s="426"/>
      <c r="B555" s="426"/>
      <c r="C555" s="415"/>
      <c r="D555" s="421" t="str">
        <f>D554&amp;"KW"</f>
        <v>KW</v>
      </c>
      <c r="E555" s="414" t="s">
        <v>380</v>
      </c>
      <c r="F555" s="1840"/>
      <c r="G555" s="1841"/>
      <c r="H555" s="1840"/>
      <c r="I555" s="1841"/>
      <c r="J555" s="1840"/>
      <c r="K555" s="1841"/>
      <c r="L555" s="1840"/>
      <c r="M555" s="1841"/>
      <c r="N555" s="1840"/>
      <c r="O555" s="1841"/>
      <c r="P555" s="426"/>
      <c r="Q555" s="426"/>
      <c r="R555" s="426"/>
      <c r="S555" s="426"/>
      <c r="T555" s="426"/>
      <c r="U555" s="426"/>
      <c r="V555" s="426"/>
      <c r="W555" s="426"/>
    </row>
    <row r="556" spans="1:23" hidden="1" x14ac:dyDescent="0.25">
      <c r="A556" s="426"/>
      <c r="B556" s="426"/>
      <c r="C556" s="415" t="s">
        <v>567</v>
      </c>
      <c r="D556" s="460"/>
      <c r="E556" s="414" t="s">
        <v>379</v>
      </c>
      <c r="F556" s="1840"/>
      <c r="G556" s="1841"/>
      <c r="H556" s="1840"/>
      <c r="I556" s="1841"/>
      <c r="J556" s="1840"/>
      <c r="K556" s="1841"/>
      <c r="L556" s="1840"/>
      <c r="M556" s="1841"/>
      <c r="N556" s="1840"/>
      <c r="O556" s="1841"/>
      <c r="P556" s="426"/>
      <c r="Q556" s="426"/>
      <c r="R556" s="426"/>
      <c r="S556" s="426"/>
      <c r="T556" s="426"/>
      <c r="U556" s="426"/>
      <c r="V556" s="426"/>
      <c r="W556" s="426"/>
    </row>
    <row r="557" spans="1:23" hidden="1" x14ac:dyDescent="0.25">
      <c r="A557" s="426"/>
      <c r="B557" s="426"/>
      <c r="C557" s="415"/>
      <c r="D557" s="421" t="str">
        <f>D556&amp;"KW"</f>
        <v>KW</v>
      </c>
      <c r="E557" s="414" t="s">
        <v>380</v>
      </c>
      <c r="F557" s="1840"/>
      <c r="G557" s="1841"/>
      <c r="H557" s="1840"/>
      <c r="I557" s="1841"/>
      <c r="J557" s="1840"/>
      <c r="K557" s="1841"/>
      <c r="L557" s="1840"/>
      <c r="M557" s="1841"/>
      <c r="N557" s="1840"/>
      <c r="O557" s="1841"/>
      <c r="P557" s="426"/>
      <c r="Q557" s="426"/>
      <c r="R557" s="426"/>
      <c r="S557" s="426"/>
      <c r="T557" s="426"/>
      <c r="U557" s="426"/>
      <c r="V557" s="426"/>
      <c r="W557" s="426"/>
    </row>
    <row r="558" spans="1:23" hidden="1" x14ac:dyDescent="0.25">
      <c r="A558" s="426"/>
      <c r="B558" s="426"/>
      <c r="C558" s="415" t="s">
        <v>568</v>
      </c>
      <c r="D558" s="460"/>
      <c r="E558" s="414" t="s">
        <v>379</v>
      </c>
      <c r="F558" s="1840"/>
      <c r="G558" s="1841"/>
      <c r="H558" s="1840"/>
      <c r="I558" s="1841"/>
      <c r="J558" s="1840"/>
      <c r="K558" s="1841"/>
      <c r="L558" s="1840"/>
      <c r="M558" s="1841"/>
      <c r="N558" s="1840"/>
      <c r="O558" s="1841"/>
      <c r="P558" s="426"/>
      <c r="Q558" s="426"/>
      <c r="R558" s="426"/>
      <c r="S558" s="426"/>
      <c r="T558" s="426"/>
      <c r="U558" s="426"/>
      <c r="V558" s="426"/>
      <c r="W558" s="426"/>
    </row>
    <row r="559" spans="1:23" hidden="1" x14ac:dyDescent="0.25">
      <c r="A559" s="426"/>
      <c r="B559" s="426"/>
      <c r="C559" s="415"/>
      <c r="D559" s="421" t="str">
        <f>D558&amp;"KW"</f>
        <v>KW</v>
      </c>
      <c r="E559" s="414" t="s">
        <v>380</v>
      </c>
      <c r="F559" s="1840"/>
      <c r="G559" s="1841"/>
      <c r="H559" s="1840"/>
      <c r="I559" s="1841"/>
      <c r="J559" s="1840"/>
      <c r="K559" s="1841"/>
      <c r="L559" s="1840"/>
      <c r="M559" s="1841"/>
      <c r="N559" s="1840"/>
      <c r="O559" s="1841"/>
      <c r="P559" s="426"/>
      <c r="Q559" s="426"/>
      <c r="R559" s="426"/>
      <c r="S559" s="426"/>
      <c r="T559" s="426"/>
      <c r="U559" s="426"/>
      <c r="V559" s="426"/>
      <c r="W559" s="426"/>
    </row>
    <row r="560" spans="1:23" hidden="1" x14ac:dyDescent="0.25">
      <c r="A560" s="426"/>
      <c r="B560" s="426"/>
      <c r="C560" s="415" t="s">
        <v>569</v>
      </c>
      <c r="D560" s="460"/>
      <c r="E560" s="414" t="s">
        <v>379</v>
      </c>
      <c r="F560" s="1840"/>
      <c r="G560" s="1841"/>
      <c r="H560" s="1840"/>
      <c r="I560" s="1841"/>
      <c r="J560" s="1840"/>
      <c r="K560" s="1841"/>
      <c r="L560" s="1840"/>
      <c r="M560" s="1841"/>
      <c r="N560" s="1840"/>
      <c r="O560" s="1841"/>
      <c r="P560" s="426"/>
      <c r="Q560" s="426"/>
      <c r="R560" s="426"/>
      <c r="S560" s="426"/>
      <c r="T560" s="426"/>
      <c r="U560" s="426"/>
      <c r="V560" s="426"/>
      <c r="W560" s="426"/>
    </row>
    <row r="561" spans="1:23" hidden="1" x14ac:dyDescent="0.25">
      <c r="A561" s="426"/>
      <c r="B561" s="426"/>
      <c r="C561" s="415"/>
      <c r="D561" s="421" t="str">
        <f>D560&amp;"KW"</f>
        <v>KW</v>
      </c>
      <c r="E561" s="414" t="s">
        <v>380</v>
      </c>
      <c r="F561" s="1840"/>
      <c r="G561" s="1841"/>
      <c r="H561" s="1840"/>
      <c r="I561" s="1841"/>
      <c r="J561" s="1840"/>
      <c r="K561" s="1841"/>
      <c r="L561" s="1840"/>
      <c r="M561" s="1841"/>
      <c r="N561" s="1840"/>
      <c r="O561" s="1841"/>
      <c r="P561" s="426"/>
      <c r="Q561" s="426"/>
      <c r="R561" s="426"/>
      <c r="S561" s="426"/>
      <c r="T561" s="426"/>
      <c r="U561" s="426"/>
      <c r="V561" s="426"/>
      <c r="W561" s="426"/>
    </row>
    <row r="562" spans="1:23" hidden="1" x14ac:dyDescent="0.25">
      <c r="A562" s="426"/>
      <c r="B562" s="426"/>
      <c r="C562" s="415" t="s">
        <v>570</v>
      </c>
      <c r="D562" s="460"/>
      <c r="E562" s="414" t="s">
        <v>379</v>
      </c>
      <c r="F562" s="1840"/>
      <c r="G562" s="1841"/>
      <c r="H562" s="1840"/>
      <c r="I562" s="1841"/>
      <c r="J562" s="1840"/>
      <c r="K562" s="1841"/>
      <c r="L562" s="1840"/>
      <c r="M562" s="1841"/>
      <c r="N562" s="1840"/>
      <c r="O562" s="1841"/>
      <c r="P562" s="426"/>
      <c r="Q562" s="426"/>
      <c r="R562" s="426"/>
      <c r="S562" s="426"/>
      <c r="T562" s="426"/>
      <c r="U562" s="426"/>
      <c r="V562" s="426"/>
      <c r="W562" s="426"/>
    </row>
    <row r="563" spans="1:23" hidden="1" x14ac:dyDescent="0.25">
      <c r="A563" s="426"/>
      <c r="B563" s="426"/>
      <c r="C563" s="415"/>
      <c r="D563" s="421" t="str">
        <f>D562&amp;"KW"</f>
        <v>KW</v>
      </c>
      <c r="E563" s="414" t="s">
        <v>380</v>
      </c>
      <c r="F563" s="1840"/>
      <c r="G563" s="1841"/>
      <c r="H563" s="1840"/>
      <c r="I563" s="1841"/>
      <c r="J563" s="1840"/>
      <c r="K563" s="1841"/>
      <c r="L563" s="1840"/>
      <c r="M563" s="1841"/>
      <c r="N563" s="1840"/>
      <c r="O563" s="1841"/>
      <c r="P563" s="426"/>
      <c r="Q563" s="426"/>
      <c r="R563" s="426"/>
      <c r="S563" s="426"/>
      <c r="T563" s="426"/>
      <c r="U563" s="426"/>
      <c r="V563" s="426"/>
      <c r="W563" s="426"/>
    </row>
    <row r="564" spans="1:23" hidden="1" x14ac:dyDescent="0.25">
      <c r="A564" s="426"/>
      <c r="B564" s="426"/>
      <c r="C564" s="415" t="s">
        <v>571</v>
      </c>
      <c r="D564" s="460"/>
      <c r="E564" s="414" t="s">
        <v>379</v>
      </c>
      <c r="F564" s="1840"/>
      <c r="G564" s="1841"/>
      <c r="H564" s="1840"/>
      <c r="I564" s="1841"/>
      <c r="J564" s="1840"/>
      <c r="K564" s="1841"/>
      <c r="L564" s="1840"/>
      <c r="M564" s="1841"/>
      <c r="N564" s="1840"/>
      <c r="O564" s="1841"/>
      <c r="P564" s="426"/>
      <c r="Q564" s="426"/>
      <c r="R564" s="426"/>
      <c r="S564" s="426"/>
      <c r="T564" s="426"/>
      <c r="U564" s="426"/>
      <c r="V564" s="426"/>
      <c r="W564" s="426"/>
    </row>
    <row r="565" spans="1:23" hidden="1" x14ac:dyDescent="0.25">
      <c r="A565" s="426"/>
      <c r="B565" s="426"/>
      <c r="C565" s="415"/>
      <c r="D565" s="421" t="str">
        <f>D564&amp;"KW"</f>
        <v>KW</v>
      </c>
      <c r="E565" s="414" t="s">
        <v>380</v>
      </c>
      <c r="F565" s="1840"/>
      <c r="G565" s="1841"/>
      <c r="H565" s="1840"/>
      <c r="I565" s="1841"/>
      <c r="J565" s="1840"/>
      <c r="K565" s="1841"/>
      <c r="L565" s="1840"/>
      <c r="M565" s="1841"/>
      <c r="N565" s="1840"/>
      <c r="O565" s="1841"/>
      <c r="P565" s="426"/>
      <c r="Q565" s="426"/>
      <c r="R565" s="426"/>
      <c r="S565" s="426"/>
      <c r="T565" s="426"/>
      <c r="U565" s="426"/>
      <c r="V565" s="426"/>
      <c r="W565" s="426"/>
    </row>
    <row r="566" spans="1:23" hidden="1" x14ac:dyDescent="0.25">
      <c r="A566" s="426"/>
      <c r="B566" s="426"/>
      <c r="C566" s="415" t="s">
        <v>572</v>
      </c>
      <c r="D566" s="460"/>
      <c r="E566" s="414" t="s">
        <v>379</v>
      </c>
      <c r="F566" s="1840"/>
      <c r="G566" s="1841"/>
      <c r="H566" s="1840"/>
      <c r="I566" s="1841"/>
      <c r="J566" s="1840"/>
      <c r="K566" s="1841"/>
      <c r="L566" s="1840"/>
      <c r="M566" s="1841"/>
      <c r="N566" s="1840"/>
      <c r="O566" s="1841"/>
      <c r="P566" s="426"/>
      <c r="Q566" s="426"/>
      <c r="R566" s="426"/>
      <c r="S566" s="426"/>
      <c r="T566" s="426"/>
      <c r="U566" s="426"/>
      <c r="V566" s="426"/>
      <c r="W566" s="426"/>
    </row>
    <row r="567" spans="1:23" hidden="1" x14ac:dyDescent="0.25">
      <c r="A567" s="426"/>
      <c r="B567" s="426"/>
      <c r="C567" s="415"/>
      <c r="D567" s="421" t="str">
        <f>D566&amp;"KW"</f>
        <v>KW</v>
      </c>
      <c r="E567" s="414" t="s">
        <v>380</v>
      </c>
      <c r="F567" s="1840"/>
      <c r="G567" s="1841"/>
      <c r="H567" s="1840"/>
      <c r="I567" s="1841"/>
      <c r="J567" s="1840"/>
      <c r="K567" s="1841"/>
      <c r="L567" s="1840"/>
      <c r="M567" s="1841"/>
      <c r="N567" s="1840"/>
      <c r="O567" s="1841"/>
      <c r="P567" s="426"/>
      <c r="Q567" s="426"/>
      <c r="R567" s="426"/>
      <c r="S567" s="426"/>
      <c r="T567" s="426"/>
      <c r="U567" s="426"/>
      <c r="V567" s="426"/>
      <c r="W567" s="426"/>
    </row>
    <row r="568" spans="1:23" hidden="1" x14ac:dyDescent="0.25">
      <c r="A568" s="426"/>
      <c r="B568" s="426"/>
      <c r="C568" s="415" t="s">
        <v>573</v>
      </c>
      <c r="D568" s="460"/>
      <c r="E568" s="414" t="s">
        <v>379</v>
      </c>
      <c r="F568" s="1840"/>
      <c r="G568" s="1841"/>
      <c r="H568" s="1840"/>
      <c r="I568" s="1841"/>
      <c r="J568" s="1840"/>
      <c r="K568" s="1841"/>
      <c r="L568" s="1840"/>
      <c r="M568" s="1841"/>
      <c r="N568" s="1840"/>
      <c r="O568" s="1841"/>
      <c r="P568" s="426"/>
      <c r="Q568" s="426"/>
      <c r="R568" s="426"/>
      <c r="S568" s="426"/>
      <c r="T568" s="426"/>
      <c r="U568" s="426"/>
      <c r="V568" s="426"/>
      <c r="W568" s="426"/>
    </row>
    <row r="569" spans="1:23" hidden="1" x14ac:dyDescent="0.25">
      <c r="A569" s="426"/>
      <c r="B569" s="426"/>
      <c r="C569" s="415"/>
      <c r="D569" s="421" t="str">
        <f>D568&amp;"KW"</f>
        <v>KW</v>
      </c>
      <c r="E569" s="414" t="s">
        <v>380</v>
      </c>
      <c r="F569" s="1840"/>
      <c r="G569" s="1841"/>
      <c r="H569" s="1840"/>
      <c r="I569" s="1841"/>
      <c r="J569" s="1840"/>
      <c r="K569" s="1841"/>
      <c r="L569" s="1840"/>
      <c r="M569" s="1841"/>
      <c r="N569" s="1840"/>
      <c r="O569" s="1841"/>
      <c r="P569" s="426"/>
      <c r="Q569" s="426"/>
      <c r="R569" s="426"/>
      <c r="S569" s="426"/>
      <c r="T569" s="426"/>
      <c r="U569" s="426"/>
      <c r="V569" s="426"/>
      <c r="W569" s="426"/>
    </row>
    <row r="570" spans="1:23" hidden="1" x14ac:dyDescent="0.25">
      <c r="A570" s="426"/>
      <c r="B570" s="426"/>
      <c r="C570" s="415" t="s">
        <v>574</v>
      </c>
      <c r="D570" s="460"/>
      <c r="E570" s="414" t="s">
        <v>379</v>
      </c>
      <c r="F570" s="1840"/>
      <c r="G570" s="1841"/>
      <c r="H570" s="1840"/>
      <c r="I570" s="1841"/>
      <c r="J570" s="1840"/>
      <c r="K570" s="1841"/>
      <c r="L570" s="1840"/>
      <c r="M570" s="1841"/>
      <c r="N570" s="1840"/>
      <c r="O570" s="1841"/>
      <c r="P570" s="426"/>
      <c r="Q570" s="426"/>
      <c r="R570" s="426"/>
      <c r="S570" s="426"/>
      <c r="T570" s="426"/>
      <c r="U570" s="426"/>
      <c r="V570" s="426"/>
      <c r="W570" s="426"/>
    </row>
    <row r="571" spans="1:23" hidden="1" x14ac:dyDescent="0.25">
      <c r="A571" s="426"/>
      <c r="B571" s="426"/>
      <c r="C571" s="415"/>
      <c r="D571" s="421" t="str">
        <f>D570&amp;"KW"</f>
        <v>KW</v>
      </c>
      <c r="E571" s="414" t="s">
        <v>380</v>
      </c>
      <c r="F571" s="1840"/>
      <c r="G571" s="1841"/>
      <c r="H571" s="1840"/>
      <c r="I571" s="1841"/>
      <c r="J571" s="1840"/>
      <c r="K571" s="1841"/>
      <c r="L571" s="1840"/>
      <c r="M571" s="1841"/>
      <c r="N571" s="1840"/>
      <c r="O571" s="1841"/>
      <c r="P571" s="426"/>
      <c r="Q571" s="426"/>
      <c r="R571" s="426"/>
      <c r="S571" s="426"/>
      <c r="T571" s="426"/>
      <c r="U571" s="426"/>
      <c r="V571" s="426"/>
      <c r="W571" s="426"/>
    </row>
    <row r="572" spans="1:23" hidden="1" x14ac:dyDescent="0.25">
      <c r="A572" s="426"/>
      <c r="B572" s="426"/>
      <c r="C572" s="415" t="s">
        <v>575</v>
      </c>
      <c r="D572" s="460"/>
      <c r="E572" s="414" t="s">
        <v>379</v>
      </c>
      <c r="F572" s="1840"/>
      <c r="G572" s="1841"/>
      <c r="H572" s="1840"/>
      <c r="I572" s="1841"/>
      <c r="J572" s="1840"/>
      <c r="K572" s="1841"/>
      <c r="L572" s="1840"/>
      <c r="M572" s="1841"/>
      <c r="N572" s="1840"/>
      <c r="O572" s="1841"/>
      <c r="P572" s="426"/>
      <c r="Q572" s="426"/>
      <c r="R572" s="426"/>
      <c r="S572" s="426"/>
      <c r="T572" s="426"/>
      <c r="U572" s="426"/>
      <c r="V572" s="426"/>
      <c r="W572" s="426"/>
    </row>
    <row r="573" spans="1:23" hidden="1" x14ac:dyDescent="0.25">
      <c r="A573" s="426"/>
      <c r="B573" s="426"/>
      <c r="C573" s="415"/>
      <c r="D573" s="421" t="str">
        <f>D572&amp;"KW"</f>
        <v>KW</v>
      </c>
      <c r="E573" s="414" t="s">
        <v>380</v>
      </c>
      <c r="F573" s="1840"/>
      <c r="G573" s="1841"/>
      <c r="H573" s="1840"/>
      <c r="I573" s="1841"/>
      <c r="J573" s="1840"/>
      <c r="K573" s="1841"/>
      <c r="L573" s="1840"/>
      <c r="M573" s="1841"/>
      <c r="N573" s="1840"/>
      <c r="O573" s="1841"/>
      <c r="P573" s="426"/>
      <c r="Q573" s="426"/>
      <c r="R573" s="426"/>
      <c r="S573" s="426"/>
      <c r="T573" s="426"/>
      <c r="U573" s="426"/>
      <c r="V573" s="426"/>
      <c r="W573" s="426"/>
    </row>
    <row r="574" spans="1:23" hidden="1" x14ac:dyDescent="0.25">
      <c r="A574" s="426"/>
      <c r="B574" s="426"/>
      <c r="C574" s="415" t="s">
        <v>576</v>
      </c>
      <c r="D574" s="460"/>
      <c r="E574" s="414" t="s">
        <v>379</v>
      </c>
      <c r="F574" s="1840"/>
      <c r="G574" s="1841"/>
      <c r="H574" s="1840"/>
      <c r="I574" s="1841"/>
      <c r="J574" s="1840"/>
      <c r="K574" s="1841"/>
      <c r="L574" s="1840"/>
      <c r="M574" s="1841"/>
      <c r="N574" s="1840"/>
      <c r="O574" s="1841"/>
      <c r="P574" s="426"/>
      <c r="Q574" s="426"/>
      <c r="R574" s="426"/>
      <c r="S574" s="426"/>
      <c r="T574" s="426"/>
      <c r="U574" s="426"/>
      <c r="V574" s="426"/>
      <c r="W574" s="426"/>
    </row>
    <row r="575" spans="1:23" hidden="1" x14ac:dyDescent="0.25">
      <c r="A575" s="426"/>
      <c r="B575" s="426"/>
      <c r="C575" s="415"/>
      <c r="D575" s="421" t="str">
        <f>D574&amp;"KW"</f>
        <v>KW</v>
      </c>
      <c r="E575" s="414" t="s">
        <v>380</v>
      </c>
      <c r="F575" s="1840"/>
      <c r="G575" s="1841"/>
      <c r="H575" s="1840"/>
      <c r="I575" s="1841"/>
      <c r="J575" s="1840"/>
      <c r="K575" s="1841"/>
      <c r="L575" s="1840"/>
      <c r="M575" s="1841"/>
      <c r="N575" s="1840"/>
      <c r="O575" s="1841"/>
      <c r="P575" s="426"/>
      <c r="Q575" s="426"/>
      <c r="R575" s="426"/>
      <c r="S575" s="426"/>
      <c r="T575" s="426"/>
      <c r="U575" s="426"/>
      <c r="V575" s="426"/>
      <c r="W575" s="426"/>
    </row>
    <row r="576" spans="1:23" hidden="1" x14ac:dyDescent="0.25">
      <c r="A576" s="426"/>
      <c r="B576" s="426"/>
      <c r="C576" s="415" t="s">
        <v>577</v>
      </c>
      <c r="D576" s="460"/>
      <c r="E576" s="414" t="s">
        <v>379</v>
      </c>
      <c r="F576" s="1840"/>
      <c r="G576" s="1841"/>
      <c r="H576" s="1840"/>
      <c r="I576" s="1841"/>
      <c r="J576" s="1840"/>
      <c r="K576" s="1841"/>
      <c r="L576" s="1840"/>
      <c r="M576" s="1841"/>
      <c r="N576" s="1840"/>
      <c r="O576" s="1841"/>
      <c r="P576" s="426"/>
      <c r="Q576" s="426"/>
      <c r="R576" s="426"/>
      <c r="S576" s="426"/>
      <c r="T576" s="426"/>
      <c r="U576" s="426"/>
      <c r="V576" s="426"/>
      <c r="W576" s="426"/>
    </row>
    <row r="577" spans="1:23" hidden="1" x14ac:dyDescent="0.25">
      <c r="A577" s="426"/>
      <c r="B577" s="426"/>
      <c r="C577" s="415"/>
      <c r="D577" s="462" t="str">
        <f>D576&amp;"KW"</f>
        <v>KW</v>
      </c>
      <c r="E577" s="414" t="s">
        <v>380</v>
      </c>
      <c r="F577" s="1840"/>
      <c r="G577" s="1841"/>
      <c r="H577" s="1840"/>
      <c r="I577" s="1841"/>
      <c r="J577" s="1840"/>
      <c r="K577" s="1841"/>
      <c r="L577" s="1840"/>
      <c r="M577" s="1841"/>
      <c r="N577" s="1840"/>
      <c r="O577" s="1841"/>
      <c r="P577" s="426"/>
      <c r="Q577" s="426"/>
      <c r="R577" s="426"/>
      <c r="S577" s="426"/>
      <c r="T577" s="426"/>
      <c r="U577" s="426"/>
      <c r="V577" s="426"/>
      <c r="W577" s="426"/>
    </row>
    <row r="578" spans="1:23" hidden="1" x14ac:dyDescent="0.25">
      <c r="A578" s="426"/>
      <c r="B578" s="426"/>
      <c r="C578" s="415" t="s">
        <v>578</v>
      </c>
      <c r="D578" s="460"/>
      <c r="E578" s="414" t="s">
        <v>379</v>
      </c>
      <c r="F578" s="1840"/>
      <c r="G578" s="1841"/>
      <c r="H578" s="1840"/>
      <c r="I578" s="1841"/>
      <c r="J578" s="1840"/>
      <c r="K578" s="1841"/>
      <c r="L578" s="1840"/>
      <c r="M578" s="1841"/>
      <c r="N578" s="1840"/>
      <c r="O578" s="1841"/>
      <c r="P578" s="426"/>
      <c r="Q578" s="426"/>
      <c r="R578" s="426"/>
      <c r="S578" s="426"/>
      <c r="T578" s="426"/>
      <c r="U578" s="426"/>
      <c r="V578" s="426"/>
      <c r="W578" s="426"/>
    </row>
    <row r="579" spans="1:23" hidden="1" x14ac:dyDescent="0.25">
      <c r="A579" s="426"/>
      <c r="B579" s="426"/>
      <c r="C579" s="415"/>
      <c r="D579" s="421" t="str">
        <f>D578&amp;"KW"</f>
        <v>KW</v>
      </c>
      <c r="E579" s="414" t="s">
        <v>380</v>
      </c>
      <c r="F579" s="1840"/>
      <c r="G579" s="1841"/>
      <c r="H579" s="1840"/>
      <c r="I579" s="1841"/>
      <c r="J579" s="1840"/>
      <c r="K579" s="1841"/>
      <c r="L579" s="1840"/>
      <c r="M579" s="1841"/>
      <c r="N579" s="1840"/>
      <c r="O579" s="1841"/>
      <c r="P579" s="426"/>
      <c r="Q579" s="426"/>
      <c r="R579" s="426"/>
      <c r="S579" s="426"/>
      <c r="T579" s="426"/>
      <c r="U579" s="426"/>
      <c r="V579" s="426"/>
      <c r="W579" s="426"/>
    </row>
    <row r="580" spans="1:23" hidden="1" x14ac:dyDescent="0.25">
      <c r="A580" s="426"/>
      <c r="B580" s="426"/>
      <c r="C580" s="415" t="s">
        <v>579</v>
      </c>
      <c r="D580" s="460"/>
      <c r="E580" s="414" t="s">
        <v>379</v>
      </c>
      <c r="F580" s="1840"/>
      <c r="G580" s="1841"/>
      <c r="H580" s="1840"/>
      <c r="I580" s="1841"/>
      <c r="J580" s="1840"/>
      <c r="K580" s="1841"/>
      <c r="L580" s="1840"/>
      <c r="M580" s="1841"/>
      <c r="N580" s="1840"/>
      <c r="O580" s="1841"/>
      <c r="P580" s="426"/>
      <c r="Q580" s="426"/>
      <c r="R580" s="426"/>
      <c r="S580" s="426"/>
      <c r="T580" s="426"/>
      <c r="U580" s="426"/>
      <c r="V580" s="426"/>
      <c r="W580" s="426"/>
    </row>
    <row r="581" spans="1:23" hidden="1" x14ac:dyDescent="0.25">
      <c r="A581" s="426"/>
      <c r="B581" s="426"/>
      <c r="C581" s="415"/>
      <c r="D581" s="421" t="str">
        <f>D580&amp;"KW"</f>
        <v>KW</v>
      </c>
      <c r="E581" s="414" t="s">
        <v>380</v>
      </c>
      <c r="F581" s="1840"/>
      <c r="G581" s="1841"/>
      <c r="H581" s="1840"/>
      <c r="I581" s="1841"/>
      <c r="J581" s="1840"/>
      <c r="K581" s="1841"/>
      <c r="L581" s="1840"/>
      <c r="M581" s="1841"/>
      <c r="N581" s="1840"/>
      <c r="O581" s="1841"/>
      <c r="P581" s="426"/>
      <c r="Q581" s="426"/>
      <c r="R581" s="426"/>
      <c r="S581" s="426"/>
      <c r="T581" s="426"/>
      <c r="U581" s="426"/>
      <c r="V581" s="426"/>
      <c r="W581" s="426"/>
    </row>
    <row r="582" spans="1:23" hidden="1" x14ac:dyDescent="0.25">
      <c r="A582" s="426"/>
      <c r="B582" s="426"/>
      <c r="C582" s="415" t="s">
        <v>580</v>
      </c>
      <c r="D582" s="460"/>
      <c r="E582" s="414" t="s">
        <v>379</v>
      </c>
      <c r="F582" s="1840"/>
      <c r="G582" s="1841"/>
      <c r="H582" s="1840"/>
      <c r="I582" s="1841"/>
      <c r="J582" s="1840"/>
      <c r="K582" s="1841"/>
      <c r="L582" s="1840"/>
      <c r="M582" s="1841"/>
      <c r="N582" s="1840"/>
      <c r="O582" s="1841"/>
      <c r="P582" s="426"/>
      <c r="Q582" s="426"/>
      <c r="R582" s="426"/>
      <c r="S582" s="426"/>
      <c r="T582" s="426"/>
      <c r="U582" s="426"/>
      <c r="V582" s="426"/>
      <c r="W582" s="426"/>
    </row>
    <row r="583" spans="1:23" hidden="1" x14ac:dyDescent="0.25">
      <c r="A583" s="426"/>
      <c r="B583" s="426"/>
      <c r="C583" s="415"/>
      <c r="D583" s="421" t="str">
        <f>D582&amp;"KW"</f>
        <v>KW</v>
      </c>
      <c r="E583" s="414" t="s">
        <v>380</v>
      </c>
      <c r="F583" s="1840"/>
      <c r="G583" s="1841"/>
      <c r="H583" s="1840"/>
      <c r="I583" s="1841"/>
      <c r="J583" s="1840"/>
      <c r="K583" s="1841"/>
      <c r="L583" s="1840"/>
      <c r="M583" s="1841"/>
      <c r="N583" s="1840"/>
      <c r="O583" s="1841"/>
      <c r="P583" s="426"/>
      <c r="Q583" s="426"/>
      <c r="R583" s="426"/>
      <c r="S583" s="426"/>
      <c r="T583" s="426"/>
      <c r="U583" s="426"/>
      <c r="V583" s="426"/>
      <c r="W583" s="426"/>
    </row>
    <row r="584" spans="1:23" hidden="1" x14ac:dyDescent="0.25">
      <c r="A584" s="426"/>
      <c r="B584" s="426"/>
      <c r="C584" s="415" t="s">
        <v>581</v>
      </c>
      <c r="D584" s="460"/>
      <c r="E584" s="414" t="s">
        <v>379</v>
      </c>
      <c r="F584" s="1840"/>
      <c r="G584" s="1841"/>
      <c r="H584" s="1840"/>
      <c r="I584" s="1841"/>
      <c r="J584" s="1840"/>
      <c r="K584" s="1841"/>
      <c r="L584" s="1840"/>
      <c r="M584" s="1841"/>
      <c r="N584" s="1840"/>
      <c r="O584" s="1841"/>
      <c r="P584" s="426"/>
      <c r="Q584" s="426"/>
      <c r="R584" s="426"/>
      <c r="S584" s="426"/>
      <c r="T584" s="426"/>
      <c r="U584" s="426"/>
      <c r="V584" s="426"/>
      <c r="W584" s="426"/>
    </row>
    <row r="585" spans="1:23" hidden="1" x14ac:dyDescent="0.25">
      <c r="A585" s="426"/>
      <c r="B585" s="426"/>
      <c r="C585" s="415"/>
      <c r="D585" s="421" t="str">
        <f>D584&amp;"KW"</f>
        <v>KW</v>
      </c>
      <c r="E585" s="414" t="s">
        <v>380</v>
      </c>
      <c r="F585" s="1840"/>
      <c r="G585" s="1841"/>
      <c r="H585" s="1840"/>
      <c r="I585" s="1841"/>
      <c r="J585" s="1840"/>
      <c r="K585" s="1841"/>
      <c r="L585" s="1840"/>
      <c r="M585" s="1841"/>
      <c r="N585" s="1840"/>
      <c r="O585" s="1841"/>
      <c r="P585" s="426"/>
      <c r="Q585" s="426"/>
      <c r="R585" s="426"/>
      <c r="S585" s="426"/>
      <c r="T585" s="426"/>
      <c r="U585" s="426"/>
      <c r="V585" s="426"/>
      <c r="W585" s="426"/>
    </row>
    <row r="586" spans="1:23" hidden="1" x14ac:dyDescent="0.25">
      <c r="A586" s="426"/>
      <c r="B586" s="426"/>
      <c r="C586" s="415" t="s">
        <v>582</v>
      </c>
      <c r="D586" s="460"/>
      <c r="E586" s="414" t="s">
        <v>379</v>
      </c>
      <c r="F586" s="1840"/>
      <c r="G586" s="1841"/>
      <c r="H586" s="1840"/>
      <c r="I586" s="1841"/>
      <c r="J586" s="1840"/>
      <c r="K586" s="1841"/>
      <c r="L586" s="1840"/>
      <c r="M586" s="1841"/>
      <c r="N586" s="1840"/>
      <c r="O586" s="1841"/>
      <c r="P586" s="426"/>
      <c r="Q586" s="426"/>
      <c r="R586" s="426"/>
      <c r="S586" s="426"/>
      <c r="T586" s="426"/>
      <c r="U586" s="426"/>
      <c r="V586" s="426"/>
      <c r="W586" s="426"/>
    </row>
    <row r="587" spans="1:23" hidden="1" x14ac:dyDescent="0.25">
      <c r="A587" s="426"/>
      <c r="B587" s="426"/>
      <c r="C587" s="415"/>
      <c r="D587" s="421" t="str">
        <f>D586&amp;"KW"</f>
        <v>KW</v>
      </c>
      <c r="E587" s="414" t="s">
        <v>380</v>
      </c>
      <c r="F587" s="1840"/>
      <c r="G587" s="1841"/>
      <c r="H587" s="1840"/>
      <c r="I587" s="1841"/>
      <c r="J587" s="1840"/>
      <c r="K587" s="1841"/>
      <c r="L587" s="1840"/>
      <c r="M587" s="1841"/>
      <c r="N587" s="1840"/>
      <c r="O587" s="1841"/>
      <c r="P587" s="426"/>
      <c r="Q587" s="426"/>
      <c r="R587" s="426"/>
      <c r="S587" s="426"/>
      <c r="T587" s="426"/>
      <c r="U587" s="426"/>
      <c r="V587" s="426"/>
      <c r="W587" s="426"/>
    </row>
    <row r="588" spans="1:23" hidden="1" x14ac:dyDescent="0.25">
      <c r="A588" s="426"/>
      <c r="B588" s="426"/>
      <c r="C588" s="415" t="s">
        <v>583</v>
      </c>
      <c r="D588" s="460"/>
      <c r="E588" s="414" t="s">
        <v>379</v>
      </c>
      <c r="F588" s="1840"/>
      <c r="G588" s="1841"/>
      <c r="H588" s="1840"/>
      <c r="I588" s="1841"/>
      <c r="J588" s="1840"/>
      <c r="K588" s="1841"/>
      <c r="L588" s="1840"/>
      <c r="M588" s="1841"/>
      <c r="N588" s="1840"/>
      <c r="O588" s="1841"/>
      <c r="P588" s="426"/>
      <c r="Q588" s="426"/>
      <c r="R588" s="426"/>
      <c r="S588" s="426"/>
      <c r="T588" s="426"/>
      <c r="U588" s="426"/>
      <c r="V588" s="426"/>
      <c r="W588" s="426"/>
    </row>
    <row r="589" spans="1:23" hidden="1" x14ac:dyDescent="0.25">
      <c r="A589" s="426"/>
      <c r="B589" s="426"/>
      <c r="C589" s="415"/>
      <c r="D589" s="421" t="str">
        <f>D588&amp;"KW"</f>
        <v>KW</v>
      </c>
      <c r="E589" s="414" t="s">
        <v>380</v>
      </c>
      <c r="F589" s="1840"/>
      <c r="G589" s="1841"/>
      <c r="H589" s="1840"/>
      <c r="I589" s="1841"/>
      <c r="J589" s="1840"/>
      <c r="K589" s="1841"/>
      <c r="L589" s="1840"/>
      <c r="M589" s="1841"/>
      <c r="N589" s="1840"/>
      <c r="O589" s="1841"/>
      <c r="P589" s="426"/>
      <c r="Q589" s="426"/>
      <c r="R589" s="426"/>
      <c r="S589" s="426"/>
      <c r="T589" s="426"/>
      <c r="U589" s="426"/>
      <c r="V589" s="426"/>
      <c r="W589" s="426"/>
    </row>
    <row r="590" spans="1:23" hidden="1" x14ac:dyDescent="0.25">
      <c r="A590" s="426"/>
      <c r="B590" s="426"/>
      <c r="C590" s="415" t="s">
        <v>584</v>
      </c>
      <c r="D590" s="460"/>
      <c r="E590" s="414" t="s">
        <v>379</v>
      </c>
      <c r="F590" s="1840"/>
      <c r="G590" s="1841"/>
      <c r="H590" s="1840"/>
      <c r="I590" s="1841"/>
      <c r="J590" s="1840"/>
      <c r="K590" s="1841"/>
      <c r="L590" s="1840"/>
      <c r="M590" s="1841"/>
      <c r="N590" s="1840"/>
      <c r="O590" s="1841"/>
      <c r="P590" s="426"/>
      <c r="Q590" s="426"/>
      <c r="R590" s="426"/>
      <c r="S590" s="426"/>
      <c r="T590" s="426"/>
      <c r="U590" s="426"/>
      <c r="V590" s="426"/>
      <c r="W590" s="426"/>
    </row>
    <row r="591" spans="1:23" hidden="1" x14ac:dyDescent="0.25">
      <c r="A591" s="426"/>
      <c r="B591" s="426"/>
      <c r="C591" s="415"/>
      <c r="D591" s="421" t="str">
        <f>D590&amp;"KW"</f>
        <v>KW</v>
      </c>
      <c r="E591" s="414" t="s">
        <v>380</v>
      </c>
      <c r="F591" s="1840"/>
      <c r="G591" s="1841"/>
      <c r="H591" s="1840"/>
      <c r="I591" s="1841"/>
      <c r="J591" s="1840"/>
      <c r="K591" s="1841"/>
      <c r="L591" s="1840"/>
      <c r="M591" s="1841"/>
      <c r="N591" s="1840"/>
      <c r="O591" s="1841"/>
      <c r="P591" s="426"/>
      <c r="Q591" s="426"/>
      <c r="R591" s="426"/>
      <c r="S591" s="426"/>
      <c r="T591" s="426"/>
      <c r="U591" s="426"/>
      <c r="V591" s="426"/>
      <c r="W591" s="426"/>
    </row>
    <row r="592" spans="1:23" hidden="1" x14ac:dyDescent="0.25">
      <c r="A592" s="426"/>
      <c r="B592" s="426"/>
      <c r="C592" s="415" t="s">
        <v>585</v>
      </c>
      <c r="D592" s="460"/>
      <c r="E592" s="414" t="s">
        <v>379</v>
      </c>
      <c r="F592" s="1840"/>
      <c r="G592" s="1841"/>
      <c r="H592" s="1840"/>
      <c r="I592" s="1841"/>
      <c r="J592" s="1840"/>
      <c r="K592" s="1841"/>
      <c r="L592" s="1840"/>
      <c r="M592" s="1841"/>
      <c r="N592" s="1840"/>
      <c r="O592" s="1841"/>
      <c r="P592" s="426"/>
      <c r="Q592" s="426"/>
      <c r="R592" s="426"/>
      <c r="S592" s="426"/>
      <c r="T592" s="426"/>
      <c r="U592" s="426"/>
      <c r="V592" s="426"/>
      <c r="W592" s="426"/>
    </row>
    <row r="593" spans="1:23" hidden="1" x14ac:dyDescent="0.25">
      <c r="A593" s="426"/>
      <c r="B593" s="426"/>
      <c r="C593" s="415"/>
      <c r="D593" s="421" t="str">
        <f>D592&amp;"KW"</f>
        <v>KW</v>
      </c>
      <c r="E593" s="414" t="s">
        <v>380</v>
      </c>
      <c r="F593" s="1840"/>
      <c r="G593" s="1841"/>
      <c r="H593" s="1840"/>
      <c r="I593" s="1841"/>
      <c r="J593" s="1840"/>
      <c r="K593" s="1841"/>
      <c r="L593" s="1840"/>
      <c r="M593" s="1841"/>
      <c r="N593" s="1840"/>
      <c r="O593" s="1841"/>
      <c r="P593" s="426"/>
      <c r="Q593" s="426"/>
      <c r="R593" s="426"/>
      <c r="S593" s="426"/>
      <c r="T593" s="426"/>
      <c r="U593" s="426"/>
      <c r="V593" s="426"/>
      <c r="W593" s="426"/>
    </row>
    <row r="594" spans="1:23" hidden="1" x14ac:dyDescent="0.25">
      <c r="A594" s="426"/>
      <c r="B594" s="426"/>
      <c r="C594" s="415" t="s">
        <v>586</v>
      </c>
      <c r="D594" s="460"/>
      <c r="E594" s="414" t="s">
        <v>379</v>
      </c>
      <c r="F594" s="1840"/>
      <c r="G594" s="1841"/>
      <c r="H594" s="1840"/>
      <c r="I594" s="1841"/>
      <c r="J594" s="1840"/>
      <c r="K594" s="1841"/>
      <c r="L594" s="1840"/>
      <c r="M594" s="1841"/>
      <c r="N594" s="1840"/>
      <c r="O594" s="1841"/>
      <c r="P594" s="426"/>
      <c r="Q594" s="426"/>
      <c r="R594" s="426"/>
      <c r="S594" s="426"/>
      <c r="T594" s="426"/>
      <c r="U594" s="426"/>
      <c r="V594" s="426"/>
      <c r="W594" s="426"/>
    </row>
    <row r="595" spans="1:23" hidden="1" x14ac:dyDescent="0.25">
      <c r="A595" s="426"/>
      <c r="B595" s="426"/>
      <c r="C595" s="415"/>
      <c r="D595" s="421" t="str">
        <f>D594&amp;"KW"</f>
        <v>KW</v>
      </c>
      <c r="E595" s="414" t="s">
        <v>380</v>
      </c>
      <c r="F595" s="1840"/>
      <c r="G595" s="1841"/>
      <c r="H595" s="1840"/>
      <c r="I595" s="1841"/>
      <c r="J595" s="1840"/>
      <c r="K595" s="1841"/>
      <c r="L595" s="1840"/>
      <c r="M595" s="1841"/>
      <c r="N595" s="1840"/>
      <c r="O595" s="1841"/>
      <c r="P595" s="426"/>
      <c r="Q595" s="426"/>
      <c r="R595" s="426"/>
      <c r="S595" s="426"/>
      <c r="T595" s="426"/>
      <c r="U595" s="426"/>
      <c r="V595" s="426"/>
      <c r="W595" s="426"/>
    </row>
    <row r="596" spans="1:23" hidden="1" x14ac:dyDescent="0.25">
      <c r="A596" s="426"/>
      <c r="B596" s="426"/>
      <c r="C596" s="415" t="s">
        <v>587</v>
      </c>
      <c r="D596" s="460"/>
      <c r="E596" s="414" t="s">
        <v>379</v>
      </c>
      <c r="F596" s="1840"/>
      <c r="G596" s="1841"/>
      <c r="H596" s="1840"/>
      <c r="I596" s="1841"/>
      <c r="J596" s="1840"/>
      <c r="K596" s="1841"/>
      <c r="L596" s="1840"/>
      <c r="M596" s="1841"/>
      <c r="N596" s="1840"/>
      <c r="O596" s="1841"/>
      <c r="P596" s="426"/>
      <c r="Q596" s="426"/>
      <c r="R596" s="426"/>
      <c r="S596" s="426"/>
      <c r="T596" s="426"/>
      <c r="U596" s="426"/>
      <c r="V596" s="426"/>
      <c r="W596" s="426"/>
    </row>
    <row r="597" spans="1:23" hidden="1" x14ac:dyDescent="0.25">
      <c r="A597" s="426"/>
      <c r="B597" s="426"/>
      <c r="C597" s="415"/>
      <c r="D597" s="421" t="str">
        <f>D596&amp;"KW"</f>
        <v>KW</v>
      </c>
      <c r="E597" s="414" t="s">
        <v>380</v>
      </c>
      <c r="F597" s="1840"/>
      <c r="G597" s="1841"/>
      <c r="H597" s="1840"/>
      <c r="I597" s="1841"/>
      <c r="J597" s="1840"/>
      <c r="K597" s="1841"/>
      <c r="L597" s="1840"/>
      <c r="M597" s="1841"/>
      <c r="N597" s="1840"/>
      <c r="O597" s="1841"/>
      <c r="P597" s="426"/>
      <c r="Q597" s="426"/>
      <c r="R597" s="426"/>
      <c r="S597" s="426"/>
      <c r="T597" s="426"/>
      <c r="U597" s="426"/>
      <c r="V597" s="426"/>
      <c r="W597" s="426"/>
    </row>
    <row r="598" spans="1:23" hidden="1" x14ac:dyDescent="0.25">
      <c r="A598" s="426"/>
      <c r="B598" s="426"/>
      <c r="C598" s="415" t="s">
        <v>588</v>
      </c>
      <c r="D598" s="460"/>
      <c r="E598" s="414" t="s">
        <v>379</v>
      </c>
      <c r="F598" s="1840"/>
      <c r="G598" s="1841"/>
      <c r="H598" s="1840"/>
      <c r="I598" s="1841"/>
      <c r="J598" s="1840"/>
      <c r="K598" s="1841"/>
      <c r="L598" s="1840"/>
      <c r="M598" s="1841"/>
      <c r="N598" s="1840"/>
      <c r="O598" s="1841"/>
      <c r="P598" s="426"/>
      <c r="Q598" s="426"/>
      <c r="R598" s="426"/>
      <c r="S598" s="426"/>
      <c r="T598" s="426"/>
      <c r="U598" s="426"/>
      <c r="V598" s="426"/>
      <c r="W598" s="426"/>
    </row>
    <row r="599" spans="1:23" hidden="1" x14ac:dyDescent="0.25">
      <c r="A599" s="426"/>
      <c r="B599" s="426"/>
      <c r="C599" s="415"/>
      <c r="D599" s="421" t="str">
        <f>D598&amp;"KW"</f>
        <v>KW</v>
      </c>
      <c r="E599" s="414" t="s">
        <v>380</v>
      </c>
      <c r="F599" s="1840"/>
      <c r="G599" s="1841"/>
      <c r="H599" s="1840"/>
      <c r="I599" s="1841"/>
      <c r="J599" s="1840"/>
      <c r="K599" s="1841"/>
      <c r="L599" s="1840"/>
      <c r="M599" s="1841"/>
      <c r="N599" s="1840"/>
      <c r="O599" s="1841"/>
      <c r="P599" s="426"/>
      <c r="Q599" s="426"/>
      <c r="R599" s="426"/>
      <c r="S599" s="426"/>
      <c r="T599" s="426"/>
      <c r="U599" s="426"/>
      <c r="V599" s="426"/>
      <c r="W599" s="426"/>
    </row>
    <row r="600" spans="1:23" hidden="1" x14ac:dyDescent="0.25">
      <c r="A600" s="426"/>
      <c r="B600" s="426"/>
      <c r="C600" s="415" t="s">
        <v>589</v>
      </c>
      <c r="D600" s="460"/>
      <c r="E600" s="414" t="s">
        <v>379</v>
      </c>
      <c r="F600" s="1840"/>
      <c r="G600" s="1841"/>
      <c r="H600" s="1840"/>
      <c r="I600" s="1841"/>
      <c r="J600" s="1840"/>
      <c r="K600" s="1841"/>
      <c r="L600" s="1840"/>
      <c r="M600" s="1841"/>
      <c r="N600" s="1840"/>
      <c r="O600" s="1841"/>
      <c r="P600" s="426"/>
      <c r="Q600" s="426"/>
      <c r="R600" s="426"/>
      <c r="S600" s="426"/>
      <c r="T600" s="426"/>
      <c r="U600" s="426"/>
      <c r="V600" s="426"/>
      <c r="W600" s="426"/>
    </row>
    <row r="601" spans="1:23" hidden="1" x14ac:dyDescent="0.25">
      <c r="A601" s="426"/>
      <c r="B601" s="426"/>
      <c r="C601" s="415"/>
      <c r="D601" s="421" t="str">
        <f>D600&amp;"KW"</f>
        <v>KW</v>
      </c>
      <c r="E601" s="414" t="s">
        <v>380</v>
      </c>
      <c r="F601" s="1840"/>
      <c r="G601" s="1841"/>
      <c r="H601" s="1840"/>
      <c r="I601" s="1841"/>
      <c r="J601" s="1840"/>
      <c r="K601" s="1841"/>
      <c r="L601" s="1840"/>
      <c r="M601" s="1841"/>
      <c r="N601" s="1840"/>
      <c r="O601" s="1841"/>
      <c r="P601" s="426"/>
      <c r="Q601" s="426"/>
      <c r="R601" s="426"/>
      <c r="S601" s="426"/>
      <c r="T601" s="426"/>
      <c r="U601" s="426"/>
      <c r="V601" s="426"/>
      <c r="W601" s="426"/>
    </row>
    <row r="602" spans="1:23" hidden="1" x14ac:dyDescent="0.25">
      <c r="A602" s="426"/>
      <c r="B602" s="426"/>
      <c r="C602" s="415" t="s">
        <v>590</v>
      </c>
      <c r="D602" s="460"/>
      <c r="E602" s="414" t="s">
        <v>379</v>
      </c>
      <c r="F602" s="1840"/>
      <c r="G602" s="1841"/>
      <c r="H602" s="1840"/>
      <c r="I602" s="1841"/>
      <c r="J602" s="1840"/>
      <c r="K602" s="1841"/>
      <c r="L602" s="1840"/>
      <c r="M602" s="1841"/>
      <c r="N602" s="1840"/>
      <c r="O602" s="1841"/>
      <c r="P602" s="426"/>
      <c r="Q602" s="426"/>
      <c r="R602" s="426"/>
      <c r="S602" s="426"/>
      <c r="T602" s="426"/>
      <c r="U602" s="426"/>
      <c r="V602" s="426"/>
      <c r="W602" s="426"/>
    </row>
    <row r="603" spans="1:23" hidden="1" x14ac:dyDescent="0.25">
      <c r="A603" s="426"/>
      <c r="B603" s="426"/>
      <c r="C603" s="415"/>
      <c r="D603" s="421" t="str">
        <f>D602&amp;"KW"</f>
        <v>KW</v>
      </c>
      <c r="E603" s="414" t="s">
        <v>380</v>
      </c>
      <c r="F603" s="1840"/>
      <c r="G603" s="1841"/>
      <c r="H603" s="1840"/>
      <c r="I603" s="1841"/>
      <c r="J603" s="1840"/>
      <c r="K603" s="1841"/>
      <c r="L603" s="1840"/>
      <c r="M603" s="1841"/>
      <c r="N603" s="1840"/>
      <c r="O603" s="1841"/>
      <c r="P603" s="426"/>
      <c r="Q603" s="426"/>
      <c r="R603" s="426"/>
      <c r="S603" s="426"/>
      <c r="T603" s="426"/>
      <c r="U603" s="426"/>
      <c r="V603" s="426"/>
      <c r="W603" s="426"/>
    </row>
    <row r="604" spans="1:23" hidden="1" x14ac:dyDescent="0.25">
      <c r="A604" s="426"/>
      <c r="B604" s="426"/>
      <c r="C604" s="415" t="s">
        <v>591</v>
      </c>
      <c r="D604" s="460"/>
      <c r="E604" s="414" t="s">
        <v>379</v>
      </c>
      <c r="F604" s="1840"/>
      <c r="G604" s="1841"/>
      <c r="H604" s="1840"/>
      <c r="I604" s="1841"/>
      <c r="J604" s="1840"/>
      <c r="K604" s="1841"/>
      <c r="L604" s="1840"/>
      <c r="M604" s="1841"/>
      <c r="N604" s="1840"/>
      <c r="O604" s="1841"/>
      <c r="P604" s="426"/>
      <c r="Q604" s="426"/>
      <c r="R604" s="426"/>
      <c r="S604" s="426"/>
      <c r="T604" s="426"/>
      <c r="U604" s="426"/>
      <c r="V604" s="426"/>
      <c r="W604" s="426"/>
    </row>
    <row r="605" spans="1:23" hidden="1" x14ac:dyDescent="0.25">
      <c r="A605" s="426"/>
      <c r="B605" s="426"/>
      <c r="C605" s="415"/>
      <c r="D605" s="421" t="str">
        <f>D604&amp;"KW"</f>
        <v>KW</v>
      </c>
      <c r="E605" s="414" t="s">
        <v>380</v>
      </c>
      <c r="F605" s="1840"/>
      <c r="G605" s="1841"/>
      <c r="H605" s="1840"/>
      <c r="I605" s="1841"/>
      <c r="J605" s="1840"/>
      <c r="K605" s="1841"/>
      <c r="L605" s="1840"/>
      <c r="M605" s="1841"/>
      <c r="N605" s="1840"/>
      <c r="O605" s="1841"/>
      <c r="P605" s="426"/>
      <c r="Q605" s="426"/>
      <c r="R605" s="426"/>
      <c r="S605" s="426"/>
      <c r="T605" s="426"/>
      <c r="U605" s="426"/>
      <c r="V605" s="426"/>
      <c r="W605" s="426"/>
    </row>
    <row r="606" spans="1:23" hidden="1" x14ac:dyDescent="0.25">
      <c r="A606" s="426"/>
      <c r="B606" s="426"/>
      <c r="C606" s="415" t="s">
        <v>592</v>
      </c>
      <c r="D606" s="460"/>
      <c r="E606" s="414" t="s">
        <v>379</v>
      </c>
      <c r="F606" s="1840"/>
      <c r="G606" s="1841"/>
      <c r="H606" s="1840"/>
      <c r="I606" s="1841"/>
      <c r="J606" s="1840"/>
      <c r="K606" s="1841"/>
      <c r="L606" s="1840"/>
      <c r="M606" s="1841"/>
      <c r="N606" s="1840"/>
      <c r="O606" s="1841"/>
      <c r="P606" s="426"/>
      <c r="Q606" s="426"/>
      <c r="R606" s="426"/>
      <c r="S606" s="426"/>
      <c r="T606" s="426"/>
      <c r="U606" s="426"/>
      <c r="V606" s="426"/>
      <c r="W606" s="426"/>
    </row>
    <row r="607" spans="1:23" hidden="1" x14ac:dyDescent="0.25">
      <c r="A607" s="426"/>
      <c r="B607" s="426"/>
      <c r="C607" s="415"/>
      <c r="D607" s="421" t="str">
        <f>D606&amp;"KW"</f>
        <v>KW</v>
      </c>
      <c r="E607" s="414" t="s">
        <v>380</v>
      </c>
      <c r="F607" s="1840"/>
      <c r="G607" s="1841"/>
      <c r="H607" s="1840"/>
      <c r="I607" s="1841"/>
      <c r="J607" s="1840"/>
      <c r="K607" s="1841"/>
      <c r="L607" s="1840"/>
      <c r="M607" s="1841"/>
      <c r="N607" s="1840"/>
      <c r="O607" s="1841"/>
      <c r="P607" s="426"/>
      <c r="Q607" s="426"/>
      <c r="R607" s="426"/>
      <c r="S607" s="426"/>
      <c r="T607" s="426"/>
      <c r="U607" s="426"/>
      <c r="V607" s="426"/>
      <c r="W607" s="426"/>
    </row>
    <row r="608" spans="1:23" hidden="1" x14ac:dyDescent="0.25">
      <c r="A608" s="426"/>
      <c r="B608" s="426"/>
      <c r="C608" s="415" t="s">
        <v>593</v>
      </c>
      <c r="D608" s="460"/>
      <c r="E608" s="414" t="s">
        <v>379</v>
      </c>
      <c r="F608" s="1840"/>
      <c r="G608" s="1841"/>
      <c r="H608" s="1840"/>
      <c r="I608" s="1841"/>
      <c r="J608" s="1840"/>
      <c r="K608" s="1841"/>
      <c r="L608" s="1840"/>
      <c r="M608" s="1841"/>
      <c r="N608" s="1840"/>
      <c r="O608" s="1841"/>
      <c r="P608" s="426"/>
      <c r="Q608" s="426"/>
      <c r="R608" s="426"/>
      <c r="S608" s="426"/>
      <c r="T608" s="426"/>
      <c r="U608" s="426"/>
      <c r="V608" s="426"/>
      <c r="W608" s="426"/>
    </row>
    <row r="609" spans="1:23" hidden="1" x14ac:dyDescent="0.25">
      <c r="A609" s="426"/>
      <c r="B609" s="426"/>
      <c r="C609" s="415"/>
      <c r="D609" s="421" t="str">
        <f>D608&amp;"KW"</f>
        <v>KW</v>
      </c>
      <c r="E609" s="414" t="s">
        <v>380</v>
      </c>
      <c r="F609" s="1840"/>
      <c r="G609" s="1841"/>
      <c r="H609" s="1840"/>
      <c r="I609" s="1841"/>
      <c r="J609" s="1840"/>
      <c r="K609" s="1841"/>
      <c r="L609" s="1840"/>
      <c r="M609" s="1841"/>
      <c r="N609" s="1840"/>
      <c r="O609" s="1841"/>
      <c r="P609" s="426"/>
      <c r="Q609" s="426"/>
      <c r="R609" s="426"/>
      <c r="S609" s="426"/>
      <c r="T609" s="426"/>
      <c r="U609" s="426"/>
      <c r="V609" s="426"/>
      <c r="W609" s="426"/>
    </row>
    <row r="610" spans="1:23" hidden="1" x14ac:dyDescent="0.25">
      <c r="A610" s="426"/>
      <c r="B610" s="426"/>
      <c r="C610" s="415" t="s">
        <v>594</v>
      </c>
      <c r="D610" s="460"/>
      <c r="E610" s="414" t="s">
        <v>379</v>
      </c>
      <c r="F610" s="1840"/>
      <c r="G610" s="1841"/>
      <c r="H610" s="1840"/>
      <c r="I610" s="1841"/>
      <c r="J610" s="1840"/>
      <c r="K610" s="1841"/>
      <c r="L610" s="1840"/>
      <c r="M610" s="1841"/>
      <c r="N610" s="1840"/>
      <c r="O610" s="1841"/>
      <c r="P610" s="426"/>
      <c r="Q610" s="426"/>
      <c r="R610" s="426"/>
      <c r="S610" s="426"/>
      <c r="T610" s="426"/>
      <c r="U610" s="426"/>
      <c r="V610" s="426"/>
      <c r="W610" s="426"/>
    </row>
    <row r="611" spans="1:23" hidden="1" x14ac:dyDescent="0.25">
      <c r="A611" s="426"/>
      <c r="B611" s="426"/>
      <c r="C611" s="415"/>
      <c r="D611" s="421" t="str">
        <f>D610&amp;"KW"</f>
        <v>KW</v>
      </c>
      <c r="E611" s="414" t="s">
        <v>380</v>
      </c>
      <c r="F611" s="1840"/>
      <c r="G611" s="1841"/>
      <c r="H611" s="1840"/>
      <c r="I611" s="1841"/>
      <c r="J611" s="1840"/>
      <c r="K611" s="1841"/>
      <c r="L611" s="1840"/>
      <c r="M611" s="1841"/>
      <c r="N611" s="1840"/>
      <c r="O611" s="1841"/>
      <c r="P611" s="426"/>
      <c r="Q611" s="426"/>
      <c r="R611" s="426"/>
      <c r="S611" s="426"/>
      <c r="T611" s="426"/>
      <c r="U611" s="426"/>
      <c r="V611" s="426"/>
      <c r="W611" s="426"/>
    </row>
    <row r="612" spans="1:23" hidden="1" x14ac:dyDescent="0.25">
      <c r="A612" s="426"/>
      <c r="B612" s="426"/>
      <c r="C612" s="415" t="s">
        <v>595</v>
      </c>
      <c r="D612" s="460"/>
      <c r="E612" s="414" t="s">
        <v>379</v>
      </c>
      <c r="F612" s="1840"/>
      <c r="G612" s="1841"/>
      <c r="H612" s="1840"/>
      <c r="I612" s="1841"/>
      <c r="J612" s="1840"/>
      <c r="K612" s="1841"/>
      <c r="L612" s="1840"/>
      <c r="M612" s="1841"/>
      <c r="N612" s="1840"/>
      <c r="O612" s="1841"/>
      <c r="P612" s="426"/>
      <c r="Q612" s="426"/>
      <c r="R612" s="426"/>
      <c r="S612" s="426"/>
      <c r="T612" s="426"/>
      <c r="U612" s="426"/>
      <c r="V612" s="426"/>
      <c r="W612" s="426"/>
    </row>
    <row r="613" spans="1:23" hidden="1" x14ac:dyDescent="0.25">
      <c r="A613" s="426"/>
      <c r="B613" s="426"/>
      <c r="C613" s="415"/>
      <c r="D613" s="421" t="str">
        <f>D612&amp;"KW"</f>
        <v>KW</v>
      </c>
      <c r="E613" s="414" t="s">
        <v>380</v>
      </c>
      <c r="F613" s="1840"/>
      <c r="G613" s="1841"/>
      <c r="H613" s="1840"/>
      <c r="I613" s="1841"/>
      <c r="J613" s="1840"/>
      <c r="K613" s="1841"/>
      <c r="L613" s="1840"/>
      <c r="M613" s="1841"/>
      <c r="N613" s="1840"/>
      <c r="O613" s="1841"/>
      <c r="P613" s="426"/>
      <c r="Q613" s="426"/>
      <c r="R613" s="426"/>
      <c r="S613" s="426"/>
      <c r="T613" s="426"/>
      <c r="U613" s="426"/>
      <c r="V613" s="426"/>
      <c r="W613" s="426"/>
    </row>
    <row r="614" spans="1:23" hidden="1" x14ac:dyDescent="0.25">
      <c r="A614" s="426"/>
      <c r="B614" s="426"/>
      <c r="C614" s="415" t="s">
        <v>596</v>
      </c>
      <c r="D614" s="460"/>
      <c r="E614" s="414" t="s">
        <v>379</v>
      </c>
      <c r="F614" s="1840"/>
      <c r="G614" s="1841"/>
      <c r="H614" s="1840"/>
      <c r="I614" s="1841"/>
      <c r="J614" s="1840"/>
      <c r="K614" s="1841"/>
      <c r="L614" s="1840"/>
      <c r="M614" s="1841"/>
      <c r="N614" s="1840"/>
      <c r="O614" s="1841"/>
      <c r="P614" s="426"/>
      <c r="Q614" s="426"/>
      <c r="R614" s="426"/>
      <c r="S614" s="426"/>
      <c r="T614" s="426"/>
      <c r="U614" s="426"/>
      <c r="V614" s="426"/>
      <c r="W614" s="426"/>
    </row>
    <row r="615" spans="1:23" hidden="1" x14ac:dyDescent="0.25">
      <c r="A615" s="426"/>
      <c r="B615" s="426"/>
      <c r="C615" s="415"/>
      <c r="D615" s="421" t="str">
        <f>D614&amp;"KW"</f>
        <v>KW</v>
      </c>
      <c r="E615" s="414" t="s">
        <v>380</v>
      </c>
      <c r="F615" s="1840"/>
      <c r="G615" s="1841"/>
      <c r="H615" s="1840"/>
      <c r="I615" s="1841"/>
      <c r="J615" s="1840"/>
      <c r="K615" s="1841"/>
      <c r="L615" s="1840"/>
      <c r="M615" s="1841"/>
      <c r="N615" s="1840"/>
      <c r="O615" s="1841"/>
      <c r="P615" s="426"/>
      <c r="Q615" s="426"/>
      <c r="R615" s="426"/>
      <c r="S615" s="426"/>
      <c r="T615" s="426"/>
      <c r="U615" s="426"/>
      <c r="V615" s="426"/>
      <c r="W615" s="426"/>
    </row>
    <row r="616" spans="1:23" hidden="1" x14ac:dyDescent="0.25">
      <c r="A616" s="426"/>
      <c r="B616" s="426"/>
      <c r="C616" s="415" t="s">
        <v>597</v>
      </c>
      <c r="D616" s="460"/>
      <c r="E616" s="414" t="s">
        <v>379</v>
      </c>
      <c r="F616" s="1840"/>
      <c r="G616" s="1841"/>
      <c r="H616" s="1840"/>
      <c r="I616" s="1841"/>
      <c r="J616" s="1840"/>
      <c r="K616" s="1841"/>
      <c r="L616" s="1840"/>
      <c r="M616" s="1841"/>
      <c r="N616" s="1840"/>
      <c r="O616" s="1841"/>
      <c r="P616" s="426"/>
      <c r="Q616" s="426"/>
      <c r="R616" s="426"/>
      <c r="S616" s="426"/>
      <c r="T616" s="426"/>
      <c r="U616" s="426"/>
      <c r="V616" s="426"/>
      <c r="W616" s="426"/>
    </row>
    <row r="617" spans="1:23" hidden="1" x14ac:dyDescent="0.25">
      <c r="A617" s="426"/>
      <c r="B617" s="426"/>
      <c r="C617" s="415"/>
      <c r="D617" s="421" t="str">
        <f>D616&amp;"KW"</f>
        <v>KW</v>
      </c>
      <c r="E617" s="414" t="s">
        <v>380</v>
      </c>
      <c r="F617" s="1840"/>
      <c r="G617" s="1841"/>
      <c r="H617" s="1840"/>
      <c r="I617" s="1841"/>
      <c r="J617" s="1840"/>
      <c r="K617" s="1841"/>
      <c r="L617" s="1840"/>
      <c r="M617" s="1841"/>
      <c r="N617" s="1840"/>
      <c r="O617" s="1841"/>
      <c r="P617" s="426"/>
      <c r="Q617" s="426"/>
      <c r="R617" s="426"/>
      <c r="S617" s="426"/>
      <c r="T617" s="426"/>
      <c r="U617" s="426"/>
      <c r="V617" s="426"/>
      <c r="W617" s="426"/>
    </row>
    <row r="618" spans="1:23" hidden="1" x14ac:dyDescent="0.25">
      <c r="A618" s="426"/>
      <c r="B618" s="426"/>
      <c r="C618" s="415" t="s">
        <v>598</v>
      </c>
      <c r="D618" s="460"/>
      <c r="E618" s="414" t="s">
        <v>379</v>
      </c>
      <c r="F618" s="1840"/>
      <c r="G618" s="1841"/>
      <c r="H618" s="1840"/>
      <c r="I618" s="1841"/>
      <c r="J618" s="1840"/>
      <c r="K618" s="1841"/>
      <c r="L618" s="1840"/>
      <c r="M618" s="1841"/>
      <c r="N618" s="1840"/>
      <c r="O618" s="1841"/>
      <c r="P618" s="426"/>
      <c r="Q618" s="426"/>
      <c r="R618" s="426"/>
      <c r="S618" s="426"/>
      <c r="T618" s="426"/>
      <c r="U618" s="426"/>
      <c r="V618" s="426"/>
      <c r="W618" s="426"/>
    </row>
    <row r="619" spans="1:23" hidden="1" x14ac:dyDescent="0.25">
      <c r="A619" s="426"/>
      <c r="B619" s="426"/>
      <c r="C619" s="415"/>
      <c r="D619" s="421" t="str">
        <f>D618&amp;"KW"</f>
        <v>KW</v>
      </c>
      <c r="E619" s="414" t="s">
        <v>380</v>
      </c>
      <c r="F619" s="1840"/>
      <c r="G619" s="1841"/>
      <c r="H619" s="1840"/>
      <c r="I619" s="1841"/>
      <c r="J619" s="1840"/>
      <c r="K619" s="1841"/>
      <c r="L619" s="1840"/>
      <c r="M619" s="1841"/>
      <c r="N619" s="1840"/>
      <c r="O619" s="1841"/>
      <c r="P619" s="426"/>
      <c r="Q619" s="426"/>
      <c r="R619" s="426"/>
      <c r="S619" s="426"/>
      <c r="T619" s="426"/>
      <c r="U619" s="426"/>
      <c r="V619" s="426"/>
      <c r="W619" s="426"/>
    </row>
    <row r="620" spans="1:23" hidden="1" x14ac:dyDescent="0.25">
      <c r="A620" s="426"/>
      <c r="B620" s="426"/>
      <c r="C620" s="415" t="s">
        <v>599</v>
      </c>
      <c r="D620" s="460"/>
      <c r="E620" s="414" t="s">
        <v>379</v>
      </c>
      <c r="F620" s="1840"/>
      <c r="G620" s="1841"/>
      <c r="H620" s="1840"/>
      <c r="I620" s="1841"/>
      <c r="J620" s="1840"/>
      <c r="K620" s="1841"/>
      <c r="L620" s="1840"/>
      <c r="M620" s="1841"/>
      <c r="N620" s="1840"/>
      <c r="O620" s="1841"/>
      <c r="P620" s="426"/>
      <c r="Q620" s="426"/>
      <c r="R620" s="426"/>
      <c r="S620" s="426"/>
      <c r="T620" s="426"/>
      <c r="U620" s="426"/>
      <c r="V620" s="426"/>
      <c r="W620" s="426"/>
    </row>
    <row r="621" spans="1:23" hidden="1" x14ac:dyDescent="0.25">
      <c r="A621" s="426"/>
      <c r="B621" s="426"/>
      <c r="C621" s="415"/>
      <c r="D621" s="421" t="str">
        <f>D620&amp;"KW"</f>
        <v>KW</v>
      </c>
      <c r="E621" s="414" t="s">
        <v>380</v>
      </c>
      <c r="F621" s="1840"/>
      <c r="G621" s="1841"/>
      <c r="H621" s="1840"/>
      <c r="I621" s="1841"/>
      <c r="J621" s="1840"/>
      <c r="K621" s="1841"/>
      <c r="L621" s="1840"/>
      <c r="M621" s="1841"/>
      <c r="N621" s="1840"/>
      <c r="O621" s="1841"/>
      <c r="P621" s="426"/>
      <c r="Q621" s="426"/>
      <c r="R621" s="426"/>
      <c r="S621" s="426"/>
      <c r="T621" s="426"/>
      <c r="U621" s="426"/>
      <c r="V621" s="426"/>
      <c r="W621" s="426"/>
    </row>
    <row r="622" spans="1:23" hidden="1" x14ac:dyDescent="0.25">
      <c r="A622" s="426"/>
      <c r="B622" s="426"/>
      <c r="C622" s="415" t="s">
        <v>600</v>
      </c>
      <c r="D622" s="460"/>
      <c r="E622" s="414" t="s">
        <v>379</v>
      </c>
      <c r="F622" s="1840"/>
      <c r="G622" s="1841"/>
      <c r="H622" s="1840"/>
      <c r="I622" s="1841"/>
      <c r="J622" s="1840"/>
      <c r="K622" s="1841"/>
      <c r="L622" s="1840"/>
      <c r="M622" s="1841"/>
      <c r="N622" s="1840"/>
      <c r="O622" s="1841"/>
      <c r="P622" s="426"/>
      <c r="Q622" s="426"/>
      <c r="R622" s="426"/>
      <c r="S622" s="426"/>
      <c r="T622" s="426"/>
      <c r="U622" s="426"/>
      <c r="V622" s="426"/>
      <c r="W622" s="426"/>
    </row>
    <row r="623" spans="1:23" hidden="1" x14ac:dyDescent="0.25">
      <c r="A623" s="426"/>
      <c r="B623" s="426"/>
      <c r="C623" s="415"/>
      <c r="D623" s="421" t="str">
        <f>D622&amp;"KW"</f>
        <v>KW</v>
      </c>
      <c r="E623" s="414" t="s">
        <v>380</v>
      </c>
      <c r="F623" s="1840"/>
      <c r="G623" s="1841"/>
      <c r="H623" s="1840"/>
      <c r="I623" s="1841"/>
      <c r="J623" s="1840"/>
      <c r="K623" s="1841"/>
      <c r="L623" s="1840"/>
      <c r="M623" s="1841"/>
      <c r="N623" s="1840"/>
      <c r="O623" s="1841"/>
      <c r="P623" s="426"/>
      <c r="Q623" s="426"/>
      <c r="R623" s="426"/>
      <c r="S623" s="426"/>
      <c r="T623" s="426"/>
      <c r="U623" s="426"/>
      <c r="V623" s="426"/>
      <c r="W623" s="426"/>
    </row>
    <row r="624" spans="1:23" hidden="1" x14ac:dyDescent="0.25">
      <c r="A624" s="426"/>
      <c r="B624" s="426"/>
      <c r="C624" s="415" t="s">
        <v>601</v>
      </c>
      <c r="D624" s="460"/>
      <c r="E624" s="414" t="s">
        <v>379</v>
      </c>
      <c r="F624" s="1840"/>
      <c r="G624" s="1841"/>
      <c r="H624" s="1840"/>
      <c r="I624" s="1841"/>
      <c r="J624" s="1840"/>
      <c r="K624" s="1841"/>
      <c r="L624" s="1840"/>
      <c r="M624" s="1841"/>
      <c r="N624" s="1840"/>
      <c r="O624" s="1841"/>
      <c r="P624" s="426"/>
      <c r="Q624" s="426"/>
      <c r="R624" s="426"/>
      <c r="S624" s="426"/>
      <c r="T624" s="426"/>
      <c r="U624" s="426"/>
      <c r="V624" s="426"/>
      <c r="W624" s="426"/>
    </row>
    <row r="625" spans="1:23" hidden="1" x14ac:dyDescent="0.25">
      <c r="A625" s="426"/>
      <c r="B625" s="426"/>
      <c r="C625" s="415"/>
      <c r="D625" s="421" t="str">
        <f>D624&amp;"KW"</f>
        <v>KW</v>
      </c>
      <c r="E625" s="414" t="s">
        <v>380</v>
      </c>
      <c r="F625" s="1840"/>
      <c r="G625" s="1841"/>
      <c r="H625" s="1840"/>
      <c r="I625" s="1841"/>
      <c r="J625" s="1840"/>
      <c r="K625" s="1841"/>
      <c r="L625" s="1840"/>
      <c r="M625" s="1841"/>
      <c r="N625" s="1840"/>
      <c r="O625" s="1841"/>
      <c r="P625" s="426"/>
      <c r="Q625" s="426"/>
      <c r="R625" s="426"/>
      <c r="S625" s="426"/>
      <c r="T625" s="426"/>
      <c r="U625" s="426"/>
      <c r="V625" s="426"/>
      <c r="W625" s="426"/>
    </row>
    <row r="626" spans="1:23" hidden="1" x14ac:dyDescent="0.25">
      <c r="A626" s="426"/>
      <c r="B626" s="426"/>
      <c r="C626" s="415" t="s">
        <v>602</v>
      </c>
      <c r="D626" s="460"/>
      <c r="E626" s="414" t="s">
        <v>379</v>
      </c>
      <c r="F626" s="1840"/>
      <c r="G626" s="1841"/>
      <c r="H626" s="1840"/>
      <c r="I626" s="1841"/>
      <c r="J626" s="1840"/>
      <c r="K626" s="1841"/>
      <c r="L626" s="1840"/>
      <c r="M626" s="1841"/>
      <c r="N626" s="1840"/>
      <c r="O626" s="1841"/>
      <c r="P626" s="426"/>
      <c r="Q626" s="426"/>
      <c r="R626" s="426"/>
      <c r="S626" s="426"/>
      <c r="T626" s="426"/>
      <c r="U626" s="426"/>
      <c r="V626" s="426"/>
      <c r="W626" s="426"/>
    </row>
    <row r="627" spans="1:23" hidden="1" x14ac:dyDescent="0.25">
      <c r="A627" s="426"/>
      <c r="B627" s="426"/>
      <c r="C627" s="415"/>
      <c r="D627" s="421" t="str">
        <f>D626&amp;"KW"</f>
        <v>KW</v>
      </c>
      <c r="E627" s="414" t="s">
        <v>380</v>
      </c>
      <c r="F627" s="1840"/>
      <c r="G627" s="1841"/>
      <c r="H627" s="1840"/>
      <c r="I627" s="1841"/>
      <c r="J627" s="1840"/>
      <c r="K627" s="1841"/>
      <c r="L627" s="1840"/>
      <c r="M627" s="1841"/>
      <c r="N627" s="1840"/>
      <c r="O627" s="1841"/>
      <c r="P627" s="426"/>
      <c r="Q627" s="426"/>
      <c r="R627" s="426"/>
      <c r="S627" s="426"/>
      <c r="T627" s="426"/>
      <c r="U627" s="426"/>
      <c r="V627" s="426"/>
      <c r="W627" s="426"/>
    </row>
    <row r="628" spans="1:23" hidden="1" x14ac:dyDescent="0.25">
      <c r="A628" s="426"/>
      <c r="B628" s="426"/>
      <c r="C628" s="415" t="s">
        <v>603</v>
      </c>
      <c r="D628" s="460"/>
      <c r="E628" s="414" t="s">
        <v>379</v>
      </c>
      <c r="F628" s="1840"/>
      <c r="G628" s="1841"/>
      <c r="H628" s="1840"/>
      <c r="I628" s="1841"/>
      <c r="J628" s="1840"/>
      <c r="K628" s="1841"/>
      <c r="L628" s="1840"/>
      <c r="M628" s="1841"/>
      <c r="N628" s="1840"/>
      <c r="O628" s="1841"/>
      <c r="P628" s="426"/>
      <c r="Q628" s="426"/>
      <c r="R628" s="426"/>
      <c r="S628" s="426"/>
      <c r="T628" s="426"/>
      <c r="U628" s="426"/>
      <c r="V628" s="426"/>
      <c r="W628" s="426"/>
    </row>
    <row r="629" spans="1:23" hidden="1" x14ac:dyDescent="0.25">
      <c r="A629" s="426"/>
      <c r="B629" s="426"/>
      <c r="C629" s="415"/>
      <c r="D629" s="421" t="str">
        <f>D628&amp;"KW"</f>
        <v>KW</v>
      </c>
      <c r="E629" s="414" t="s">
        <v>380</v>
      </c>
      <c r="F629" s="1840"/>
      <c r="G629" s="1841"/>
      <c r="H629" s="1840"/>
      <c r="I629" s="1841"/>
      <c r="J629" s="1840"/>
      <c r="K629" s="1841"/>
      <c r="L629" s="1840"/>
      <c r="M629" s="1841"/>
      <c r="N629" s="1840"/>
      <c r="O629" s="1841"/>
      <c r="P629" s="426"/>
      <c r="Q629" s="426"/>
      <c r="R629" s="426"/>
      <c r="S629" s="426"/>
      <c r="T629" s="426"/>
      <c r="U629" s="426"/>
      <c r="V629" s="426"/>
      <c r="W629" s="426"/>
    </row>
    <row r="630" spans="1:23" hidden="1" x14ac:dyDescent="0.25">
      <c r="A630" s="426"/>
      <c r="B630" s="426"/>
      <c r="C630" s="415" t="s">
        <v>604</v>
      </c>
      <c r="D630" s="460"/>
      <c r="E630" s="414" t="s">
        <v>379</v>
      </c>
      <c r="F630" s="1840"/>
      <c r="G630" s="1841"/>
      <c r="H630" s="1840"/>
      <c r="I630" s="1841"/>
      <c r="J630" s="1840"/>
      <c r="K630" s="1841"/>
      <c r="L630" s="1840"/>
      <c r="M630" s="1841"/>
      <c r="N630" s="1840"/>
      <c r="O630" s="1841"/>
      <c r="P630" s="426"/>
      <c r="Q630" s="426"/>
      <c r="R630" s="426"/>
      <c r="S630" s="426"/>
      <c r="T630" s="426"/>
      <c r="U630" s="426"/>
      <c r="V630" s="426"/>
      <c r="W630" s="426"/>
    </row>
    <row r="631" spans="1:23" hidden="1" x14ac:dyDescent="0.25">
      <c r="A631" s="426"/>
      <c r="B631" s="426"/>
      <c r="C631" s="415"/>
      <c r="D631" s="421" t="str">
        <f>D630&amp;"KW"</f>
        <v>KW</v>
      </c>
      <c r="E631" s="414" t="s">
        <v>380</v>
      </c>
      <c r="F631" s="1840"/>
      <c r="G631" s="1841"/>
      <c r="H631" s="1840"/>
      <c r="I631" s="1841"/>
      <c r="J631" s="1840"/>
      <c r="K631" s="1841"/>
      <c r="L631" s="1840"/>
      <c r="M631" s="1841"/>
      <c r="N631" s="1840"/>
      <c r="O631" s="1841"/>
      <c r="P631" s="426"/>
      <c r="Q631" s="426"/>
      <c r="R631" s="426"/>
      <c r="S631" s="426"/>
      <c r="T631" s="426"/>
      <c r="U631" s="426"/>
      <c r="V631" s="426"/>
      <c r="W631" s="426"/>
    </row>
    <row r="632" spans="1:23" hidden="1" x14ac:dyDescent="0.25">
      <c r="A632" s="426"/>
      <c r="B632" s="426"/>
      <c r="C632" s="415" t="s">
        <v>605</v>
      </c>
      <c r="D632" s="460"/>
      <c r="E632" s="414" t="s">
        <v>379</v>
      </c>
      <c r="F632" s="1840"/>
      <c r="G632" s="1841"/>
      <c r="H632" s="1840"/>
      <c r="I632" s="1841"/>
      <c r="J632" s="1840"/>
      <c r="K632" s="1841"/>
      <c r="L632" s="1840"/>
      <c r="M632" s="1841"/>
      <c r="N632" s="1840"/>
      <c r="O632" s="1841"/>
      <c r="P632" s="426"/>
      <c r="Q632" s="426"/>
      <c r="R632" s="426"/>
      <c r="S632" s="426"/>
      <c r="T632" s="426"/>
      <c r="U632" s="426"/>
      <c r="V632" s="426"/>
      <c r="W632" s="426"/>
    </row>
    <row r="633" spans="1:23" hidden="1" x14ac:dyDescent="0.25">
      <c r="A633" s="426"/>
      <c r="B633" s="426"/>
      <c r="C633" s="415"/>
      <c r="D633" s="421" t="str">
        <f>D632&amp;"KW"</f>
        <v>KW</v>
      </c>
      <c r="E633" s="414" t="s">
        <v>380</v>
      </c>
      <c r="F633" s="1840"/>
      <c r="G633" s="1841"/>
      <c r="H633" s="1840"/>
      <c r="I633" s="1841"/>
      <c r="J633" s="1840"/>
      <c r="K633" s="1841"/>
      <c r="L633" s="1840"/>
      <c r="M633" s="1841"/>
      <c r="N633" s="1840"/>
      <c r="O633" s="1841"/>
      <c r="P633" s="426"/>
      <c r="Q633" s="426"/>
      <c r="R633" s="426"/>
      <c r="S633" s="426"/>
      <c r="T633" s="426"/>
      <c r="U633" s="426"/>
      <c r="V633" s="426"/>
      <c r="W633" s="426"/>
    </row>
    <row r="634" spans="1:23" hidden="1" x14ac:dyDescent="0.25">
      <c r="A634" s="426"/>
      <c r="B634" s="426"/>
      <c r="C634" s="415" t="s">
        <v>606</v>
      </c>
      <c r="D634" s="460"/>
      <c r="E634" s="414" t="s">
        <v>379</v>
      </c>
      <c r="F634" s="1840"/>
      <c r="G634" s="1841"/>
      <c r="H634" s="1840"/>
      <c r="I634" s="1841"/>
      <c r="J634" s="1840"/>
      <c r="K634" s="1841"/>
      <c r="L634" s="1840"/>
      <c r="M634" s="1841"/>
      <c r="N634" s="1840"/>
      <c r="O634" s="1841"/>
      <c r="P634" s="426"/>
      <c r="Q634" s="426"/>
      <c r="R634" s="426"/>
      <c r="S634" s="426"/>
      <c r="T634" s="426"/>
      <c r="U634" s="426"/>
      <c r="V634" s="426"/>
      <c r="W634" s="426"/>
    </row>
    <row r="635" spans="1:23" hidden="1" x14ac:dyDescent="0.25">
      <c r="A635" s="426"/>
      <c r="B635" s="426"/>
      <c r="C635" s="415"/>
      <c r="D635" s="421" t="str">
        <f>D634&amp;"KW"</f>
        <v>KW</v>
      </c>
      <c r="E635" s="414" t="s">
        <v>380</v>
      </c>
      <c r="F635" s="1840"/>
      <c r="G635" s="1841"/>
      <c r="H635" s="1840"/>
      <c r="I635" s="1841"/>
      <c r="J635" s="1840"/>
      <c r="K635" s="1841"/>
      <c r="L635" s="1840"/>
      <c r="M635" s="1841"/>
      <c r="N635" s="1840"/>
      <c r="O635" s="1841"/>
      <c r="P635" s="426"/>
      <c r="Q635" s="426"/>
      <c r="R635" s="426"/>
      <c r="S635" s="426"/>
      <c r="T635" s="426"/>
      <c r="U635" s="426"/>
      <c r="V635" s="426"/>
      <c r="W635" s="426"/>
    </row>
    <row r="636" spans="1:23" hidden="1" x14ac:dyDescent="0.25">
      <c r="A636" s="426"/>
      <c r="B636" s="426"/>
      <c r="C636" s="415" t="s">
        <v>607</v>
      </c>
      <c r="D636" s="460"/>
      <c r="E636" s="414" t="s">
        <v>379</v>
      </c>
      <c r="F636" s="1840"/>
      <c r="G636" s="1841"/>
      <c r="H636" s="1840"/>
      <c r="I636" s="1841"/>
      <c r="J636" s="1840"/>
      <c r="K636" s="1841"/>
      <c r="L636" s="1840"/>
      <c r="M636" s="1841"/>
      <c r="N636" s="1840"/>
      <c r="O636" s="1841"/>
      <c r="P636" s="426"/>
      <c r="Q636" s="426"/>
      <c r="R636" s="426"/>
      <c r="S636" s="426"/>
      <c r="T636" s="426"/>
      <c r="U636" s="426"/>
      <c r="V636" s="426"/>
      <c r="W636" s="426"/>
    </row>
    <row r="637" spans="1:23" hidden="1" x14ac:dyDescent="0.25">
      <c r="A637" s="426"/>
      <c r="B637" s="426"/>
      <c r="C637" s="415"/>
      <c r="D637" s="421" t="str">
        <f>D636&amp;"KW"</f>
        <v>KW</v>
      </c>
      <c r="E637" s="414" t="s">
        <v>380</v>
      </c>
      <c r="F637" s="1840"/>
      <c r="G637" s="1841"/>
      <c r="H637" s="1840"/>
      <c r="I637" s="1841"/>
      <c r="J637" s="1840"/>
      <c r="K637" s="1841"/>
      <c r="L637" s="1840"/>
      <c r="M637" s="1841"/>
      <c r="N637" s="1840"/>
      <c r="O637" s="1841"/>
      <c r="P637" s="426"/>
      <c r="Q637" s="426"/>
      <c r="R637" s="426"/>
      <c r="S637" s="426"/>
      <c r="T637" s="426"/>
      <c r="U637" s="426"/>
      <c r="V637" s="426"/>
      <c r="W637" s="426"/>
    </row>
    <row r="638" spans="1:23" hidden="1" x14ac:dyDescent="0.25">
      <c r="A638" s="426"/>
      <c r="B638" s="426"/>
      <c r="C638" s="415" t="s">
        <v>608</v>
      </c>
      <c r="D638" s="460"/>
      <c r="E638" s="414" t="s">
        <v>379</v>
      </c>
      <c r="F638" s="1840"/>
      <c r="G638" s="1841"/>
      <c r="H638" s="1840"/>
      <c r="I638" s="1841"/>
      <c r="J638" s="1840"/>
      <c r="K638" s="1841"/>
      <c r="L638" s="1840"/>
      <c r="M638" s="1841"/>
      <c r="N638" s="1840"/>
      <c r="O638" s="1841"/>
      <c r="P638" s="426"/>
      <c r="Q638" s="426"/>
      <c r="R638" s="426"/>
      <c r="S638" s="426"/>
      <c r="T638" s="426"/>
      <c r="U638" s="426"/>
      <c r="V638" s="426"/>
      <c r="W638" s="426"/>
    </row>
    <row r="639" spans="1:23" hidden="1" x14ac:dyDescent="0.25">
      <c r="A639" s="426"/>
      <c r="B639" s="426"/>
      <c r="C639" s="415"/>
      <c r="D639" s="421" t="str">
        <f>D638&amp;"KW"</f>
        <v>KW</v>
      </c>
      <c r="E639" s="414" t="s">
        <v>380</v>
      </c>
      <c r="F639" s="1840"/>
      <c r="G639" s="1841"/>
      <c r="H639" s="1840"/>
      <c r="I639" s="1841"/>
      <c r="J639" s="1840"/>
      <c r="K639" s="1841"/>
      <c r="L639" s="1840"/>
      <c r="M639" s="1841"/>
      <c r="N639" s="1840"/>
      <c r="O639" s="1841"/>
      <c r="P639" s="426"/>
      <c r="Q639" s="426"/>
      <c r="R639" s="426"/>
      <c r="S639" s="426"/>
      <c r="T639" s="426"/>
      <c r="U639" s="426"/>
      <c r="V639" s="426"/>
      <c r="W639" s="426"/>
    </row>
    <row r="640" spans="1:23" hidden="1" x14ac:dyDescent="0.25">
      <c r="A640" s="426"/>
      <c r="B640" s="426"/>
      <c r="C640" s="415" t="s">
        <v>609</v>
      </c>
      <c r="D640" s="460"/>
      <c r="E640" s="414" t="s">
        <v>379</v>
      </c>
      <c r="F640" s="1840"/>
      <c r="G640" s="1841"/>
      <c r="H640" s="1840"/>
      <c r="I640" s="1841"/>
      <c r="J640" s="1840"/>
      <c r="K640" s="1841"/>
      <c r="L640" s="1840"/>
      <c r="M640" s="1841"/>
      <c r="N640" s="1840"/>
      <c r="O640" s="1841"/>
      <c r="P640" s="426"/>
      <c r="Q640" s="426"/>
      <c r="R640" s="426"/>
      <c r="S640" s="426"/>
      <c r="T640" s="426"/>
      <c r="U640" s="426"/>
      <c r="V640" s="426"/>
      <c r="W640" s="426"/>
    </row>
    <row r="641" spans="1:23" hidden="1" x14ac:dyDescent="0.25">
      <c r="A641" s="426"/>
      <c r="B641" s="426"/>
      <c r="C641" s="415"/>
      <c r="D641" s="421" t="str">
        <f>D640&amp;"KW"</f>
        <v>KW</v>
      </c>
      <c r="E641" s="414" t="s">
        <v>380</v>
      </c>
      <c r="F641" s="1840"/>
      <c r="G641" s="1841"/>
      <c r="H641" s="1840"/>
      <c r="I641" s="1841"/>
      <c r="J641" s="1840"/>
      <c r="K641" s="1841"/>
      <c r="L641" s="1840"/>
      <c r="M641" s="1841"/>
      <c r="N641" s="1840"/>
      <c r="O641" s="1841"/>
      <c r="P641" s="426"/>
      <c r="Q641" s="426"/>
      <c r="R641" s="426"/>
      <c r="S641" s="426"/>
      <c r="T641" s="426"/>
      <c r="U641" s="426"/>
      <c r="V641" s="426"/>
      <c r="W641" s="426"/>
    </row>
    <row r="642" spans="1:23" hidden="1" x14ac:dyDescent="0.25">
      <c r="A642" s="426"/>
      <c r="B642" s="426"/>
      <c r="C642" s="415" t="s">
        <v>610</v>
      </c>
      <c r="D642" s="460"/>
      <c r="E642" s="414" t="s">
        <v>379</v>
      </c>
      <c r="F642" s="1840"/>
      <c r="G642" s="1841"/>
      <c r="H642" s="1840"/>
      <c r="I642" s="1841"/>
      <c r="J642" s="1840"/>
      <c r="K642" s="1841"/>
      <c r="L642" s="1840"/>
      <c r="M642" s="1841"/>
      <c r="N642" s="1840"/>
      <c r="O642" s="1841"/>
      <c r="P642" s="426"/>
      <c r="Q642" s="426"/>
      <c r="R642" s="426"/>
      <c r="S642" s="426"/>
      <c r="T642" s="426"/>
      <c r="U642" s="426"/>
      <c r="V642" s="426"/>
      <c r="W642" s="426"/>
    </row>
    <row r="643" spans="1:23" hidden="1" x14ac:dyDescent="0.25">
      <c r="A643" s="426"/>
      <c r="B643" s="426"/>
      <c r="C643" s="415"/>
      <c r="D643" s="421" t="str">
        <f>D642&amp;"KW"</f>
        <v>KW</v>
      </c>
      <c r="E643" s="414" t="s">
        <v>380</v>
      </c>
      <c r="F643" s="1840"/>
      <c r="G643" s="1841"/>
      <c r="H643" s="1840"/>
      <c r="I643" s="1841"/>
      <c r="J643" s="1840"/>
      <c r="K643" s="1841"/>
      <c r="L643" s="1840"/>
      <c r="M643" s="1841"/>
      <c r="N643" s="1840"/>
      <c r="O643" s="1841"/>
      <c r="P643" s="426"/>
      <c r="Q643" s="426"/>
      <c r="R643" s="426"/>
      <c r="S643" s="426"/>
      <c r="T643" s="426"/>
      <c r="U643" s="426"/>
      <c r="V643" s="426"/>
      <c r="W643" s="426"/>
    </row>
    <row r="644" spans="1:23" hidden="1" x14ac:dyDescent="0.25">
      <c r="A644" s="426"/>
      <c r="B644" s="426"/>
      <c r="C644" s="415" t="s">
        <v>611</v>
      </c>
      <c r="D644" s="460"/>
      <c r="E644" s="414" t="s">
        <v>379</v>
      </c>
      <c r="F644" s="1840"/>
      <c r="G644" s="1841"/>
      <c r="H644" s="1840"/>
      <c r="I644" s="1841"/>
      <c r="J644" s="1840"/>
      <c r="K644" s="1841"/>
      <c r="L644" s="1840"/>
      <c r="M644" s="1841"/>
      <c r="N644" s="1840"/>
      <c r="O644" s="1841"/>
      <c r="P644" s="426"/>
      <c r="Q644" s="426"/>
      <c r="R644" s="426"/>
      <c r="S644" s="426"/>
      <c r="T644" s="426"/>
      <c r="U644" s="426"/>
      <c r="V644" s="426"/>
      <c r="W644" s="426"/>
    </row>
    <row r="645" spans="1:23" hidden="1" x14ac:dyDescent="0.25">
      <c r="A645" s="426"/>
      <c r="B645" s="426"/>
      <c r="C645" s="415"/>
      <c r="D645" s="421" t="str">
        <f>D644&amp;"KW"</f>
        <v>KW</v>
      </c>
      <c r="E645" s="414" t="s">
        <v>380</v>
      </c>
      <c r="F645" s="1840"/>
      <c r="G645" s="1841"/>
      <c r="H645" s="1840"/>
      <c r="I645" s="1841"/>
      <c r="J645" s="1840"/>
      <c r="K645" s="1841"/>
      <c r="L645" s="1840"/>
      <c r="M645" s="1841"/>
      <c r="N645" s="1840"/>
      <c r="O645" s="1841"/>
      <c r="P645" s="426"/>
      <c r="Q645" s="426"/>
      <c r="R645" s="426"/>
      <c r="S645" s="426"/>
      <c r="T645" s="426"/>
      <c r="U645" s="426"/>
      <c r="V645" s="426"/>
      <c r="W645" s="426"/>
    </row>
    <row r="646" spans="1:23" hidden="1" x14ac:dyDescent="0.25">
      <c r="A646" s="426"/>
      <c r="B646" s="426"/>
      <c r="C646" s="415" t="s">
        <v>612</v>
      </c>
      <c r="D646" s="460"/>
      <c r="E646" s="414" t="s">
        <v>379</v>
      </c>
      <c r="F646" s="1840"/>
      <c r="G646" s="1841"/>
      <c r="H646" s="1840"/>
      <c r="I646" s="1841"/>
      <c r="J646" s="1840"/>
      <c r="K646" s="1841"/>
      <c r="L646" s="1840"/>
      <c r="M646" s="1841"/>
      <c r="N646" s="1840"/>
      <c r="O646" s="1841"/>
      <c r="P646" s="426"/>
      <c r="Q646" s="426"/>
      <c r="R646" s="426"/>
      <c r="S646" s="426"/>
      <c r="T646" s="426"/>
      <c r="U646" s="426"/>
      <c r="V646" s="426"/>
      <c r="W646" s="426"/>
    </row>
    <row r="647" spans="1:23" hidden="1" x14ac:dyDescent="0.25">
      <c r="A647" s="426"/>
      <c r="B647" s="426"/>
      <c r="C647" s="415"/>
      <c r="D647" s="421" t="str">
        <f>D646&amp;"KW"</f>
        <v>KW</v>
      </c>
      <c r="E647" s="414" t="s">
        <v>380</v>
      </c>
      <c r="F647" s="1840"/>
      <c r="G647" s="1841"/>
      <c r="H647" s="1840"/>
      <c r="I647" s="1841"/>
      <c r="J647" s="1840"/>
      <c r="K647" s="1841"/>
      <c r="L647" s="1840"/>
      <c r="M647" s="1841"/>
      <c r="N647" s="1840"/>
      <c r="O647" s="1841"/>
      <c r="P647" s="426"/>
      <c r="Q647" s="426"/>
      <c r="R647" s="426"/>
      <c r="S647" s="426"/>
      <c r="T647" s="426"/>
      <c r="U647" s="426"/>
      <c r="V647" s="426"/>
      <c r="W647" s="426"/>
    </row>
    <row r="648" spans="1:23" hidden="1" x14ac:dyDescent="0.25">
      <c r="A648" s="426"/>
      <c r="B648" s="426"/>
      <c r="C648" s="415" t="s">
        <v>613</v>
      </c>
      <c r="D648" s="460"/>
      <c r="E648" s="414" t="s">
        <v>379</v>
      </c>
      <c r="F648" s="1840"/>
      <c r="G648" s="1841"/>
      <c r="H648" s="1840"/>
      <c r="I648" s="1841"/>
      <c r="J648" s="1840"/>
      <c r="K648" s="1841"/>
      <c r="L648" s="1840"/>
      <c r="M648" s="1841"/>
      <c r="N648" s="1840"/>
      <c r="O648" s="1841"/>
      <c r="P648" s="426"/>
      <c r="Q648" s="426"/>
      <c r="R648" s="426"/>
      <c r="S648" s="426"/>
      <c r="T648" s="426"/>
      <c r="U648" s="426"/>
      <c r="V648" s="426"/>
      <c r="W648" s="426"/>
    </row>
    <row r="649" spans="1:23" hidden="1" x14ac:dyDescent="0.25">
      <c r="A649" s="426"/>
      <c r="B649" s="426"/>
      <c r="C649" s="415"/>
      <c r="D649" s="421" t="str">
        <f>D648&amp;"KW"</f>
        <v>KW</v>
      </c>
      <c r="E649" s="414" t="s">
        <v>380</v>
      </c>
      <c r="F649" s="1840"/>
      <c r="G649" s="1841"/>
      <c r="H649" s="1840"/>
      <c r="I649" s="1841"/>
      <c r="J649" s="1840"/>
      <c r="K649" s="1841"/>
      <c r="L649" s="1840"/>
      <c r="M649" s="1841"/>
      <c r="N649" s="1840"/>
      <c r="O649" s="1841"/>
      <c r="P649" s="426"/>
      <c r="Q649" s="426"/>
      <c r="R649" s="426"/>
      <c r="S649" s="426"/>
      <c r="T649" s="426"/>
      <c r="U649" s="426"/>
      <c r="V649" s="426"/>
      <c r="W649" s="426"/>
    </row>
    <row r="650" spans="1:23" hidden="1" x14ac:dyDescent="0.25">
      <c r="A650" s="426"/>
      <c r="B650" s="426"/>
      <c r="C650" s="415" t="s">
        <v>614</v>
      </c>
      <c r="D650" s="460"/>
      <c r="E650" s="414" t="s">
        <v>379</v>
      </c>
      <c r="F650" s="1840"/>
      <c r="G650" s="1841"/>
      <c r="H650" s="1840"/>
      <c r="I650" s="1841"/>
      <c r="J650" s="1840"/>
      <c r="K650" s="1841"/>
      <c r="L650" s="1840"/>
      <c r="M650" s="1841"/>
      <c r="N650" s="1840"/>
      <c r="O650" s="1841"/>
      <c r="P650" s="426"/>
      <c r="Q650" s="426"/>
      <c r="R650" s="426"/>
      <c r="S650" s="426"/>
      <c r="T650" s="426"/>
      <c r="U650" s="426"/>
      <c r="V650" s="426"/>
      <c r="W650" s="426"/>
    </row>
    <row r="651" spans="1:23" hidden="1" x14ac:dyDescent="0.25">
      <c r="A651" s="426"/>
      <c r="B651" s="426"/>
      <c r="C651" s="415"/>
      <c r="D651" s="421" t="str">
        <f>D650&amp;"KW"</f>
        <v>KW</v>
      </c>
      <c r="E651" s="414" t="s">
        <v>380</v>
      </c>
      <c r="F651" s="1840"/>
      <c r="G651" s="1841"/>
      <c r="H651" s="1840"/>
      <c r="I651" s="1841"/>
      <c r="J651" s="1840"/>
      <c r="K651" s="1841"/>
      <c r="L651" s="1840"/>
      <c r="M651" s="1841"/>
      <c r="N651" s="1840"/>
      <c r="O651" s="1841"/>
      <c r="P651" s="426"/>
      <c r="Q651" s="426"/>
      <c r="R651" s="426"/>
      <c r="S651" s="426"/>
      <c r="T651" s="426"/>
      <c r="U651" s="426"/>
      <c r="V651" s="426"/>
      <c r="W651" s="426"/>
    </row>
    <row r="652" spans="1:23" hidden="1" x14ac:dyDescent="0.25">
      <c r="A652" s="426"/>
      <c r="B652" s="426"/>
      <c r="C652" s="415" t="s">
        <v>615</v>
      </c>
      <c r="D652" s="460"/>
      <c r="E652" s="414" t="s">
        <v>379</v>
      </c>
      <c r="F652" s="1840"/>
      <c r="G652" s="1841"/>
      <c r="H652" s="1840"/>
      <c r="I652" s="1841"/>
      <c r="J652" s="1840"/>
      <c r="K652" s="1841"/>
      <c r="L652" s="1840"/>
      <c r="M652" s="1841"/>
      <c r="N652" s="1840"/>
      <c r="O652" s="1841"/>
      <c r="P652" s="426"/>
      <c r="Q652" s="426"/>
      <c r="R652" s="426"/>
      <c r="S652" s="426"/>
      <c r="T652" s="426"/>
      <c r="U652" s="426"/>
      <c r="V652" s="426"/>
      <c r="W652" s="426"/>
    </row>
    <row r="653" spans="1:23" hidden="1" x14ac:dyDescent="0.25">
      <c r="A653" s="426"/>
      <c r="B653" s="426"/>
      <c r="C653" s="415"/>
      <c r="D653" s="421" t="str">
        <f>D652&amp;"KW"</f>
        <v>KW</v>
      </c>
      <c r="E653" s="414" t="s">
        <v>380</v>
      </c>
      <c r="F653" s="1840"/>
      <c r="G653" s="1841"/>
      <c r="H653" s="1840"/>
      <c r="I653" s="1841"/>
      <c r="J653" s="1840"/>
      <c r="K653" s="1841"/>
      <c r="L653" s="1840"/>
      <c r="M653" s="1841"/>
      <c r="N653" s="1840"/>
      <c r="O653" s="1841"/>
      <c r="P653" s="426"/>
      <c r="Q653" s="426"/>
      <c r="R653" s="426"/>
      <c r="S653" s="426"/>
      <c r="T653" s="426"/>
      <c r="U653" s="426"/>
      <c r="V653" s="426"/>
      <c r="W653" s="426"/>
    </row>
    <row r="654" spans="1:23" hidden="1" x14ac:dyDescent="0.25">
      <c r="A654" s="426"/>
      <c r="B654" s="426"/>
      <c r="C654" s="415" t="s">
        <v>616</v>
      </c>
      <c r="D654" s="460"/>
      <c r="E654" s="414" t="s">
        <v>379</v>
      </c>
      <c r="F654" s="1840"/>
      <c r="G654" s="1841"/>
      <c r="H654" s="1840"/>
      <c r="I654" s="1841"/>
      <c r="J654" s="1840"/>
      <c r="K654" s="1841"/>
      <c r="L654" s="1840"/>
      <c r="M654" s="1841"/>
      <c r="N654" s="1840"/>
      <c r="O654" s="1841"/>
      <c r="P654" s="426"/>
      <c r="Q654" s="426"/>
      <c r="R654" s="426"/>
      <c r="S654" s="426"/>
      <c r="T654" s="426"/>
      <c r="U654" s="426"/>
      <c r="V654" s="426"/>
      <c r="W654" s="426"/>
    </row>
    <row r="655" spans="1:23" hidden="1" x14ac:dyDescent="0.25">
      <c r="A655" s="426"/>
      <c r="B655" s="426"/>
      <c r="C655" s="415"/>
      <c r="D655" s="421" t="str">
        <f>D654&amp;"KW"</f>
        <v>KW</v>
      </c>
      <c r="E655" s="414" t="s">
        <v>380</v>
      </c>
      <c r="F655" s="1840"/>
      <c r="G655" s="1841"/>
      <c r="H655" s="1840"/>
      <c r="I655" s="1841"/>
      <c r="J655" s="1840"/>
      <c r="K655" s="1841"/>
      <c r="L655" s="1840"/>
      <c r="M655" s="1841"/>
      <c r="N655" s="1840"/>
      <c r="O655" s="1841"/>
      <c r="P655" s="426"/>
      <c r="Q655" s="426"/>
      <c r="R655" s="426"/>
      <c r="S655" s="426"/>
      <c r="T655" s="426"/>
      <c r="U655" s="426"/>
      <c r="V655" s="426"/>
      <c r="W655" s="426"/>
    </row>
    <row r="656" spans="1:23" hidden="1" x14ac:dyDescent="0.25">
      <c r="A656" s="426"/>
      <c r="B656" s="426"/>
      <c r="C656" s="415" t="s">
        <v>617</v>
      </c>
      <c r="D656" s="460"/>
      <c r="E656" s="414" t="s">
        <v>379</v>
      </c>
      <c r="F656" s="1840"/>
      <c r="G656" s="1841"/>
      <c r="H656" s="1840"/>
      <c r="I656" s="1841"/>
      <c r="J656" s="1840"/>
      <c r="K656" s="1841"/>
      <c r="L656" s="1840"/>
      <c r="M656" s="1841"/>
      <c r="N656" s="1840"/>
      <c r="O656" s="1841"/>
      <c r="P656" s="426"/>
      <c r="Q656" s="426"/>
      <c r="R656" s="426"/>
      <c r="S656" s="426"/>
      <c r="T656" s="426"/>
      <c r="U656" s="426"/>
      <c r="V656" s="426"/>
      <c r="W656" s="426"/>
    </row>
    <row r="657" spans="1:23" hidden="1" x14ac:dyDescent="0.25">
      <c r="A657" s="426"/>
      <c r="B657" s="426"/>
      <c r="C657" s="415"/>
      <c r="D657" s="421" t="str">
        <f>D656&amp;"KW"</f>
        <v>KW</v>
      </c>
      <c r="E657" s="414" t="s">
        <v>380</v>
      </c>
      <c r="F657" s="1840"/>
      <c r="G657" s="1841"/>
      <c r="H657" s="1840"/>
      <c r="I657" s="1841"/>
      <c r="J657" s="1840"/>
      <c r="K657" s="1841"/>
      <c r="L657" s="1840"/>
      <c r="M657" s="1841"/>
      <c r="N657" s="1840"/>
      <c r="O657" s="1841"/>
      <c r="P657" s="426"/>
      <c r="Q657" s="426"/>
      <c r="R657" s="426"/>
      <c r="S657" s="426"/>
      <c r="T657" s="426"/>
      <c r="U657" s="426"/>
      <c r="V657" s="426"/>
      <c r="W657" s="426"/>
    </row>
    <row r="658" spans="1:23" hidden="1" x14ac:dyDescent="0.25">
      <c r="A658" s="426"/>
      <c r="B658" s="426"/>
      <c r="C658" s="415" t="s">
        <v>618</v>
      </c>
      <c r="D658" s="460"/>
      <c r="E658" s="414" t="s">
        <v>379</v>
      </c>
      <c r="F658" s="1840"/>
      <c r="G658" s="1841"/>
      <c r="H658" s="1840"/>
      <c r="I658" s="1841"/>
      <c r="J658" s="1840"/>
      <c r="K658" s="1841"/>
      <c r="L658" s="1840"/>
      <c r="M658" s="1841"/>
      <c r="N658" s="1840"/>
      <c r="O658" s="1841"/>
      <c r="P658" s="426"/>
      <c r="Q658" s="426"/>
      <c r="R658" s="426"/>
      <c r="S658" s="426"/>
      <c r="T658" s="426"/>
      <c r="U658" s="426"/>
      <c r="V658" s="426"/>
      <c r="W658" s="426"/>
    </row>
    <row r="659" spans="1:23" hidden="1" x14ac:dyDescent="0.25">
      <c r="A659" s="426"/>
      <c r="B659" s="426"/>
      <c r="C659" s="415"/>
      <c r="D659" s="421" t="str">
        <f>D658&amp;"KW"</f>
        <v>KW</v>
      </c>
      <c r="E659" s="414" t="s">
        <v>380</v>
      </c>
      <c r="F659" s="1840"/>
      <c r="G659" s="1841"/>
      <c r="H659" s="1840"/>
      <c r="I659" s="1841"/>
      <c r="J659" s="1840"/>
      <c r="K659" s="1841"/>
      <c r="L659" s="1840"/>
      <c r="M659" s="1841"/>
      <c r="N659" s="1840"/>
      <c r="O659" s="1841"/>
      <c r="P659" s="426"/>
      <c r="Q659" s="426"/>
      <c r="R659" s="426"/>
      <c r="S659" s="426"/>
      <c r="T659" s="426"/>
      <c r="U659" s="426"/>
      <c r="V659" s="426"/>
      <c r="W659" s="426"/>
    </row>
    <row r="660" spans="1:23" hidden="1" x14ac:dyDescent="0.25">
      <c r="A660" s="426"/>
      <c r="B660" s="426"/>
      <c r="C660" s="415" t="s">
        <v>619</v>
      </c>
      <c r="D660" s="460"/>
      <c r="E660" s="414" t="s">
        <v>379</v>
      </c>
      <c r="F660" s="1840"/>
      <c r="G660" s="1841"/>
      <c r="H660" s="1840"/>
      <c r="I660" s="1841"/>
      <c r="J660" s="1840"/>
      <c r="K660" s="1841"/>
      <c r="L660" s="1840"/>
      <c r="M660" s="1841"/>
      <c r="N660" s="1840"/>
      <c r="O660" s="1841"/>
      <c r="P660" s="426"/>
      <c r="Q660" s="426"/>
      <c r="R660" s="426"/>
      <c r="S660" s="426"/>
      <c r="T660" s="426"/>
      <c r="U660" s="426"/>
      <c r="V660" s="426"/>
      <c r="W660" s="426"/>
    </row>
    <row r="661" spans="1:23" hidden="1" x14ac:dyDescent="0.25">
      <c r="A661" s="426"/>
      <c r="B661" s="426"/>
      <c r="C661" s="415"/>
      <c r="D661" s="421" t="str">
        <f>D660&amp;"KW"</f>
        <v>KW</v>
      </c>
      <c r="E661" s="414" t="s">
        <v>380</v>
      </c>
      <c r="F661" s="1840"/>
      <c r="G661" s="1841"/>
      <c r="H661" s="1840"/>
      <c r="I661" s="1841"/>
      <c r="J661" s="1840"/>
      <c r="K661" s="1841"/>
      <c r="L661" s="1840"/>
      <c r="M661" s="1841"/>
      <c r="N661" s="1840"/>
      <c r="O661" s="1841"/>
      <c r="P661" s="426"/>
      <c r="Q661" s="426"/>
      <c r="R661" s="426"/>
      <c r="S661" s="426"/>
      <c r="T661" s="426"/>
      <c r="U661" s="426"/>
      <c r="V661" s="426"/>
      <c r="W661" s="426"/>
    </row>
    <row r="662" spans="1:23" hidden="1" x14ac:dyDescent="0.25">
      <c r="A662" s="426"/>
      <c r="B662" s="426"/>
      <c r="C662" s="415" t="s">
        <v>620</v>
      </c>
      <c r="D662" s="460"/>
      <c r="E662" s="414" t="s">
        <v>379</v>
      </c>
      <c r="F662" s="1840"/>
      <c r="G662" s="1841"/>
      <c r="H662" s="1840"/>
      <c r="I662" s="1841"/>
      <c r="J662" s="1840"/>
      <c r="K662" s="1841"/>
      <c r="L662" s="1840"/>
      <c r="M662" s="1841"/>
      <c r="N662" s="1840"/>
      <c r="O662" s="1841"/>
      <c r="P662" s="426"/>
      <c r="Q662" s="426"/>
      <c r="R662" s="426"/>
      <c r="S662" s="426"/>
      <c r="T662" s="426"/>
      <c r="U662" s="426"/>
      <c r="V662" s="426"/>
      <c r="W662" s="426"/>
    </row>
    <row r="663" spans="1:23" hidden="1" x14ac:dyDescent="0.25">
      <c r="A663" s="426"/>
      <c r="B663" s="426"/>
      <c r="C663" s="415"/>
      <c r="D663" s="421" t="str">
        <f>D662&amp;"KW"</f>
        <v>KW</v>
      </c>
      <c r="E663" s="414" t="s">
        <v>380</v>
      </c>
      <c r="F663" s="1840"/>
      <c r="G663" s="1841"/>
      <c r="H663" s="1840"/>
      <c r="I663" s="1841"/>
      <c r="J663" s="1840"/>
      <c r="K663" s="1841"/>
      <c r="L663" s="1840"/>
      <c r="M663" s="1841"/>
      <c r="N663" s="1840"/>
      <c r="O663" s="1841"/>
      <c r="P663" s="426"/>
      <c r="Q663" s="426"/>
      <c r="R663" s="426"/>
      <c r="S663" s="426"/>
      <c r="T663" s="426"/>
      <c r="U663" s="426"/>
      <c r="V663" s="426"/>
      <c r="W663" s="426"/>
    </row>
    <row r="664" spans="1:23" hidden="1" x14ac:dyDescent="0.25">
      <c r="A664" s="426"/>
      <c r="B664" s="426"/>
      <c r="C664" s="415" t="s">
        <v>621</v>
      </c>
      <c r="D664" s="460"/>
      <c r="E664" s="414" t="s">
        <v>379</v>
      </c>
      <c r="F664" s="1840"/>
      <c r="G664" s="1841"/>
      <c r="H664" s="1840"/>
      <c r="I664" s="1841"/>
      <c r="J664" s="1840"/>
      <c r="K664" s="1841"/>
      <c r="L664" s="1840"/>
      <c r="M664" s="1841"/>
      <c r="N664" s="1840"/>
      <c r="O664" s="1841"/>
      <c r="P664" s="426"/>
      <c r="Q664" s="426"/>
      <c r="R664" s="426"/>
      <c r="S664" s="426"/>
      <c r="T664" s="426"/>
      <c r="U664" s="426"/>
      <c r="V664" s="426"/>
      <c r="W664" s="426"/>
    </row>
    <row r="665" spans="1:23" hidden="1" x14ac:dyDescent="0.25">
      <c r="A665" s="426"/>
      <c r="B665" s="426"/>
      <c r="C665" s="415"/>
      <c r="D665" s="421" t="str">
        <f>D664&amp;"KW"</f>
        <v>KW</v>
      </c>
      <c r="E665" s="414" t="s">
        <v>380</v>
      </c>
      <c r="F665" s="1840"/>
      <c r="G665" s="1841"/>
      <c r="H665" s="1840"/>
      <c r="I665" s="1841"/>
      <c r="J665" s="1840"/>
      <c r="K665" s="1841"/>
      <c r="L665" s="1840"/>
      <c r="M665" s="1841"/>
      <c r="N665" s="1840"/>
      <c r="O665" s="1841"/>
      <c r="P665" s="426"/>
      <c r="Q665" s="426"/>
      <c r="R665" s="426"/>
      <c r="S665" s="426"/>
      <c r="T665" s="426"/>
      <c r="U665" s="426"/>
      <c r="V665" s="426"/>
      <c r="W665" s="426"/>
    </row>
    <row r="666" spans="1:23" hidden="1" x14ac:dyDescent="0.25">
      <c r="A666" s="426"/>
      <c r="B666" s="426"/>
      <c r="C666" s="415" t="s">
        <v>622</v>
      </c>
      <c r="D666" s="460"/>
      <c r="E666" s="414" t="s">
        <v>379</v>
      </c>
      <c r="F666" s="1840"/>
      <c r="G666" s="1841"/>
      <c r="H666" s="1840"/>
      <c r="I666" s="1841"/>
      <c r="J666" s="1840"/>
      <c r="K666" s="1841"/>
      <c r="L666" s="1840"/>
      <c r="M666" s="1841"/>
      <c r="N666" s="1840"/>
      <c r="O666" s="1841"/>
      <c r="P666" s="426"/>
      <c r="Q666" s="426"/>
      <c r="R666" s="426"/>
      <c r="S666" s="426"/>
      <c r="T666" s="426"/>
      <c r="U666" s="426"/>
      <c r="V666" s="426"/>
      <c r="W666" s="426"/>
    </row>
    <row r="667" spans="1:23" hidden="1" x14ac:dyDescent="0.25">
      <c r="A667" s="426"/>
      <c r="B667" s="426"/>
      <c r="C667" s="415"/>
      <c r="D667" s="421" t="str">
        <f>D666&amp;"KW"</f>
        <v>KW</v>
      </c>
      <c r="E667" s="414" t="s">
        <v>380</v>
      </c>
      <c r="F667" s="1840"/>
      <c r="G667" s="1841"/>
      <c r="H667" s="1840"/>
      <c r="I667" s="1841"/>
      <c r="J667" s="1840"/>
      <c r="K667" s="1841"/>
      <c r="L667" s="1840"/>
      <c r="M667" s="1841"/>
      <c r="N667" s="1840"/>
      <c r="O667" s="1841"/>
      <c r="P667" s="426"/>
      <c r="Q667" s="426"/>
      <c r="R667" s="426"/>
      <c r="S667" s="426"/>
      <c r="T667" s="426"/>
      <c r="U667" s="426"/>
      <c r="V667" s="426"/>
      <c r="W667" s="426"/>
    </row>
    <row r="668" spans="1:23" hidden="1" x14ac:dyDescent="0.25">
      <c r="A668" s="426"/>
      <c r="B668" s="426"/>
      <c r="C668" s="415" t="s">
        <v>623</v>
      </c>
      <c r="D668" s="460"/>
      <c r="E668" s="414" t="s">
        <v>379</v>
      </c>
      <c r="F668" s="1840"/>
      <c r="G668" s="1841"/>
      <c r="H668" s="1840"/>
      <c r="I668" s="1841"/>
      <c r="J668" s="1840"/>
      <c r="K668" s="1841"/>
      <c r="L668" s="1840"/>
      <c r="M668" s="1841"/>
      <c r="N668" s="1840"/>
      <c r="O668" s="1841"/>
      <c r="P668" s="426"/>
      <c r="Q668" s="426"/>
      <c r="R668" s="426"/>
      <c r="S668" s="426"/>
      <c r="T668" s="426"/>
      <c r="U668" s="426"/>
      <c r="V668" s="426"/>
      <c r="W668" s="426"/>
    </row>
    <row r="669" spans="1:23" hidden="1" x14ac:dyDescent="0.25">
      <c r="A669" s="426"/>
      <c r="B669" s="426"/>
      <c r="C669" s="415"/>
      <c r="D669" s="421" t="str">
        <f>D668&amp;"KW"</f>
        <v>KW</v>
      </c>
      <c r="E669" s="414" t="s">
        <v>380</v>
      </c>
      <c r="F669" s="1840"/>
      <c r="G669" s="1841"/>
      <c r="H669" s="1840"/>
      <c r="I669" s="1841"/>
      <c r="J669" s="1840"/>
      <c r="K669" s="1841"/>
      <c r="L669" s="1840"/>
      <c r="M669" s="1841"/>
      <c r="N669" s="1840"/>
      <c r="O669" s="1841"/>
      <c r="P669" s="426"/>
      <c r="Q669" s="426"/>
      <c r="R669" s="426"/>
      <c r="S669" s="426"/>
      <c r="T669" s="426"/>
      <c r="U669" s="426"/>
      <c r="V669" s="426"/>
      <c r="W669" s="426"/>
    </row>
    <row r="670" spans="1:23" hidden="1" x14ac:dyDescent="0.25">
      <c r="A670" s="426"/>
      <c r="B670" s="426"/>
      <c r="C670" s="415" t="s">
        <v>624</v>
      </c>
      <c r="D670" s="460"/>
      <c r="E670" s="414" t="s">
        <v>379</v>
      </c>
      <c r="F670" s="1840"/>
      <c r="G670" s="1841"/>
      <c r="H670" s="1840"/>
      <c r="I670" s="1841"/>
      <c r="J670" s="1840"/>
      <c r="K670" s="1841"/>
      <c r="L670" s="1840"/>
      <c r="M670" s="1841"/>
      <c r="N670" s="1840"/>
      <c r="O670" s="1841"/>
      <c r="P670" s="426"/>
      <c r="Q670" s="426"/>
      <c r="R670" s="426"/>
      <c r="S670" s="426"/>
      <c r="T670" s="426"/>
      <c r="U670" s="426"/>
      <c r="V670" s="426"/>
      <c r="W670" s="426"/>
    </row>
    <row r="671" spans="1:23" hidden="1" x14ac:dyDescent="0.25">
      <c r="A671" s="426"/>
      <c r="B671" s="426"/>
      <c r="C671" s="415"/>
      <c r="D671" s="421" t="str">
        <f>D670&amp;"KW"</f>
        <v>KW</v>
      </c>
      <c r="E671" s="414" t="s">
        <v>380</v>
      </c>
      <c r="F671" s="1840"/>
      <c r="G671" s="1841"/>
      <c r="H671" s="1840"/>
      <c r="I671" s="1841"/>
      <c r="J671" s="1840"/>
      <c r="K671" s="1841"/>
      <c r="L671" s="1840"/>
      <c r="M671" s="1841"/>
      <c r="N671" s="1840"/>
      <c r="O671" s="1841"/>
      <c r="P671" s="426"/>
      <c r="Q671" s="426"/>
      <c r="R671" s="426"/>
      <c r="S671" s="426"/>
      <c r="T671" s="426"/>
      <c r="U671" s="426"/>
      <c r="V671" s="426"/>
      <c r="W671" s="426"/>
    </row>
    <row r="672" spans="1:23" hidden="1" x14ac:dyDescent="0.25">
      <c r="A672" s="426"/>
      <c r="B672" s="426"/>
      <c r="C672" s="415" t="s">
        <v>625</v>
      </c>
      <c r="D672" s="460"/>
      <c r="E672" s="414" t="s">
        <v>379</v>
      </c>
      <c r="F672" s="1840"/>
      <c r="G672" s="1841"/>
      <c r="H672" s="1840"/>
      <c r="I672" s="1841"/>
      <c r="J672" s="1840"/>
      <c r="K672" s="1841"/>
      <c r="L672" s="1840"/>
      <c r="M672" s="1841"/>
      <c r="N672" s="1840"/>
      <c r="O672" s="1841"/>
      <c r="P672" s="426"/>
      <c r="Q672" s="426"/>
      <c r="R672" s="426"/>
      <c r="S672" s="426"/>
      <c r="T672" s="426"/>
      <c r="U672" s="426"/>
      <c r="V672" s="426"/>
      <c r="W672" s="426"/>
    </row>
    <row r="673" spans="1:23" hidden="1" x14ac:dyDescent="0.25">
      <c r="A673" s="426"/>
      <c r="B673" s="426"/>
      <c r="C673" s="415"/>
      <c r="D673" s="421" t="str">
        <f>D672&amp;"KW"</f>
        <v>KW</v>
      </c>
      <c r="E673" s="414" t="s">
        <v>380</v>
      </c>
      <c r="F673" s="1840"/>
      <c r="G673" s="1841"/>
      <c r="H673" s="1840"/>
      <c r="I673" s="1841"/>
      <c r="J673" s="1840"/>
      <c r="K673" s="1841"/>
      <c r="L673" s="1840"/>
      <c r="M673" s="1841"/>
      <c r="N673" s="1840"/>
      <c r="O673" s="1841"/>
      <c r="P673" s="426"/>
      <c r="Q673" s="426"/>
      <c r="R673" s="426"/>
      <c r="S673" s="426"/>
      <c r="T673" s="426"/>
      <c r="U673" s="426"/>
      <c r="V673" s="426"/>
      <c r="W673" s="426"/>
    </row>
    <row r="674" spans="1:23" hidden="1" x14ac:dyDescent="0.25">
      <c r="A674" s="426"/>
      <c r="B674" s="426"/>
      <c r="C674" s="415" t="s">
        <v>626</v>
      </c>
      <c r="D674" s="460"/>
      <c r="E674" s="414" t="s">
        <v>379</v>
      </c>
      <c r="F674" s="1840"/>
      <c r="G674" s="1841"/>
      <c r="H674" s="1840"/>
      <c r="I674" s="1841"/>
      <c r="J674" s="1840"/>
      <c r="K674" s="1841"/>
      <c r="L674" s="1840"/>
      <c r="M674" s="1841"/>
      <c r="N674" s="1840"/>
      <c r="O674" s="1841"/>
      <c r="P674" s="426"/>
      <c r="Q674" s="426"/>
      <c r="R674" s="426"/>
      <c r="S674" s="426"/>
      <c r="T674" s="426"/>
      <c r="U674" s="426"/>
      <c r="V674" s="426"/>
      <c r="W674" s="426"/>
    </row>
    <row r="675" spans="1:23" hidden="1" x14ac:dyDescent="0.25">
      <c r="A675" s="426"/>
      <c r="B675" s="426"/>
      <c r="C675" s="415"/>
      <c r="D675" s="421" t="str">
        <f>D674&amp;"KW"</f>
        <v>KW</v>
      </c>
      <c r="E675" s="414" t="s">
        <v>380</v>
      </c>
      <c r="F675" s="1840"/>
      <c r="G675" s="1841"/>
      <c r="H675" s="1840"/>
      <c r="I675" s="1841"/>
      <c r="J675" s="1840"/>
      <c r="K675" s="1841"/>
      <c r="L675" s="1840"/>
      <c r="M675" s="1841"/>
      <c r="N675" s="1840"/>
      <c r="O675" s="1841"/>
      <c r="P675" s="426"/>
      <c r="Q675" s="426"/>
      <c r="R675" s="426"/>
      <c r="S675" s="426"/>
      <c r="T675" s="426"/>
      <c r="U675" s="426"/>
      <c r="V675" s="426"/>
      <c r="W675" s="426"/>
    </row>
    <row r="676" spans="1:23" hidden="1" x14ac:dyDescent="0.25">
      <c r="A676" s="426"/>
      <c r="B676" s="426"/>
      <c r="C676" s="415" t="s">
        <v>627</v>
      </c>
      <c r="D676" s="460"/>
      <c r="E676" s="414" t="s">
        <v>379</v>
      </c>
      <c r="F676" s="1840"/>
      <c r="G676" s="1841"/>
      <c r="H676" s="1840"/>
      <c r="I676" s="1841"/>
      <c r="J676" s="1840"/>
      <c r="K676" s="1841"/>
      <c r="L676" s="1840"/>
      <c r="M676" s="1841"/>
      <c r="N676" s="1840"/>
      <c r="O676" s="1841"/>
      <c r="P676" s="426"/>
      <c r="Q676" s="426"/>
      <c r="R676" s="426"/>
      <c r="S676" s="426"/>
      <c r="T676" s="426"/>
      <c r="U676" s="426"/>
      <c r="V676" s="426"/>
      <c r="W676" s="426"/>
    </row>
    <row r="677" spans="1:23" hidden="1" x14ac:dyDescent="0.25">
      <c r="A677" s="426"/>
      <c r="B677" s="426"/>
      <c r="C677" s="415"/>
      <c r="D677" s="421" t="str">
        <f>D676&amp;"KW"</f>
        <v>KW</v>
      </c>
      <c r="E677" s="414" t="s">
        <v>380</v>
      </c>
      <c r="F677" s="1840"/>
      <c r="G677" s="1841"/>
      <c r="H677" s="1840"/>
      <c r="I677" s="1841"/>
      <c r="J677" s="1840"/>
      <c r="K677" s="1841"/>
      <c r="L677" s="1840"/>
      <c r="M677" s="1841"/>
      <c r="N677" s="1840"/>
      <c r="O677" s="1841"/>
      <c r="P677" s="426"/>
      <c r="Q677" s="426"/>
      <c r="R677" s="426"/>
      <c r="S677" s="426"/>
      <c r="T677" s="426"/>
      <c r="U677" s="426"/>
      <c r="V677" s="426"/>
      <c r="W677" s="426"/>
    </row>
    <row r="678" spans="1:23" hidden="1" x14ac:dyDescent="0.25">
      <c r="A678" s="426"/>
      <c r="B678" s="426"/>
      <c r="C678" s="415" t="s">
        <v>628</v>
      </c>
      <c r="D678" s="460"/>
      <c r="E678" s="414" t="s">
        <v>379</v>
      </c>
      <c r="F678" s="1840"/>
      <c r="G678" s="1841"/>
      <c r="H678" s="1840"/>
      <c r="I678" s="1841"/>
      <c r="J678" s="1840"/>
      <c r="K678" s="1841"/>
      <c r="L678" s="1840"/>
      <c r="M678" s="1841"/>
      <c r="N678" s="1840"/>
      <c r="O678" s="1841"/>
      <c r="P678" s="426"/>
      <c r="Q678" s="426"/>
      <c r="R678" s="426"/>
      <c r="S678" s="426"/>
      <c r="T678" s="426"/>
      <c r="U678" s="426"/>
      <c r="V678" s="426"/>
      <c r="W678" s="426"/>
    </row>
    <row r="679" spans="1:23" hidden="1" x14ac:dyDescent="0.25">
      <c r="A679" s="426"/>
      <c r="B679" s="426"/>
      <c r="C679" s="415"/>
      <c r="D679" s="421" t="str">
        <f>D678&amp;"KW"</f>
        <v>KW</v>
      </c>
      <c r="E679" s="414" t="s">
        <v>380</v>
      </c>
      <c r="F679" s="1840"/>
      <c r="G679" s="1841"/>
      <c r="H679" s="1840"/>
      <c r="I679" s="1841"/>
      <c r="J679" s="1840"/>
      <c r="K679" s="1841"/>
      <c r="L679" s="1840"/>
      <c r="M679" s="1841"/>
      <c r="N679" s="1840"/>
      <c r="O679" s="1841"/>
      <c r="P679" s="426"/>
      <c r="Q679" s="426"/>
      <c r="R679" s="426"/>
      <c r="S679" s="426"/>
      <c r="T679" s="426"/>
      <c r="U679" s="426"/>
      <c r="V679" s="426"/>
      <c r="W679" s="426"/>
    </row>
    <row r="680" spans="1:23" hidden="1" x14ac:dyDescent="0.25">
      <c r="A680" s="426"/>
      <c r="B680" s="426"/>
      <c r="C680" s="415" t="s">
        <v>629</v>
      </c>
      <c r="D680" s="460"/>
      <c r="E680" s="414" t="s">
        <v>379</v>
      </c>
      <c r="F680" s="1840"/>
      <c r="G680" s="1841"/>
      <c r="H680" s="1840"/>
      <c r="I680" s="1841"/>
      <c r="J680" s="1840"/>
      <c r="K680" s="1841"/>
      <c r="L680" s="1840"/>
      <c r="M680" s="1841"/>
      <c r="N680" s="1840"/>
      <c r="O680" s="1841"/>
      <c r="P680" s="426"/>
      <c r="Q680" s="426"/>
      <c r="R680" s="426"/>
      <c r="S680" s="426"/>
      <c r="T680" s="426"/>
      <c r="U680" s="426"/>
      <c r="V680" s="426"/>
      <c r="W680" s="426"/>
    </row>
    <row r="681" spans="1:23" hidden="1" x14ac:dyDescent="0.25">
      <c r="A681" s="426"/>
      <c r="B681" s="426"/>
      <c r="C681" s="415"/>
      <c r="D681" s="421" t="str">
        <f>D680&amp;"KW"</f>
        <v>KW</v>
      </c>
      <c r="E681" s="414" t="s">
        <v>380</v>
      </c>
      <c r="F681" s="1840"/>
      <c r="G681" s="1841"/>
      <c r="H681" s="1840"/>
      <c r="I681" s="1841"/>
      <c r="J681" s="1840"/>
      <c r="K681" s="1841"/>
      <c r="L681" s="1840"/>
      <c r="M681" s="1841"/>
      <c r="N681" s="1840"/>
      <c r="O681" s="1841"/>
      <c r="P681" s="426"/>
      <c r="Q681" s="426"/>
      <c r="R681" s="426"/>
      <c r="S681" s="426"/>
      <c r="T681" s="426"/>
      <c r="U681" s="426"/>
      <c r="V681" s="426"/>
      <c r="W681" s="426"/>
    </row>
    <row r="682" spans="1:23" hidden="1" x14ac:dyDescent="0.25">
      <c r="A682" s="426"/>
      <c r="B682" s="426"/>
      <c r="C682" s="415" t="s">
        <v>630</v>
      </c>
      <c r="D682" s="460"/>
      <c r="E682" s="414" t="s">
        <v>379</v>
      </c>
      <c r="F682" s="1840"/>
      <c r="G682" s="1841"/>
      <c r="H682" s="1840"/>
      <c r="I682" s="1841"/>
      <c r="J682" s="1840"/>
      <c r="K682" s="1841"/>
      <c r="L682" s="1840"/>
      <c r="M682" s="1841"/>
      <c r="N682" s="1840"/>
      <c r="O682" s="1841"/>
      <c r="P682" s="426"/>
      <c r="Q682" s="426"/>
      <c r="R682" s="426"/>
      <c r="S682" s="426"/>
      <c r="T682" s="426"/>
      <c r="U682" s="426"/>
      <c r="V682" s="426"/>
      <c r="W682" s="426"/>
    </row>
    <row r="683" spans="1:23" hidden="1" x14ac:dyDescent="0.25">
      <c r="A683" s="426"/>
      <c r="B683" s="426"/>
      <c r="C683" s="415"/>
      <c r="D683" s="421" t="str">
        <f>D682&amp;"KW"</f>
        <v>KW</v>
      </c>
      <c r="E683" s="414" t="s">
        <v>380</v>
      </c>
      <c r="F683" s="1840"/>
      <c r="G683" s="1841"/>
      <c r="H683" s="1840"/>
      <c r="I683" s="1841"/>
      <c r="J683" s="1840"/>
      <c r="K683" s="1841"/>
      <c r="L683" s="1840"/>
      <c r="M683" s="1841"/>
      <c r="N683" s="1840"/>
      <c r="O683" s="1841"/>
      <c r="P683" s="426"/>
      <c r="Q683" s="426"/>
      <c r="R683" s="426"/>
      <c r="S683" s="426"/>
      <c r="T683" s="426"/>
      <c r="U683" s="426"/>
      <c r="V683" s="426"/>
      <c r="W683" s="426"/>
    </row>
    <row r="684" spans="1:23" hidden="1" x14ac:dyDescent="0.25">
      <c r="A684" s="426"/>
      <c r="B684" s="426"/>
      <c r="C684" s="415" t="s">
        <v>631</v>
      </c>
      <c r="D684" s="460"/>
      <c r="E684" s="414" t="s">
        <v>379</v>
      </c>
      <c r="F684" s="1840"/>
      <c r="G684" s="1841"/>
      <c r="H684" s="1840"/>
      <c r="I684" s="1841"/>
      <c r="J684" s="1840"/>
      <c r="K684" s="1841"/>
      <c r="L684" s="1840"/>
      <c r="M684" s="1841"/>
      <c r="N684" s="1840"/>
      <c r="O684" s="1841"/>
      <c r="P684" s="426"/>
      <c r="Q684" s="426"/>
      <c r="R684" s="426"/>
      <c r="S684" s="426"/>
      <c r="T684" s="426"/>
      <c r="U684" s="426"/>
      <c r="V684" s="426"/>
      <c r="W684" s="426"/>
    </row>
    <row r="685" spans="1:23" hidden="1" x14ac:dyDescent="0.25">
      <c r="A685" s="426"/>
      <c r="B685" s="426"/>
      <c r="C685" s="415"/>
      <c r="D685" s="421" t="str">
        <f>D684&amp;"KW"</f>
        <v>KW</v>
      </c>
      <c r="E685" s="414" t="s">
        <v>380</v>
      </c>
      <c r="F685" s="1840"/>
      <c r="G685" s="1841"/>
      <c r="H685" s="1840"/>
      <c r="I685" s="1841"/>
      <c r="J685" s="1840"/>
      <c r="K685" s="1841"/>
      <c r="L685" s="1840"/>
      <c r="M685" s="1841"/>
      <c r="N685" s="1840"/>
      <c r="O685" s="1841"/>
      <c r="P685" s="426"/>
      <c r="Q685" s="426"/>
      <c r="R685" s="426"/>
      <c r="S685" s="426"/>
      <c r="T685" s="426"/>
      <c r="U685" s="426"/>
      <c r="V685" s="426"/>
      <c r="W685" s="426"/>
    </row>
    <row r="686" spans="1:23" hidden="1" x14ac:dyDescent="0.25">
      <c r="A686" s="426"/>
      <c r="B686" s="426"/>
      <c r="C686" s="415" t="s">
        <v>632</v>
      </c>
      <c r="D686" s="460"/>
      <c r="E686" s="414" t="s">
        <v>379</v>
      </c>
      <c r="F686" s="1840"/>
      <c r="G686" s="1841"/>
      <c r="H686" s="1840"/>
      <c r="I686" s="1841"/>
      <c r="J686" s="1840"/>
      <c r="K686" s="1841"/>
      <c r="L686" s="1840"/>
      <c r="M686" s="1841"/>
      <c r="N686" s="1840"/>
      <c r="O686" s="1841"/>
      <c r="P686" s="426"/>
      <c r="Q686" s="426"/>
      <c r="R686" s="426"/>
      <c r="S686" s="426"/>
      <c r="T686" s="426"/>
      <c r="U686" s="426"/>
      <c r="V686" s="426"/>
      <c r="W686" s="426"/>
    </row>
    <row r="687" spans="1:23" hidden="1" x14ac:dyDescent="0.25">
      <c r="A687" s="426"/>
      <c r="B687" s="426"/>
      <c r="C687" s="415"/>
      <c r="D687" s="421" t="str">
        <f>D686&amp;"KW"</f>
        <v>KW</v>
      </c>
      <c r="E687" s="414" t="s">
        <v>380</v>
      </c>
      <c r="F687" s="1840"/>
      <c r="G687" s="1841"/>
      <c r="H687" s="1840"/>
      <c r="I687" s="1841"/>
      <c r="J687" s="1840"/>
      <c r="K687" s="1841"/>
      <c r="L687" s="1840"/>
      <c r="M687" s="1841"/>
      <c r="N687" s="1840"/>
      <c r="O687" s="1841"/>
      <c r="P687" s="426"/>
      <c r="Q687" s="426"/>
      <c r="R687" s="426"/>
      <c r="S687" s="426"/>
      <c r="T687" s="426"/>
      <c r="U687" s="426"/>
      <c r="V687" s="426"/>
      <c r="W687" s="426"/>
    </row>
    <row r="688" spans="1:23" hidden="1" x14ac:dyDescent="0.25">
      <c r="A688" s="426"/>
      <c r="B688" s="426"/>
      <c r="C688" s="415" t="s">
        <v>633</v>
      </c>
      <c r="D688" s="460"/>
      <c r="E688" s="414" t="s">
        <v>379</v>
      </c>
      <c r="F688" s="1840"/>
      <c r="G688" s="1841"/>
      <c r="H688" s="1840"/>
      <c r="I688" s="1841"/>
      <c r="J688" s="1840"/>
      <c r="K688" s="1841"/>
      <c r="L688" s="1840"/>
      <c r="M688" s="1841"/>
      <c r="N688" s="1840"/>
      <c r="O688" s="1841"/>
      <c r="P688" s="426"/>
      <c r="Q688" s="426"/>
      <c r="R688" s="426"/>
      <c r="S688" s="426"/>
      <c r="T688" s="426"/>
      <c r="U688" s="426"/>
      <c r="V688" s="426"/>
      <c r="W688" s="426"/>
    </row>
    <row r="689" spans="1:23" hidden="1" x14ac:dyDescent="0.25">
      <c r="A689" s="426"/>
      <c r="B689" s="426"/>
      <c r="C689" s="415"/>
      <c r="D689" s="421" t="str">
        <f>D688&amp;"KW"</f>
        <v>KW</v>
      </c>
      <c r="E689" s="414" t="s">
        <v>380</v>
      </c>
      <c r="F689" s="1840"/>
      <c r="G689" s="1841"/>
      <c r="H689" s="1840"/>
      <c r="I689" s="1841"/>
      <c r="J689" s="1840"/>
      <c r="K689" s="1841"/>
      <c r="L689" s="1840"/>
      <c r="M689" s="1841"/>
      <c r="N689" s="1840"/>
      <c r="O689" s="1841"/>
      <c r="P689" s="426"/>
      <c r="Q689" s="426"/>
      <c r="R689" s="426"/>
      <c r="S689" s="426"/>
      <c r="T689" s="426"/>
      <c r="U689" s="426"/>
      <c r="V689" s="426"/>
      <c r="W689" s="426"/>
    </row>
    <row r="690" spans="1:23" hidden="1" x14ac:dyDescent="0.25">
      <c r="A690" s="426"/>
      <c r="B690" s="426"/>
      <c r="C690" s="415" t="s">
        <v>634</v>
      </c>
      <c r="D690" s="460"/>
      <c r="E690" s="414" t="s">
        <v>379</v>
      </c>
      <c r="F690" s="1840"/>
      <c r="G690" s="1841"/>
      <c r="H690" s="1840"/>
      <c r="I690" s="1841"/>
      <c r="J690" s="1840"/>
      <c r="K690" s="1841"/>
      <c r="L690" s="1840"/>
      <c r="M690" s="1841"/>
      <c r="N690" s="1840"/>
      <c r="O690" s="1841"/>
      <c r="P690" s="426"/>
      <c r="Q690" s="426"/>
      <c r="R690" s="426"/>
      <c r="S690" s="426"/>
      <c r="T690" s="426"/>
      <c r="U690" s="426"/>
      <c r="V690" s="426"/>
      <c r="W690" s="426"/>
    </row>
    <row r="691" spans="1:23" hidden="1" x14ac:dyDescent="0.25">
      <c r="A691" s="426"/>
      <c r="B691" s="426"/>
      <c r="C691" s="415"/>
      <c r="D691" s="421" t="str">
        <f>D690&amp;"KW"</f>
        <v>KW</v>
      </c>
      <c r="E691" s="414" t="s">
        <v>380</v>
      </c>
      <c r="F691" s="1840"/>
      <c r="G691" s="1841"/>
      <c r="H691" s="1840"/>
      <c r="I691" s="1841"/>
      <c r="J691" s="1840"/>
      <c r="K691" s="1841"/>
      <c r="L691" s="1840"/>
      <c r="M691" s="1841"/>
      <c r="N691" s="1840"/>
      <c r="O691" s="1841"/>
      <c r="P691" s="426"/>
      <c r="Q691" s="426"/>
      <c r="R691" s="426"/>
      <c r="S691" s="426"/>
      <c r="T691" s="426"/>
      <c r="U691" s="426"/>
      <c r="V691" s="426"/>
      <c r="W691" s="426"/>
    </row>
    <row r="692" spans="1:23" hidden="1" x14ac:dyDescent="0.25">
      <c r="A692" s="426"/>
      <c r="B692" s="426"/>
      <c r="C692" s="415" t="s">
        <v>635</v>
      </c>
      <c r="D692" s="460"/>
      <c r="E692" s="414" t="s">
        <v>379</v>
      </c>
      <c r="F692" s="1840"/>
      <c r="G692" s="1841"/>
      <c r="H692" s="1840"/>
      <c r="I692" s="1841"/>
      <c r="J692" s="1840"/>
      <c r="K692" s="1841"/>
      <c r="L692" s="1840"/>
      <c r="M692" s="1841"/>
      <c r="N692" s="1840"/>
      <c r="O692" s="1841"/>
      <c r="P692" s="426"/>
      <c r="Q692" s="426"/>
      <c r="R692" s="426"/>
      <c r="S692" s="426"/>
      <c r="T692" s="426"/>
      <c r="U692" s="426"/>
      <c r="V692" s="426"/>
      <c r="W692" s="426"/>
    </row>
    <row r="693" spans="1:23" hidden="1" x14ac:dyDescent="0.25">
      <c r="A693" s="426"/>
      <c r="B693" s="426"/>
      <c r="C693" s="415"/>
      <c r="D693" s="421" t="str">
        <f>D692&amp;"KW"</f>
        <v>KW</v>
      </c>
      <c r="E693" s="414" t="s">
        <v>380</v>
      </c>
      <c r="F693" s="1840"/>
      <c r="G693" s="1841"/>
      <c r="H693" s="1840"/>
      <c r="I693" s="1841"/>
      <c r="J693" s="1840"/>
      <c r="K693" s="1841"/>
      <c r="L693" s="1840"/>
      <c r="M693" s="1841"/>
      <c r="N693" s="1840"/>
      <c r="O693" s="1841"/>
      <c r="P693" s="426"/>
      <c r="Q693" s="426"/>
      <c r="R693" s="426"/>
      <c r="S693" s="426"/>
      <c r="T693" s="426"/>
      <c r="U693" s="426"/>
      <c r="V693" s="426"/>
      <c r="W693" s="426"/>
    </row>
    <row r="694" spans="1:23" hidden="1" x14ac:dyDescent="0.25">
      <c r="A694" s="426"/>
      <c r="B694" s="426"/>
      <c r="C694" s="415" t="s">
        <v>636</v>
      </c>
      <c r="D694" s="460"/>
      <c r="E694" s="414" t="s">
        <v>379</v>
      </c>
      <c r="F694" s="1840"/>
      <c r="G694" s="1841"/>
      <c r="H694" s="1840"/>
      <c r="I694" s="1841"/>
      <c r="J694" s="1840"/>
      <c r="K694" s="1841"/>
      <c r="L694" s="1840"/>
      <c r="M694" s="1841"/>
      <c r="N694" s="1840"/>
      <c r="O694" s="1841"/>
      <c r="P694" s="426"/>
      <c r="Q694" s="426"/>
      <c r="R694" s="426"/>
      <c r="S694" s="426"/>
      <c r="T694" s="426"/>
      <c r="U694" s="426"/>
      <c r="V694" s="426"/>
      <c r="W694" s="426"/>
    </row>
    <row r="695" spans="1:23" hidden="1" x14ac:dyDescent="0.25">
      <c r="A695" s="426"/>
      <c r="B695" s="426"/>
      <c r="C695" s="415"/>
      <c r="D695" s="421" t="str">
        <f>D694&amp;"KW"</f>
        <v>KW</v>
      </c>
      <c r="E695" s="414" t="s">
        <v>380</v>
      </c>
      <c r="F695" s="1840"/>
      <c r="G695" s="1841"/>
      <c r="H695" s="1840"/>
      <c r="I695" s="1841"/>
      <c r="J695" s="1840"/>
      <c r="K695" s="1841"/>
      <c r="L695" s="1840"/>
      <c r="M695" s="1841"/>
      <c r="N695" s="1840"/>
      <c r="O695" s="1841"/>
      <c r="P695" s="426"/>
      <c r="Q695" s="426"/>
      <c r="R695" s="426"/>
      <c r="S695" s="426"/>
      <c r="T695" s="426"/>
      <c r="U695" s="426"/>
      <c r="V695" s="426"/>
      <c r="W695" s="426"/>
    </row>
    <row r="696" spans="1:23" hidden="1" x14ac:dyDescent="0.25">
      <c r="A696" s="426"/>
      <c r="B696" s="426"/>
      <c r="C696" s="415" t="s">
        <v>637</v>
      </c>
      <c r="D696" s="460"/>
      <c r="E696" s="414" t="s">
        <v>379</v>
      </c>
      <c r="F696" s="1840"/>
      <c r="G696" s="1841"/>
      <c r="H696" s="1840"/>
      <c r="I696" s="1841"/>
      <c r="J696" s="1840"/>
      <c r="K696" s="1841"/>
      <c r="L696" s="1840"/>
      <c r="M696" s="1841"/>
      <c r="N696" s="1840"/>
      <c r="O696" s="1841"/>
      <c r="P696" s="426"/>
      <c r="Q696" s="426"/>
      <c r="R696" s="426"/>
      <c r="S696" s="426"/>
      <c r="T696" s="426"/>
      <c r="U696" s="426"/>
      <c r="V696" s="426"/>
      <c r="W696" s="426"/>
    </row>
    <row r="697" spans="1:23" hidden="1" x14ac:dyDescent="0.25">
      <c r="A697" s="426"/>
      <c r="B697" s="426"/>
      <c r="C697" s="415"/>
      <c r="D697" s="421" t="str">
        <f>D696&amp;"KW"</f>
        <v>KW</v>
      </c>
      <c r="E697" s="414" t="s">
        <v>380</v>
      </c>
      <c r="F697" s="1840"/>
      <c r="G697" s="1841"/>
      <c r="H697" s="1840"/>
      <c r="I697" s="1841"/>
      <c r="J697" s="1840"/>
      <c r="K697" s="1841"/>
      <c r="L697" s="1840"/>
      <c r="M697" s="1841"/>
      <c r="N697" s="1840"/>
      <c r="O697" s="1841"/>
      <c r="P697" s="426"/>
      <c r="Q697" s="426"/>
      <c r="R697" s="426"/>
      <c r="S697" s="426"/>
      <c r="T697" s="426"/>
      <c r="U697" s="426"/>
      <c r="V697" s="426"/>
      <c r="W697" s="426"/>
    </row>
    <row r="698" spans="1:23" hidden="1" x14ac:dyDescent="0.25">
      <c r="A698" s="426"/>
      <c r="B698" s="426"/>
      <c r="C698" s="415" t="s">
        <v>638</v>
      </c>
      <c r="D698" s="460"/>
      <c r="E698" s="414" t="s">
        <v>379</v>
      </c>
      <c r="F698" s="1840"/>
      <c r="G698" s="1841"/>
      <c r="H698" s="1840"/>
      <c r="I698" s="1841"/>
      <c r="J698" s="1840"/>
      <c r="K698" s="1841"/>
      <c r="L698" s="1840"/>
      <c r="M698" s="1841"/>
      <c r="N698" s="1840"/>
      <c r="O698" s="1841"/>
      <c r="P698" s="426"/>
      <c r="Q698" s="426"/>
      <c r="R698" s="426"/>
      <c r="S698" s="426"/>
      <c r="T698" s="426"/>
      <c r="U698" s="426"/>
      <c r="V698" s="426"/>
      <c r="W698" s="426"/>
    </row>
    <row r="699" spans="1:23" hidden="1" x14ac:dyDescent="0.25">
      <c r="A699" s="426"/>
      <c r="B699" s="426"/>
      <c r="C699" s="415"/>
      <c r="D699" s="421" t="str">
        <f>D698&amp;"KW"</f>
        <v>KW</v>
      </c>
      <c r="E699" s="414" t="s">
        <v>380</v>
      </c>
      <c r="F699" s="1840"/>
      <c r="G699" s="1841"/>
      <c r="H699" s="1840"/>
      <c r="I699" s="1841"/>
      <c r="J699" s="1840"/>
      <c r="K699" s="1841"/>
      <c r="L699" s="1840"/>
      <c r="M699" s="1841"/>
      <c r="N699" s="1840"/>
      <c r="O699" s="1841"/>
      <c r="P699" s="426"/>
      <c r="Q699" s="426"/>
      <c r="R699" s="426"/>
      <c r="S699" s="426"/>
      <c r="T699" s="426"/>
      <c r="U699" s="426"/>
      <c r="V699" s="426"/>
      <c r="W699" s="426"/>
    </row>
    <row r="700" spans="1:23" hidden="1" x14ac:dyDescent="0.25">
      <c r="A700" s="426"/>
      <c r="B700" s="426"/>
      <c r="C700" s="415" t="s">
        <v>639</v>
      </c>
      <c r="D700" s="460"/>
      <c r="E700" s="414" t="s">
        <v>379</v>
      </c>
      <c r="F700" s="1840"/>
      <c r="G700" s="1841"/>
      <c r="H700" s="1840"/>
      <c r="I700" s="1841"/>
      <c r="J700" s="1840"/>
      <c r="K700" s="1841"/>
      <c r="L700" s="1840"/>
      <c r="M700" s="1841"/>
      <c r="N700" s="1840"/>
      <c r="O700" s="1841"/>
      <c r="P700" s="426"/>
      <c r="Q700" s="426"/>
      <c r="R700" s="426"/>
      <c r="S700" s="426"/>
      <c r="T700" s="426"/>
      <c r="U700" s="426"/>
      <c r="V700" s="426"/>
      <c r="W700" s="426"/>
    </row>
    <row r="701" spans="1:23" hidden="1" x14ac:dyDescent="0.25">
      <c r="A701" s="426"/>
      <c r="B701" s="426"/>
      <c r="C701" s="415"/>
      <c r="D701" s="421" t="str">
        <f>D700&amp;"KW"</f>
        <v>KW</v>
      </c>
      <c r="E701" s="414" t="s">
        <v>380</v>
      </c>
      <c r="F701" s="1840"/>
      <c r="G701" s="1841"/>
      <c r="H701" s="1840"/>
      <c r="I701" s="1841"/>
      <c r="J701" s="1840"/>
      <c r="K701" s="1841"/>
      <c r="L701" s="1840"/>
      <c r="M701" s="1841"/>
      <c r="N701" s="1840"/>
      <c r="O701" s="1841"/>
      <c r="P701" s="426"/>
      <c r="Q701" s="426"/>
      <c r="R701" s="426"/>
      <c r="S701" s="426"/>
      <c r="T701" s="426"/>
      <c r="U701" s="426"/>
      <c r="V701" s="426"/>
      <c r="W701" s="426"/>
    </row>
    <row r="702" spans="1:23" hidden="1" x14ac:dyDescent="0.25">
      <c r="A702" s="426"/>
      <c r="B702" s="426"/>
      <c r="C702" s="415" t="s">
        <v>640</v>
      </c>
      <c r="D702" s="460"/>
      <c r="E702" s="414" t="s">
        <v>379</v>
      </c>
      <c r="F702" s="1840"/>
      <c r="G702" s="1841"/>
      <c r="H702" s="1840"/>
      <c r="I702" s="1841"/>
      <c r="J702" s="1840"/>
      <c r="K702" s="1841"/>
      <c r="L702" s="1840"/>
      <c r="M702" s="1841"/>
      <c r="N702" s="1840"/>
      <c r="O702" s="1841"/>
      <c r="P702" s="426"/>
      <c r="Q702" s="426"/>
      <c r="R702" s="426"/>
      <c r="S702" s="426"/>
      <c r="T702" s="426"/>
      <c r="U702" s="426"/>
      <c r="V702" s="426"/>
      <c r="W702" s="426"/>
    </row>
    <row r="703" spans="1:23" hidden="1" x14ac:dyDescent="0.25">
      <c r="A703" s="426"/>
      <c r="B703" s="426"/>
      <c r="C703" s="415"/>
      <c r="D703" s="421" t="str">
        <f>D702&amp;"KW"</f>
        <v>KW</v>
      </c>
      <c r="E703" s="414" t="s">
        <v>380</v>
      </c>
      <c r="F703" s="1840"/>
      <c r="G703" s="1841"/>
      <c r="H703" s="1840"/>
      <c r="I703" s="1841"/>
      <c r="J703" s="1840"/>
      <c r="K703" s="1841"/>
      <c r="L703" s="1840"/>
      <c r="M703" s="1841"/>
      <c r="N703" s="1840"/>
      <c r="O703" s="1841"/>
      <c r="P703" s="426"/>
      <c r="Q703" s="426"/>
      <c r="R703" s="426"/>
      <c r="S703" s="426"/>
      <c r="T703" s="426"/>
      <c r="U703" s="426"/>
      <c r="V703" s="426"/>
      <c r="W703" s="426"/>
    </row>
    <row r="704" spans="1:23" hidden="1" x14ac:dyDescent="0.25">
      <c r="A704" s="426"/>
      <c r="B704" s="426"/>
      <c r="C704" s="415" t="s">
        <v>641</v>
      </c>
      <c r="D704" s="460"/>
      <c r="E704" s="414" t="s">
        <v>379</v>
      </c>
      <c r="F704" s="1840"/>
      <c r="G704" s="1841"/>
      <c r="H704" s="1840"/>
      <c r="I704" s="1841"/>
      <c r="J704" s="1840"/>
      <c r="K704" s="1841"/>
      <c r="L704" s="1840"/>
      <c r="M704" s="1841"/>
      <c r="N704" s="1840"/>
      <c r="O704" s="1841"/>
      <c r="P704" s="426"/>
      <c r="Q704" s="426"/>
      <c r="R704" s="426"/>
      <c r="S704" s="426"/>
      <c r="T704" s="426"/>
      <c r="U704" s="426"/>
      <c r="V704" s="426"/>
      <c r="W704" s="426"/>
    </row>
    <row r="705" spans="1:23" hidden="1" x14ac:dyDescent="0.25">
      <c r="A705" s="426"/>
      <c r="B705" s="426"/>
      <c r="C705" s="415"/>
      <c r="D705" s="421" t="str">
        <f>D704&amp;"KW"</f>
        <v>KW</v>
      </c>
      <c r="E705" s="414" t="s">
        <v>380</v>
      </c>
      <c r="F705" s="1840"/>
      <c r="G705" s="1841"/>
      <c r="H705" s="1840"/>
      <c r="I705" s="1841"/>
      <c r="J705" s="1840"/>
      <c r="K705" s="1841"/>
      <c r="L705" s="1840"/>
      <c r="M705" s="1841"/>
      <c r="N705" s="1840"/>
      <c r="O705" s="1841"/>
      <c r="P705" s="426"/>
      <c r="Q705" s="426"/>
      <c r="R705" s="426"/>
      <c r="S705" s="426"/>
      <c r="T705" s="426"/>
      <c r="U705" s="426"/>
      <c r="V705" s="426"/>
      <c r="W705" s="426"/>
    </row>
    <row r="706" spans="1:23" hidden="1" x14ac:dyDescent="0.25">
      <c r="A706" s="426"/>
      <c r="B706" s="426"/>
      <c r="C706" s="415" t="s">
        <v>642</v>
      </c>
      <c r="D706" s="460"/>
      <c r="E706" s="414" t="s">
        <v>379</v>
      </c>
      <c r="F706" s="1840"/>
      <c r="G706" s="1841"/>
      <c r="H706" s="1840"/>
      <c r="I706" s="1841"/>
      <c r="J706" s="1840"/>
      <c r="K706" s="1841"/>
      <c r="L706" s="1840"/>
      <c r="M706" s="1841"/>
      <c r="N706" s="1840"/>
      <c r="O706" s="1841"/>
      <c r="P706" s="426"/>
      <c r="Q706" s="426"/>
      <c r="R706" s="426"/>
      <c r="S706" s="426"/>
      <c r="T706" s="426"/>
      <c r="U706" s="426"/>
      <c r="V706" s="426"/>
      <c r="W706" s="426"/>
    </row>
    <row r="707" spans="1:23" hidden="1" x14ac:dyDescent="0.25">
      <c r="A707" s="426"/>
      <c r="B707" s="426"/>
      <c r="C707" s="415"/>
      <c r="D707" s="421" t="str">
        <f>D706&amp;"KW"</f>
        <v>KW</v>
      </c>
      <c r="E707" s="414" t="s">
        <v>380</v>
      </c>
      <c r="F707" s="1840"/>
      <c r="G707" s="1841"/>
      <c r="H707" s="1840"/>
      <c r="I707" s="1841"/>
      <c r="J707" s="1840"/>
      <c r="K707" s="1841"/>
      <c r="L707" s="1840"/>
      <c r="M707" s="1841"/>
      <c r="N707" s="1840"/>
      <c r="O707" s="1841"/>
      <c r="P707" s="426"/>
      <c r="Q707" s="426"/>
      <c r="R707" s="426"/>
      <c r="S707" s="426"/>
      <c r="T707" s="426"/>
      <c r="U707" s="426"/>
      <c r="V707" s="426"/>
      <c r="W707" s="426"/>
    </row>
    <row r="708" spans="1:23" hidden="1" x14ac:dyDescent="0.25">
      <c r="A708" s="426"/>
      <c r="B708" s="426"/>
      <c r="C708" s="415" t="s">
        <v>643</v>
      </c>
      <c r="D708" s="460"/>
      <c r="E708" s="414" t="s">
        <v>379</v>
      </c>
      <c r="F708" s="1840"/>
      <c r="G708" s="1841"/>
      <c r="H708" s="1840"/>
      <c r="I708" s="1841"/>
      <c r="J708" s="1840"/>
      <c r="K708" s="1841"/>
      <c r="L708" s="1840"/>
      <c r="M708" s="1841"/>
      <c r="N708" s="1840"/>
      <c r="O708" s="1841"/>
      <c r="P708" s="426"/>
      <c r="Q708" s="426"/>
      <c r="R708" s="426"/>
      <c r="S708" s="426"/>
      <c r="T708" s="426"/>
      <c r="U708" s="426"/>
      <c r="V708" s="426"/>
      <c r="W708" s="426"/>
    </row>
    <row r="709" spans="1:23" hidden="1" x14ac:dyDescent="0.25">
      <c r="A709" s="426"/>
      <c r="B709" s="426"/>
      <c r="C709" s="415"/>
      <c r="D709" s="421" t="str">
        <f>D708&amp;"KW"</f>
        <v>KW</v>
      </c>
      <c r="E709" s="414" t="s">
        <v>380</v>
      </c>
      <c r="F709" s="1840"/>
      <c r="G709" s="1841"/>
      <c r="H709" s="1840"/>
      <c r="I709" s="1841"/>
      <c r="J709" s="1840"/>
      <c r="K709" s="1841"/>
      <c r="L709" s="1840"/>
      <c r="M709" s="1841"/>
      <c r="N709" s="1840"/>
      <c r="O709" s="1841"/>
      <c r="P709" s="426"/>
      <c r="Q709" s="426"/>
      <c r="R709" s="426"/>
      <c r="S709" s="426"/>
      <c r="T709" s="426"/>
      <c r="U709" s="426"/>
      <c r="V709" s="426"/>
      <c r="W709" s="426"/>
    </row>
    <row r="710" spans="1:23" hidden="1" x14ac:dyDescent="0.25">
      <c r="A710" s="426"/>
      <c r="B710" s="426"/>
      <c r="C710" s="415" t="s">
        <v>644</v>
      </c>
      <c r="D710" s="460"/>
      <c r="E710" s="414" t="s">
        <v>379</v>
      </c>
      <c r="F710" s="1840"/>
      <c r="G710" s="1841"/>
      <c r="H710" s="1840"/>
      <c r="I710" s="1841"/>
      <c r="J710" s="1840"/>
      <c r="K710" s="1841"/>
      <c r="L710" s="1840"/>
      <c r="M710" s="1841"/>
      <c r="N710" s="1840"/>
      <c r="O710" s="1841"/>
      <c r="P710" s="426"/>
      <c r="Q710" s="426"/>
      <c r="R710" s="426"/>
      <c r="S710" s="426"/>
      <c r="T710" s="426"/>
      <c r="U710" s="426"/>
      <c r="V710" s="426"/>
      <c r="W710" s="426"/>
    </row>
    <row r="711" spans="1:23" hidden="1" x14ac:dyDescent="0.25">
      <c r="A711" s="426"/>
      <c r="B711" s="426"/>
      <c r="C711" s="415"/>
      <c r="D711" s="421" t="str">
        <f>D710&amp;"KW"</f>
        <v>KW</v>
      </c>
      <c r="E711" s="414" t="s">
        <v>380</v>
      </c>
      <c r="F711" s="1840"/>
      <c r="G711" s="1841"/>
      <c r="H711" s="1840"/>
      <c r="I711" s="1841"/>
      <c r="J711" s="1840"/>
      <c r="K711" s="1841"/>
      <c r="L711" s="1840"/>
      <c r="M711" s="1841"/>
      <c r="N711" s="1840"/>
      <c r="O711" s="1841"/>
      <c r="P711" s="426"/>
      <c r="Q711" s="426"/>
      <c r="R711" s="426"/>
      <c r="S711" s="426"/>
      <c r="T711" s="426"/>
      <c r="U711" s="426"/>
      <c r="V711" s="426"/>
      <c r="W711" s="426"/>
    </row>
    <row r="712" spans="1:23" hidden="1" x14ac:dyDescent="0.25">
      <c r="A712" s="426"/>
      <c r="B712" s="426"/>
      <c r="C712" s="415" t="s">
        <v>645</v>
      </c>
      <c r="D712" s="460"/>
      <c r="E712" s="414" t="s">
        <v>379</v>
      </c>
      <c r="F712" s="1840"/>
      <c r="G712" s="1841"/>
      <c r="H712" s="1840"/>
      <c r="I712" s="1841"/>
      <c r="J712" s="1840"/>
      <c r="K712" s="1841"/>
      <c r="L712" s="1840"/>
      <c r="M712" s="1841"/>
      <c r="N712" s="1840"/>
      <c r="O712" s="1841"/>
      <c r="P712" s="426"/>
      <c r="Q712" s="426"/>
      <c r="R712" s="426"/>
      <c r="S712" s="426"/>
      <c r="T712" s="426"/>
      <c r="U712" s="426"/>
      <c r="V712" s="426"/>
      <c r="W712" s="426"/>
    </row>
    <row r="713" spans="1:23" hidden="1" x14ac:dyDescent="0.25">
      <c r="A713" s="426"/>
      <c r="B713" s="426"/>
      <c r="C713" s="415"/>
      <c r="D713" s="421" t="str">
        <f>D712&amp;"KW"</f>
        <v>KW</v>
      </c>
      <c r="E713" s="414" t="s">
        <v>380</v>
      </c>
      <c r="F713" s="1840"/>
      <c r="G713" s="1841"/>
      <c r="H713" s="1840"/>
      <c r="I713" s="1841"/>
      <c r="J713" s="1840"/>
      <c r="K713" s="1841"/>
      <c r="L713" s="1840"/>
      <c r="M713" s="1841"/>
      <c r="N713" s="1840"/>
      <c r="O713" s="1841"/>
      <c r="P713" s="426"/>
      <c r="Q713" s="426"/>
      <c r="R713" s="426"/>
      <c r="S713" s="426"/>
      <c r="T713" s="426"/>
      <c r="U713" s="426"/>
      <c r="V713" s="426"/>
      <c r="W713" s="426"/>
    </row>
    <row r="714" spans="1:23" hidden="1" x14ac:dyDescent="0.25">
      <c r="A714" s="426"/>
      <c r="B714" s="426"/>
      <c r="C714" s="415" t="s">
        <v>646</v>
      </c>
      <c r="D714" s="460"/>
      <c r="E714" s="414" t="s">
        <v>379</v>
      </c>
      <c r="F714" s="1840"/>
      <c r="G714" s="1841"/>
      <c r="H714" s="1840"/>
      <c r="I714" s="1841"/>
      <c r="J714" s="1840"/>
      <c r="K714" s="1841"/>
      <c r="L714" s="1840"/>
      <c r="M714" s="1841"/>
      <c r="N714" s="1840"/>
      <c r="O714" s="1841"/>
      <c r="P714" s="426"/>
      <c r="Q714" s="426"/>
      <c r="R714" s="426"/>
      <c r="S714" s="426"/>
      <c r="T714" s="426"/>
      <c r="U714" s="426"/>
      <c r="V714" s="426"/>
      <c r="W714" s="426"/>
    </row>
    <row r="715" spans="1:23" hidden="1" x14ac:dyDescent="0.25">
      <c r="A715" s="426"/>
      <c r="B715" s="426"/>
      <c r="C715" s="415"/>
      <c r="D715" s="421" t="str">
        <f>D714&amp;"KW"</f>
        <v>KW</v>
      </c>
      <c r="E715" s="414" t="s">
        <v>380</v>
      </c>
      <c r="F715" s="1840"/>
      <c r="G715" s="1841"/>
      <c r="H715" s="1840"/>
      <c r="I715" s="1841"/>
      <c r="J715" s="1840"/>
      <c r="K715" s="1841"/>
      <c r="L715" s="1840"/>
      <c r="M715" s="1841"/>
      <c r="N715" s="1840"/>
      <c r="O715" s="1841"/>
      <c r="P715" s="426"/>
      <c r="Q715" s="426"/>
      <c r="R715" s="426"/>
      <c r="S715" s="426"/>
      <c r="T715" s="426"/>
      <c r="U715" s="426"/>
      <c r="V715" s="426"/>
      <c r="W715" s="426"/>
    </row>
    <row r="716" spans="1:23" hidden="1" x14ac:dyDescent="0.25">
      <c r="A716" s="426"/>
      <c r="B716" s="426"/>
      <c r="C716" s="415" t="s">
        <v>647</v>
      </c>
      <c r="D716" s="460"/>
      <c r="E716" s="414" t="s">
        <v>379</v>
      </c>
      <c r="F716" s="1840"/>
      <c r="G716" s="1841"/>
      <c r="H716" s="1840"/>
      <c r="I716" s="1841"/>
      <c r="J716" s="1840"/>
      <c r="K716" s="1841"/>
      <c r="L716" s="1840"/>
      <c r="M716" s="1841"/>
      <c r="N716" s="1840"/>
      <c r="O716" s="1841"/>
      <c r="P716" s="426"/>
      <c r="Q716" s="426"/>
      <c r="R716" s="426"/>
      <c r="S716" s="426"/>
      <c r="T716" s="426"/>
      <c r="U716" s="426"/>
      <c r="V716" s="426"/>
      <c r="W716" s="426"/>
    </row>
    <row r="717" spans="1:23" hidden="1" x14ac:dyDescent="0.25">
      <c r="A717" s="426"/>
      <c r="B717" s="426"/>
      <c r="C717" s="415"/>
      <c r="D717" s="421" t="str">
        <f>D716&amp;"KW"</f>
        <v>KW</v>
      </c>
      <c r="E717" s="414" t="s">
        <v>380</v>
      </c>
      <c r="F717" s="1840"/>
      <c r="G717" s="1841"/>
      <c r="H717" s="1840"/>
      <c r="I717" s="1841"/>
      <c r="J717" s="1840"/>
      <c r="K717" s="1841"/>
      <c r="L717" s="1840"/>
      <c r="M717" s="1841"/>
      <c r="N717" s="1840"/>
      <c r="O717" s="1841"/>
      <c r="P717" s="426"/>
      <c r="Q717" s="426"/>
      <c r="R717" s="426"/>
      <c r="S717" s="426"/>
      <c r="T717" s="426"/>
      <c r="U717" s="426"/>
      <c r="V717" s="426"/>
      <c r="W717" s="426"/>
    </row>
    <row r="718" spans="1:23" hidden="1" x14ac:dyDescent="0.25">
      <c r="A718" s="426"/>
      <c r="B718" s="426"/>
      <c r="C718" s="415" t="s">
        <v>648</v>
      </c>
      <c r="D718" s="460"/>
      <c r="E718" s="414" t="s">
        <v>379</v>
      </c>
      <c r="F718" s="1840"/>
      <c r="G718" s="1841"/>
      <c r="H718" s="1840"/>
      <c r="I718" s="1841"/>
      <c r="J718" s="1840"/>
      <c r="K718" s="1841"/>
      <c r="L718" s="1840"/>
      <c r="M718" s="1841"/>
      <c r="N718" s="1840"/>
      <c r="O718" s="1841"/>
      <c r="P718" s="426"/>
      <c r="Q718" s="426"/>
      <c r="R718" s="426"/>
      <c r="S718" s="426"/>
      <c r="T718" s="426"/>
      <c r="U718" s="426"/>
      <c r="V718" s="426"/>
      <c r="W718" s="426"/>
    </row>
    <row r="719" spans="1:23" hidden="1" x14ac:dyDescent="0.25">
      <c r="A719" s="426"/>
      <c r="B719" s="426"/>
      <c r="C719" s="415"/>
      <c r="D719" s="421" t="str">
        <f>D718&amp;"KW"</f>
        <v>KW</v>
      </c>
      <c r="E719" s="414" t="s">
        <v>380</v>
      </c>
      <c r="F719" s="1840"/>
      <c r="G719" s="1841"/>
      <c r="H719" s="1840"/>
      <c r="I719" s="1841"/>
      <c r="J719" s="1840"/>
      <c r="K719" s="1841"/>
      <c r="L719" s="1840"/>
      <c r="M719" s="1841"/>
      <c r="N719" s="1840"/>
      <c r="O719" s="1841"/>
      <c r="P719" s="426"/>
      <c r="Q719" s="426"/>
      <c r="R719" s="426"/>
      <c r="S719" s="426"/>
      <c r="T719" s="426"/>
      <c r="U719" s="426"/>
      <c r="V719" s="426"/>
      <c r="W719" s="426"/>
    </row>
    <row r="720" spans="1:23" hidden="1" x14ac:dyDescent="0.25">
      <c r="A720" s="426"/>
      <c r="B720" s="426"/>
      <c r="C720" s="415" t="s">
        <v>649</v>
      </c>
      <c r="D720" s="460"/>
      <c r="E720" s="414" t="s">
        <v>379</v>
      </c>
      <c r="F720" s="1840"/>
      <c r="G720" s="1841"/>
      <c r="H720" s="1840"/>
      <c r="I720" s="1841"/>
      <c r="J720" s="1840"/>
      <c r="K720" s="1841"/>
      <c r="L720" s="1840"/>
      <c r="M720" s="1841"/>
      <c r="N720" s="1840"/>
      <c r="O720" s="1841"/>
      <c r="P720" s="426"/>
      <c r="Q720" s="426"/>
      <c r="R720" s="426"/>
      <c r="S720" s="426"/>
      <c r="T720" s="426"/>
      <c r="U720" s="426"/>
      <c r="V720" s="426"/>
      <c r="W720" s="426"/>
    </row>
    <row r="721" spans="1:23" hidden="1" x14ac:dyDescent="0.25">
      <c r="A721" s="426"/>
      <c r="B721" s="426"/>
      <c r="C721" s="415"/>
      <c r="D721" s="421" t="str">
        <f>D720&amp;"KW"</f>
        <v>KW</v>
      </c>
      <c r="E721" s="414" t="s">
        <v>380</v>
      </c>
      <c r="F721" s="1840"/>
      <c r="G721" s="1841"/>
      <c r="H721" s="1840"/>
      <c r="I721" s="1841"/>
      <c r="J721" s="1840"/>
      <c r="K721" s="1841"/>
      <c r="L721" s="1840"/>
      <c r="M721" s="1841"/>
      <c r="N721" s="1840"/>
      <c r="O721" s="1841"/>
      <c r="P721" s="426"/>
      <c r="Q721" s="426"/>
      <c r="R721" s="426"/>
      <c r="S721" s="426"/>
      <c r="T721" s="426"/>
      <c r="U721" s="426"/>
      <c r="V721" s="426"/>
      <c r="W721" s="426"/>
    </row>
    <row r="722" spans="1:23" hidden="1" x14ac:dyDescent="0.25">
      <c r="A722" s="426"/>
      <c r="B722" s="426"/>
      <c r="C722" s="415" t="s">
        <v>650</v>
      </c>
      <c r="D722" s="460"/>
      <c r="E722" s="414" t="s">
        <v>379</v>
      </c>
      <c r="F722" s="1840"/>
      <c r="G722" s="1841"/>
      <c r="H722" s="1840"/>
      <c r="I722" s="1841"/>
      <c r="J722" s="1840"/>
      <c r="K722" s="1841"/>
      <c r="L722" s="1840"/>
      <c r="M722" s="1841"/>
      <c r="N722" s="1840"/>
      <c r="O722" s="1841"/>
      <c r="P722" s="426"/>
      <c r="Q722" s="426"/>
      <c r="R722" s="426"/>
      <c r="S722" s="426"/>
      <c r="T722" s="426"/>
      <c r="U722" s="426"/>
      <c r="V722" s="426"/>
      <c r="W722" s="426"/>
    </row>
    <row r="723" spans="1:23" hidden="1" x14ac:dyDescent="0.25">
      <c r="A723" s="426"/>
      <c r="B723" s="426"/>
      <c r="C723" s="415"/>
      <c r="D723" s="421" t="str">
        <f>D722&amp;"KW"</f>
        <v>KW</v>
      </c>
      <c r="E723" s="414" t="s">
        <v>380</v>
      </c>
      <c r="F723" s="1840"/>
      <c r="G723" s="1841"/>
      <c r="H723" s="1840"/>
      <c r="I723" s="1841"/>
      <c r="J723" s="1840"/>
      <c r="K723" s="1841"/>
      <c r="L723" s="1840"/>
      <c r="M723" s="1841"/>
      <c r="N723" s="1840"/>
      <c r="O723" s="1841"/>
      <c r="P723" s="426"/>
      <c r="Q723" s="426"/>
      <c r="R723" s="426"/>
      <c r="S723" s="426"/>
      <c r="T723" s="426"/>
      <c r="U723" s="426"/>
      <c r="V723" s="426"/>
      <c r="W723" s="426"/>
    </row>
    <row r="724" spans="1:23" hidden="1" x14ac:dyDescent="0.25">
      <c r="A724" s="426"/>
      <c r="B724" s="426"/>
      <c r="C724" s="415" t="s">
        <v>651</v>
      </c>
      <c r="D724" s="460"/>
      <c r="E724" s="414" t="s">
        <v>379</v>
      </c>
      <c r="F724" s="1840"/>
      <c r="G724" s="1841"/>
      <c r="H724" s="1840"/>
      <c r="I724" s="1841"/>
      <c r="J724" s="1840"/>
      <c r="K724" s="1841"/>
      <c r="L724" s="1840"/>
      <c r="M724" s="1841"/>
      <c r="N724" s="1840"/>
      <c r="O724" s="1841"/>
      <c r="P724" s="426"/>
      <c r="Q724" s="426"/>
      <c r="R724" s="426"/>
      <c r="S724" s="426"/>
      <c r="T724" s="426"/>
      <c r="U724" s="426"/>
      <c r="V724" s="426"/>
      <c r="W724" s="426"/>
    </row>
    <row r="725" spans="1:23" hidden="1" x14ac:dyDescent="0.25">
      <c r="A725" s="426"/>
      <c r="B725" s="426"/>
      <c r="C725" s="415"/>
      <c r="D725" s="421" t="str">
        <f>D724&amp;"KW"</f>
        <v>KW</v>
      </c>
      <c r="E725" s="414" t="s">
        <v>380</v>
      </c>
      <c r="F725" s="1840"/>
      <c r="G725" s="1841"/>
      <c r="H725" s="1840"/>
      <c r="I725" s="1841"/>
      <c r="J725" s="1840"/>
      <c r="K725" s="1841"/>
      <c r="L725" s="1840"/>
      <c r="M725" s="1841"/>
      <c r="N725" s="1840"/>
      <c r="O725" s="1841"/>
      <c r="P725" s="426"/>
      <c r="Q725" s="426"/>
      <c r="R725" s="426"/>
      <c r="S725" s="426"/>
      <c r="T725" s="426"/>
      <c r="U725" s="426"/>
      <c r="V725" s="426"/>
      <c r="W725" s="426"/>
    </row>
    <row r="726" spans="1:23" hidden="1" x14ac:dyDescent="0.25">
      <c r="A726" s="426"/>
      <c r="B726" s="426"/>
      <c r="C726" s="415" t="s">
        <v>652</v>
      </c>
      <c r="D726" s="460"/>
      <c r="E726" s="414" t="s">
        <v>379</v>
      </c>
      <c r="F726" s="1840"/>
      <c r="G726" s="1841"/>
      <c r="H726" s="1840"/>
      <c r="I726" s="1841"/>
      <c r="J726" s="1840"/>
      <c r="K726" s="1841"/>
      <c r="L726" s="1840"/>
      <c r="M726" s="1841"/>
      <c r="N726" s="1840"/>
      <c r="O726" s="1841"/>
      <c r="P726" s="426"/>
      <c r="Q726" s="426"/>
      <c r="R726" s="426"/>
      <c r="S726" s="426"/>
      <c r="T726" s="426"/>
      <c r="U726" s="426"/>
      <c r="V726" s="426"/>
      <c r="W726" s="426"/>
    </row>
    <row r="727" spans="1:23" hidden="1" x14ac:dyDescent="0.25">
      <c r="A727" s="426"/>
      <c r="B727" s="426"/>
      <c r="C727" s="415"/>
      <c r="D727" s="421" t="str">
        <f>D726&amp;"KW"</f>
        <v>KW</v>
      </c>
      <c r="E727" s="414" t="s">
        <v>380</v>
      </c>
      <c r="F727" s="1840"/>
      <c r="G727" s="1841"/>
      <c r="H727" s="1840"/>
      <c r="I727" s="1841"/>
      <c r="J727" s="1840"/>
      <c r="K727" s="1841"/>
      <c r="L727" s="1840"/>
      <c r="M727" s="1841"/>
      <c r="N727" s="1840"/>
      <c r="O727" s="1841"/>
      <c r="P727" s="426"/>
      <c r="Q727" s="426"/>
      <c r="R727" s="426"/>
      <c r="S727" s="426"/>
      <c r="T727" s="426"/>
      <c r="U727" s="426"/>
      <c r="V727" s="426"/>
      <c r="W727" s="426"/>
    </row>
    <row r="728" spans="1:23" hidden="1" x14ac:dyDescent="0.25">
      <c r="A728" s="426"/>
      <c r="B728" s="426"/>
      <c r="C728" s="415" t="s">
        <v>653</v>
      </c>
      <c r="D728" s="460"/>
      <c r="E728" s="414" t="s">
        <v>379</v>
      </c>
      <c r="F728" s="1840"/>
      <c r="G728" s="1841"/>
      <c r="H728" s="1840"/>
      <c r="I728" s="1841"/>
      <c r="J728" s="1840"/>
      <c r="K728" s="1841"/>
      <c r="L728" s="1840"/>
      <c r="M728" s="1841"/>
      <c r="N728" s="1840"/>
      <c r="O728" s="1841"/>
      <c r="P728" s="426"/>
      <c r="Q728" s="426"/>
      <c r="R728" s="426"/>
      <c r="S728" s="426"/>
      <c r="T728" s="426"/>
      <c r="U728" s="426"/>
      <c r="V728" s="426"/>
      <c r="W728" s="426"/>
    </row>
    <row r="729" spans="1:23" hidden="1" x14ac:dyDescent="0.25">
      <c r="A729" s="426"/>
      <c r="B729" s="426"/>
      <c r="C729" s="415"/>
      <c r="D729" s="421" t="str">
        <f>D728&amp;"KW"</f>
        <v>KW</v>
      </c>
      <c r="E729" s="414" t="s">
        <v>380</v>
      </c>
      <c r="F729" s="1840"/>
      <c r="G729" s="1841"/>
      <c r="H729" s="1840"/>
      <c r="I729" s="1841"/>
      <c r="J729" s="1840"/>
      <c r="K729" s="1841"/>
      <c r="L729" s="1840"/>
      <c r="M729" s="1841"/>
      <c r="N729" s="1840"/>
      <c r="O729" s="1841"/>
      <c r="P729" s="426"/>
      <c r="Q729" s="426"/>
      <c r="R729" s="426"/>
      <c r="S729" s="426"/>
      <c r="T729" s="426"/>
      <c r="U729" s="426"/>
      <c r="V729" s="426"/>
      <c r="W729" s="426"/>
    </row>
    <row r="730" spans="1:23" hidden="1" x14ac:dyDescent="0.25">
      <c r="A730" s="426"/>
      <c r="B730" s="426"/>
      <c r="C730" s="415" t="s">
        <v>654</v>
      </c>
      <c r="D730" s="460"/>
      <c r="E730" s="414" t="s">
        <v>379</v>
      </c>
      <c r="F730" s="1840"/>
      <c r="G730" s="1841"/>
      <c r="H730" s="1840"/>
      <c r="I730" s="1841"/>
      <c r="J730" s="1840"/>
      <c r="K730" s="1841"/>
      <c r="L730" s="1840"/>
      <c r="M730" s="1841"/>
      <c r="N730" s="1840"/>
      <c r="O730" s="1841"/>
      <c r="P730" s="426"/>
      <c r="Q730" s="426"/>
      <c r="R730" s="426"/>
      <c r="S730" s="426"/>
      <c r="T730" s="426"/>
      <c r="U730" s="426"/>
      <c r="V730" s="426"/>
      <c r="W730" s="426"/>
    </row>
    <row r="731" spans="1:23" hidden="1" x14ac:dyDescent="0.25">
      <c r="A731" s="426"/>
      <c r="B731" s="426"/>
      <c r="C731" s="415"/>
      <c r="D731" s="421" t="str">
        <f>D730&amp;"KW"</f>
        <v>KW</v>
      </c>
      <c r="E731" s="414" t="s">
        <v>380</v>
      </c>
      <c r="F731" s="1840"/>
      <c r="G731" s="1841"/>
      <c r="H731" s="1840"/>
      <c r="I731" s="1841"/>
      <c r="J731" s="1840"/>
      <c r="K731" s="1841"/>
      <c r="L731" s="1840"/>
      <c r="M731" s="1841"/>
      <c r="N731" s="1840"/>
      <c r="O731" s="1841"/>
      <c r="P731" s="426"/>
      <c r="Q731" s="426"/>
      <c r="R731" s="426"/>
      <c r="S731" s="426"/>
      <c r="T731" s="426"/>
      <c r="U731" s="426"/>
      <c r="V731" s="426"/>
      <c r="W731" s="426"/>
    </row>
    <row r="732" spans="1:23" hidden="1" x14ac:dyDescent="0.25">
      <c r="A732" s="426"/>
      <c r="B732" s="426"/>
      <c r="C732" s="415" t="s">
        <v>655</v>
      </c>
      <c r="D732" s="460"/>
      <c r="E732" s="414" t="s">
        <v>379</v>
      </c>
      <c r="F732" s="1840"/>
      <c r="G732" s="1841"/>
      <c r="H732" s="1840"/>
      <c r="I732" s="1841"/>
      <c r="J732" s="1840"/>
      <c r="K732" s="1841"/>
      <c r="L732" s="1840"/>
      <c r="M732" s="1841"/>
      <c r="N732" s="1840"/>
      <c r="O732" s="1841"/>
      <c r="P732" s="426"/>
      <c r="Q732" s="426"/>
      <c r="R732" s="426"/>
      <c r="S732" s="426"/>
      <c r="T732" s="426"/>
      <c r="U732" s="426"/>
      <c r="V732" s="426"/>
      <c r="W732" s="426"/>
    </row>
    <row r="733" spans="1:23" hidden="1" x14ac:dyDescent="0.25">
      <c r="A733" s="426"/>
      <c r="B733" s="426"/>
      <c r="C733" s="415"/>
      <c r="D733" s="421" t="str">
        <f>D732&amp;"KW"</f>
        <v>KW</v>
      </c>
      <c r="E733" s="414" t="s">
        <v>380</v>
      </c>
      <c r="F733" s="1840"/>
      <c r="G733" s="1841"/>
      <c r="H733" s="1840"/>
      <c r="I733" s="1841"/>
      <c r="J733" s="1840"/>
      <c r="K733" s="1841"/>
      <c r="L733" s="1840"/>
      <c r="M733" s="1841"/>
      <c r="N733" s="1840"/>
      <c r="O733" s="1841"/>
      <c r="P733" s="426"/>
      <c r="Q733" s="426"/>
      <c r="R733" s="426"/>
      <c r="S733" s="426"/>
      <c r="T733" s="426"/>
      <c r="U733" s="426"/>
      <c r="V733" s="426"/>
      <c r="W733" s="426"/>
    </row>
    <row r="734" spans="1:23" hidden="1" x14ac:dyDescent="0.25">
      <c r="A734" s="426"/>
      <c r="B734" s="426"/>
      <c r="C734" s="415" t="s">
        <v>656</v>
      </c>
      <c r="D734" s="460"/>
      <c r="E734" s="414" t="s">
        <v>379</v>
      </c>
      <c r="F734" s="1840"/>
      <c r="G734" s="1841"/>
      <c r="H734" s="1840"/>
      <c r="I734" s="1841"/>
      <c r="J734" s="1840"/>
      <c r="K734" s="1841"/>
      <c r="L734" s="1840"/>
      <c r="M734" s="1841"/>
      <c r="N734" s="1840"/>
      <c r="O734" s="1841"/>
      <c r="P734" s="426"/>
      <c r="Q734" s="426"/>
      <c r="R734" s="426"/>
      <c r="S734" s="426"/>
      <c r="T734" s="426"/>
      <c r="U734" s="426"/>
      <c r="V734" s="426"/>
      <c r="W734" s="426"/>
    </row>
    <row r="735" spans="1:23" hidden="1" x14ac:dyDescent="0.25">
      <c r="A735" s="426"/>
      <c r="B735" s="426"/>
      <c r="C735" s="415"/>
      <c r="D735" s="421" t="str">
        <f>D734&amp;"KW"</f>
        <v>KW</v>
      </c>
      <c r="E735" s="414" t="s">
        <v>380</v>
      </c>
      <c r="F735" s="1840"/>
      <c r="G735" s="1841"/>
      <c r="H735" s="1840"/>
      <c r="I735" s="1841"/>
      <c r="J735" s="1840"/>
      <c r="K735" s="1841"/>
      <c r="L735" s="1840"/>
      <c r="M735" s="1841"/>
      <c r="N735" s="1840"/>
      <c r="O735" s="1841"/>
      <c r="P735" s="426"/>
      <c r="Q735" s="426"/>
      <c r="R735" s="426"/>
      <c r="S735" s="426"/>
      <c r="T735" s="426"/>
      <c r="U735" s="426"/>
      <c r="V735" s="426"/>
      <c r="W735" s="426"/>
    </row>
    <row r="736" spans="1:23" hidden="1" x14ac:dyDescent="0.25">
      <c r="A736" s="426"/>
      <c r="B736" s="426"/>
      <c r="C736" s="415" t="s">
        <v>657</v>
      </c>
      <c r="D736" s="460"/>
      <c r="E736" s="414" t="s">
        <v>379</v>
      </c>
      <c r="F736" s="1840"/>
      <c r="G736" s="1841"/>
      <c r="H736" s="1840"/>
      <c r="I736" s="1841"/>
      <c r="J736" s="1840"/>
      <c r="K736" s="1841"/>
      <c r="L736" s="1840"/>
      <c r="M736" s="1841"/>
      <c r="N736" s="1840"/>
      <c r="O736" s="1841"/>
      <c r="P736" s="426"/>
      <c r="Q736" s="426"/>
      <c r="R736" s="426"/>
      <c r="S736" s="426"/>
      <c r="T736" s="426"/>
      <c r="U736" s="426"/>
      <c r="V736" s="426"/>
      <c r="W736" s="426"/>
    </row>
    <row r="737" spans="1:23" hidden="1" x14ac:dyDescent="0.25">
      <c r="A737" s="426"/>
      <c r="B737" s="426"/>
      <c r="C737" s="415"/>
      <c r="D737" s="421" t="str">
        <f>D736&amp;"KW"</f>
        <v>KW</v>
      </c>
      <c r="E737" s="414" t="s">
        <v>380</v>
      </c>
      <c r="F737" s="1840"/>
      <c r="G737" s="1841"/>
      <c r="H737" s="1840"/>
      <c r="I737" s="1841"/>
      <c r="J737" s="1840"/>
      <c r="K737" s="1841"/>
      <c r="L737" s="1840"/>
      <c r="M737" s="1841"/>
      <c r="N737" s="1840"/>
      <c r="O737" s="1841"/>
      <c r="P737" s="426"/>
      <c r="Q737" s="426"/>
      <c r="R737" s="426"/>
      <c r="S737" s="426"/>
      <c r="T737" s="426"/>
      <c r="U737" s="426"/>
      <c r="V737" s="426"/>
      <c r="W737" s="426"/>
    </row>
    <row r="738" spans="1:23" hidden="1" x14ac:dyDescent="0.25">
      <c r="A738" s="426"/>
      <c r="B738" s="426"/>
      <c r="C738" s="415" t="s">
        <v>658</v>
      </c>
      <c r="D738" s="460"/>
      <c r="E738" s="414" t="s">
        <v>379</v>
      </c>
      <c r="F738" s="1840"/>
      <c r="G738" s="1841"/>
      <c r="H738" s="1840"/>
      <c r="I738" s="1841"/>
      <c r="J738" s="1840"/>
      <c r="K738" s="1841"/>
      <c r="L738" s="1840"/>
      <c r="M738" s="1841"/>
      <c r="N738" s="1840"/>
      <c r="O738" s="1841"/>
      <c r="P738" s="426"/>
      <c r="Q738" s="426"/>
      <c r="R738" s="426"/>
      <c r="S738" s="426"/>
      <c r="T738" s="426"/>
      <c r="U738" s="426"/>
      <c r="V738" s="426"/>
      <c r="W738" s="426"/>
    </row>
    <row r="739" spans="1:23" hidden="1" x14ac:dyDescent="0.25">
      <c r="A739" s="426"/>
      <c r="B739" s="426"/>
      <c r="C739" s="415"/>
      <c r="D739" s="421" t="str">
        <f>D738&amp;"KW"</f>
        <v>KW</v>
      </c>
      <c r="E739" s="414" t="s">
        <v>380</v>
      </c>
      <c r="F739" s="1840"/>
      <c r="G739" s="1841"/>
      <c r="H739" s="1840"/>
      <c r="I739" s="1841"/>
      <c r="J739" s="1840"/>
      <c r="K739" s="1841"/>
      <c r="L739" s="1840"/>
      <c r="M739" s="1841"/>
      <c r="N739" s="1840"/>
      <c r="O739" s="1841"/>
      <c r="P739" s="426"/>
      <c r="Q739" s="426"/>
      <c r="R739" s="426"/>
      <c r="S739" s="426"/>
      <c r="T739" s="426"/>
      <c r="U739" s="426"/>
      <c r="V739" s="426"/>
      <c r="W739" s="426"/>
    </row>
    <row r="740" spans="1:23" hidden="1" x14ac:dyDescent="0.25">
      <c r="A740" s="426"/>
      <c r="B740" s="426"/>
      <c r="C740" s="415" t="s">
        <v>659</v>
      </c>
      <c r="D740" s="460"/>
      <c r="E740" s="414" t="s">
        <v>379</v>
      </c>
      <c r="F740" s="1840"/>
      <c r="G740" s="1841"/>
      <c r="H740" s="1840"/>
      <c r="I740" s="1841"/>
      <c r="J740" s="1840"/>
      <c r="K740" s="1841"/>
      <c r="L740" s="1840"/>
      <c r="M740" s="1841"/>
      <c r="N740" s="1840"/>
      <c r="O740" s="1841"/>
      <c r="P740" s="426"/>
      <c r="Q740" s="426"/>
      <c r="R740" s="426"/>
      <c r="S740" s="426"/>
      <c r="T740" s="426"/>
      <c r="U740" s="426"/>
      <c r="V740" s="426"/>
      <c r="W740" s="426"/>
    </row>
    <row r="741" spans="1:23" hidden="1" x14ac:dyDescent="0.25">
      <c r="A741" s="426"/>
      <c r="B741" s="426"/>
      <c r="C741" s="415"/>
      <c r="D741" s="421" t="str">
        <f>D740&amp;"KW"</f>
        <v>KW</v>
      </c>
      <c r="E741" s="414" t="s">
        <v>380</v>
      </c>
      <c r="F741" s="1840"/>
      <c r="G741" s="1841"/>
      <c r="H741" s="1840"/>
      <c r="I741" s="1841"/>
      <c r="J741" s="1840"/>
      <c r="K741" s="1841"/>
      <c r="L741" s="1840"/>
      <c r="M741" s="1841"/>
      <c r="N741" s="1840"/>
      <c r="O741" s="1841"/>
      <c r="P741" s="426"/>
      <c r="Q741" s="426"/>
      <c r="R741" s="426"/>
      <c r="S741" s="426"/>
      <c r="T741" s="426"/>
      <c r="U741" s="426"/>
      <c r="V741" s="426"/>
      <c r="W741" s="426"/>
    </row>
    <row r="742" spans="1:23" hidden="1" x14ac:dyDescent="0.25">
      <c r="A742" s="426"/>
      <c r="B742" s="426"/>
      <c r="C742" s="415" t="s">
        <v>660</v>
      </c>
      <c r="D742" s="460"/>
      <c r="E742" s="414" t="s">
        <v>379</v>
      </c>
      <c r="F742" s="1840"/>
      <c r="G742" s="1841"/>
      <c r="H742" s="1840"/>
      <c r="I742" s="1841"/>
      <c r="J742" s="1840"/>
      <c r="K742" s="1841"/>
      <c r="L742" s="1840"/>
      <c r="M742" s="1841"/>
      <c r="N742" s="1840"/>
      <c r="O742" s="1841"/>
      <c r="P742" s="426"/>
      <c r="Q742" s="426"/>
      <c r="R742" s="426"/>
      <c r="S742" s="426"/>
      <c r="T742" s="426"/>
      <c r="U742" s="426"/>
      <c r="V742" s="426"/>
      <c r="W742" s="426"/>
    </row>
    <row r="743" spans="1:23" hidden="1" x14ac:dyDescent="0.25">
      <c r="A743" s="426"/>
      <c r="B743" s="426"/>
      <c r="C743" s="415"/>
      <c r="D743" s="421" t="str">
        <f>D742&amp;"KW"</f>
        <v>KW</v>
      </c>
      <c r="E743" s="414" t="s">
        <v>380</v>
      </c>
      <c r="F743" s="1840"/>
      <c r="G743" s="1841"/>
      <c r="H743" s="1840"/>
      <c r="I743" s="1841"/>
      <c r="J743" s="1840"/>
      <c r="K743" s="1841"/>
      <c r="L743" s="1840"/>
      <c r="M743" s="1841"/>
      <c r="N743" s="1840"/>
      <c r="O743" s="1841"/>
      <c r="P743" s="426"/>
      <c r="Q743" s="426"/>
      <c r="R743" s="426"/>
      <c r="S743" s="426"/>
      <c r="T743" s="426"/>
      <c r="U743" s="426"/>
      <c r="V743" s="426"/>
      <c r="W743" s="426"/>
    </row>
    <row r="744" spans="1:23" hidden="1" x14ac:dyDescent="0.25">
      <c r="A744" s="426"/>
      <c r="B744" s="426"/>
      <c r="C744" s="415" t="s">
        <v>661</v>
      </c>
      <c r="D744" s="460"/>
      <c r="E744" s="414" t="s">
        <v>379</v>
      </c>
      <c r="F744" s="1840"/>
      <c r="G744" s="1841"/>
      <c r="H744" s="1840"/>
      <c r="I744" s="1841"/>
      <c r="J744" s="1840"/>
      <c r="K744" s="1841"/>
      <c r="L744" s="1840"/>
      <c r="M744" s="1841"/>
      <c r="N744" s="1840"/>
      <c r="O744" s="1841"/>
      <c r="P744" s="426"/>
      <c r="Q744" s="426"/>
      <c r="R744" s="426"/>
      <c r="S744" s="426"/>
      <c r="T744" s="426"/>
      <c r="U744" s="426"/>
      <c r="V744" s="426"/>
      <c r="W744" s="426"/>
    </row>
    <row r="745" spans="1:23" hidden="1" x14ac:dyDescent="0.25">
      <c r="A745" s="426"/>
      <c r="B745" s="426"/>
      <c r="C745" s="415"/>
      <c r="D745" s="421" t="str">
        <f>D744&amp;"KW"</f>
        <v>KW</v>
      </c>
      <c r="E745" s="414" t="s">
        <v>380</v>
      </c>
      <c r="F745" s="1840"/>
      <c r="G745" s="1841"/>
      <c r="H745" s="1840"/>
      <c r="I745" s="1841"/>
      <c r="J745" s="1840"/>
      <c r="K745" s="1841"/>
      <c r="L745" s="1840"/>
      <c r="M745" s="1841"/>
      <c r="N745" s="1840"/>
      <c r="O745" s="1841"/>
      <c r="P745" s="426"/>
      <c r="Q745" s="426"/>
      <c r="R745" s="426"/>
      <c r="S745" s="426"/>
      <c r="T745" s="426"/>
      <c r="U745" s="426"/>
      <c r="V745" s="426"/>
      <c r="W745" s="426"/>
    </row>
    <row r="746" spans="1:23" hidden="1" x14ac:dyDescent="0.25">
      <c r="A746" s="426"/>
      <c r="B746" s="426"/>
      <c r="C746" s="415" t="s">
        <v>662</v>
      </c>
      <c r="D746" s="460"/>
      <c r="E746" s="414" t="s">
        <v>379</v>
      </c>
      <c r="F746" s="1840"/>
      <c r="G746" s="1841"/>
      <c r="H746" s="1840"/>
      <c r="I746" s="1841"/>
      <c r="J746" s="1840"/>
      <c r="K746" s="1841"/>
      <c r="L746" s="1840"/>
      <c r="M746" s="1841"/>
      <c r="N746" s="1840"/>
      <c r="O746" s="1841"/>
      <c r="P746" s="426"/>
      <c r="Q746" s="426"/>
      <c r="R746" s="426"/>
      <c r="S746" s="426"/>
      <c r="T746" s="426"/>
      <c r="U746" s="426"/>
      <c r="V746" s="426"/>
      <c r="W746" s="426"/>
    </row>
    <row r="747" spans="1:23" hidden="1" x14ac:dyDescent="0.25">
      <c r="A747" s="426"/>
      <c r="B747" s="426"/>
      <c r="C747" s="415"/>
      <c r="D747" s="421" t="str">
        <f>D746&amp;"KW"</f>
        <v>KW</v>
      </c>
      <c r="E747" s="414" t="s">
        <v>380</v>
      </c>
      <c r="F747" s="1840"/>
      <c r="G747" s="1841"/>
      <c r="H747" s="1840"/>
      <c r="I747" s="1841"/>
      <c r="J747" s="1840"/>
      <c r="K747" s="1841"/>
      <c r="L747" s="1840"/>
      <c r="M747" s="1841"/>
      <c r="N747" s="1840"/>
      <c r="O747" s="1841"/>
      <c r="P747" s="426"/>
      <c r="Q747" s="426"/>
      <c r="R747" s="426"/>
      <c r="S747" s="426"/>
      <c r="T747" s="426"/>
      <c r="U747" s="426"/>
      <c r="V747" s="426"/>
      <c r="W747" s="426"/>
    </row>
    <row r="748" spans="1:23" hidden="1" x14ac:dyDescent="0.25">
      <c r="A748" s="426"/>
      <c r="B748" s="426"/>
      <c r="C748" s="415" t="s">
        <v>663</v>
      </c>
      <c r="D748" s="460"/>
      <c r="E748" s="414" t="s">
        <v>379</v>
      </c>
      <c r="F748" s="1840"/>
      <c r="G748" s="1841"/>
      <c r="H748" s="1840"/>
      <c r="I748" s="1841"/>
      <c r="J748" s="1840"/>
      <c r="K748" s="1841"/>
      <c r="L748" s="1840"/>
      <c r="M748" s="1841"/>
      <c r="N748" s="1840"/>
      <c r="O748" s="1841"/>
      <c r="P748" s="426"/>
      <c r="Q748" s="426"/>
      <c r="R748" s="426"/>
      <c r="S748" s="426"/>
      <c r="T748" s="426"/>
      <c r="U748" s="426"/>
      <c r="V748" s="426"/>
      <c r="W748" s="426"/>
    </row>
    <row r="749" spans="1:23" hidden="1" x14ac:dyDescent="0.25">
      <c r="A749" s="426"/>
      <c r="B749" s="426"/>
      <c r="C749" s="415"/>
      <c r="D749" s="421" t="str">
        <f>D748&amp;"KW"</f>
        <v>KW</v>
      </c>
      <c r="E749" s="414" t="s">
        <v>380</v>
      </c>
      <c r="F749" s="1840"/>
      <c r="G749" s="1841"/>
      <c r="H749" s="1840"/>
      <c r="I749" s="1841"/>
      <c r="J749" s="1840"/>
      <c r="K749" s="1841"/>
      <c r="L749" s="1840"/>
      <c r="M749" s="1841"/>
      <c r="N749" s="1840"/>
      <c r="O749" s="1841"/>
      <c r="P749" s="426"/>
      <c r="Q749" s="426"/>
      <c r="R749" s="426"/>
      <c r="S749" s="426"/>
      <c r="T749" s="426"/>
      <c r="U749" s="426"/>
      <c r="V749" s="426"/>
      <c r="W749" s="426"/>
    </row>
    <row r="750" spans="1:23" hidden="1" x14ac:dyDescent="0.25">
      <c r="A750" s="426"/>
      <c r="B750" s="426"/>
      <c r="C750" s="415" t="s">
        <v>664</v>
      </c>
      <c r="D750" s="460"/>
      <c r="E750" s="414" t="s">
        <v>379</v>
      </c>
      <c r="F750" s="1840"/>
      <c r="G750" s="1841"/>
      <c r="H750" s="1840"/>
      <c r="I750" s="1841"/>
      <c r="J750" s="1840"/>
      <c r="K750" s="1841"/>
      <c r="L750" s="1840"/>
      <c r="M750" s="1841"/>
      <c r="N750" s="1840"/>
      <c r="O750" s="1841"/>
      <c r="P750" s="426"/>
      <c r="Q750" s="426"/>
      <c r="R750" s="426"/>
      <c r="S750" s="426"/>
      <c r="T750" s="426"/>
      <c r="U750" s="426"/>
      <c r="V750" s="426"/>
      <c r="W750" s="426"/>
    </row>
    <row r="751" spans="1:23" hidden="1" x14ac:dyDescent="0.25">
      <c r="A751" s="426"/>
      <c r="B751" s="426"/>
      <c r="C751" s="415"/>
      <c r="D751" s="421" t="str">
        <f>D750&amp;"KW"</f>
        <v>KW</v>
      </c>
      <c r="E751" s="414" t="s">
        <v>380</v>
      </c>
      <c r="F751" s="1840"/>
      <c r="G751" s="1841"/>
      <c r="H751" s="1840"/>
      <c r="I751" s="1841"/>
      <c r="J751" s="1840"/>
      <c r="K751" s="1841"/>
      <c r="L751" s="1840"/>
      <c r="M751" s="1841"/>
      <c r="N751" s="1840"/>
      <c r="O751" s="1841"/>
      <c r="P751" s="426"/>
      <c r="Q751" s="426"/>
      <c r="R751" s="426"/>
      <c r="S751" s="426"/>
      <c r="T751" s="426"/>
      <c r="U751" s="426"/>
      <c r="V751" s="426"/>
      <c r="W751" s="426"/>
    </row>
    <row r="752" spans="1:23" hidden="1" x14ac:dyDescent="0.25">
      <c r="A752" s="426"/>
      <c r="B752" s="426"/>
      <c r="C752" s="415" t="s">
        <v>665</v>
      </c>
      <c r="D752" s="460"/>
      <c r="E752" s="414" t="s">
        <v>379</v>
      </c>
      <c r="F752" s="1840"/>
      <c r="G752" s="1841"/>
      <c r="H752" s="1840"/>
      <c r="I752" s="1841"/>
      <c r="J752" s="1840"/>
      <c r="K752" s="1841"/>
      <c r="L752" s="1840"/>
      <c r="M752" s="1841"/>
      <c r="N752" s="1840"/>
      <c r="O752" s="1841"/>
      <c r="P752" s="426"/>
      <c r="Q752" s="426"/>
      <c r="R752" s="426"/>
      <c r="S752" s="426"/>
      <c r="T752" s="426"/>
      <c r="U752" s="426"/>
      <c r="V752" s="426"/>
      <c r="W752" s="426"/>
    </row>
    <row r="753" spans="1:23" hidden="1" x14ac:dyDescent="0.25">
      <c r="A753" s="426"/>
      <c r="B753" s="426"/>
      <c r="C753" s="415"/>
      <c r="D753" s="421" t="str">
        <f>D752&amp;"KW"</f>
        <v>KW</v>
      </c>
      <c r="E753" s="414" t="s">
        <v>380</v>
      </c>
      <c r="F753" s="1840"/>
      <c r="G753" s="1841"/>
      <c r="H753" s="1840"/>
      <c r="I753" s="1841"/>
      <c r="J753" s="1840"/>
      <c r="K753" s="1841"/>
      <c r="L753" s="1840"/>
      <c r="M753" s="1841"/>
      <c r="N753" s="1840"/>
      <c r="O753" s="1841"/>
      <c r="P753" s="426"/>
      <c r="Q753" s="426"/>
      <c r="R753" s="426"/>
      <c r="S753" s="426"/>
      <c r="T753" s="426"/>
      <c r="U753" s="426"/>
      <c r="V753" s="426"/>
      <c r="W753" s="426"/>
    </row>
    <row r="754" spans="1:23" hidden="1" x14ac:dyDescent="0.25">
      <c r="A754" s="426"/>
      <c r="B754" s="426"/>
      <c r="C754" s="415" t="s">
        <v>666</v>
      </c>
      <c r="D754" s="460"/>
      <c r="E754" s="414" t="s">
        <v>379</v>
      </c>
      <c r="F754" s="1840"/>
      <c r="G754" s="1841"/>
      <c r="H754" s="1840"/>
      <c r="I754" s="1841"/>
      <c r="J754" s="1840"/>
      <c r="K754" s="1841"/>
      <c r="L754" s="1840"/>
      <c r="M754" s="1841"/>
      <c r="N754" s="1840"/>
      <c r="O754" s="1841"/>
      <c r="P754" s="426"/>
      <c r="Q754" s="426"/>
      <c r="R754" s="426"/>
      <c r="S754" s="426"/>
      <c r="T754" s="426"/>
      <c r="U754" s="426"/>
      <c r="V754" s="426"/>
      <c r="W754" s="426"/>
    </row>
    <row r="755" spans="1:23" hidden="1" x14ac:dyDescent="0.25">
      <c r="A755" s="426"/>
      <c r="B755" s="426"/>
      <c r="C755" s="415"/>
      <c r="D755" s="421" t="str">
        <f>D754&amp;"KW"</f>
        <v>KW</v>
      </c>
      <c r="E755" s="414" t="s">
        <v>380</v>
      </c>
      <c r="F755" s="1840"/>
      <c r="G755" s="1841"/>
      <c r="H755" s="1840"/>
      <c r="I755" s="1841"/>
      <c r="J755" s="1840"/>
      <c r="K755" s="1841"/>
      <c r="L755" s="1840"/>
      <c r="M755" s="1841"/>
      <c r="N755" s="1840"/>
      <c r="O755" s="1841"/>
      <c r="P755" s="426"/>
      <c r="Q755" s="426"/>
      <c r="R755" s="426"/>
      <c r="S755" s="426"/>
      <c r="T755" s="426"/>
      <c r="U755" s="426"/>
      <c r="V755" s="426"/>
      <c r="W755" s="426"/>
    </row>
    <row r="756" spans="1:23" hidden="1" x14ac:dyDescent="0.25">
      <c r="A756" s="426"/>
      <c r="B756" s="426"/>
      <c r="C756" s="415" t="s">
        <v>667</v>
      </c>
      <c r="D756" s="460"/>
      <c r="E756" s="414" t="s">
        <v>379</v>
      </c>
      <c r="F756" s="1840"/>
      <c r="G756" s="1841"/>
      <c r="H756" s="1840"/>
      <c r="I756" s="1841"/>
      <c r="J756" s="1840"/>
      <c r="K756" s="1841"/>
      <c r="L756" s="1840"/>
      <c r="M756" s="1841"/>
      <c r="N756" s="1840"/>
      <c r="O756" s="1841"/>
      <c r="P756" s="426"/>
      <c r="Q756" s="426"/>
      <c r="R756" s="426"/>
      <c r="S756" s="426"/>
      <c r="T756" s="426"/>
      <c r="U756" s="426"/>
      <c r="V756" s="426"/>
      <c r="W756" s="426"/>
    </row>
    <row r="757" spans="1:23" hidden="1" x14ac:dyDescent="0.25">
      <c r="A757" s="426"/>
      <c r="B757" s="426"/>
      <c r="C757" s="415"/>
      <c r="D757" s="421" t="str">
        <f>D756&amp;"KW"</f>
        <v>KW</v>
      </c>
      <c r="E757" s="414" t="s">
        <v>380</v>
      </c>
      <c r="F757" s="1840"/>
      <c r="G757" s="1841"/>
      <c r="H757" s="1840"/>
      <c r="I757" s="1841"/>
      <c r="J757" s="1840"/>
      <c r="K757" s="1841"/>
      <c r="L757" s="1840"/>
      <c r="M757" s="1841"/>
      <c r="N757" s="1840"/>
      <c r="O757" s="1841"/>
      <c r="P757" s="426"/>
      <c r="Q757" s="426"/>
      <c r="R757" s="426"/>
      <c r="S757" s="426"/>
      <c r="T757" s="426"/>
      <c r="U757" s="426"/>
      <c r="V757" s="426"/>
      <c r="W757" s="426"/>
    </row>
    <row r="758" spans="1:23" hidden="1" x14ac:dyDescent="0.25">
      <c r="A758" s="426"/>
      <c r="B758" s="426"/>
      <c r="C758" s="415" t="s">
        <v>668</v>
      </c>
      <c r="D758" s="460"/>
      <c r="E758" s="414" t="s">
        <v>379</v>
      </c>
      <c r="F758" s="1840"/>
      <c r="G758" s="1841"/>
      <c r="H758" s="1840"/>
      <c r="I758" s="1841"/>
      <c r="J758" s="1840"/>
      <c r="K758" s="1841"/>
      <c r="L758" s="1840"/>
      <c r="M758" s="1841"/>
      <c r="N758" s="1840"/>
      <c r="O758" s="1841"/>
      <c r="P758" s="426"/>
      <c r="Q758" s="426"/>
      <c r="R758" s="426"/>
      <c r="S758" s="426"/>
      <c r="T758" s="426"/>
      <c r="U758" s="426"/>
      <c r="V758" s="426"/>
      <c r="W758" s="426"/>
    </row>
    <row r="759" spans="1:23" hidden="1" x14ac:dyDescent="0.25">
      <c r="A759" s="426"/>
      <c r="B759" s="426"/>
      <c r="C759" s="415"/>
      <c r="D759" s="421" t="str">
        <f>D758&amp;"KW"</f>
        <v>KW</v>
      </c>
      <c r="E759" s="414" t="s">
        <v>380</v>
      </c>
      <c r="F759" s="1840"/>
      <c r="G759" s="1841"/>
      <c r="H759" s="1840"/>
      <c r="I759" s="1841"/>
      <c r="J759" s="1840"/>
      <c r="K759" s="1841"/>
      <c r="L759" s="1840"/>
      <c r="M759" s="1841"/>
      <c r="N759" s="1840"/>
      <c r="O759" s="1841"/>
      <c r="P759" s="426"/>
      <c r="Q759" s="426"/>
      <c r="R759" s="426"/>
      <c r="S759" s="426"/>
      <c r="T759" s="426"/>
      <c r="U759" s="426"/>
      <c r="V759" s="426"/>
      <c r="W759" s="426"/>
    </row>
    <row r="760" spans="1:23" hidden="1" x14ac:dyDescent="0.25">
      <c r="A760" s="426"/>
      <c r="B760" s="426"/>
      <c r="C760" s="415" t="s">
        <v>669</v>
      </c>
      <c r="D760" s="460"/>
      <c r="E760" s="414" t="s">
        <v>379</v>
      </c>
      <c r="F760" s="1840"/>
      <c r="G760" s="1841"/>
      <c r="H760" s="1840"/>
      <c r="I760" s="1841"/>
      <c r="J760" s="1840"/>
      <c r="K760" s="1841"/>
      <c r="L760" s="1840"/>
      <c r="M760" s="1841"/>
      <c r="N760" s="1840"/>
      <c r="O760" s="1841"/>
      <c r="P760" s="426"/>
      <c r="Q760" s="426"/>
      <c r="R760" s="426"/>
      <c r="S760" s="426"/>
      <c r="T760" s="426"/>
      <c r="U760" s="426"/>
      <c r="V760" s="426"/>
      <c r="W760" s="426"/>
    </row>
    <row r="761" spans="1:23" hidden="1" x14ac:dyDescent="0.25">
      <c r="A761" s="426"/>
      <c r="B761" s="426"/>
      <c r="C761" s="415"/>
      <c r="D761" s="421" t="str">
        <f>D760&amp;"KW"</f>
        <v>KW</v>
      </c>
      <c r="E761" s="414" t="s">
        <v>380</v>
      </c>
      <c r="F761" s="1840"/>
      <c r="G761" s="1841"/>
      <c r="H761" s="1840"/>
      <c r="I761" s="1841"/>
      <c r="J761" s="1840"/>
      <c r="K761" s="1841"/>
      <c r="L761" s="1840"/>
      <c r="M761" s="1841"/>
      <c r="N761" s="1840"/>
      <c r="O761" s="1841"/>
      <c r="P761" s="426"/>
      <c r="Q761" s="426"/>
      <c r="R761" s="426"/>
      <c r="S761" s="426"/>
      <c r="T761" s="426"/>
      <c r="U761" s="426"/>
      <c r="V761" s="426"/>
      <c r="W761" s="426"/>
    </row>
    <row r="762" spans="1:23" hidden="1" x14ac:dyDescent="0.25">
      <c r="A762" s="426"/>
      <c r="B762" s="426"/>
      <c r="C762" s="415" t="s">
        <v>670</v>
      </c>
      <c r="D762" s="460"/>
      <c r="E762" s="414" t="s">
        <v>379</v>
      </c>
      <c r="F762" s="1840"/>
      <c r="G762" s="1841"/>
      <c r="H762" s="1840"/>
      <c r="I762" s="1841"/>
      <c r="J762" s="1840"/>
      <c r="K762" s="1841"/>
      <c r="L762" s="1840"/>
      <c r="M762" s="1841"/>
      <c r="N762" s="1840"/>
      <c r="O762" s="1841"/>
      <c r="P762" s="426"/>
      <c r="Q762" s="426"/>
      <c r="R762" s="426"/>
      <c r="S762" s="426"/>
      <c r="T762" s="426"/>
      <c r="U762" s="426"/>
      <c r="V762" s="426"/>
      <c r="W762" s="426"/>
    </row>
    <row r="763" spans="1:23" hidden="1" x14ac:dyDescent="0.25">
      <c r="A763" s="426"/>
      <c r="B763" s="426"/>
      <c r="C763" s="415"/>
      <c r="D763" s="421" t="str">
        <f>D762&amp;"KW"</f>
        <v>KW</v>
      </c>
      <c r="E763" s="414" t="s">
        <v>380</v>
      </c>
      <c r="F763" s="1840"/>
      <c r="G763" s="1841"/>
      <c r="H763" s="1840"/>
      <c r="I763" s="1841"/>
      <c r="J763" s="1840"/>
      <c r="K763" s="1841"/>
      <c r="L763" s="1840"/>
      <c r="M763" s="1841"/>
      <c r="N763" s="1840"/>
      <c r="O763" s="1841"/>
      <c r="P763" s="426"/>
      <c r="Q763" s="426"/>
      <c r="R763" s="426"/>
      <c r="S763" s="426"/>
      <c r="T763" s="426"/>
      <c r="U763" s="426"/>
      <c r="V763" s="426"/>
      <c r="W763" s="426"/>
    </row>
    <row r="764" spans="1:23" hidden="1" x14ac:dyDescent="0.25">
      <c r="A764" s="426"/>
      <c r="B764" s="426"/>
      <c r="C764" s="415" t="s">
        <v>671</v>
      </c>
      <c r="D764" s="460"/>
      <c r="E764" s="414" t="s">
        <v>379</v>
      </c>
      <c r="F764" s="1840"/>
      <c r="G764" s="1841"/>
      <c r="H764" s="1840"/>
      <c r="I764" s="1841"/>
      <c r="J764" s="1840"/>
      <c r="K764" s="1841"/>
      <c r="L764" s="1840"/>
      <c r="M764" s="1841"/>
      <c r="N764" s="1840"/>
      <c r="O764" s="1841"/>
      <c r="P764" s="426"/>
      <c r="Q764" s="426"/>
      <c r="R764" s="426"/>
      <c r="S764" s="426"/>
      <c r="T764" s="426"/>
      <c r="U764" s="426"/>
      <c r="V764" s="426"/>
      <c r="W764" s="426"/>
    </row>
    <row r="765" spans="1:23" hidden="1" x14ac:dyDescent="0.25">
      <c r="A765" s="426"/>
      <c r="B765" s="426"/>
      <c r="C765" s="415"/>
      <c r="D765" s="421" t="str">
        <f>D764&amp;"KW"</f>
        <v>KW</v>
      </c>
      <c r="E765" s="414" t="s">
        <v>380</v>
      </c>
      <c r="F765" s="1840"/>
      <c r="G765" s="1841"/>
      <c r="H765" s="1840"/>
      <c r="I765" s="1841"/>
      <c r="J765" s="1840"/>
      <c r="K765" s="1841"/>
      <c r="L765" s="1840"/>
      <c r="M765" s="1841"/>
      <c r="N765" s="1840"/>
      <c r="O765" s="1841"/>
      <c r="P765" s="426"/>
      <c r="Q765" s="426"/>
      <c r="R765" s="426"/>
      <c r="S765" s="426"/>
      <c r="T765" s="426"/>
      <c r="U765" s="426"/>
      <c r="V765" s="426"/>
      <c r="W765" s="426"/>
    </row>
    <row r="766" spans="1:23" hidden="1" x14ac:dyDescent="0.25">
      <c r="A766" s="426"/>
      <c r="B766" s="426"/>
      <c r="C766" s="415" t="s">
        <v>672</v>
      </c>
      <c r="D766" s="460"/>
      <c r="E766" s="414" t="s">
        <v>379</v>
      </c>
      <c r="F766" s="1840"/>
      <c r="G766" s="1841"/>
      <c r="H766" s="1840"/>
      <c r="I766" s="1841"/>
      <c r="J766" s="1840"/>
      <c r="K766" s="1841"/>
      <c r="L766" s="1840"/>
      <c r="M766" s="1841"/>
      <c r="N766" s="1840"/>
      <c r="O766" s="1841"/>
      <c r="P766" s="426"/>
      <c r="Q766" s="426"/>
      <c r="R766" s="426"/>
      <c r="S766" s="426"/>
      <c r="T766" s="426"/>
      <c r="U766" s="426"/>
      <c r="V766" s="426"/>
      <c r="W766" s="426"/>
    </row>
    <row r="767" spans="1:23" hidden="1" x14ac:dyDescent="0.25">
      <c r="A767" s="426"/>
      <c r="B767" s="426"/>
      <c r="C767" s="415"/>
      <c r="D767" s="421" t="str">
        <f>D766&amp;"KW"</f>
        <v>KW</v>
      </c>
      <c r="E767" s="414" t="s">
        <v>380</v>
      </c>
      <c r="F767" s="1840"/>
      <c r="G767" s="1841"/>
      <c r="H767" s="1840"/>
      <c r="I767" s="1841"/>
      <c r="J767" s="1840"/>
      <c r="K767" s="1841"/>
      <c r="L767" s="1840"/>
      <c r="M767" s="1841"/>
      <c r="N767" s="1840"/>
      <c r="O767" s="1841"/>
      <c r="P767" s="426"/>
      <c r="Q767" s="426"/>
      <c r="R767" s="426"/>
      <c r="S767" s="426"/>
      <c r="T767" s="426"/>
      <c r="U767" s="426"/>
      <c r="V767" s="426"/>
      <c r="W767" s="426"/>
    </row>
    <row r="768" spans="1:23" hidden="1" x14ac:dyDescent="0.25">
      <c r="A768" s="426"/>
      <c r="B768" s="426"/>
      <c r="C768" s="415" t="s">
        <v>673</v>
      </c>
      <c r="D768" s="460"/>
      <c r="E768" s="414" t="s">
        <v>379</v>
      </c>
      <c r="F768" s="1840"/>
      <c r="G768" s="1841"/>
      <c r="H768" s="1840"/>
      <c r="I768" s="1841"/>
      <c r="J768" s="1840"/>
      <c r="K768" s="1841"/>
      <c r="L768" s="1840"/>
      <c r="M768" s="1841"/>
      <c r="N768" s="1840"/>
      <c r="O768" s="1841"/>
      <c r="P768" s="426"/>
      <c r="Q768" s="426"/>
      <c r="R768" s="426"/>
      <c r="S768" s="426"/>
      <c r="T768" s="426"/>
      <c r="U768" s="426"/>
      <c r="V768" s="426"/>
      <c r="W768" s="426"/>
    </row>
    <row r="769" spans="1:23" hidden="1" x14ac:dyDescent="0.25">
      <c r="A769" s="426"/>
      <c r="B769" s="426"/>
      <c r="C769" s="415"/>
      <c r="D769" s="421" t="str">
        <f>D768&amp;"KW"</f>
        <v>KW</v>
      </c>
      <c r="E769" s="414" t="s">
        <v>380</v>
      </c>
      <c r="F769" s="1840"/>
      <c r="G769" s="1841"/>
      <c r="H769" s="1840"/>
      <c r="I769" s="1841"/>
      <c r="J769" s="1840"/>
      <c r="K769" s="1841"/>
      <c r="L769" s="1840"/>
      <c r="M769" s="1841"/>
      <c r="N769" s="1840"/>
      <c r="O769" s="1841"/>
      <c r="P769" s="426"/>
      <c r="Q769" s="426"/>
      <c r="R769" s="426"/>
      <c r="S769" s="426"/>
      <c r="T769" s="426"/>
      <c r="U769" s="426"/>
      <c r="V769" s="426"/>
      <c r="W769" s="426"/>
    </row>
    <row r="770" spans="1:23" hidden="1" x14ac:dyDescent="0.25">
      <c r="A770" s="426"/>
      <c r="B770" s="426"/>
      <c r="C770" s="415" t="s">
        <v>674</v>
      </c>
      <c r="D770" s="460"/>
      <c r="E770" s="414" t="s">
        <v>379</v>
      </c>
      <c r="F770" s="1840"/>
      <c r="G770" s="1841"/>
      <c r="H770" s="1840"/>
      <c r="I770" s="1841"/>
      <c r="J770" s="1840"/>
      <c r="K770" s="1841"/>
      <c r="L770" s="1840"/>
      <c r="M770" s="1841"/>
      <c r="N770" s="1840"/>
      <c r="O770" s="1841"/>
      <c r="P770" s="426"/>
      <c r="Q770" s="426"/>
      <c r="R770" s="426"/>
      <c r="S770" s="426"/>
      <c r="T770" s="426"/>
      <c r="U770" s="426"/>
      <c r="V770" s="426"/>
      <c r="W770" s="426"/>
    </row>
    <row r="771" spans="1:23" hidden="1" x14ac:dyDescent="0.25">
      <c r="A771" s="426"/>
      <c r="B771" s="426"/>
      <c r="C771" s="415"/>
      <c r="D771" s="421" t="str">
        <f>D770&amp;"KW"</f>
        <v>KW</v>
      </c>
      <c r="E771" s="414" t="s">
        <v>380</v>
      </c>
      <c r="F771" s="1840"/>
      <c r="G771" s="1841"/>
      <c r="H771" s="1840"/>
      <c r="I771" s="1841"/>
      <c r="J771" s="1840"/>
      <c r="K771" s="1841"/>
      <c r="L771" s="1840"/>
      <c r="M771" s="1841"/>
      <c r="N771" s="1840"/>
      <c r="O771" s="1841"/>
      <c r="P771" s="426"/>
      <c r="Q771" s="426"/>
      <c r="R771" s="426"/>
      <c r="S771" s="426"/>
      <c r="T771" s="426"/>
      <c r="U771" s="426"/>
      <c r="V771" s="426"/>
      <c r="W771" s="426"/>
    </row>
    <row r="772" spans="1:23" hidden="1" x14ac:dyDescent="0.25">
      <c r="A772" s="426"/>
      <c r="B772" s="426"/>
      <c r="C772" s="415" t="s">
        <v>675</v>
      </c>
      <c r="D772" s="460"/>
      <c r="E772" s="414" t="s">
        <v>379</v>
      </c>
      <c r="F772" s="1840"/>
      <c r="G772" s="1841"/>
      <c r="H772" s="1840"/>
      <c r="I772" s="1841"/>
      <c r="J772" s="1840"/>
      <c r="K772" s="1841"/>
      <c r="L772" s="1840"/>
      <c r="M772" s="1841"/>
      <c r="N772" s="1840"/>
      <c r="O772" s="1841"/>
      <c r="P772" s="426"/>
      <c r="Q772" s="426"/>
      <c r="R772" s="426"/>
      <c r="S772" s="426"/>
      <c r="T772" s="426"/>
      <c r="U772" s="426"/>
      <c r="V772" s="426"/>
      <c r="W772" s="426"/>
    </row>
    <row r="773" spans="1:23" hidden="1" x14ac:dyDescent="0.25">
      <c r="A773" s="426"/>
      <c r="B773" s="426"/>
      <c r="C773" s="415"/>
      <c r="D773" s="462" t="str">
        <f>D772&amp;"KW"</f>
        <v>KW</v>
      </c>
      <c r="E773" s="414" t="s">
        <v>380</v>
      </c>
      <c r="F773" s="1840"/>
      <c r="G773" s="1841"/>
      <c r="H773" s="1840"/>
      <c r="I773" s="1841"/>
      <c r="J773" s="1840"/>
      <c r="K773" s="1841"/>
      <c r="L773" s="1840"/>
      <c r="M773" s="1841"/>
      <c r="N773" s="1840"/>
      <c r="O773" s="1841"/>
      <c r="P773" s="426"/>
      <c r="Q773" s="426"/>
      <c r="R773" s="426"/>
      <c r="S773" s="426"/>
      <c r="T773" s="426"/>
      <c r="U773" s="426"/>
      <c r="V773" s="426"/>
      <c r="W773" s="426"/>
    </row>
    <row r="774" spans="1:23" hidden="1" x14ac:dyDescent="0.25">
      <c r="A774" s="426"/>
      <c r="B774" s="426"/>
      <c r="C774" s="415" t="s">
        <v>676</v>
      </c>
      <c r="D774" s="460"/>
      <c r="E774" s="414" t="s">
        <v>379</v>
      </c>
      <c r="F774" s="1840"/>
      <c r="G774" s="1841"/>
      <c r="H774" s="1840"/>
      <c r="I774" s="1841"/>
      <c r="J774" s="1840"/>
      <c r="K774" s="1841"/>
      <c r="L774" s="1840"/>
      <c r="M774" s="1841"/>
      <c r="N774" s="1840"/>
      <c r="O774" s="1841"/>
      <c r="P774" s="426"/>
      <c r="Q774" s="426"/>
      <c r="R774" s="426"/>
      <c r="S774" s="426"/>
      <c r="T774" s="426"/>
      <c r="U774" s="426"/>
      <c r="V774" s="426"/>
      <c r="W774" s="426"/>
    </row>
    <row r="775" spans="1:23" hidden="1" x14ac:dyDescent="0.25">
      <c r="A775" s="426"/>
      <c r="B775" s="426"/>
      <c r="C775" s="415"/>
      <c r="D775" s="462" t="str">
        <f>D774&amp;"KW"</f>
        <v>KW</v>
      </c>
      <c r="E775" s="414" t="s">
        <v>380</v>
      </c>
      <c r="F775" s="1840"/>
      <c r="G775" s="1841"/>
      <c r="H775" s="1840"/>
      <c r="I775" s="1841"/>
      <c r="J775" s="1840"/>
      <c r="K775" s="1841"/>
      <c r="L775" s="1840"/>
      <c r="M775" s="1841"/>
      <c r="N775" s="1840"/>
      <c r="O775" s="1841"/>
      <c r="P775" s="426"/>
      <c r="Q775" s="426"/>
      <c r="R775" s="426"/>
      <c r="S775" s="426"/>
      <c r="T775" s="426"/>
      <c r="U775" s="426"/>
      <c r="V775" s="426"/>
      <c r="W775" s="426"/>
    </row>
    <row r="776" spans="1:23" hidden="1" x14ac:dyDescent="0.25">
      <c r="A776" s="426"/>
      <c r="B776" s="426"/>
      <c r="C776" s="415" t="s">
        <v>677</v>
      </c>
      <c r="D776" s="460"/>
      <c r="E776" s="414" t="s">
        <v>379</v>
      </c>
      <c r="F776" s="1840"/>
      <c r="G776" s="1841"/>
      <c r="H776" s="1840"/>
      <c r="I776" s="1841"/>
      <c r="J776" s="1840"/>
      <c r="K776" s="1841"/>
      <c r="L776" s="1840"/>
      <c r="M776" s="1841"/>
      <c r="N776" s="1840"/>
      <c r="O776" s="1841"/>
      <c r="P776" s="426"/>
      <c r="Q776" s="426"/>
      <c r="R776" s="426"/>
      <c r="S776" s="426"/>
      <c r="T776" s="426"/>
      <c r="U776" s="426"/>
      <c r="V776" s="426"/>
      <c r="W776" s="426"/>
    </row>
    <row r="777" spans="1:23" hidden="1" x14ac:dyDescent="0.25">
      <c r="A777" s="426"/>
      <c r="B777" s="426"/>
      <c r="C777" s="415"/>
      <c r="D777" s="421" t="str">
        <f>D776&amp;"KW"</f>
        <v>KW</v>
      </c>
      <c r="E777" s="414" t="s">
        <v>380</v>
      </c>
      <c r="F777" s="1840"/>
      <c r="G777" s="1841"/>
      <c r="H777" s="1840"/>
      <c r="I777" s="1841"/>
      <c r="J777" s="1840"/>
      <c r="K777" s="1841"/>
      <c r="L777" s="1840"/>
      <c r="M777" s="1841"/>
      <c r="N777" s="1840"/>
      <c r="O777" s="1841"/>
      <c r="P777" s="426"/>
      <c r="Q777" s="426"/>
      <c r="R777" s="426"/>
      <c r="S777" s="426"/>
      <c r="T777" s="426"/>
      <c r="U777" s="426"/>
      <c r="V777" s="426"/>
      <c r="W777" s="426"/>
    </row>
    <row r="778" spans="1:23" hidden="1" x14ac:dyDescent="0.25">
      <c r="A778" s="426"/>
      <c r="B778" s="426"/>
      <c r="C778" s="415" t="s">
        <v>678</v>
      </c>
      <c r="D778" s="460"/>
      <c r="E778" s="414" t="s">
        <v>379</v>
      </c>
      <c r="F778" s="1840"/>
      <c r="G778" s="1841"/>
      <c r="H778" s="1840"/>
      <c r="I778" s="1841"/>
      <c r="J778" s="1840"/>
      <c r="K778" s="1841"/>
      <c r="L778" s="1840"/>
      <c r="M778" s="1841"/>
      <c r="N778" s="1840"/>
      <c r="O778" s="1841"/>
      <c r="P778" s="426"/>
      <c r="Q778" s="426"/>
      <c r="R778" s="426"/>
      <c r="S778" s="426"/>
      <c r="T778" s="426"/>
      <c r="U778" s="426"/>
      <c r="V778" s="426"/>
      <c r="W778" s="426"/>
    </row>
    <row r="779" spans="1:23" hidden="1" x14ac:dyDescent="0.25">
      <c r="A779" s="426"/>
      <c r="B779" s="426"/>
      <c r="C779" s="415"/>
      <c r="D779" s="421" t="str">
        <f>D778&amp;"KW"</f>
        <v>KW</v>
      </c>
      <c r="E779" s="414" t="s">
        <v>380</v>
      </c>
      <c r="F779" s="1840"/>
      <c r="G779" s="1841"/>
      <c r="H779" s="1840"/>
      <c r="I779" s="1841"/>
      <c r="J779" s="1840"/>
      <c r="K779" s="1841"/>
      <c r="L779" s="1840"/>
      <c r="M779" s="1841"/>
      <c r="N779" s="1840"/>
      <c r="O779" s="1841"/>
      <c r="P779" s="426"/>
      <c r="Q779" s="426"/>
      <c r="R779" s="426"/>
      <c r="S779" s="426"/>
      <c r="T779" s="426"/>
      <c r="U779" s="426"/>
      <c r="V779" s="426"/>
      <c r="W779" s="426"/>
    </row>
    <row r="780" spans="1:23" hidden="1" x14ac:dyDescent="0.25">
      <c r="A780" s="426"/>
      <c r="B780" s="426"/>
      <c r="C780" s="415" t="s">
        <v>679</v>
      </c>
      <c r="D780" s="460"/>
      <c r="E780" s="414" t="s">
        <v>379</v>
      </c>
      <c r="F780" s="1840"/>
      <c r="G780" s="1841"/>
      <c r="H780" s="1840"/>
      <c r="I780" s="1841"/>
      <c r="J780" s="1840"/>
      <c r="K780" s="1841"/>
      <c r="L780" s="1840"/>
      <c r="M780" s="1841"/>
      <c r="N780" s="1840"/>
      <c r="O780" s="1841"/>
      <c r="P780" s="426"/>
      <c r="Q780" s="426"/>
      <c r="R780" s="426"/>
      <c r="S780" s="426"/>
      <c r="T780" s="426"/>
      <c r="U780" s="426"/>
      <c r="V780" s="426"/>
      <c r="W780" s="426"/>
    </row>
    <row r="781" spans="1:23" hidden="1" x14ac:dyDescent="0.25">
      <c r="A781" s="426"/>
      <c r="B781" s="426"/>
      <c r="C781" s="415"/>
      <c r="D781" s="421" t="str">
        <f>D780&amp;"KW"</f>
        <v>KW</v>
      </c>
      <c r="E781" s="414" t="s">
        <v>380</v>
      </c>
      <c r="F781" s="1840"/>
      <c r="G781" s="1841"/>
      <c r="H781" s="1840"/>
      <c r="I781" s="1841"/>
      <c r="J781" s="1840"/>
      <c r="K781" s="1841"/>
      <c r="L781" s="1840"/>
      <c r="M781" s="1841"/>
      <c r="N781" s="1840"/>
      <c r="O781" s="1841"/>
      <c r="P781" s="426"/>
      <c r="Q781" s="426"/>
      <c r="R781" s="426"/>
      <c r="S781" s="426"/>
      <c r="T781" s="426"/>
      <c r="U781" s="426"/>
      <c r="V781" s="426"/>
      <c r="W781" s="426"/>
    </row>
    <row r="782" spans="1:23" hidden="1" x14ac:dyDescent="0.25">
      <c r="A782" s="426"/>
      <c r="B782" s="426"/>
      <c r="C782" s="415" t="s">
        <v>680</v>
      </c>
      <c r="D782" s="460"/>
      <c r="E782" s="414" t="s">
        <v>379</v>
      </c>
      <c r="F782" s="1840"/>
      <c r="G782" s="1841"/>
      <c r="H782" s="1840"/>
      <c r="I782" s="1841"/>
      <c r="J782" s="1840"/>
      <c r="K782" s="1841"/>
      <c r="L782" s="1840"/>
      <c r="M782" s="1841"/>
      <c r="N782" s="1840"/>
      <c r="O782" s="1841"/>
      <c r="P782" s="426"/>
      <c r="Q782" s="426"/>
      <c r="R782" s="426"/>
      <c r="S782" s="426"/>
      <c r="T782" s="426"/>
      <c r="U782" s="426"/>
      <c r="V782" s="426"/>
      <c r="W782" s="426"/>
    </row>
    <row r="783" spans="1:23" hidden="1" x14ac:dyDescent="0.25">
      <c r="A783" s="426"/>
      <c r="B783" s="426"/>
      <c r="C783" s="415"/>
      <c r="D783" s="421" t="str">
        <f>D782&amp;"KW"</f>
        <v>KW</v>
      </c>
      <c r="E783" s="414" t="s">
        <v>380</v>
      </c>
      <c r="F783" s="1840"/>
      <c r="G783" s="1841"/>
      <c r="H783" s="1840"/>
      <c r="I783" s="1841"/>
      <c r="J783" s="1840"/>
      <c r="K783" s="1841"/>
      <c r="L783" s="1840"/>
      <c r="M783" s="1841"/>
      <c r="N783" s="1840"/>
      <c r="O783" s="1841"/>
      <c r="P783" s="426"/>
      <c r="Q783" s="426"/>
      <c r="R783" s="426"/>
      <c r="S783" s="426"/>
      <c r="T783" s="426"/>
      <c r="U783" s="426"/>
      <c r="V783" s="426"/>
      <c r="W783" s="426"/>
    </row>
    <row r="784" spans="1:23" hidden="1" x14ac:dyDescent="0.25">
      <c r="A784" s="426"/>
      <c r="B784" s="426"/>
      <c r="C784" s="415" t="s">
        <v>681</v>
      </c>
      <c r="D784" s="460"/>
      <c r="E784" s="414" t="s">
        <v>379</v>
      </c>
      <c r="F784" s="1840"/>
      <c r="G784" s="1841"/>
      <c r="H784" s="1840"/>
      <c r="I784" s="1841"/>
      <c r="J784" s="1840"/>
      <c r="K784" s="1841"/>
      <c r="L784" s="1840"/>
      <c r="M784" s="1841"/>
      <c r="N784" s="1840"/>
      <c r="O784" s="1841"/>
      <c r="P784" s="426"/>
      <c r="Q784" s="426"/>
      <c r="R784" s="426"/>
      <c r="S784" s="426"/>
      <c r="T784" s="426"/>
      <c r="U784" s="426"/>
      <c r="V784" s="426"/>
      <c r="W784" s="426"/>
    </row>
    <row r="785" spans="1:23" hidden="1" x14ac:dyDescent="0.25">
      <c r="A785" s="426"/>
      <c r="B785" s="426"/>
      <c r="C785" s="415"/>
      <c r="D785" s="421" t="str">
        <f>D784&amp;"KW"</f>
        <v>KW</v>
      </c>
      <c r="E785" s="414" t="s">
        <v>380</v>
      </c>
      <c r="F785" s="1840"/>
      <c r="G785" s="1841"/>
      <c r="H785" s="1840"/>
      <c r="I785" s="1841"/>
      <c r="J785" s="1840"/>
      <c r="K785" s="1841"/>
      <c r="L785" s="1840"/>
      <c r="M785" s="1841"/>
      <c r="N785" s="1840"/>
      <c r="O785" s="1841"/>
      <c r="P785" s="426"/>
      <c r="Q785" s="426"/>
      <c r="R785" s="426"/>
      <c r="S785" s="426"/>
      <c r="T785" s="426"/>
      <c r="U785" s="426"/>
      <c r="V785" s="426"/>
      <c r="W785" s="426"/>
    </row>
    <row r="786" spans="1:23" hidden="1" x14ac:dyDescent="0.25">
      <c r="A786" s="426"/>
      <c r="B786" s="426"/>
      <c r="C786" s="415" t="s">
        <v>682</v>
      </c>
      <c r="D786" s="460"/>
      <c r="E786" s="414" t="s">
        <v>379</v>
      </c>
      <c r="F786" s="1840"/>
      <c r="G786" s="1841"/>
      <c r="H786" s="1840"/>
      <c r="I786" s="1841"/>
      <c r="J786" s="1840"/>
      <c r="K786" s="1841"/>
      <c r="L786" s="1840"/>
      <c r="M786" s="1841"/>
      <c r="N786" s="1840"/>
      <c r="O786" s="1841"/>
      <c r="P786" s="426"/>
      <c r="Q786" s="426"/>
      <c r="R786" s="426"/>
      <c r="S786" s="426"/>
      <c r="T786" s="426"/>
      <c r="U786" s="426"/>
      <c r="V786" s="426"/>
      <c r="W786" s="426"/>
    </row>
    <row r="787" spans="1:23" hidden="1" x14ac:dyDescent="0.25">
      <c r="A787" s="426"/>
      <c r="B787" s="426"/>
      <c r="C787" s="415"/>
      <c r="D787" s="421" t="str">
        <f>D786&amp;"KW"</f>
        <v>KW</v>
      </c>
      <c r="E787" s="414" t="s">
        <v>380</v>
      </c>
      <c r="F787" s="1840"/>
      <c r="G787" s="1841"/>
      <c r="H787" s="1840"/>
      <c r="I787" s="1841"/>
      <c r="J787" s="1840"/>
      <c r="K787" s="1841"/>
      <c r="L787" s="1840"/>
      <c r="M787" s="1841"/>
      <c r="N787" s="1840"/>
      <c r="O787" s="1841"/>
      <c r="P787" s="426"/>
      <c r="Q787" s="426"/>
      <c r="R787" s="426"/>
      <c r="S787" s="426"/>
      <c r="T787" s="426"/>
      <c r="U787" s="426"/>
      <c r="V787" s="426"/>
      <c r="W787" s="426"/>
    </row>
    <row r="788" spans="1:23" hidden="1" x14ac:dyDescent="0.25">
      <c r="A788" s="426"/>
      <c r="B788" s="426"/>
      <c r="C788" s="415" t="s">
        <v>683</v>
      </c>
      <c r="D788" s="460"/>
      <c r="E788" s="414" t="s">
        <v>379</v>
      </c>
      <c r="F788" s="1840"/>
      <c r="G788" s="1841"/>
      <c r="H788" s="1840"/>
      <c r="I788" s="1841"/>
      <c r="J788" s="1840"/>
      <c r="K788" s="1841"/>
      <c r="L788" s="1840"/>
      <c r="M788" s="1841"/>
      <c r="N788" s="1840"/>
      <c r="O788" s="1841"/>
      <c r="P788" s="426"/>
      <c r="Q788" s="426"/>
      <c r="R788" s="426"/>
      <c r="S788" s="426"/>
      <c r="T788" s="426"/>
      <c r="U788" s="426"/>
      <c r="V788" s="426"/>
      <c r="W788" s="426"/>
    </row>
    <row r="789" spans="1:23" hidden="1" x14ac:dyDescent="0.25">
      <c r="A789" s="426"/>
      <c r="B789" s="426"/>
      <c r="C789" s="415"/>
      <c r="D789" s="421" t="str">
        <f>D788&amp;"KW"</f>
        <v>KW</v>
      </c>
      <c r="E789" s="414" t="s">
        <v>380</v>
      </c>
      <c r="F789" s="1840"/>
      <c r="G789" s="1841"/>
      <c r="H789" s="1840"/>
      <c r="I789" s="1841"/>
      <c r="J789" s="1840"/>
      <c r="K789" s="1841"/>
      <c r="L789" s="1840"/>
      <c r="M789" s="1841"/>
      <c r="N789" s="1840"/>
      <c r="O789" s="1841"/>
      <c r="P789" s="426"/>
      <c r="Q789" s="426"/>
      <c r="R789" s="426"/>
      <c r="S789" s="426"/>
      <c r="T789" s="426"/>
      <c r="U789" s="426"/>
      <c r="V789" s="426"/>
      <c r="W789" s="426"/>
    </row>
    <row r="790" spans="1:23" hidden="1" x14ac:dyDescent="0.25">
      <c r="A790" s="426"/>
      <c r="B790" s="426"/>
      <c r="C790" s="415" t="s">
        <v>684</v>
      </c>
      <c r="D790" s="460"/>
      <c r="E790" s="414" t="s">
        <v>379</v>
      </c>
      <c r="F790" s="1840"/>
      <c r="G790" s="1841"/>
      <c r="H790" s="1840"/>
      <c r="I790" s="1841"/>
      <c r="J790" s="1840"/>
      <c r="K790" s="1841"/>
      <c r="L790" s="1840"/>
      <c r="M790" s="1841"/>
      <c r="N790" s="1840"/>
      <c r="O790" s="1841"/>
      <c r="P790" s="426"/>
      <c r="Q790" s="426"/>
      <c r="R790" s="426"/>
      <c r="S790" s="426"/>
      <c r="T790" s="426"/>
      <c r="U790" s="426"/>
      <c r="V790" s="426"/>
      <c r="W790" s="426"/>
    </row>
    <row r="791" spans="1:23" hidden="1" x14ac:dyDescent="0.25">
      <c r="A791" s="426"/>
      <c r="B791" s="426"/>
      <c r="C791" s="415"/>
      <c r="D791" s="421" t="str">
        <f>D790&amp;"KW"</f>
        <v>KW</v>
      </c>
      <c r="E791" s="414" t="s">
        <v>380</v>
      </c>
      <c r="F791" s="1840"/>
      <c r="G791" s="1841"/>
      <c r="H791" s="1840"/>
      <c r="I791" s="1841"/>
      <c r="J791" s="1840"/>
      <c r="K791" s="1841"/>
      <c r="L791" s="1840"/>
      <c r="M791" s="1841"/>
      <c r="N791" s="1840"/>
      <c r="O791" s="1841"/>
      <c r="P791" s="426"/>
      <c r="Q791" s="426"/>
      <c r="R791" s="426"/>
      <c r="S791" s="426"/>
      <c r="T791" s="426"/>
      <c r="U791" s="426"/>
      <c r="V791" s="426"/>
      <c r="W791" s="426"/>
    </row>
  </sheetData>
  <mergeCells count="1519">
    <mergeCell ref="H491:I491"/>
    <mergeCell ref="H492:I492"/>
    <mergeCell ref="H493:I493"/>
    <mergeCell ref="H494:I494"/>
    <mergeCell ref="H495:I495"/>
    <mergeCell ref="L16:M16"/>
    <mergeCell ref="N16:O16"/>
    <mergeCell ref="D14:K14"/>
    <mergeCell ref="C28:C29"/>
    <mergeCell ref="D28:D29"/>
    <mergeCell ref="F16:G16"/>
    <mergeCell ref="H16:I16"/>
    <mergeCell ref="J16:K16"/>
    <mergeCell ref="F491:G491"/>
    <mergeCell ref="J491:K491"/>
    <mergeCell ref="N491:O491"/>
    <mergeCell ref="L491:M491"/>
    <mergeCell ref="N492:O492"/>
    <mergeCell ref="N493:O493"/>
    <mergeCell ref="N494:O494"/>
    <mergeCell ref="N495:O495"/>
    <mergeCell ref="C16:E16"/>
    <mergeCell ref="F28:G28"/>
    <mergeCell ref="H28:I28"/>
    <mergeCell ref="J28:K28"/>
    <mergeCell ref="L28:M28"/>
    <mergeCell ref="N28:O28"/>
    <mergeCell ref="F497:G497"/>
    <mergeCell ref="H497:I497"/>
    <mergeCell ref="J497:K497"/>
    <mergeCell ref="L497:M497"/>
    <mergeCell ref="N497:O497"/>
    <mergeCell ref="F496:G496"/>
    <mergeCell ref="H496:I496"/>
    <mergeCell ref="J496:K496"/>
    <mergeCell ref="L496:M496"/>
    <mergeCell ref="N496:O496"/>
    <mergeCell ref="J492:K492"/>
    <mergeCell ref="J493:K493"/>
    <mergeCell ref="J494:K494"/>
    <mergeCell ref="J495:K495"/>
    <mergeCell ref="L492:M492"/>
    <mergeCell ref="L493:M493"/>
    <mergeCell ref="L494:M494"/>
    <mergeCell ref="L495:M495"/>
    <mergeCell ref="F492:G492"/>
    <mergeCell ref="F493:G493"/>
    <mergeCell ref="F494:G494"/>
    <mergeCell ref="F495:G495"/>
    <mergeCell ref="F501:G501"/>
    <mergeCell ref="H501:I501"/>
    <mergeCell ref="J501:K501"/>
    <mergeCell ref="L501:M501"/>
    <mergeCell ref="N501:O501"/>
    <mergeCell ref="F500:G500"/>
    <mergeCell ref="H500:I500"/>
    <mergeCell ref="J500:K500"/>
    <mergeCell ref="L500:M500"/>
    <mergeCell ref="N500:O500"/>
    <mergeCell ref="F499:G499"/>
    <mergeCell ref="H499:I499"/>
    <mergeCell ref="J499:K499"/>
    <mergeCell ref="L499:M499"/>
    <mergeCell ref="N499:O499"/>
    <mergeCell ref="F498:G498"/>
    <mergeCell ref="H498:I498"/>
    <mergeCell ref="J498:K498"/>
    <mergeCell ref="L498:M498"/>
    <mergeCell ref="N498:O498"/>
    <mergeCell ref="F505:G505"/>
    <mergeCell ref="H505:I505"/>
    <mergeCell ref="J505:K505"/>
    <mergeCell ref="L505:M505"/>
    <mergeCell ref="N505:O505"/>
    <mergeCell ref="F504:G504"/>
    <mergeCell ref="H504:I504"/>
    <mergeCell ref="J504:K504"/>
    <mergeCell ref="L504:M504"/>
    <mergeCell ref="N504:O504"/>
    <mergeCell ref="F503:G503"/>
    <mergeCell ref="H503:I503"/>
    <mergeCell ref="J503:K503"/>
    <mergeCell ref="L503:M503"/>
    <mergeCell ref="N503:O503"/>
    <mergeCell ref="F502:G502"/>
    <mergeCell ref="H502:I502"/>
    <mergeCell ref="J502:K502"/>
    <mergeCell ref="L502:M502"/>
    <mergeCell ref="N502:O502"/>
    <mergeCell ref="F509:G509"/>
    <mergeCell ref="H509:I509"/>
    <mergeCell ref="J509:K509"/>
    <mergeCell ref="L509:M509"/>
    <mergeCell ref="N509:O509"/>
    <mergeCell ref="F508:G508"/>
    <mergeCell ref="H508:I508"/>
    <mergeCell ref="J508:K508"/>
    <mergeCell ref="L508:M508"/>
    <mergeCell ref="N508:O508"/>
    <mergeCell ref="F507:G507"/>
    <mergeCell ref="H507:I507"/>
    <mergeCell ref="J507:K507"/>
    <mergeCell ref="L507:M507"/>
    <mergeCell ref="N507:O507"/>
    <mergeCell ref="F506:G506"/>
    <mergeCell ref="H506:I506"/>
    <mergeCell ref="J506:K506"/>
    <mergeCell ref="L506:M506"/>
    <mergeCell ref="N506:O506"/>
    <mergeCell ref="F513:G513"/>
    <mergeCell ref="H513:I513"/>
    <mergeCell ref="J513:K513"/>
    <mergeCell ref="L513:M513"/>
    <mergeCell ref="N513:O513"/>
    <mergeCell ref="F512:G512"/>
    <mergeCell ref="H512:I512"/>
    <mergeCell ref="J512:K512"/>
    <mergeCell ref="L512:M512"/>
    <mergeCell ref="N512:O512"/>
    <mergeCell ref="F511:G511"/>
    <mergeCell ref="H511:I511"/>
    <mergeCell ref="J511:K511"/>
    <mergeCell ref="L511:M511"/>
    <mergeCell ref="N511:O511"/>
    <mergeCell ref="F510:G510"/>
    <mergeCell ref="H510:I510"/>
    <mergeCell ref="J510:K510"/>
    <mergeCell ref="L510:M510"/>
    <mergeCell ref="N510:O510"/>
    <mergeCell ref="F516:G516"/>
    <mergeCell ref="H516:I516"/>
    <mergeCell ref="F517:G517"/>
    <mergeCell ref="H517:I517"/>
    <mergeCell ref="F518:G518"/>
    <mergeCell ref="H518:I518"/>
    <mergeCell ref="F519:G519"/>
    <mergeCell ref="H519:I519"/>
    <mergeCell ref="F520:G520"/>
    <mergeCell ref="H520:I520"/>
    <mergeCell ref="F515:G515"/>
    <mergeCell ref="H515:I515"/>
    <mergeCell ref="J515:K515"/>
    <mergeCell ref="L515:M515"/>
    <mergeCell ref="N515:O515"/>
    <mergeCell ref="F514:G514"/>
    <mergeCell ref="H514:I514"/>
    <mergeCell ref="J514:K514"/>
    <mergeCell ref="L514:M514"/>
    <mergeCell ref="N514:O514"/>
    <mergeCell ref="J519:K519"/>
    <mergeCell ref="L519:M519"/>
    <mergeCell ref="N519:O519"/>
    <mergeCell ref="J520:K520"/>
    <mergeCell ref="L520:M520"/>
    <mergeCell ref="N520:O520"/>
    <mergeCell ref="F526:G526"/>
    <mergeCell ref="H526:I526"/>
    <mergeCell ref="F527:G527"/>
    <mergeCell ref="H527:I527"/>
    <mergeCell ref="F528:G528"/>
    <mergeCell ref="H528:I528"/>
    <mergeCell ref="F529:G529"/>
    <mergeCell ref="H529:I529"/>
    <mergeCell ref="F530:G530"/>
    <mergeCell ref="H530:I530"/>
    <mergeCell ref="F521:G521"/>
    <mergeCell ref="H521:I521"/>
    <mergeCell ref="F522:G522"/>
    <mergeCell ref="H522:I522"/>
    <mergeCell ref="F523:G523"/>
    <mergeCell ref="H523:I523"/>
    <mergeCell ref="F524:G524"/>
    <mergeCell ref="H524:I524"/>
    <mergeCell ref="F525:G525"/>
    <mergeCell ref="H525:I525"/>
    <mergeCell ref="F536:G536"/>
    <mergeCell ref="H536:I536"/>
    <mergeCell ref="F537:G537"/>
    <mergeCell ref="H537:I537"/>
    <mergeCell ref="F538:G538"/>
    <mergeCell ref="H538:I538"/>
    <mergeCell ref="F539:G539"/>
    <mergeCell ref="H539:I539"/>
    <mergeCell ref="F540:G540"/>
    <mergeCell ref="H540:I540"/>
    <mergeCell ref="F531:G531"/>
    <mergeCell ref="H531:I531"/>
    <mergeCell ref="F532:G532"/>
    <mergeCell ref="H532:I532"/>
    <mergeCell ref="F533:G533"/>
    <mergeCell ref="H533:I533"/>
    <mergeCell ref="F534:G534"/>
    <mergeCell ref="H534:I534"/>
    <mergeCell ref="F535:G535"/>
    <mergeCell ref="H535:I535"/>
    <mergeCell ref="F546:G546"/>
    <mergeCell ref="H546:I546"/>
    <mergeCell ref="F547:G547"/>
    <mergeCell ref="H547:I547"/>
    <mergeCell ref="F548:G548"/>
    <mergeCell ref="H548:I548"/>
    <mergeCell ref="F549:G549"/>
    <mergeCell ref="H549:I549"/>
    <mergeCell ref="F550:G550"/>
    <mergeCell ref="H550:I550"/>
    <mergeCell ref="F541:G541"/>
    <mergeCell ref="H541:I541"/>
    <mergeCell ref="F542:G542"/>
    <mergeCell ref="H542:I542"/>
    <mergeCell ref="F543:G543"/>
    <mergeCell ref="H543:I543"/>
    <mergeCell ref="F544:G544"/>
    <mergeCell ref="H544:I544"/>
    <mergeCell ref="F545:G545"/>
    <mergeCell ref="H545:I545"/>
    <mergeCell ref="F556:G556"/>
    <mergeCell ref="H556:I556"/>
    <mergeCell ref="F557:G557"/>
    <mergeCell ref="H557:I557"/>
    <mergeCell ref="F558:G558"/>
    <mergeCell ref="H558:I558"/>
    <mergeCell ref="F559:G559"/>
    <mergeCell ref="H559:I559"/>
    <mergeCell ref="F560:G560"/>
    <mergeCell ref="H560:I560"/>
    <mergeCell ref="F551:G551"/>
    <mergeCell ref="H551:I551"/>
    <mergeCell ref="F552:G552"/>
    <mergeCell ref="H552:I552"/>
    <mergeCell ref="F553:G553"/>
    <mergeCell ref="H553:I553"/>
    <mergeCell ref="F554:G554"/>
    <mergeCell ref="H554:I554"/>
    <mergeCell ref="F555:G555"/>
    <mergeCell ref="H555:I555"/>
    <mergeCell ref="F566:G566"/>
    <mergeCell ref="H566:I566"/>
    <mergeCell ref="F567:G567"/>
    <mergeCell ref="H567:I567"/>
    <mergeCell ref="F568:G568"/>
    <mergeCell ref="H568:I568"/>
    <mergeCell ref="F569:G569"/>
    <mergeCell ref="H569:I569"/>
    <mergeCell ref="F570:G570"/>
    <mergeCell ref="H570:I570"/>
    <mergeCell ref="F561:G561"/>
    <mergeCell ref="H561:I561"/>
    <mergeCell ref="F562:G562"/>
    <mergeCell ref="H562:I562"/>
    <mergeCell ref="F563:G563"/>
    <mergeCell ref="H563:I563"/>
    <mergeCell ref="F564:G564"/>
    <mergeCell ref="H564:I564"/>
    <mergeCell ref="F565:G565"/>
    <mergeCell ref="H565:I565"/>
    <mergeCell ref="F576:G576"/>
    <mergeCell ref="H576:I576"/>
    <mergeCell ref="F577:G577"/>
    <mergeCell ref="H577:I577"/>
    <mergeCell ref="F578:G578"/>
    <mergeCell ref="H578:I578"/>
    <mergeCell ref="F579:G579"/>
    <mergeCell ref="H579:I579"/>
    <mergeCell ref="F580:G580"/>
    <mergeCell ref="H580:I580"/>
    <mergeCell ref="F571:G571"/>
    <mergeCell ref="H571:I571"/>
    <mergeCell ref="F572:G572"/>
    <mergeCell ref="H572:I572"/>
    <mergeCell ref="F573:G573"/>
    <mergeCell ref="H573:I573"/>
    <mergeCell ref="F574:G574"/>
    <mergeCell ref="H574:I574"/>
    <mergeCell ref="F575:G575"/>
    <mergeCell ref="H575:I575"/>
    <mergeCell ref="F586:G586"/>
    <mergeCell ref="H586:I586"/>
    <mergeCell ref="F587:G587"/>
    <mergeCell ref="H587:I587"/>
    <mergeCell ref="F588:G588"/>
    <mergeCell ref="H588:I588"/>
    <mergeCell ref="F589:G589"/>
    <mergeCell ref="H589:I589"/>
    <mergeCell ref="F590:G590"/>
    <mergeCell ref="H590:I590"/>
    <mergeCell ref="F581:G581"/>
    <mergeCell ref="H581:I581"/>
    <mergeCell ref="F582:G582"/>
    <mergeCell ref="H582:I582"/>
    <mergeCell ref="F583:G583"/>
    <mergeCell ref="H583:I583"/>
    <mergeCell ref="F584:G584"/>
    <mergeCell ref="H584:I584"/>
    <mergeCell ref="F585:G585"/>
    <mergeCell ref="H585:I585"/>
    <mergeCell ref="F596:G596"/>
    <mergeCell ref="H596:I596"/>
    <mergeCell ref="F597:G597"/>
    <mergeCell ref="H597:I597"/>
    <mergeCell ref="F598:G598"/>
    <mergeCell ref="H598:I598"/>
    <mergeCell ref="F599:G599"/>
    <mergeCell ref="H599:I599"/>
    <mergeCell ref="F600:G600"/>
    <mergeCell ref="H600:I600"/>
    <mergeCell ref="F591:G591"/>
    <mergeCell ref="H591:I591"/>
    <mergeCell ref="F592:G592"/>
    <mergeCell ref="H592:I592"/>
    <mergeCell ref="F593:G593"/>
    <mergeCell ref="H593:I593"/>
    <mergeCell ref="F594:G594"/>
    <mergeCell ref="H594:I594"/>
    <mergeCell ref="F595:G595"/>
    <mergeCell ref="H595:I595"/>
    <mergeCell ref="F606:G606"/>
    <mergeCell ref="H606:I606"/>
    <mergeCell ref="F607:G607"/>
    <mergeCell ref="H607:I607"/>
    <mergeCell ref="F608:G608"/>
    <mergeCell ref="H608:I608"/>
    <mergeCell ref="F609:G609"/>
    <mergeCell ref="H609:I609"/>
    <mergeCell ref="F610:G610"/>
    <mergeCell ref="H610:I610"/>
    <mergeCell ref="F601:G601"/>
    <mergeCell ref="H601:I601"/>
    <mergeCell ref="F602:G602"/>
    <mergeCell ref="H602:I602"/>
    <mergeCell ref="F603:G603"/>
    <mergeCell ref="H603:I603"/>
    <mergeCell ref="F604:G604"/>
    <mergeCell ref="H604:I604"/>
    <mergeCell ref="F605:G605"/>
    <mergeCell ref="H605:I605"/>
    <mergeCell ref="F616:G616"/>
    <mergeCell ref="H616:I616"/>
    <mergeCell ref="F617:G617"/>
    <mergeCell ref="H617:I617"/>
    <mergeCell ref="F618:G618"/>
    <mergeCell ref="H618:I618"/>
    <mergeCell ref="F619:G619"/>
    <mergeCell ref="H619:I619"/>
    <mergeCell ref="F620:G620"/>
    <mergeCell ref="H620:I620"/>
    <mergeCell ref="F611:G611"/>
    <mergeCell ref="H611:I611"/>
    <mergeCell ref="F612:G612"/>
    <mergeCell ref="H612:I612"/>
    <mergeCell ref="F613:G613"/>
    <mergeCell ref="H613:I613"/>
    <mergeCell ref="F614:G614"/>
    <mergeCell ref="H614:I614"/>
    <mergeCell ref="F615:G615"/>
    <mergeCell ref="H615:I615"/>
    <mergeCell ref="F626:G626"/>
    <mergeCell ref="H626:I626"/>
    <mergeCell ref="F627:G627"/>
    <mergeCell ref="H627:I627"/>
    <mergeCell ref="F628:G628"/>
    <mergeCell ref="H628:I628"/>
    <mergeCell ref="F629:G629"/>
    <mergeCell ref="H629:I629"/>
    <mergeCell ref="F630:G630"/>
    <mergeCell ref="H630:I630"/>
    <mergeCell ref="F621:G621"/>
    <mergeCell ref="H621:I621"/>
    <mergeCell ref="F622:G622"/>
    <mergeCell ref="H622:I622"/>
    <mergeCell ref="F623:G623"/>
    <mergeCell ref="H623:I623"/>
    <mergeCell ref="F624:G624"/>
    <mergeCell ref="H624:I624"/>
    <mergeCell ref="F625:G625"/>
    <mergeCell ref="H625:I625"/>
    <mergeCell ref="F636:G636"/>
    <mergeCell ref="H636:I636"/>
    <mergeCell ref="F637:G637"/>
    <mergeCell ref="H637:I637"/>
    <mergeCell ref="F638:G638"/>
    <mergeCell ref="H638:I638"/>
    <mergeCell ref="F639:G639"/>
    <mergeCell ref="H639:I639"/>
    <mergeCell ref="F640:G640"/>
    <mergeCell ref="H640:I640"/>
    <mergeCell ref="F631:G631"/>
    <mergeCell ref="H631:I631"/>
    <mergeCell ref="F632:G632"/>
    <mergeCell ref="H632:I632"/>
    <mergeCell ref="F633:G633"/>
    <mergeCell ref="H633:I633"/>
    <mergeCell ref="F634:G634"/>
    <mergeCell ref="H634:I634"/>
    <mergeCell ref="F635:G635"/>
    <mergeCell ref="H635:I635"/>
    <mergeCell ref="F646:G646"/>
    <mergeCell ref="H646:I646"/>
    <mergeCell ref="F647:G647"/>
    <mergeCell ref="H647:I647"/>
    <mergeCell ref="F648:G648"/>
    <mergeCell ref="H648:I648"/>
    <mergeCell ref="F649:G649"/>
    <mergeCell ref="H649:I649"/>
    <mergeCell ref="F650:G650"/>
    <mergeCell ref="H650:I650"/>
    <mergeCell ref="F641:G641"/>
    <mergeCell ref="H641:I641"/>
    <mergeCell ref="F642:G642"/>
    <mergeCell ref="H642:I642"/>
    <mergeCell ref="F643:G643"/>
    <mergeCell ref="H643:I643"/>
    <mergeCell ref="F644:G644"/>
    <mergeCell ref="H644:I644"/>
    <mergeCell ref="F645:G645"/>
    <mergeCell ref="H645:I645"/>
    <mergeCell ref="F656:G656"/>
    <mergeCell ref="H656:I656"/>
    <mergeCell ref="F657:G657"/>
    <mergeCell ref="H657:I657"/>
    <mergeCell ref="F658:G658"/>
    <mergeCell ref="H658:I658"/>
    <mergeCell ref="F659:G659"/>
    <mergeCell ref="H659:I659"/>
    <mergeCell ref="F660:G660"/>
    <mergeCell ref="H660:I660"/>
    <mergeCell ref="F651:G651"/>
    <mergeCell ref="H651:I651"/>
    <mergeCell ref="F652:G652"/>
    <mergeCell ref="H652:I652"/>
    <mergeCell ref="F653:G653"/>
    <mergeCell ref="H653:I653"/>
    <mergeCell ref="F654:G654"/>
    <mergeCell ref="H654:I654"/>
    <mergeCell ref="F655:G655"/>
    <mergeCell ref="H655:I655"/>
    <mergeCell ref="F666:G666"/>
    <mergeCell ref="H666:I666"/>
    <mergeCell ref="F667:G667"/>
    <mergeCell ref="H667:I667"/>
    <mergeCell ref="F668:G668"/>
    <mergeCell ref="H668:I668"/>
    <mergeCell ref="F669:G669"/>
    <mergeCell ref="H669:I669"/>
    <mergeCell ref="F670:G670"/>
    <mergeCell ref="H670:I670"/>
    <mergeCell ref="F661:G661"/>
    <mergeCell ref="H661:I661"/>
    <mergeCell ref="F662:G662"/>
    <mergeCell ref="H662:I662"/>
    <mergeCell ref="F663:G663"/>
    <mergeCell ref="H663:I663"/>
    <mergeCell ref="F664:G664"/>
    <mergeCell ref="H664:I664"/>
    <mergeCell ref="F665:G665"/>
    <mergeCell ref="H665:I665"/>
    <mergeCell ref="F676:G676"/>
    <mergeCell ref="H676:I676"/>
    <mergeCell ref="F677:G677"/>
    <mergeCell ref="H677:I677"/>
    <mergeCell ref="F678:G678"/>
    <mergeCell ref="H678:I678"/>
    <mergeCell ref="F679:G679"/>
    <mergeCell ref="H679:I679"/>
    <mergeCell ref="F680:G680"/>
    <mergeCell ref="H680:I680"/>
    <mergeCell ref="F671:G671"/>
    <mergeCell ref="H671:I671"/>
    <mergeCell ref="F672:G672"/>
    <mergeCell ref="H672:I672"/>
    <mergeCell ref="F673:G673"/>
    <mergeCell ref="H673:I673"/>
    <mergeCell ref="F674:G674"/>
    <mergeCell ref="H674:I674"/>
    <mergeCell ref="F675:G675"/>
    <mergeCell ref="H675:I675"/>
    <mergeCell ref="F686:G686"/>
    <mergeCell ref="H686:I686"/>
    <mergeCell ref="F687:G687"/>
    <mergeCell ref="H687:I687"/>
    <mergeCell ref="F688:G688"/>
    <mergeCell ref="H688:I688"/>
    <mergeCell ref="F689:G689"/>
    <mergeCell ref="H689:I689"/>
    <mergeCell ref="F690:G690"/>
    <mergeCell ref="H690:I690"/>
    <mergeCell ref="F681:G681"/>
    <mergeCell ref="H681:I681"/>
    <mergeCell ref="F682:G682"/>
    <mergeCell ref="H682:I682"/>
    <mergeCell ref="F683:G683"/>
    <mergeCell ref="H683:I683"/>
    <mergeCell ref="F684:G684"/>
    <mergeCell ref="H684:I684"/>
    <mergeCell ref="F685:G685"/>
    <mergeCell ref="H685:I685"/>
    <mergeCell ref="F696:G696"/>
    <mergeCell ref="H696:I696"/>
    <mergeCell ref="F697:G697"/>
    <mergeCell ref="H697:I697"/>
    <mergeCell ref="F698:G698"/>
    <mergeCell ref="H698:I698"/>
    <mergeCell ref="F699:G699"/>
    <mergeCell ref="H699:I699"/>
    <mergeCell ref="F700:G700"/>
    <mergeCell ref="H700:I700"/>
    <mergeCell ref="F691:G691"/>
    <mergeCell ref="H691:I691"/>
    <mergeCell ref="F692:G692"/>
    <mergeCell ref="H692:I692"/>
    <mergeCell ref="F693:G693"/>
    <mergeCell ref="H693:I693"/>
    <mergeCell ref="F694:G694"/>
    <mergeCell ref="H694:I694"/>
    <mergeCell ref="F695:G695"/>
    <mergeCell ref="H695:I695"/>
    <mergeCell ref="F706:G706"/>
    <mergeCell ref="H706:I706"/>
    <mergeCell ref="F707:G707"/>
    <mergeCell ref="H707:I707"/>
    <mergeCell ref="F708:G708"/>
    <mergeCell ref="H708:I708"/>
    <mergeCell ref="F709:G709"/>
    <mergeCell ref="H709:I709"/>
    <mergeCell ref="F710:G710"/>
    <mergeCell ref="H710:I710"/>
    <mergeCell ref="F701:G701"/>
    <mergeCell ref="H701:I701"/>
    <mergeCell ref="F702:G702"/>
    <mergeCell ref="H702:I702"/>
    <mergeCell ref="F703:G703"/>
    <mergeCell ref="H703:I703"/>
    <mergeCell ref="F704:G704"/>
    <mergeCell ref="H704:I704"/>
    <mergeCell ref="F705:G705"/>
    <mergeCell ref="H705:I705"/>
    <mergeCell ref="F716:G716"/>
    <mergeCell ref="H716:I716"/>
    <mergeCell ref="F717:G717"/>
    <mergeCell ref="H717:I717"/>
    <mergeCell ref="F718:G718"/>
    <mergeCell ref="H718:I718"/>
    <mergeCell ref="F719:G719"/>
    <mergeCell ref="H719:I719"/>
    <mergeCell ref="F720:G720"/>
    <mergeCell ref="H720:I720"/>
    <mergeCell ref="F711:G711"/>
    <mergeCell ref="H711:I711"/>
    <mergeCell ref="F712:G712"/>
    <mergeCell ref="H712:I712"/>
    <mergeCell ref="F713:G713"/>
    <mergeCell ref="H713:I713"/>
    <mergeCell ref="F714:G714"/>
    <mergeCell ref="H714:I714"/>
    <mergeCell ref="F715:G715"/>
    <mergeCell ref="H715:I715"/>
    <mergeCell ref="F726:G726"/>
    <mergeCell ref="H726:I726"/>
    <mergeCell ref="F727:G727"/>
    <mergeCell ref="H727:I727"/>
    <mergeCell ref="F728:G728"/>
    <mergeCell ref="H728:I728"/>
    <mergeCell ref="F729:G729"/>
    <mergeCell ref="H729:I729"/>
    <mergeCell ref="F730:G730"/>
    <mergeCell ref="H730:I730"/>
    <mergeCell ref="F721:G721"/>
    <mergeCell ref="H721:I721"/>
    <mergeCell ref="F722:G722"/>
    <mergeCell ref="H722:I722"/>
    <mergeCell ref="F723:G723"/>
    <mergeCell ref="H723:I723"/>
    <mergeCell ref="F724:G724"/>
    <mergeCell ref="H724:I724"/>
    <mergeCell ref="F725:G725"/>
    <mergeCell ref="H725:I725"/>
    <mergeCell ref="F736:G736"/>
    <mergeCell ref="H736:I736"/>
    <mergeCell ref="F737:G737"/>
    <mergeCell ref="H737:I737"/>
    <mergeCell ref="F738:G738"/>
    <mergeCell ref="H738:I738"/>
    <mergeCell ref="F739:G739"/>
    <mergeCell ref="H739:I739"/>
    <mergeCell ref="F740:G740"/>
    <mergeCell ref="H740:I740"/>
    <mergeCell ref="F731:G731"/>
    <mergeCell ref="H731:I731"/>
    <mergeCell ref="F732:G732"/>
    <mergeCell ref="H732:I732"/>
    <mergeCell ref="F733:G733"/>
    <mergeCell ref="H733:I733"/>
    <mergeCell ref="F734:G734"/>
    <mergeCell ref="H734:I734"/>
    <mergeCell ref="F735:G735"/>
    <mergeCell ref="H735:I735"/>
    <mergeCell ref="F746:G746"/>
    <mergeCell ref="H746:I746"/>
    <mergeCell ref="F747:G747"/>
    <mergeCell ref="H747:I747"/>
    <mergeCell ref="F748:G748"/>
    <mergeCell ref="H748:I748"/>
    <mergeCell ref="F749:G749"/>
    <mergeCell ref="H749:I749"/>
    <mergeCell ref="F750:G750"/>
    <mergeCell ref="H750:I750"/>
    <mergeCell ref="F741:G741"/>
    <mergeCell ref="H741:I741"/>
    <mergeCell ref="F742:G742"/>
    <mergeCell ref="H742:I742"/>
    <mergeCell ref="F743:G743"/>
    <mergeCell ref="H743:I743"/>
    <mergeCell ref="F744:G744"/>
    <mergeCell ref="H744:I744"/>
    <mergeCell ref="F745:G745"/>
    <mergeCell ref="H745:I745"/>
    <mergeCell ref="F756:G756"/>
    <mergeCell ref="H756:I756"/>
    <mergeCell ref="F757:G757"/>
    <mergeCell ref="H757:I757"/>
    <mergeCell ref="F758:G758"/>
    <mergeCell ref="H758:I758"/>
    <mergeCell ref="F759:G759"/>
    <mergeCell ref="H759:I759"/>
    <mergeCell ref="F760:G760"/>
    <mergeCell ref="H760:I760"/>
    <mergeCell ref="F751:G751"/>
    <mergeCell ref="H751:I751"/>
    <mergeCell ref="F752:G752"/>
    <mergeCell ref="H752:I752"/>
    <mergeCell ref="F753:G753"/>
    <mergeCell ref="H753:I753"/>
    <mergeCell ref="F754:G754"/>
    <mergeCell ref="H754:I754"/>
    <mergeCell ref="F755:G755"/>
    <mergeCell ref="H755:I755"/>
    <mergeCell ref="F766:G766"/>
    <mergeCell ref="H766:I766"/>
    <mergeCell ref="F767:G767"/>
    <mergeCell ref="H767:I767"/>
    <mergeCell ref="F768:G768"/>
    <mergeCell ref="H768:I768"/>
    <mergeCell ref="F769:G769"/>
    <mergeCell ref="H769:I769"/>
    <mergeCell ref="F770:G770"/>
    <mergeCell ref="H770:I770"/>
    <mergeCell ref="F761:G761"/>
    <mergeCell ref="H761:I761"/>
    <mergeCell ref="F762:G762"/>
    <mergeCell ref="H762:I762"/>
    <mergeCell ref="F763:G763"/>
    <mergeCell ref="H763:I763"/>
    <mergeCell ref="F764:G764"/>
    <mergeCell ref="H764:I764"/>
    <mergeCell ref="F765:G765"/>
    <mergeCell ref="H765:I765"/>
    <mergeCell ref="F776:G776"/>
    <mergeCell ref="H776:I776"/>
    <mergeCell ref="F777:G777"/>
    <mergeCell ref="H777:I777"/>
    <mergeCell ref="F778:G778"/>
    <mergeCell ref="H778:I778"/>
    <mergeCell ref="F779:G779"/>
    <mergeCell ref="H779:I779"/>
    <mergeCell ref="F780:G780"/>
    <mergeCell ref="H780:I780"/>
    <mergeCell ref="F771:G771"/>
    <mergeCell ref="H771:I771"/>
    <mergeCell ref="F772:G772"/>
    <mergeCell ref="H772:I772"/>
    <mergeCell ref="F773:G773"/>
    <mergeCell ref="H773:I773"/>
    <mergeCell ref="F774:G774"/>
    <mergeCell ref="H774:I774"/>
    <mergeCell ref="F775:G775"/>
    <mergeCell ref="H775:I775"/>
    <mergeCell ref="F791:G791"/>
    <mergeCell ref="H791:I791"/>
    <mergeCell ref="F786:G786"/>
    <mergeCell ref="H786:I786"/>
    <mergeCell ref="F787:G787"/>
    <mergeCell ref="H787:I787"/>
    <mergeCell ref="F788:G788"/>
    <mergeCell ref="H788:I788"/>
    <mergeCell ref="F789:G789"/>
    <mergeCell ref="H789:I789"/>
    <mergeCell ref="F790:G790"/>
    <mergeCell ref="H790:I790"/>
    <mergeCell ref="F781:G781"/>
    <mergeCell ref="H781:I781"/>
    <mergeCell ref="F782:G782"/>
    <mergeCell ref="H782:I782"/>
    <mergeCell ref="F783:G783"/>
    <mergeCell ref="H783:I783"/>
    <mergeCell ref="F784:G784"/>
    <mergeCell ref="H784:I784"/>
    <mergeCell ref="F785:G785"/>
    <mergeCell ref="H785:I785"/>
    <mergeCell ref="J521:K521"/>
    <mergeCell ref="L521:M521"/>
    <mergeCell ref="N521:O521"/>
    <mergeCell ref="J516:K516"/>
    <mergeCell ref="L516:M516"/>
    <mergeCell ref="N516:O516"/>
    <mergeCell ref="J517:K517"/>
    <mergeCell ref="L517:M517"/>
    <mergeCell ref="N517:O517"/>
    <mergeCell ref="J518:K518"/>
    <mergeCell ref="L518:M518"/>
    <mergeCell ref="N518:O518"/>
    <mergeCell ref="J525:K525"/>
    <mergeCell ref="L525:M525"/>
    <mergeCell ref="N525:O525"/>
    <mergeCell ref="J526:K526"/>
    <mergeCell ref="L526:M526"/>
    <mergeCell ref="N526:O526"/>
    <mergeCell ref="J527:K527"/>
    <mergeCell ref="L527:M527"/>
    <mergeCell ref="N527:O527"/>
    <mergeCell ref="J522:K522"/>
    <mergeCell ref="L522:M522"/>
    <mergeCell ref="N522:O522"/>
    <mergeCell ref="J523:K523"/>
    <mergeCell ref="L523:M523"/>
    <mergeCell ref="N523:O523"/>
    <mergeCell ref="J524:K524"/>
    <mergeCell ref="L524:M524"/>
    <mergeCell ref="N524:O524"/>
    <mergeCell ref="J531:K531"/>
    <mergeCell ref="L531:M531"/>
    <mergeCell ref="N531:O531"/>
    <mergeCell ref="J532:K532"/>
    <mergeCell ref="L532:M532"/>
    <mergeCell ref="N532:O532"/>
    <mergeCell ref="J533:K533"/>
    <mergeCell ref="L533:M533"/>
    <mergeCell ref="N533:O533"/>
    <mergeCell ref="J528:K528"/>
    <mergeCell ref="L528:M528"/>
    <mergeCell ref="N528:O528"/>
    <mergeCell ref="J529:K529"/>
    <mergeCell ref="L529:M529"/>
    <mergeCell ref="N529:O529"/>
    <mergeCell ref="J530:K530"/>
    <mergeCell ref="L530:M530"/>
    <mergeCell ref="N530:O530"/>
    <mergeCell ref="J537:K537"/>
    <mergeCell ref="L537:M537"/>
    <mergeCell ref="N537:O537"/>
    <mergeCell ref="J538:K538"/>
    <mergeCell ref="L538:M538"/>
    <mergeCell ref="N538:O538"/>
    <mergeCell ref="J539:K539"/>
    <mergeCell ref="L539:M539"/>
    <mergeCell ref="N539:O539"/>
    <mergeCell ref="J534:K534"/>
    <mergeCell ref="L534:M534"/>
    <mergeCell ref="N534:O534"/>
    <mergeCell ref="J535:K535"/>
    <mergeCell ref="L535:M535"/>
    <mergeCell ref="N535:O535"/>
    <mergeCell ref="J536:K536"/>
    <mergeCell ref="L536:M536"/>
    <mergeCell ref="N536:O536"/>
    <mergeCell ref="J543:K543"/>
    <mergeCell ref="L543:M543"/>
    <mergeCell ref="N543:O543"/>
    <mergeCell ref="J544:K544"/>
    <mergeCell ref="L544:M544"/>
    <mergeCell ref="N544:O544"/>
    <mergeCell ref="J545:K545"/>
    <mergeCell ref="L545:M545"/>
    <mergeCell ref="N545:O545"/>
    <mergeCell ref="J540:K540"/>
    <mergeCell ref="L540:M540"/>
    <mergeCell ref="N540:O540"/>
    <mergeCell ref="J541:K541"/>
    <mergeCell ref="L541:M541"/>
    <mergeCell ref="N541:O541"/>
    <mergeCell ref="J542:K542"/>
    <mergeCell ref="L542:M542"/>
    <mergeCell ref="N542:O542"/>
    <mergeCell ref="J549:K549"/>
    <mergeCell ref="L549:M549"/>
    <mergeCell ref="N549:O549"/>
    <mergeCell ref="J550:K550"/>
    <mergeCell ref="L550:M550"/>
    <mergeCell ref="N550:O550"/>
    <mergeCell ref="J551:K551"/>
    <mergeCell ref="L551:M551"/>
    <mergeCell ref="N551:O551"/>
    <mergeCell ref="J546:K546"/>
    <mergeCell ref="L546:M546"/>
    <mergeCell ref="N546:O546"/>
    <mergeCell ref="J547:K547"/>
    <mergeCell ref="L547:M547"/>
    <mergeCell ref="N547:O547"/>
    <mergeCell ref="J548:K548"/>
    <mergeCell ref="L548:M548"/>
    <mergeCell ref="N548:O548"/>
    <mergeCell ref="J555:K555"/>
    <mergeCell ref="L555:M555"/>
    <mergeCell ref="N555:O555"/>
    <mergeCell ref="J556:K556"/>
    <mergeCell ref="L556:M556"/>
    <mergeCell ref="N556:O556"/>
    <mergeCell ref="J557:K557"/>
    <mergeCell ref="L557:M557"/>
    <mergeCell ref="N557:O557"/>
    <mergeCell ref="J552:K552"/>
    <mergeCell ref="L552:M552"/>
    <mergeCell ref="N552:O552"/>
    <mergeCell ref="J553:K553"/>
    <mergeCell ref="L553:M553"/>
    <mergeCell ref="N553:O553"/>
    <mergeCell ref="J554:K554"/>
    <mergeCell ref="L554:M554"/>
    <mergeCell ref="N554:O554"/>
    <mergeCell ref="J561:K561"/>
    <mergeCell ref="L561:M561"/>
    <mergeCell ref="N561:O561"/>
    <mergeCell ref="J562:K562"/>
    <mergeCell ref="L562:M562"/>
    <mergeCell ref="N562:O562"/>
    <mergeCell ref="J563:K563"/>
    <mergeCell ref="L563:M563"/>
    <mergeCell ref="N563:O563"/>
    <mergeCell ref="J558:K558"/>
    <mergeCell ref="L558:M558"/>
    <mergeCell ref="N558:O558"/>
    <mergeCell ref="J559:K559"/>
    <mergeCell ref="L559:M559"/>
    <mergeCell ref="N559:O559"/>
    <mergeCell ref="J560:K560"/>
    <mergeCell ref="L560:M560"/>
    <mergeCell ref="N560:O560"/>
    <mergeCell ref="J567:K567"/>
    <mergeCell ref="L567:M567"/>
    <mergeCell ref="N567:O567"/>
    <mergeCell ref="J568:K568"/>
    <mergeCell ref="L568:M568"/>
    <mergeCell ref="N568:O568"/>
    <mergeCell ref="J569:K569"/>
    <mergeCell ref="L569:M569"/>
    <mergeCell ref="N569:O569"/>
    <mergeCell ref="J564:K564"/>
    <mergeCell ref="L564:M564"/>
    <mergeCell ref="N564:O564"/>
    <mergeCell ref="J565:K565"/>
    <mergeCell ref="L565:M565"/>
    <mergeCell ref="N565:O565"/>
    <mergeCell ref="J566:K566"/>
    <mergeCell ref="L566:M566"/>
    <mergeCell ref="N566:O566"/>
    <mergeCell ref="J573:K573"/>
    <mergeCell ref="L573:M573"/>
    <mergeCell ref="N573:O573"/>
    <mergeCell ref="J574:K574"/>
    <mergeCell ref="L574:M574"/>
    <mergeCell ref="N574:O574"/>
    <mergeCell ref="J575:K575"/>
    <mergeCell ref="L575:M575"/>
    <mergeCell ref="N575:O575"/>
    <mergeCell ref="J570:K570"/>
    <mergeCell ref="L570:M570"/>
    <mergeCell ref="N570:O570"/>
    <mergeCell ref="J571:K571"/>
    <mergeCell ref="L571:M571"/>
    <mergeCell ref="N571:O571"/>
    <mergeCell ref="J572:K572"/>
    <mergeCell ref="L572:M572"/>
    <mergeCell ref="N572:O572"/>
    <mergeCell ref="J579:K579"/>
    <mergeCell ref="L579:M579"/>
    <mergeCell ref="N579:O579"/>
    <mergeCell ref="J580:K580"/>
    <mergeCell ref="L580:M580"/>
    <mergeCell ref="N580:O580"/>
    <mergeCell ref="J581:K581"/>
    <mergeCell ref="L581:M581"/>
    <mergeCell ref="N581:O581"/>
    <mergeCell ref="J576:K576"/>
    <mergeCell ref="L576:M576"/>
    <mergeCell ref="N576:O576"/>
    <mergeCell ref="J577:K577"/>
    <mergeCell ref="L577:M577"/>
    <mergeCell ref="N577:O577"/>
    <mergeCell ref="J578:K578"/>
    <mergeCell ref="L578:M578"/>
    <mergeCell ref="N578:O578"/>
    <mergeCell ref="J585:K585"/>
    <mergeCell ref="L585:M585"/>
    <mergeCell ref="N585:O585"/>
    <mergeCell ref="J586:K586"/>
    <mergeCell ref="L586:M586"/>
    <mergeCell ref="N586:O586"/>
    <mergeCell ref="J587:K587"/>
    <mergeCell ref="L587:M587"/>
    <mergeCell ref="N587:O587"/>
    <mergeCell ref="J582:K582"/>
    <mergeCell ref="L582:M582"/>
    <mergeCell ref="N582:O582"/>
    <mergeCell ref="J583:K583"/>
    <mergeCell ref="L583:M583"/>
    <mergeCell ref="N583:O583"/>
    <mergeCell ref="J584:K584"/>
    <mergeCell ref="L584:M584"/>
    <mergeCell ref="N584:O584"/>
    <mergeCell ref="J591:K591"/>
    <mergeCell ref="L591:M591"/>
    <mergeCell ref="N591:O591"/>
    <mergeCell ref="J592:K592"/>
    <mergeCell ref="L592:M592"/>
    <mergeCell ref="N592:O592"/>
    <mergeCell ref="J593:K593"/>
    <mergeCell ref="L593:M593"/>
    <mergeCell ref="N593:O593"/>
    <mergeCell ref="J588:K588"/>
    <mergeCell ref="L588:M588"/>
    <mergeCell ref="N588:O588"/>
    <mergeCell ref="J589:K589"/>
    <mergeCell ref="L589:M589"/>
    <mergeCell ref="N589:O589"/>
    <mergeCell ref="J590:K590"/>
    <mergeCell ref="L590:M590"/>
    <mergeCell ref="N590:O590"/>
    <mergeCell ref="J597:K597"/>
    <mergeCell ref="L597:M597"/>
    <mergeCell ref="N597:O597"/>
    <mergeCell ref="J598:K598"/>
    <mergeCell ref="L598:M598"/>
    <mergeCell ref="N598:O598"/>
    <mergeCell ref="J599:K599"/>
    <mergeCell ref="L599:M599"/>
    <mergeCell ref="N599:O599"/>
    <mergeCell ref="J594:K594"/>
    <mergeCell ref="L594:M594"/>
    <mergeCell ref="N594:O594"/>
    <mergeCell ref="J595:K595"/>
    <mergeCell ref="L595:M595"/>
    <mergeCell ref="N595:O595"/>
    <mergeCell ref="J596:K596"/>
    <mergeCell ref="L596:M596"/>
    <mergeCell ref="N596:O596"/>
    <mergeCell ref="J603:K603"/>
    <mergeCell ref="L603:M603"/>
    <mergeCell ref="N603:O603"/>
    <mergeCell ref="J604:K604"/>
    <mergeCell ref="L604:M604"/>
    <mergeCell ref="N604:O604"/>
    <mergeCell ref="J605:K605"/>
    <mergeCell ref="L605:M605"/>
    <mergeCell ref="N605:O605"/>
    <mergeCell ref="J600:K600"/>
    <mergeCell ref="L600:M600"/>
    <mergeCell ref="N600:O600"/>
    <mergeCell ref="J601:K601"/>
    <mergeCell ref="L601:M601"/>
    <mergeCell ref="N601:O601"/>
    <mergeCell ref="J602:K602"/>
    <mergeCell ref="L602:M602"/>
    <mergeCell ref="N602:O602"/>
    <mergeCell ref="J609:K609"/>
    <mergeCell ref="L609:M609"/>
    <mergeCell ref="N609:O609"/>
    <mergeCell ref="J610:K610"/>
    <mergeCell ref="L610:M610"/>
    <mergeCell ref="N610:O610"/>
    <mergeCell ref="J611:K611"/>
    <mergeCell ref="L611:M611"/>
    <mergeCell ref="N611:O611"/>
    <mergeCell ref="J606:K606"/>
    <mergeCell ref="L606:M606"/>
    <mergeCell ref="N606:O606"/>
    <mergeCell ref="J607:K607"/>
    <mergeCell ref="L607:M607"/>
    <mergeCell ref="N607:O607"/>
    <mergeCell ref="J608:K608"/>
    <mergeCell ref="L608:M608"/>
    <mergeCell ref="N608:O608"/>
    <mergeCell ref="J615:K615"/>
    <mergeCell ref="L615:M615"/>
    <mergeCell ref="N615:O615"/>
    <mergeCell ref="J616:K616"/>
    <mergeCell ref="L616:M616"/>
    <mergeCell ref="N616:O616"/>
    <mergeCell ref="J617:K617"/>
    <mergeCell ref="L617:M617"/>
    <mergeCell ref="N617:O617"/>
    <mergeCell ref="J612:K612"/>
    <mergeCell ref="L612:M612"/>
    <mergeCell ref="N612:O612"/>
    <mergeCell ref="J613:K613"/>
    <mergeCell ref="L613:M613"/>
    <mergeCell ref="N613:O613"/>
    <mergeCell ref="J614:K614"/>
    <mergeCell ref="L614:M614"/>
    <mergeCell ref="N614:O614"/>
    <mergeCell ref="J621:K621"/>
    <mergeCell ref="L621:M621"/>
    <mergeCell ref="N621:O621"/>
    <mergeCell ref="J622:K622"/>
    <mergeCell ref="L622:M622"/>
    <mergeCell ref="N622:O622"/>
    <mergeCell ref="J623:K623"/>
    <mergeCell ref="L623:M623"/>
    <mergeCell ref="N623:O623"/>
    <mergeCell ref="J618:K618"/>
    <mergeCell ref="L618:M618"/>
    <mergeCell ref="N618:O618"/>
    <mergeCell ref="J619:K619"/>
    <mergeCell ref="L619:M619"/>
    <mergeCell ref="N619:O619"/>
    <mergeCell ref="J620:K620"/>
    <mergeCell ref="L620:M620"/>
    <mergeCell ref="N620:O620"/>
    <mergeCell ref="J627:K627"/>
    <mergeCell ref="L627:M627"/>
    <mergeCell ref="N627:O627"/>
    <mergeCell ref="J628:K628"/>
    <mergeCell ref="L628:M628"/>
    <mergeCell ref="N628:O628"/>
    <mergeCell ref="J629:K629"/>
    <mergeCell ref="L629:M629"/>
    <mergeCell ref="N629:O629"/>
    <mergeCell ref="J624:K624"/>
    <mergeCell ref="L624:M624"/>
    <mergeCell ref="N624:O624"/>
    <mergeCell ref="J625:K625"/>
    <mergeCell ref="L625:M625"/>
    <mergeCell ref="N625:O625"/>
    <mergeCell ref="J626:K626"/>
    <mergeCell ref="L626:M626"/>
    <mergeCell ref="N626:O626"/>
    <mergeCell ref="J633:K633"/>
    <mergeCell ref="L633:M633"/>
    <mergeCell ref="N633:O633"/>
    <mergeCell ref="J634:K634"/>
    <mergeCell ref="L634:M634"/>
    <mergeCell ref="N634:O634"/>
    <mergeCell ref="J635:K635"/>
    <mergeCell ref="L635:M635"/>
    <mergeCell ref="N635:O635"/>
    <mergeCell ref="J630:K630"/>
    <mergeCell ref="L630:M630"/>
    <mergeCell ref="N630:O630"/>
    <mergeCell ref="J631:K631"/>
    <mergeCell ref="L631:M631"/>
    <mergeCell ref="N631:O631"/>
    <mergeCell ref="J632:K632"/>
    <mergeCell ref="L632:M632"/>
    <mergeCell ref="N632:O632"/>
    <mergeCell ref="J639:K639"/>
    <mergeCell ref="L639:M639"/>
    <mergeCell ref="N639:O639"/>
    <mergeCell ref="J640:K640"/>
    <mergeCell ref="L640:M640"/>
    <mergeCell ref="N640:O640"/>
    <mergeCell ref="J641:K641"/>
    <mergeCell ref="L641:M641"/>
    <mergeCell ref="N641:O641"/>
    <mergeCell ref="J636:K636"/>
    <mergeCell ref="L636:M636"/>
    <mergeCell ref="N636:O636"/>
    <mergeCell ref="J637:K637"/>
    <mergeCell ref="L637:M637"/>
    <mergeCell ref="N637:O637"/>
    <mergeCell ref="J638:K638"/>
    <mergeCell ref="L638:M638"/>
    <mergeCell ref="N638:O638"/>
    <mergeCell ref="J645:K645"/>
    <mergeCell ref="L645:M645"/>
    <mergeCell ref="N645:O645"/>
    <mergeCell ref="J646:K646"/>
    <mergeCell ref="L646:M646"/>
    <mergeCell ref="N646:O646"/>
    <mergeCell ref="J647:K647"/>
    <mergeCell ref="L647:M647"/>
    <mergeCell ref="N647:O647"/>
    <mergeCell ref="J642:K642"/>
    <mergeCell ref="L642:M642"/>
    <mergeCell ref="N642:O642"/>
    <mergeCell ref="J643:K643"/>
    <mergeCell ref="L643:M643"/>
    <mergeCell ref="N643:O643"/>
    <mergeCell ref="J644:K644"/>
    <mergeCell ref="L644:M644"/>
    <mergeCell ref="N644:O644"/>
    <mergeCell ref="J651:K651"/>
    <mergeCell ref="L651:M651"/>
    <mergeCell ref="N651:O651"/>
    <mergeCell ref="J652:K652"/>
    <mergeCell ref="L652:M652"/>
    <mergeCell ref="N652:O652"/>
    <mergeCell ref="J653:K653"/>
    <mergeCell ref="L653:M653"/>
    <mergeCell ref="N653:O653"/>
    <mergeCell ref="J648:K648"/>
    <mergeCell ref="L648:M648"/>
    <mergeCell ref="N648:O648"/>
    <mergeCell ref="J649:K649"/>
    <mergeCell ref="L649:M649"/>
    <mergeCell ref="N649:O649"/>
    <mergeCell ref="J650:K650"/>
    <mergeCell ref="L650:M650"/>
    <mergeCell ref="N650:O650"/>
    <mergeCell ref="J657:K657"/>
    <mergeCell ref="L657:M657"/>
    <mergeCell ref="N657:O657"/>
    <mergeCell ref="J658:K658"/>
    <mergeCell ref="L658:M658"/>
    <mergeCell ref="N658:O658"/>
    <mergeCell ref="J659:K659"/>
    <mergeCell ref="L659:M659"/>
    <mergeCell ref="N659:O659"/>
    <mergeCell ref="J654:K654"/>
    <mergeCell ref="L654:M654"/>
    <mergeCell ref="N654:O654"/>
    <mergeCell ref="J655:K655"/>
    <mergeCell ref="L655:M655"/>
    <mergeCell ref="N655:O655"/>
    <mergeCell ref="J656:K656"/>
    <mergeCell ref="L656:M656"/>
    <mergeCell ref="N656:O656"/>
    <mergeCell ref="J663:K663"/>
    <mergeCell ref="L663:M663"/>
    <mergeCell ref="N663:O663"/>
    <mergeCell ref="J664:K664"/>
    <mergeCell ref="L664:M664"/>
    <mergeCell ref="N664:O664"/>
    <mergeCell ref="J665:K665"/>
    <mergeCell ref="L665:M665"/>
    <mergeCell ref="N665:O665"/>
    <mergeCell ref="J660:K660"/>
    <mergeCell ref="L660:M660"/>
    <mergeCell ref="N660:O660"/>
    <mergeCell ref="J661:K661"/>
    <mergeCell ref="L661:M661"/>
    <mergeCell ref="N661:O661"/>
    <mergeCell ref="J662:K662"/>
    <mergeCell ref="L662:M662"/>
    <mergeCell ref="N662:O662"/>
    <mergeCell ref="J669:K669"/>
    <mergeCell ref="L669:M669"/>
    <mergeCell ref="N669:O669"/>
    <mergeCell ref="J670:K670"/>
    <mergeCell ref="L670:M670"/>
    <mergeCell ref="N670:O670"/>
    <mergeCell ref="J671:K671"/>
    <mergeCell ref="L671:M671"/>
    <mergeCell ref="N671:O671"/>
    <mergeCell ref="J666:K666"/>
    <mergeCell ref="L666:M666"/>
    <mergeCell ref="N666:O666"/>
    <mergeCell ref="J667:K667"/>
    <mergeCell ref="L667:M667"/>
    <mergeCell ref="N667:O667"/>
    <mergeCell ref="J668:K668"/>
    <mergeCell ref="L668:M668"/>
    <mergeCell ref="N668:O668"/>
    <mergeCell ref="J675:K675"/>
    <mergeCell ref="L675:M675"/>
    <mergeCell ref="N675:O675"/>
    <mergeCell ref="J676:K676"/>
    <mergeCell ref="L676:M676"/>
    <mergeCell ref="N676:O676"/>
    <mergeCell ref="J677:K677"/>
    <mergeCell ref="L677:M677"/>
    <mergeCell ref="N677:O677"/>
    <mergeCell ref="J672:K672"/>
    <mergeCell ref="L672:M672"/>
    <mergeCell ref="N672:O672"/>
    <mergeCell ref="J673:K673"/>
    <mergeCell ref="L673:M673"/>
    <mergeCell ref="N673:O673"/>
    <mergeCell ref="J674:K674"/>
    <mergeCell ref="L674:M674"/>
    <mergeCell ref="N674:O674"/>
    <mergeCell ref="J681:K681"/>
    <mergeCell ref="L681:M681"/>
    <mergeCell ref="N681:O681"/>
    <mergeCell ref="J682:K682"/>
    <mergeCell ref="L682:M682"/>
    <mergeCell ref="N682:O682"/>
    <mergeCell ref="J683:K683"/>
    <mergeCell ref="L683:M683"/>
    <mergeCell ref="N683:O683"/>
    <mergeCell ref="J678:K678"/>
    <mergeCell ref="L678:M678"/>
    <mergeCell ref="N678:O678"/>
    <mergeCell ref="J679:K679"/>
    <mergeCell ref="L679:M679"/>
    <mergeCell ref="N679:O679"/>
    <mergeCell ref="J680:K680"/>
    <mergeCell ref="L680:M680"/>
    <mergeCell ref="N680:O680"/>
    <mergeCell ref="J687:K687"/>
    <mergeCell ref="L687:M687"/>
    <mergeCell ref="N687:O687"/>
    <mergeCell ref="J688:K688"/>
    <mergeCell ref="L688:M688"/>
    <mergeCell ref="N688:O688"/>
    <mergeCell ref="J689:K689"/>
    <mergeCell ref="L689:M689"/>
    <mergeCell ref="N689:O689"/>
    <mergeCell ref="J684:K684"/>
    <mergeCell ref="L684:M684"/>
    <mergeCell ref="N684:O684"/>
    <mergeCell ref="J685:K685"/>
    <mergeCell ref="L685:M685"/>
    <mergeCell ref="N685:O685"/>
    <mergeCell ref="J686:K686"/>
    <mergeCell ref="L686:M686"/>
    <mergeCell ref="N686:O686"/>
    <mergeCell ref="J693:K693"/>
    <mergeCell ref="L693:M693"/>
    <mergeCell ref="N693:O693"/>
    <mergeCell ref="J694:K694"/>
    <mergeCell ref="L694:M694"/>
    <mergeCell ref="N694:O694"/>
    <mergeCell ref="J695:K695"/>
    <mergeCell ref="L695:M695"/>
    <mergeCell ref="N695:O695"/>
    <mergeCell ref="J690:K690"/>
    <mergeCell ref="L690:M690"/>
    <mergeCell ref="N690:O690"/>
    <mergeCell ref="J691:K691"/>
    <mergeCell ref="L691:M691"/>
    <mergeCell ref="N691:O691"/>
    <mergeCell ref="J692:K692"/>
    <mergeCell ref="L692:M692"/>
    <mergeCell ref="N692:O692"/>
    <mergeCell ref="J699:K699"/>
    <mergeCell ref="L699:M699"/>
    <mergeCell ref="N699:O699"/>
    <mergeCell ref="J700:K700"/>
    <mergeCell ref="L700:M700"/>
    <mergeCell ref="N700:O700"/>
    <mergeCell ref="J701:K701"/>
    <mergeCell ref="L701:M701"/>
    <mergeCell ref="N701:O701"/>
    <mergeCell ref="J696:K696"/>
    <mergeCell ref="L696:M696"/>
    <mergeCell ref="N696:O696"/>
    <mergeCell ref="J697:K697"/>
    <mergeCell ref="L697:M697"/>
    <mergeCell ref="N697:O697"/>
    <mergeCell ref="J698:K698"/>
    <mergeCell ref="L698:M698"/>
    <mergeCell ref="N698:O698"/>
    <mergeCell ref="J705:K705"/>
    <mergeCell ref="L705:M705"/>
    <mergeCell ref="N705:O705"/>
    <mergeCell ref="J706:K706"/>
    <mergeCell ref="L706:M706"/>
    <mergeCell ref="N706:O706"/>
    <mergeCell ref="J707:K707"/>
    <mergeCell ref="L707:M707"/>
    <mergeCell ref="N707:O707"/>
    <mergeCell ref="J702:K702"/>
    <mergeCell ref="L702:M702"/>
    <mergeCell ref="N702:O702"/>
    <mergeCell ref="J703:K703"/>
    <mergeCell ref="L703:M703"/>
    <mergeCell ref="N703:O703"/>
    <mergeCell ref="J704:K704"/>
    <mergeCell ref="L704:M704"/>
    <mergeCell ref="N704:O704"/>
    <mergeCell ref="J711:K711"/>
    <mergeCell ref="L711:M711"/>
    <mergeCell ref="N711:O711"/>
    <mergeCell ref="J712:K712"/>
    <mergeCell ref="L712:M712"/>
    <mergeCell ref="N712:O712"/>
    <mergeCell ref="J713:K713"/>
    <mergeCell ref="L713:M713"/>
    <mergeCell ref="N713:O713"/>
    <mergeCell ref="J708:K708"/>
    <mergeCell ref="L708:M708"/>
    <mergeCell ref="N708:O708"/>
    <mergeCell ref="J709:K709"/>
    <mergeCell ref="L709:M709"/>
    <mergeCell ref="N709:O709"/>
    <mergeCell ref="J710:K710"/>
    <mergeCell ref="L710:M710"/>
    <mergeCell ref="N710:O710"/>
    <mergeCell ref="J717:K717"/>
    <mergeCell ref="L717:M717"/>
    <mergeCell ref="N717:O717"/>
    <mergeCell ref="J718:K718"/>
    <mergeCell ref="L718:M718"/>
    <mergeCell ref="N718:O718"/>
    <mergeCell ref="J719:K719"/>
    <mergeCell ref="L719:M719"/>
    <mergeCell ref="N719:O719"/>
    <mergeCell ref="J714:K714"/>
    <mergeCell ref="L714:M714"/>
    <mergeCell ref="N714:O714"/>
    <mergeCell ref="J715:K715"/>
    <mergeCell ref="L715:M715"/>
    <mergeCell ref="N715:O715"/>
    <mergeCell ref="J716:K716"/>
    <mergeCell ref="L716:M716"/>
    <mergeCell ref="N716:O716"/>
    <mergeCell ref="J723:K723"/>
    <mergeCell ref="L723:M723"/>
    <mergeCell ref="N723:O723"/>
    <mergeCell ref="J724:K724"/>
    <mergeCell ref="L724:M724"/>
    <mergeCell ref="N724:O724"/>
    <mergeCell ref="J725:K725"/>
    <mergeCell ref="L725:M725"/>
    <mergeCell ref="N725:O725"/>
    <mergeCell ref="J720:K720"/>
    <mergeCell ref="L720:M720"/>
    <mergeCell ref="N720:O720"/>
    <mergeCell ref="J721:K721"/>
    <mergeCell ref="L721:M721"/>
    <mergeCell ref="N721:O721"/>
    <mergeCell ref="J722:K722"/>
    <mergeCell ref="L722:M722"/>
    <mergeCell ref="N722:O722"/>
    <mergeCell ref="J729:K729"/>
    <mergeCell ref="L729:M729"/>
    <mergeCell ref="N729:O729"/>
    <mergeCell ref="J730:K730"/>
    <mergeCell ref="L730:M730"/>
    <mergeCell ref="N730:O730"/>
    <mergeCell ref="J731:K731"/>
    <mergeCell ref="L731:M731"/>
    <mergeCell ref="N731:O731"/>
    <mergeCell ref="J726:K726"/>
    <mergeCell ref="L726:M726"/>
    <mergeCell ref="N726:O726"/>
    <mergeCell ref="J727:K727"/>
    <mergeCell ref="L727:M727"/>
    <mergeCell ref="N727:O727"/>
    <mergeCell ref="J728:K728"/>
    <mergeCell ref="L728:M728"/>
    <mergeCell ref="N728:O728"/>
    <mergeCell ref="J735:K735"/>
    <mergeCell ref="L735:M735"/>
    <mergeCell ref="N735:O735"/>
    <mergeCell ref="J736:K736"/>
    <mergeCell ref="L736:M736"/>
    <mergeCell ref="N736:O736"/>
    <mergeCell ref="J737:K737"/>
    <mergeCell ref="L737:M737"/>
    <mergeCell ref="N737:O737"/>
    <mergeCell ref="J732:K732"/>
    <mergeCell ref="L732:M732"/>
    <mergeCell ref="N732:O732"/>
    <mergeCell ref="J733:K733"/>
    <mergeCell ref="L733:M733"/>
    <mergeCell ref="N733:O733"/>
    <mergeCell ref="J734:K734"/>
    <mergeCell ref="L734:M734"/>
    <mergeCell ref="N734:O734"/>
    <mergeCell ref="J741:K741"/>
    <mergeCell ref="L741:M741"/>
    <mergeCell ref="N741:O741"/>
    <mergeCell ref="J742:K742"/>
    <mergeCell ref="L742:M742"/>
    <mergeCell ref="N742:O742"/>
    <mergeCell ref="J743:K743"/>
    <mergeCell ref="L743:M743"/>
    <mergeCell ref="N743:O743"/>
    <mergeCell ref="J738:K738"/>
    <mergeCell ref="L738:M738"/>
    <mergeCell ref="N738:O738"/>
    <mergeCell ref="J739:K739"/>
    <mergeCell ref="L739:M739"/>
    <mergeCell ref="N739:O739"/>
    <mergeCell ref="J740:K740"/>
    <mergeCell ref="L740:M740"/>
    <mergeCell ref="N740:O740"/>
    <mergeCell ref="J747:K747"/>
    <mergeCell ref="L747:M747"/>
    <mergeCell ref="N747:O747"/>
    <mergeCell ref="J748:K748"/>
    <mergeCell ref="L748:M748"/>
    <mergeCell ref="N748:O748"/>
    <mergeCell ref="J749:K749"/>
    <mergeCell ref="L749:M749"/>
    <mergeCell ref="N749:O749"/>
    <mergeCell ref="J744:K744"/>
    <mergeCell ref="L744:M744"/>
    <mergeCell ref="N744:O744"/>
    <mergeCell ref="J745:K745"/>
    <mergeCell ref="L745:M745"/>
    <mergeCell ref="N745:O745"/>
    <mergeCell ref="J746:K746"/>
    <mergeCell ref="L746:M746"/>
    <mergeCell ref="N746:O746"/>
    <mergeCell ref="J753:K753"/>
    <mergeCell ref="L753:M753"/>
    <mergeCell ref="N753:O753"/>
    <mergeCell ref="J754:K754"/>
    <mergeCell ref="L754:M754"/>
    <mergeCell ref="N754:O754"/>
    <mergeCell ref="J755:K755"/>
    <mergeCell ref="L755:M755"/>
    <mergeCell ref="N755:O755"/>
    <mergeCell ref="J750:K750"/>
    <mergeCell ref="L750:M750"/>
    <mergeCell ref="N750:O750"/>
    <mergeCell ref="J751:K751"/>
    <mergeCell ref="L751:M751"/>
    <mergeCell ref="N751:O751"/>
    <mergeCell ref="J752:K752"/>
    <mergeCell ref="L752:M752"/>
    <mergeCell ref="N752:O752"/>
    <mergeCell ref="J759:K759"/>
    <mergeCell ref="L759:M759"/>
    <mergeCell ref="N759:O759"/>
    <mergeCell ref="J760:K760"/>
    <mergeCell ref="L760:M760"/>
    <mergeCell ref="N760:O760"/>
    <mergeCell ref="J761:K761"/>
    <mergeCell ref="L761:M761"/>
    <mergeCell ref="N761:O761"/>
    <mergeCell ref="J756:K756"/>
    <mergeCell ref="L756:M756"/>
    <mergeCell ref="N756:O756"/>
    <mergeCell ref="J757:K757"/>
    <mergeCell ref="L757:M757"/>
    <mergeCell ref="N757:O757"/>
    <mergeCell ref="J758:K758"/>
    <mergeCell ref="L758:M758"/>
    <mergeCell ref="N758:O758"/>
    <mergeCell ref="J765:K765"/>
    <mergeCell ref="L765:M765"/>
    <mergeCell ref="N765:O765"/>
    <mergeCell ref="J766:K766"/>
    <mergeCell ref="L766:M766"/>
    <mergeCell ref="N766:O766"/>
    <mergeCell ref="J767:K767"/>
    <mergeCell ref="L767:M767"/>
    <mergeCell ref="N767:O767"/>
    <mergeCell ref="J762:K762"/>
    <mergeCell ref="L762:M762"/>
    <mergeCell ref="N762:O762"/>
    <mergeCell ref="J763:K763"/>
    <mergeCell ref="L763:M763"/>
    <mergeCell ref="N763:O763"/>
    <mergeCell ref="J764:K764"/>
    <mergeCell ref="L764:M764"/>
    <mergeCell ref="N764:O764"/>
    <mergeCell ref="J771:K771"/>
    <mergeCell ref="L771:M771"/>
    <mergeCell ref="N771:O771"/>
    <mergeCell ref="J772:K772"/>
    <mergeCell ref="L772:M772"/>
    <mergeCell ref="N772:O772"/>
    <mergeCell ref="J773:K773"/>
    <mergeCell ref="L773:M773"/>
    <mergeCell ref="N773:O773"/>
    <mergeCell ref="J768:K768"/>
    <mergeCell ref="L768:M768"/>
    <mergeCell ref="N768:O768"/>
    <mergeCell ref="J769:K769"/>
    <mergeCell ref="L769:M769"/>
    <mergeCell ref="N769:O769"/>
    <mergeCell ref="J770:K770"/>
    <mergeCell ref="L770:M770"/>
    <mergeCell ref="N770:O770"/>
    <mergeCell ref="J777:K777"/>
    <mergeCell ref="L777:M777"/>
    <mergeCell ref="N777:O777"/>
    <mergeCell ref="J778:K778"/>
    <mergeCell ref="L778:M778"/>
    <mergeCell ref="N778:O778"/>
    <mergeCell ref="J779:K779"/>
    <mergeCell ref="L779:M779"/>
    <mergeCell ref="N779:O779"/>
    <mergeCell ref="J774:K774"/>
    <mergeCell ref="L774:M774"/>
    <mergeCell ref="N774:O774"/>
    <mergeCell ref="J775:K775"/>
    <mergeCell ref="L775:M775"/>
    <mergeCell ref="N775:O775"/>
    <mergeCell ref="J776:K776"/>
    <mergeCell ref="L776:M776"/>
    <mergeCell ref="N776:O776"/>
    <mergeCell ref="J783:K783"/>
    <mergeCell ref="L783:M783"/>
    <mergeCell ref="N783:O783"/>
    <mergeCell ref="J784:K784"/>
    <mergeCell ref="L784:M784"/>
    <mergeCell ref="N784:O784"/>
    <mergeCell ref="J791:K791"/>
    <mergeCell ref="L791:M791"/>
    <mergeCell ref="N791:O791"/>
    <mergeCell ref="J786:K786"/>
    <mergeCell ref="L786:M786"/>
    <mergeCell ref="N786:O786"/>
    <mergeCell ref="J787:K787"/>
    <mergeCell ref="L787:M787"/>
    <mergeCell ref="N787:O787"/>
    <mergeCell ref="J788:K788"/>
    <mergeCell ref="L788:M788"/>
    <mergeCell ref="N788:O788"/>
    <mergeCell ref="J785:K785"/>
    <mergeCell ref="L785:M785"/>
    <mergeCell ref="N785:O785"/>
    <mergeCell ref="J780:K780"/>
    <mergeCell ref="L780:M780"/>
    <mergeCell ref="N780:O780"/>
    <mergeCell ref="J781:K781"/>
    <mergeCell ref="L781:M781"/>
    <mergeCell ref="N781:O781"/>
    <mergeCell ref="J782:K782"/>
    <mergeCell ref="L782:M782"/>
    <mergeCell ref="N782:O782"/>
    <mergeCell ref="J789:K789"/>
    <mergeCell ref="L789:M789"/>
    <mergeCell ref="N789:O789"/>
    <mergeCell ref="J790:K790"/>
    <mergeCell ref="L790:M790"/>
    <mergeCell ref="N790:O790"/>
  </mergeCells>
  <dataValidations count="3">
    <dataValidation type="list" allowBlank="1" showInputMessage="1" showErrorMessage="1" sqref="C19 C21" xr:uid="{00000000-0002-0000-0800-000000000000}">
      <formula1>"Yes,No"</formula1>
    </dataValidation>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800-000001000000}">
      <formula1>"A,B"</formula1>
    </dataValidation>
    <dataValidation type="list" allowBlank="1" showInputMessage="1" showErrorMessage="1" sqref="D784 D786 D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90" xr:uid="{F7A23D4B-FC68-439C-9C3C-012E0B36A768}">
      <formula1>listdata</formula1>
    </dataValidation>
  </dataValidations>
  <pageMargins left="0.7" right="0.7" top="0.75" bottom="0.75" header="0.3" footer="0.3"/>
  <pageSetup paperSize="17" scale="50" orientation="landscape" r:id="rId1"/>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79877" r:id="rId5" name="Button 5">
              <controlPr defaultSize="0" print="0" autoFill="0" autoPict="0" macro="[0]!ClrAll3a_Click">
                <anchor moveWithCells="1" sizeWithCells="1">
                  <from>
                    <xdr:col>3</xdr:col>
                    <xdr:colOff>333375</xdr:colOff>
                    <xdr:row>24</xdr:row>
                    <xdr:rowOff>19050</xdr:rowOff>
                  </from>
                  <to>
                    <xdr:col>3</xdr:col>
                    <xdr:colOff>1476375</xdr:colOff>
                    <xdr:row>25</xdr:row>
                    <xdr:rowOff>0</xdr:rowOff>
                  </to>
                </anchor>
              </controlPr>
            </control>
          </mc:Choice>
        </mc:AlternateContent>
        <mc:AlternateContent xmlns:mc="http://schemas.openxmlformats.org/markup-compatibility/2006">
          <mc:Choice Requires="x14">
            <control shapeId="79878" r:id="rId6" name="Button 6">
              <controlPr defaultSize="0" print="0" autoFill="0" autoPict="0" macro="[0]!ClrAll3b_Click">
                <anchor moveWithCells="1" sizeWithCells="1">
                  <from>
                    <xdr:col>3</xdr:col>
                    <xdr:colOff>314325</xdr:colOff>
                    <xdr:row>486</xdr:row>
                    <xdr:rowOff>123825</xdr:rowOff>
                  </from>
                  <to>
                    <xdr:col>3</xdr:col>
                    <xdr:colOff>1457325</xdr:colOff>
                    <xdr:row>486</xdr:row>
                    <xdr:rowOff>352425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pageSetUpPr fitToPage="1"/>
  </sheetPr>
  <dimension ref="A13:N184"/>
  <sheetViews>
    <sheetView showGridLines="0" zoomScaleNormal="100" workbookViewId="0"/>
  </sheetViews>
  <sheetFormatPr defaultColWidth="9.28515625" defaultRowHeight="15" x14ac:dyDescent="0.25"/>
  <cols>
    <col min="1" max="1" width="55.7109375" customWidth="1"/>
    <col min="2" max="2" width="9.7109375" customWidth="1"/>
    <col min="3" max="3" width="31" bestFit="1" customWidth="1"/>
    <col min="4" max="4" width="31" customWidth="1"/>
    <col min="5" max="5" width="27.42578125" hidden="1" customWidth="1"/>
    <col min="6" max="6" width="28.5703125" hidden="1" customWidth="1"/>
    <col min="7" max="8" width="28.28515625" hidden="1" customWidth="1"/>
    <col min="9" max="9" width="30.42578125" customWidth="1"/>
    <col min="10" max="10" width="24.7109375" customWidth="1"/>
    <col min="11" max="11" width="10.28515625" customWidth="1"/>
    <col min="14" max="14" width="32.28515625" customWidth="1"/>
  </cols>
  <sheetData>
    <row r="13" spans="1:10" ht="18.75" customHeight="1" x14ac:dyDescent="0.25"/>
    <row r="14" spans="1:10" ht="62.25" customHeight="1" x14ac:dyDescent="0.25">
      <c r="A14" s="1854" t="s">
        <v>685</v>
      </c>
      <c r="B14" s="1854"/>
      <c r="C14" s="1854"/>
      <c r="D14" s="1854"/>
      <c r="E14" s="1854"/>
      <c r="F14" s="1854"/>
      <c r="G14" s="1854"/>
      <c r="H14" s="1854"/>
      <c r="I14" s="1854"/>
      <c r="J14" s="1854"/>
    </row>
    <row r="15" spans="1:10" x14ac:dyDescent="0.25">
      <c r="A15" s="434"/>
      <c r="B15" s="434"/>
      <c r="C15" s="434"/>
      <c r="D15" s="434"/>
      <c r="E15" s="363"/>
      <c r="F15" s="363"/>
    </row>
    <row r="16" spans="1:10" ht="30" customHeight="1" x14ac:dyDescent="0.25">
      <c r="A16" s="358" t="s">
        <v>686</v>
      </c>
      <c r="B16" s="469">
        <f>G1LD</f>
        <v>2023</v>
      </c>
      <c r="C16" s="1846"/>
      <c r="D16" s="1438"/>
      <c r="E16" s="1438"/>
      <c r="F16" s="1438"/>
      <c r="G16" s="1438"/>
      <c r="H16" s="1438"/>
      <c r="I16" s="1438"/>
    </row>
    <row r="17" spans="1:14" ht="39.75" customHeight="1" x14ac:dyDescent="0.25">
      <c r="A17" s="1854" t="s">
        <v>687</v>
      </c>
      <c r="B17" s="1854"/>
      <c r="C17" s="1854"/>
      <c r="D17" s="1854"/>
      <c r="E17" s="1854"/>
      <c r="F17" s="1854"/>
    </row>
    <row r="18" spans="1:14" x14ac:dyDescent="0.25">
      <c r="B18" s="330"/>
      <c r="C18" s="356" t="s">
        <v>688</v>
      </c>
      <c r="D18" s="357">
        <v>2024</v>
      </c>
      <c r="E18" s="357">
        <f>D18-1</f>
        <v>2023</v>
      </c>
      <c r="F18" s="357">
        <f>E18-1</f>
        <v>2022</v>
      </c>
      <c r="G18" s="357">
        <f>F18-1</f>
        <v>2021</v>
      </c>
      <c r="H18" s="357">
        <f>G18-1</f>
        <v>2020</v>
      </c>
    </row>
    <row r="19" spans="1:14" ht="17.25" customHeight="1" x14ac:dyDescent="0.25">
      <c r="A19" s="506" t="s">
        <v>689</v>
      </c>
      <c r="B19" s="510" t="s">
        <v>690</v>
      </c>
      <c r="C19" s="1213">
        <f>D19</f>
        <v>13164853652</v>
      </c>
      <c r="D19" s="1213">
        <f>'4. Billing Det. for Def-Var'!E25</f>
        <v>13164853652</v>
      </c>
      <c r="E19" s="791"/>
      <c r="F19" s="791"/>
      <c r="G19" s="791"/>
      <c r="H19" s="791"/>
    </row>
    <row r="20" spans="1:14" s="17" customFormat="1" ht="15" customHeight="1" x14ac:dyDescent="0.25">
      <c r="A20" s="507" t="s">
        <v>691</v>
      </c>
      <c r="B20" s="510" t="s">
        <v>692</v>
      </c>
      <c r="C20" s="1213">
        <f>D20</f>
        <v>292871725.46180505</v>
      </c>
      <c r="D20" s="1221">
        <f>'6. Class A Consumption Data'!F30+'6. Class A Consumption Data'!G33+'6. Class A Consumption Data'!F36+'6. Class A Consumption Data'!G39+'6. Class A Consumption Data'!F42+'6. Class A Consumption Data'!G45+'6. Class A Consumption Data'!F48+'6. Class A Consumption Data'!G51</f>
        <v>292871725.46180505</v>
      </c>
      <c r="E20" s="792">
        <v>0</v>
      </c>
      <c r="F20" s="792">
        <v>0</v>
      </c>
      <c r="G20" s="792">
        <v>0</v>
      </c>
      <c r="H20" s="792">
        <v>0</v>
      </c>
    </row>
    <row r="21" spans="1:14" s="17" customFormat="1" x14ac:dyDescent="0.25">
      <c r="A21" s="507" t="s">
        <v>693</v>
      </c>
      <c r="B21" s="510" t="s">
        <v>694</v>
      </c>
      <c r="C21" s="1213">
        <f>D21</f>
        <v>5642039933.5287876</v>
      </c>
      <c r="D21" s="792">
        <f t="array" ref="D21">SUM(IF('6. Class A Consumption Data'!E492:E791="kWh",'6. Class A Consumption Data'!F492:F791))</f>
        <v>5642039933.5287876</v>
      </c>
      <c r="E21" s="792">
        <f t="array" ref="E21">SUM(IF('6. Class A Consumption Data'!E492:E791="kWh",'6. Class A Consumption Data'!H492:H791))</f>
        <v>0</v>
      </c>
      <c r="F21" s="792">
        <f t="array" ref="F21">SUM(IF('6. Class A Consumption Data'!E492:E791="kWh",'6. Class A Consumption Data'!J492:J791))</f>
        <v>0</v>
      </c>
      <c r="G21" s="792">
        <f t="array" ref="G21">SUM(IF('6. Class A Consumption Data'!E492:E791="kWh",'6. Class A Consumption Data'!L492:L791))</f>
        <v>0</v>
      </c>
      <c r="H21" s="792">
        <f t="array" ref="H21">SUM(IF('6. Class A Consumption Data'!E492:E791="kWh",'6. Class A Consumption Data'!N492:N791))</f>
        <v>0</v>
      </c>
    </row>
    <row r="22" spans="1:14" s="17" customFormat="1" ht="26.25" x14ac:dyDescent="0.25">
      <c r="A22" s="508" t="s">
        <v>695</v>
      </c>
      <c r="B22" s="510" t="s">
        <v>696</v>
      </c>
      <c r="C22" s="1213">
        <f>D22</f>
        <v>7229941993.009407</v>
      </c>
      <c r="D22" s="793">
        <f>D19-D20-D21</f>
        <v>7229941993.009407</v>
      </c>
      <c r="E22" s="793">
        <f>E19-E20-E21</f>
        <v>0</v>
      </c>
      <c r="F22" s="793">
        <f>F19-F20-F21</f>
        <v>0</v>
      </c>
      <c r="G22" s="793">
        <f>G19-G20-G21</f>
        <v>0</v>
      </c>
      <c r="H22" s="793">
        <f>H19-H20-H21</f>
        <v>0</v>
      </c>
    </row>
    <row r="23" spans="1:14" x14ac:dyDescent="0.25">
      <c r="A23" s="506" t="s">
        <v>697</v>
      </c>
      <c r="B23" s="510" t="s">
        <v>698</v>
      </c>
      <c r="C23" s="1213">
        <f>D23</f>
        <v>179035730.63828799</v>
      </c>
      <c r="D23" s="790">
        <f>D184</f>
        <v>179035730.63828799</v>
      </c>
      <c r="E23" s="790">
        <f>E184</f>
        <v>0</v>
      </c>
      <c r="F23" s="790">
        <f>F184</f>
        <v>0</v>
      </c>
      <c r="G23" s="790">
        <f>G184</f>
        <v>0</v>
      </c>
      <c r="H23" s="790">
        <f>H184</f>
        <v>0</v>
      </c>
    </row>
    <row r="24" spans="1:14" ht="15.75" customHeight="1" x14ac:dyDescent="0.25">
      <c r="A24" s="509" t="s">
        <v>699</v>
      </c>
      <c r="B24" s="510" t="s">
        <v>700</v>
      </c>
      <c r="C24" s="591">
        <f>IFERROR(+C23/C22,0)</f>
        <v>2.4763093647417463E-2</v>
      </c>
      <c r="D24" s="591"/>
      <c r="E24" s="591"/>
      <c r="F24" s="591"/>
      <c r="G24" s="441"/>
      <c r="H24" s="441"/>
    </row>
    <row r="25" spans="1:14" ht="39.75" customHeight="1" thickBot="1" x14ac:dyDescent="0.3">
      <c r="A25" s="1852" t="s">
        <v>701</v>
      </c>
      <c r="B25" s="1852"/>
      <c r="C25" s="1852"/>
      <c r="D25" s="425"/>
      <c r="F25" s="321"/>
    </row>
    <row r="26" spans="1:14" ht="15.75" hidden="1" thickBot="1" x14ac:dyDescent="0.3">
      <c r="A26" s="332"/>
      <c r="B26" s="332"/>
      <c r="C26" s="354"/>
      <c r="D26" s="354"/>
      <c r="N26" s="321"/>
    </row>
    <row r="27" spans="1:14" ht="15.75" thickBot="1" x14ac:dyDescent="0.3">
      <c r="A27" s="419" t="s">
        <v>702</v>
      </c>
      <c r="B27" s="419" t="s">
        <v>703</v>
      </c>
      <c r="C27" s="440">
        <f>'3. Continuity Schedule'!BT29</f>
        <v>36715382.044539288</v>
      </c>
      <c r="D27" s="435"/>
    </row>
    <row r="28" spans="1:14" ht="15.75" thickBot="1" x14ac:dyDescent="0.3">
      <c r="A28" s="331" t="s">
        <v>704</v>
      </c>
      <c r="B28" s="355" t="s">
        <v>705</v>
      </c>
      <c r="C28" s="439">
        <f>+C24*C27</f>
        <v>909186.44386963604</v>
      </c>
      <c r="D28" s="438"/>
      <c r="E28" s="437"/>
    </row>
    <row r="29" spans="1:14" ht="32.25" customHeight="1" thickBot="1" x14ac:dyDescent="0.3">
      <c r="A29" s="331" t="s">
        <v>706</v>
      </c>
      <c r="B29" s="355" t="s">
        <v>707</v>
      </c>
      <c r="C29" s="436">
        <f>+C27-C28</f>
        <v>35806195.600669652</v>
      </c>
      <c r="D29" s="435"/>
    </row>
    <row r="31" spans="1:14" x14ac:dyDescent="0.25">
      <c r="A31" s="1853" t="s">
        <v>708</v>
      </c>
      <c r="B31" s="1853"/>
      <c r="C31" s="1854"/>
      <c r="D31" s="1854"/>
      <c r="E31" s="1854"/>
    </row>
    <row r="32" spans="1:14" x14ac:dyDescent="0.25">
      <c r="A32" s="333" t="s">
        <v>709</v>
      </c>
      <c r="B32" s="333"/>
      <c r="C32" s="473">
        <f>COUNTIF(C34:C183,"&lt;&gt;0")</f>
        <v>6</v>
      </c>
      <c r="D32" s="317"/>
      <c r="E32" s="317"/>
      <c r="F32" s="317"/>
      <c r="G32" s="317"/>
      <c r="H32" s="317"/>
      <c r="K32" s="468"/>
    </row>
    <row r="33" spans="1:11" ht="65.25" customHeight="1" x14ac:dyDescent="0.25">
      <c r="A33" s="1123" t="s">
        <v>375</v>
      </c>
      <c r="B33" s="1123"/>
      <c r="C33" s="1124" t="s">
        <v>710</v>
      </c>
      <c r="D33" s="1124" t="s">
        <v>6510</v>
      </c>
      <c r="E33" s="1124" t="s">
        <v>711</v>
      </c>
      <c r="F33" s="1124" t="s">
        <v>712</v>
      </c>
      <c r="G33" s="1124" t="s">
        <v>713</v>
      </c>
      <c r="H33" s="1124" t="s">
        <v>714</v>
      </c>
      <c r="I33" s="356" t="s">
        <v>715</v>
      </c>
      <c r="J33" s="1125" t="s">
        <v>716</v>
      </c>
      <c r="K33" s="467" t="s">
        <v>717</v>
      </c>
    </row>
    <row r="34" spans="1:11" x14ac:dyDescent="0.25">
      <c r="A34" s="447" t="s">
        <v>378</v>
      </c>
      <c r="B34" s="447"/>
      <c r="C34" s="448">
        <v>21677684.652330998</v>
      </c>
      <c r="D34" s="448">
        <f t="array" ref="D34">SUM(IF('6. Class A Consumption Data'!F32:G32="B",'6. Class A Consumption Data'!F30:G30))</f>
        <v>21677684.652330998</v>
      </c>
      <c r="E34" s="448">
        <f t="array" ref="E34">SUM(IF('6. Class A Consumption Data'!H32:I32="B",'6. Class A Consumption Data'!H30:I30))</f>
        <v>0</v>
      </c>
      <c r="F34" s="448">
        <f t="array" ref="F34">SUM(IF('6. Class A Consumption Data'!J32:K32="B",'6. Class A Consumption Data'!J30:K30))</f>
        <v>0</v>
      </c>
      <c r="G34" s="448">
        <f t="array" ref="G34">SUM(IF('6. Class A Consumption Data'!L32:M32="B",'6. Class A Consumption Data'!L30:M30))</f>
        <v>0</v>
      </c>
      <c r="H34" s="448">
        <f t="array" ref="H34">SUM(IF('6. Class A Consumption Data'!N32:O32="B",'6. Class A Consumption Data'!N30:O30))</f>
        <v>0</v>
      </c>
      <c r="I34" s="451">
        <f>IFERROR(+C34/$C$184,0)</f>
        <v>0.12108021440774393</v>
      </c>
      <c r="J34" s="450">
        <f>+I34*$C$28</f>
        <v>110084.48956034977</v>
      </c>
      <c r="K34" s="446">
        <f>+J34/12</f>
        <v>9173.7074633624816</v>
      </c>
    </row>
    <row r="35" spans="1:11" hidden="1" x14ac:dyDescent="0.25">
      <c r="A35" s="447" t="s">
        <v>382</v>
      </c>
      <c r="B35" s="447"/>
      <c r="C35" s="448">
        <v>0</v>
      </c>
      <c r="D35" s="448">
        <f t="array" ref="D35">SUM(IF('6. Class A Consumption Data'!F35:G35="B",'6. Class A Consumption Data'!F33:G33))</f>
        <v>0</v>
      </c>
      <c r="E35" s="448">
        <f t="array" ref="E35">SUM(IF('6. Class A Consumption Data'!H35:I35="B",'6. Class A Consumption Data'!H33:I33))</f>
        <v>0</v>
      </c>
      <c r="F35" s="448">
        <f t="array" ref="F35">SUM(IF('6. Class A Consumption Data'!J35:K35="B",'6. Class A Consumption Data'!J33:K33))</f>
        <v>0</v>
      </c>
      <c r="G35" s="448">
        <f t="array" ref="G35">SUM(IF('6. Class A Consumption Data'!L35:M35="B",'6. Class A Consumption Data'!L33:M33))</f>
        <v>0</v>
      </c>
      <c r="H35" s="448">
        <f t="array" ref="H35">SUM(IF('6. Class A Consumption Data'!N35:O35="B",'6. Class A Consumption Data'!N33:O33))</f>
        <v>0</v>
      </c>
      <c r="I35" s="451">
        <f t="shared" ref="I35:I98" si="0">IFERROR(+C35/$C$184,0)</f>
        <v>0</v>
      </c>
      <c r="J35" s="450">
        <f>+I35*$C$28</f>
        <v>0</v>
      </c>
      <c r="K35" s="446">
        <f>+J35/12</f>
        <v>0</v>
      </c>
    </row>
    <row r="36" spans="1:11" x14ac:dyDescent="0.25">
      <c r="A36" s="453" t="s">
        <v>383</v>
      </c>
      <c r="B36" s="453"/>
      <c r="C36" s="448">
        <v>79853943.807463005</v>
      </c>
      <c r="D36" s="454">
        <f t="array" ref="D36">SUM(IF('6. Class A Consumption Data'!F38:G38="B",'6. Class A Consumption Data'!F36:G36))</f>
        <v>79853943.807463005</v>
      </c>
      <c r="E36" s="454">
        <f t="array" ref="E36">SUM(IF('6. Class A Consumption Data'!H38:I38="B",'6. Class A Consumption Data'!H36:I36))</f>
        <v>0</v>
      </c>
      <c r="F36" s="454">
        <f t="array" ref="F36">SUM(IF('6. Class A Consumption Data'!J38:K38="B",'6. Class A Consumption Data'!J36:K36))</f>
        <v>0</v>
      </c>
      <c r="G36" s="454">
        <f t="array" ref="G36">SUM(IF('6. Class A Consumption Data'!L38:M38="B",'6. Class A Consumption Data'!L36:M36))</f>
        <v>0</v>
      </c>
      <c r="H36" s="454">
        <f t="array" ref="H36">SUM(IF('6. Class A Consumption Data'!N38:O38="B",'6. Class A Consumption Data'!N36:O36))</f>
        <v>0</v>
      </c>
      <c r="I36" s="449">
        <f t="shared" si="0"/>
        <v>0.44602238627324431</v>
      </c>
      <c r="J36" s="456">
        <f>+I36*$C$28</f>
        <v>405517.50726202014</v>
      </c>
      <c r="K36" s="452">
        <f>+J36/12</f>
        <v>33793.125605168345</v>
      </c>
    </row>
    <row r="37" spans="1:11" x14ac:dyDescent="0.25">
      <c r="A37" s="442" t="s">
        <v>384</v>
      </c>
      <c r="B37" s="442"/>
      <c r="C37" s="448">
        <v>19805497.426302999</v>
      </c>
      <c r="D37" s="443">
        <f t="array" ref="D37">SUM(IF('6. Class A Consumption Data'!F41:G41="B",'6. Class A Consumption Data'!F39:G39))</f>
        <v>19805497.426302999</v>
      </c>
      <c r="E37" s="443">
        <f t="array" ref="E37">SUM(IF('6. Class A Consumption Data'!H41:I41="B",'6. Class A Consumption Data'!H39:I39))</f>
        <v>0</v>
      </c>
      <c r="F37" s="443">
        <f t="array" ref="F37">SUM(IF('6. Class A Consumption Data'!J41:K41="B",'6. Class A Consumption Data'!J39:K39))</f>
        <v>0</v>
      </c>
      <c r="G37" s="443">
        <f t="array" ref="G37">SUM(IF('6. Class A Consumption Data'!L41:M41="B",'6. Class A Consumption Data'!L39:M39))</f>
        <v>0</v>
      </c>
      <c r="H37" s="443">
        <f t="array" ref="H37">SUM(IF('6. Class A Consumption Data'!N41:O41="B",'6. Class A Consumption Data'!N39:O39))</f>
        <v>0</v>
      </c>
      <c r="I37" s="444">
        <f t="shared" si="0"/>
        <v>0.11062315525338751</v>
      </c>
      <c r="J37" s="445">
        <f>+I37*$C$28</f>
        <v>100577.07313446603</v>
      </c>
      <c r="K37" s="452">
        <f>+J37/12</f>
        <v>8381.422761205502</v>
      </c>
    </row>
    <row r="38" spans="1:11" x14ac:dyDescent="0.25">
      <c r="A38" s="502" t="s">
        <v>385</v>
      </c>
      <c r="B38" s="502"/>
      <c r="C38" s="448">
        <v>48939745.206956998</v>
      </c>
      <c r="D38" s="503">
        <f t="array" ref="D38">SUM(IF('6. Class A Consumption Data'!F44:G44="B",'6. Class A Consumption Data'!F42:G42))</f>
        <v>48939745.206956998</v>
      </c>
      <c r="E38" s="503">
        <f t="array" ref="E38">SUM(IF('6. Class A Consumption Data'!H44:I44="B",'6. Class A Consumption Data'!H42:I42))</f>
        <v>0</v>
      </c>
      <c r="F38" s="503">
        <f t="array" ref="F38">SUM(IF('6. Class A Consumption Data'!J44:K44="B",'6. Class A Consumption Data'!J42:K42))</f>
        <v>0</v>
      </c>
      <c r="G38" s="503">
        <f t="array" ref="G38">SUM(IF('6. Class A Consumption Data'!L44:M44="B",'6. Class A Consumption Data'!L42:M42))</f>
        <v>0</v>
      </c>
      <c r="H38" s="503">
        <f t="array" ref="H38">SUM(IF('6. Class A Consumption Data'!N44:O44="B",'6. Class A Consumption Data'!N42:O42))</f>
        <v>0</v>
      </c>
      <c r="I38" s="504">
        <f t="shared" si="0"/>
        <v>0.27335183336018909</v>
      </c>
      <c r="J38" s="505">
        <f t="shared" ref="J38:J101" si="1">+I38*$C$28</f>
        <v>248527.78129799565</v>
      </c>
      <c r="K38" s="452">
        <f t="shared" ref="K38:K101" si="2">+J38/12</f>
        <v>20710.648441499638</v>
      </c>
    </row>
    <row r="39" spans="1:11" x14ac:dyDescent="0.25">
      <c r="A39" s="447" t="s">
        <v>386</v>
      </c>
      <c r="B39" s="447"/>
      <c r="C39" s="448">
        <v>7590742.3434509989</v>
      </c>
      <c r="D39" s="448">
        <f t="array" ref="D39">SUM(IF('6. Class A Consumption Data'!F47:G47="B",'6. Class A Consumption Data'!F45:G45))</f>
        <v>7590742.3434509989</v>
      </c>
      <c r="E39" s="448">
        <f t="array" ref="E39">SUM(IF('6. Class A Consumption Data'!H47:I47="B",'6. Class A Consumption Data'!H45:I45))</f>
        <v>0</v>
      </c>
      <c r="F39" s="448">
        <f t="array" ref="F39">SUM(IF('6. Class A Consumption Data'!J47:K47="B",'6. Class A Consumption Data'!J45:K45))</f>
        <v>0</v>
      </c>
      <c r="G39" s="448">
        <f t="array" ref="G39">SUM(IF('6. Class A Consumption Data'!L47:M47="B",'6. Class A Consumption Data'!L45:M45))</f>
        <v>0</v>
      </c>
      <c r="H39" s="448">
        <f t="array" ref="H39">SUM(IF('6. Class A Consumption Data'!N47:O47="B",'6. Class A Consumption Data'!N45:O45))</f>
        <v>0</v>
      </c>
      <c r="I39" s="451">
        <f t="shared" si="0"/>
        <v>4.23979186522652E-2</v>
      </c>
      <c r="J39" s="450">
        <f t="shared" si="1"/>
        <v>38547.612886927112</v>
      </c>
      <c r="K39" s="452">
        <f t="shared" si="2"/>
        <v>3212.3010739105925</v>
      </c>
    </row>
    <row r="40" spans="1:11" x14ac:dyDescent="0.25">
      <c r="A40" s="453" t="s">
        <v>387</v>
      </c>
      <c r="B40" s="453"/>
      <c r="C40" s="454">
        <v>1168117.2017829998</v>
      </c>
      <c r="D40" s="454">
        <f t="array" ref="D40">SUM(IF('6. Class A Consumption Data'!F50:G50="B",'6. Class A Consumption Data'!F48:G48))</f>
        <v>1168117.2017829998</v>
      </c>
      <c r="E40" s="454">
        <f t="array" ref="E40">SUM(IF('6. Class A Consumption Data'!H50:I50="B",'6. Class A Consumption Data'!H48:I48))</f>
        <v>0</v>
      </c>
      <c r="F40" s="454">
        <f t="array" ref="F40">SUM(IF('6. Class A Consumption Data'!J50:K50="B",'6. Class A Consumption Data'!J48:K48))</f>
        <v>0</v>
      </c>
      <c r="G40" s="454">
        <f t="array" ref="G40">SUM(IF('6. Class A Consumption Data'!L50:M50="B",'6. Class A Consumption Data'!L48:M48))</f>
        <v>0</v>
      </c>
      <c r="H40" s="454">
        <f t="array" ref="H40">SUM(IF('6. Class A Consumption Data'!N50:O50="B",'6. Class A Consumption Data'!N48:O48))</f>
        <v>0</v>
      </c>
      <c r="I40" s="449">
        <f t="shared" si="0"/>
        <v>6.5244920531700281E-3</v>
      </c>
      <c r="J40" s="446">
        <f t="shared" si="1"/>
        <v>5931.9797278773585</v>
      </c>
      <c r="K40" s="455">
        <f t="shared" si="2"/>
        <v>494.33164398977988</v>
      </c>
    </row>
    <row r="41" spans="1:11" hidden="1" x14ac:dyDescent="0.25">
      <c r="A41" s="442" t="s">
        <v>388</v>
      </c>
      <c r="B41" s="442"/>
      <c r="C41" s="503">
        <v>0</v>
      </c>
      <c r="D41" s="443">
        <f t="array" ref="D41">SUM(IF('6. Class A Consumption Data'!F53:G53="B",'6. Class A Consumption Data'!F51:G51))</f>
        <v>0</v>
      </c>
      <c r="E41" s="443">
        <f t="array" ref="E41">SUM(IF('6. Class A Consumption Data'!H53:I53="B",'6. Class A Consumption Data'!H51:I51))</f>
        <v>0</v>
      </c>
      <c r="F41" s="443">
        <f t="array" ref="F41">SUM(IF('6. Class A Consumption Data'!J53:K53="B",'6. Class A Consumption Data'!J51:K51))</f>
        <v>0</v>
      </c>
      <c r="G41" s="443">
        <f t="array" ref="G41">SUM(IF('6. Class A Consumption Data'!L53:M53="B",'6. Class A Consumption Data'!L51:M51))</f>
        <v>0</v>
      </c>
      <c r="H41" s="443">
        <f t="array" ref="H41">SUM(IF('6. Class A Consumption Data'!N53:O53="B",'6. Class A Consumption Data'!N51:O51))</f>
        <v>0</v>
      </c>
      <c r="I41" s="444">
        <f t="shared" si="0"/>
        <v>0</v>
      </c>
      <c r="J41" s="445">
        <f t="shared" si="1"/>
        <v>0</v>
      </c>
      <c r="K41" s="452">
        <f t="shared" si="2"/>
        <v>0</v>
      </c>
    </row>
    <row r="42" spans="1:11" hidden="1" x14ac:dyDescent="0.25">
      <c r="A42" s="453" t="s">
        <v>389</v>
      </c>
      <c r="B42" s="453"/>
      <c r="C42" s="448">
        <v>0</v>
      </c>
      <c r="D42" s="454">
        <v>0</v>
      </c>
      <c r="E42" s="454">
        <f t="array" ref="E42">SUM(IF('6. Class A Consumption Data'!H56:I56="B",'6. Class A Consumption Data'!H54:I54))</f>
        <v>0</v>
      </c>
      <c r="F42" s="454">
        <f t="array" ref="F42">SUM(IF('6. Class A Consumption Data'!J56:K56="B",'6. Class A Consumption Data'!J54:K54))</f>
        <v>0</v>
      </c>
      <c r="G42" s="454">
        <f t="array" ref="G42">SUM(IF('6. Class A Consumption Data'!L56:M56="B",'6. Class A Consumption Data'!L54:M54))</f>
        <v>0</v>
      </c>
      <c r="H42" s="454">
        <f t="array" ref="H42">SUM(IF('6. Class A Consumption Data'!N56:O56="B",'6. Class A Consumption Data'!N54:O54))</f>
        <v>0</v>
      </c>
      <c r="I42" s="449">
        <f t="shared" si="0"/>
        <v>0</v>
      </c>
      <c r="J42" s="456">
        <f t="shared" si="1"/>
        <v>0</v>
      </c>
      <c r="K42" s="446">
        <f t="shared" si="2"/>
        <v>0</v>
      </c>
    </row>
    <row r="43" spans="1:11" hidden="1" x14ac:dyDescent="0.25">
      <c r="A43" s="453" t="s">
        <v>390</v>
      </c>
      <c r="B43" s="453"/>
      <c r="C43" s="448">
        <v>0</v>
      </c>
      <c r="D43" s="454">
        <v>0</v>
      </c>
      <c r="E43" s="454">
        <f t="array" ref="E43">SUM(IF('6. Class A Consumption Data'!H59:I59="B",'6. Class A Consumption Data'!H57:I57))</f>
        <v>0</v>
      </c>
      <c r="F43" s="454">
        <f t="array" ref="F43">SUM(IF('6. Class A Consumption Data'!J59:K59="B",'6. Class A Consumption Data'!J57:K57))</f>
        <v>0</v>
      </c>
      <c r="G43" s="454">
        <f t="array" ref="G43">SUM(IF('6. Class A Consumption Data'!L59:M59="B",'6. Class A Consumption Data'!L57:M57))</f>
        <v>0</v>
      </c>
      <c r="H43" s="454">
        <f t="array" ref="H43">SUM(IF('6. Class A Consumption Data'!N59:O59="B",'6. Class A Consumption Data'!N57:O57))</f>
        <v>0</v>
      </c>
      <c r="I43" s="449">
        <f t="shared" si="0"/>
        <v>0</v>
      </c>
      <c r="J43" s="456">
        <f t="shared" si="1"/>
        <v>0</v>
      </c>
      <c r="K43" s="446">
        <f t="shared" si="2"/>
        <v>0</v>
      </c>
    </row>
    <row r="44" spans="1:11" hidden="1" x14ac:dyDescent="0.25">
      <c r="A44" s="453" t="s">
        <v>391</v>
      </c>
      <c r="B44" s="453"/>
      <c r="C44" s="448">
        <v>0</v>
      </c>
      <c r="D44" s="454">
        <v>0</v>
      </c>
      <c r="E44" s="454">
        <f t="array" ref="E44">SUM(IF('6. Class A Consumption Data'!H62:I62="B",'6. Class A Consumption Data'!H60:I60))</f>
        <v>0</v>
      </c>
      <c r="F44" s="454">
        <f t="array" ref="F44">SUM(IF('6. Class A Consumption Data'!J62:K62="B",'6. Class A Consumption Data'!J60:K60))</f>
        <v>0</v>
      </c>
      <c r="G44" s="454">
        <f t="array" ref="G44">SUM(IF('6. Class A Consumption Data'!L62:M62="B",'6. Class A Consumption Data'!L60:M60))</f>
        <v>0</v>
      </c>
      <c r="H44" s="454">
        <f t="array" ref="H44">SUM(IF('6. Class A Consumption Data'!N62:O62="B",'6. Class A Consumption Data'!N60:O60))</f>
        <v>0</v>
      </c>
      <c r="I44" s="449">
        <f t="shared" si="0"/>
        <v>0</v>
      </c>
      <c r="J44" s="456">
        <f t="shared" si="1"/>
        <v>0</v>
      </c>
      <c r="K44" s="446">
        <f t="shared" si="2"/>
        <v>0</v>
      </c>
    </row>
    <row r="45" spans="1:11" hidden="1" x14ac:dyDescent="0.25">
      <c r="A45" s="453" t="s">
        <v>392</v>
      </c>
      <c r="B45" s="453"/>
      <c r="C45" s="448">
        <v>0</v>
      </c>
      <c r="D45" s="454">
        <v>0</v>
      </c>
      <c r="E45" s="454">
        <f t="array" ref="E45">SUM(IF('6. Class A Consumption Data'!H65:I65="B",'6. Class A Consumption Data'!H63:I63))</f>
        <v>0</v>
      </c>
      <c r="F45" s="454">
        <f t="array" ref="F45">SUM(IF('6. Class A Consumption Data'!J65:K65="B",'6. Class A Consumption Data'!J63:K63))</f>
        <v>0</v>
      </c>
      <c r="G45" s="454">
        <f t="array" ref="G45">SUM(IF('6. Class A Consumption Data'!L65:M65="B",'6. Class A Consumption Data'!L63:M63))</f>
        <v>0</v>
      </c>
      <c r="H45" s="454">
        <f t="array" ref="H45">SUM(IF('6. Class A Consumption Data'!N65:O65="B",'6. Class A Consumption Data'!N63:O63))</f>
        <v>0</v>
      </c>
      <c r="I45" s="449">
        <f t="shared" si="0"/>
        <v>0</v>
      </c>
      <c r="J45" s="456">
        <f t="shared" si="1"/>
        <v>0</v>
      </c>
      <c r="K45" s="446">
        <f t="shared" si="2"/>
        <v>0</v>
      </c>
    </row>
    <row r="46" spans="1:11" hidden="1" x14ac:dyDescent="0.25">
      <c r="A46" s="453" t="s">
        <v>393</v>
      </c>
      <c r="B46" s="453"/>
      <c r="C46" s="448">
        <v>0</v>
      </c>
      <c r="D46" s="454">
        <v>0</v>
      </c>
      <c r="E46" s="454">
        <f t="array" ref="E46">SUM(IF('6. Class A Consumption Data'!H68:I68="B",'6. Class A Consumption Data'!H66:I66))</f>
        <v>0</v>
      </c>
      <c r="F46" s="454">
        <f t="array" ref="F46">SUM(IF('6. Class A Consumption Data'!J68:K68="B",'6. Class A Consumption Data'!J66:K66))</f>
        <v>0</v>
      </c>
      <c r="G46" s="454">
        <f t="array" ref="G46">SUM(IF('6. Class A Consumption Data'!L68:M68="B",'6. Class A Consumption Data'!L66:M66))</f>
        <v>0</v>
      </c>
      <c r="H46" s="454">
        <f t="array" ref="H46">SUM(IF('6. Class A Consumption Data'!N68:O68="B",'6. Class A Consumption Data'!N66:O66))</f>
        <v>0</v>
      </c>
      <c r="I46" s="449">
        <f t="shared" si="0"/>
        <v>0</v>
      </c>
      <c r="J46" s="456">
        <f t="shared" si="1"/>
        <v>0</v>
      </c>
      <c r="K46" s="446">
        <f t="shared" si="2"/>
        <v>0</v>
      </c>
    </row>
    <row r="47" spans="1:11" hidden="1" x14ac:dyDescent="0.25">
      <c r="A47" s="453" t="s">
        <v>394</v>
      </c>
      <c r="B47" s="453"/>
      <c r="C47" s="448">
        <v>0</v>
      </c>
      <c r="D47" s="454">
        <v>0</v>
      </c>
      <c r="E47" s="454">
        <f t="array" ref="E47">SUM(IF('6. Class A Consumption Data'!H71:I71="B",'6. Class A Consumption Data'!H69:I69))</f>
        <v>0</v>
      </c>
      <c r="F47" s="454">
        <f t="array" ref="F47">SUM(IF('6. Class A Consumption Data'!J71:K71="B",'6. Class A Consumption Data'!J69:K69))</f>
        <v>0</v>
      </c>
      <c r="G47" s="454">
        <f t="array" ref="G47">SUM(IF('6. Class A Consumption Data'!L71:M71="B",'6. Class A Consumption Data'!L69:M69))</f>
        <v>0</v>
      </c>
      <c r="H47" s="454">
        <f t="array" ref="H47">SUM(IF('6. Class A Consumption Data'!N71:O71="B",'6. Class A Consumption Data'!N69:O69))</f>
        <v>0</v>
      </c>
      <c r="I47" s="449">
        <f t="shared" si="0"/>
        <v>0</v>
      </c>
      <c r="J47" s="456">
        <f t="shared" si="1"/>
        <v>0</v>
      </c>
      <c r="K47" s="446">
        <f t="shared" si="2"/>
        <v>0</v>
      </c>
    </row>
    <row r="48" spans="1:11" hidden="1" x14ac:dyDescent="0.25">
      <c r="A48" s="453" t="s">
        <v>395</v>
      </c>
      <c r="B48" s="453"/>
      <c r="C48" s="448">
        <v>0</v>
      </c>
      <c r="D48" s="454">
        <v>0</v>
      </c>
      <c r="E48" s="454">
        <f t="array" ref="E48">SUM(IF('6. Class A Consumption Data'!H74:I74="B",'6. Class A Consumption Data'!H72:I72))</f>
        <v>0</v>
      </c>
      <c r="F48" s="454">
        <f t="array" ref="F48">SUM(IF('6. Class A Consumption Data'!J74:K74="B",'6. Class A Consumption Data'!J72:K72))</f>
        <v>0</v>
      </c>
      <c r="G48" s="454">
        <f t="array" ref="G48">SUM(IF('6. Class A Consumption Data'!L74:M74="B",'6. Class A Consumption Data'!L72:M72))</f>
        <v>0</v>
      </c>
      <c r="H48" s="454">
        <f t="array" ref="H48">SUM(IF('6. Class A Consumption Data'!N74:O74="B",'6. Class A Consumption Data'!N72:O72))</f>
        <v>0</v>
      </c>
      <c r="I48" s="449">
        <f t="shared" si="0"/>
        <v>0</v>
      </c>
      <c r="J48" s="456">
        <f t="shared" si="1"/>
        <v>0</v>
      </c>
      <c r="K48" s="446">
        <f t="shared" si="2"/>
        <v>0</v>
      </c>
    </row>
    <row r="49" spans="1:11" hidden="1" x14ac:dyDescent="0.25">
      <c r="A49" s="453" t="s">
        <v>396</v>
      </c>
      <c r="B49" s="453"/>
      <c r="C49" s="448">
        <v>0</v>
      </c>
      <c r="D49" s="454">
        <v>0</v>
      </c>
      <c r="E49" s="454">
        <f t="array" ref="E49">SUM(IF('6. Class A Consumption Data'!H77:I77="B",'6. Class A Consumption Data'!H75:I75))</f>
        <v>0</v>
      </c>
      <c r="F49" s="454">
        <f t="array" ref="F49">SUM(IF('6. Class A Consumption Data'!J77:K77="B",'6. Class A Consumption Data'!J75:K75))</f>
        <v>0</v>
      </c>
      <c r="G49" s="454">
        <f t="array" ref="G49">SUM(IF('6. Class A Consumption Data'!L77:M77="B",'6. Class A Consumption Data'!L75:M75))</f>
        <v>0</v>
      </c>
      <c r="H49" s="454">
        <f t="array" ref="H49">SUM(IF('6. Class A Consumption Data'!N77:O77="B",'6. Class A Consumption Data'!N75:O75))</f>
        <v>0</v>
      </c>
      <c r="I49" s="449">
        <f t="shared" si="0"/>
        <v>0</v>
      </c>
      <c r="J49" s="456">
        <f t="shared" si="1"/>
        <v>0</v>
      </c>
      <c r="K49" s="446">
        <f t="shared" si="2"/>
        <v>0</v>
      </c>
    </row>
    <row r="50" spans="1:11" hidden="1" x14ac:dyDescent="0.25">
      <c r="A50" s="453" t="s">
        <v>397</v>
      </c>
      <c r="B50" s="453"/>
      <c r="C50" s="448">
        <v>0</v>
      </c>
      <c r="D50" s="454">
        <v>0</v>
      </c>
      <c r="E50" s="454">
        <f t="array" ref="E50">SUM(IF('6. Class A Consumption Data'!H80:I80="B",'6. Class A Consumption Data'!H78:I78))</f>
        <v>0</v>
      </c>
      <c r="F50" s="454">
        <f t="array" ref="F50">SUM(IF('6. Class A Consumption Data'!J80:K80="B",'6. Class A Consumption Data'!J78:K78))</f>
        <v>0</v>
      </c>
      <c r="G50" s="454">
        <f t="array" ref="G50">SUM(IF('6. Class A Consumption Data'!L80:M80="B",'6. Class A Consumption Data'!L78:M78))</f>
        <v>0</v>
      </c>
      <c r="H50" s="454">
        <f t="array" ref="H50">SUM(IF('6. Class A Consumption Data'!N80:O80="B",'6. Class A Consumption Data'!N78:O78))</f>
        <v>0</v>
      </c>
      <c r="I50" s="449">
        <f t="shared" si="0"/>
        <v>0</v>
      </c>
      <c r="J50" s="456">
        <f t="shared" si="1"/>
        <v>0</v>
      </c>
      <c r="K50" s="446">
        <f t="shared" si="2"/>
        <v>0</v>
      </c>
    </row>
    <row r="51" spans="1:11" hidden="1" x14ac:dyDescent="0.25">
      <c r="A51" s="453" t="s">
        <v>398</v>
      </c>
      <c r="B51" s="453"/>
      <c r="C51" s="448">
        <v>0</v>
      </c>
      <c r="D51" s="454">
        <v>0</v>
      </c>
      <c r="E51" s="454">
        <f t="array" ref="E51">SUM(IF('6. Class A Consumption Data'!H83:I83="B",'6. Class A Consumption Data'!H81:I81))</f>
        <v>0</v>
      </c>
      <c r="F51" s="454">
        <f t="array" ref="F51">SUM(IF('6. Class A Consumption Data'!J83:K83="B",'6. Class A Consumption Data'!J81:K81))</f>
        <v>0</v>
      </c>
      <c r="G51" s="454">
        <f t="array" ref="G51">SUM(IF('6. Class A Consumption Data'!L83:M83="B",'6. Class A Consumption Data'!L81:M81))</f>
        <v>0</v>
      </c>
      <c r="H51" s="454">
        <f t="array" ref="H51">SUM(IF('6. Class A Consumption Data'!N83:O83="B",'6. Class A Consumption Data'!N81:O81))</f>
        <v>0</v>
      </c>
      <c r="I51" s="449">
        <f t="shared" si="0"/>
        <v>0</v>
      </c>
      <c r="J51" s="456">
        <f t="shared" si="1"/>
        <v>0</v>
      </c>
      <c r="K51" s="446">
        <f t="shared" si="2"/>
        <v>0</v>
      </c>
    </row>
    <row r="52" spans="1:11" hidden="1" x14ac:dyDescent="0.25">
      <c r="A52" s="453" t="s">
        <v>399</v>
      </c>
      <c r="B52" s="453"/>
      <c r="C52" s="448">
        <v>0</v>
      </c>
      <c r="D52" s="454">
        <v>0</v>
      </c>
      <c r="E52" s="454">
        <f t="array" ref="E52">SUM(IF('6. Class A Consumption Data'!H86:I86="B",'6. Class A Consumption Data'!H84:I84))</f>
        <v>0</v>
      </c>
      <c r="F52" s="454">
        <f t="array" ref="F52">SUM(IF('6. Class A Consumption Data'!J86:K86="B",'6. Class A Consumption Data'!J84:K84))</f>
        <v>0</v>
      </c>
      <c r="G52" s="454">
        <f t="array" ref="G52">SUM(IF('6. Class A Consumption Data'!L86:M86="B",'6. Class A Consumption Data'!L84:M84))</f>
        <v>0</v>
      </c>
      <c r="H52" s="454">
        <f t="array" ref="H52">SUM(IF('6. Class A Consumption Data'!N86:O86="B",'6. Class A Consumption Data'!N84:O84))</f>
        <v>0</v>
      </c>
      <c r="I52" s="449">
        <f t="shared" si="0"/>
        <v>0</v>
      </c>
      <c r="J52" s="456">
        <f t="shared" si="1"/>
        <v>0</v>
      </c>
      <c r="K52" s="446">
        <f t="shared" si="2"/>
        <v>0</v>
      </c>
    </row>
    <row r="53" spans="1:11" hidden="1" x14ac:dyDescent="0.25">
      <c r="A53" s="453" t="s">
        <v>400</v>
      </c>
      <c r="B53" s="453"/>
      <c r="C53" s="448">
        <v>0</v>
      </c>
      <c r="D53" s="454">
        <v>0</v>
      </c>
      <c r="E53" s="454">
        <f t="array" ref="E53">SUM(IF('6. Class A Consumption Data'!H89:I89="B",'6. Class A Consumption Data'!H87:I87))</f>
        <v>0</v>
      </c>
      <c r="F53" s="454">
        <f t="array" ref="F53">SUM(IF('6. Class A Consumption Data'!J89:K89="B",'6. Class A Consumption Data'!J87:K87))</f>
        <v>0</v>
      </c>
      <c r="G53" s="454">
        <f t="array" ref="G53">SUM(IF('6. Class A Consumption Data'!L89:M89="B",'6. Class A Consumption Data'!L87:M87))</f>
        <v>0</v>
      </c>
      <c r="H53" s="454">
        <f t="array" ref="H53">SUM(IF('6. Class A Consumption Data'!N89:O89="B",'6. Class A Consumption Data'!N87:O87))</f>
        <v>0</v>
      </c>
      <c r="I53" s="449">
        <f t="shared" si="0"/>
        <v>0</v>
      </c>
      <c r="J53" s="456">
        <f t="shared" si="1"/>
        <v>0</v>
      </c>
      <c r="K53" s="446">
        <f t="shared" si="2"/>
        <v>0</v>
      </c>
    </row>
    <row r="54" spans="1:11" hidden="1" x14ac:dyDescent="0.25">
      <c r="A54" s="453" t="s">
        <v>401</v>
      </c>
      <c r="B54" s="453"/>
      <c r="C54" s="448">
        <v>0</v>
      </c>
      <c r="D54" s="454">
        <v>0</v>
      </c>
      <c r="E54" s="454">
        <f t="array" ref="E54">SUM(IF('6. Class A Consumption Data'!H92:I92="B",'6. Class A Consumption Data'!H90:I90))</f>
        <v>0</v>
      </c>
      <c r="F54" s="454">
        <f t="array" ref="F54">SUM(IF('6. Class A Consumption Data'!J92:K92="B",'6. Class A Consumption Data'!J90:K90))</f>
        <v>0</v>
      </c>
      <c r="G54" s="454">
        <f t="array" ref="G54">SUM(IF('6. Class A Consumption Data'!L92:M92="B",'6. Class A Consumption Data'!L90:M90))</f>
        <v>0</v>
      </c>
      <c r="H54" s="454">
        <f t="array" ref="H54">SUM(IF('6. Class A Consumption Data'!N92:O92="B",'6. Class A Consumption Data'!N90:O90))</f>
        <v>0</v>
      </c>
      <c r="I54" s="449">
        <f t="shared" si="0"/>
        <v>0</v>
      </c>
      <c r="J54" s="456">
        <f t="shared" si="1"/>
        <v>0</v>
      </c>
      <c r="K54" s="446">
        <f t="shared" si="2"/>
        <v>0</v>
      </c>
    </row>
    <row r="55" spans="1:11" hidden="1" x14ac:dyDescent="0.25">
      <c r="A55" s="453" t="s">
        <v>402</v>
      </c>
      <c r="B55" s="453"/>
      <c r="C55" s="448">
        <v>0</v>
      </c>
      <c r="D55" s="454">
        <v>0</v>
      </c>
      <c r="E55" s="454">
        <f t="array" ref="E55">SUM(IF('6. Class A Consumption Data'!H95:I95="B",'6. Class A Consumption Data'!H93:I93))</f>
        <v>0</v>
      </c>
      <c r="F55" s="454">
        <f t="array" ref="F55">SUM(IF('6. Class A Consumption Data'!J95:K95="B",'6. Class A Consumption Data'!J93:K93))</f>
        <v>0</v>
      </c>
      <c r="G55" s="454">
        <f t="array" ref="G55">SUM(IF('6. Class A Consumption Data'!L95:M95="B",'6. Class A Consumption Data'!L93:M93))</f>
        <v>0</v>
      </c>
      <c r="H55" s="454">
        <f t="array" ref="H55">SUM(IF('6. Class A Consumption Data'!N95:O95="B",'6. Class A Consumption Data'!N93:O93))</f>
        <v>0</v>
      </c>
      <c r="I55" s="449">
        <f t="shared" si="0"/>
        <v>0</v>
      </c>
      <c r="J55" s="456">
        <f t="shared" si="1"/>
        <v>0</v>
      </c>
      <c r="K55" s="446">
        <f t="shared" si="2"/>
        <v>0</v>
      </c>
    </row>
    <row r="56" spans="1:11" hidden="1" x14ac:dyDescent="0.25">
      <c r="A56" s="453" t="s">
        <v>403</v>
      </c>
      <c r="B56" s="453"/>
      <c r="C56" s="448">
        <v>0</v>
      </c>
      <c r="D56" s="454">
        <v>0</v>
      </c>
      <c r="E56" s="454">
        <f t="array" ref="E56">SUM(IF('6. Class A Consumption Data'!H98:I98="B",'6. Class A Consumption Data'!H96:I96))</f>
        <v>0</v>
      </c>
      <c r="F56" s="454">
        <f t="array" ref="F56">SUM(IF('6. Class A Consumption Data'!J98:K98="B",'6. Class A Consumption Data'!J96:K96))</f>
        <v>0</v>
      </c>
      <c r="G56" s="454">
        <f t="array" ref="G56">SUM(IF('6. Class A Consumption Data'!L98:M98="B",'6. Class A Consumption Data'!L96:M96))</f>
        <v>0</v>
      </c>
      <c r="H56" s="454">
        <f t="array" ref="H56">SUM(IF('6. Class A Consumption Data'!N98:O98="B",'6. Class A Consumption Data'!N96:O96))</f>
        <v>0</v>
      </c>
      <c r="I56" s="449">
        <f t="shared" si="0"/>
        <v>0</v>
      </c>
      <c r="J56" s="456">
        <f t="shared" si="1"/>
        <v>0</v>
      </c>
      <c r="K56" s="446">
        <f t="shared" si="2"/>
        <v>0</v>
      </c>
    </row>
    <row r="57" spans="1:11" hidden="1" x14ac:dyDescent="0.25">
      <c r="A57" s="453" t="s">
        <v>404</v>
      </c>
      <c r="B57" s="453"/>
      <c r="C57" s="448">
        <v>0</v>
      </c>
      <c r="D57" s="454">
        <v>0</v>
      </c>
      <c r="E57" s="454">
        <f t="array" ref="E57">SUM(IF('6. Class A Consumption Data'!H101:I101="B",'6. Class A Consumption Data'!H99:I99))</f>
        <v>0</v>
      </c>
      <c r="F57" s="454">
        <f t="array" ref="F57">SUM(IF('6. Class A Consumption Data'!J101:K101="B",'6. Class A Consumption Data'!J99:K99))</f>
        <v>0</v>
      </c>
      <c r="G57" s="454">
        <f t="array" ref="G57">SUM(IF('6. Class A Consumption Data'!L101:M101="B",'6. Class A Consumption Data'!L99:M99))</f>
        <v>0</v>
      </c>
      <c r="H57" s="454">
        <f t="array" ref="H57">SUM(IF('6. Class A Consumption Data'!N101:O101="B",'6. Class A Consumption Data'!N99:O99))</f>
        <v>0</v>
      </c>
      <c r="I57" s="449">
        <f t="shared" si="0"/>
        <v>0</v>
      </c>
      <c r="J57" s="456">
        <f t="shared" si="1"/>
        <v>0</v>
      </c>
      <c r="K57" s="446">
        <f t="shared" si="2"/>
        <v>0</v>
      </c>
    </row>
    <row r="58" spans="1:11" hidden="1" x14ac:dyDescent="0.25">
      <c r="A58" s="453" t="s">
        <v>405</v>
      </c>
      <c r="B58" s="453"/>
      <c r="C58" s="448">
        <v>0</v>
      </c>
      <c r="D58" s="454">
        <v>0</v>
      </c>
      <c r="E58" s="454">
        <f t="array" ref="E58">SUM(IF('6. Class A Consumption Data'!H104:I104="B",'6. Class A Consumption Data'!H102:I102))</f>
        <v>0</v>
      </c>
      <c r="F58" s="454">
        <f t="array" ref="F58">SUM(IF('6. Class A Consumption Data'!J104:K104="B",'6. Class A Consumption Data'!J102:K102))</f>
        <v>0</v>
      </c>
      <c r="G58" s="454">
        <f t="array" ref="G58">SUM(IF('6. Class A Consumption Data'!L104:M104="B",'6. Class A Consumption Data'!L102:M102))</f>
        <v>0</v>
      </c>
      <c r="H58" s="454">
        <f t="array" ref="H58">SUM(IF('6. Class A Consumption Data'!N104:O104="B",'6. Class A Consumption Data'!N102:O102))</f>
        <v>0</v>
      </c>
      <c r="I58" s="449">
        <f t="shared" si="0"/>
        <v>0</v>
      </c>
      <c r="J58" s="456">
        <f t="shared" si="1"/>
        <v>0</v>
      </c>
      <c r="K58" s="446">
        <f t="shared" si="2"/>
        <v>0</v>
      </c>
    </row>
    <row r="59" spans="1:11" hidden="1" x14ac:dyDescent="0.25">
      <c r="A59" s="453" t="s">
        <v>406</v>
      </c>
      <c r="B59" s="453"/>
      <c r="C59" s="448">
        <v>0</v>
      </c>
      <c r="D59" s="454">
        <v>0</v>
      </c>
      <c r="E59" s="454">
        <f t="array" ref="E59">SUM(IF('6. Class A Consumption Data'!H107:I107="B",'6. Class A Consumption Data'!H105:I105))</f>
        <v>0</v>
      </c>
      <c r="F59" s="454">
        <f t="array" ref="F59">SUM(IF('6. Class A Consumption Data'!J107:K107="B",'6. Class A Consumption Data'!J105:K105))</f>
        <v>0</v>
      </c>
      <c r="G59" s="454">
        <f t="array" ref="G59">SUM(IF('6. Class A Consumption Data'!L107:M107="B",'6. Class A Consumption Data'!L105:M105))</f>
        <v>0</v>
      </c>
      <c r="H59" s="454">
        <f t="array" ref="H59">SUM(IF('6. Class A Consumption Data'!N107:O107="B",'6. Class A Consumption Data'!N105:O105))</f>
        <v>0</v>
      </c>
      <c r="I59" s="449">
        <f t="shared" si="0"/>
        <v>0</v>
      </c>
      <c r="J59" s="456">
        <f t="shared" si="1"/>
        <v>0</v>
      </c>
      <c r="K59" s="446">
        <f t="shared" si="2"/>
        <v>0</v>
      </c>
    </row>
    <row r="60" spans="1:11" hidden="1" x14ac:dyDescent="0.25">
      <c r="A60" s="453" t="s">
        <v>407</v>
      </c>
      <c r="B60" s="453"/>
      <c r="C60" s="448">
        <v>0</v>
      </c>
      <c r="D60" s="454">
        <v>0</v>
      </c>
      <c r="E60" s="454">
        <f t="array" ref="E60">SUM(IF('6. Class A Consumption Data'!H110:I110="B",'6. Class A Consumption Data'!H108:I108))</f>
        <v>0</v>
      </c>
      <c r="F60" s="454">
        <f t="array" ref="F60">SUM(IF('6. Class A Consumption Data'!J110:K110="B",'6. Class A Consumption Data'!J108:K108))</f>
        <v>0</v>
      </c>
      <c r="G60" s="454">
        <f t="array" ref="G60">SUM(IF('6. Class A Consumption Data'!L110:M110="B",'6. Class A Consumption Data'!L108:M108))</f>
        <v>0</v>
      </c>
      <c r="H60" s="454">
        <f t="array" ref="H60">SUM(IF('6. Class A Consumption Data'!N110:O110="B",'6. Class A Consumption Data'!N108:O108))</f>
        <v>0</v>
      </c>
      <c r="I60" s="449">
        <f t="shared" si="0"/>
        <v>0</v>
      </c>
      <c r="J60" s="456">
        <f t="shared" si="1"/>
        <v>0</v>
      </c>
      <c r="K60" s="446">
        <f t="shared" si="2"/>
        <v>0</v>
      </c>
    </row>
    <row r="61" spans="1:11" hidden="1" x14ac:dyDescent="0.25">
      <c r="A61" s="453" t="s">
        <v>408</v>
      </c>
      <c r="B61" s="453"/>
      <c r="C61" s="448">
        <v>0</v>
      </c>
      <c r="D61" s="454">
        <v>0</v>
      </c>
      <c r="E61" s="454">
        <f t="array" ref="E61">SUM(IF('6. Class A Consumption Data'!H113:I113="B",'6. Class A Consumption Data'!H111:I111))</f>
        <v>0</v>
      </c>
      <c r="F61" s="454">
        <f t="array" ref="F61">SUM(IF('6. Class A Consumption Data'!J113:K113="B",'6. Class A Consumption Data'!J111:K111))</f>
        <v>0</v>
      </c>
      <c r="G61" s="454">
        <f t="array" ref="G61">SUM(IF('6. Class A Consumption Data'!L113:M113="B",'6. Class A Consumption Data'!L111:M111))</f>
        <v>0</v>
      </c>
      <c r="H61" s="454">
        <f t="array" ref="H61">SUM(IF('6. Class A Consumption Data'!N113:O113="B",'6. Class A Consumption Data'!N111:O111))</f>
        <v>0</v>
      </c>
      <c r="I61" s="449">
        <f t="shared" si="0"/>
        <v>0</v>
      </c>
      <c r="J61" s="456">
        <f t="shared" si="1"/>
        <v>0</v>
      </c>
      <c r="K61" s="446">
        <f t="shared" si="2"/>
        <v>0</v>
      </c>
    </row>
    <row r="62" spans="1:11" hidden="1" x14ac:dyDescent="0.25">
      <c r="A62" s="453" t="s">
        <v>409</v>
      </c>
      <c r="B62" s="453"/>
      <c r="C62" s="448">
        <v>0</v>
      </c>
      <c r="D62" s="454">
        <v>0</v>
      </c>
      <c r="E62" s="454">
        <f t="array" ref="E62">SUM(IF('6. Class A Consumption Data'!H116:I116="B",'6. Class A Consumption Data'!H114:I114))</f>
        <v>0</v>
      </c>
      <c r="F62" s="454">
        <f t="array" ref="F62">SUM(IF('6. Class A Consumption Data'!J116:K116="B",'6. Class A Consumption Data'!J114:K114))</f>
        <v>0</v>
      </c>
      <c r="G62" s="454">
        <f t="array" ref="G62">SUM(IF('6. Class A Consumption Data'!L116:M116="B",'6. Class A Consumption Data'!L114:M114))</f>
        <v>0</v>
      </c>
      <c r="H62" s="454">
        <f t="array" ref="H62">SUM(IF('6. Class A Consumption Data'!N116:O116="B",'6. Class A Consumption Data'!N114:O114))</f>
        <v>0</v>
      </c>
      <c r="I62" s="449">
        <f t="shared" si="0"/>
        <v>0</v>
      </c>
      <c r="J62" s="456">
        <f t="shared" si="1"/>
        <v>0</v>
      </c>
      <c r="K62" s="446">
        <f t="shared" si="2"/>
        <v>0</v>
      </c>
    </row>
    <row r="63" spans="1:11" hidden="1" x14ac:dyDescent="0.25">
      <c r="A63" s="453" t="s">
        <v>410</v>
      </c>
      <c r="B63" s="453"/>
      <c r="C63" s="448">
        <v>0</v>
      </c>
      <c r="D63" s="454">
        <v>0</v>
      </c>
      <c r="E63" s="454">
        <f t="array" ref="E63">SUM(IF('6. Class A Consumption Data'!H119:I119="B",'6. Class A Consumption Data'!H117:I117))</f>
        <v>0</v>
      </c>
      <c r="F63" s="454">
        <f t="array" ref="F63">SUM(IF('6. Class A Consumption Data'!J119:K119="B",'6. Class A Consumption Data'!J117:K117))</f>
        <v>0</v>
      </c>
      <c r="G63" s="454">
        <f t="array" ref="G63">SUM(IF('6. Class A Consumption Data'!L119:M119="B",'6. Class A Consumption Data'!L117:M117))</f>
        <v>0</v>
      </c>
      <c r="H63" s="454">
        <f t="array" ref="H63">SUM(IF('6. Class A Consumption Data'!N119:O119="B",'6. Class A Consumption Data'!N117:O117))</f>
        <v>0</v>
      </c>
      <c r="I63" s="449">
        <f t="shared" si="0"/>
        <v>0</v>
      </c>
      <c r="J63" s="456">
        <f t="shared" si="1"/>
        <v>0</v>
      </c>
      <c r="K63" s="446">
        <f t="shared" si="2"/>
        <v>0</v>
      </c>
    </row>
    <row r="64" spans="1:11" hidden="1" x14ac:dyDescent="0.25">
      <c r="A64" s="453" t="s">
        <v>411</v>
      </c>
      <c r="B64" s="453"/>
      <c r="C64" s="448">
        <v>0</v>
      </c>
      <c r="D64" s="454">
        <v>0</v>
      </c>
      <c r="E64" s="454">
        <f t="array" ref="E64">SUM(IF('6. Class A Consumption Data'!H122:I122="B",'6. Class A Consumption Data'!H120:I120))</f>
        <v>0</v>
      </c>
      <c r="F64" s="454">
        <f t="array" ref="F64">SUM(IF('6. Class A Consumption Data'!J122:K122="B",'6. Class A Consumption Data'!J120:K120))</f>
        <v>0</v>
      </c>
      <c r="G64" s="454">
        <f t="array" ref="G64">SUM(IF('6. Class A Consumption Data'!L122:M122="B",'6. Class A Consumption Data'!L120:M120))</f>
        <v>0</v>
      </c>
      <c r="H64" s="454">
        <f t="array" ref="H64">SUM(IF('6. Class A Consumption Data'!N122:O122="B",'6. Class A Consumption Data'!N120:O120))</f>
        <v>0</v>
      </c>
      <c r="I64" s="449">
        <f t="shared" si="0"/>
        <v>0</v>
      </c>
      <c r="J64" s="456">
        <f t="shared" si="1"/>
        <v>0</v>
      </c>
      <c r="K64" s="446">
        <f t="shared" si="2"/>
        <v>0</v>
      </c>
    </row>
    <row r="65" spans="1:11" hidden="1" x14ac:dyDescent="0.25">
      <c r="A65" s="453" t="s">
        <v>412</v>
      </c>
      <c r="B65" s="453"/>
      <c r="C65" s="448">
        <v>0</v>
      </c>
      <c r="D65" s="454">
        <v>0</v>
      </c>
      <c r="E65" s="454">
        <f t="array" ref="E65">SUM(IF('6. Class A Consumption Data'!H125:I125="B",'6. Class A Consumption Data'!H123:I123))</f>
        <v>0</v>
      </c>
      <c r="F65" s="454">
        <f t="array" ref="F65">SUM(IF('6. Class A Consumption Data'!J125:K125="B",'6. Class A Consumption Data'!J123:K123))</f>
        <v>0</v>
      </c>
      <c r="G65" s="454">
        <f t="array" ref="G65">SUM(IF('6. Class A Consumption Data'!L125:M125="B",'6. Class A Consumption Data'!L123:M123))</f>
        <v>0</v>
      </c>
      <c r="H65" s="454">
        <f t="array" ref="H65">SUM(IF('6. Class A Consumption Data'!N125:O125="B",'6. Class A Consumption Data'!N123:O123))</f>
        <v>0</v>
      </c>
      <c r="I65" s="449">
        <f t="shared" si="0"/>
        <v>0</v>
      </c>
      <c r="J65" s="456">
        <f t="shared" si="1"/>
        <v>0</v>
      </c>
      <c r="K65" s="446">
        <f t="shared" si="2"/>
        <v>0</v>
      </c>
    </row>
    <row r="66" spans="1:11" hidden="1" x14ac:dyDescent="0.25">
      <c r="A66" s="453" t="s">
        <v>413</v>
      </c>
      <c r="B66" s="453"/>
      <c r="C66" s="448">
        <v>0</v>
      </c>
      <c r="D66" s="454">
        <v>0</v>
      </c>
      <c r="E66" s="454">
        <f t="array" ref="E66">SUM(IF('6. Class A Consumption Data'!H128:I128="B",'6. Class A Consumption Data'!H126:I126))</f>
        <v>0</v>
      </c>
      <c r="F66" s="454">
        <f t="array" ref="F66">SUM(IF('6. Class A Consumption Data'!J128:K128="B",'6. Class A Consumption Data'!J126:K126))</f>
        <v>0</v>
      </c>
      <c r="G66" s="454">
        <f t="array" ref="G66">SUM(IF('6. Class A Consumption Data'!L128:M128="B",'6. Class A Consumption Data'!L126:M126))</f>
        <v>0</v>
      </c>
      <c r="H66" s="454">
        <f t="array" ref="H66">SUM(IF('6. Class A Consumption Data'!N128:O128="B",'6. Class A Consumption Data'!N126:O126))</f>
        <v>0</v>
      </c>
      <c r="I66" s="449">
        <f t="shared" si="0"/>
        <v>0</v>
      </c>
      <c r="J66" s="456">
        <f t="shared" si="1"/>
        <v>0</v>
      </c>
      <c r="K66" s="446">
        <f t="shared" si="2"/>
        <v>0</v>
      </c>
    </row>
    <row r="67" spans="1:11" hidden="1" x14ac:dyDescent="0.25">
      <c r="A67" s="453" t="s">
        <v>414</v>
      </c>
      <c r="B67" s="453"/>
      <c r="C67" s="448">
        <v>0</v>
      </c>
      <c r="D67" s="454">
        <v>0</v>
      </c>
      <c r="E67" s="454">
        <f t="array" ref="E67">SUM(IF('6. Class A Consumption Data'!H131:I131="B",'6. Class A Consumption Data'!H129:I129))</f>
        <v>0</v>
      </c>
      <c r="F67" s="454">
        <f t="array" ref="F67">SUM(IF('6. Class A Consumption Data'!J131:K131="B",'6. Class A Consumption Data'!J129:K129))</f>
        <v>0</v>
      </c>
      <c r="G67" s="454">
        <f t="array" ref="G67">SUM(IF('6. Class A Consumption Data'!L131:M131="B",'6. Class A Consumption Data'!L129:M129))</f>
        <v>0</v>
      </c>
      <c r="H67" s="454">
        <f t="array" ref="H67">SUM(IF('6. Class A Consumption Data'!N131:O131="B",'6. Class A Consumption Data'!N129:O129))</f>
        <v>0</v>
      </c>
      <c r="I67" s="449">
        <f t="shared" si="0"/>
        <v>0</v>
      </c>
      <c r="J67" s="456">
        <f t="shared" si="1"/>
        <v>0</v>
      </c>
      <c r="K67" s="446">
        <f t="shared" si="2"/>
        <v>0</v>
      </c>
    </row>
    <row r="68" spans="1:11" hidden="1" x14ac:dyDescent="0.25">
      <c r="A68" s="453" t="s">
        <v>415</v>
      </c>
      <c r="B68" s="453"/>
      <c r="C68" s="448">
        <v>0</v>
      </c>
      <c r="D68" s="454">
        <v>0</v>
      </c>
      <c r="E68" s="454">
        <f t="array" ref="E68">SUM(IF('6. Class A Consumption Data'!H134:I134="B",'6. Class A Consumption Data'!H132:I132))</f>
        <v>0</v>
      </c>
      <c r="F68" s="454">
        <f t="array" ref="F68">SUM(IF('6. Class A Consumption Data'!J134:K134="B",'6. Class A Consumption Data'!J132:K132))</f>
        <v>0</v>
      </c>
      <c r="G68" s="454">
        <f t="array" ref="G68">SUM(IF('6. Class A Consumption Data'!L134:M134="B",'6. Class A Consumption Data'!L132:M132))</f>
        <v>0</v>
      </c>
      <c r="H68" s="454">
        <f t="array" ref="H68">SUM(IF('6. Class A Consumption Data'!N134:O134="B",'6. Class A Consumption Data'!N132:O132))</f>
        <v>0</v>
      </c>
      <c r="I68" s="449">
        <f t="shared" si="0"/>
        <v>0</v>
      </c>
      <c r="J68" s="456">
        <f t="shared" si="1"/>
        <v>0</v>
      </c>
      <c r="K68" s="446">
        <f t="shared" si="2"/>
        <v>0</v>
      </c>
    </row>
    <row r="69" spans="1:11" hidden="1" x14ac:dyDescent="0.25">
      <c r="A69" s="453" t="s">
        <v>416</v>
      </c>
      <c r="B69" s="453"/>
      <c r="C69" s="448">
        <v>0</v>
      </c>
      <c r="D69" s="454">
        <v>0</v>
      </c>
      <c r="E69" s="454">
        <f t="array" ref="E69">SUM(IF('6. Class A Consumption Data'!H137:I137="B",'6. Class A Consumption Data'!H135:I135))</f>
        <v>0</v>
      </c>
      <c r="F69" s="454">
        <f t="array" ref="F69">SUM(IF('6. Class A Consumption Data'!J137:K137="B",'6. Class A Consumption Data'!J135:K135))</f>
        <v>0</v>
      </c>
      <c r="G69" s="454">
        <f t="array" ref="G69">SUM(IF('6. Class A Consumption Data'!L137:M137="B",'6. Class A Consumption Data'!L135:M135))</f>
        <v>0</v>
      </c>
      <c r="H69" s="454">
        <f t="array" ref="H69">SUM(IF('6. Class A Consumption Data'!N137:O137="B",'6. Class A Consumption Data'!N135:O135))</f>
        <v>0</v>
      </c>
      <c r="I69" s="449">
        <f t="shared" si="0"/>
        <v>0</v>
      </c>
      <c r="J69" s="456">
        <f t="shared" si="1"/>
        <v>0</v>
      </c>
      <c r="K69" s="446">
        <f t="shared" si="2"/>
        <v>0</v>
      </c>
    </row>
    <row r="70" spans="1:11" hidden="1" x14ac:dyDescent="0.25">
      <c r="A70" s="453" t="s">
        <v>417</v>
      </c>
      <c r="B70" s="453"/>
      <c r="C70" s="448">
        <v>0</v>
      </c>
      <c r="D70" s="454">
        <v>0</v>
      </c>
      <c r="E70" s="454">
        <f t="array" ref="E70">SUM(IF('6. Class A Consumption Data'!H140:I140="B",'6. Class A Consumption Data'!H138:I138))</f>
        <v>0</v>
      </c>
      <c r="F70" s="454">
        <f t="array" ref="F70">SUM(IF('6. Class A Consumption Data'!J140:K140="B",'6. Class A Consumption Data'!J138:K138))</f>
        <v>0</v>
      </c>
      <c r="G70" s="454">
        <f t="array" ref="G70">SUM(IF('6. Class A Consumption Data'!L140:M140="B",'6. Class A Consumption Data'!L138:M138))</f>
        <v>0</v>
      </c>
      <c r="H70" s="454">
        <f t="array" ref="H70">SUM(IF('6. Class A Consumption Data'!N140:O140="B",'6. Class A Consumption Data'!N138:O138))</f>
        <v>0</v>
      </c>
      <c r="I70" s="449">
        <f t="shared" si="0"/>
        <v>0</v>
      </c>
      <c r="J70" s="456">
        <f t="shared" si="1"/>
        <v>0</v>
      </c>
      <c r="K70" s="446">
        <f t="shared" si="2"/>
        <v>0</v>
      </c>
    </row>
    <row r="71" spans="1:11" hidden="1" x14ac:dyDescent="0.25">
      <c r="A71" s="453" t="s">
        <v>418</v>
      </c>
      <c r="B71" s="453"/>
      <c r="C71" s="448">
        <v>0</v>
      </c>
      <c r="D71" s="454">
        <v>0</v>
      </c>
      <c r="E71" s="454">
        <f t="array" ref="E71">SUM(IF('6. Class A Consumption Data'!H143:I143="B",'6. Class A Consumption Data'!H141:I141))</f>
        <v>0</v>
      </c>
      <c r="F71" s="454">
        <f t="array" ref="F71">SUM(IF('6. Class A Consumption Data'!J143:K143="B",'6. Class A Consumption Data'!J141:K141))</f>
        <v>0</v>
      </c>
      <c r="G71" s="454">
        <f t="array" ref="G71">SUM(IF('6. Class A Consumption Data'!L143:M143="B",'6. Class A Consumption Data'!L141:M141))</f>
        <v>0</v>
      </c>
      <c r="H71" s="454">
        <f t="array" ref="H71">SUM(IF('6. Class A Consumption Data'!N143:O143="B",'6. Class A Consumption Data'!N141:O141))</f>
        <v>0</v>
      </c>
      <c r="I71" s="449">
        <f t="shared" si="0"/>
        <v>0</v>
      </c>
      <c r="J71" s="456">
        <f t="shared" si="1"/>
        <v>0</v>
      </c>
      <c r="K71" s="446">
        <f t="shared" si="2"/>
        <v>0</v>
      </c>
    </row>
    <row r="72" spans="1:11" hidden="1" x14ac:dyDescent="0.25">
      <c r="A72" s="453" t="s">
        <v>419</v>
      </c>
      <c r="B72" s="453"/>
      <c r="C72" s="448">
        <v>0</v>
      </c>
      <c r="D72" s="454">
        <v>0</v>
      </c>
      <c r="E72" s="454">
        <f t="array" ref="E72">SUM(IF('6. Class A Consumption Data'!H146:I146="B",'6. Class A Consumption Data'!H144:I144))</f>
        <v>0</v>
      </c>
      <c r="F72" s="454">
        <f t="array" ref="F72">SUM(IF('6. Class A Consumption Data'!J146:K146="B",'6. Class A Consumption Data'!J144:K144))</f>
        <v>0</v>
      </c>
      <c r="G72" s="454">
        <f t="array" ref="G72">SUM(IF('6. Class A Consumption Data'!L146:M146="B",'6. Class A Consumption Data'!L144:M144))</f>
        <v>0</v>
      </c>
      <c r="H72" s="454">
        <f t="array" ref="H72">SUM(IF('6. Class A Consumption Data'!N146:O146="B",'6. Class A Consumption Data'!N144:O144))</f>
        <v>0</v>
      </c>
      <c r="I72" s="449">
        <f t="shared" si="0"/>
        <v>0</v>
      </c>
      <c r="J72" s="456">
        <f t="shared" si="1"/>
        <v>0</v>
      </c>
      <c r="K72" s="446">
        <f t="shared" si="2"/>
        <v>0</v>
      </c>
    </row>
    <row r="73" spans="1:11" hidden="1" x14ac:dyDescent="0.25">
      <c r="A73" s="453" t="s">
        <v>420</v>
      </c>
      <c r="B73" s="453"/>
      <c r="C73" s="448">
        <v>0</v>
      </c>
      <c r="D73" s="454">
        <v>0</v>
      </c>
      <c r="E73" s="454">
        <f t="array" ref="E73">SUM(IF('6. Class A Consumption Data'!H149:I149="B",'6. Class A Consumption Data'!H147:I147))</f>
        <v>0</v>
      </c>
      <c r="F73" s="454">
        <f t="array" ref="F73">SUM(IF('6. Class A Consumption Data'!J149:K149="B",'6. Class A Consumption Data'!J147:K147))</f>
        <v>0</v>
      </c>
      <c r="G73" s="454">
        <f t="array" ref="G73">SUM(IF('6. Class A Consumption Data'!L149:M149="B",'6. Class A Consumption Data'!L147:M147))</f>
        <v>0</v>
      </c>
      <c r="H73" s="454">
        <f t="array" ref="H73">SUM(IF('6. Class A Consumption Data'!N149:O149="B",'6. Class A Consumption Data'!N147:O147))</f>
        <v>0</v>
      </c>
      <c r="I73" s="449">
        <f t="shared" si="0"/>
        <v>0</v>
      </c>
      <c r="J73" s="456">
        <f t="shared" si="1"/>
        <v>0</v>
      </c>
      <c r="K73" s="446">
        <f t="shared" si="2"/>
        <v>0</v>
      </c>
    </row>
    <row r="74" spans="1:11" hidden="1" x14ac:dyDescent="0.25">
      <c r="A74" s="453" t="s">
        <v>421</v>
      </c>
      <c r="B74" s="453"/>
      <c r="C74" s="448">
        <v>0</v>
      </c>
      <c r="D74" s="454">
        <v>0</v>
      </c>
      <c r="E74" s="454">
        <f t="array" ref="E74">SUM(IF('6. Class A Consumption Data'!H152:I152="B",'6. Class A Consumption Data'!H150:I150))</f>
        <v>0</v>
      </c>
      <c r="F74" s="454">
        <f t="array" ref="F74">SUM(IF('6. Class A Consumption Data'!J152:K152="B",'6. Class A Consumption Data'!J150:K150))</f>
        <v>0</v>
      </c>
      <c r="G74" s="454">
        <f t="array" ref="G74">SUM(IF('6. Class A Consumption Data'!L152:M152="B",'6. Class A Consumption Data'!L150:M150))</f>
        <v>0</v>
      </c>
      <c r="H74" s="454">
        <f t="array" ref="H74">SUM(IF('6. Class A Consumption Data'!N152:O152="B",'6. Class A Consumption Data'!N150:O150))</f>
        <v>0</v>
      </c>
      <c r="I74" s="449">
        <f t="shared" si="0"/>
        <v>0</v>
      </c>
      <c r="J74" s="456">
        <f t="shared" si="1"/>
        <v>0</v>
      </c>
      <c r="K74" s="446">
        <f t="shared" si="2"/>
        <v>0</v>
      </c>
    </row>
    <row r="75" spans="1:11" hidden="1" x14ac:dyDescent="0.25">
      <c r="A75" s="453" t="s">
        <v>422</v>
      </c>
      <c r="B75" s="453"/>
      <c r="C75" s="448">
        <v>0</v>
      </c>
      <c r="D75" s="454">
        <v>0</v>
      </c>
      <c r="E75" s="454">
        <f t="array" ref="E75">SUM(IF('6. Class A Consumption Data'!H155:I155="B",'6. Class A Consumption Data'!H153:I153))</f>
        <v>0</v>
      </c>
      <c r="F75" s="454">
        <f t="array" ref="F75">SUM(IF('6. Class A Consumption Data'!J155:K155="B",'6. Class A Consumption Data'!J153:K153))</f>
        <v>0</v>
      </c>
      <c r="G75" s="454">
        <f t="array" ref="G75">SUM(IF('6. Class A Consumption Data'!L155:M155="B",'6. Class A Consumption Data'!L153:M153))</f>
        <v>0</v>
      </c>
      <c r="H75" s="454">
        <f t="array" ref="H75">SUM(IF('6. Class A Consumption Data'!N155:O155="B",'6. Class A Consumption Data'!N153:O153))</f>
        <v>0</v>
      </c>
      <c r="I75" s="449">
        <f t="shared" si="0"/>
        <v>0</v>
      </c>
      <c r="J75" s="456">
        <f t="shared" si="1"/>
        <v>0</v>
      </c>
      <c r="K75" s="446">
        <f t="shared" si="2"/>
        <v>0</v>
      </c>
    </row>
    <row r="76" spans="1:11" hidden="1" x14ac:dyDescent="0.25">
      <c r="A76" s="453" t="s">
        <v>423</v>
      </c>
      <c r="B76" s="453"/>
      <c r="C76" s="448">
        <v>0</v>
      </c>
      <c r="D76" s="454">
        <v>0</v>
      </c>
      <c r="E76" s="454">
        <f t="array" ref="E76">SUM(IF('6. Class A Consumption Data'!H158:I158="B",'6. Class A Consumption Data'!H156:I156))</f>
        <v>0</v>
      </c>
      <c r="F76" s="454">
        <f t="array" ref="F76">SUM(IF('6. Class A Consumption Data'!J158:K158="B",'6. Class A Consumption Data'!J156:K156))</f>
        <v>0</v>
      </c>
      <c r="G76" s="454">
        <f t="array" ref="G76">SUM(IF('6. Class A Consumption Data'!L158:M158="B",'6. Class A Consumption Data'!L156:M156))</f>
        <v>0</v>
      </c>
      <c r="H76" s="454">
        <f t="array" ref="H76">SUM(IF('6. Class A Consumption Data'!N158:O158="B",'6. Class A Consumption Data'!N156:O156))</f>
        <v>0</v>
      </c>
      <c r="I76" s="449">
        <f t="shared" si="0"/>
        <v>0</v>
      </c>
      <c r="J76" s="456">
        <f t="shared" si="1"/>
        <v>0</v>
      </c>
      <c r="K76" s="446">
        <f t="shared" si="2"/>
        <v>0</v>
      </c>
    </row>
    <row r="77" spans="1:11" hidden="1" x14ac:dyDescent="0.25">
      <c r="A77" s="453" t="s">
        <v>424</v>
      </c>
      <c r="B77" s="453"/>
      <c r="C77" s="448">
        <v>0</v>
      </c>
      <c r="D77" s="454">
        <v>0</v>
      </c>
      <c r="E77" s="454">
        <f t="array" ref="E77">SUM(IF('6. Class A Consumption Data'!H161:I161="B",'6. Class A Consumption Data'!H159:I159))</f>
        <v>0</v>
      </c>
      <c r="F77" s="454">
        <f t="array" ref="F77">SUM(IF('6. Class A Consumption Data'!J161:K161="B",'6. Class A Consumption Data'!J159:K159))</f>
        <v>0</v>
      </c>
      <c r="G77" s="454">
        <f t="array" ref="G77">SUM(IF('6. Class A Consumption Data'!L161:M161="B",'6. Class A Consumption Data'!L159:M159))</f>
        <v>0</v>
      </c>
      <c r="H77" s="454">
        <f t="array" ref="H77">SUM(IF('6. Class A Consumption Data'!N161:O161="B",'6. Class A Consumption Data'!N159:O159))</f>
        <v>0</v>
      </c>
      <c r="I77" s="449">
        <f t="shared" si="0"/>
        <v>0</v>
      </c>
      <c r="J77" s="456">
        <f t="shared" si="1"/>
        <v>0</v>
      </c>
      <c r="K77" s="446">
        <f t="shared" si="2"/>
        <v>0</v>
      </c>
    </row>
    <row r="78" spans="1:11" hidden="1" x14ac:dyDescent="0.25">
      <c r="A78" s="453" t="s">
        <v>425</v>
      </c>
      <c r="B78" s="453"/>
      <c r="C78" s="448">
        <v>0</v>
      </c>
      <c r="D78" s="454">
        <v>0</v>
      </c>
      <c r="E78" s="454">
        <f t="array" ref="E78">SUM(IF('6. Class A Consumption Data'!H164:I164="B",'6. Class A Consumption Data'!H162:I162))</f>
        <v>0</v>
      </c>
      <c r="F78" s="454">
        <f t="array" ref="F78">SUM(IF('6. Class A Consumption Data'!J164:K164="B",'6. Class A Consumption Data'!J162:K162))</f>
        <v>0</v>
      </c>
      <c r="G78" s="454">
        <f t="array" ref="G78">SUM(IF('6. Class A Consumption Data'!L164:M164="B",'6. Class A Consumption Data'!L162:M162))</f>
        <v>0</v>
      </c>
      <c r="H78" s="454">
        <f t="array" ref="H78">SUM(IF('6. Class A Consumption Data'!N164:O164="B",'6. Class A Consumption Data'!N162:O162))</f>
        <v>0</v>
      </c>
      <c r="I78" s="449">
        <f t="shared" si="0"/>
        <v>0</v>
      </c>
      <c r="J78" s="456">
        <f t="shared" si="1"/>
        <v>0</v>
      </c>
      <c r="K78" s="446">
        <f t="shared" si="2"/>
        <v>0</v>
      </c>
    </row>
    <row r="79" spans="1:11" hidden="1" x14ac:dyDescent="0.25">
      <c r="A79" s="453" t="s">
        <v>426</v>
      </c>
      <c r="B79" s="453"/>
      <c r="C79" s="448">
        <v>0</v>
      </c>
      <c r="D79" s="454">
        <v>0</v>
      </c>
      <c r="E79" s="454">
        <f t="array" ref="E79">SUM(IF('6. Class A Consumption Data'!H167:I167="B",'6. Class A Consumption Data'!H165:I165))</f>
        <v>0</v>
      </c>
      <c r="F79" s="454">
        <f t="array" ref="F79">SUM(IF('6. Class A Consumption Data'!J167:K167="B",'6. Class A Consumption Data'!J165:K165))</f>
        <v>0</v>
      </c>
      <c r="G79" s="454">
        <f t="array" ref="G79">SUM(IF('6. Class A Consumption Data'!L167:M167="B",'6. Class A Consumption Data'!L165:M165))</f>
        <v>0</v>
      </c>
      <c r="H79" s="454">
        <f t="array" ref="H79">SUM(IF('6. Class A Consumption Data'!N167:O167="B",'6. Class A Consumption Data'!N165:O165))</f>
        <v>0</v>
      </c>
      <c r="I79" s="449">
        <f t="shared" si="0"/>
        <v>0</v>
      </c>
      <c r="J79" s="456">
        <f t="shared" si="1"/>
        <v>0</v>
      </c>
      <c r="K79" s="446">
        <f t="shared" si="2"/>
        <v>0</v>
      </c>
    </row>
    <row r="80" spans="1:11" hidden="1" x14ac:dyDescent="0.25">
      <c r="A80" s="453" t="s">
        <v>427</v>
      </c>
      <c r="B80" s="453"/>
      <c r="C80" s="448">
        <v>0</v>
      </c>
      <c r="D80" s="454">
        <v>0</v>
      </c>
      <c r="E80" s="454">
        <f t="array" ref="E80">SUM(IF('6. Class A Consumption Data'!H170:I170="B",'6. Class A Consumption Data'!H168:I168))</f>
        <v>0</v>
      </c>
      <c r="F80" s="454">
        <f t="array" ref="F80">SUM(IF('6. Class A Consumption Data'!J170:K170="B",'6. Class A Consumption Data'!J168:K168))</f>
        <v>0</v>
      </c>
      <c r="G80" s="454">
        <f t="array" ref="G80">SUM(IF('6. Class A Consumption Data'!L170:M170="B",'6. Class A Consumption Data'!L168:M168))</f>
        <v>0</v>
      </c>
      <c r="H80" s="454">
        <f t="array" ref="H80">SUM(IF('6. Class A Consumption Data'!N170:O170="B",'6. Class A Consumption Data'!N168:O168))</f>
        <v>0</v>
      </c>
      <c r="I80" s="449">
        <f t="shared" si="0"/>
        <v>0</v>
      </c>
      <c r="J80" s="456">
        <f t="shared" si="1"/>
        <v>0</v>
      </c>
      <c r="K80" s="446">
        <f t="shared" si="2"/>
        <v>0</v>
      </c>
    </row>
    <row r="81" spans="1:11" hidden="1" x14ac:dyDescent="0.25">
      <c r="A81" s="453" t="s">
        <v>428</v>
      </c>
      <c r="B81" s="453"/>
      <c r="C81" s="448">
        <v>0</v>
      </c>
      <c r="D81" s="454">
        <v>0</v>
      </c>
      <c r="E81" s="454">
        <f t="array" ref="E81">SUM(IF('6. Class A Consumption Data'!H173:I173="B",'6. Class A Consumption Data'!H171:I171))</f>
        <v>0</v>
      </c>
      <c r="F81" s="454">
        <f t="array" ref="F81">SUM(IF('6. Class A Consumption Data'!J173:K173="B",'6. Class A Consumption Data'!J171:K171))</f>
        <v>0</v>
      </c>
      <c r="G81" s="454">
        <f t="array" ref="G81">SUM(IF('6. Class A Consumption Data'!L173:M173="B",'6. Class A Consumption Data'!L171:M171))</f>
        <v>0</v>
      </c>
      <c r="H81" s="454">
        <f t="array" ref="H81">SUM(IF('6. Class A Consumption Data'!N173:O173="B",'6. Class A Consumption Data'!N171:O171))</f>
        <v>0</v>
      </c>
      <c r="I81" s="449">
        <f t="shared" si="0"/>
        <v>0</v>
      </c>
      <c r="J81" s="456">
        <f t="shared" si="1"/>
        <v>0</v>
      </c>
      <c r="K81" s="446">
        <f t="shared" si="2"/>
        <v>0</v>
      </c>
    </row>
    <row r="82" spans="1:11" hidden="1" x14ac:dyDescent="0.25">
      <c r="A82" s="453" t="s">
        <v>429</v>
      </c>
      <c r="B82" s="453"/>
      <c r="C82" s="448">
        <v>0</v>
      </c>
      <c r="D82" s="454">
        <v>0</v>
      </c>
      <c r="E82" s="454">
        <f t="array" ref="E82">SUM(IF('6. Class A Consumption Data'!H176:I176="B",'6. Class A Consumption Data'!H174:I174))</f>
        <v>0</v>
      </c>
      <c r="F82" s="454">
        <f t="array" ref="F82">SUM(IF('6. Class A Consumption Data'!J176:K176="B",'6. Class A Consumption Data'!J174:K174))</f>
        <v>0</v>
      </c>
      <c r="G82" s="454">
        <f t="array" ref="G82">SUM(IF('6. Class A Consumption Data'!L176:M176="B",'6. Class A Consumption Data'!L174:M174))</f>
        <v>0</v>
      </c>
      <c r="H82" s="454">
        <f t="array" ref="H82">SUM(IF('6. Class A Consumption Data'!N176:O176="B",'6. Class A Consumption Data'!N174:O174))</f>
        <v>0</v>
      </c>
      <c r="I82" s="449">
        <f t="shared" si="0"/>
        <v>0</v>
      </c>
      <c r="J82" s="456">
        <f t="shared" si="1"/>
        <v>0</v>
      </c>
      <c r="K82" s="446">
        <f t="shared" si="2"/>
        <v>0</v>
      </c>
    </row>
    <row r="83" spans="1:11" hidden="1" x14ac:dyDescent="0.25">
      <c r="A83" s="453" t="s">
        <v>430</v>
      </c>
      <c r="B83" s="453"/>
      <c r="C83" s="448">
        <v>0</v>
      </c>
      <c r="D83" s="454">
        <v>0</v>
      </c>
      <c r="E83" s="454">
        <f t="array" ref="E83">SUM(IF('6. Class A Consumption Data'!H179:I179="B",'6. Class A Consumption Data'!H177:I177))</f>
        <v>0</v>
      </c>
      <c r="F83" s="454">
        <f t="array" ref="F83">SUM(IF('6. Class A Consumption Data'!J179:K179="B",'6. Class A Consumption Data'!J177:K177))</f>
        <v>0</v>
      </c>
      <c r="G83" s="454">
        <f t="array" ref="G83">SUM(IF('6. Class A Consumption Data'!L179:M179="B",'6. Class A Consumption Data'!L177:M177))</f>
        <v>0</v>
      </c>
      <c r="H83" s="454">
        <f t="array" ref="H83">SUM(IF('6. Class A Consumption Data'!N179:O179="B",'6. Class A Consumption Data'!N177:O177))</f>
        <v>0</v>
      </c>
      <c r="I83" s="449">
        <f t="shared" si="0"/>
        <v>0</v>
      </c>
      <c r="J83" s="456">
        <f t="shared" si="1"/>
        <v>0</v>
      </c>
      <c r="K83" s="446">
        <f t="shared" si="2"/>
        <v>0</v>
      </c>
    </row>
    <row r="84" spans="1:11" hidden="1" x14ac:dyDescent="0.25">
      <c r="A84" s="453" t="s">
        <v>431</v>
      </c>
      <c r="B84" s="453"/>
      <c r="C84" s="448">
        <v>0</v>
      </c>
      <c r="D84" s="454">
        <v>0</v>
      </c>
      <c r="E84" s="454">
        <f t="array" ref="E84">SUM(IF('6. Class A Consumption Data'!H182:I182="B",'6. Class A Consumption Data'!H180:I180))</f>
        <v>0</v>
      </c>
      <c r="F84" s="454">
        <f t="array" ref="F84">SUM(IF('6. Class A Consumption Data'!J182:K182="B",'6. Class A Consumption Data'!J180:K180))</f>
        <v>0</v>
      </c>
      <c r="G84" s="454">
        <f t="array" ref="G84">SUM(IF('6. Class A Consumption Data'!L182:M182="B",'6. Class A Consumption Data'!L180:M180))</f>
        <v>0</v>
      </c>
      <c r="H84" s="454">
        <f t="array" ref="H84">SUM(IF('6. Class A Consumption Data'!N182:O182="B",'6. Class A Consumption Data'!N180:O180))</f>
        <v>0</v>
      </c>
      <c r="I84" s="449">
        <f t="shared" si="0"/>
        <v>0</v>
      </c>
      <c r="J84" s="456">
        <f t="shared" si="1"/>
        <v>0</v>
      </c>
      <c r="K84" s="446">
        <f t="shared" si="2"/>
        <v>0</v>
      </c>
    </row>
    <row r="85" spans="1:11" hidden="1" x14ac:dyDescent="0.25">
      <c r="A85" s="453" t="s">
        <v>432</v>
      </c>
      <c r="B85" s="453"/>
      <c r="C85" s="448">
        <v>0</v>
      </c>
      <c r="D85" s="454">
        <v>0</v>
      </c>
      <c r="E85" s="454">
        <f t="array" ref="E85">SUM(IF('6. Class A Consumption Data'!H185:I185="B",'6. Class A Consumption Data'!H183:I183))</f>
        <v>0</v>
      </c>
      <c r="F85" s="454">
        <f t="array" ref="F85">SUM(IF('6. Class A Consumption Data'!J185:K185="B",'6. Class A Consumption Data'!J183:K183))</f>
        <v>0</v>
      </c>
      <c r="G85" s="454">
        <f t="array" ref="G85">SUM(IF('6. Class A Consumption Data'!L185:M185="B",'6. Class A Consumption Data'!L183:M183))</f>
        <v>0</v>
      </c>
      <c r="H85" s="454">
        <f t="array" ref="H85">SUM(IF('6. Class A Consumption Data'!N185:O185="B",'6. Class A Consumption Data'!N183:O183))</f>
        <v>0</v>
      </c>
      <c r="I85" s="449">
        <f t="shared" si="0"/>
        <v>0</v>
      </c>
      <c r="J85" s="456">
        <f t="shared" si="1"/>
        <v>0</v>
      </c>
      <c r="K85" s="446">
        <f t="shared" si="2"/>
        <v>0</v>
      </c>
    </row>
    <row r="86" spans="1:11" hidden="1" x14ac:dyDescent="0.25">
      <c r="A86" s="453" t="s">
        <v>433</v>
      </c>
      <c r="B86" s="453"/>
      <c r="C86" s="448">
        <v>0</v>
      </c>
      <c r="D86" s="454">
        <v>0</v>
      </c>
      <c r="E86" s="454">
        <f t="array" ref="E86">SUM(IF('6. Class A Consumption Data'!H188:I188="B",'6. Class A Consumption Data'!H186:I186))</f>
        <v>0</v>
      </c>
      <c r="F86" s="454">
        <f t="array" ref="F86">SUM(IF('6. Class A Consumption Data'!J188:K188="B",'6. Class A Consumption Data'!J186:K186))</f>
        <v>0</v>
      </c>
      <c r="G86" s="454">
        <f t="array" ref="G86">SUM(IF('6. Class A Consumption Data'!L188:M188="B",'6. Class A Consumption Data'!L186:M186))</f>
        <v>0</v>
      </c>
      <c r="H86" s="454">
        <f t="array" ref="H86">SUM(IF('6. Class A Consumption Data'!N188:O188="B",'6. Class A Consumption Data'!N186:O186))</f>
        <v>0</v>
      </c>
      <c r="I86" s="449">
        <f t="shared" si="0"/>
        <v>0</v>
      </c>
      <c r="J86" s="456">
        <f t="shared" si="1"/>
        <v>0</v>
      </c>
      <c r="K86" s="446">
        <f t="shared" si="2"/>
        <v>0</v>
      </c>
    </row>
    <row r="87" spans="1:11" hidden="1" x14ac:dyDescent="0.25">
      <c r="A87" s="453" t="s">
        <v>434</v>
      </c>
      <c r="B87" s="453"/>
      <c r="C87" s="448">
        <v>0</v>
      </c>
      <c r="D87" s="454">
        <v>0</v>
      </c>
      <c r="E87" s="454">
        <f t="array" ref="E87">SUM(IF('6. Class A Consumption Data'!H191:I191="B",'6. Class A Consumption Data'!H189:I189))</f>
        <v>0</v>
      </c>
      <c r="F87" s="454">
        <f t="array" ref="F87">SUM(IF('6. Class A Consumption Data'!J191:K191="B",'6. Class A Consumption Data'!J189:K189))</f>
        <v>0</v>
      </c>
      <c r="G87" s="454">
        <f t="array" ref="G87">SUM(IF('6. Class A Consumption Data'!L191:M191="B",'6. Class A Consumption Data'!L189:M189))</f>
        <v>0</v>
      </c>
      <c r="H87" s="454">
        <f t="array" ref="H87">SUM(IF('6. Class A Consumption Data'!N191:O191="B",'6. Class A Consumption Data'!N189:O189))</f>
        <v>0</v>
      </c>
      <c r="I87" s="449">
        <f t="shared" si="0"/>
        <v>0</v>
      </c>
      <c r="J87" s="456">
        <f t="shared" si="1"/>
        <v>0</v>
      </c>
      <c r="K87" s="446">
        <f t="shared" si="2"/>
        <v>0</v>
      </c>
    </row>
    <row r="88" spans="1:11" hidden="1" x14ac:dyDescent="0.25">
      <c r="A88" s="453" t="s">
        <v>435</v>
      </c>
      <c r="B88" s="453"/>
      <c r="C88" s="448">
        <v>0</v>
      </c>
      <c r="D88" s="454">
        <v>0</v>
      </c>
      <c r="E88" s="454">
        <f t="array" ref="E88">SUM(IF('6. Class A Consumption Data'!H194:I194="B",'6. Class A Consumption Data'!H192:I192))</f>
        <v>0</v>
      </c>
      <c r="F88" s="454">
        <f t="array" ref="F88">SUM(IF('6. Class A Consumption Data'!J194:K194="B",'6. Class A Consumption Data'!J192:K192))</f>
        <v>0</v>
      </c>
      <c r="G88" s="454">
        <f t="array" ref="G88">SUM(IF('6. Class A Consumption Data'!L194:M194="B",'6. Class A Consumption Data'!L192:M192))</f>
        <v>0</v>
      </c>
      <c r="H88" s="454">
        <f t="array" ref="H88">SUM(IF('6. Class A Consumption Data'!N194:O194="B",'6. Class A Consumption Data'!N192:O192))</f>
        <v>0</v>
      </c>
      <c r="I88" s="449">
        <f t="shared" si="0"/>
        <v>0</v>
      </c>
      <c r="J88" s="456">
        <f t="shared" si="1"/>
        <v>0</v>
      </c>
      <c r="K88" s="446">
        <f t="shared" si="2"/>
        <v>0</v>
      </c>
    </row>
    <row r="89" spans="1:11" hidden="1" x14ac:dyDescent="0.25">
      <c r="A89" s="453" t="s">
        <v>436</v>
      </c>
      <c r="B89" s="453"/>
      <c r="C89" s="448">
        <v>0</v>
      </c>
      <c r="D89" s="454">
        <v>0</v>
      </c>
      <c r="E89" s="454">
        <f t="array" ref="E89">SUM(IF('6. Class A Consumption Data'!H197:I197="B",'6. Class A Consumption Data'!H195:I195))</f>
        <v>0</v>
      </c>
      <c r="F89" s="454">
        <f t="array" ref="F89">SUM(IF('6. Class A Consumption Data'!J197:K197="B",'6. Class A Consumption Data'!J195:K195))</f>
        <v>0</v>
      </c>
      <c r="G89" s="454">
        <f t="array" ref="G89">SUM(IF('6. Class A Consumption Data'!L197:M197="B",'6. Class A Consumption Data'!L195:M195))</f>
        <v>0</v>
      </c>
      <c r="H89" s="454">
        <f t="array" ref="H89">SUM(IF('6. Class A Consumption Data'!N197:O197="B",'6. Class A Consumption Data'!N195:O195))</f>
        <v>0</v>
      </c>
      <c r="I89" s="449">
        <f t="shared" si="0"/>
        <v>0</v>
      </c>
      <c r="J89" s="456">
        <f t="shared" si="1"/>
        <v>0</v>
      </c>
      <c r="K89" s="446">
        <f t="shared" si="2"/>
        <v>0</v>
      </c>
    </row>
    <row r="90" spans="1:11" hidden="1" x14ac:dyDescent="0.25">
      <c r="A90" s="453" t="s">
        <v>437</v>
      </c>
      <c r="B90" s="453"/>
      <c r="C90" s="448">
        <v>0</v>
      </c>
      <c r="D90" s="454">
        <v>0</v>
      </c>
      <c r="E90" s="454">
        <f t="array" ref="E90">SUM(IF('6. Class A Consumption Data'!H200:I200="B",'6. Class A Consumption Data'!H198:I198))</f>
        <v>0</v>
      </c>
      <c r="F90" s="454">
        <f t="array" ref="F90">SUM(IF('6. Class A Consumption Data'!J200:K200="B",'6. Class A Consumption Data'!J198:K198))</f>
        <v>0</v>
      </c>
      <c r="G90" s="454">
        <f t="array" ref="G90">SUM(IF('6. Class A Consumption Data'!L200:M200="B",'6. Class A Consumption Data'!L198:M198))</f>
        <v>0</v>
      </c>
      <c r="H90" s="454">
        <f t="array" ref="H90">SUM(IF('6. Class A Consumption Data'!N200:O200="B",'6. Class A Consumption Data'!N198:O198))</f>
        <v>0</v>
      </c>
      <c r="I90" s="449">
        <f t="shared" si="0"/>
        <v>0</v>
      </c>
      <c r="J90" s="456">
        <f t="shared" si="1"/>
        <v>0</v>
      </c>
      <c r="K90" s="446">
        <f t="shared" si="2"/>
        <v>0</v>
      </c>
    </row>
    <row r="91" spans="1:11" hidden="1" x14ac:dyDescent="0.25">
      <c r="A91" s="453" t="s">
        <v>438</v>
      </c>
      <c r="B91" s="453"/>
      <c r="C91" s="448">
        <v>0</v>
      </c>
      <c r="D91" s="454">
        <v>0</v>
      </c>
      <c r="E91" s="454">
        <f t="array" ref="E91">SUM(IF('6. Class A Consumption Data'!H203:I203="B",'6. Class A Consumption Data'!H201:I201))</f>
        <v>0</v>
      </c>
      <c r="F91" s="454">
        <f t="array" ref="F91">SUM(IF('6. Class A Consumption Data'!J203:K203="B",'6. Class A Consumption Data'!J201:K201))</f>
        <v>0</v>
      </c>
      <c r="G91" s="454">
        <f t="array" ref="G91">SUM(IF('6. Class A Consumption Data'!L203:M203="B",'6. Class A Consumption Data'!L201:M201))</f>
        <v>0</v>
      </c>
      <c r="H91" s="454">
        <f t="array" ref="H91">SUM(IF('6. Class A Consumption Data'!N203:O203="B",'6. Class A Consumption Data'!N201:O201))</f>
        <v>0</v>
      </c>
      <c r="I91" s="449">
        <f t="shared" si="0"/>
        <v>0</v>
      </c>
      <c r="J91" s="456">
        <f t="shared" si="1"/>
        <v>0</v>
      </c>
      <c r="K91" s="446">
        <f t="shared" si="2"/>
        <v>0</v>
      </c>
    </row>
    <row r="92" spans="1:11" hidden="1" x14ac:dyDescent="0.25">
      <c r="A92" s="453" t="s">
        <v>439</v>
      </c>
      <c r="B92" s="453"/>
      <c r="C92" s="448">
        <v>0</v>
      </c>
      <c r="D92" s="454">
        <v>0</v>
      </c>
      <c r="E92" s="454">
        <f t="array" ref="E92">SUM(IF('6. Class A Consumption Data'!H206:I206="B",'6. Class A Consumption Data'!H204:I204))</f>
        <v>0</v>
      </c>
      <c r="F92" s="454">
        <f t="array" ref="F92">SUM(IF('6. Class A Consumption Data'!J206:K206="B",'6. Class A Consumption Data'!J204:K204))</f>
        <v>0</v>
      </c>
      <c r="G92" s="454">
        <f t="array" ref="G92">SUM(IF('6. Class A Consumption Data'!L206:M206="B",'6. Class A Consumption Data'!L204:M204))</f>
        <v>0</v>
      </c>
      <c r="H92" s="454">
        <f t="array" ref="H92">SUM(IF('6. Class A Consumption Data'!N206:O206="B",'6. Class A Consumption Data'!N204:O204))</f>
        <v>0</v>
      </c>
      <c r="I92" s="449">
        <f t="shared" si="0"/>
        <v>0</v>
      </c>
      <c r="J92" s="456">
        <f t="shared" si="1"/>
        <v>0</v>
      </c>
      <c r="K92" s="446">
        <f t="shared" si="2"/>
        <v>0</v>
      </c>
    </row>
    <row r="93" spans="1:11" hidden="1" x14ac:dyDescent="0.25">
      <c r="A93" s="453" t="s">
        <v>440</v>
      </c>
      <c r="B93" s="453"/>
      <c r="C93" s="448">
        <v>0</v>
      </c>
      <c r="D93" s="454">
        <v>0</v>
      </c>
      <c r="E93" s="454">
        <f t="array" ref="E93">SUM(IF('6. Class A Consumption Data'!H209:I209="B",'6. Class A Consumption Data'!H207:I207))</f>
        <v>0</v>
      </c>
      <c r="F93" s="454">
        <f t="array" ref="F93">SUM(IF('6. Class A Consumption Data'!J209:K209="B",'6. Class A Consumption Data'!J207:K207))</f>
        <v>0</v>
      </c>
      <c r="G93" s="454">
        <f t="array" ref="G93">SUM(IF('6. Class A Consumption Data'!L209:M209="B",'6. Class A Consumption Data'!L207:M207))</f>
        <v>0</v>
      </c>
      <c r="H93" s="454">
        <f t="array" ref="H93">SUM(IF('6. Class A Consumption Data'!N209:O209="B",'6. Class A Consumption Data'!N207:O207))</f>
        <v>0</v>
      </c>
      <c r="I93" s="449">
        <f t="shared" si="0"/>
        <v>0</v>
      </c>
      <c r="J93" s="456">
        <f t="shared" si="1"/>
        <v>0</v>
      </c>
      <c r="K93" s="446">
        <f t="shared" si="2"/>
        <v>0</v>
      </c>
    </row>
    <row r="94" spans="1:11" hidden="1" x14ac:dyDescent="0.25">
      <c r="A94" s="453" t="s">
        <v>441</v>
      </c>
      <c r="B94" s="453"/>
      <c r="C94" s="448">
        <v>0</v>
      </c>
      <c r="D94" s="454">
        <v>0</v>
      </c>
      <c r="E94" s="454">
        <f t="array" ref="E94">SUM(IF('6. Class A Consumption Data'!H212:I212="B",'6. Class A Consumption Data'!H210:I210))</f>
        <v>0</v>
      </c>
      <c r="F94" s="454">
        <f t="array" ref="F94">SUM(IF('6. Class A Consumption Data'!J212:K212="B",'6. Class A Consumption Data'!J210:K210))</f>
        <v>0</v>
      </c>
      <c r="G94" s="454">
        <f t="array" ref="G94">SUM(IF('6. Class A Consumption Data'!L212:M212="B",'6. Class A Consumption Data'!L210:M210))</f>
        <v>0</v>
      </c>
      <c r="H94" s="454">
        <f t="array" ref="H94">SUM(IF('6. Class A Consumption Data'!N212:O212="B",'6. Class A Consumption Data'!N210:O210))</f>
        <v>0</v>
      </c>
      <c r="I94" s="449">
        <f t="shared" si="0"/>
        <v>0</v>
      </c>
      <c r="J94" s="456">
        <f t="shared" si="1"/>
        <v>0</v>
      </c>
      <c r="K94" s="446">
        <f t="shared" si="2"/>
        <v>0</v>
      </c>
    </row>
    <row r="95" spans="1:11" hidden="1" x14ac:dyDescent="0.25">
      <c r="A95" s="453" t="s">
        <v>442</v>
      </c>
      <c r="B95" s="453"/>
      <c r="C95" s="448">
        <v>0</v>
      </c>
      <c r="D95" s="454">
        <v>0</v>
      </c>
      <c r="E95" s="454">
        <f t="array" ref="E95">SUM(IF('6. Class A Consumption Data'!H215:I215="B",'6. Class A Consumption Data'!H213:I213))</f>
        <v>0</v>
      </c>
      <c r="F95" s="454">
        <f t="array" ref="F95">SUM(IF('6. Class A Consumption Data'!J215:K215="B",'6. Class A Consumption Data'!J213:K213))</f>
        <v>0</v>
      </c>
      <c r="G95" s="454">
        <f t="array" ref="G95">SUM(IF('6. Class A Consumption Data'!L215:M215="B",'6. Class A Consumption Data'!L213:M213))</f>
        <v>0</v>
      </c>
      <c r="H95" s="454">
        <f t="array" ref="H95">SUM(IF('6. Class A Consumption Data'!N215:O215="B",'6. Class A Consumption Data'!N213:O213))</f>
        <v>0</v>
      </c>
      <c r="I95" s="449">
        <f t="shared" si="0"/>
        <v>0</v>
      </c>
      <c r="J95" s="456">
        <f t="shared" si="1"/>
        <v>0</v>
      </c>
      <c r="K95" s="446">
        <f t="shared" si="2"/>
        <v>0</v>
      </c>
    </row>
    <row r="96" spans="1:11" hidden="1" x14ac:dyDescent="0.25">
      <c r="A96" s="453" t="s">
        <v>443</v>
      </c>
      <c r="B96" s="453"/>
      <c r="C96" s="448">
        <v>0</v>
      </c>
      <c r="D96" s="454">
        <v>0</v>
      </c>
      <c r="E96" s="454">
        <f t="array" ref="E96">SUM(IF('6. Class A Consumption Data'!H218:I218="B",'6. Class A Consumption Data'!H216:I216))</f>
        <v>0</v>
      </c>
      <c r="F96" s="454">
        <f t="array" ref="F96">SUM(IF('6. Class A Consumption Data'!J218:K218="B",'6. Class A Consumption Data'!J216:K216))</f>
        <v>0</v>
      </c>
      <c r="G96" s="454">
        <f t="array" ref="G96">SUM(IF('6. Class A Consumption Data'!L218:M218="B",'6. Class A Consumption Data'!L216:M216))</f>
        <v>0</v>
      </c>
      <c r="H96" s="454">
        <f t="array" ref="H96">SUM(IF('6. Class A Consumption Data'!N218:O218="B",'6. Class A Consumption Data'!N216:O216))</f>
        <v>0</v>
      </c>
      <c r="I96" s="449">
        <f t="shared" si="0"/>
        <v>0</v>
      </c>
      <c r="J96" s="456">
        <f t="shared" si="1"/>
        <v>0</v>
      </c>
      <c r="K96" s="446">
        <f t="shared" si="2"/>
        <v>0</v>
      </c>
    </row>
    <row r="97" spans="1:11" hidden="1" x14ac:dyDescent="0.25">
      <c r="A97" s="453" t="s">
        <v>444</v>
      </c>
      <c r="B97" s="453"/>
      <c r="C97" s="448">
        <v>0</v>
      </c>
      <c r="D97" s="454">
        <v>0</v>
      </c>
      <c r="E97" s="454">
        <f t="array" ref="E97">SUM(IF('6. Class A Consumption Data'!H221:I221="B",'6. Class A Consumption Data'!H219:I219))</f>
        <v>0</v>
      </c>
      <c r="F97" s="454">
        <f t="array" ref="F97">SUM(IF('6. Class A Consumption Data'!J221:K221="B",'6. Class A Consumption Data'!J219:K219))</f>
        <v>0</v>
      </c>
      <c r="G97" s="454">
        <f t="array" ref="G97">SUM(IF('6. Class A Consumption Data'!L221:M221="B",'6. Class A Consumption Data'!L219:M219))</f>
        <v>0</v>
      </c>
      <c r="H97" s="454">
        <f t="array" ref="H97">SUM(IF('6. Class A Consumption Data'!N221:O221="B",'6. Class A Consumption Data'!N219:O219))</f>
        <v>0</v>
      </c>
      <c r="I97" s="449">
        <f t="shared" si="0"/>
        <v>0</v>
      </c>
      <c r="J97" s="456">
        <f t="shared" si="1"/>
        <v>0</v>
      </c>
      <c r="K97" s="446">
        <f t="shared" si="2"/>
        <v>0</v>
      </c>
    </row>
    <row r="98" spans="1:11" hidden="1" x14ac:dyDescent="0.25">
      <c r="A98" s="453" t="s">
        <v>445</v>
      </c>
      <c r="B98" s="453"/>
      <c r="C98" s="448">
        <v>0</v>
      </c>
      <c r="D98" s="454">
        <v>0</v>
      </c>
      <c r="E98" s="454">
        <f t="array" ref="E98">SUM(IF('6. Class A Consumption Data'!H224:I224="B",'6. Class A Consumption Data'!H222:I222))</f>
        <v>0</v>
      </c>
      <c r="F98" s="454">
        <f t="array" ref="F98">SUM(IF('6. Class A Consumption Data'!J224:K224="B",'6. Class A Consumption Data'!J222:K222))</f>
        <v>0</v>
      </c>
      <c r="G98" s="454">
        <f t="array" ref="G98">SUM(IF('6. Class A Consumption Data'!L224:M224="B",'6. Class A Consumption Data'!L222:M222))</f>
        <v>0</v>
      </c>
      <c r="H98" s="454">
        <f t="array" ref="H98">SUM(IF('6. Class A Consumption Data'!N224:O224="B",'6. Class A Consumption Data'!N222:O222))</f>
        <v>0</v>
      </c>
      <c r="I98" s="449">
        <f t="shared" si="0"/>
        <v>0</v>
      </c>
      <c r="J98" s="456">
        <f t="shared" si="1"/>
        <v>0</v>
      </c>
      <c r="K98" s="446">
        <f t="shared" si="2"/>
        <v>0</v>
      </c>
    </row>
    <row r="99" spans="1:11" hidden="1" x14ac:dyDescent="0.25">
      <c r="A99" s="453" t="s">
        <v>446</v>
      </c>
      <c r="B99" s="453"/>
      <c r="C99" s="448">
        <v>0</v>
      </c>
      <c r="D99" s="454">
        <v>0</v>
      </c>
      <c r="E99" s="454">
        <f t="array" ref="E99">SUM(IF('6. Class A Consumption Data'!H227:I227="B",'6. Class A Consumption Data'!H225:I225))</f>
        <v>0</v>
      </c>
      <c r="F99" s="454">
        <f t="array" ref="F99">SUM(IF('6. Class A Consumption Data'!J227:K227="B",'6. Class A Consumption Data'!J225:K225))</f>
        <v>0</v>
      </c>
      <c r="G99" s="454">
        <f t="array" ref="G99">SUM(IF('6. Class A Consumption Data'!L227:M227="B",'6. Class A Consumption Data'!L225:M225))</f>
        <v>0</v>
      </c>
      <c r="H99" s="454">
        <f t="array" ref="H99">SUM(IF('6. Class A Consumption Data'!N227:O227="B",'6. Class A Consumption Data'!N225:O225))</f>
        <v>0</v>
      </c>
      <c r="I99" s="449">
        <f t="shared" ref="I99:I162" si="3">IFERROR(+C99/$C$184,0)</f>
        <v>0</v>
      </c>
      <c r="J99" s="456">
        <f t="shared" si="1"/>
        <v>0</v>
      </c>
      <c r="K99" s="446">
        <f t="shared" si="2"/>
        <v>0</v>
      </c>
    </row>
    <row r="100" spans="1:11" hidden="1" x14ac:dyDescent="0.25">
      <c r="A100" s="453" t="s">
        <v>447</v>
      </c>
      <c r="B100" s="453"/>
      <c r="C100" s="448">
        <v>0</v>
      </c>
      <c r="D100" s="454">
        <v>0</v>
      </c>
      <c r="E100" s="454">
        <f t="array" ref="E100">SUM(IF('6. Class A Consumption Data'!H230:I230="B",'6. Class A Consumption Data'!H228:I228))</f>
        <v>0</v>
      </c>
      <c r="F100" s="454">
        <f t="array" ref="F100">SUM(IF('6. Class A Consumption Data'!J230:K230="B",'6. Class A Consumption Data'!J228:K228))</f>
        <v>0</v>
      </c>
      <c r="G100" s="454">
        <f t="array" ref="G100">SUM(IF('6. Class A Consumption Data'!L230:M230="B",'6. Class A Consumption Data'!L228:M228))</f>
        <v>0</v>
      </c>
      <c r="H100" s="454">
        <f t="array" ref="H100">SUM(IF('6. Class A Consumption Data'!N230:O230="B",'6. Class A Consumption Data'!N228:O228))</f>
        <v>0</v>
      </c>
      <c r="I100" s="449">
        <f t="shared" si="3"/>
        <v>0</v>
      </c>
      <c r="J100" s="456">
        <f t="shared" si="1"/>
        <v>0</v>
      </c>
      <c r="K100" s="446">
        <f t="shared" si="2"/>
        <v>0</v>
      </c>
    </row>
    <row r="101" spans="1:11" hidden="1" x14ac:dyDescent="0.25">
      <c r="A101" s="453" t="s">
        <v>448</v>
      </c>
      <c r="B101" s="453"/>
      <c r="C101" s="448">
        <v>0</v>
      </c>
      <c r="D101" s="454">
        <v>0</v>
      </c>
      <c r="E101" s="454">
        <f t="array" ref="E101">SUM(IF('6. Class A Consumption Data'!H233:I233="B",'6. Class A Consumption Data'!H231:I231))</f>
        <v>0</v>
      </c>
      <c r="F101" s="454">
        <f t="array" ref="F101">SUM(IF('6. Class A Consumption Data'!J233:K233="B",'6. Class A Consumption Data'!J231:K231))</f>
        <v>0</v>
      </c>
      <c r="G101" s="454">
        <f t="array" ref="G101">SUM(IF('6. Class A Consumption Data'!L233:M233="B",'6. Class A Consumption Data'!L231:M231))</f>
        <v>0</v>
      </c>
      <c r="H101" s="454">
        <f t="array" ref="H101">SUM(IF('6. Class A Consumption Data'!N233:O233="B",'6. Class A Consumption Data'!N231:O231))</f>
        <v>0</v>
      </c>
      <c r="I101" s="449">
        <f t="shared" si="3"/>
        <v>0</v>
      </c>
      <c r="J101" s="456">
        <f t="shared" si="1"/>
        <v>0</v>
      </c>
      <c r="K101" s="446">
        <f t="shared" si="2"/>
        <v>0</v>
      </c>
    </row>
    <row r="102" spans="1:11" hidden="1" x14ac:dyDescent="0.25">
      <c r="A102" s="453" t="s">
        <v>449</v>
      </c>
      <c r="B102" s="453"/>
      <c r="C102" s="448">
        <v>0</v>
      </c>
      <c r="D102" s="454">
        <v>0</v>
      </c>
      <c r="E102" s="454">
        <f t="array" ref="E102">SUM(IF('6. Class A Consumption Data'!H236:I236="B",'6. Class A Consumption Data'!H234:I234))</f>
        <v>0</v>
      </c>
      <c r="F102" s="454">
        <f t="array" ref="F102">SUM(IF('6. Class A Consumption Data'!J236:K236="B",'6. Class A Consumption Data'!J234:K234))</f>
        <v>0</v>
      </c>
      <c r="G102" s="454">
        <f t="array" ref="G102">SUM(IF('6. Class A Consumption Data'!L236:M236="B",'6. Class A Consumption Data'!L234:M234))</f>
        <v>0</v>
      </c>
      <c r="H102" s="454">
        <f t="array" ref="H102">SUM(IF('6. Class A Consumption Data'!N236:O236="B",'6. Class A Consumption Data'!N234:O234))</f>
        <v>0</v>
      </c>
      <c r="I102" s="449">
        <f t="shared" si="3"/>
        <v>0</v>
      </c>
      <c r="J102" s="456">
        <f t="shared" ref="J102:J165" si="4">+I102*$C$28</f>
        <v>0</v>
      </c>
      <c r="K102" s="446">
        <f t="shared" ref="K102:K165" si="5">+J102/12</f>
        <v>0</v>
      </c>
    </row>
    <row r="103" spans="1:11" hidden="1" x14ac:dyDescent="0.25">
      <c r="A103" s="453" t="s">
        <v>450</v>
      </c>
      <c r="B103" s="453"/>
      <c r="C103" s="448">
        <v>0</v>
      </c>
      <c r="D103" s="454">
        <v>0</v>
      </c>
      <c r="E103" s="454">
        <f t="array" ref="E103">SUM(IF('6. Class A Consumption Data'!H239:I239="B",'6. Class A Consumption Data'!H237:I237))</f>
        <v>0</v>
      </c>
      <c r="F103" s="454">
        <f t="array" ref="F103">SUM(IF('6. Class A Consumption Data'!J239:K239="B",'6. Class A Consumption Data'!J237:K237))</f>
        <v>0</v>
      </c>
      <c r="G103" s="454">
        <f t="array" ref="G103">SUM(IF('6. Class A Consumption Data'!L239:M239="B",'6. Class A Consumption Data'!L237:M237))</f>
        <v>0</v>
      </c>
      <c r="H103" s="454">
        <f t="array" ref="H103">SUM(IF('6. Class A Consumption Data'!N239:O239="B",'6. Class A Consumption Data'!N237:O237))</f>
        <v>0</v>
      </c>
      <c r="I103" s="449">
        <f t="shared" si="3"/>
        <v>0</v>
      </c>
      <c r="J103" s="456">
        <f t="shared" si="4"/>
        <v>0</v>
      </c>
      <c r="K103" s="446">
        <f t="shared" si="5"/>
        <v>0</v>
      </c>
    </row>
    <row r="104" spans="1:11" hidden="1" x14ac:dyDescent="0.25">
      <c r="A104" s="453" t="s">
        <v>451</v>
      </c>
      <c r="B104" s="453"/>
      <c r="C104" s="448">
        <v>0</v>
      </c>
      <c r="D104" s="454">
        <v>0</v>
      </c>
      <c r="E104" s="454">
        <f t="array" ref="E104">SUM(IF('6. Class A Consumption Data'!H242:I242="B",'6. Class A Consumption Data'!H240:I240))</f>
        <v>0</v>
      </c>
      <c r="F104" s="454">
        <f t="array" ref="F104">SUM(IF('6. Class A Consumption Data'!J242:K242="B",'6. Class A Consumption Data'!J240:K240))</f>
        <v>0</v>
      </c>
      <c r="G104" s="454">
        <f t="array" ref="G104">SUM(IF('6. Class A Consumption Data'!L242:M242="B",'6. Class A Consumption Data'!L240:M240))</f>
        <v>0</v>
      </c>
      <c r="H104" s="454">
        <f t="array" ref="H104">SUM(IF('6. Class A Consumption Data'!N242:O242="B",'6. Class A Consumption Data'!N240:O240))</f>
        <v>0</v>
      </c>
      <c r="I104" s="449">
        <f t="shared" si="3"/>
        <v>0</v>
      </c>
      <c r="J104" s="456">
        <f t="shared" si="4"/>
        <v>0</v>
      </c>
      <c r="K104" s="446">
        <f t="shared" si="5"/>
        <v>0</v>
      </c>
    </row>
    <row r="105" spans="1:11" hidden="1" x14ac:dyDescent="0.25">
      <c r="A105" s="453" t="s">
        <v>452</v>
      </c>
      <c r="B105" s="453"/>
      <c r="C105" s="448">
        <v>0</v>
      </c>
      <c r="D105" s="454">
        <v>0</v>
      </c>
      <c r="E105" s="454">
        <f t="array" ref="E105">SUM(IF('6. Class A Consumption Data'!H245:I245="B",'6. Class A Consumption Data'!H243:I243))</f>
        <v>0</v>
      </c>
      <c r="F105" s="454">
        <f t="array" ref="F105">SUM(IF('6. Class A Consumption Data'!J245:K245="B",'6. Class A Consumption Data'!J243:K243))</f>
        <v>0</v>
      </c>
      <c r="G105" s="454">
        <f t="array" ref="G105">SUM(IF('6. Class A Consumption Data'!L245:M245="B",'6. Class A Consumption Data'!L243:M243))</f>
        <v>0</v>
      </c>
      <c r="H105" s="454">
        <f t="array" ref="H105">SUM(IF('6. Class A Consumption Data'!N245:O245="B",'6. Class A Consumption Data'!N243:O243))</f>
        <v>0</v>
      </c>
      <c r="I105" s="449">
        <f t="shared" si="3"/>
        <v>0</v>
      </c>
      <c r="J105" s="456">
        <f t="shared" si="4"/>
        <v>0</v>
      </c>
      <c r="K105" s="446">
        <f t="shared" si="5"/>
        <v>0</v>
      </c>
    </row>
    <row r="106" spans="1:11" hidden="1" x14ac:dyDescent="0.25">
      <c r="A106" s="453" t="s">
        <v>453</v>
      </c>
      <c r="B106" s="453"/>
      <c r="C106" s="448">
        <v>0</v>
      </c>
      <c r="D106" s="454">
        <v>0</v>
      </c>
      <c r="E106" s="454">
        <f t="array" ref="E106">SUM(IF('6. Class A Consumption Data'!H248:I248="B",'6. Class A Consumption Data'!H246:I246))</f>
        <v>0</v>
      </c>
      <c r="F106" s="454">
        <f t="array" ref="F106">SUM(IF('6. Class A Consumption Data'!J248:K248="B",'6. Class A Consumption Data'!J246:K246))</f>
        <v>0</v>
      </c>
      <c r="G106" s="454">
        <f t="array" ref="G106">SUM(IF('6. Class A Consumption Data'!L248:M248="B",'6. Class A Consumption Data'!L246:M246))</f>
        <v>0</v>
      </c>
      <c r="H106" s="454">
        <f t="array" ref="H106">SUM(IF('6. Class A Consumption Data'!N248:O248="B",'6. Class A Consumption Data'!N246:O246))</f>
        <v>0</v>
      </c>
      <c r="I106" s="449">
        <f t="shared" si="3"/>
        <v>0</v>
      </c>
      <c r="J106" s="456">
        <f t="shared" si="4"/>
        <v>0</v>
      </c>
      <c r="K106" s="446">
        <f t="shared" si="5"/>
        <v>0</v>
      </c>
    </row>
    <row r="107" spans="1:11" hidden="1" x14ac:dyDescent="0.25">
      <c r="A107" s="453" t="s">
        <v>454</v>
      </c>
      <c r="B107" s="453"/>
      <c r="C107" s="448">
        <v>0</v>
      </c>
      <c r="D107" s="454">
        <v>0</v>
      </c>
      <c r="E107" s="454">
        <f t="array" ref="E107">SUM(IF('6. Class A Consumption Data'!H251:I251="B",'6. Class A Consumption Data'!H249:I249))</f>
        <v>0</v>
      </c>
      <c r="F107" s="454">
        <f t="array" ref="F107">SUM(IF('6. Class A Consumption Data'!J251:K251="B",'6. Class A Consumption Data'!J249:K249))</f>
        <v>0</v>
      </c>
      <c r="G107" s="454">
        <f t="array" ref="G107">SUM(IF('6. Class A Consumption Data'!L251:M251="B",'6. Class A Consumption Data'!L249:M249))</f>
        <v>0</v>
      </c>
      <c r="H107" s="454">
        <f t="array" ref="H107">SUM(IF('6. Class A Consumption Data'!N251:O251="B",'6. Class A Consumption Data'!N249:O249))</f>
        <v>0</v>
      </c>
      <c r="I107" s="449">
        <f t="shared" si="3"/>
        <v>0</v>
      </c>
      <c r="J107" s="456">
        <f t="shared" si="4"/>
        <v>0</v>
      </c>
      <c r="K107" s="446">
        <f t="shared" si="5"/>
        <v>0</v>
      </c>
    </row>
    <row r="108" spans="1:11" hidden="1" x14ac:dyDescent="0.25">
      <c r="A108" s="453" t="s">
        <v>455</v>
      </c>
      <c r="B108" s="453"/>
      <c r="C108" s="448">
        <v>0</v>
      </c>
      <c r="D108" s="454">
        <v>0</v>
      </c>
      <c r="E108" s="454">
        <f t="array" ref="E108">SUM(IF('6. Class A Consumption Data'!H254:I254="B",'6. Class A Consumption Data'!H252:I252))</f>
        <v>0</v>
      </c>
      <c r="F108" s="454">
        <f t="array" ref="F108">SUM(IF('6. Class A Consumption Data'!J254:K254="B",'6. Class A Consumption Data'!J252:K252))</f>
        <v>0</v>
      </c>
      <c r="G108" s="454">
        <f t="array" ref="G108">SUM(IF('6. Class A Consumption Data'!L254:M254="B",'6. Class A Consumption Data'!L252:M252))</f>
        <v>0</v>
      </c>
      <c r="H108" s="454">
        <f t="array" ref="H108">SUM(IF('6. Class A Consumption Data'!N254:O254="B",'6. Class A Consumption Data'!N252:O252))</f>
        <v>0</v>
      </c>
      <c r="I108" s="449">
        <f t="shared" si="3"/>
        <v>0</v>
      </c>
      <c r="J108" s="456">
        <f t="shared" si="4"/>
        <v>0</v>
      </c>
      <c r="K108" s="446">
        <f t="shared" si="5"/>
        <v>0</v>
      </c>
    </row>
    <row r="109" spans="1:11" hidden="1" x14ac:dyDescent="0.25">
      <c r="A109" s="453" t="s">
        <v>456</v>
      </c>
      <c r="B109" s="453"/>
      <c r="C109" s="448">
        <v>0</v>
      </c>
      <c r="D109" s="454">
        <v>0</v>
      </c>
      <c r="E109" s="454">
        <f t="array" ref="E109">SUM(IF('6. Class A Consumption Data'!H257:I257="B",'6. Class A Consumption Data'!H255:I255))</f>
        <v>0</v>
      </c>
      <c r="F109" s="454">
        <f t="array" ref="F109">SUM(IF('6. Class A Consumption Data'!J257:K257="B",'6. Class A Consumption Data'!J255:K255))</f>
        <v>0</v>
      </c>
      <c r="G109" s="454">
        <f t="array" ref="G109">SUM(IF('6. Class A Consumption Data'!L257:M257="B",'6. Class A Consumption Data'!L255:M255))</f>
        <v>0</v>
      </c>
      <c r="H109" s="454">
        <f t="array" ref="H109">SUM(IF('6. Class A Consumption Data'!N257:O257="B",'6. Class A Consumption Data'!N255:O255))</f>
        <v>0</v>
      </c>
      <c r="I109" s="449">
        <f t="shared" si="3"/>
        <v>0</v>
      </c>
      <c r="J109" s="456">
        <f t="shared" si="4"/>
        <v>0</v>
      </c>
      <c r="K109" s="446">
        <f t="shared" si="5"/>
        <v>0</v>
      </c>
    </row>
    <row r="110" spans="1:11" hidden="1" x14ac:dyDescent="0.25">
      <c r="A110" s="453" t="s">
        <v>457</v>
      </c>
      <c r="B110" s="453"/>
      <c r="C110" s="448">
        <v>0</v>
      </c>
      <c r="D110" s="454">
        <v>0</v>
      </c>
      <c r="E110" s="454">
        <f t="array" ref="E110">SUM(IF('6. Class A Consumption Data'!H260:I260="B",'6. Class A Consumption Data'!H258:I258))</f>
        <v>0</v>
      </c>
      <c r="F110" s="454">
        <f t="array" ref="F110">SUM(IF('6. Class A Consumption Data'!J260:K260="B",'6. Class A Consumption Data'!J258:K258))</f>
        <v>0</v>
      </c>
      <c r="G110" s="454">
        <f t="array" ref="G110">SUM(IF('6. Class A Consumption Data'!L260:M260="B",'6. Class A Consumption Data'!L258:M258))</f>
        <v>0</v>
      </c>
      <c r="H110" s="454">
        <f t="array" ref="H110">SUM(IF('6. Class A Consumption Data'!N260:O260="B",'6. Class A Consumption Data'!N258:O258))</f>
        <v>0</v>
      </c>
      <c r="I110" s="449">
        <f t="shared" si="3"/>
        <v>0</v>
      </c>
      <c r="J110" s="456">
        <f t="shared" si="4"/>
        <v>0</v>
      </c>
      <c r="K110" s="446">
        <f t="shared" si="5"/>
        <v>0</v>
      </c>
    </row>
    <row r="111" spans="1:11" hidden="1" x14ac:dyDescent="0.25">
      <c r="A111" s="453" t="s">
        <v>458</v>
      </c>
      <c r="B111" s="453"/>
      <c r="C111" s="448">
        <v>0</v>
      </c>
      <c r="D111" s="454">
        <v>0</v>
      </c>
      <c r="E111" s="454">
        <f t="array" ref="E111">SUM(IF('6. Class A Consumption Data'!H263:I263="B",'6. Class A Consumption Data'!H261:I261))</f>
        <v>0</v>
      </c>
      <c r="F111" s="454">
        <f t="array" ref="F111">SUM(IF('6. Class A Consumption Data'!J263:K263="B",'6. Class A Consumption Data'!J261:K261))</f>
        <v>0</v>
      </c>
      <c r="G111" s="454">
        <f t="array" ref="G111">SUM(IF('6. Class A Consumption Data'!L263:M263="B",'6. Class A Consumption Data'!L261:M261))</f>
        <v>0</v>
      </c>
      <c r="H111" s="454">
        <f t="array" ref="H111">SUM(IF('6. Class A Consumption Data'!N263:O263="B",'6. Class A Consumption Data'!N261:O261))</f>
        <v>0</v>
      </c>
      <c r="I111" s="449">
        <f t="shared" si="3"/>
        <v>0</v>
      </c>
      <c r="J111" s="456">
        <f t="shared" si="4"/>
        <v>0</v>
      </c>
      <c r="K111" s="446">
        <f t="shared" si="5"/>
        <v>0</v>
      </c>
    </row>
    <row r="112" spans="1:11" hidden="1" x14ac:dyDescent="0.25">
      <c r="A112" s="453" t="s">
        <v>459</v>
      </c>
      <c r="B112" s="453"/>
      <c r="C112" s="448">
        <v>0</v>
      </c>
      <c r="D112" s="454">
        <v>0</v>
      </c>
      <c r="E112" s="454">
        <f t="array" ref="E112">SUM(IF('6. Class A Consumption Data'!H266:I266="B",'6. Class A Consumption Data'!H264:I264))</f>
        <v>0</v>
      </c>
      <c r="F112" s="454">
        <f t="array" ref="F112">SUM(IF('6. Class A Consumption Data'!J266:K266="B",'6. Class A Consumption Data'!J264:K264))</f>
        <v>0</v>
      </c>
      <c r="G112" s="454">
        <f t="array" ref="G112">SUM(IF('6. Class A Consumption Data'!L266:M266="B",'6. Class A Consumption Data'!L264:M264))</f>
        <v>0</v>
      </c>
      <c r="H112" s="454">
        <f t="array" ref="H112">SUM(IF('6. Class A Consumption Data'!N266:O266="B",'6. Class A Consumption Data'!N264:O264))</f>
        <v>0</v>
      </c>
      <c r="I112" s="449">
        <f t="shared" si="3"/>
        <v>0</v>
      </c>
      <c r="J112" s="456">
        <f t="shared" si="4"/>
        <v>0</v>
      </c>
      <c r="K112" s="446">
        <f t="shared" si="5"/>
        <v>0</v>
      </c>
    </row>
    <row r="113" spans="1:11" hidden="1" x14ac:dyDescent="0.25">
      <c r="A113" s="453" t="s">
        <v>460</v>
      </c>
      <c r="B113" s="453"/>
      <c r="C113" s="448">
        <v>0</v>
      </c>
      <c r="D113" s="454">
        <v>0</v>
      </c>
      <c r="E113" s="454">
        <f t="array" ref="E113">SUM(IF('6. Class A Consumption Data'!H269:I269="B",'6. Class A Consumption Data'!H267:I267))</f>
        <v>0</v>
      </c>
      <c r="F113" s="454">
        <f t="array" ref="F113">SUM(IF('6. Class A Consumption Data'!J269:K269="B",'6. Class A Consumption Data'!J267:K267))</f>
        <v>0</v>
      </c>
      <c r="G113" s="454">
        <f t="array" ref="G113">SUM(IF('6. Class A Consumption Data'!L269:M269="B",'6. Class A Consumption Data'!L267:M267))</f>
        <v>0</v>
      </c>
      <c r="H113" s="454">
        <f t="array" ref="H113">SUM(IF('6. Class A Consumption Data'!N269:O269="B",'6. Class A Consumption Data'!N267:O267))</f>
        <v>0</v>
      </c>
      <c r="I113" s="449">
        <f t="shared" si="3"/>
        <v>0</v>
      </c>
      <c r="J113" s="456">
        <f t="shared" si="4"/>
        <v>0</v>
      </c>
      <c r="K113" s="446">
        <f t="shared" si="5"/>
        <v>0</v>
      </c>
    </row>
    <row r="114" spans="1:11" hidden="1" x14ac:dyDescent="0.25">
      <c r="A114" s="453" t="s">
        <v>461</v>
      </c>
      <c r="B114" s="453"/>
      <c r="C114" s="448">
        <v>0</v>
      </c>
      <c r="D114" s="454">
        <v>0</v>
      </c>
      <c r="E114" s="454">
        <f t="array" ref="E114">SUM(IF('6. Class A Consumption Data'!H272:I272="B",'6. Class A Consumption Data'!H270:I270))</f>
        <v>0</v>
      </c>
      <c r="F114" s="454">
        <f t="array" ref="F114">SUM(IF('6. Class A Consumption Data'!J272:K272="B",'6. Class A Consumption Data'!J270:K270))</f>
        <v>0</v>
      </c>
      <c r="G114" s="454">
        <f t="array" ref="G114">SUM(IF('6. Class A Consumption Data'!L272:M272="B",'6. Class A Consumption Data'!L270:M270))</f>
        <v>0</v>
      </c>
      <c r="H114" s="454">
        <f t="array" ref="H114">SUM(IF('6. Class A Consumption Data'!N272:O272="B",'6. Class A Consumption Data'!N270:O270))</f>
        <v>0</v>
      </c>
      <c r="I114" s="449">
        <f t="shared" si="3"/>
        <v>0</v>
      </c>
      <c r="J114" s="456">
        <f t="shared" si="4"/>
        <v>0</v>
      </c>
      <c r="K114" s="446">
        <f t="shared" si="5"/>
        <v>0</v>
      </c>
    </row>
    <row r="115" spans="1:11" hidden="1" x14ac:dyDescent="0.25">
      <c r="A115" s="453" t="s">
        <v>462</v>
      </c>
      <c r="B115" s="453"/>
      <c r="C115" s="448">
        <v>0</v>
      </c>
      <c r="D115" s="454">
        <v>0</v>
      </c>
      <c r="E115" s="454">
        <f t="array" ref="E115">SUM(IF('6. Class A Consumption Data'!H275:I275="B",'6. Class A Consumption Data'!H273:I273))</f>
        <v>0</v>
      </c>
      <c r="F115" s="454">
        <f t="array" ref="F115">SUM(IF('6. Class A Consumption Data'!J275:K275="B",'6. Class A Consumption Data'!J273:K273))</f>
        <v>0</v>
      </c>
      <c r="G115" s="454">
        <f t="array" ref="G115">SUM(IF('6. Class A Consumption Data'!L275:M275="B",'6. Class A Consumption Data'!L273:M273))</f>
        <v>0</v>
      </c>
      <c r="H115" s="454">
        <f t="array" ref="H115">SUM(IF('6. Class A Consumption Data'!N275:O275="B",'6. Class A Consumption Data'!N273:O273))</f>
        <v>0</v>
      </c>
      <c r="I115" s="449">
        <f t="shared" si="3"/>
        <v>0</v>
      </c>
      <c r="J115" s="456">
        <f t="shared" si="4"/>
        <v>0</v>
      </c>
      <c r="K115" s="446">
        <f t="shared" si="5"/>
        <v>0</v>
      </c>
    </row>
    <row r="116" spans="1:11" hidden="1" x14ac:dyDescent="0.25">
      <c r="A116" s="453" t="s">
        <v>463</v>
      </c>
      <c r="B116" s="453"/>
      <c r="C116" s="448">
        <v>0</v>
      </c>
      <c r="D116" s="454">
        <v>0</v>
      </c>
      <c r="E116" s="454">
        <f t="array" ref="E116">SUM(IF('6. Class A Consumption Data'!H278:I278="B",'6. Class A Consumption Data'!H276:I276))</f>
        <v>0</v>
      </c>
      <c r="F116" s="454">
        <f t="array" ref="F116">SUM(IF('6. Class A Consumption Data'!J278:K278="B",'6. Class A Consumption Data'!J276:K276))</f>
        <v>0</v>
      </c>
      <c r="G116" s="454">
        <f t="array" ref="G116">SUM(IF('6. Class A Consumption Data'!L278:M278="B",'6. Class A Consumption Data'!L276:M276))</f>
        <v>0</v>
      </c>
      <c r="H116" s="454">
        <f t="array" ref="H116">SUM(IF('6. Class A Consumption Data'!N278:O278="B",'6. Class A Consumption Data'!N276:O276))</f>
        <v>0</v>
      </c>
      <c r="I116" s="449">
        <f t="shared" si="3"/>
        <v>0</v>
      </c>
      <c r="J116" s="456">
        <f t="shared" si="4"/>
        <v>0</v>
      </c>
      <c r="K116" s="446">
        <f t="shared" si="5"/>
        <v>0</v>
      </c>
    </row>
    <row r="117" spans="1:11" hidden="1" x14ac:dyDescent="0.25">
      <c r="A117" s="453" t="s">
        <v>464</v>
      </c>
      <c r="B117" s="453"/>
      <c r="C117" s="448">
        <v>0</v>
      </c>
      <c r="D117" s="454">
        <v>0</v>
      </c>
      <c r="E117" s="454">
        <f t="array" ref="E117">SUM(IF('6. Class A Consumption Data'!H281:I281="B",'6. Class A Consumption Data'!H279:I279))</f>
        <v>0</v>
      </c>
      <c r="F117" s="454">
        <f t="array" ref="F117">SUM(IF('6. Class A Consumption Data'!J281:K281="B",'6. Class A Consumption Data'!J279:K279))</f>
        <v>0</v>
      </c>
      <c r="G117" s="454">
        <f t="array" ref="G117">SUM(IF('6. Class A Consumption Data'!L281:M281="B",'6. Class A Consumption Data'!L279:M279))</f>
        <v>0</v>
      </c>
      <c r="H117" s="454">
        <f t="array" ref="H117">SUM(IF('6. Class A Consumption Data'!N281:O281="B",'6. Class A Consumption Data'!N279:O279))</f>
        <v>0</v>
      </c>
      <c r="I117" s="449">
        <f t="shared" si="3"/>
        <v>0</v>
      </c>
      <c r="J117" s="456">
        <f t="shared" si="4"/>
        <v>0</v>
      </c>
      <c r="K117" s="446">
        <f t="shared" si="5"/>
        <v>0</v>
      </c>
    </row>
    <row r="118" spans="1:11" hidden="1" x14ac:dyDescent="0.25">
      <c r="A118" s="453" t="s">
        <v>465</v>
      </c>
      <c r="B118" s="453"/>
      <c r="C118" s="448">
        <v>0</v>
      </c>
      <c r="D118" s="454">
        <v>0</v>
      </c>
      <c r="E118" s="454">
        <f t="array" ref="E118">SUM(IF('6. Class A Consumption Data'!H284:I284="B",'6. Class A Consumption Data'!H282:I282))</f>
        <v>0</v>
      </c>
      <c r="F118" s="454">
        <f t="array" ref="F118">SUM(IF('6. Class A Consumption Data'!J284:K284="B",'6. Class A Consumption Data'!J282:K282))</f>
        <v>0</v>
      </c>
      <c r="G118" s="454">
        <f t="array" ref="G118">SUM(IF('6. Class A Consumption Data'!L284:M284="B",'6. Class A Consumption Data'!L282:M282))</f>
        <v>0</v>
      </c>
      <c r="H118" s="454">
        <f t="array" ref="H118">SUM(IF('6. Class A Consumption Data'!N284:O284="B",'6. Class A Consumption Data'!N282:O282))</f>
        <v>0</v>
      </c>
      <c r="I118" s="449">
        <f t="shared" si="3"/>
        <v>0</v>
      </c>
      <c r="J118" s="456">
        <f t="shared" si="4"/>
        <v>0</v>
      </c>
      <c r="K118" s="446">
        <f t="shared" si="5"/>
        <v>0</v>
      </c>
    </row>
    <row r="119" spans="1:11" hidden="1" x14ac:dyDescent="0.25">
      <c r="A119" s="453" t="s">
        <v>466</v>
      </c>
      <c r="B119" s="453"/>
      <c r="C119" s="448">
        <v>0</v>
      </c>
      <c r="D119" s="454">
        <v>0</v>
      </c>
      <c r="E119" s="454">
        <f t="array" ref="E119">SUM(IF('6. Class A Consumption Data'!H287:I287="B",'6. Class A Consumption Data'!H285:I285))</f>
        <v>0</v>
      </c>
      <c r="F119" s="454">
        <f t="array" ref="F119">SUM(IF('6. Class A Consumption Data'!J287:K287="B",'6. Class A Consumption Data'!J285:K285))</f>
        <v>0</v>
      </c>
      <c r="G119" s="454">
        <f t="array" ref="G119">SUM(IF('6. Class A Consumption Data'!L287:M287="B",'6. Class A Consumption Data'!L285:M285))</f>
        <v>0</v>
      </c>
      <c r="H119" s="454">
        <f t="array" ref="H119">SUM(IF('6. Class A Consumption Data'!N287:O287="B",'6. Class A Consumption Data'!N285:O285))</f>
        <v>0</v>
      </c>
      <c r="I119" s="449">
        <f t="shared" si="3"/>
        <v>0</v>
      </c>
      <c r="J119" s="456">
        <f t="shared" si="4"/>
        <v>0</v>
      </c>
      <c r="K119" s="446">
        <f t="shared" si="5"/>
        <v>0</v>
      </c>
    </row>
    <row r="120" spans="1:11" hidden="1" x14ac:dyDescent="0.25">
      <c r="A120" s="453" t="s">
        <v>467</v>
      </c>
      <c r="B120" s="453"/>
      <c r="C120" s="448">
        <v>0</v>
      </c>
      <c r="D120" s="454">
        <v>0</v>
      </c>
      <c r="E120" s="454">
        <f t="array" ref="E120">SUM(IF('6. Class A Consumption Data'!H290:I290="B",'6. Class A Consumption Data'!H288:I288))</f>
        <v>0</v>
      </c>
      <c r="F120" s="454">
        <f t="array" ref="F120">SUM(IF('6. Class A Consumption Data'!J290:K290="B",'6. Class A Consumption Data'!J288:K288))</f>
        <v>0</v>
      </c>
      <c r="G120" s="454">
        <f t="array" ref="G120">SUM(IF('6. Class A Consumption Data'!L290:M290="B",'6. Class A Consumption Data'!L288:M288))</f>
        <v>0</v>
      </c>
      <c r="H120" s="454">
        <f t="array" ref="H120">SUM(IF('6. Class A Consumption Data'!N290:O290="B",'6. Class A Consumption Data'!N288:O288))</f>
        <v>0</v>
      </c>
      <c r="I120" s="449">
        <f t="shared" si="3"/>
        <v>0</v>
      </c>
      <c r="J120" s="456">
        <f t="shared" si="4"/>
        <v>0</v>
      </c>
      <c r="K120" s="446">
        <f t="shared" si="5"/>
        <v>0</v>
      </c>
    </row>
    <row r="121" spans="1:11" hidden="1" x14ac:dyDescent="0.25">
      <c r="A121" s="453" t="s">
        <v>468</v>
      </c>
      <c r="B121" s="453"/>
      <c r="C121" s="448">
        <v>0</v>
      </c>
      <c r="D121" s="454">
        <v>0</v>
      </c>
      <c r="E121" s="454">
        <f t="array" ref="E121">SUM(IF('6. Class A Consumption Data'!H293:I293="B",'6. Class A Consumption Data'!H291:I291))</f>
        <v>0</v>
      </c>
      <c r="F121" s="454">
        <f t="array" ref="F121">SUM(IF('6. Class A Consumption Data'!J293:K293="B",'6. Class A Consumption Data'!J291:K291))</f>
        <v>0</v>
      </c>
      <c r="G121" s="454">
        <f t="array" ref="G121">SUM(IF('6. Class A Consumption Data'!L293:M293="B",'6. Class A Consumption Data'!L291:M291))</f>
        <v>0</v>
      </c>
      <c r="H121" s="454">
        <f t="array" ref="H121">SUM(IF('6. Class A Consumption Data'!N293:O293="B",'6. Class A Consumption Data'!N291:O291))</f>
        <v>0</v>
      </c>
      <c r="I121" s="449">
        <f t="shared" si="3"/>
        <v>0</v>
      </c>
      <c r="J121" s="456">
        <f t="shared" si="4"/>
        <v>0</v>
      </c>
      <c r="K121" s="446">
        <f t="shared" si="5"/>
        <v>0</v>
      </c>
    </row>
    <row r="122" spans="1:11" hidden="1" x14ac:dyDescent="0.25">
      <c r="A122" s="453" t="s">
        <v>469</v>
      </c>
      <c r="B122" s="453"/>
      <c r="C122" s="448">
        <v>0</v>
      </c>
      <c r="D122" s="454">
        <v>0</v>
      </c>
      <c r="E122" s="454">
        <f t="array" ref="E122">SUM(IF('6. Class A Consumption Data'!H296:I296="B",'6. Class A Consumption Data'!H294:I294))</f>
        <v>0</v>
      </c>
      <c r="F122" s="454">
        <f t="array" ref="F122">SUM(IF('6. Class A Consumption Data'!J296:K296="B",'6. Class A Consumption Data'!J294:K294))</f>
        <v>0</v>
      </c>
      <c r="G122" s="454">
        <f t="array" ref="G122">SUM(IF('6. Class A Consumption Data'!L296:M296="B",'6. Class A Consumption Data'!L294:M294))</f>
        <v>0</v>
      </c>
      <c r="H122" s="454">
        <f t="array" ref="H122">SUM(IF('6. Class A Consumption Data'!N296:O296="B",'6. Class A Consumption Data'!N294:O294))</f>
        <v>0</v>
      </c>
      <c r="I122" s="449">
        <f t="shared" si="3"/>
        <v>0</v>
      </c>
      <c r="J122" s="456">
        <f t="shared" si="4"/>
        <v>0</v>
      </c>
      <c r="K122" s="446">
        <f t="shared" si="5"/>
        <v>0</v>
      </c>
    </row>
    <row r="123" spans="1:11" hidden="1" x14ac:dyDescent="0.25">
      <c r="A123" s="453" t="s">
        <v>470</v>
      </c>
      <c r="B123" s="453"/>
      <c r="C123" s="448">
        <v>0</v>
      </c>
      <c r="D123" s="454">
        <v>0</v>
      </c>
      <c r="E123" s="454">
        <f t="array" ref="E123">SUM(IF('6. Class A Consumption Data'!H299:I299="B",'6. Class A Consumption Data'!H297:I297))</f>
        <v>0</v>
      </c>
      <c r="F123" s="454">
        <f t="array" ref="F123">SUM(IF('6. Class A Consumption Data'!J299:K299="B",'6. Class A Consumption Data'!J297:K297))</f>
        <v>0</v>
      </c>
      <c r="G123" s="454">
        <f t="array" ref="G123">SUM(IF('6. Class A Consumption Data'!L299:M299="B",'6. Class A Consumption Data'!L297:M297))</f>
        <v>0</v>
      </c>
      <c r="H123" s="454">
        <f t="array" ref="H123">SUM(IF('6. Class A Consumption Data'!N299:O299="B",'6. Class A Consumption Data'!N297:O297))</f>
        <v>0</v>
      </c>
      <c r="I123" s="449">
        <f t="shared" si="3"/>
        <v>0</v>
      </c>
      <c r="J123" s="456">
        <f t="shared" si="4"/>
        <v>0</v>
      </c>
      <c r="K123" s="446">
        <f t="shared" si="5"/>
        <v>0</v>
      </c>
    </row>
    <row r="124" spans="1:11" hidden="1" x14ac:dyDescent="0.25">
      <c r="A124" s="453" t="s">
        <v>471</v>
      </c>
      <c r="B124" s="453"/>
      <c r="C124" s="448">
        <v>0</v>
      </c>
      <c r="D124" s="454">
        <v>0</v>
      </c>
      <c r="E124" s="454">
        <f t="array" ref="E124">SUM(IF('6. Class A Consumption Data'!H302:I302="B",'6. Class A Consumption Data'!H300:I300))</f>
        <v>0</v>
      </c>
      <c r="F124" s="454">
        <f t="array" ref="F124">SUM(IF('6. Class A Consumption Data'!J302:K302="B",'6. Class A Consumption Data'!J300:K300))</f>
        <v>0</v>
      </c>
      <c r="G124" s="454">
        <f t="array" ref="G124">SUM(IF('6. Class A Consumption Data'!L302:M302="B",'6. Class A Consumption Data'!L300:M300))</f>
        <v>0</v>
      </c>
      <c r="H124" s="454">
        <f t="array" ref="H124">SUM(IF('6. Class A Consumption Data'!N302:O302="B",'6. Class A Consumption Data'!N300:O300))</f>
        <v>0</v>
      </c>
      <c r="I124" s="449">
        <f t="shared" si="3"/>
        <v>0</v>
      </c>
      <c r="J124" s="456">
        <f t="shared" si="4"/>
        <v>0</v>
      </c>
      <c r="K124" s="446">
        <f t="shared" si="5"/>
        <v>0</v>
      </c>
    </row>
    <row r="125" spans="1:11" hidden="1" x14ac:dyDescent="0.25">
      <c r="A125" s="453" t="s">
        <v>472</v>
      </c>
      <c r="B125" s="453"/>
      <c r="C125" s="448">
        <v>0</v>
      </c>
      <c r="D125" s="454">
        <v>0</v>
      </c>
      <c r="E125" s="454">
        <f t="array" ref="E125">SUM(IF('6. Class A Consumption Data'!H305:I305="B",'6. Class A Consumption Data'!H303:I303))</f>
        <v>0</v>
      </c>
      <c r="F125" s="454">
        <f t="array" ref="F125">SUM(IF('6. Class A Consumption Data'!J305:K305="B",'6. Class A Consumption Data'!J303:K303))</f>
        <v>0</v>
      </c>
      <c r="G125" s="454">
        <f t="array" ref="G125">SUM(IF('6. Class A Consumption Data'!L305:M305="B",'6. Class A Consumption Data'!L303:M303))</f>
        <v>0</v>
      </c>
      <c r="H125" s="454">
        <f t="array" ref="H125">SUM(IF('6. Class A Consumption Data'!N305:O305="B",'6. Class A Consumption Data'!N303:O303))</f>
        <v>0</v>
      </c>
      <c r="I125" s="449">
        <f t="shared" si="3"/>
        <v>0</v>
      </c>
      <c r="J125" s="456">
        <f t="shared" si="4"/>
        <v>0</v>
      </c>
      <c r="K125" s="446">
        <f t="shared" si="5"/>
        <v>0</v>
      </c>
    </row>
    <row r="126" spans="1:11" hidden="1" x14ac:dyDescent="0.25">
      <c r="A126" s="453" t="s">
        <v>473</v>
      </c>
      <c r="B126" s="453"/>
      <c r="C126" s="448">
        <v>0</v>
      </c>
      <c r="D126" s="454">
        <v>0</v>
      </c>
      <c r="E126" s="454">
        <f t="array" ref="E126">SUM(IF('6. Class A Consumption Data'!H308:I308="B",'6. Class A Consumption Data'!H306:I306))</f>
        <v>0</v>
      </c>
      <c r="F126" s="454">
        <f t="array" ref="F126">SUM(IF('6. Class A Consumption Data'!J308:K308="B",'6. Class A Consumption Data'!J306:K306))</f>
        <v>0</v>
      </c>
      <c r="G126" s="454">
        <f t="array" ref="G126">SUM(IF('6. Class A Consumption Data'!L308:M308="B",'6. Class A Consumption Data'!L306:M306))</f>
        <v>0</v>
      </c>
      <c r="H126" s="454">
        <f t="array" ref="H126">SUM(IF('6. Class A Consumption Data'!N308:O308="B",'6. Class A Consumption Data'!N306:O306))</f>
        <v>0</v>
      </c>
      <c r="I126" s="449">
        <f t="shared" si="3"/>
        <v>0</v>
      </c>
      <c r="J126" s="456">
        <f t="shared" si="4"/>
        <v>0</v>
      </c>
      <c r="K126" s="446">
        <f t="shared" si="5"/>
        <v>0</v>
      </c>
    </row>
    <row r="127" spans="1:11" hidden="1" x14ac:dyDescent="0.25">
      <c r="A127" s="453" t="s">
        <v>474</v>
      </c>
      <c r="B127" s="453"/>
      <c r="C127" s="448">
        <v>0</v>
      </c>
      <c r="D127" s="454">
        <v>0</v>
      </c>
      <c r="E127" s="454">
        <f t="array" ref="E127">SUM(IF('6. Class A Consumption Data'!H311:I311="B",'6. Class A Consumption Data'!H309:I309))</f>
        <v>0</v>
      </c>
      <c r="F127" s="454">
        <f t="array" ref="F127">SUM(IF('6. Class A Consumption Data'!J311:K311="B",'6. Class A Consumption Data'!J309:K309))</f>
        <v>0</v>
      </c>
      <c r="G127" s="454">
        <f t="array" ref="G127">SUM(IF('6. Class A Consumption Data'!L311:M311="B",'6. Class A Consumption Data'!L309:M309))</f>
        <v>0</v>
      </c>
      <c r="H127" s="454">
        <f t="array" ref="H127">SUM(IF('6. Class A Consumption Data'!N311:O311="B",'6. Class A Consumption Data'!N309:O309))</f>
        <v>0</v>
      </c>
      <c r="I127" s="449">
        <f t="shared" si="3"/>
        <v>0</v>
      </c>
      <c r="J127" s="456">
        <f t="shared" si="4"/>
        <v>0</v>
      </c>
      <c r="K127" s="446">
        <f t="shared" si="5"/>
        <v>0</v>
      </c>
    </row>
    <row r="128" spans="1:11" hidden="1" x14ac:dyDescent="0.25">
      <c r="A128" s="453" t="s">
        <v>475</v>
      </c>
      <c r="B128" s="453"/>
      <c r="C128" s="448">
        <v>0</v>
      </c>
      <c r="D128" s="454">
        <v>0</v>
      </c>
      <c r="E128" s="454">
        <f t="array" ref="E128">SUM(IF('6. Class A Consumption Data'!H314:I314="B",'6. Class A Consumption Data'!H312:I312))</f>
        <v>0</v>
      </c>
      <c r="F128" s="454">
        <f t="array" ref="F128">SUM(IF('6. Class A Consumption Data'!J314:K314="B",'6. Class A Consumption Data'!J312:K312))</f>
        <v>0</v>
      </c>
      <c r="G128" s="454">
        <f t="array" ref="G128">SUM(IF('6. Class A Consumption Data'!L314:M314="B",'6. Class A Consumption Data'!L312:M312))</f>
        <v>0</v>
      </c>
      <c r="H128" s="454">
        <f t="array" ref="H128">SUM(IF('6. Class A Consumption Data'!N314:O314="B",'6. Class A Consumption Data'!N312:O312))</f>
        <v>0</v>
      </c>
      <c r="I128" s="449">
        <f t="shared" si="3"/>
        <v>0</v>
      </c>
      <c r="J128" s="456">
        <f t="shared" si="4"/>
        <v>0</v>
      </c>
      <c r="K128" s="446">
        <f t="shared" si="5"/>
        <v>0</v>
      </c>
    </row>
    <row r="129" spans="1:11" hidden="1" x14ac:dyDescent="0.25">
      <c r="A129" s="453" t="s">
        <v>476</v>
      </c>
      <c r="B129" s="453"/>
      <c r="C129" s="448">
        <v>0</v>
      </c>
      <c r="D129" s="454">
        <v>0</v>
      </c>
      <c r="E129" s="454">
        <f t="array" ref="E129">SUM(IF('6. Class A Consumption Data'!H317:I317="B",'6. Class A Consumption Data'!H315:I315))</f>
        <v>0</v>
      </c>
      <c r="F129" s="454">
        <f t="array" ref="F129">SUM(IF('6. Class A Consumption Data'!J317:K317="B",'6. Class A Consumption Data'!J315:K315))</f>
        <v>0</v>
      </c>
      <c r="G129" s="454">
        <f t="array" ref="G129">SUM(IF('6. Class A Consumption Data'!L317:M317="B",'6. Class A Consumption Data'!L315:M315))</f>
        <v>0</v>
      </c>
      <c r="H129" s="454">
        <f t="array" ref="H129">SUM(IF('6. Class A Consumption Data'!N317:O317="B",'6. Class A Consumption Data'!N315:O315))</f>
        <v>0</v>
      </c>
      <c r="I129" s="449">
        <f t="shared" si="3"/>
        <v>0</v>
      </c>
      <c r="J129" s="456">
        <f t="shared" si="4"/>
        <v>0</v>
      </c>
      <c r="K129" s="446">
        <f t="shared" si="5"/>
        <v>0</v>
      </c>
    </row>
    <row r="130" spans="1:11" hidden="1" x14ac:dyDescent="0.25">
      <c r="A130" s="453" t="s">
        <v>477</v>
      </c>
      <c r="B130" s="453"/>
      <c r="C130" s="448">
        <v>0</v>
      </c>
      <c r="D130" s="454">
        <v>0</v>
      </c>
      <c r="E130" s="454">
        <f t="array" ref="E130">SUM(IF('6. Class A Consumption Data'!H320:I320="B",'6. Class A Consumption Data'!H318:I318))</f>
        <v>0</v>
      </c>
      <c r="F130" s="454">
        <f t="array" ref="F130">SUM(IF('6. Class A Consumption Data'!J320:K320="B",'6. Class A Consumption Data'!J318:K318))</f>
        <v>0</v>
      </c>
      <c r="G130" s="454">
        <f t="array" ref="G130">SUM(IF('6. Class A Consumption Data'!L320:M320="B",'6. Class A Consumption Data'!L318:M318))</f>
        <v>0</v>
      </c>
      <c r="H130" s="454">
        <f t="array" ref="H130">SUM(IF('6. Class A Consumption Data'!N320:O320="B",'6. Class A Consumption Data'!N318:O318))</f>
        <v>0</v>
      </c>
      <c r="I130" s="449">
        <f t="shared" si="3"/>
        <v>0</v>
      </c>
      <c r="J130" s="456">
        <f t="shared" si="4"/>
        <v>0</v>
      </c>
      <c r="K130" s="446">
        <f t="shared" si="5"/>
        <v>0</v>
      </c>
    </row>
    <row r="131" spans="1:11" hidden="1" x14ac:dyDescent="0.25">
      <c r="A131" s="453" t="s">
        <v>478</v>
      </c>
      <c r="B131" s="453"/>
      <c r="C131" s="448">
        <v>0</v>
      </c>
      <c r="D131" s="454">
        <v>0</v>
      </c>
      <c r="E131" s="454">
        <f t="array" ref="E131">SUM(IF('6. Class A Consumption Data'!H323:I323="B",'6. Class A Consumption Data'!H321:I321))</f>
        <v>0</v>
      </c>
      <c r="F131" s="454">
        <f t="array" ref="F131">SUM(IF('6. Class A Consumption Data'!J323:K323="B",'6. Class A Consumption Data'!J321:K321))</f>
        <v>0</v>
      </c>
      <c r="G131" s="454">
        <f t="array" ref="G131">SUM(IF('6. Class A Consumption Data'!L323:M323="B",'6. Class A Consumption Data'!L321:M321))</f>
        <v>0</v>
      </c>
      <c r="H131" s="454">
        <f t="array" ref="H131">SUM(IF('6. Class A Consumption Data'!N323:O323="B",'6. Class A Consumption Data'!N321:O321))</f>
        <v>0</v>
      </c>
      <c r="I131" s="449">
        <f t="shared" si="3"/>
        <v>0</v>
      </c>
      <c r="J131" s="456">
        <f t="shared" si="4"/>
        <v>0</v>
      </c>
      <c r="K131" s="446">
        <f t="shared" si="5"/>
        <v>0</v>
      </c>
    </row>
    <row r="132" spans="1:11" hidden="1" x14ac:dyDescent="0.25">
      <c r="A132" s="453" t="s">
        <v>479</v>
      </c>
      <c r="B132" s="453"/>
      <c r="C132" s="448">
        <v>0</v>
      </c>
      <c r="D132" s="454">
        <v>0</v>
      </c>
      <c r="E132" s="454">
        <f t="array" ref="E132">SUM(IF('6. Class A Consumption Data'!H326:I326="B",'6. Class A Consumption Data'!H324:I324))</f>
        <v>0</v>
      </c>
      <c r="F132" s="454">
        <f t="array" ref="F132">SUM(IF('6. Class A Consumption Data'!J326:K326="B",'6. Class A Consumption Data'!J324:K324))</f>
        <v>0</v>
      </c>
      <c r="G132" s="454">
        <f t="array" ref="G132">SUM(IF('6. Class A Consumption Data'!L326:M326="B",'6. Class A Consumption Data'!L324:M324))</f>
        <v>0</v>
      </c>
      <c r="H132" s="454">
        <f t="array" ref="H132">SUM(IF('6. Class A Consumption Data'!N326:O326="B",'6. Class A Consumption Data'!N324:O324))</f>
        <v>0</v>
      </c>
      <c r="I132" s="449">
        <f t="shared" si="3"/>
        <v>0</v>
      </c>
      <c r="J132" s="456">
        <f t="shared" si="4"/>
        <v>0</v>
      </c>
      <c r="K132" s="446">
        <f t="shared" si="5"/>
        <v>0</v>
      </c>
    </row>
    <row r="133" spans="1:11" hidden="1" x14ac:dyDescent="0.25">
      <c r="A133" s="453" t="s">
        <v>480</v>
      </c>
      <c r="B133" s="453"/>
      <c r="C133" s="448">
        <v>0</v>
      </c>
      <c r="D133" s="454">
        <v>0</v>
      </c>
      <c r="E133" s="454">
        <f t="array" ref="E133">SUM(IF('6. Class A Consumption Data'!H329:I329="B",'6. Class A Consumption Data'!H327:I327))</f>
        <v>0</v>
      </c>
      <c r="F133" s="454">
        <f t="array" ref="F133">SUM(IF('6. Class A Consumption Data'!J329:K329="B",'6. Class A Consumption Data'!J327:K327))</f>
        <v>0</v>
      </c>
      <c r="G133" s="454">
        <f t="array" ref="G133">SUM(IF('6. Class A Consumption Data'!L329:M329="B",'6. Class A Consumption Data'!L327:M327))</f>
        <v>0</v>
      </c>
      <c r="H133" s="454">
        <f t="array" ref="H133">SUM(IF('6. Class A Consumption Data'!N329:O329="B",'6. Class A Consumption Data'!N327:O327))</f>
        <v>0</v>
      </c>
      <c r="I133" s="449">
        <f t="shared" si="3"/>
        <v>0</v>
      </c>
      <c r="J133" s="456">
        <f t="shared" si="4"/>
        <v>0</v>
      </c>
      <c r="K133" s="446">
        <f t="shared" si="5"/>
        <v>0</v>
      </c>
    </row>
    <row r="134" spans="1:11" hidden="1" x14ac:dyDescent="0.25">
      <c r="A134" s="453" t="s">
        <v>481</v>
      </c>
      <c r="B134" s="453"/>
      <c r="C134" s="448">
        <v>0</v>
      </c>
      <c r="D134" s="454">
        <v>0</v>
      </c>
      <c r="E134" s="454">
        <f t="array" ref="E134">SUM(IF('6. Class A Consumption Data'!H332:I332="B",'6. Class A Consumption Data'!H330:I330))</f>
        <v>0</v>
      </c>
      <c r="F134" s="454">
        <f t="array" ref="F134">SUM(IF('6. Class A Consumption Data'!J332:K332="B",'6. Class A Consumption Data'!J330:K330))</f>
        <v>0</v>
      </c>
      <c r="G134" s="454">
        <f t="array" ref="G134">SUM(IF('6. Class A Consumption Data'!L332:M332="B",'6. Class A Consumption Data'!L330:M330))</f>
        <v>0</v>
      </c>
      <c r="H134" s="454">
        <f t="array" ref="H134">SUM(IF('6. Class A Consumption Data'!N332:O332="B",'6. Class A Consumption Data'!N330:O330))</f>
        <v>0</v>
      </c>
      <c r="I134" s="449">
        <f t="shared" si="3"/>
        <v>0</v>
      </c>
      <c r="J134" s="456">
        <f t="shared" si="4"/>
        <v>0</v>
      </c>
      <c r="K134" s="446">
        <f t="shared" si="5"/>
        <v>0</v>
      </c>
    </row>
    <row r="135" spans="1:11" hidden="1" x14ac:dyDescent="0.25">
      <c r="A135" s="453" t="s">
        <v>482</v>
      </c>
      <c r="B135" s="453"/>
      <c r="C135" s="448">
        <v>0</v>
      </c>
      <c r="D135" s="454">
        <v>0</v>
      </c>
      <c r="E135" s="454">
        <f t="array" ref="E135">SUM(IF('6. Class A Consumption Data'!H335:I335="B",'6. Class A Consumption Data'!H333:I333))</f>
        <v>0</v>
      </c>
      <c r="F135" s="454">
        <f t="array" ref="F135">SUM(IF('6. Class A Consumption Data'!J335:K335="B",'6. Class A Consumption Data'!J333:K333))</f>
        <v>0</v>
      </c>
      <c r="G135" s="454">
        <f t="array" ref="G135">SUM(IF('6. Class A Consumption Data'!L335:M335="B",'6. Class A Consumption Data'!L333:M333))</f>
        <v>0</v>
      </c>
      <c r="H135" s="454">
        <f t="array" ref="H135">SUM(IF('6. Class A Consumption Data'!N335:O335="B",'6. Class A Consumption Data'!N333:O333))</f>
        <v>0</v>
      </c>
      <c r="I135" s="449">
        <f t="shared" si="3"/>
        <v>0</v>
      </c>
      <c r="J135" s="456">
        <f t="shared" si="4"/>
        <v>0</v>
      </c>
      <c r="K135" s="446">
        <f t="shared" si="5"/>
        <v>0</v>
      </c>
    </row>
    <row r="136" spans="1:11" hidden="1" x14ac:dyDescent="0.25">
      <c r="A136" s="453" t="s">
        <v>483</v>
      </c>
      <c r="B136" s="453"/>
      <c r="C136" s="448">
        <v>0</v>
      </c>
      <c r="D136" s="454">
        <v>0</v>
      </c>
      <c r="E136" s="454">
        <f t="array" ref="E136">SUM(IF('6. Class A Consumption Data'!H338:I338="B",'6. Class A Consumption Data'!H336:I336))</f>
        <v>0</v>
      </c>
      <c r="F136" s="454">
        <f t="array" ref="F136">SUM(IF('6. Class A Consumption Data'!J338:K338="B",'6. Class A Consumption Data'!J336:K336))</f>
        <v>0</v>
      </c>
      <c r="G136" s="454">
        <f t="array" ref="G136">SUM(IF('6. Class A Consumption Data'!L338:M338="B",'6. Class A Consumption Data'!L336:M336))</f>
        <v>0</v>
      </c>
      <c r="H136" s="454">
        <f t="array" ref="H136">SUM(IF('6. Class A Consumption Data'!N338:O338="B",'6. Class A Consumption Data'!N336:O336))</f>
        <v>0</v>
      </c>
      <c r="I136" s="449">
        <f t="shared" si="3"/>
        <v>0</v>
      </c>
      <c r="J136" s="456">
        <f t="shared" si="4"/>
        <v>0</v>
      </c>
      <c r="K136" s="446">
        <f t="shared" si="5"/>
        <v>0</v>
      </c>
    </row>
    <row r="137" spans="1:11" hidden="1" x14ac:dyDescent="0.25">
      <c r="A137" s="453" t="s">
        <v>484</v>
      </c>
      <c r="B137" s="453"/>
      <c r="C137" s="448">
        <v>0</v>
      </c>
      <c r="D137" s="454">
        <v>0</v>
      </c>
      <c r="E137" s="454">
        <f t="array" ref="E137">SUM(IF('6. Class A Consumption Data'!H341:I341="B",'6. Class A Consumption Data'!H339:I339))</f>
        <v>0</v>
      </c>
      <c r="F137" s="454">
        <f t="array" ref="F137">SUM(IF('6. Class A Consumption Data'!J341:K341="B",'6. Class A Consumption Data'!J339:K339))</f>
        <v>0</v>
      </c>
      <c r="G137" s="454">
        <f t="array" ref="G137">SUM(IF('6. Class A Consumption Data'!L341:M341="B",'6. Class A Consumption Data'!L339:M339))</f>
        <v>0</v>
      </c>
      <c r="H137" s="454">
        <f t="array" ref="H137">SUM(IF('6. Class A Consumption Data'!N341:O341="B",'6. Class A Consumption Data'!N339:O339))</f>
        <v>0</v>
      </c>
      <c r="I137" s="449">
        <f t="shared" si="3"/>
        <v>0</v>
      </c>
      <c r="J137" s="456">
        <f t="shared" si="4"/>
        <v>0</v>
      </c>
      <c r="K137" s="446">
        <f t="shared" si="5"/>
        <v>0</v>
      </c>
    </row>
    <row r="138" spans="1:11" hidden="1" x14ac:dyDescent="0.25">
      <c r="A138" s="453" t="s">
        <v>485</v>
      </c>
      <c r="B138" s="453"/>
      <c r="C138" s="448">
        <v>0</v>
      </c>
      <c r="D138" s="454">
        <v>0</v>
      </c>
      <c r="E138" s="454">
        <f t="array" ref="E138">SUM(IF('6. Class A Consumption Data'!H344:I344="B",'6. Class A Consumption Data'!H342:I342))</f>
        <v>0</v>
      </c>
      <c r="F138" s="454">
        <f t="array" ref="F138">SUM(IF('6. Class A Consumption Data'!J344:K344="B",'6. Class A Consumption Data'!J342:K342))</f>
        <v>0</v>
      </c>
      <c r="G138" s="454">
        <f t="array" ref="G138">SUM(IF('6. Class A Consumption Data'!L344:M344="B",'6. Class A Consumption Data'!L342:M342))</f>
        <v>0</v>
      </c>
      <c r="H138" s="454">
        <f t="array" ref="H138">SUM(IF('6. Class A Consumption Data'!N344:O344="B",'6. Class A Consumption Data'!N342:O342))</f>
        <v>0</v>
      </c>
      <c r="I138" s="449">
        <f t="shared" si="3"/>
        <v>0</v>
      </c>
      <c r="J138" s="456">
        <f t="shared" si="4"/>
        <v>0</v>
      </c>
      <c r="K138" s="446">
        <f t="shared" si="5"/>
        <v>0</v>
      </c>
    </row>
    <row r="139" spans="1:11" hidden="1" x14ac:dyDescent="0.25">
      <c r="A139" s="453" t="s">
        <v>486</v>
      </c>
      <c r="B139" s="453"/>
      <c r="C139" s="448">
        <v>0</v>
      </c>
      <c r="D139" s="454">
        <v>0</v>
      </c>
      <c r="E139" s="454">
        <f t="array" ref="E139">SUM(IF('6. Class A Consumption Data'!H347:I347="B",'6. Class A Consumption Data'!H345:I345))</f>
        <v>0</v>
      </c>
      <c r="F139" s="454">
        <f t="array" ref="F139">SUM(IF('6. Class A Consumption Data'!J347:K347="B",'6. Class A Consumption Data'!J345:K345))</f>
        <v>0</v>
      </c>
      <c r="G139" s="454">
        <f t="array" ref="G139">SUM(IF('6. Class A Consumption Data'!L347:M347="B",'6. Class A Consumption Data'!L345:M345))</f>
        <v>0</v>
      </c>
      <c r="H139" s="454">
        <f t="array" ref="H139">SUM(IF('6. Class A Consumption Data'!N347:O347="B",'6. Class A Consumption Data'!N345:O345))</f>
        <v>0</v>
      </c>
      <c r="I139" s="449">
        <f t="shared" si="3"/>
        <v>0</v>
      </c>
      <c r="J139" s="456">
        <f t="shared" si="4"/>
        <v>0</v>
      </c>
      <c r="K139" s="446">
        <f t="shared" si="5"/>
        <v>0</v>
      </c>
    </row>
    <row r="140" spans="1:11" hidden="1" x14ac:dyDescent="0.25">
      <c r="A140" s="453" t="s">
        <v>487</v>
      </c>
      <c r="B140" s="453"/>
      <c r="C140" s="448">
        <v>0</v>
      </c>
      <c r="D140" s="454">
        <v>0</v>
      </c>
      <c r="E140" s="454">
        <f t="array" ref="E140">SUM(IF('6. Class A Consumption Data'!H350:I350="B",'6. Class A Consumption Data'!H348:I348))</f>
        <v>0</v>
      </c>
      <c r="F140" s="454">
        <f t="array" ref="F140">SUM(IF('6. Class A Consumption Data'!J350:K350="B",'6. Class A Consumption Data'!J348:K348))</f>
        <v>0</v>
      </c>
      <c r="G140" s="454">
        <f t="array" ref="G140">SUM(IF('6. Class A Consumption Data'!L350:M350="B",'6. Class A Consumption Data'!L348:M348))</f>
        <v>0</v>
      </c>
      <c r="H140" s="454">
        <f t="array" ref="H140">SUM(IF('6. Class A Consumption Data'!N350:O350="B",'6. Class A Consumption Data'!N348:O348))</f>
        <v>0</v>
      </c>
      <c r="I140" s="449">
        <f t="shared" si="3"/>
        <v>0</v>
      </c>
      <c r="J140" s="456">
        <f t="shared" si="4"/>
        <v>0</v>
      </c>
      <c r="K140" s="446">
        <f t="shared" si="5"/>
        <v>0</v>
      </c>
    </row>
    <row r="141" spans="1:11" hidden="1" x14ac:dyDescent="0.25">
      <c r="A141" s="453" t="s">
        <v>488</v>
      </c>
      <c r="B141" s="453"/>
      <c r="C141" s="448">
        <v>0</v>
      </c>
      <c r="D141" s="454">
        <v>0</v>
      </c>
      <c r="E141" s="454">
        <f t="array" ref="E141">SUM(IF('6. Class A Consumption Data'!H353:I353="B",'6. Class A Consumption Data'!H351:I351))</f>
        <v>0</v>
      </c>
      <c r="F141" s="454">
        <f t="array" ref="F141">SUM(IF('6. Class A Consumption Data'!J353:K353="B",'6. Class A Consumption Data'!J351:K351))</f>
        <v>0</v>
      </c>
      <c r="G141" s="454">
        <f t="array" ref="G141">SUM(IF('6. Class A Consumption Data'!L353:M353="B",'6. Class A Consumption Data'!L351:M351))</f>
        <v>0</v>
      </c>
      <c r="H141" s="454">
        <f t="array" ref="H141">SUM(IF('6. Class A Consumption Data'!N353:O353="B",'6. Class A Consumption Data'!N351:O351))</f>
        <v>0</v>
      </c>
      <c r="I141" s="449">
        <f t="shared" si="3"/>
        <v>0</v>
      </c>
      <c r="J141" s="456">
        <f t="shared" si="4"/>
        <v>0</v>
      </c>
      <c r="K141" s="446">
        <f t="shared" si="5"/>
        <v>0</v>
      </c>
    </row>
    <row r="142" spans="1:11" hidden="1" x14ac:dyDescent="0.25">
      <c r="A142" s="453" t="s">
        <v>489</v>
      </c>
      <c r="B142" s="453"/>
      <c r="C142" s="448">
        <v>0</v>
      </c>
      <c r="D142" s="454">
        <v>0</v>
      </c>
      <c r="E142" s="454">
        <f t="array" ref="E142">SUM(IF('6. Class A Consumption Data'!H356:I356="B",'6. Class A Consumption Data'!H354:I354))</f>
        <v>0</v>
      </c>
      <c r="F142" s="454">
        <f t="array" ref="F142">SUM(IF('6. Class A Consumption Data'!J356:K356="B",'6. Class A Consumption Data'!J354:K354))</f>
        <v>0</v>
      </c>
      <c r="G142" s="454">
        <f t="array" ref="G142">SUM(IF('6. Class A Consumption Data'!L356:M356="B",'6. Class A Consumption Data'!L354:M354))</f>
        <v>0</v>
      </c>
      <c r="H142" s="454">
        <f t="array" ref="H142">SUM(IF('6. Class A Consumption Data'!N356:O356="B",'6. Class A Consumption Data'!N354:O354))</f>
        <v>0</v>
      </c>
      <c r="I142" s="449">
        <f t="shared" si="3"/>
        <v>0</v>
      </c>
      <c r="J142" s="456">
        <f t="shared" si="4"/>
        <v>0</v>
      </c>
      <c r="K142" s="446">
        <f t="shared" si="5"/>
        <v>0</v>
      </c>
    </row>
    <row r="143" spans="1:11" hidden="1" x14ac:dyDescent="0.25">
      <c r="A143" s="453" t="s">
        <v>490</v>
      </c>
      <c r="B143" s="453"/>
      <c r="C143" s="448">
        <v>0</v>
      </c>
      <c r="D143" s="454">
        <v>0</v>
      </c>
      <c r="E143" s="454">
        <f t="array" ref="E143">SUM(IF('6. Class A Consumption Data'!H359:I359="B",'6. Class A Consumption Data'!H357:I357))</f>
        <v>0</v>
      </c>
      <c r="F143" s="454">
        <f t="array" ref="F143">SUM(IF('6. Class A Consumption Data'!J359:K359="B",'6. Class A Consumption Data'!J357:K357))</f>
        <v>0</v>
      </c>
      <c r="G143" s="454">
        <f t="array" ref="G143">SUM(IF('6. Class A Consumption Data'!L359:M359="B",'6. Class A Consumption Data'!L357:M357))</f>
        <v>0</v>
      </c>
      <c r="H143" s="454">
        <f t="array" ref="H143">SUM(IF('6. Class A Consumption Data'!N359:O359="B",'6. Class A Consumption Data'!N357:O357))</f>
        <v>0</v>
      </c>
      <c r="I143" s="449">
        <f t="shared" si="3"/>
        <v>0</v>
      </c>
      <c r="J143" s="456">
        <f t="shared" si="4"/>
        <v>0</v>
      </c>
      <c r="K143" s="446">
        <f t="shared" si="5"/>
        <v>0</v>
      </c>
    </row>
    <row r="144" spans="1:11" hidden="1" x14ac:dyDescent="0.25">
      <c r="A144" s="453" t="s">
        <v>491</v>
      </c>
      <c r="B144" s="453"/>
      <c r="C144" s="448">
        <v>0</v>
      </c>
      <c r="D144" s="454">
        <v>0</v>
      </c>
      <c r="E144" s="454">
        <f t="array" ref="E144">SUM(IF('6. Class A Consumption Data'!H362:I362="B",'6. Class A Consumption Data'!H360:I360))</f>
        <v>0</v>
      </c>
      <c r="F144" s="454">
        <f t="array" ref="F144">SUM(IF('6. Class A Consumption Data'!J362:K362="B",'6. Class A Consumption Data'!J360:K360))</f>
        <v>0</v>
      </c>
      <c r="G144" s="454">
        <f t="array" ref="G144">SUM(IF('6. Class A Consumption Data'!L362:M362="B",'6. Class A Consumption Data'!L360:M360))</f>
        <v>0</v>
      </c>
      <c r="H144" s="454">
        <f t="array" ref="H144">SUM(IF('6. Class A Consumption Data'!N362:O362="B",'6. Class A Consumption Data'!N360:O360))</f>
        <v>0</v>
      </c>
      <c r="I144" s="449">
        <f t="shared" si="3"/>
        <v>0</v>
      </c>
      <c r="J144" s="456">
        <f t="shared" si="4"/>
        <v>0</v>
      </c>
      <c r="K144" s="446">
        <f t="shared" si="5"/>
        <v>0</v>
      </c>
    </row>
    <row r="145" spans="1:11" hidden="1" x14ac:dyDescent="0.25">
      <c r="A145" s="453" t="s">
        <v>492</v>
      </c>
      <c r="B145" s="453"/>
      <c r="C145" s="448">
        <v>0</v>
      </c>
      <c r="D145" s="454">
        <v>0</v>
      </c>
      <c r="E145" s="454">
        <f t="array" ref="E145">SUM(IF('6. Class A Consumption Data'!H365:I365="B",'6. Class A Consumption Data'!H363:I363))</f>
        <v>0</v>
      </c>
      <c r="F145" s="454">
        <f t="array" ref="F145">SUM(IF('6. Class A Consumption Data'!J365:K365="B",'6. Class A Consumption Data'!J363:K363))</f>
        <v>0</v>
      </c>
      <c r="G145" s="454">
        <f t="array" ref="G145">SUM(IF('6. Class A Consumption Data'!L365:M365="B",'6. Class A Consumption Data'!L363:M363))</f>
        <v>0</v>
      </c>
      <c r="H145" s="454">
        <f t="array" ref="H145">SUM(IF('6. Class A Consumption Data'!N365:O365="B",'6. Class A Consumption Data'!N363:O363))</f>
        <v>0</v>
      </c>
      <c r="I145" s="449">
        <f t="shared" si="3"/>
        <v>0</v>
      </c>
      <c r="J145" s="456">
        <f t="shared" si="4"/>
        <v>0</v>
      </c>
      <c r="K145" s="446">
        <f t="shared" si="5"/>
        <v>0</v>
      </c>
    </row>
    <row r="146" spans="1:11" hidden="1" x14ac:dyDescent="0.25">
      <c r="A146" s="453" t="s">
        <v>493</v>
      </c>
      <c r="B146" s="453"/>
      <c r="C146" s="448">
        <v>0</v>
      </c>
      <c r="D146" s="454">
        <v>0</v>
      </c>
      <c r="E146" s="454">
        <f t="array" ref="E146">SUM(IF('6. Class A Consumption Data'!H368:I368="B",'6. Class A Consumption Data'!H366:I366))</f>
        <v>0</v>
      </c>
      <c r="F146" s="454">
        <f t="array" ref="F146">SUM(IF('6. Class A Consumption Data'!J368:K368="B",'6. Class A Consumption Data'!J366:K366))</f>
        <v>0</v>
      </c>
      <c r="G146" s="454">
        <f t="array" ref="G146">SUM(IF('6. Class A Consumption Data'!L368:M368="B",'6. Class A Consumption Data'!L366:M366))</f>
        <v>0</v>
      </c>
      <c r="H146" s="454">
        <f t="array" ref="H146">SUM(IF('6. Class A Consumption Data'!N368:O368="B",'6. Class A Consumption Data'!N366:O366))</f>
        <v>0</v>
      </c>
      <c r="I146" s="449">
        <f t="shared" si="3"/>
        <v>0</v>
      </c>
      <c r="J146" s="456">
        <f t="shared" si="4"/>
        <v>0</v>
      </c>
      <c r="K146" s="446">
        <f t="shared" si="5"/>
        <v>0</v>
      </c>
    </row>
    <row r="147" spans="1:11" hidden="1" x14ac:dyDescent="0.25">
      <c r="A147" s="453" t="s">
        <v>494</v>
      </c>
      <c r="B147" s="453"/>
      <c r="C147" s="448">
        <v>0</v>
      </c>
      <c r="D147" s="454">
        <v>0</v>
      </c>
      <c r="E147" s="454">
        <f t="array" ref="E147">SUM(IF('6. Class A Consumption Data'!H371:I371="B",'6. Class A Consumption Data'!H369:I369))</f>
        <v>0</v>
      </c>
      <c r="F147" s="454">
        <f t="array" ref="F147">SUM(IF('6. Class A Consumption Data'!J371:K371="B",'6. Class A Consumption Data'!J369:K369))</f>
        <v>0</v>
      </c>
      <c r="G147" s="454">
        <f t="array" ref="G147">SUM(IF('6. Class A Consumption Data'!L371:M371="B",'6. Class A Consumption Data'!L369:M369))</f>
        <v>0</v>
      </c>
      <c r="H147" s="454">
        <f t="array" ref="H147">SUM(IF('6. Class A Consumption Data'!N371:O371="B",'6. Class A Consumption Data'!N369:O369))</f>
        <v>0</v>
      </c>
      <c r="I147" s="449">
        <f t="shared" si="3"/>
        <v>0</v>
      </c>
      <c r="J147" s="456">
        <f t="shared" si="4"/>
        <v>0</v>
      </c>
      <c r="K147" s="446">
        <f t="shared" si="5"/>
        <v>0</v>
      </c>
    </row>
    <row r="148" spans="1:11" hidden="1" x14ac:dyDescent="0.25">
      <c r="A148" s="453" t="s">
        <v>495</v>
      </c>
      <c r="B148" s="453"/>
      <c r="C148" s="448">
        <v>0</v>
      </c>
      <c r="D148" s="454">
        <v>0</v>
      </c>
      <c r="E148" s="454">
        <f t="array" ref="E148">SUM(IF('6. Class A Consumption Data'!H374:I374="B",'6. Class A Consumption Data'!H372:I372))</f>
        <v>0</v>
      </c>
      <c r="F148" s="454">
        <f t="array" ref="F148">SUM(IF('6. Class A Consumption Data'!J374:K374="B",'6. Class A Consumption Data'!J372:K372))</f>
        <v>0</v>
      </c>
      <c r="G148" s="454">
        <f t="array" ref="G148">SUM(IF('6. Class A Consumption Data'!L374:M374="B",'6. Class A Consumption Data'!L372:M372))</f>
        <v>0</v>
      </c>
      <c r="H148" s="454">
        <f t="array" ref="H148">SUM(IF('6. Class A Consumption Data'!N374:O374="B",'6. Class A Consumption Data'!N372:O372))</f>
        <v>0</v>
      </c>
      <c r="I148" s="449">
        <f t="shared" si="3"/>
        <v>0</v>
      </c>
      <c r="J148" s="456">
        <f t="shared" si="4"/>
        <v>0</v>
      </c>
      <c r="K148" s="446">
        <f t="shared" si="5"/>
        <v>0</v>
      </c>
    </row>
    <row r="149" spans="1:11" hidden="1" x14ac:dyDescent="0.25">
      <c r="A149" s="453" t="s">
        <v>496</v>
      </c>
      <c r="B149" s="453"/>
      <c r="C149" s="448">
        <v>0</v>
      </c>
      <c r="D149" s="454">
        <v>0</v>
      </c>
      <c r="E149" s="454">
        <f t="array" ref="E149">SUM(IF('6. Class A Consumption Data'!H377:I377="B",'6. Class A Consumption Data'!H375:I375))</f>
        <v>0</v>
      </c>
      <c r="F149" s="454">
        <f t="array" ref="F149">SUM(IF('6. Class A Consumption Data'!J377:K377="B",'6. Class A Consumption Data'!J375:K375))</f>
        <v>0</v>
      </c>
      <c r="G149" s="454">
        <f t="array" ref="G149">SUM(IF('6. Class A Consumption Data'!L377:M377="B",'6. Class A Consumption Data'!L375:M375))</f>
        <v>0</v>
      </c>
      <c r="H149" s="454">
        <f t="array" ref="H149">SUM(IF('6. Class A Consumption Data'!N377:O377="B",'6. Class A Consumption Data'!N375:O375))</f>
        <v>0</v>
      </c>
      <c r="I149" s="449">
        <f t="shared" si="3"/>
        <v>0</v>
      </c>
      <c r="J149" s="456">
        <f t="shared" si="4"/>
        <v>0</v>
      </c>
      <c r="K149" s="446">
        <f t="shared" si="5"/>
        <v>0</v>
      </c>
    </row>
    <row r="150" spans="1:11" hidden="1" x14ac:dyDescent="0.25">
      <c r="A150" s="453" t="s">
        <v>497</v>
      </c>
      <c r="B150" s="453"/>
      <c r="C150" s="448">
        <v>0</v>
      </c>
      <c r="D150" s="454">
        <v>0</v>
      </c>
      <c r="E150" s="454">
        <f t="array" ref="E150">SUM(IF('6. Class A Consumption Data'!H380:I380="B",'6. Class A Consumption Data'!H378:I378))</f>
        <v>0</v>
      </c>
      <c r="F150" s="454">
        <f t="array" ref="F150">SUM(IF('6. Class A Consumption Data'!J380:K380="B",'6. Class A Consumption Data'!J378:K378))</f>
        <v>0</v>
      </c>
      <c r="G150" s="454">
        <f t="array" ref="G150">SUM(IF('6. Class A Consumption Data'!L380:M380="B",'6. Class A Consumption Data'!L378:M378))</f>
        <v>0</v>
      </c>
      <c r="H150" s="454">
        <f t="array" ref="H150">SUM(IF('6. Class A Consumption Data'!N380:O380="B",'6. Class A Consumption Data'!N378:O378))</f>
        <v>0</v>
      </c>
      <c r="I150" s="449">
        <f t="shared" si="3"/>
        <v>0</v>
      </c>
      <c r="J150" s="456">
        <f t="shared" si="4"/>
        <v>0</v>
      </c>
      <c r="K150" s="446">
        <f t="shared" si="5"/>
        <v>0</v>
      </c>
    </row>
    <row r="151" spans="1:11" hidden="1" x14ac:dyDescent="0.25">
      <c r="A151" s="453" t="s">
        <v>498</v>
      </c>
      <c r="B151" s="453"/>
      <c r="C151" s="448">
        <v>0</v>
      </c>
      <c r="D151" s="454">
        <v>0</v>
      </c>
      <c r="E151" s="454">
        <f t="array" ref="E151">SUM(IF('6. Class A Consumption Data'!H383:I383="B",'6. Class A Consumption Data'!H381:I381))</f>
        <v>0</v>
      </c>
      <c r="F151" s="454">
        <f t="array" ref="F151">SUM(IF('6. Class A Consumption Data'!J383:K383="B",'6. Class A Consumption Data'!J381:K381))</f>
        <v>0</v>
      </c>
      <c r="G151" s="454">
        <f t="array" ref="G151">SUM(IF('6. Class A Consumption Data'!L383:M383="B",'6. Class A Consumption Data'!L381:M381))</f>
        <v>0</v>
      </c>
      <c r="H151" s="454">
        <f t="array" ref="H151">SUM(IF('6. Class A Consumption Data'!N383:O383="B",'6. Class A Consumption Data'!N381:O381))</f>
        <v>0</v>
      </c>
      <c r="I151" s="449">
        <f t="shared" si="3"/>
        <v>0</v>
      </c>
      <c r="J151" s="456">
        <f t="shared" si="4"/>
        <v>0</v>
      </c>
      <c r="K151" s="446">
        <f t="shared" si="5"/>
        <v>0</v>
      </c>
    </row>
    <row r="152" spans="1:11" hidden="1" x14ac:dyDescent="0.25">
      <c r="A152" s="453" t="s">
        <v>499</v>
      </c>
      <c r="B152" s="453"/>
      <c r="C152" s="448">
        <v>0</v>
      </c>
      <c r="D152" s="454">
        <v>0</v>
      </c>
      <c r="E152" s="454">
        <f t="array" ref="E152">SUM(IF('6. Class A Consumption Data'!H386:I386="B",'6. Class A Consumption Data'!H384:I384))</f>
        <v>0</v>
      </c>
      <c r="F152" s="454">
        <f t="array" ref="F152">SUM(IF('6. Class A Consumption Data'!J386:K386="B",'6. Class A Consumption Data'!J384:K384))</f>
        <v>0</v>
      </c>
      <c r="G152" s="454">
        <f t="array" ref="G152">SUM(IF('6. Class A Consumption Data'!L386:M386="B",'6. Class A Consumption Data'!L384:M384))</f>
        <v>0</v>
      </c>
      <c r="H152" s="454">
        <f t="array" ref="H152">SUM(IF('6. Class A Consumption Data'!N386:O386="B",'6. Class A Consumption Data'!N384:O384))</f>
        <v>0</v>
      </c>
      <c r="I152" s="449">
        <f t="shared" si="3"/>
        <v>0</v>
      </c>
      <c r="J152" s="456">
        <f t="shared" si="4"/>
        <v>0</v>
      </c>
      <c r="K152" s="446">
        <f t="shared" si="5"/>
        <v>0</v>
      </c>
    </row>
    <row r="153" spans="1:11" hidden="1" x14ac:dyDescent="0.25">
      <c r="A153" s="453" t="s">
        <v>500</v>
      </c>
      <c r="B153" s="453"/>
      <c r="C153" s="448">
        <v>0</v>
      </c>
      <c r="D153" s="454">
        <v>0</v>
      </c>
      <c r="E153" s="454">
        <f t="array" ref="E153">SUM(IF('6. Class A Consumption Data'!H389:I389="B",'6. Class A Consumption Data'!H387:I387))</f>
        <v>0</v>
      </c>
      <c r="F153" s="454">
        <f t="array" ref="F153">SUM(IF('6. Class A Consumption Data'!J389:K389="B",'6. Class A Consumption Data'!J387:K387))</f>
        <v>0</v>
      </c>
      <c r="G153" s="454">
        <f t="array" ref="G153">SUM(IF('6. Class A Consumption Data'!L389:M389="B",'6. Class A Consumption Data'!L387:M387))</f>
        <v>0</v>
      </c>
      <c r="H153" s="454">
        <f t="array" ref="H153">SUM(IF('6. Class A Consumption Data'!N389:O389="B",'6. Class A Consumption Data'!N387:O387))</f>
        <v>0</v>
      </c>
      <c r="I153" s="449">
        <f t="shared" si="3"/>
        <v>0</v>
      </c>
      <c r="J153" s="456">
        <f t="shared" si="4"/>
        <v>0</v>
      </c>
      <c r="K153" s="446">
        <f t="shared" si="5"/>
        <v>0</v>
      </c>
    </row>
    <row r="154" spans="1:11" hidden="1" x14ac:dyDescent="0.25">
      <c r="A154" s="453" t="s">
        <v>501</v>
      </c>
      <c r="B154" s="453"/>
      <c r="C154" s="448">
        <v>0</v>
      </c>
      <c r="D154" s="454">
        <v>0</v>
      </c>
      <c r="E154" s="454">
        <f t="array" ref="E154">SUM(IF('6. Class A Consumption Data'!H392:I392="B",'6. Class A Consumption Data'!H390:I390))</f>
        <v>0</v>
      </c>
      <c r="F154" s="454">
        <f t="array" ref="F154">SUM(IF('6. Class A Consumption Data'!J392:K392="B",'6. Class A Consumption Data'!J390:K390))</f>
        <v>0</v>
      </c>
      <c r="G154" s="454">
        <f t="array" ref="G154">SUM(IF('6. Class A Consumption Data'!L392:M392="B",'6. Class A Consumption Data'!L390:M390))</f>
        <v>0</v>
      </c>
      <c r="H154" s="454">
        <f t="array" ref="H154">SUM(IF('6. Class A Consumption Data'!N392:O392="B",'6. Class A Consumption Data'!N390:O390))</f>
        <v>0</v>
      </c>
      <c r="I154" s="449">
        <f t="shared" si="3"/>
        <v>0</v>
      </c>
      <c r="J154" s="456">
        <f t="shared" si="4"/>
        <v>0</v>
      </c>
      <c r="K154" s="446">
        <f t="shared" si="5"/>
        <v>0</v>
      </c>
    </row>
    <row r="155" spans="1:11" hidden="1" x14ac:dyDescent="0.25">
      <c r="A155" s="453" t="s">
        <v>502</v>
      </c>
      <c r="B155" s="453"/>
      <c r="C155" s="448">
        <v>0</v>
      </c>
      <c r="D155" s="454">
        <v>0</v>
      </c>
      <c r="E155" s="454">
        <f t="array" ref="E155">SUM(IF('6. Class A Consumption Data'!H395:I395="B",'6. Class A Consumption Data'!H393:I393))</f>
        <v>0</v>
      </c>
      <c r="F155" s="454">
        <f t="array" ref="F155">SUM(IF('6. Class A Consumption Data'!J395:K395="B",'6. Class A Consumption Data'!J393:K393))</f>
        <v>0</v>
      </c>
      <c r="G155" s="454">
        <f t="array" ref="G155">SUM(IF('6. Class A Consumption Data'!L395:M395="B",'6. Class A Consumption Data'!L393:M393))</f>
        <v>0</v>
      </c>
      <c r="H155" s="454">
        <f t="array" ref="H155">SUM(IF('6. Class A Consumption Data'!N395:O395="B",'6. Class A Consumption Data'!N393:O393))</f>
        <v>0</v>
      </c>
      <c r="I155" s="449">
        <f t="shared" si="3"/>
        <v>0</v>
      </c>
      <c r="J155" s="456">
        <f t="shared" si="4"/>
        <v>0</v>
      </c>
      <c r="K155" s="446">
        <f t="shared" si="5"/>
        <v>0</v>
      </c>
    </row>
    <row r="156" spans="1:11" hidden="1" x14ac:dyDescent="0.25">
      <c r="A156" s="453" t="s">
        <v>503</v>
      </c>
      <c r="B156" s="453"/>
      <c r="C156" s="448">
        <v>0</v>
      </c>
      <c r="D156" s="454">
        <v>0</v>
      </c>
      <c r="E156" s="454">
        <f t="array" ref="E156">SUM(IF('6. Class A Consumption Data'!H398:I398="B",'6. Class A Consumption Data'!H396:I396))</f>
        <v>0</v>
      </c>
      <c r="F156" s="454">
        <f t="array" ref="F156">SUM(IF('6. Class A Consumption Data'!J398:K398="B",'6. Class A Consumption Data'!J396:K396))</f>
        <v>0</v>
      </c>
      <c r="G156" s="454">
        <f t="array" ref="G156">SUM(IF('6. Class A Consumption Data'!L398:M398="B",'6. Class A Consumption Data'!L396:M396))</f>
        <v>0</v>
      </c>
      <c r="H156" s="454">
        <f t="array" ref="H156">SUM(IF('6. Class A Consumption Data'!N398:O398="B",'6. Class A Consumption Data'!N396:O396))</f>
        <v>0</v>
      </c>
      <c r="I156" s="449">
        <f t="shared" si="3"/>
        <v>0</v>
      </c>
      <c r="J156" s="456">
        <f t="shared" si="4"/>
        <v>0</v>
      </c>
      <c r="K156" s="446">
        <f t="shared" si="5"/>
        <v>0</v>
      </c>
    </row>
    <row r="157" spans="1:11" hidden="1" x14ac:dyDescent="0.25">
      <c r="A157" s="453" t="s">
        <v>504</v>
      </c>
      <c r="B157" s="453"/>
      <c r="C157" s="448">
        <v>0</v>
      </c>
      <c r="D157" s="454">
        <v>0</v>
      </c>
      <c r="E157" s="454">
        <f t="array" ref="E157">SUM(IF('6. Class A Consumption Data'!H401:I401="B",'6. Class A Consumption Data'!H399:I399))</f>
        <v>0</v>
      </c>
      <c r="F157" s="454">
        <f t="array" ref="F157">SUM(IF('6. Class A Consumption Data'!J401:K401="B",'6. Class A Consumption Data'!J399:K399))</f>
        <v>0</v>
      </c>
      <c r="G157" s="454">
        <f t="array" ref="G157">SUM(IF('6. Class A Consumption Data'!L401:M401="B",'6. Class A Consumption Data'!L399:M399))</f>
        <v>0</v>
      </c>
      <c r="H157" s="454">
        <f t="array" ref="H157">SUM(IF('6. Class A Consumption Data'!N401:O401="B",'6. Class A Consumption Data'!N399:O399))</f>
        <v>0</v>
      </c>
      <c r="I157" s="449">
        <f t="shared" si="3"/>
        <v>0</v>
      </c>
      <c r="J157" s="456">
        <f t="shared" si="4"/>
        <v>0</v>
      </c>
      <c r="K157" s="446">
        <f t="shared" si="5"/>
        <v>0</v>
      </c>
    </row>
    <row r="158" spans="1:11" hidden="1" x14ac:dyDescent="0.25">
      <c r="A158" s="453" t="s">
        <v>505</v>
      </c>
      <c r="B158" s="453"/>
      <c r="C158" s="448">
        <v>0</v>
      </c>
      <c r="D158" s="454">
        <v>0</v>
      </c>
      <c r="E158" s="454">
        <f t="array" ref="E158">SUM(IF('6. Class A Consumption Data'!H404:I404="B",'6. Class A Consumption Data'!H402:I402))</f>
        <v>0</v>
      </c>
      <c r="F158" s="454">
        <f t="array" ref="F158">SUM(IF('6. Class A Consumption Data'!J404:K404="B",'6. Class A Consumption Data'!J402:K402))</f>
        <v>0</v>
      </c>
      <c r="G158" s="454">
        <f t="array" ref="G158">SUM(IF('6. Class A Consumption Data'!L404:M404="B",'6. Class A Consumption Data'!L402:M402))</f>
        <v>0</v>
      </c>
      <c r="H158" s="454">
        <f t="array" ref="H158">SUM(IF('6. Class A Consumption Data'!N404:O404="B",'6. Class A Consumption Data'!N402:O402))</f>
        <v>0</v>
      </c>
      <c r="I158" s="449">
        <f t="shared" si="3"/>
        <v>0</v>
      </c>
      <c r="J158" s="456">
        <f t="shared" si="4"/>
        <v>0</v>
      </c>
      <c r="K158" s="446">
        <f t="shared" si="5"/>
        <v>0</v>
      </c>
    </row>
    <row r="159" spans="1:11" hidden="1" x14ac:dyDescent="0.25">
      <c r="A159" s="453" t="s">
        <v>506</v>
      </c>
      <c r="B159" s="453"/>
      <c r="C159" s="448">
        <v>0</v>
      </c>
      <c r="D159" s="454">
        <v>0</v>
      </c>
      <c r="E159" s="454">
        <f t="array" ref="E159">SUM(IF('6. Class A Consumption Data'!H407:I407="B",'6. Class A Consumption Data'!H405:I405))</f>
        <v>0</v>
      </c>
      <c r="F159" s="454">
        <f t="array" ref="F159">SUM(IF('6. Class A Consumption Data'!J407:K407="B",'6. Class A Consumption Data'!J405:K405))</f>
        <v>0</v>
      </c>
      <c r="G159" s="454">
        <f t="array" ref="G159">SUM(IF('6. Class A Consumption Data'!L407:M407="B",'6. Class A Consumption Data'!L405:M405))</f>
        <v>0</v>
      </c>
      <c r="H159" s="454">
        <f t="array" ref="H159">SUM(IF('6. Class A Consumption Data'!N407:O407="B",'6. Class A Consumption Data'!N405:O405))</f>
        <v>0</v>
      </c>
      <c r="I159" s="449">
        <f t="shared" si="3"/>
        <v>0</v>
      </c>
      <c r="J159" s="456">
        <f t="shared" si="4"/>
        <v>0</v>
      </c>
      <c r="K159" s="446">
        <f t="shared" si="5"/>
        <v>0</v>
      </c>
    </row>
    <row r="160" spans="1:11" hidden="1" x14ac:dyDescent="0.25">
      <c r="A160" s="453" t="s">
        <v>507</v>
      </c>
      <c r="B160" s="453"/>
      <c r="C160" s="448">
        <v>0</v>
      </c>
      <c r="D160" s="454">
        <v>0</v>
      </c>
      <c r="E160" s="454">
        <f t="array" ref="E160">SUM(IF('6. Class A Consumption Data'!H410:I410="B",'6. Class A Consumption Data'!H408:I408))</f>
        <v>0</v>
      </c>
      <c r="F160" s="454">
        <f t="array" ref="F160">SUM(IF('6. Class A Consumption Data'!J410:K410="B",'6. Class A Consumption Data'!J408:K408))</f>
        <v>0</v>
      </c>
      <c r="G160" s="454">
        <f t="array" ref="G160">SUM(IF('6. Class A Consumption Data'!L410:M410="B",'6. Class A Consumption Data'!L408:M408))</f>
        <v>0</v>
      </c>
      <c r="H160" s="454">
        <f t="array" ref="H160">SUM(IF('6. Class A Consumption Data'!N410:O410="B",'6. Class A Consumption Data'!N408:O408))</f>
        <v>0</v>
      </c>
      <c r="I160" s="449">
        <f t="shared" si="3"/>
        <v>0</v>
      </c>
      <c r="J160" s="456">
        <f t="shared" si="4"/>
        <v>0</v>
      </c>
      <c r="K160" s="446">
        <f t="shared" si="5"/>
        <v>0</v>
      </c>
    </row>
    <row r="161" spans="1:11" hidden="1" x14ac:dyDescent="0.25">
      <c r="A161" s="453" t="s">
        <v>508</v>
      </c>
      <c r="B161" s="453"/>
      <c r="C161" s="448">
        <v>0</v>
      </c>
      <c r="D161" s="454">
        <v>0</v>
      </c>
      <c r="E161" s="454">
        <f t="array" ref="E161">SUM(IF('6. Class A Consumption Data'!H413:I413="B",'6. Class A Consumption Data'!H411:I411))</f>
        <v>0</v>
      </c>
      <c r="F161" s="454">
        <f t="array" ref="F161">SUM(IF('6. Class A Consumption Data'!J413:K413="B",'6. Class A Consumption Data'!J411:K411))</f>
        <v>0</v>
      </c>
      <c r="G161" s="454">
        <f t="array" ref="G161">SUM(IF('6. Class A Consumption Data'!L413:M413="B",'6. Class A Consumption Data'!L411:M411))</f>
        <v>0</v>
      </c>
      <c r="H161" s="454">
        <f t="array" ref="H161">SUM(IF('6. Class A Consumption Data'!N413:O413="B",'6. Class A Consumption Data'!N411:O411))</f>
        <v>0</v>
      </c>
      <c r="I161" s="449">
        <f t="shared" si="3"/>
        <v>0</v>
      </c>
      <c r="J161" s="456">
        <f t="shared" si="4"/>
        <v>0</v>
      </c>
      <c r="K161" s="446">
        <f t="shared" si="5"/>
        <v>0</v>
      </c>
    </row>
    <row r="162" spans="1:11" hidden="1" x14ac:dyDescent="0.25">
      <c r="A162" s="453" t="s">
        <v>509</v>
      </c>
      <c r="B162" s="453"/>
      <c r="C162" s="448">
        <v>0</v>
      </c>
      <c r="D162" s="454">
        <v>0</v>
      </c>
      <c r="E162" s="454">
        <f t="array" ref="E162">SUM(IF('6. Class A Consumption Data'!H416:I416="B",'6. Class A Consumption Data'!H414:I414))</f>
        <v>0</v>
      </c>
      <c r="F162" s="454">
        <f t="array" ref="F162">SUM(IF('6. Class A Consumption Data'!J416:K416="B",'6. Class A Consumption Data'!J414:K414))</f>
        <v>0</v>
      </c>
      <c r="G162" s="454">
        <f t="array" ref="G162">SUM(IF('6. Class A Consumption Data'!L416:M416="B",'6. Class A Consumption Data'!L414:M414))</f>
        <v>0</v>
      </c>
      <c r="H162" s="454">
        <f t="array" ref="H162">SUM(IF('6. Class A Consumption Data'!N416:O416="B",'6. Class A Consumption Data'!N414:O414))</f>
        <v>0</v>
      </c>
      <c r="I162" s="449">
        <f t="shared" si="3"/>
        <v>0</v>
      </c>
      <c r="J162" s="456">
        <f t="shared" si="4"/>
        <v>0</v>
      </c>
      <c r="K162" s="446">
        <f t="shared" si="5"/>
        <v>0</v>
      </c>
    </row>
    <row r="163" spans="1:11" hidden="1" x14ac:dyDescent="0.25">
      <c r="A163" s="453" t="s">
        <v>510</v>
      </c>
      <c r="B163" s="453"/>
      <c r="C163" s="448">
        <v>0</v>
      </c>
      <c r="D163" s="454">
        <v>0</v>
      </c>
      <c r="E163" s="454">
        <f t="array" ref="E163">SUM(IF('6. Class A Consumption Data'!H419:I419="B",'6. Class A Consumption Data'!H417:I417))</f>
        <v>0</v>
      </c>
      <c r="F163" s="454">
        <f t="array" ref="F163">SUM(IF('6. Class A Consumption Data'!J419:K419="B",'6. Class A Consumption Data'!J417:K417))</f>
        <v>0</v>
      </c>
      <c r="G163" s="454">
        <f t="array" ref="G163">SUM(IF('6. Class A Consumption Data'!L419:M419="B",'6. Class A Consumption Data'!L417:M417))</f>
        <v>0</v>
      </c>
      <c r="H163" s="454">
        <f t="array" ref="H163">SUM(IF('6. Class A Consumption Data'!N419:O419="B",'6. Class A Consumption Data'!N417:O417))</f>
        <v>0</v>
      </c>
      <c r="I163" s="449">
        <f t="shared" ref="I163:I183" si="6">IFERROR(+C163/$C$184,0)</f>
        <v>0</v>
      </c>
      <c r="J163" s="456">
        <f t="shared" si="4"/>
        <v>0</v>
      </c>
      <c r="K163" s="446">
        <f t="shared" si="5"/>
        <v>0</v>
      </c>
    </row>
    <row r="164" spans="1:11" hidden="1" x14ac:dyDescent="0.25">
      <c r="A164" s="453" t="s">
        <v>511</v>
      </c>
      <c r="B164" s="453"/>
      <c r="C164" s="448">
        <v>0</v>
      </c>
      <c r="D164" s="454">
        <v>0</v>
      </c>
      <c r="E164" s="454">
        <f t="array" ref="E164">SUM(IF('6. Class A Consumption Data'!H422:I422="B",'6. Class A Consumption Data'!H420:I420))</f>
        <v>0</v>
      </c>
      <c r="F164" s="454">
        <f t="array" ref="F164">SUM(IF('6. Class A Consumption Data'!J422:K422="B",'6. Class A Consumption Data'!J420:K420))</f>
        <v>0</v>
      </c>
      <c r="G164" s="454">
        <f t="array" ref="G164">SUM(IF('6. Class A Consumption Data'!L422:M422="B",'6. Class A Consumption Data'!L420:M420))</f>
        <v>0</v>
      </c>
      <c r="H164" s="454">
        <f t="array" ref="H164">SUM(IF('6. Class A Consumption Data'!N422:O422="B",'6. Class A Consumption Data'!N420:O420))</f>
        <v>0</v>
      </c>
      <c r="I164" s="449">
        <f t="shared" si="6"/>
        <v>0</v>
      </c>
      <c r="J164" s="456">
        <f t="shared" si="4"/>
        <v>0</v>
      </c>
      <c r="K164" s="446">
        <f t="shared" si="5"/>
        <v>0</v>
      </c>
    </row>
    <row r="165" spans="1:11" hidden="1" x14ac:dyDescent="0.25">
      <c r="A165" s="453" t="s">
        <v>512</v>
      </c>
      <c r="B165" s="453"/>
      <c r="C165" s="448">
        <v>0</v>
      </c>
      <c r="D165" s="454">
        <v>0</v>
      </c>
      <c r="E165" s="454">
        <f t="array" ref="E165">SUM(IF('6. Class A Consumption Data'!H425:I425="B",'6. Class A Consumption Data'!H423:I423))</f>
        <v>0</v>
      </c>
      <c r="F165" s="454">
        <f t="array" ref="F165">SUM(IF('6. Class A Consumption Data'!J425:K425="B",'6. Class A Consumption Data'!J423:K423))</f>
        <v>0</v>
      </c>
      <c r="G165" s="454">
        <f t="array" ref="G165">SUM(IF('6. Class A Consumption Data'!L425:M425="B",'6. Class A Consumption Data'!L423:M423))</f>
        <v>0</v>
      </c>
      <c r="H165" s="454">
        <f t="array" ref="H165">SUM(IF('6. Class A Consumption Data'!N425:O425="B",'6. Class A Consumption Data'!N423:O423))</f>
        <v>0</v>
      </c>
      <c r="I165" s="449">
        <f t="shared" si="6"/>
        <v>0</v>
      </c>
      <c r="J165" s="456">
        <f t="shared" si="4"/>
        <v>0</v>
      </c>
      <c r="K165" s="446">
        <f t="shared" si="5"/>
        <v>0</v>
      </c>
    </row>
    <row r="166" spans="1:11" hidden="1" x14ac:dyDescent="0.25">
      <c r="A166" s="453" t="s">
        <v>513</v>
      </c>
      <c r="B166" s="453"/>
      <c r="C166" s="448">
        <v>0</v>
      </c>
      <c r="D166" s="454">
        <v>0</v>
      </c>
      <c r="E166" s="454">
        <f t="array" ref="E166">SUM(IF('6. Class A Consumption Data'!H428:I428="B",'6. Class A Consumption Data'!H426:I426))</f>
        <v>0</v>
      </c>
      <c r="F166" s="454">
        <f t="array" ref="F166">SUM(IF('6. Class A Consumption Data'!J428:K428="B",'6. Class A Consumption Data'!J426:K426))</f>
        <v>0</v>
      </c>
      <c r="G166" s="454">
        <f t="array" ref="G166">SUM(IF('6. Class A Consumption Data'!L428:M428="B",'6. Class A Consumption Data'!L426:M426))</f>
        <v>0</v>
      </c>
      <c r="H166" s="454">
        <f t="array" ref="H166">SUM(IF('6. Class A Consumption Data'!N428:O428="B",'6. Class A Consumption Data'!N426:O426))</f>
        <v>0</v>
      </c>
      <c r="I166" s="449">
        <f t="shared" si="6"/>
        <v>0</v>
      </c>
      <c r="J166" s="456">
        <f t="shared" ref="J166:J183" si="7">+I166*$C$28</f>
        <v>0</v>
      </c>
      <c r="K166" s="446">
        <f t="shared" ref="K166:K183" si="8">+J166/12</f>
        <v>0</v>
      </c>
    </row>
    <row r="167" spans="1:11" hidden="1" x14ac:dyDescent="0.25">
      <c r="A167" s="453" t="s">
        <v>514</v>
      </c>
      <c r="B167" s="453"/>
      <c r="C167" s="448">
        <v>0</v>
      </c>
      <c r="D167" s="454">
        <v>0</v>
      </c>
      <c r="E167" s="454">
        <f t="array" ref="E167">SUM(IF('6. Class A Consumption Data'!H431:I431="B",'6. Class A Consumption Data'!H429:I429))</f>
        <v>0</v>
      </c>
      <c r="F167" s="454">
        <f t="array" ref="F167">SUM(IF('6. Class A Consumption Data'!J431:K431="B",'6. Class A Consumption Data'!J429:K429))</f>
        <v>0</v>
      </c>
      <c r="G167" s="454">
        <f t="array" ref="G167">SUM(IF('6. Class A Consumption Data'!L431:M431="B",'6. Class A Consumption Data'!L429:M429))</f>
        <v>0</v>
      </c>
      <c r="H167" s="454">
        <f t="array" ref="H167">SUM(IF('6. Class A Consumption Data'!N431:O431="B",'6. Class A Consumption Data'!N429:O429))</f>
        <v>0</v>
      </c>
      <c r="I167" s="449">
        <f t="shared" si="6"/>
        <v>0</v>
      </c>
      <c r="J167" s="456">
        <f t="shared" si="7"/>
        <v>0</v>
      </c>
      <c r="K167" s="446">
        <f t="shared" si="8"/>
        <v>0</v>
      </c>
    </row>
    <row r="168" spans="1:11" hidden="1" x14ac:dyDescent="0.25">
      <c r="A168" s="453" t="s">
        <v>515</v>
      </c>
      <c r="B168" s="453"/>
      <c r="C168" s="448">
        <v>0</v>
      </c>
      <c r="D168" s="454">
        <v>0</v>
      </c>
      <c r="E168" s="454">
        <f t="array" ref="E168">SUM(IF('6. Class A Consumption Data'!H434:I434="B",'6. Class A Consumption Data'!H432:I432))</f>
        <v>0</v>
      </c>
      <c r="F168" s="454">
        <f t="array" ref="F168">SUM(IF('6. Class A Consumption Data'!J434:K434="B",'6. Class A Consumption Data'!J432:K432))</f>
        <v>0</v>
      </c>
      <c r="G168" s="454">
        <f t="array" ref="G168">SUM(IF('6. Class A Consumption Data'!L434:M434="B",'6. Class A Consumption Data'!L432:M432))</f>
        <v>0</v>
      </c>
      <c r="H168" s="454">
        <f t="array" ref="H168">SUM(IF('6. Class A Consumption Data'!N434:O434="B",'6. Class A Consumption Data'!N432:O432))</f>
        <v>0</v>
      </c>
      <c r="I168" s="449">
        <f t="shared" si="6"/>
        <v>0</v>
      </c>
      <c r="J168" s="456">
        <f t="shared" si="7"/>
        <v>0</v>
      </c>
      <c r="K168" s="446">
        <f t="shared" si="8"/>
        <v>0</v>
      </c>
    </row>
    <row r="169" spans="1:11" hidden="1" x14ac:dyDescent="0.25">
      <c r="A169" s="453" t="s">
        <v>516</v>
      </c>
      <c r="B169" s="453"/>
      <c r="C169" s="448">
        <v>0</v>
      </c>
      <c r="D169" s="454">
        <v>0</v>
      </c>
      <c r="E169" s="454">
        <f t="array" ref="E169">SUM(IF('6. Class A Consumption Data'!H437:I437="B",'6. Class A Consumption Data'!H435:I435))</f>
        <v>0</v>
      </c>
      <c r="F169" s="454">
        <f t="array" ref="F169">SUM(IF('6. Class A Consumption Data'!J437:K437="B",'6. Class A Consumption Data'!J435:K435))</f>
        <v>0</v>
      </c>
      <c r="G169" s="454">
        <f t="array" ref="G169">SUM(IF('6. Class A Consumption Data'!L437:M437="B",'6. Class A Consumption Data'!L435:M435))</f>
        <v>0</v>
      </c>
      <c r="H169" s="454">
        <f t="array" ref="H169">SUM(IF('6. Class A Consumption Data'!N437:O437="B",'6. Class A Consumption Data'!N435:O435))</f>
        <v>0</v>
      </c>
      <c r="I169" s="449">
        <f t="shared" si="6"/>
        <v>0</v>
      </c>
      <c r="J169" s="456">
        <f t="shared" si="7"/>
        <v>0</v>
      </c>
      <c r="K169" s="446">
        <f t="shared" si="8"/>
        <v>0</v>
      </c>
    </row>
    <row r="170" spans="1:11" hidden="1" x14ac:dyDescent="0.25">
      <c r="A170" s="453" t="s">
        <v>517</v>
      </c>
      <c r="B170" s="453"/>
      <c r="C170" s="448">
        <v>0</v>
      </c>
      <c r="D170" s="454">
        <v>0</v>
      </c>
      <c r="E170" s="454">
        <f t="array" ref="E170">SUM(IF('6. Class A Consumption Data'!H440:I440="B",'6. Class A Consumption Data'!H438:I438))</f>
        <v>0</v>
      </c>
      <c r="F170" s="454">
        <f t="array" ref="F170">SUM(IF('6. Class A Consumption Data'!J440:K440="B",'6. Class A Consumption Data'!J438:K438))</f>
        <v>0</v>
      </c>
      <c r="G170" s="454">
        <f t="array" ref="G170">SUM(IF('6. Class A Consumption Data'!L440:M440="B",'6. Class A Consumption Data'!L438:M438))</f>
        <v>0</v>
      </c>
      <c r="H170" s="454">
        <f t="array" ref="H170">SUM(IF('6. Class A Consumption Data'!N440:O440="B",'6. Class A Consumption Data'!N438:O438))</f>
        <v>0</v>
      </c>
      <c r="I170" s="449">
        <f t="shared" si="6"/>
        <v>0</v>
      </c>
      <c r="J170" s="456">
        <f t="shared" si="7"/>
        <v>0</v>
      </c>
      <c r="K170" s="446">
        <f t="shared" si="8"/>
        <v>0</v>
      </c>
    </row>
    <row r="171" spans="1:11" hidden="1" x14ac:dyDescent="0.25">
      <c r="A171" s="453" t="s">
        <v>518</v>
      </c>
      <c r="B171" s="453"/>
      <c r="C171" s="448">
        <v>0</v>
      </c>
      <c r="D171" s="454">
        <v>0</v>
      </c>
      <c r="E171" s="454">
        <f t="array" ref="E171">SUM(IF('6. Class A Consumption Data'!H443:I443="B",'6. Class A Consumption Data'!H441:I441))</f>
        <v>0</v>
      </c>
      <c r="F171" s="454">
        <f t="array" ref="F171">SUM(IF('6. Class A Consumption Data'!J443:K443="B",'6. Class A Consumption Data'!J441:K441))</f>
        <v>0</v>
      </c>
      <c r="G171" s="454">
        <f t="array" ref="G171">SUM(IF('6. Class A Consumption Data'!L443:M443="B",'6. Class A Consumption Data'!L441:M441))</f>
        <v>0</v>
      </c>
      <c r="H171" s="454">
        <f t="array" ref="H171">SUM(IF('6. Class A Consumption Data'!N443:O443="B",'6. Class A Consumption Data'!N441:O441))</f>
        <v>0</v>
      </c>
      <c r="I171" s="449">
        <f t="shared" si="6"/>
        <v>0</v>
      </c>
      <c r="J171" s="456">
        <f t="shared" si="7"/>
        <v>0</v>
      </c>
      <c r="K171" s="446">
        <f t="shared" si="8"/>
        <v>0</v>
      </c>
    </row>
    <row r="172" spans="1:11" hidden="1" x14ac:dyDescent="0.25">
      <c r="A172" s="453" t="s">
        <v>519</v>
      </c>
      <c r="B172" s="453"/>
      <c r="C172" s="448">
        <v>0</v>
      </c>
      <c r="D172" s="454">
        <v>0</v>
      </c>
      <c r="E172" s="454">
        <f t="array" ref="E172">SUM(IF('6. Class A Consumption Data'!H446:I446="B",'6. Class A Consumption Data'!H444:I444))</f>
        <v>0</v>
      </c>
      <c r="F172" s="454">
        <f t="array" ref="F172">SUM(IF('6. Class A Consumption Data'!J446:K446="B",'6. Class A Consumption Data'!J444:K444))</f>
        <v>0</v>
      </c>
      <c r="G172" s="454">
        <f t="array" ref="G172">SUM(IF('6. Class A Consumption Data'!L446:M446="B",'6. Class A Consumption Data'!L444:M444))</f>
        <v>0</v>
      </c>
      <c r="H172" s="454">
        <f t="array" ref="H172">SUM(IF('6. Class A Consumption Data'!N446:O446="B",'6. Class A Consumption Data'!N444:O444))</f>
        <v>0</v>
      </c>
      <c r="I172" s="449">
        <f t="shared" si="6"/>
        <v>0</v>
      </c>
      <c r="J172" s="456">
        <f t="shared" si="7"/>
        <v>0</v>
      </c>
      <c r="K172" s="446">
        <f t="shared" si="8"/>
        <v>0</v>
      </c>
    </row>
    <row r="173" spans="1:11" hidden="1" x14ac:dyDescent="0.25">
      <c r="A173" s="453" t="s">
        <v>520</v>
      </c>
      <c r="B173" s="453"/>
      <c r="C173" s="448">
        <v>0</v>
      </c>
      <c r="D173" s="454">
        <v>0</v>
      </c>
      <c r="E173" s="454">
        <f t="array" ref="E173">SUM(IF('6. Class A Consumption Data'!H449:I449="B",'6. Class A Consumption Data'!H447:I447))</f>
        <v>0</v>
      </c>
      <c r="F173" s="454">
        <f t="array" ref="F173">SUM(IF('6. Class A Consumption Data'!J449:K449="B",'6. Class A Consumption Data'!J447:K447))</f>
        <v>0</v>
      </c>
      <c r="G173" s="454">
        <f t="array" ref="G173">SUM(IF('6. Class A Consumption Data'!L449:M449="B",'6. Class A Consumption Data'!L447:M447))</f>
        <v>0</v>
      </c>
      <c r="H173" s="454">
        <f t="array" ref="H173">SUM(IF('6. Class A Consumption Data'!N449:O449="B",'6. Class A Consumption Data'!N447:O447))</f>
        <v>0</v>
      </c>
      <c r="I173" s="449">
        <f t="shared" si="6"/>
        <v>0</v>
      </c>
      <c r="J173" s="456">
        <f t="shared" si="7"/>
        <v>0</v>
      </c>
      <c r="K173" s="446">
        <f t="shared" si="8"/>
        <v>0</v>
      </c>
    </row>
    <row r="174" spans="1:11" hidden="1" x14ac:dyDescent="0.25">
      <c r="A174" s="453" t="s">
        <v>521</v>
      </c>
      <c r="B174" s="453"/>
      <c r="C174" s="448">
        <v>0</v>
      </c>
      <c r="D174" s="454">
        <v>0</v>
      </c>
      <c r="E174" s="454">
        <f t="array" ref="E174">SUM(IF('6. Class A Consumption Data'!H452:I452="B",'6. Class A Consumption Data'!H450:I450))</f>
        <v>0</v>
      </c>
      <c r="F174" s="454">
        <f t="array" ref="F174">SUM(IF('6. Class A Consumption Data'!J452:K452="B",'6. Class A Consumption Data'!J450:K450))</f>
        <v>0</v>
      </c>
      <c r="G174" s="454">
        <f t="array" ref="G174">SUM(IF('6. Class A Consumption Data'!L452:M452="B",'6. Class A Consumption Data'!L450:M450))</f>
        <v>0</v>
      </c>
      <c r="H174" s="454">
        <f t="array" ref="H174">SUM(IF('6. Class A Consumption Data'!N452:O452="B",'6. Class A Consumption Data'!N450:O450))</f>
        <v>0</v>
      </c>
      <c r="I174" s="449">
        <f t="shared" si="6"/>
        <v>0</v>
      </c>
      <c r="J174" s="456">
        <f t="shared" si="7"/>
        <v>0</v>
      </c>
      <c r="K174" s="446">
        <f t="shared" si="8"/>
        <v>0</v>
      </c>
    </row>
    <row r="175" spans="1:11" hidden="1" x14ac:dyDescent="0.25">
      <c r="A175" s="453" t="s">
        <v>522</v>
      </c>
      <c r="B175" s="453"/>
      <c r="C175" s="448">
        <v>0</v>
      </c>
      <c r="D175" s="454">
        <v>0</v>
      </c>
      <c r="E175" s="454">
        <f t="array" ref="E175">SUM(IF('6. Class A Consumption Data'!H455:I455="B",'6. Class A Consumption Data'!H453:I453))</f>
        <v>0</v>
      </c>
      <c r="F175" s="454">
        <f t="array" ref="F175">SUM(IF('6. Class A Consumption Data'!J455:K455="B",'6. Class A Consumption Data'!J453:K453))</f>
        <v>0</v>
      </c>
      <c r="G175" s="454">
        <f t="array" ref="G175">SUM(IF('6. Class A Consumption Data'!L455:M455="B",'6. Class A Consumption Data'!L453:M453))</f>
        <v>0</v>
      </c>
      <c r="H175" s="454">
        <f t="array" ref="H175">SUM(IF('6. Class A Consumption Data'!N455:O455="B",'6. Class A Consumption Data'!N453:O453))</f>
        <v>0</v>
      </c>
      <c r="I175" s="449">
        <f t="shared" si="6"/>
        <v>0</v>
      </c>
      <c r="J175" s="456">
        <f t="shared" si="7"/>
        <v>0</v>
      </c>
      <c r="K175" s="446">
        <f t="shared" si="8"/>
        <v>0</v>
      </c>
    </row>
    <row r="176" spans="1:11" hidden="1" x14ac:dyDescent="0.25">
      <c r="A176" s="453" t="s">
        <v>523</v>
      </c>
      <c r="B176" s="453"/>
      <c r="C176" s="448">
        <v>0</v>
      </c>
      <c r="D176" s="454">
        <v>0</v>
      </c>
      <c r="E176" s="454">
        <f t="array" ref="E176">SUM(IF('6. Class A Consumption Data'!H458:I458="B",'6. Class A Consumption Data'!H456:I456))</f>
        <v>0</v>
      </c>
      <c r="F176" s="454">
        <f t="array" ref="F176">SUM(IF('6. Class A Consumption Data'!J458:K458="B",'6. Class A Consumption Data'!J456:K456))</f>
        <v>0</v>
      </c>
      <c r="G176" s="454">
        <f t="array" ref="G176">SUM(IF('6. Class A Consumption Data'!L458:M458="B",'6. Class A Consumption Data'!L456:M456))</f>
        <v>0</v>
      </c>
      <c r="H176" s="454">
        <f t="array" ref="H176">SUM(IF('6. Class A Consumption Data'!N458:O458="B",'6. Class A Consumption Data'!N456:O456))</f>
        <v>0</v>
      </c>
      <c r="I176" s="449">
        <f t="shared" si="6"/>
        <v>0</v>
      </c>
      <c r="J176" s="456">
        <f t="shared" si="7"/>
        <v>0</v>
      </c>
      <c r="K176" s="446">
        <f t="shared" si="8"/>
        <v>0</v>
      </c>
    </row>
    <row r="177" spans="1:11" hidden="1" x14ac:dyDescent="0.25">
      <c r="A177" s="453" t="s">
        <v>524</v>
      </c>
      <c r="B177" s="453"/>
      <c r="C177" s="448">
        <v>0</v>
      </c>
      <c r="D177" s="454">
        <v>0</v>
      </c>
      <c r="E177" s="454">
        <f t="array" ref="E177">SUM(IF('6. Class A Consumption Data'!H461:I461="B",'6. Class A Consumption Data'!H459:I459))</f>
        <v>0</v>
      </c>
      <c r="F177" s="454">
        <f t="array" ref="F177">SUM(IF('6. Class A Consumption Data'!J461:K461="B",'6. Class A Consumption Data'!J459:K459))</f>
        <v>0</v>
      </c>
      <c r="G177" s="454">
        <f t="array" ref="G177">SUM(IF('6. Class A Consumption Data'!L461:M461="B",'6. Class A Consumption Data'!L459:M459))</f>
        <v>0</v>
      </c>
      <c r="H177" s="454">
        <f t="array" ref="H177">SUM(IF('6. Class A Consumption Data'!N461:O461="B",'6. Class A Consumption Data'!N459:O459))</f>
        <v>0</v>
      </c>
      <c r="I177" s="449">
        <f t="shared" si="6"/>
        <v>0</v>
      </c>
      <c r="J177" s="456">
        <f t="shared" si="7"/>
        <v>0</v>
      </c>
      <c r="K177" s="446">
        <f t="shared" si="8"/>
        <v>0</v>
      </c>
    </row>
    <row r="178" spans="1:11" hidden="1" x14ac:dyDescent="0.25">
      <c r="A178" s="453" t="s">
        <v>525</v>
      </c>
      <c r="B178" s="453"/>
      <c r="C178" s="448">
        <v>0</v>
      </c>
      <c r="D178" s="454">
        <v>0</v>
      </c>
      <c r="E178" s="454">
        <f t="array" ref="E178">SUM(IF('6. Class A Consumption Data'!H464:I464="B",'6. Class A Consumption Data'!H462:I462))</f>
        <v>0</v>
      </c>
      <c r="F178" s="454">
        <f t="array" ref="F178">SUM(IF('6. Class A Consumption Data'!J464:K464="B",'6. Class A Consumption Data'!J462:K462))</f>
        <v>0</v>
      </c>
      <c r="G178" s="454">
        <f t="array" ref="G178">SUM(IF('6. Class A Consumption Data'!L464:M464="B",'6. Class A Consumption Data'!L462:M462))</f>
        <v>0</v>
      </c>
      <c r="H178" s="454">
        <f t="array" ref="H178">SUM(IF('6. Class A Consumption Data'!N464:O464="B",'6. Class A Consumption Data'!N462:O462))</f>
        <v>0</v>
      </c>
      <c r="I178" s="449">
        <f t="shared" si="6"/>
        <v>0</v>
      </c>
      <c r="J178" s="456">
        <f t="shared" si="7"/>
        <v>0</v>
      </c>
      <c r="K178" s="446">
        <f t="shared" si="8"/>
        <v>0</v>
      </c>
    </row>
    <row r="179" spans="1:11" hidden="1" x14ac:dyDescent="0.25">
      <c r="A179" s="453" t="s">
        <v>526</v>
      </c>
      <c r="B179" s="453"/>
      <c r="C179" s="448">
        <v>0</v>
      </c>
      <c r="D179" s="454">
        <v>0</v>
      </c>
      <c r="E179" s="454">
        <f t="array" ref="E179">SUM(IF('6. Class A Consumption Data'!H467:I467="B",'6. Class A Consumption Data'!H465:I465))</f>
        <v>0</v>
      </c>
      <c r="F179" s="454">
        <f t="array" ref="F179">SUM(IF('6. Class A Consumption Data'!J467:K467="B",'6. Class A Consumption Data'!J465:K465))</f>
        <v>0</v>
      </c>
      <c r="G179" s="454">
        <f t="array" ref="G179">SUM(IF('6. Class A Consumption Data'!L467:M467="B",'6. Class A Consumption Data'!L465:M465))</f>
        <v>0</v>
      </c>
      <c r="H179" s="454">
        <f t="array" ref="H179">SUM(IF('6. Class A Consumption Data'!N467:O467="B",'6. Class A Consumption Data'!N465:O465))</f>
        <v>0</v>
      </c>
      <c r="I179" s="449">
        <f t="shared" si="6"/>
        <v>0</v>
      </c>
      <c r="J179" s="456">
        <f t="shared" si="7"/>
        <v>0</v>
      </c>
      <c r="K179" s="446">
        <f t="shared" si="8"/>
        <v>0</v>
      </c>
    </row>
    <row r="180" spans="1:11" hidden="1" x14ac:dyDescent="0.25">
      <c r="A180" s="453" t="s">
        <v>527</v>
      </c>
      <c r="B180" s="453"/>
      <c r="C180" s="448">
        <v>0</v>
      </c>
      <c r="D180" s="454">
        <v>0</v>
      </c>
      <c r="E180" s="454">
        <f t="array" ref="E180">SUM(IF('6. Class A Consumption Data'!H470:I470="B",'6. Class A Consumption Data'!H468:I468))</f>
        <v>0</v>
      </c>
      <c r="F180" s="454">
        <f t="array" ref="F180">SUM(IF('6. Class A Consumption Data'!J470:K470="B",'6. Class A Consumption Data'!J468:K468))</f>
        <v>0</v>
      </c>
      <c r="G180" s="454">
        <f t="array" ref="G180">SUM(IF('6. Class A Consumption Data'!L470:M470="B",'6. Class A Consumption Data'!L468:M468))</f>
        <v>0</v>
      </c>
      <c r="H180" s="454">
        <f t="array" ref="H180">SUM(IF('6. Class A Consumption Data'!N470:O470="B",'6. Class A Consumption Data'!N468:O468))</f>
        <v>0</v>
      </c>
      <c r="I180" s="449">
        <f t="shared" si="6"/>
        <v>0</v>
      </c>
      <c r="J180" s="456">
        <f t="shared" si="7"/>
        <v>0</v>
      </c>
      <c r="K180" s="446">
        <f t="shared" si="8"/>
        <v>0</v>
      </c>
    </row>
    <row r="181" spans="1:11" hidden="1" x14ac:dyDescent="0.25">
      <c r="A181" s="453" t="s">
        <v>528</v>
      </c>
      <c r="B181" s="453"/>
      <c r="C181" s="448">
        <v>0</v>
      </c>
      <c r="D181" s="454">
        <v>0</v>
      </c>
      <c r="E181" s="454">
        <f t="array" ref="E181">SUM(IF('6. Class A Consumption Data'!H473:I473="B",'6. Class A Consumption Data'!H471:I471))</f>
        <v>0</v>
      </c>
      <c r="F181" s="454">
        <f t="array" ref="F181">SUM(IF('6. Class A Consumption Data'!J473:K473="B",'6. Class A Consumption Data'!J471:K471))</f>
        <v>0</v>
      </c>
      <c r="G181" s="454">
        <f t="array" ref="G181">SUM(IF('6. Class A Consumption Data'!L473:M473="B",'6. Class A Consumption Data'!L471:M471))</f>
        <v>0</v>
      </c>
      <c r="H181" s="454">
        <f t="array" ref="H181">SUM(IF('6. Class A Consumption Data'!N473:O473="B",'6. Class A Consumption Data'!N471:O471))</f>
        <v>0</v>
      </c>
      <c r="I181" s="449">
        <f t="shared" si="6"/>
        <v>0</v>
      </c>
      <c r="J181" s="456">
        <f t="shared" si="7"/>
        <v>0</v>
      </c>
      <c r="K181" s="446">
        <f t="shared" si="8"/>
        <v>0</v>
      </c>
    </row>
    <row r="182" spans="1:11" hidden="1" x14ac:dyDescent="0.25">
      <c r="A182" s="453" t="s">
        <v>529</v>
      </c>
      <c r="B182" s="453"/>
      <c r="C182" s="448">
        <v>0</v>
      </c>
      <c r="D182" s="454">
        <v>0</v>
      </c>
      <c r="E182" s="454">
        <f t="array" ref="E182">SUM(IF('6. Class A Consumption Data'!H476:I476="B",'6. Class A Consumption Data'!H474:I474))</f>
        <v>0</v>
      </c>
      <c r="F182" s="454">
        <f t="array" ref="F182">SUM(IF('6. Class A Consumption Data'!J476:K476="B",'6. Class A Consumption Data'!J474:K474))</f>
        <v>0</v>
      </c>
      <c r="G182" s="454">
        <f t="array" ref="G182">SUM(IF('6. Class A Consumption Data'!L476:M476="B",'6. Class A Consumption Data'!L474:M474))</f>
        <v>0</v>
      </c>
      <c r="H182" s="454">
        <f t="array" ref="H182">SUM(IF('6. Class A Consumption Data'!N476:O476="B",'6. Class A Consumption Data'!N474:O474))</f>
        <v>0</v>
      </c>
      <c r="I182" s="449">
        <f t="shared" si="6"/>
        <v>0</v>
      </c>
      <c r="J182" s="456">
        <f t="shared" si="7"/>
        <v>0</v>
      </c>
      <c r="K182" s="446">
        <f t="shared" si="8"/>
        <v>0</v>
      </c>
    </row>
    <row r="183" spans="1:11" hidden="1" x14ac:dyDescent="0.25">
      <c r="A183" s="447" t="s">
        <v>530</v>
      </c>
      <c r="B183" s="447"/>
      <c r="C183" s="448">
        <v>0</v>
      </c>
      <c r="D183" s="448">
        <v>0</v>
      </c>
      <c r="E183" s="448">
        <f t="array" ref="E183">SUM(IF('6. Class A Consumption Data'!H479:I479="B",'6. Class A Consumption Data'!H477:I477))</f>
        <v>0</v>
      </c>
      <c r="F183" s="448">
        <f t="array" ref="F183">SUM(IF('6. Class A Consumption Data'!J479:K479="B",'6. Class A Consumption Data'!J477:K477))</f>
        <v>0</v>
      </c>
      <c r="G183" s="448">
        <f t="array" ref="G183">SUM(IF('6. Class A Consumption Data'!L479:M479="B",'6. Class A Consumption Data'!L477:M477))</f>
        <v>0</v>
      </c>
      <c r="H183" s="448">
        <f t="array" ref="H183">SUM(IF('6. Class A Consumption Data'!N479:O479="B",'6. Class A Consumption Data'!N477:O477))</f>
        <v>0</v>
      </c>
      <c r="I183" s="451">
        <f t="shared" si="6"/>
        <v>0</v>
      </c>
      <c r="J183" s="450">
        <f t="shared" si="7"/>
        <v>0</v>
      </c>
      <c r="K183" s="446">
        <f t="shared" si="8"/>
        <v>0</v>
      </c>
    </row>
    <row r="184" spans="1:11" x14ac:dyDescent="0.25">
      <c r="A184" s="453" t="s">
        <v>688</v>
      </c>
      <c r="B184" s="453"/>
      <c r="C184" s="454">
        <f t="shared" ref="C184:J184" si="9">SUM(C34:C183)</f>
        <v>179035730.63828799</v>
      </c>
      <c r="D184" s="454">
        <f t="shared" si="9"/>
        <v>179035730.63828799</v>
      </c>
      <c r="E184" s="454">
        <f t="shared" si="9"/>
        <v>0</v>
      </c>
      <c r="F184" s="454">
        <f t="shared" si="9"/>
        <v>0</v>
      </c>
      <c r="G184" s="454">
        <f t="shared" si="9"/>
        <v>0</v>
      </c>
      <c r="H184" s="454">
        <f t="shared" si="9"/>
        <v>0</v>
      </c>
      <c r="I184" s="449">
        <f t="shared" si="9"/>
        <v>1</v>
      </c>
      <c r="J184" s="446">
        <f t="shared" si="9"/>
        <v>909186.44386963593</v>
      </c>
      <c r="K184" s="457"/>
    </row>
  </sheetData>
  <mergeCells count="5">
    <mergeCell ref="A25:C25"/>
    <mergeCell ref="A31:E31"/>
    <mergeCell ref="C16:I16"/>
    <mergeCell ref="A17:F17"/>
    <mergeCell ref="A14:J14"/>
  </mergeCells>
  <pageMargins left="0.196850393700787" right="0.196850393700787" top="0.39370078740157499" bottom="0.472441" header="0.196850393700787" footer="9.8425200000000004E-2"/>
  <pageSetup scale="70" orientation="landscape" r:id="rId1"/>
  <headerFooter>
    <oddHeader>&amp;R&amp;6&amp;K00-049Date: &amp;D
Time: &amp;T</oddHeader>
    <oddFooter>&amp;L&amp;6&amp;K00-049Path: &amp;Z
File: &amp;F
Tab: &amp;A&amp;R&amp;6&amp;K00-049Page &amp;P of &amp;N</oddFoot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pageSetUpPr fitToPage="1"/>
  </sheetPr>
  <dimension ref="A1:Z31"/>
  <sheetViews>
    <sheetView showGridLines="0" zoomScale="90" zoomScaleNormal="90" workbookViewId="0"/>
  </sheetViews>
  <sheetFormatPr defaultColWidth="9.28515625" defaultRowHeight="15" x14ac:dyDescent="0.25"/>
  <cols>
    <col min="1" max="1" width="62.140625" customWidth="1"/>
    <col min="2" max="2" width="13.7109375" customWidth="1"/>
    <col min="3" max="3" width="30.28515625" customWidth="1"/>
    <col min="4" max="4" width="20.7109375" hidden="1" customWidth="1"/>
    <col min="5" max="5" width="29.28515625" customWidth="1"/>
    <col min="6" max="6" width="18.5703125" hidden="1" customWidth="1"/>
    <col min="7" max="7" width="31.7109375" customWidth="1"/>
    <col min="8" max="8" width="18.5703125" hidden="1" customWidth="1"/>
    <col min="9" max="9" width="41.7109375" customWidth="1"/>
    <col min="10" max="10" width="24.7109375" hidden="1" customWidth="1"/>
    <col min="11" max="11" width="18.5703125" customWidth="1"/>
    <col min="12" max="12" width="18.7109375" bestFit="1" customWidth="1"/>
    <col min="13" max="13" width="18.28515625" customWidth="1"/>
    <col min="14" max="14" width="9.42578125" style="317" customWidth="1"/>
  </cols>
  <sheetData>
    <row r="1" spans="1:26" ht="21" customHeight="1" x14ac:dyDescent="0.25">
      <c r="A1" s="1056"/>
      <c r="B1" s="1056"/>
      <c r="C1" s="1056"/>
      <c r="D1" s="1056"/>
      <c r="E1" s="1056"/>
      <c r="F1" s="1056"/>
      <c r="G1" s="1056"/>
      <c r="H1" s="1056"/>
      <c r="I1" s="1056"/>
      <c r="J1" s="1056"/>
      <c r="K1" s="1056"/>
      <c r="L1" s="1056"/>
      <c r="M1" s="1056"/>
      <c r="N1" s="1126"/>
      <c r="O1" s="1056"/>
      <c r="P1" s="1056"/>
      <c r="Q1" s="1056"/>
      <c r="R1" s="1056"/>
      <c r="S1" s="1056"/>
      <c r="T1" s="1056"/>
      <c r="U1" s="1056"/>
      <c r="V1" s="1056"/>
      <c r="W1" s="1056"/>
      <c r="X1" s="1056"/>
      <c r="Y1" s="1056"/>
      <c r="Z1" s="1056"/>
    </row>
    <row r="2" spans="1:26" ht="10.5" customHeight="1" x14ac:dyDescent="0.25">
      <c r="A2" s="1056"/>
      <c r="B2" s="1042" t="b">
        <v>1</v>
      </c>
      <c r="C2" s="1056"/>
      <c r="D2" s="1056"/>
      <c r="E2" s="1056"/>
      <c r="F2" s="1056"/>
      <c r="G2" s="1056"/>
      <c r="H2" s="1056"/>
      <c r="I2" s="1056"/>
      <c r="J2" s="1056"/>
      <c r="K2" s="1056"/>
      <c r="L2" s="1056"/>
      <c r="M2" s="1056"/>
      <c r="N2" s="1126"/>
      <c r="O2" s="1056"/>
      <c r="P2" s="1056"/>
      <c r="Q2" s="1056"/>
      <c r="R2" s="1056"/>
      <c r="S2" s="1056"/>
      <c r="T2" s="1056"/>
      <c r="U2" s="1056"/>
      <c r="V2" s="1056"/>
      <c r="W2" s="1056"/>
      <c r="X2" s="1056"/>
      <c r="Y2" s="1056"/>
      <c r="Z2" s="1056"/>
    </row>
    <row r="3" spans="1:26" ht="10.5" customHeight="1" x14ac:dyDescent="0.25">
      <c r="A3" s="1056"/>
      <c r="B3" s="1056"/>
      <c r="C3" s="1056"/>
      <c r="D3" s="1056"/>
      <c r="E3" s="1056"/>
      <c r="F3" s="1056"/>
      <c r="G3" s="1056"/>
      <c r="H3" s="1056"/>
      <c r="I3" s="1056"/>
      <c r="J3" s="1056"/>
      <c r="K3" s="1056"/>
      <c r="L3" s="1056"/>
      <c r="M3" s="1056"/>
      <c r="N3" s="1126"/>
      <c r="O3" s="1056"/>
      <c r="P3" s="1056"/>
      <c r="Q3" s="1056"/>
      <c r="R3" s="1056"/>
      <c r="S3" s="1056"/>
      <c r="T3" s="1056"/>
      <c r="U3" s="1056"/>
      <c r="V3" s="1056"/>
      <c r="W3" s="1056"/>
      <c r="X3" s="1056"/>
      <c r="Y3" s="1056"/>
      <c r="Z3" s="1056"/>
    </row>
    <row r="4" spans="1:26" ht="10.5" customHeight="1" x14ac:dyDescent="0.25">
      <c r="A4" s="1056"/>
      <c r="B4" s="1056"/>
      <c r="C4" s="1056"/>
      <c r="D4" s="1056"/>
      <c r="E4" s="1056"/>
      <c r="F4" s="1056"/>
      <c r="G4" s="1056"/>
      <c r="H4" s="1056"/>
      <c r="I4" s="1056"/>
      <c r="J4" s="1056"/>
      <c r="K4" s="1056"/>
      <c r="L4" s="1056"/>
      <c r="M4" s="1056"/>
      <c r="N4" s="1126"/>
      <c r="O4" s="1056"/>
      <c r="P4" s="1056"/>
      <c r="Q4" s="1056"/>
      <c r="R4" s="1056"/>
      <c r="S4" s="1056"/>
      <c r="T4" s="1056"/>
      <c r="U4" s="1056"/>
      <c r="V4" s="1056"/>
      <c r="W4" s="1056"/>
      <c r="X4" s="1056"/>
      <c r="Y4" s="1056"/>
      <c r="Z4" s="1056"/>
    </row>
    <row r="5" spans="1:26" ht="10.5" customHeight="1" x14ac:dyDescent="0.25">
      <c r="A5" s="1056"/>
      <c r="B5" s="1056"/>
      <c r="C5" s="1056"/>
      <c r="D5" s="1056"/>
      <c r="E5" s="1056"/>
      <c r="F5" s="1056"/>
      <c r="G5" s="1056"/>
      <c r="H5" s="1056"/>
      <c r="I5" s="1056"/>
      <c r="J5" s="1056"/>
      <c r="K5" s="1056"/>
      <c r="L5" s="1056"/>
      <c r="M5" s="1056"/>
      <c r="N5" s="1126"/>
      <c r="O5" s="1056"/>
      <c r="P5" s="1056"/>
      <c r="Q5" s="1056"/>
      <c r="R5" s="1056"/>
      <c r="S5" s="1056"/>
      <c r="T5" s="1056"/>
      <c r="U5" s="1056"/>
      <c r="V5" s="1056"/>
      <c r="W5" s="1056"/>
      <c r="X5" s="1056"/>
      <c r="Y5" s="1056"/>
      <c r="Z5" s="1056"/>
    </row>
    <row r="6" spans="1:26" ht="10.5" customHeight="1" x14ac:dyDescent="0.25">
      <c r="A6" s="1056"/>
      <c r="B6" s="1056" t="s">
        <v>688</v>
      </c>
      <c r="C6" s="1056"/>
      <c r="D6" s="1056"/>
      <c r="E6" s="1056"/>
      <c r="F6" s="1056"/>
      <c r="G6" s="1056"/>
      <c r="H6" s="1056"/>
      <c r="I6" s="1056"/>
      <c r="J6" s="1056"/>
      <c r="K6" s="1056"/>
      <c r="L6" s="1056"/>
      <c r="M6" s="1056"/>
      <c r="N6" s="1126"/>
      <c r="O6" s="1056"/>
      <c r="P6" s="1056"/>
      <c r="Q6" s="1056"/>
      <c r="R6" s="1056"/>
      <c r="S6" s="1056"/>
      <c r="T6" s="1056"/>
      <c r="U6" s="1056"/>
      <c r="V6" s="1056"/>
      <c r="W6" s="1056"/>
      <c r="X6" s="1056"/>
      <c r="Y6" s="1056"/>
      <c r="Z6" s="1056"/>
    </row>
    <row r="7" spans="1:26" ht="10.5" customHeight="1" x14ac:dyDescent="0.25">
      <c r="A7" s="1056"/>
      <c r="B7" s="1056"/>
      <c r="C7" s="1056"/>
      <c r="D7" s="1056"/>
      <c r="E7" s="1056"/>
      <c r="F7" s="1056"/>
      <c r="G7" s="1056"/>
      <c r="H7" s="1056"/>
      <c r="I7" s="1056"/>
      <c r="J7" s="1056"/>
      <c r="K7" s="1056"/>
      <c r="L7" s="1056"/>
      <c r="M7" s="1056"/>
      <c r="N7" s="1126"/>
      <c r="O7" s="1056"/>
      <c r="P7" s="1056"/>
      <c r="Q7" s="1056"/>
      <c r="R7" s="1056"/>
      <c r="S7" s="1056"/>
      <c r="T7" s="1056"/>
      <c r="U7" s="1056"/>
      <c r="V7" s="1056"/>
      <c r="W7" s="1056"/>
      <c r="X7" s="1056"/>
      <c r="Y7" s="1056"/>
      <c r="Z7" s="1056"/>
    </row>
    <row r="8" spans="1:26" ht="10.5" customHeight="1" x14ac:dyDescent="0.25">
      <c r="A8" s="1056"/>
      <c r="B8" s="1056"/>
      <c r="C8" s="1056"/>
      <c r="D8" s="1056"/>
      <c r="E8" s="1056"/>
      <c r="F8" s="1056"/>
      <c r="G8" s="1056"/>
      <c r="H8" s="1056"/>
      <c r="I8" s="1056"/>
      <c r="J8" s="1056"/>
      <c r="K8" s="1056"/>
      <c r="L8" s="1056"/>
      <c r="M8" s="1056"/>
      <c r="N8" s="1126"/>
      <c r="O8" s="1056"/>
      <c r="P8" s="1056"/>
      <c r="Q8" s="1056"/>
      <c r="R8" s="1056"/>
      <c r="S8" s="1056"/>
      <c r="T8" s="1056"/>
      <c r="U8" s="1056"/>
      <c r="V8" s="1056"/>
      <c r="W8" s="1056"/>
      <c r="X8" s="1056"/>
      <c r="Y8" s="1056"/>
      <c r="Z8" s="1056"/>
    </row>
    <row r="9" spans="1:26" ht="10.5" customHeight="1" x14ac:dyDescent="0.25">
      <c r="A9" s="1056"/>
      <c r="B9" s="1056"/>
      <c r="C9" s="1056"/>
      <c r="D9" s="1056"/>
      <c r="E9" s="1056"/>
      <c r="F9" s="1056"/>
      <c r="G9" s="1056"/>
      <c r="H9" s="1056"/>
      <c r="I9" s="1056"/>
      <c r="J9" s="1056"/>
      <c r="K9" s="1056"/>
      <c r="L9" s="1056"/>
      <c r="M9" s="1056"/>
      <c r="N9" s="1126"/>
      <c r="O9" s="1056"/>
      <c r="P9" s="1056"/>
      <c r="Q9" s="1056"/>
      <c r="R9" s="1056"/>
      <c r="S9" s="1056"/>
      <c r="T9" s="1056"/>
      <c r="U9" s="1056"/>
      <c r="V9" s="1056"/>
      <c r="W9" s="1056"/>
      <c r="X9" s="1056"/>
      <c r="Y9" s="1056"/>
      <c r="Z9" s="1056"/>
    </row>
    <row r="10" spans="1:26" ht="9.75" customHeight="1" x14ac:dyDescent="0.25">
      <c r="A10" s="1056"/>
      <c r="B10" s="1056"/>
      <c r="C10" s="1056"/>
      <c r="D10" s="1056"/>
      <c r="E10" s="1056"/>
      <c r="F10" s="1056"/>
      <c r="G10" s="1056"/>
      <c r="H10" s="1056"/>
      <c r="I10" s="1056"/>
      <c r="J10" s="1056"/>
      <c r="K10" s="1056"/>
      <c r="L10" s="1056"/>
      <c r="M10" s="1056"/>
      <c r="N10" s="1126"/>
      <c r="O10" s="1056"/>
      <c r="P10" s="1056"/>
      <c r="Q10" s="1056"/>
      <c r="R10" s="1056"/>
      <c r="S10" s="1056"/>
      <c r="T10" s="1056"/>
      <c r="U10" s="1056"/>
      <c r="V10" s="1056"/>
      <c r="W10" s="1056"/>
      <c r="X10" s="1056"/>
      <c r="Y10" s="1056"/>
      <c r="Z10" s="1056"/>
    </row>
    <row r="11" spans="1:26" ht="63.75" customHeight="1" x14ac:dyDescent="0.25">
      <c r="A11" s="1056"/>
      <c r="B11" s="1056"/>
      <c r="C11" s="1056"/>
      <c r="D11" s="1056"/>
      <c r="E11" s="1056"/>
      <c r="F11" s="1056"/>
      <c r="G11" s="1056"/>
      <c r="H11" s="1056"/>
      <c r="I11" s="1056"/>
      <c r="J11" s="1056"/>
      <c r="K11" s="1056"/>
      <c r="L11" s="1056"/>
      <c r="M11" s="1056"/>
      <c r="N11" s="1126"/>
      <c r="O11" s="1056"/>
      <c r="P11" s="1056"/>
      <c r="Q11" s="1056"/>
      <c r="R11" s="1056"/>
      <c r="S11" s="1056"/>
      <c r="T11" s="1056"/>
      <c r="U11" s="1056"/>
      <c r="V11" s="1056"/>
      <c r="W11" s="1056"/>
      <c r="X11" s="1056"/>
      <c r="Y11" s="1056"/>
      <c r="Z11" s="1056"/>
    </row>
    <row r="12" spans="1:26" ht="107.25" customHeight="1" x14ac:dyDescent="0.25">
      <c r="A12" s="1855" t="s">
        <v>718</v>
      </c>
      <c r="B12" s="1856"/>
      <c r="C12" s="1856"/>
      <c r="D12" s="1856"/>
      <c r="E12" s="1856"/>
      <c r="F12" s="1856"/>
      <c r="G12" s="1856"/>
      <c r="H12" s="1127"/>
      <c r="I12" s="1857" t="s">
        <v>719</v>
      </c>
      <c r="J12" s="1858"/>
      <c r="K12" s="1128">
        <v>12</v>
      </c>
      <c r="L12" s="1129"/>
      <c r="M12" s="1056"/>
      <c r="N12" s="1126"/>
      <c r="O12" s="1056"/>
      <c r="P12" s="1056"/>
      <c r="Q12" s="1056"/>
      <c r="R12" s="1056"/>
      <c r="S12" s="1056"/>
      <c r="T12" s="1056"/>
      <c r="U12" s="1056"/>
      <c r="V12" s="1056"/>
      <c r="W12" s="1056"/>
      <c r="X12" s="1056"/>
      <c r="Y12" s="1056"/>
      <c r="Z12" s="1056"/>
    </row>
    <row r="13" spans="1:26" ht="45" customHeight="1" x14ac:dyDescent="0.25">
      <c r="A13" s="1130"/>
      <c r="B13" s="1130"/>
      <c r="C13" s="1130"/>
      <c r="D13" s="1130"/>
      <c r="E13" s="1130"/>
      <c r="F13" s="1130"/>
      <c r="G13" s="1130"/>
      <c r="H13" s="1130"/>
      <c r="I13" s="1859" t="s">
        <v>720</v>
      </c>
      <c r="J13" s="1859"/>
      <c r="K13" s="518">
        <v>12</v>
      </c>
      <c r="L13" s="1860" t="str">
        <f>IF(K13&gt;0, "Rate Rider Recovery to be used below", "If no rate rider recovery period is proposed then the default recovery period of 12 months will be used")</f>
        <v>Rate Rider Recovery to be used below</v>
      </c>
      <c r="M13" s="1861"/>
      <c r="N13" s="1126"/>
      <c r="O13" s="1056"/>
      <c r="P13" s="1056"/>
      <c r="Q13" s="1056"/>
      <c r="R13" s="1056"/>
      <c r="S13" s="1056"/>
      <c r="T13" s="1056"/>
      <c r="U13" s="1056"/>
      <c r="V13" s="1056"/>
      <c r="W13" s="1056"/>
      <c r="X13" s="1056"/>
      <c r="Y13" s="1056"/>
      <c r="Z13" s="1056"/>
    </row>
    <row r="14" spans="1:26" s="17" customFormat="1" ht="66" customHeight="1" x14ac:dyDescent="0.25">
      <c r="A14" s="1059"/>
      <c r="B14" s="1131"/>
      <c r="C14" s="1132" t="s">
        <v>6492</v>
      </c>
      <c r="D14" s="1132"/>
      <c r="E14" s="1132" t="s">
        <v>6489</v>
      </c>
      <c r="F14" s="1132"/>
      <c r="G14" s="1132" t="s">
        <v>6490</v>
      </c>
      <c r="H14" s="1132"/>
      <c r="I14" s="1132" t="s">
        <v>6491</v>
      </c>
      <c r="J14" s="1133"/>
      <c r="K14" s="1134" t="s">
        <v>721</v>
      </c>
      <c r="L14" s="1132" t="s">
        <v>722</v>
      </c>
      <c r="M14" s="1134" t="s">
        <v>723</v>
      </c>
      <c r="N14" s="1135"/>
      <c r="O14" s="1059"/>
      <c r="P14" s="1059"/>
      <c r="Q14" s="1059"/>
      <c r="R14" s="1059"/>
      <c r="S14" s="1059"/>
      <c r="T14" s="1059"/>
      <c r="U14" s="1059"/>
      <c r="V14" s="1059"/>
      <c r="W14" s="1059"/>
      <c r="X14" s="1059"/>
      <c r="Y14" s="1059"/>
      <c r="Z14" s="1059"/>
    </row>
    <row r="15" spans="1:26" s="317" customFormat="1" ht="15.75" customHeight="1" x14ac:dyDescent="0.25">
      <c r="A15" s="1126"/>
      <c r="B15" s="1126"/>
      <c r="C15" s="1136" t="s">
        <v>379</v>
      </c>
      <c r="D15" s="1136" t="s">
        <v>380</v>
      </c>
      <c r="E15" s="1136" t="s">
        <v>379</v>
      </c>
      <c r="F15" s="1136" t="s">
        <v>380</v>
      </c>
      <c r="G15" s="1136" t="s">
        <v>379</v>
      </c>
      <c r="H15" s="1136" t="s">
        <v>380</v>
      </c>
      <c r="I15" s="1136" t="s">
        <v>379</v>
      </c>
      <c r="J15" s="1136" t="s">
        <v>380</v>
      </c>
      <c r="K15" s="1126"/>
      <c r="L15" s="1126"/>
      <c r="M15" s="1126"/>
      <c r="N15" s="1126"/>
      <c r="O15" s="1126"/>
      <c r="P15" s="1126"/>
      <c r="Q15" s="1126"/>
      <c r="R15" s="1126"/>
      <c r="S15" s="1126"/>
      <c r="T15" s="1126"/>
      <c r="U15" s="1126"/>
      <c r="V15" s="1126"/>
      <c r="W15" s="1126"/>
      <c r="X15" s="1126"/>
      <c r="Y15" s="1126"/>
      <c r="Z15" s="1126"/>
    </row>
    <row r="16" spans="1:26" ht="15" customHeight="1" x14ac:dyDescent="0.25">
      <c r="A16" s="1056"/>
      <c r="B16" s="1056"/>
      <c r="C16" s="1056"/>
      <c r="D16" s="1056"/>
      <c r="E16" s="1056"/>
      <c r="F16" s="1056"/>
      <c r="G16" s="1056"/>
      <c r="H16" s="1056"/>
      <c r="I16" s="1056"/>
      <c r="J16" s="1056"/>
      <c r="K16" s="1056"/>
      <c r="L16" s="1056"/>
      <c r="M16" s="1056"/>
      <c r="N16" s="1126"/>
      <c r="O16" s="1056"/>
      <c r="P16" s="1056"/>
      <c r="Q16" s="1056"/>
      <c r="R16" s="1056"/>
      <c r="S16" s="1056"/>
      <c r="T16" s="1056"/>
      <c r="U16" s="1056"/>
      <c r="V16" s="1056"/>
      <c r="W16" s="1056"/>
      <c r="X16" s="1056"/>
      <c r="Y16" s="1056"/>
      <c r="Z16" s="1056"/>
    </row>
    <row r="17" spans="1:26" ht="15.75" customHeight="1" x14ac:dyDescent="0.25">
      <c r="A17" s="1077" t="s">
        <v>170</v>
      </c>
      <c r="B17" s="1137" t="s">
        <v>379</v>
      </c>
      <c r="C17" s="1215">
        <f>'4. Billing Det. for Def-Var'!E17</f>
        <v>37988433</v>
      </c>
      <c r="D17" s="1138">
        <v>0</v>
      </c>
      <c r="E17" s="1145">
        <f t="array" ref="E17">SUM(IF('6. Class A Consumption Data'!D492:D791=A17,'6. Class A Consumption Data'!F492:F791))</f>
        <v>0</v>
      </c>
      <c r="F17" s="1138"/>
      <c r="G17" s="1145">
        <f t="array" ref="G17">SUM(IF(('6. Class A Consumption Data'!D30:D479=A17)*('6. Class A Consumption Data'!B30:B479 &lt;&gt; "A"),'6. Class A Consumption Data'!F30:G479))</f>
        <v>0</v>
      </c>
      <c r="H17" s="1056"/>
      <c r="I17" s="1138">
        <f t="shared" ref="I17:I24" si="0">ROUND((C17-E17-G17),0)</f>
        <v>37988433</v>
      </c>
      <c r="J17" s="1138">
        <f t="shared" ref="J17:J24" si="1">(D17-F17-H17)</f>
        <v>0</v>
      </c>
      <c r="K17" s="1118">
        <f>(I17/I25)</f>
        <v>5.3877376301747614E-3</v>
      </c>
      <c r="L17" s="1290">
        <f>ROUND(('6.1a GA Allocation'!$C$29*K17),0)</f>
        <v>192914</v>
      </c>
      <c r="M17" s="1219">
        <f>ROUND(IF(ISERROR(L17/I17),0,IF(OR(ISBLANK(K13), OR(K13=0, K13="")), L17/I17/(K12/12), L17/I17/(K13/12))),5)</f>
        <v>5.0800000000000003E-3</v>
      </c>
      <c r="N17" s="1126" t="s">
        <v>379</v>
      </c>
      <c r="O17" s="1056"/>
      <c r="P17" s="1056"/>
      <c r="Q17" s="1056"/>
      <c r="R17" s="1056"/>
      <c r="S17" s="1056"/>
      <c r="T17" s="1056"/>
      <c r="U17" s="1056"/>
      <c r="V17" s="1056"/>
      <c r="W17" s="1056"/>
      <c r="X17" s="1056"/>
      <c r="Y17" s="1056"/>
      <c r="Z17" s="1056"/>
    </row>
    <row r="18" spans="1:26" s="1183" customFormat="1" ht="15.75" customHeight="1" x14ac:dyDescent="0.25">
      <c r="A18" s="1205" t="s">
        <v>6221</v>
      </c>
      <c r="B18" s="1214" t="s">
        <v>379</v>
      </c>
      <c r="C18" s="1215">
        <f>'4. Billing Det. for Def-Var'!E18</f>
        <v>146337</v>
      </c>
      <c r="D18" s="1215"/>
      <c r="E18" s="1216" cm="1">
        <f t="array" ref="E18">SUM(IF('6. Class A Consumption Data'!D492:D791=A18,'6. Class A Consumption Data'!F492:F791))</f>
        <v>0</v>
      </c>
      <c r="F18" s="1215"/>
      <c r="G18" s="1216">
        <f t="array" ref="G18">SUM(IF(('6. Class A Consumption Data'!D31:D480=A18)*('6. Class A Consumption Data'!B31:B480 &lt;&gt; "A"),'6. Class A Consumption Data'!F31:G480))</f>
        <v>0</v>
      </c>
      <c r="H18" s="1217"/>
      <c r="I18" s="1215">
        <f t="shared" si="0"/>
        <v>146337</v>
      </c>
      <c r="J18" s="1215"/>
      <c r="K18" s="1211">
        <f>(I18/I25)</f>
        <v>2.0754353347159225E-5</v>
      </c>
      <c r="L18" s="1218">
        <f>ROUND(('6.1a GA Allocation'!$C$29*K18),0)</f>
        <v>743</v>
      </c>
      <c r="M18" s="1219">
        <f>ROUND(IF(ISERROR(L18/I18),0,IF(OR(ISBLANK(K13), OR(K13=0, K13="")), L18/I18/(K12/12), L18/I18/(K13/12))),5)</f>
        <v>5.0800000000000003E-3</v>
      </c>
      <c r="N18" s="1220" t="s">
        <v>379</v>
      </c>
      <c r="O18" s="1056"/>
      <c r="P18" s="1056"/>
      <c r="Q18" s="1056"/>
      <c r="R18" s="1056"/>
      <c r="S18" s="1056"/>
      <c r="T18" s="1056"/>
      <c r="U18" s="1056"/>
      <c r="V18" s="1056"/>
      <c r="W18" s="1056"/>
      <c r="X18" s="1056"/>
      <c r="Y18" s="1056"/>
      <c r="Z18" s="1056"/>
    </row>
    <row r="19" spans="1:26" ht="15.75" customHeight="1" x14ac:dyDescent="0.25">
      <c r="A19" s="1077" t="s">
        <v>174</v>
      </c>
      <c r="B19" s="1137" t="s">
        <v>379</v>
      </c>
      <c r="C19" s="1215">
        <f>'4. Billing Det. for Def-Var'!E19</f>
        <v>293980332</v>
      </c>
      <c r="D19" s="1138">
        <v>0</v>
      </c>
      <c r="E19" s="1145">
        <f t="array" ref="E19">SUM(IF('6. Class A Consumption Data'!D492:D791=A19,'6. Class A Consumption Data'!F492:F791))</f>
        <v>291489.36387999996</v>
      </c>
      <c r="F19" s="1138"/>
      <c r="G19" s="1145">
        <f t="array" ref="G19">SUM(IF(('6. Class A Consumption Data'!D30:D479=A19)*('6. Class A Consumption Data'!B30:B479 &lt;&gt; "A"),'6. Class A Consumption Data'!F30:G479))</f>
        <v>2355996.0490899999</v>
      </c>
      <c r="H19" s="1056"/>
      <c r="I19" s="1138">
        <f t="shared" si="0"/>
        <v>291332847</v>
      </c>
      <c r="J19" s="1138">
        <f t="shared" si="1"/>
        <v>0</v>
      </c>
      <c r="K19" s="1118">
        <f>(I19/I25)</f>
        <v>4.1318496677339819E-2</v>
      </c>
      <c r="L19" s="1290">
        <f>ROUND(('6.1a GA Allocation'!$C$29*K19),0)</f>
        <v>1479458</v>
      </c>
      <c r="M19" s="1219">
        <f>ROUND(IF(ISERROR(L19/I19),0,IF(OR(ISBLANK(K13), OR(K13=0, K13="")), L19/I19/(K12/12), L19/I19/(K13/12))),5)</f>
        <v>5.0800000000000003E-3</v>
      </c>
      <c r="N19" s="1126" t="s">
        <v>379</v>
      </c>
      <c r="O19" s="1056"/>
      <c r="P19" s="1056"/>
      <c r="Q19" s="1056"/>
      <c r="R19" s="1056"/>
      <c r="S19" s="1056"/>
      <c r="T19" s="1056"/>
      <c r="U19" s="1056"/>
      <c r="V19" s="1056"/>
      <c r="W19" s="1056"/>
      <c r="X19" s="1056"/>
      <c r="Y19" s="1056"/>
      <c r="Z19" s="1056"/>
    </row>
    <row r="20" spans="1:26" ht="15.75" customHeight="1" x14ac:dyDescent="0.25">
      <c r="A20" s="1077" t="s">
        <v>990</v>
      </c>
      <c r="B20" s="1137" t="s">
        <v>379</v>
      </c>
      <c r="C20" s="1215">
        <f>'4. Billing Det. for Def-Var'!E20</f>
        <v>6665849356</v>
      </c>
      <c r="D20" s="1138">
        <v>14671481.130000001</v>
      </c>
      <c r="E20" s="1145">
        <f t="array" ref="E20">SUM(IF('6. Class A Consumption Data'!D492:D791=A20,'6. Class A Consumption Data'!F492:F791))</f>
        <v>560169348.86164284</v>
      </c>
      <c r="F20" s="1138"/>
      <c r="G20" s="1145">
        <f t="array" ref="G20">SUM(IF(('6. Class A Consumption Data'!D30:D479=A20)*('6. Class A Consumption Data'!B30:B479 &lt;&gt; "A"),'6. Class A Consumption Data'!F30:G479))</f>
        <v>117856285.232879</v>
      </c>
      <c r="H20" s="1056"/>
      <c r="I20" s="1138">
        <f t="shared" si="0"/>
        <v>5987823722</v>
      </c>
      <c r="J20" s="1138">
        <f t="shared" si="1"/>
        <v>14671481.130000001</v>
      </c>
      <c r="K20" s="1118">
        <f>(I20/I25)</f>
        <v>0.8492275317034661</v>
      </c>
      <c r="L20" s="1290">
        <f>ROUND(('6.1a GA Allocation'!$C$29*K20),0)</f>
        <v>30407607</v>
      </c>
      <c r="M20" s="1219">
        <f>ROUND(IF(ISERROR(L20/I20),0,IF(OR(ISBLANK(K13), OR(K13=0, K13="")), L20/I20/(K12/12), L20/I20/(K13/12))),5)</f>
        <v>5.0800000000000003E-3</v>
      </c>
      <c r="N20" s="1126" t="s">
        <v>379</v>
      </c>
      <c r="O20" s="1056"/>
      <c r="P20" s="1056"/>
      <c r="Q20" s="1056"/>
      <c r="R20" s="1056"/>
      <c r="S20" s="1056"/>
      <c r="T20" s="1056"/>
      <c r="U20" s="1056"/>
      <c r="V20" s="1056"/>
      <c r="W20" s="1056"/>
      <c r="X20" s="1056"/>
      <c r="Y20" s="1056"/>
      <c r="Z20" s="1056"/>
    </row>
    <row r="21" spans="1:26" ht="15.75" customHeight="1" x14ac:dyDescent="0.25">
      <c r="A21" s="1077" t="s">
        <v>1008</v>
      </c>
      <c r="B21" s="1137" t="s">
        <v>379</v>
      </c>
      <c r="C21" s="1215">
        <f>'4. Billing Det. for Def-Var'!E21</f>
        <v>4142813227</v>
      </c>
      <c r="D21" s="1138">
        <v>8372699.4199999999</v>
      </c>
      <c r="E21" s="1145">
        <f t="array" ref="E21">SUM(IF('6. Class A Consumption Data'!D492:D791=A21,'6. Class A Consumption Data'!F492:F791))</f>
        <v>3517088425.001327</v>
      </c>
      <c r="F21" s="1138"/>
      <c r="G21" s="1145">
        <f t="array" ref="G21">SUM(IF(('6. Class A Consumption Data'!D30:D479=A21)*('6. Class A Consumption Data'!B30:B479 &lt;&gt; "A"),'6. Class A Consumption Data'!F30:G479))</f>
        <v>203821786.39502603</v>
      </c>
      <c r="H21" s="1056"/>
      <c r="I21" s="1138">
        <f t="shared" si="0"/>
        <v>421903016</v>
      </c>
      <c r="J21" s="1138">
        <f t="shared" si="1"/>
        <v>8372699.4199999999</v>
      </c>
      <c r="K21" s="1118">
        <f>(I21/I25)</f>
        <v>5.9836707546937359E-2</v>
      </c>
      <c r="L21" s="1290">
        <f>ROUND(('6.1a GA Allocation'!$C$29*K21),0)</f>
        <v>2142525</v>
      </c>
      <c r="M21" s="1219">
        <f>ROUND(IF(ISERROR(L21/I21),0,IF(OR(ISBLANK(K13), OR(K13=0, K13="")), L21/I21/(K12/12), L21/I21/(K13/12))),5)</f>
        <v>5.0800000000000003E-3</v>
      </c>
      <c r="N21" s="1126" t="s">
        <v>379</v>
      </c>
      <c r="O21" s="1056"/>
      <c r="P21" s="1056"/>
      <c r="Q21" s="1056"/>
      <c r="R21" s="1056"/>
      <c r="S21" s="1056"/>
      <c r="T21" s="1056"/>
      <c r="U21" s="1056"/>
      <c r="V21" s="1056"/>
      <c r="W21" s="1056"/>
      <c r="X21" s="1056"/>
      <c r="Y21" s="1056"/>
      <c r="Z21" s="1056"/>
    </row>
    <row r="22" spans="1:26" ht="15.75" customHeight="1" x14ac:dyDescent="0.25">
      <c r="A22" s="1077" t="s">
        <v>189</v>
      </c>
      <c r="B22" s="1137" t="s">
        <v>379</v>
      </c>
      <c r="C22" s="1215">
        <f>'4. Billing Det. for Def-Var'!E22</f>
        <v>1909267288</v>
      </c>
      <c r="D22" s="1138">
        <v>3192767.6999999997</v>
      </c>
      <c r="E22" s="1145">
        <f t="array" ref="E22">SUM(IF('6. Class A Consumption Data'!D492:D791=A22,'6. Class A Consumption Data'!F492:F791))</f>
        <v>1564490670.3019371</v>
      </c>
      <c r="F22" s="1138"/>
      <c r="G22" s="1145">
        <f t="array" ref="G22">SUM(IF(('6. Class A Consumption Data'!D30:D479=A22)*('6. Class A Consumption Data'!B30:B479 &lt;&gt; "A"),'6. Class A Consumption Data'!F30:G479))</f>
        <v>147873388.42309797</v>
      </c>
      <c r="H22" s="1056"/>
      <c r="I22" s="1138">
        <f t="shared" si="0"/>
        <v>196903229</v>
      </c>
      <c r="J22" s="1138">
        <f t="shared" si="1"/>
        <v>3192767.6999999997</v>
      </c>
      <c r="K22" s="1118">
        <f>(I22/I25)</f>
        <v>2.7925946205420431E-2</v>
      </c>
      <c r="L22" s="1290">
        <f>ROUND(('6.1a GA Allocation'!$C$29*K22),0)</f>
        <v>999922</v>
      </c>
      <c r="M22" s="1219">
        <f>ROUND(IF(ISERROR(L22/I22),0,IF(OR(ISBLANK(K13), OR(K13=0, K13="")), L22/I22/(K12/12), L22/I22/(K13/12))),5)</f>
        <v>5.0800000000000003E-3</v>
      </c>
      <c r="N22" s="1126" t="s">
        <v>379</v>
      </c>
      <c r="O22" s="1056"/>
      <c r="P22" s="1056"/>
      <c r="Q22" s="1056"/>
      <c r="R22" s="1056"/>
      <c r="S22" s="1056"/>
      <c r="T22" s="1056"/>
      <c r="U22" s="1056"/>
      <c r="V22" s="1056"/>
      <c r="W22" s="1056"/>
      <c r="X22" s="1056"/>
      <c r="Y22" s="1056"/>
      <c r="Z22" s="1056"/>
    </row>
    <row r="23" spans="1:26" ht="15.75" customHeight="1" x14ac:dyDescent="0.25">
      <c r="A23" s="1077" t="s">
        <v>194</v>
      </c>
      <c r="B23" s="1137" t="s">
        <v>379</v>
      </c>
      <c r="C23" s="1215">
        <f>'4. Billing Det. for Def-Var'!E23</f>
        <v>49233</v>
      </c>
      <c r="D23" s="1138">
        <v>0</v>
      </c>
      <c r="E23" s="1145">
        <f t="array" ref="E23">SUM(IF('6. Class A Consumption Data'!D492:D791=A23,'6. Class A Consumption Data'!F492:F791))</f>
        <v>0</v>
      </c>
      <c r="F23" s="1138"/>
      <c r="G23" s="1145">
        <f t="array" ref="G23">SUM(IF(('6. Class A Consumption Data'!D30:D479=A23)*('6. Class A Consumption Data'!B30:B479 &lt;&gt; "A"),'6. Class A Consumption Data'!F30:G479))</f>
        <v>0</v>
      </c>
      <c r="H23" s="1056"/>
      <c r="I23" s="1138">
        <f t="shared" si="0"/>
        <v>49233</v>
      </c>
      <c r="J23" s="1138">
        <f t="shared" si="1"/>
        <v>0</v>
      </c>
      <c r="K23" s="1118">
        <f>(I23/I25)</f>
        <v>6.9825066684481038E-6</v>
      </c>
      <c r="L23" s="1290">
        <f>ROUND(('6.1a GA Allocation'!$C$29*K23),0)</f>
        <v>250</v>
      </c>
      <c r="M23" s="1219">
        <f>ROUND(IF(ISERROR(L23/I23),0,IF(OR(ISBLANK(K13), OR(K13=0, K13="")), L23/I23/(K12/12), L23/I23/(K13/12))),5)</f>
        <v>5.0800000000000003E-3</v>
      </c>
      <c r="N23" s="1126" t="s">
        <v>379</v>
      </c>
      <c r="O23" s="1056"/>
      <c r="P23" s="1056"/>
      <c r="Q23" s="1056"/>
      <c r="R23" s="1056"/>
      <c r="S23" s="1056"/>
      <c r="T23" s="1056"/>
      <c r="U23" s="1056"/>
      <c r="V23" s="1056"/>
      <c r="W23" s="1056"/>
      <c r="X23" s="1056"/>
      <c r="Y23" s="1056"/>
      <c r="Z23" s="1056"/>
    </row>
    <row r="24" spans="1:26" ht="15.75" customHeight="1" thickBot="1" x14ac:dyDescent="0.3">
      <c r="A24" s="1077" t="s">
        <v>202</v>
      </c>
      <c r="B24" s="1137" t="s">
        <v>379</v>
      </c>
      <c r="C24" s="1215">
        <f>'4. Billing Det. for Def-Var'!E24</f>
        <v>114759446</v>
      </c>
      <c r="D24" s="1138">
        <v>330988</v>
      </c>
      <c r="E24" s="1145">
        <f t="array" ref="E24">SUM(IF('6. Class A Consumption Data'!D492:D791=A24,'6. Class A Consumption Data'!F492:F791))</f>
        <v>0</v>
      </c>
      <c r="F24" s="1138"/>
      <c r="G24" s="1145">
        <f t="array" ref="G24">SUM(IF(('6. Class A Consumption Data'!D30:D479=A24)*('6. Class A Consumption Data'!B30:B479 &lt;&gt; "A"),'6. Class A Consumption Data'!F30:G479))</f>
        <v>0</v>
      </c>
      <c r="H24" s="1056"/>
      <c r="I24" s="1138">
        <f t="shared" si="0"/>
        <v>114759446</v>
      </c>
      <c r="J24" s="1138">
        <f t="shared" si="1"/>
        <v>330988</v>
      </c>
      <c r="K24" s="1118">
        <f>(I24/I25)</f>
        <v>1.6275843376645952E-2</v>
      </c>
      <c r="L24" s="1290">
        <f>ROUND(('6.1a GA Allocation'!$C$29*K24),0)</f>
        <v>582776</v>
      </c>
      <c r="M24" s="1219">
        <f>ROUND(IF(ISERROR(L24/I24),0,IF(OR(ISBLANK(K13), OR(K13=0, K13="")), L24/I24/(K12/12), L24/I24/(K13/12))),5)</f>
        <v>5.0800000000000003E-3</v>
      </c>
      <c r="N24" s="1126" t="s">
        <v>379</v>
      </c>
      <c r="O24" s="1056"/>
      <c r="P24" s="1056"/>
      <c r="Q24" s="1056"/>
      <c r="R24" s="1056"/>
      <c r="S24" s="1056"/>
      <c r="T24" s="1056"/>
      <c r="U24" s="1056"/>
      <c r="V24" s="1056"/>
      <c r="W24" s="1056"/>
      <c r="X24" s="1056"/>
      <c r="Y24" s="1056"/>
      <c r="Z24" s="1056"/>
    </row>
    <row r="25" spans="1:26" x14ac:dyDescent="0.25">
      <c r="A25" s="1056"/>
      <c r="B25" s="1139" t="s">
        <v>688</v>
      </c>
      <c r="C25" s="1289">
        <f>SUM(C17:C24)</f>
        <v>13164853652</v>
      </c>
      <c r="D25" s="1140">
        <v>26567936.25</v>
      </c>
      <c r="E25" s="1140">
        <f t="shared" ref="E25:L25" si="2">SUM(E17:E24)</f>
        <v>5642039933.5287876</v>
      </c>
      <c r="F25" s="1140">
        <f t="shared" si="2"/>
        <v>0</v>
      </c>
      <c r="G25" s="1140">
        <f t="shared" si="2"/>
        <v>471907456.10009301</v>
      </c>
      <c r="H25" s="1141">
        <f t="shared" si="2"/>
        <v>0</v>
      </c>
      <c r="I25" s="1140">
        <f t="shared" si="2"/>
        <v>7050906263</v>
      </c>
      <c r="J25" s="1140">
        <f t="shared" si="2"/>
        <v>26567936.25</v>
      </c>
      <c r="K25" s="1142">
        <f t="shared" si="2"/>
        <v>1</v>
      </c>
      <c r="L25" s="1143">
        <f t="shared" si="2"/>
        <v>35806195</v>
      </c>
      <c r="M25" s="1144"/>
      <c r="N25" s="1126"/>
      <c r="O25" s="1056"/>
      <c r="P25" s="1056"/>
      <c r="Q25" s="1056"/>
      <c r="R25" s="1056"/>
      <c r="S25" s="1056"/>
      <c r="T25" s="1056"/>
      <c r="U25" s="1056"/>
      <c r="V25" s="1056"/>
      <c r="W25" s="1056"/>
      <c r="X25" s="1056"/>
      <c r="Y25" s="1056"/>
      <c r="Z25" s="1056"/>
    </row>
    <row r="26" spans="1:26" x14ac:dyDescent="0.25">
      <c r="A26" s="1056"/>
      <c r="B26" s="1056"/>
      <c r="C26" s="1056"/>
      <c r="D26" s="1056"/>
      <c r="E26" s="1056"/>
      <c r="F26" s="1056"/>
      <c r="G26" s="1056"/>
      <c r="H26" s="1056"/>
      <c r="I26" s="1056"/>
      <c r="J26" s="1056"/>
      <c r="K26" s="1056"/>
      <c r="L26" s="1056"/>
      <c r="M26" s="1056"/>
      <c r="N26" s="1126"/>
      <c r="O26" s="1056"/>
      <c r="P26" s="1056"/>
      <c r="Q26" s="1056"/>
      <c r="R26" s="1056"/>
      <c r="S26" s="1056"/>
      <c r="T26" s="1056"/>
      <c r="U26" s="1056"/>
      <c r="V26" s="1056"/>
      <c r="W26" s="1056"/>
      <c r="X26" s="1056"/>
      <c r="Y26" s="1056"/>
      <c r="Z26" s="1056"/>
    </row>
    <row r="27" spans="1:26" x14ac:dyDescent="0.25">
      <c r="A27" s="1056"/>
      <c r="B27" s="1056"/>
      <c r="C27" s="1056"/>
      <c r="D27" s="1056"/>
      <c r="E27" s="1056"/>
      <c r="F27" s="1056"/>
      <c r="G27" s="1056"/>
      <c r="H27" s="1056"/>
      <c r="I27" s="1056"/>
      <c r="J27" s="1056"/>
      <c r="K27" s="1056"/>
      <c r="L27" s="1056"/>
      <c r="M27" s="1056"/>
      <c r="N27" s="1126"/>
      <c r="O27" s="1056"/>
      <c r="P27" s="1056"/>
      <c r="Q27" s="1056"/>
      <c r="R27" s="1056"/>
      <c r="S27" s="1056"/>
      <c r="T27" s="1056"/>
      <c r="U27" s="1056"/>
      <c r="V27" s="1056"/>
      <c r="W27" s="1056"/>
      <c r="X27" s="1056"/>
      <c r="Y27" s="1056"/>
      <c r="Z27" s="1056"/>
    </row>
    <row r="28" spans="1:26" x14ac:dyDescent="0.25">
      <c r="A28" s="1056"/>
      <c r="B28" s="1056"/>
      <c r="C28" s="1056"/>
      <c r="D28" s="1056"/>
      <c r="E28" s="1056"/>
      <c r="F28" s="1056"/>
      <c r="G28" s="1056"/>
      <c r="H28" s="1056"/>
      <c r="I28" s="1056"/>
      <c r="J28" s="1056"/>
      <c r="K28" s="1056"/>
      <c r="L28" s="1056"/>
      <c r="M28" s="1056"/>
      <c r="N28" s="1126"/>
      <c r="O28" s="1056"/>
      <c r="P28" s="1056"/>
      <c r="Q28" s="1056"/>
      <c r="R28" s="1056"/>
      <c r="S28" s="1056"/>
      <c r="T28" s="1056"/>
      <c r="U28" s="1056"/>
      <c r="V28" s="1056"/>
      <c r="W28" s="1056"/>
      <c r="X28" s="1056"/>
      <c r="Y28" s="1056"/>
      <c r="Z28" s="1056"/>
    </row>
    <row r="29" spans="1:26" x14ac:dyDescent="0.25">
      <c r="A29" s="1056"/>
      <c r="B29" s="1056"/>
      <c r="C29" s="1056"/>
      <c r="D29" s="1056"/>
      <c r="E29" s="1056"/>
      <c r="F29" s="1056"/>
      <c r="G29" s="1056"/>
      <c r="H29" s="1056"/>
      <c r="I29" s="1056"/>
      <c r="J29" s="1056"/>
      <c r="K29" s="1056"/>
      <c r="L29" s="1056"/>
      <c r="M29" s="1056"/>
      <c r="N29" s="1126"/>
      <c r="O29" s="1056"/>
      <c r="P29" s="1056"/>
      <c r="Q29" s="1056"/>
      <c r="R29" s="1056"/>
      <c r="S29" s="1056"/>
      <c r="T29" s="1056"/>
      <c r="U29" s="1056"/>
      <c r="V29" s="1056"/>
      <c r="W29" s="1056"/>
      <c r="X29" s="1056"/>
      <c r="Y29" s="1056"/>
      <c r="Z29" s="1056"/>
    </row>
    <row r="30" spans="1:26" x14ac:dyDescent="0.25">
      <c r="A30" s="1056"/>
      <c r="B30" s="1056"/>
      <c r="C30" s="1056"/>
      <c r="D30" s="1056"/>
      <c r="E30" s="1056"/>
      <c r="F30" s="1056"/>
      <c r="G30" s="1056"/>
      <c r="H30" s="1056"/>
      <c r="I30" s="1056"/>
      <c r="J30" s="1056"/>
      <c r="K30" s="1056"/>
      <c r="L30" s="1056"/>
      <c r="M30" s="1056"/>
      <c r="N30" s="1126"/>
      <c r="O30" s="1056"/>
      <c r="P30" s="1056"/>
      <c r="Q30" s="1056"/>
      <c r="R30" s="1056"/>
      <c r="S30" s="1056"/>
      <c r="T30" s="1056"/>
      <c r="U30" s="1056"/>
      <c r="V30" s="1056"/>
      <c r="W30" s="1056"/>
      <c r="X30" s="1056"/>
      <c r="Y30" s="1056"/>
      <c r="Z30" s="1056"/>
    </row>
    <row r="31" spans="1:26" x14ac:dyDescent="0.25">
      <c r="A31" s="1056"/>
      <c r="B31" s="1056"/>
      <c r="C31" s="1056"/>
      <c r="D31" s="1056"/>
      <c r="E31" s="1056"/>
      <c r="F31" s="1056"/>
      <c r="G31" s="1056"/>
      <c r="H31" s="1056"/>
      <c r="I31" s="1056"/>
      <c r="J31" s="1056"/>
      <c r="K31" s="1056"/>
      <c r="L31" s="1056"/>
      <c r="M31" s="1056"/>
      <c r="N31" s="1126"/>
      <c r="O31" s="1056"/>
      <c r="P31" s="1056"/>
      <c r="Q31" s="1056"/>
      <c r="R31" s="1056"/>
      <c r="S31" s="1056"/>
      <c r="T31" s="1056"/>
      <c r="U31" s="1056"/>
      <c r="V31" s="1056"/>
      <c r="W31" s="1056"/>
      <c r="X31" s="1056"/>
      <c r="Y31" s="1056"/>
      <c r="Z31" s="1056"/>
    </row>
  </sheetData>
  <mergeCells count="4">
    <mergeCell ref="A12:G12"/>
    <mergeCell ref="I12:J12"/>
    <mergeCell ref="I13:J13"/>
    <mergeCell ref="L13:M13"/>
  </mergeCells>
  <pageMargins left="0.196850393700787" right="0.196850393700787" top="0.39370078740157499" bottom="0.472441" header="0.196850393700787" footer="9.8425200000000004E-2"/>
  <pageSetup scale="49" orientation="landscape" r:id="rId1"/>
  <headerFooter>
    <oddHeader>&amp;R&amp;6&amp;K00-049Date: &amp;D
Time: &amp;T</oddHeader>
    <oddFooter>&amp;L&amp;6&amp;K00-049Path: &amp;Z
File: &amp;F
Tab: &amp;A&amp;R&amp;6&amp;K00-049Page &amp;P of &amp;N</oddFooter>
  </headerFooter>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4:U184"/>
  <sheetViews>
    <sheetView showGridLines="0" workbookViewId="0"/>
  </sheetViews>
  <sheetFormatPr defaultColWidth="9.28515625" defaultRowHeight="12.75" outlineLevelCol="1" x14ac:dyDescent="0.2"/>
  <cols>
    <col min="1" max="1" width="55.7109375" style="548" customWidth="1"/>
    <col min="2" max="2" width="22.7109375" style="548" customWidth="1"/>
    <col min="3" max="3" width="31" style="548" bestFit="1" customWidth="1"/>
    <col min="4" max="4" width="27.42578125" style="548" customWidth="1"/>
    <col min="5" max="6" width="28.5703125" style="548" hidden="1" customWidth="1"/>
    <col min="7" max="7" width="30.42578125" style="548" hidden="1" customWidth="1"/>
    <col min="8" max="8" width="27.7109375" style="548" hidden="1" customWidth="1"/>
    <col min="9" max="9" width="14.28515625" style="548" customWidth="1"/>
    <col min="10" max="10" width="25.28515625" style="548" customWidth="1"/>
    <col min="11" max="11" width="10.28515625" style="548" customWidth="1"/>
    <col min="12" max="12" width="10.28515625" style="548" hidden="1" customWidth="1" outlineLevel="1"/>
    <col min="13" max="20" width="9.28515625" style="548" hidden="1" customWidth="1" outlineLevel="1"/>
    <col min="21" max="21" width="9.28515625" style="548" collapsed="1"/>
    <col min="22" max="16384" width="9.28515625" style="548"/>
  </cols>
  <sheetData>
    <row r="14" spans="1:7" ht="99" customHeight="1" x14ac:dyDescent="0.2">
      <c r="A14" s="1475" t="s">
        <v>724</v>
      </c>
      <c r="B14" s="1475"/>
      <c r="C14" s="1475"/>
      <c r="D14" s="1865"/>
      <c r="E14" s="1865"/>
    </row>
    <row r="15" spans="1:7" x14ac:dyDescent="0.2">
      <c r="A15" s="549"/>
      <c r="B15" s="549"/>
      <c r="C15" s="549"/>
      <c r="E15" s="550"/>
    </row>
    <row r="16" spans="1:7" x14ac:dyDescent="0.2">
      <c r="A16" s="551" t="s">
        <v>725</v>
      </c>
      <c r="B16" s="552">
        <f>G1LDCBR</f>
        <v>2023</v>
      </c>
      <c r="C16" s="1866"/>
      <c r="D16" s="1867"/>
      <c r="E16" s="1867"/>
      <c r="F16" s="1867"/>
      <c r="G16" s="1867"/>
    </row>
    <row r="17" spans="1:8" ht="39" customHeight="1" x14ac:dyDescent="0.2">
      <c r="A17" s="1475" t="s">
        <v>726</v>
      </c>
      <c r="B17" s="1475"/>
      <c r="C17" s="1475"/>
      <c r="D17" s="1475"/>
      <c r="E17" s="1475"/>
      <c r="F17" s="1475"/>
    </row>
    <row r="18" spans="1:8" ht="34.5" customHeight="1" x14ac:dyDescent="0.25">
      <c r="B18" s="553"/>
      <c r="C18" s="554" t="s">
        <v>688</v>
      </c>
      <c r="D18" s="357">
        <v>2024</v>
      </c>
      <c r="E18" s="357">
        <f>D18-1</f>
        <v>2023</v>
      </c>
      <c r="F18" s="357">
        <f>E18-1</f>
        <v>2022</v>
      </c>
      <c r="G18" s="357">
        <f>F18-1</f>
        <v>2021</v>
      </c>
      <c r="H18" s="357">
        <f>G18-1</f>
        <v>2020</v>
      </c>
    </row>
    <row r="19" spans="1:8" ht="17.25" customHeight="1" x14ac:dyDescent="0.25">
      <c r="A19" s="506" t="s">
        <v>727</v>
      </c>
      <c r="B19" s="510" t="s">
        <v>690</v>
      </c>
      <c r="C19" s="1213">
        <f>SUM(D19:G19)</f>
        <v>23602178235</v>
      </c>
      <c r="D19" s="1213">
        <f>'4. Billing Det. for Def-Var'!I25</f>
        <v>23602178235</v>
      </c>
      <c r="E19" s="791"/>
      <c r="F19" s="791"/>
      <c r="G19" s="791"/>
      <c r="H19" s="791"/>
    </row>
    <row r="20" spans="1:8" s="555" customFormat="1" ht="15.75" customHeight="1" x14ac:dyDescent="0.25">
      <c r="A20" s="507" t="s">
        <v>691</v>
      </c>
      <c r="B20" s="510" t="s">
        <v>692</v>
      </c>
      <c r="C20" s="1213">
        <f>SUM(D20:G20)</f>
        <v>292871725.46180505</v>
      </c>
      <c r="D20" s="1221">
        <f>'6. Class A Consumption Data'!F30+'6. Class A Consumption Data'!G33+'6. Class A Consumption Data'!F36+'6. Class A Consumption Data'!G39+'6. Class A Consumption Data'!F42+'6. Class A Consumption Data'!G45+'6. Class A Consumption Data'!F48+'6. Class A Consumption Data'!G51</f>
        <v>292871725.46180505</v>
      </c>
      <c r="E20" s="792"/>
      <c r="F20" s="792">
        <v>0</v>
      </c>
      <c r="G20" s="792">
        <v>0</v>
      </c>
      <c r="H20" s="792">
        <v>0</v>
      </c>
    </row>
    <row r="21" spans="1:8" s="555" customFormat="1" ht="15" x14ac:dyDescent="0.25">
      <c r="A21" s="507" t="s">
        <v>693</v>
      </c>
      <c r="B21" s="510" t="s">
        <v>694</v>
      </c>
      <c r="C21" s="1213">
        <f>SUM(D21:G21)</f>
        <v>5642039933.5287876</v>
      </c>
      <c r="D21" s="792">
        <f t="array" ref="D21">SUM(IF('6. Class A Consumption Data'!E492:E791="kWh",'6. Class A Consumption Data'!F492:F791))</f>
        <v>5642039933.5287876</v>
      </c>
      <c r="E21" s="792">
        <f t="array" ref="E21">SUM(IF('6. Class A Consumption Data'!E492:E791="kWh",'6. Class A Consumption Data'!H492:H791))</f>
        <v>0</v>
      </c>
      <c r="F21" s="792">
        <f t="array" ref="F21">SUM(IF('6. Class A Consumption Data'!E492:E791="kWh",'6. Class A Consumption Data'!J492:J791))</f>
        <v>0</v>
      </c>
      <c r="G21" s="792">
        <f t="array" ref="G21">SUM(IF('6. Class A Consumption Data'!E492:E791="kWh",'6. Class A Consumption Data'!L492:L791))</f>
        <v>0</v>
      </c>
      <c r="H21" s="792">
        <f t="array" ref="H21">SUM(IF('6. Class A Consumption Data'!E492:E791="kWh",'6. Class A Consumption Data'!N492:N791))</f>
        <v>0</v>
      </c>
    </row>
    <row r="22" spans="1:8" s="555" customFormat="1" ht="26.25" x14ac:dyDescent="0.25">
      <c r="A22" s="508" t="s">
        <v>695</v>
      </c>
      <c r="B22" s="510" t="s">
        <v>696</v>
      </c>
      <c r="C22" s="1213">
        <f>SUM(D22:G22)</f>
        <v>17667266576.009407</v>
      </c>
      <c r="D22" s="793">
        <f>D19-D20-D21</f>
        <v>17667266576.009407</v>
      </c>
      <c r="E22" s="793">
        <f>E19-E20-E21</f>
        <v>0</v>
      </c>
      <c r="F22" s="793">
        <f>F19-F20-F21</f>
        <v>0</v>
      </c>
      <c r="G22" s="793">
        <f>G19-G20-G21</f>
        <v>0</v>
      </c>
      <c r="H22" s="793">
        <f>H19-H20-H21</f>
        <v>0</v>
      </c>
    </row>
    <row r="23" spans="1:8" ht="15" x14ac:dyDescent="0.25">
      <c r="A23" s="506" t="s">
        <v>697</v>
      </c>
      <c r="B23" s="510" t="s">
        <v>698</v>
      </c>
      <c r="C23" s="1213">
        <f>SUM(D23:G23)</f>
        <v>179035730.63828799</v>
      </c>
      <c r="D23" s="790">
        <f>D184</f>
        <v>179035730.63828799</v>
      </c>
      <c r="E23" s="790">
        <f>E184</f>
        <v>0</v>
      </c>
      <c r="F23" s="790">
        <f>F184</f>
        <v>0</v>
      </c>
      <c r="G23" s="790">
        <f>G184</f>
        <v>0</v>
      </c>
      <c r="H23" s="790">
        <f>H184</f>
        <v>0</v>
      </c>
    </row>
    <row r="24" spans="1:8" ht="15" x14ac:dyDescent="0.25">
      <c r="A24" s="509" t="s">
        <v>699</v>
      </c>
      <c r="B24" s="510" t="s">
        <v>700</v>
      </c>
      <c r="C24" s="591">
        <f>IFERROR(+C23/C22,0)</f>
        <v>1.0133753847434597E-2</v>
      </c>
      <c r="D24" s="591"/>
      <c r="E24" s="591"/>
      <c r="F24" s="591"/>
      <c r="G24" s="441"/>
      <c r="H24" s="441"/>
    </row>
    <row r="25" spans="1:8" x14ac:dyDescent="0.2">
      <c r="E25" s="556"/>
    </row>
    <row r="26" spans="1:8" ht="13.5" thickBot="1" x14ac:dyDescent="0.25">
      <c r="A26" s="1868" t="s">
        <v>728</v>
      </c>
      <c r="B26" s="1868"/>
      <c r="C26" s="1868"/>
      <c r="E26" s="556"/>
    </row>
    <row r="27" spans="1:8" s="20" customFormat="1" ht="13.5" thickBot="1" x14ac:dyDescent="0.25">
      <c r="A27" s="419" t="s">
        <v>729</v>
      </c>
      <c r="B27" s="419" t="s">
        <v>703</v>
      </c>
      <c r="C27" s="563">
        <f>'3. Continuity Schedule'!BT25</f>
        <v>8556556.0658853352</v>
      </c>
      <c r="D27" s="564"/>
    </row>
    <row r="28" spans="1:8" s="20" customFormat="1" ht="13.5" thickBot="1" x14ac:dyDescent="0.25">
      <c r="A28" s="331" t="s">
        <v>730</v>
      </c>
      <c r="B28" s="331" t="s">
        <v>705</v>
      </c>
      <c r="C28" s="565">
        <f>+C24*C27</f>
        <v>86710.03295345536</v>
      </c>
      <c r="D28" s="566"/>
    </row>
    <row r="29" spans="1:8" s="20" customFormat="1" ht="26.25" thickBot="1" x14ac:dyDescent="0.25">
      <c r="A29" s="331" t="s">
        <v>731</v>
      </c>
      <c r="B29" s="331" t="s">
        <v>707</v>
      </c>
      <c r="C29" s="563">
        <f>+C27-C28</f>
        <v>8469846.0329318792</v>
      </c>
    </row>
    <row r="30" spans="1:8" s="20" customFormat="1" x14ac:dyDescent="0.2"/>
    <row r="31" spans="1:8" s="20" customFormat="1" ht="14.65" customHeight="1" x14ac:dyDescent="0.2">
      <c r="A31" s="1869" t="s">
        <v>732</v>
      </c>
      <c r="B31" s="1869"/>
      <c r="C31" s="1475"/>
      <c r="D31" s="1475"/>
    </row>
    <row r="32" spans="1:8" s="20" customFormat="1" ht="14.65" customHeight="1" thickBot="1" x14ac:dyDescent="0.25">
      <c r="A32" s="333" t="s">
        <v>709</v>
      </c>
      <c r="B32" s="557"/>
      <c r="C32" s="558">
        <f>COUNTIF(C34:C183,"&lt;&gt;0")</f>
        <v>6</v>
      </c>
      <c r="D32" s="549"/>
    </row>
    <row r="33" spans="1:20" s="20" customFormat="1" ht="69" customHeight="1" thickBot="1" x14ac:dyDescent="0.25">
      <c r="A33" s="557" t="s">
        <v>733</v>
      </c>
      <c r="B33" s="418"/>
      <c r="C33" s="417" t="s">
        <v>734</v>
      </c>
      <c r="D33" s="417" t="s">
        <v>6509</v>
      </c>
      <c r="E33" s="417" t="s">
        <v>735</v>
      </c>
      <c r="F33" s="417" t="s">
        <v>736</v>
      </c>
      <c r="G33" s="417" t="s">
        <v>737</v>
      </c>
      <c r="H33" s="417" t="s">
        <v>738</v>
      </c>
      <c r="I33" s="567" t="s">
        <v>715</v>
      </c>
      <c r="J33" s="333" t="s">
        <v>739</v>
      </c>
      <c r="K33" s="333" t="s">
        <v>717</v>
      </c>
      <c r="L33" s="333" t="s">
        <v>740</v>
      </c>
      <c r="N33" s="1862" t="s">
        <v>741</v>
      </c>
      <c r="O33" s="1863"/>
      <c r="P33" s="1863"/>
      <c r="Q33" s="1863"/>
      <c r="R33" s="1863"/>
      <c r="S33" s="1863"/>
      <c r="T33" s="1864"/>
    </row>
    <row r="34" spans="1:20" s="20" customFormat="1" ht="14.65" customHeight="1" x14ac:dyDescent="0.2">
      <c r="A34" s="419" t="s">
        <v>378</v>
      </c>
      <c r="B34" s="419"/>
      <c r="C34" s="568">
        <f t="shared" ref="C34:C65" si="0">SUM(D34:G34)</f>
        <v>21677684.652330998</v>
      </c>
      <c r="D34" s="569">
        <v>21677684.652330998</v>
      </c>
      <c r="E34" s="569">
        <v>0</v>
      </c>
      <c r="F34" s="569">
        <v>0</v>
      </c>
      <c r="G34" s="569">
        <v>0</v>
      </c>
      <c r="H34" s="569">
        <f t="array" ref="H34">SUM(IF('6. Class A Consumption Data'!N32:O32="B",'6. Class A Consumption Data'!N30:O30))</f>
        <v>0</v>
      </c>
      <c r="I34" s="570">
        <f t="shared" ref="I34:I65" si="1">IFERROR(+C34/($C$184),0)</f>
        <v>0.12108021440774393</v>
      </c>
      <c r="J34" s="571">
        <f t="shared" ref="J34:J65" si="2">+I34*$C$28</f>
        <v>10498.869381306917</v>
      </c>
      <c r="K34" s="571">
        <f t="shared" ref="K34:K65" si="3">+J34/12</f>
        <v>874.90578177557643</v>
      </c>
      <c r="L34" s="1291">
        <v>0</v>
      </c>
    </row>
    <row r="35" spans="1:20" s="20" customFormat="1" ht="14.65" hidden="1" customHeight="1" x14ac:dyDescent="0.2">
      <c r="A35" s="419" t="s">
        <v>382</v>
      </c>
      <c r="B35" s="419"/>
      <c r="C35" s="568">
        <f t="shared" si="0"/>
        <v>0</v>
      </c>
      <c r="D35" s="569">
        <v>0</v>
      </c>
      <c r="E35" s="569">
        <v>0</v>
      </c>
      <c r="F35" s="569">
        <v>0</v>
      </c>
      <c r="G35" s="569">
        <v>0</v>
      </c>
      <c r="H35" s="569">
        <f t="array" ref="H35">SUM(IF('6. Class A Consumption Data'!N35:O35="B",'6. Class A Consumption Data'!N33:O33))</f>
        <v>0</v>
      </c>
      <c r="I35" s="570">
        <f t="shared" si="1"/>
        <v>0</v>
      </c>
      <c r="J35" s="571">
        <f t="shared" si="2"/>
        <v>0</v>
      </c>
      <c r="K35" s="571">
        <f t="shared" si="3"/>
        <v>0</v>
      </c>
      <c r="L35" s="1291">
        <f t="shared" ref="L35:L98" si="4">K35/12</f>
        <v>0</v>
      </c>
    </row>
    <row r="36" spans="1:20" s="20" customFormat="1" ht="14.65" customHeight="1" x14ac:dyDescent="0.2">
      <c r="A36" s="419" t="s">
        <v>383</v>
      </c>
      <c r="B36" s="419"/>
      <c r="C36" s="568">
        <f t="shared" si="0"/>
        <v>79853943.807463005</v>
      </c>
      <c r="D36" s="569">
        <v>79853943.807463005</v>
      </c>
      <c r="E36" s="569">
        <v>0</v>
      </c>
      <c r="F36" s="569">
        <v>0</v>
      </c>
      <c r="G36" s="569">
        <v>0</v>
      </c>
      <c r="H36" s="569">
        <f t="array" ref="H36">SUM(IF('6. Class A Consumption Data'!N38:O38="B",'6. Class A Consumption Data'!N36:O36))</f>
        <v>0</v>
      </c>
      <c r="I36" s="570">
        <f t="shared" si="1"/>
        <v>0.44602238627324431</v>
      </c>
      <c r="J36" s="571">
        <f t="shared" si="2"/>
        <v>38674.615811731812</v>
      </c>
      <c r="K36" s="571">
        <f t="shared" si="3"/>
        <v>3222.8846509776508</v>
      </c>
      <c r="L36" s="1291">
        <v>0</v>
      </c>
    </row>
    <row r="37" spans="1:20" s="20" customFormat="1" ht="14.65" customHeight="1" x14ac:dyDescent="0.2">
      <c r="A37" s="419" t="s">
        <v>384</v>
      </c>
      <c r="B37" s="419"/>
      <c r="C37" s="568">
        <f t="shared" si="0"/>
        <v>19805497.426302999</v>
      </c>
      <c r="D37" s="569">
        <v>19805497.426302999</v>
      </c>
      <c r="E37" s="569">
        <v>0</v>
      </c>
      <c r="F37" s="569">
        <v>0</v>
      </c>
      <c r="G37" s="569">
        <v>0</v>
      </c>
      <c r="H37" s="569">
        <f t="array" ref="H37">SUM(IF('6. Class A Consumption Data'!N41:O41="B",'6. Class A Consumption Data'!N39:O39))</f>
        <v>0</v>
      </c>
      <c r="I37" s="570">
        <f t="shared" si="1"/>
        <v>0.11062315525338751</v>
      </c>
      <c r="J37" s="571">
        <f t="shared" si="2"/>
        <v>9592.1374374364386</v>
      </c>
      <c r="K37" s="571">
        <f t="shared" si="3"/>
        <v>799.34478645303659</v>
      </c>
      <c r="L37" s="1291">
        <v>0</v>
      </c>
    </row>
    <row r="38" spans="1:20" s="20" customFormat="1" ht="14.65" customHeight="1" x14ac:dyDescent="0.2">
      <c r="A38" s="419" t="s">
        <v>385</v>
      </c>
      <c r="B38" s="419"/>
      <c r="C38" s="568">
        <f t="shared" si="0"/>
        <v>48939745.206956998</v>
      </c>
      <c r="D38" s="569">
        <v>48939745.206956998</v>
      </c>
      <c r="E38" s="569">
        <v>0</v>
      </c>
      <c r="F38" s="569">
        <v>0</v>
      </c>
      <c r="G38" s="569">
        <v>0</v>
      </c>
      <c r="H38" s="569">
        <f t="array" ref="H38">SUM(IF('6. Class A Consumption Data'!N44:O44="B",'6. Class A Consumption Data'!N42:O42))</f>
        <v>0</v>
      </c>
      <c r="I38" s="570">
        <f t="shared" si="1"/>
        <v>0.27335183336018909</v>
      </c>
      <c r="J38" s="571">
        <f t="shared" si="2"/>
        <v>23702.346478549433</v>
      </c>
      <c r="K38" s="571">
        <f t="shared" si="3"/>
        <v>1975.1955398791195</v>
      </c>
      <c r="L38" s="1291">
        <v>0</v>
      </c>
    </row>
    <row r="39" spans="1:20" s="20" customFormat="1" ht="14.65" customHeight="1" x14ac:dyDescent="0.2">
      <c r="A39" s="419" t="s">
        <v>386</v>
      </c>
      <c r="B39" s="419"/>
      <c r="C39" s="568">
        <f t="shared" si="0"/>
        <v>7590742.3434509989</v>
      </c>
      <c r="D39" s="569">
        <v>7590742.3434509989</v>
      </c>
      <c r="E39" s="569">
        <v>0</v>
      </c>
      <c r="F39" s="569">
        <v>0</v>
      </c>
      <c r="G39" s="569">
        <v>0</v>
      </c>
      <c r="H39" s="569">
        <f t="array" ref="H39">SUM(IF('6. Class A Consumption Data'!N47:O47="B",'6. Class A Consumption Data'!N45:O45))</f>
        <v>0</v>
      </c>
      <c r="I39" s="570">
        <f t="shared" si="1"/>
        <v>4.23979186522652E-2</v>
      </c>
      <c r="J39" s="571">
        <f t="shared" si="2"/>
        <v>3676.3249234958353</v>
      </c>
      <c r="K39" s="571">
        <f t="shared" si="3"/>
        <v>306.36041029131962</v>
      </c>
      <c r="L39" s="1291">
        <v>0</v>
      </c>
    </row>
    <row r="40" spans="1:20" s="20" customFormat="1" ht="14.65" customHeight="1" x14ac:dyDescent="0.2">
      <c r="A40" s="419" t="s">
        <v>387</v>
      </c>
      <c r="B40" s="419"/>
      <c r="C40" s="568">
        <f t="shared" si="0"/>
        <v>1168117.2017829998</v>
      </c>
      <c r="D40" s="569">
        <v>1168117.2017829998</v>
      </c>
      <c r="E40" s="569">
        <v>0</v>
      </c>
      <c r="F40" s="569">
        <v>0</v>
      </c>
      <c r="G40" s="569">
        <v>0</v>
      </c>
      <c r="H40" s="569">
        <f t="array" ref="H40">SUM(IF('6. Class A Consumption Data'!N50:O50="B",'6. Class A Consumption Data'!N48:O48))</f>
        <v>0</v>
      </c>
      <c r="I40" s="570">
        <f t="shared" si="1"/>
        <v>6.5244920531700281E-3</v>
      </c>
      <c r="J40" s="571">
        <f t="shared" si="2"/>
        <v>565.73892093493077</v>
      </c>
      <c r="K40" s="571">
        <f t="shared" si="3"/>
        <v>47.1449100779109</v>
      </c>
      <c r="L40" s="1291">
        <v>0</v>
      </c>
    </row>
    <row r="41" spans="1:20" s="20" customFormat="1" ht="14.65" hidden="1" customHeight="1" x14ac:dyDescent="0.2">
      <c r="A41" s="419" t="s">
        <v>388</v>
      </c>
      <c r="B41" s="419"/>
      <c r="C41" s="568">
        <f t="shared" si="0"/>
        <v>0</v>
      </c>
      <c r="D41" s="569">
        <v>0</v>
      </c>
      <c r="E41" s="569">
        <v>0</v>
      </c>
      <c r="F41" s="569">
        <v>0</v>
      </c>
      <c r="G41" s="569">
        <v>0</v>
      </c>
      <c r="H41" s="569">
        <f t="array" ref="H41">SUM(IF('6. Class A Consumption Data'!N53:O53="B",'6. Class A Consumption Data'!N51:O51))</f>
        <v>0</v>
      </c>
      <c r="I41" s="570">
        <f t="shared" si="1"/>
        <v>0</v>
      </c>
      <c r="J41" s="571">
        <f t="shared" si="2"/>
        <v>0</v>
      </c>
      <c r="K41" s="571">
        <f t="shared" si="3"/>
        <v>0</v>
      </c>
      <c r="L41" s="1291">
        <f t="shared" si="4"/>
        <v>0</v>
      </c>
    </row>
    <row r="42" spans="1:20" s="20" customFormat="1" ht="14.65" hidden="1" customHeight="1" x14ac:dyDescent="0.2">
      <c r="A42" s="419" t="s">
        <v>389</v>
      </c>
      <c r="B42" s="419"/>
      <c r="C42" s="568">
        <f t="shared" si="0"/>
        <v>0</v>
      </c>
      <c r="D42" s="569">
        <v>0</v>
      </c>
      <c r="E42" s="569">
        <v>0</v>
      </c>
      <c r="F42" s="569">
        <v>0</v>
      </c>
      <c r="G42" s="569">
        <v>0</v>
      </c>
      <c r="H42" s="569">
        <f t="array" ref="H42">SUM(IF('6. Class A Consumption Data'!N56:O56="B",'6. Class A Consumption Data'!N54:O54))</f>
        <v>0</v>
      </c>
      <c r="I42" s="570">
        <f t="shared" si="1"/>
        <v>0</v>
      </c>
      <c r="J42" s="571">
        <f t="shared" si="2"/>
        <v>0</v>
      </c>
      <c r="K42" s="571">
        <f t="shared" si="3"/>
        <v>0</v>
      </c>
      <c r="L42" s="1291">
        <f t="shared" si="4"/>
        <v>0</v>
      </c>
    </row>
    <row r="43" spans="1:20" s="20" customFormat="1" ht="14.65" hidden="1" customHeight="1" x14ac:dyDescent="0.2">
      <c r="A43" s="419" t="s">
        <v>390</v>
      </c>
      <c r="B43" s="419"/>
      <c r="C43" s="568">
        <f t="shared" si="0"/>
        <v>0</v>
      </c>
      <c r="D43" s="569">
        <v>0</v>
      </c>
      <c r="E43" s="569">
        <v>0</v>
      </c>
      <c r="F43" s="569">
        <v>0</v>
      </c>
      <c r="G43" s="569">
        <v>0</v>
      </c>
      <c r="H43" s="569">
        <f t="array" ref="H43">SUM(IF('6. Class A Consumption Data'!N59:O59="B",'6. Class A Consumption Data'!N57:O57))</f>
        <v>0</v>
      </c>
      <c r="I43" s="570">
        <f t="shared" si="1"/>
        <v>0</v>
      </c>
      <c r="J43" s="571">
        <f t="shared" si="2"/>
        <v>0</v>
      </c>
      <c r="K43" s="571">
        <f t="shared" si="3"/>
        <v>0</v>
      </c>
      <c r="L43" s="1291">
        <f t="shared" si="4"/>
        <v>0</v>
      </c>
    </row>
    <row r="44" spans="1:20" s="20" customFormat="1" ht="14.25" hidden="1" customHeight="1" x14ac:dyDescent="0.2">
      <c r="A44" s="419" t="s">
        <v>391</v>
      </c>
      <c r="B44" s="419"/>
      <c r="C44" s="568">
        <f t="shared" si="0"/>
        <v>0</v>
      </c>
      <c r="D44" s="569">
        <v>0</v>
      </c>
      <c r="E44" s="569">
        <v>0</v>
      </c>
      <c r="F44" s="569">
        <v>0</v>
      </c>
      <c r="G44" s="569">
        <v>0</v>
      </c>
      <c r="H44" s="569">
        <f t="array" ref="H44">SUM(IF('6. Class A Consumption Data'!N62:O62="B",'6. Class A Consumption Data'!N60:O60))</f>
        <v>0</v>
      </c>
      <c r="I44" s="570">
        <f t="shared" si="1"/>
        <v>0</v>
      </c>
      <c r="J44" s="571">
        <f t="shared" si="2"/>
        <v>0</v>
      </c>
      <c r="K44" s="571">
        <f t="shared" si="3"/>
        <v>0</v>
      </c>
      <c r="L44" s="1291">
        <f t="shared" si="4"/>
        <v>0</v>
      </c>
    </row>
    <row r="45" spans="1:20" s="20" customFormat="1" ht="14.65" hidden="1" customHeight="1" x14ac:dyDescent="0.2">
      <c r="A45" s="419" t="s">
        <v>392</v>
      </c>
      <c r="B45" s="419"/>
      <c r="C45" s="568">
        <f t="shared" si="0"/>
        <v>0</v>
      </c>
      <c r="D45" s="569">
        <v>0</v>
      </c>
      <c r="E45" s="569">
        <v>0</v>
      </c>
      <c r="F45" s="569">
        <v>0</v>
      </c>
      <c r="G45" s="569">
        <v>0</v>
      </c>
      <c r="H45" s="569">
        <f t="array" ref="H45">SUM(IF('6. Class A Consumption Data'!N65:O65="B",'6. Class A Consumption Data'!N63:O63))</f>
        <v>0</v>
      </c>
      <c r="I45" s="570">
        <f t="shared" si="1"/>
        <v>0</v>
      </c>
      <c r="J45" s="571">
        <f t="shared" si="2"/>
        <v>0</v>
      </c>
      <c r="K45" s="571">
        <f t="shared" si="3"/>
        <v>0</v>
      </c>
      <c r="L45" s="1291">
        <f t="shared" si="4"/>
        <v>0</v>
      </c>
    </row>
    <row r="46" spans="1:20" s="20" customFormat="1" hidden="1" x14ac:dyDescent="0.2">
      <c r="A46" s="419" t="s">
        <v>393</v>
      </c>
      <c r="B46" s="419"/>
      <c r="C46" s="568">
        <f t="shared" si="0"/>
        <v>0</v>
      </c>
      <c r="D46" s="569">
        <v>0</v>
      </c>
      <c r="E46" s="569">
        <v>0</v>
      </c>
      <c r="F46" s="569">
        <v>0</v>
      </c>
      <c r="G46" s="569">
        <v>0</v>
      </c>
      <c r="H46" s="569">
        <f t="array" ref="H46">SUM(IF('6. Class A Consumption Data'!N68:O68="B",'6. Class A Consumption Data'!N66:O66))</f>
        <v>0</v>
      </c>
      <c r="I46" s="570">
        <f t="shared" si="1"/>
        <v>0</v>
      </c>
      <c r="J46" s="571">
        <f t="shared" si="2"/>
        <v>0</v>
      </c>
      <c r="K46" s="571">
        <f t="shared" si="3"/>
        <v>0</v>
      </c>
      <c r="L46" s="1291">
        <f t="shared" si="4"/>
        <v>0</v>
      </c>
    </row>
    <row r="47" spans="1:20" s="20" customFormat="1" hidden="1" x14ac:dyDescent="0.2">
      <c r="A47" s="419" t="s">
        <v>394</v>
      </c>
      <c r="B47" s="419"/>
      <c r="C47" s="568">
        <f t="shared" si="0"/>
        <v>0</v>
      </c>
      <c r="D47" s="569">
        <v>0</v>
      </c>
      <c r="E47" s="569">
        <v>0</v>
      </c>
      <c r="F47" s="569">
        <v>0</v>
      </c>
      <c r="G47" s="569">
        <v>0</v>
      </c>
      <c r="H47" s="569">
        <f t="array" ref="H47">SUM(IF('6. Class A Consumption Data'!N71:O71="B",'6. Class A Consumption Data'!N69:O69))</f>
        <v>0</v>
      </c>
      <c r="I47" s="570">
        <f t="shared" si="1"/>
        <v>0</v>
      </c>
      <c r="J47" s="571">
        <f t="shared" si="2"/>
        <v>0</v>
      </c>
      <c r="K47" s="571">
        <f t="shared" si="3"/>
        <v>0</v>
      </c>
      <c r="L47" s="1291">
        <f t="shared" si="4"/>
        <v>0</v>
      </c>
    </row>
    <row r="48" spans="1:20" s="20" customFormat="1" hidden="1" x14ac:dyDescent="0.2">
      <c r="A48" s="419" t="s">
        <v>395</v>
      </c>
      <c r="B48" s="419"/>
      <c r="C48" s="568">
        <f t="shared" si="0"/>
        <v>0</v>
      </c>
      <c r="D48" s="569">
        <v>0</v>
      </c>
      <c r="E48" s="569">
        <v>0</v>
      </c>
      <c r="F48" s="569">
        <v>0</v>
      </c>
      <c r="G48" s="569">
        <v>0</v>
      </c>
      <c r="H48" s="569">
        <f t="array" ref="H48">SUM(IF('6. Class A Consumption Data'!N74:O74="B",'6. Class A Consumption Data'!N72:O72))</f>
        <v>0</v>
      </c>
      <c r="I48" s="570">
        <f t="shared" si="1"/>
        <v>0</v>
      </c>
      <c r="J48" s="571">
        <f t="shared" si="2"/>
        <v>0</v>
      </c>
      <c r="K48" s="571">
        <f t="shared" si="3"/>
        <v>0</v>
      </c>
      <c r="L48" s="1291">
        <f t="shared" si="4"/>
        <v>0</v>
      </c>
    </row>
    <row r="49" spans="1:12" s="20" customFormat="1" hidden="1" x14ac:dyDescent="0.2">
      <c r="A49" s="419" t="s">
        <v>396</v>
      </c>
      <c r="B49" s="419"/>
      <c r="C49" s="568">
        <f t="shared" si="0"/>
        <v>0</v>
      </c>
      <c r="D49" s="569">
        <v>0</v>
      </c>
      <c r="E49" s="569">
        <v>0</v>
      </c>
      <c r="F49" s="569">
        <v>0</v>
      </c>
      <c r="G49" s="569">
        <v>0</v>
      </c>
      <c r="H49" s="569">
        <f t="array" ref="H49">SUM(IF('6. Class A Consumption Data'!N77:O77="B",'6. Class A Consumption Data'!N75:O75))</f>
        <v>0</v>
      </c>
      <c r="I49" s="570">
        <f t="shared" si="1"/>
        <v>0</v>
      </c>
      <c r="J49" s="571">
        <f t="shared" si="2"/>
        <v>0</v>
      </c>
      <c r="K49" s="571">
        <f t="shared" si="3"/>
        <v>0</v>
      </c>
      <c r="L49" s="1291">
        <f t="shared" si="4"/>
        <v>0</v>
      </c>
    </row>
    <row r="50" spans="1:12" s="20" customFormat="1" hidden="1" x14ac:dyDescent="0.2">
      <c r="A50" s="419" t="s">
        <v>397</v>
      </c>
      <c r="B50" s="419"/>
      <c r="C50" s="568">
        <f t="shared" si="0"/>
        <v>0</v>
      </c>
      <c r="D50" s="569">
        <v>0</v>
      </c>
      <c r="E50" s="569">
        <v>0</v>
      </c>
      <c r="F50" s="569">
        <v>0</v>
      </c>
      <c r="G50" s="569">
        <v>0</v>
      </c>
      <c r="H50" s="569">
        <f t="array" ref="H50">SUM(IF('6. Class A Consumption Data'!N80:O80="B",'6. Class A Consumption Data'!N78:O78))</f>
        <v>0</v>
      </c>
      <c r="I50" s="570">
        <f t="shared" si="1"/>
        <v>0</v>
      </c>
      <c r="J50" s="571">
        <f t="shared" si="2"/>
        <v>0</v>
      </c>
      <c r="K50" s="571">
        <f t="shared" si="3"/>
        <v>0</v>
      </c>
      <c r="L50" s="1291">
        <f t="shared" si="4"/>
        <v>0</v>
      </c>
    </row>
    <row r="51" spans="1:12" s="20" customFormat="1" hidden="1" x14ac:dyDescent="0.2">
      <c r="A51" s="419" t="s">
        <v>398</v>
      </c>
      <c r="B51" s="419"/>
      <c r="C51" s="568">
        <f t="shared" si="0"/>
        <v>0</v>
      </c>
      <c r="D51" s="569">
        <v>0</v>
      </c>
      <c r="E51" s="569">
        <v>0</v>
      </c>
      <c r="F51" s="569">
        <v>0</v>
      </c>
      <c r="G51" s="569">
        <v>0</v>
      </c>
      <c r="H51" s="569">
        <f t="array" ref="H51">SUM(IF('6. Class A Consumption Data'!N83:O83="B",'6. Class A Consumption Data'!N81:O81))</f>
        <v>0</v>
      </c>
      <c r="I51" s="570">
        <f t="shared" si="1"/>
        <v>0</v>
      </c>
      <c r="J51" s="571">
        <f t="shared" si="2"/>
        <v>0</v>
      </c>
      <c r="K51" s="571">
        <f t="shared" si="3"/>
        <v>0</v>
      </c>
      <c r="L51" s="1291">
        <f t="shared" si="4"/>
        <v>0</v>
      </c>
    </row>
    <row r="52" spans="1:12" s="20" customFormat="1" hidden="1" x14ac:dyDescent="0.2">
      <c r="A52" s="419" t="s">
        <v>399</v>
      </c>
      <c r="B52" s="419"/>
      <c r="C52" s="568">
        <f t="shared" si="0"/>
        <v>0</v>
      </c>
      <c r="D52" s="569">
        <v>0</v>
      </c>
      <c r="E52" s="569">
        <v>0</v>
      </c>
      <c r="F52" s="569">
        <v>0</v>
      </c>
      <c r="G52" s="569">
        <v>0</v>
      </c>
      <c r="H52" s="569">
        <f t="array" ref="H52">SUM(IF('6. Class A Consumption Data'!N86:O86="B",'6. Class A Consumption Data'!N84:O84))</f>
        <v>0</v>
      </c>
      <c r="I52" s="570">
        <f t="shared" si="1"/>
        <v>0</v>
      </c>
      <c r="J52" s="571">
        <f t="shared" si="2"/>
        <v>0</v>
      </c>
      <c r="K52" s="571">
        <f t="shared" si="3"/>
        <v>0</v>
      </c>
      <c r="L52" s="1291">
        <f t="shared" si="4"/>
        <v>0</v>
      </c>
    </row>
    <row r="53" spans="1:12" s="20" customFormat="1" hidden="1" x14ac:dyDescent="0.2">
      <c r="A53" s="419" t="s">
        <v>400</v>
      </c>
      <c r="B53" s="419"/>
      <c r="C53" s="568">
        <f t="shared" si="0"/>
        <v>0</v>
      </c>
      <c r="D53" s="569">
        <v>0</v>
      </c>
      <c r="E53" s="569">
        <v>0</v>
      </c>
      <c r="F53" s="569">
        <v>0</v>
      </c>
      <c r="G53" s="569">
        <v>0</v>
      </c>
      <c r="H53" s="569">
        <f t="array" ref="H53">SUM(IF('6. Class A Consumption Data'!N89:O89="B",'6. Class A Consumption Data'!N87:O87))</f>
        <v>0</v>
      </c>
      <c r="I53" s="570">
        <f t="shared" si="1"/>
        <v>0</v>
      </c>
      <c r="J53" s="571">
        <f t="shared" si="2"/>
        <v>0</v>
      </c>
      <c r="K53" s="571">
        <f t="shared" si="3"/>
        <v>0</v>
      </c>
      <c r="L53" s="1291">
        <f t="shared" si="4"/>
        <v>0</v>
      </c>
    </row>
    <row r="54" spans="1:12" s="20" customFormat="1" hidden="1" x14ac:dyDescent="0.2">
      <c r="A54" s="419" t="s">
        <v>401</v>
      </c>
      <c r="B54" s="419"/>
      <c r="C54" s="568">
        <f t="shared" si="0"/>
        <v>0</v>
      </c>
      <c r="D54" s="569">
        <v>0</v>
      </c>
      <c r="E54" s="569">
        <v>0</v>
      </c>
      <c r="F54" s="569">
        <v>0</v>
      </c>
      <c r="G54" s="569">
        <v>0</v>
      </c>
      <c r="H54" s="569">
        <f t="array" ref="H54">SUM(IF('6. Class A Consumption Data'!N92:O92="B",'6. Class A Consumption Data'!N90:O90))</f>
        <v>0</v>
      </c>
      <c r="I54" s="570">
        <f t="shared" si="1"/>
        <v>0</v>
      </c>
      <c r="J54" s="571">
        <f t="shared" si="2"/>
        <v>0</v>
      </c>
      <c r="K54" s="571">
        <f t="shared" si="3"/>
        <v>0</v>
      </c>
      <c r="L54" s="1291">
        <f t="shared" si="4"/>
        <v>0</v>
      </c>
    </row>
    <row r="55" spans="1:12" s="20" customFormat="1" hidden="1" x14ac:dyDescent="0.2">
      <c r="A55" s="419" t="s">
        <v>402</v>
      </c>
      <c r="B55" s="419"/>
      <c r="C55" s="568">
        <f t="shared" si="0"/>
        <v>0</v>
      </c>
      <c r="D55" s="569">
        <v>0</v>
      </c>
      <c r="E55" s="569">
        <v>0</v>
      </c>
      <c r="F55" s="569">
        <v>0</v>
      </c>
      <c r="G55" s="569">
        <v>0</v>
      </c>
      <c r="H55" s="569">
        <f t="array" ref="H55">SUM(IF('6. Class A Consumption Data'!N95:O95="B",'6. Class A Consumption Data'!N93:O93))</f>
        <v>0</v>
      </c>
      <c r="I55" s="570">
        <f t="shared" si="1"/>
        <v>0</v>
      </c>
      <c r="J55" s="571">
        <f t="shared" si="2"/>
        <v>0</v>
      </c>
      <c r="K55" s="571">
        <f t="shared" si="3"/>
        <v>0</v>
      </c>
      <c r="L55" s="1291">
        <f t="shared" si="4"/>
        <v>0</v>
      </c>
    </row>
    <row r="56" spans="1:12" s="20" customFormat="1" hidden="1" x14ac:dyDescent="0.2">
      <c r="A56" s="419" t="s">
        <v>403</v>
      </c>
      <c r="B56" s="419"/>
      <c r="C56" s="568">
        <f t="shared" si="0"/>
        <v>0</v>
      </c>
      <c r="D56" s="569">
        <v>0</v>
      </c>
      <c r="E56" s="569">
        <v>0</v>
      </c>
      <c r="F56" s="569">
        <v>0</v>
      </c>
      <c r="G56" s="569">
        <v>0</v>
      </c>
      <c r="H56" s="569">
        <f t="array" ref="H56">SUM(IF('6. Class A Consumption Data'!N98:O98="B",'6. Class A Consumption Data'!N96:O96))</f>
        <v>0</v>
      </c>
      <c r="I56" s="570">
        <f t="shared" si="1"/>
        <v>0</v>
      </c>
      <c r="J56" s="571">
        <f t="shared" si="2"/>
        <v>0</v>
      </c>
      <c r="K56" s="571">
        <f t="shared" si="3"/>
        <v>0</v>
      </c>
      <c r="L56" s="1291">
        <f t="shared" si="4"/>
        <v>0</v>
      </c>
    </row>
    <row r="57" spans="1:12" s="20" customFormat="1" hidden="1" x14ac:dyDescent="0.2">
      <c r="A57" s="419" t="s">
        <v>404</v>
      </c>
      <c r="B57" s="419"/>
      <c r="C57" s="568">
        <f t="shared" si="0"/>
        <v>0</v>
      </c>
      <c r="D57" s="569">
        <v>0</v>
      </c>
      <c r="E57" s="569">
        <v>0</v>
      </c>
      <c r="F57" s="569">
        <v>0</v>
      </c>
      <c r="G57" s="569">
        <v>0</v>
      </c>
      <c r="H57" s="569">
        <f t="array" ref="H57">SUM(IF('6. Class A Consumption Data'!N101:O101="B",'6. Class A Consumption Data'!N99:O99))</f>
        <v>0</v>
      </c>
      <c r="I57" s="570">
        <f t="shared" si="1"/>
        <v>0</v>
      </c>
      <c r="J57" s="571">
        <f t="shared" si="2"/>
        <v>0</v>
      </c>
      <c r="K57" s="571">
        <f t="shared" si="3"/>
        <v>0</v>
      </c>
      <c r="L57" s="1291">
        <f t="shared" si="4"/>
        <v>0</v>
      </c>
    </row>
    <row r="58" spans="1:12" s="20" customFormat="1" hidden="1" x14ac:dyDescent="0.2">
      <c r="A58" s="419" t="s">
        <v>405</v>
      </c>
      <c r="B58" s="419"/>
      <c r="C58" s="568">
        <f t="shared" si="0"/>
        <v>0</v>
      </c>
      <c r="D58" s="569">
        <v>0</v>
      </c>
      <c r="E58" s="569">
        <v>0</v>
      </c>
      <c r="F58" s="569">
        <v>0</v>
      </c>
      <c r="G58" s="569">
        <v>0</v>
      </c>
      <c r="H58" s="569">
        <f t="array" ref="H58">SUM(IF('6. Class A Consumption Data'!N104:O104="B",'6. Class A Consumption Data'!N102:O102))</f>
        <v>0</v>
      </c>
      <c r="I58" s="570">
        <f t="shared" si="1"/>
        <v>0</v>
      </c>
      <c r="J58" s="571">
        <f t="shared" si="2"/>
        <v>0</v>
      </c>
      <c r="K58" s="571">
        <f t="shared" si="3"/>
        <v>0</v>
      </c>
      <c r="L58" s="1291">
        <f t="shared" si="4"/>
        <v>0</v>
      </c>
    </row>
    <row r="59" spans="1:12" s="20" customFormat="1" hidden="1" x14ac:dyDescent="0.2">
      <c r="A59" s="419" t="s">
        <v>406</v>
      </c>
      <c r="B59" s="419"/>
      <c r="C59" s="568">
        <f t="shared" si="0"/>
        <v>0</v>
      </c>
      <c r="D59" s="569">
        <v>0</v>
      </c>
      <c r="E59" s="569">
        <v>0</v>
      </c>
      <c r="F59" s="569">
        <v>0</v>
      </c>
      <c r="G59" s="569">
        <v>0</v>
      </c>
      <c r="H59" s="569">
        <f t="array" ref="H59">SUM(IF('6. Class A Consumption Data'!N107:O107="B",'6. Class A Consumption Data'!N105:O105))</f>
        <v>0</v>
      </c>
      <c r="I59" s="570">
        <f t="shared" si="1"/>
        <v>0</v>
      </c>
      <c r="J59" s="571">
        <f t="shared" si="2"/>
        <v>0</v>
      </c>
      <c r="K59" s="571">
        <f t="shared" si="3"/>
        <v>0</v>
      </c>
      <c r="L59" s="1291">
        <f t="shared" si="4"/>
        <v>0</v>
      </c>
    </row>
    <row r="60" spans="1:12" s="20" customFormat="1" hidden="1" x14ac:dyDescent="0.2">
      <c r="A60" s="419" t="s">
        <v>407</v>
      </c>
      <c r="B60" s="419"/>
      <c r="C60" s="568">
        <f t="shared" si="0"/>
        <v>0</v>
      </c>
      <c r="D60" s="569">
        <v>0</v>
      </c>
      <c r="E60" s="569">
        <v>0</v>
      </c>
      <c r="F60" s="569">
        <v>0</v>
      </c>
      <c r="G60" s="569">
        <v>0</v>
      </c>
      <c r="H60" s="569">
        <f t="array" ref="H60">SUM(IF('6. Class A Consumption Data'!N110:O110="B",'6. Class A Consumption Data'!N108:O108))</f>
        <v>0</v>
      </c>
      <c r="I60" s="570">
        <f t="shared" si="1"/>
        <v>0</v>
      </c>
      <c r="J60" s="571">
        <f t="shared" si="2"/>
        <v>0</v>
      </c>
      <c r="K60" s="571">
        <f t="shared" si="3"/>
        <v>0</v>
      </c>
      <c r="L60" s="1291">
        <f t="shared" si="4"/>
        <v>0</v>
      </c>
    </row>
    <row r="61" spans="1:12" s="20" customFormat="1" hidden="1" x14ac:dyDescent="0.2">
      <c r="A61" s="419" t="s">
        <v>408</v>
      </c>
      <c r="B61" s="419"/>
      <c r="C61" s="568">
        <f t="shared" si="0"/>
        <v>0</v>
      </c>
      <c r="D61" s="569">
        <v>0</v>
      </c>
      <c r="E61" s="569">
        <v>0</v>
      </c>
      <c r="F61" s="569">
        <v>0</v>
      </c>
      <c r="G61" s="569">
        <v>0</v>
      </c>
      <c r="H61" s="569">
        <f t="array" ref="H61">SUM(IF('6. Class A Consumption Data'!N113:O113="B",'6. Class A Consumption Data'!N111:O111))</f>
        <v>0</v>
      </c>
      <c r="I61" s="570">
        <f t="shared" si="1"/>
        <v>0</v>
      </c>
      <c r="J61" s="571">
        <f t="shared" si="2"/>
        <v>0</v>
      </c>
      <c r="K61" s="571">
        <f t="shared" si="3"/>
        <v>0</v>
      </c>
      <c r="L61" s="1291">
        <f t="shared" si="4"/>
        <v>0</v>
      </c>
    </row>
    <row r="62" spans="1:12" s="20" customFormat="1" hidden="1" x14ac:dyDescent="0.2">
      <c r="A62" s="419" t="s">
        <v>409</v>
      </c>
      <c r="B62" s="419"/>
      <c r="C62" s="568">
        <f t="shared" si="0"/>
        <v>0</v>
      </c>
      <c r="D62" s="569">
        <v>0</v>
      </c>
      <c r="E62" s="569">
        <v>0</v>
      </c>
      <c r="F62" s="569">
        <v>0</v>
      </c>
      <c r="G62" s="569">
        <v>0</v>
      </c>
      <c r="H62" s="569">
        <f t="array" ref="H62">SUM(IF('6. Class A Consumption Data'!N116:O116="B",'6. Class A Consumption Data'!N114:O114))</f>
        <v>0</v>
      </c>
      <c r="I62" s="570">
        <f t="shared" si="1"/>
        <v>0</v>
      </c>
      <c r="J62" s="571">
        <f t="shared" si="2"/>
        <v>0</v>
      </c>
      <c r="K62" s="571">
        <f t="shared" si="3"/>
        <v>0</v>
      </c>
      <c r="L62" s="1291">
        <f t="shared" si="4"/>
        <v>0</v>
      </c>
    </row>
    <row r="63" spans="1:12" s="20" customFormat="1" hidden="1" x14ac:dyDescent="0.2">
      <c r="A63" s="419" t="s">
        <v>410</v>
      </c>
      <c r="B63" s="419"/>
      <c r="C63" s="568">
        <f t="shared" si="0"/>
        <v>0</v>
      </c>
      <c r="D63" s="569">
        <v>0</v>
      </c>
      <c r="E63" s="569">
        <v>0</v>
      </c>
      <c r="F63" s="569">
        <v>0</v>
      </c>
      <c r="G63" s="569">
        <v>0</v>
      </c>
      <c r="H63" s="569">
        <f t="array" ref="H63">SUM(IF('6. Class A Consumption Data'!N119:O119="B",'6. Class A Consumption Data'!N117:O117))</f>
        <v>0</v>
      </c>
      <c r="I63" s="570">
        <f t="shared" si="1"/>
        <v>0</v>
      </c>
      <c r="J63" s="571">
        <f t="shared" si="2"/>
        <v>0</v>
      </c>
      <c r="K63" s="571">
        <f t="shared" si="3"/>
        <v>0</v>
      </c>
      <c r="L63" s="1291">
        <f t="shared" si="4"/>
        <v>0</v>
      </c>
    </row>
    <row r="64" spans="1:12" s="20" customFormat="1" hidden="1" x14ac:dyDescent="0.2">
      <c r="A64" s="419" t="s">
        <v>411</v>
      </c>
      <c r="B64" s="419"/>
      <c r="C64" s="568">
        <f t="shared" si="0"/>
        <v>0</v>
      </c>
      <c r="D64" s="569">
        <v>0</v>
      </c>
      <c r="E64" s="569">
        <v>0</v>
      </c>
      <c r="F64" s="569">
        <v>0</v>
      </c>
      <c r="G64" s="569">
        <v>0</v>
      </c>
      <c r="H64" s="569">
        <f t="array" ref="H64">SUM(IF('6. Class A Consumption Data'!N122:O122="B",'6. Class A Consumption Data'!N120:O120))</f>
        <v>0</v>
      </c>
      <c r="I64" s="570">
        <f t="shared" si="1"/>
        <v>0</v>
      </c>
      <c r="J64" s="571">
        <f t="shared" si="2"/>
        <v>0</v>
      </c>
      <c r="K64" s="571">
        <f t="shared" si="3"/>
        <v>0</v>
      </c>
      <c r="L64" s="1291">
        <f t="shared" si="4"/>
        <v>0</v>
      </c>
    </row>
    <row r="65" spans="1:12" s="20" customFormat="1" hidden="1" x14ac:dyDescent="0.2">
      <c r="A65" s="419" t="s">
        <v>412</v>
      </c>
      <c r="B65" s="419"/>
      <c r="C65" s="568">
        <f t="shared" si="0"/>
        <v>0</v>
      </c>
      <c r="D65" s="569">
        <v>0</v>
      </c>
      <c r="E65" s="569">
        <v>0</v>
      </c>
      <c r="F65" s="569">
        <v>0</v>
      </c>
      <c r="G65" s="569">
        <v>0</v>
      </c>
      <c r="H65" s="569">
        <f t="array" ref="H65">SUM(IF('6. Class A Consumption Data'!N125:O125="B",'6. Class A Consumption Data'!N123:O123))</f>
        <v>0</v>
      </c>
      <c r="I65" s="570">
        <f t="shared" si="1"/>
        <v>0</v>
      </c>
      <c r="J65" s="571">
        <f t="shared" si="2"/>
        <v>0</v>
      </c>
      <c r="K65" s="571">
        <f t="shared" si="3"/>
        <v>0</v>
      </c>
      <c r="L65" s="1291">
        <f t="shared" si="4"/>
        <v>0</v>
      </c>
    </row>
    <row r="66" spans="1:12" s="20" customFormat="1" hidden="1" x14ac:dyDescent="0.2">
      <c r="A66" s="419" t="s">
        <v>413</v>
      </c>
      <c r="B66" s="419"/>
      <c r="C66" s="568">
        <f t="shared" ref="C66:C97" si="5">SUM(D66:G66)</f>
        <v>0</v>
      </c>
      <c r="D66" s="569">
        <v>0</v>
      </c>
      <c r="E66" s="569">
        <v>0</v>
      </c>
      <c r="F66" s="569">
        <v>0</v>
      </c>
      <c r="G66" s="569">
        <v>0</v>
      </c>
      <c r="H66" s="569">
        <f t="array" ref="H66">SUM(IF('6. Class A Consumption Data'!N128:O128="B",'6. Class A Consumption Data'!N126:O126))</f>
        <v>0</v>
      </c>
      <c r="I66" s="570">
        <f t="shared" ref="I66:I97" si="6">IFERROR(+C66/($C$184),0)</f>
        <v>0</v>
      </c>
      <c r="J66" s="571">
        <f t="shared" ref="J66:J97" si="7">+I66*$C$28</f>
        <v>0</v>
      </c>
      <c r="K66" s="571">
        <f t="shared" ref="K66:K97" si="8">+J66/12</f>
        <v>0</v>
      </c>
      <c r="L66" s="1291">
        <f t="shared" si="4"/>
        <v>0</v>
      </c>
    </row>
    <row r="67" spans="1:12" s="20" customFormat="1" hidden="1" x14ac:dyDescent="0.2">
      <c r="A67" s="419" t="s">
        <v>414</v>
      </c>
      <c r="B67" s="419"/>
      <c r="C67" s="568">
        <f t="shared" si="5"/>
        <v>0</v>
      </c>
      <c r="D67" s="569">
        <v>0</v>
      </c>
      <c r="E67" s="569">
        <v>0</v>
      </c>
      <c r="F67" s="569">
        <v>0</v>
      </c>
      <c r="G67" s="569">
        <v>0</v>
      </c>
      <c r="H67" s="569">
        <f t="array" ref="H67">SUM(IF('6. Class A Consumption Data'!N131:O131="B",'6. Class A Consumption Data'!N129:O129))</f>
        <v>0</v>
      </c>
      <c r="I67" s="570">
        <f t="shared" si="6"/>
        <v>0</v>
      </c>
      <c r="J67" s="571">
        <f t="shared" si="7"/>
        <v>0</v>
      </c>
      <c r="K67" s="571">
        <f t="shared" si="8"/>
        <v>0</v>
      </c>
      <c r="L67" s="1291">
        <f t="shared" si="4"/>
        <v>0</v>
      </c>
    </row>
    <row r="68" spans="1:12" s="20" customFormat="1" hidden="1" x14ac:dyDescent="0.2">
      <c r="A68" s="419" t="s">
        <v>415</v>
      </c>
      <c r="B68" s="419"/>
      <c r="C68" s="568">
        <f t="shared" si="5"/>
        <v>0</v>
      </c>
      <c r="D68" s="569">
        <v>0</v>
      </c>
      <c r="E68" s="569">
        <v>0</v>
      </c>
      <c r="F68" s="569">
        <v>0</v>
      </c>
      <c r="G68" s="569">
        <v>0</v>
      </c>
      <c r="H68" s="569">
        <f t="array" ref="H68">SUM(IF('6. Class A Consumption Data'!N134:O134="B",'6. Class A Consumption Data'!N132:O132))</f>
        <v>0</v>
      </c>
      <c r="I68" s="570">
        <f t="shared" si="6"/>
        <v>0</v>
      </c>
      <c r="J68" s="571">
        <f t="shared" si="7"/>
        <v>0</v>
      </c>
      <c r="K68" s="571">
        <f t="shared" si="8"/>
        <v>0</v>
      </c>
      <c r="L68" s="1291">
        <f t="shared" si="4"/>
        <v>0</v>
      </c>
    </row>
    <row r="69" spans="1:12" s="20" customFormat="1" hidden="1" x14ac:dyDescent="0.2">
      <c r="A69" s="419" t="s">
        <v>416</v>
      </c>
      <c r="B69" s="419"/>
      <c r="C69" s="568">
        <f t="shared" si="5"/>
        <v>0</v>
      </c>
      <c r="D69" s="569">
        <v>0</v>
      </c>
      <c r="E69" s="569">
        <v>0</v>
      </c>
      <c r="F69" s="569">
        <v>0</v>
      </c>
      <c r="G69" s="569">
        <v>0</v>
      </c>
      <c r="H69" s="569">
        <f t="array" ref="H69">SUM(IF('6. Class A Consumption Data'!N137:O137="B",'6. Class A Consumption Data'!N135:O135))</f>
        <v>0</v>
      </c>
      <c r="I69" s="570">
        <f t="shared" si="6"/>
        <v>0</v>
      </c>
      <c r="J69" s="571">
        <f t="shared" si="7"/>
        <v>0</v>
      </c>
      <c r="K69" s="571">
        <f t="shared" si="8"/>
        <v>0</v>
      </c>
      <c r="L69" s="1291">
        <f t="shared" si="4"/>
        <v>0</v>
      </c>
    </row>
    <row r="70" spans="1:12" s="20" customFormat="1" hidden="1" x14ac:dyDescent="0.2">
      <c r="A70" s="419" t="s">
        <v>417</v>
      </c>
      <c r="B70" s="419"/>
      <c r="C70" s="568">
        <f t="shared" si="5"/>
        <v>0</v>
      </c>
      <c r="D70" s="569">
        <v>0</v>
      </c>
      <c r="E70" s="569">
        <v>0</v>
      </c>
      <c r="F70" s="569">
        <v>0</v>
      </c>
      <c r="G70" s="569">
        <v>0</v>
      </c>
      <c r="H70" s="569">
        <f t="array" ref="H70">SUM(IF('6. Class A Consumption Data'!N140:O140="B",'6. Class A Consumption Data'!N138:O138))</f>
        <v>0</v>
      </c>
      <c r="I70" s="570">
        <f t="shared" si="6"/>
        <v>0</v>
      </c>
      <c r="J70" s="571">
        <f t="shared" si="7"/>
        <v>0</v>
      </c>
      <c r="K70" s="571">
        <f t="shared" si="8"/>
        <v>0</v>
      </c>
      <c r="L70" s="1291">
        <f t="shared" si="4"/>
        <v>0</v>
      </c>
    </row>
    <row r="71" spans="1:12" s="20" customFormat="1" hidden="1" x14ac:dyDescent="0.2">
      <c r="A71" s="419" t="s">
        <v>418</v>
      </c>
      <c r="B71" s="419"/>
      <c r="C71" s="568">
        <f t="shared" si="5"/>
        <v>0</v>
      </c>
      <c r="D71" s="569">
        <v>0</v>
      </c>
      <c r="E71" s="569">
        <v>0</v>
      </c>
      <c r="F71" s="569">
        <v>0</v>
      </c>
      <c r="G71" s="569">
        <v>0</v>
      </c>
      <c r="H71" s="569">
        <f t="array" ref="H71">SUM(IF('6. Class A Consumption Data'!N143:O143="B",'6. Class A Consumption Data'!N141:O141))</f>
        <v>0</v>
      </c>
      <c r="I71" s="570">
        <f t="shared" si="6"/>
        <v>0</v>
      </c>
      <c r="J71" s="571">
        <f t="shared" si="7"/>
        <v>0</v>
      </c>
      <c r="K71" s="571">
        <f t="shared" si="8"/>
        <v>0</v>
      </c>
      <c r="L71" s="1291">
        <f t="shared" si="4"/>
        <v>0</v>
      </c>
    </row>
    <row r="72" spans="1:12" s="20" customFormat="1" hidden="1" x14ac:dyDescent="0.2">
      <c r="A72" s="419" t="s">
        <v>419</v>
      </c>
      <c r="B72" s="419"/>
      <c r="C72" s="568">
        <f t="shared" si="5"/>
        <v>0</v>
      </c>
      <c r="D72" s="569">
        <v>0</v>
      </c>
      <c r="E72" s="569">
        <v>0</v>
      </c>
      <c r="F72" s="569">
        <v>0</v>
      </c>
      <c r="G72" s="569">
        <v>0</v>
      </c>
      <c r="H72" s="569">
        <f t="array" ref="H72">SUM(IF('6. Class A Consumption Data'!N146:O146="B",'6. Class A Consumption Data'!N144:O144))</f>
        <v>0</v>
      </c>
      <c r="I72" s="570">
        <f t="shared" si="6"/>
        <v>0</v>
      </c>
      <c r="J72" s="571">
        <f t="shared" si="7"/>
        <v>0</v>
      </c>
      <c r="K72" s="571">
        <f t="shared" si="8"/>
        <v>0</v>
      </c>
      <c r="L72" s="1291">
        <f t="shared" si="4"/>
        <v>0</v>
      </c>
    </row>
    <row r="73" spans="1:12" s="20" customFormat="1" hidden="1" x14ac:dyDescent="0.2">
      <c r="A73" s="419" t="s">
        <v>420</v>
      </c>
      <c r="B73" s="419"/>
      <c r="C73" s="568">
        <f t="shared" si="5"/>
        <v>0</v>
      </c>
      <c r="D73" s="569">
        <v>0</v>
      </c>
      <c r="E73" s="569">
        <v>0</v>
      </c>
      <c r="F73" s="569">
        <v>0</v>
      </c>
      <c r="G73" s="569">
        <v>0</v>
      </c>
      <c r="H73" s="569">
        <f t="array" ref="H73">SUM(IF('6. Class A Consumption Data'!N149:O149="B",'6. Class A Consumption Data'!N147:O147))</f>
        <v>0</v>
      </c>
      <c r="I73" s="570">
        <f t="shared" si="6"/>
        <v>0</v>
      </c>
      <c r="J73" s="571">
        <f t="shared" si="7"/>
        <v>0</v>
      </c>
      <c r="K73" s="571">
        <f t="shared" si="8"/>
        <v>0</v>
      </c>
      <c r="L73" s="1291">
        <f t="shared" si="4"/>
        <v>0</v>
      </c>
    </row>
    <row r="74" spans="1:12" s="20" customFormat="1" hidden="1" x14ac:dyDescent="0.2">
      <c r="A74" s="419" t="s">
        <v>421</v>
      </c>
      <c r="B74" s="419"/>
      <c r="C74" s="568">
        <f t="shared" si="5"/>
        <v>0</v>
      </c>
      <c r="D74" s="569">
        <v>0</v>
      </c>
      <c r="E74" s="569">
        <v>0</v>
      </c>
      <c r="F74" s="569">
        <v>0</v>
      </c>
      <c r="G74" s="569">
        <v>0</v>
      </c>
      <c r="H74" s="569">
        <f t="array" ref="H74">SUM(IF('6. Class A Consumption Data'!N152:O152="B",'6. Class A Consumption Data'!N150:O150))</f>
        <v>0</v>
      </c>
      <c r="I74" s="570">
        <f t="shared" si="6"/>
        <v>0</v>
      </c>
      <c r="J74" s="571">
        <f t="shared" si="7"/>
        <v>0</v>
      </c>
      <c r="K74" s="571">
        <f t="shared" si="8"/>
        <v>0</v>
      </c>
      <c r="L74" s="1291">
        <f t="shared" si="4"/>
        <v>0</v>
      </c>
    </row>
    <row r="75" spans="1:12" s="20" customFormat="1" hidden="1" x14ac:dyDescent="0.2">
      <c r="A75" s="419" t="s">
        <v>422</v>
      </c>
      <c r="B75" s="419"/>
      <c r="C75" s="568">
        <f t="shared" si="5"/>
        <v>0</v>
      </c>
      <c r="D75" s="569">
        <v>0</v>
      </c>
      <c r="E75" s="569">
        <v>0</v>
      </c>
      <c r="F75" s="569">
        <v>0</v>
      </c>
      <c r="G75" s="569">
        <v>0</v>
      </c>
      <c r="H75" s="569">
        <f t="array" ref="H75">SUM(IF('6. Class A Consumption Data'!N155:O155="B",'6. Class A Consumption Data'!N153:O153))</f>
        <v>0</v>
      </c>
      <c r="I75" s="570">
        <f t="shared" si="6"/>
        <v>0</v>
      </c>
      <c r="J75" s="571">
        <f t="shared" si="7"/>
        <v>0</v>
      </c>
      <c r="K75" s="571">
        <f t="shared" si="8"/>
        <v>0</v>
      </c>
      <c r="L75" s="1291">
        <f t="shared" si="4"/>
        <v>0</v>
      </c>
    </row>
    <row r="76" spans="1:12" s="20" customFormat="1" hidden="1" x14ac:dyDescent="0.2">
      <c r="A76" s="419" t="s">
        <v>423</v>
      </c>
      <c r="B76" s="419"/>
      <c r="C76" s="568">
        <f t="shared" si="5"/>
        <v>0</v>
      </c>
      <c r="D76" s="569">
        <v>0</v>
      </c>
      <c r="E76" s="569">
        <v>0</v>
      </c>
      <c r="F76" s="569">
        <v>0</v>
      </c>
      <c r="G76" s="569">
        <v>0</v>
      </c>
      <c r="H76" s="569">
        <f t="array" ref="H76">SUM(IF('6. Class A Consumption Data'!N158:O158="B",'6. Class A Consumption Data'!N156:O156))</f>
        <v>0</v>
      </c>
      <c r="I76" s="570">
        <f t="shared" si="6"/>
        <v>0</v>
      </c>
      <c r="J76" s="571">
        <f t="shared" si="7"/>
        <v>0</v>
      </c>
      <c r="K76" s="571">
        <f t="shared" si="8"/>
        <v>0</v>
      </c>
      <c r="L76" s="1291">
        <f t="shared" si="4"/>
        <v>0</v>
      </c>
    </row>
    <row r="77" spans="1:12" s="20" customFormat="1" hidden="1" x14ac:dyDescent="0.2">
      <c r="A77" s="419" t="s">
        <v>424</v>
      </c>
      <c r="B77" s="419"/>
      <c r="C77" s="568">
        <f t="shared" si="5"/>
        <v>0</v>
      </c>
      <c r="D77" s="569">
        <v>0</v>
      </c>
      <c r="E77" s="569">
        <v>0</v>
      </c>
      <c r="F77" s="569">
        <v>0</v>
      </c>
      <c r="G77" s="569">
        <v>0</v>
      </c>
      <c r="H77" s="569">
        <f t="array" ref="H77">SUM(IF('6. Class A Consumption Data'!N161:O161="B",'6. Class A Consumption Data'!N159:O159))</f>
        <v>0</v>
      </c>
      <c r="I77" s="570">
        <f t="shared" si="6"/>
        <v>0</v>
      </c>
      <c r="J77" s="571">
        <f t="shared" si="7"/>
        <v>0</v>
      </c>
      <c r="K77" s="571">
        <f t="shared" si="8"/>
        <v>0</v>
      </c>
      <c r="L77" s="1291">
        <f t="shared" si="4"/>
        <v>0</v>
      </c>
    </row>
    <row r="78" spans="1:12" s="20" customFormat="1" hidden="1" x14ac:dyDescent="0.2">
      <c r="A78" s="419" t="s">
        <v>425</v>
      </c>
      <c r="B78" s="419"/>
      <c r="C78" s="568">
        <f t="shared" si="5"/>
        <v>0</v>
      </c>
      <c r="D78" s="569">
        <v>0</v>
      </c>
      <c r="E78" s="569">
        <v>0</v>
      </c>
      <c r="F78" s="569">
        <v>0</v>
      </c>
      <c r="G78" s="569">
        <v>0</v>
      </c>
      <c r="H78" s="569">
        <f t="array" ref="H78">SUM(IF('6. Class A Consumption Data'!N164:O164="B",'6. Class A Consumption Data'!N162:O162))</f>
        <v>0</v>
      </c>
      <c r="I78" s="570">
        <f t="shared" si="6"/>
        <v>0</v>
      </c>
      <c r="J78" s="571">
        <f t="shared" si="7"/>
        <v>0</v>
      </c>
      <c r="K78" s="571">
        <f t="shared" si="8"/>
        <v>0</v>
      </c>
      <c r="L78" s="1291">
        <f t="shared" si="4"/>
        <v>0</v>
      </c>
    </row>
    <row r="79" spans="1:12" s="20" customFormat="1" hidden="1" x14ac:dyDescent="0.2">
      <c r="A79" s="419" t="s">
        <v>426</v>
      </c>
      <c r="B79" s="419"/>
      <c r="C79" s="568">
        <f t="shared" si="5"/>
        <v>0</v>
      </c>
      <c r="D79" s="569">
        <v>0</v>
      </c>
      <c r="E79" s="569">
        <v>0</v>
      </c>
      <c r="F79" s="569">
        <v>0</v>
      </c>
      <c r="G79" s="569">
        <v>0</v>
      </c>
      <c r="H79" s="569">
        <f t="array" ref="H79">SUM(IF('6. Class A Consumption Data'!N167:O167="B",'6. Class A Consumption Data'!N165:O165))</f>
        <v>0</v>
      </c>
      <c r="I79" s="570">
        <f t="shared" si="6"/>
        <v>0</v>
      </c>
      <c r="J79" s="571">
        <f t="shared" si="7"/>
        <v>0</v>
      </c>
      <c r="K79" s="571">
        <f t="shared" si="8"/>
        <v>0</v>
      </c>
      <c r="L79" s="1291">
        <f t="shared" si="4"/>
        <v>0</v>
      </c>
    </row>
    <row r="80" spans="1:12" s="20" customFormat="1" hidden="1" x14ac:dyDescent="0.2">
      <c r="A80" s="419" t="s">
        <v>427</v>
      </c>
      <c r="B80" s="419"/>
      <c r="C80" s="568">
        <f t="shared" si="5"/>
        <v>0</v>
      </c>
      <c r="D80" s="569">
        <v>0</v>
      </c>
      <c r="E80" s="569">
        <v>0</v>
      </c>
      <c r="F80" s="569">
        <v>0</v>
      </c>
      <c r="G80" s="569">
        <v>0</v>
      </c>
      <c r="H80" s="569">
        <f t="array" ref="H80">SUM(IF('6. Class A Consumption Data'!N170:O170="B",'6. Class A Consumption Data'!N168:O168))</f>
        <v>0</v>
      </c>
      <c r="I80" s="570">
        <f t="shared" si="6"/>
        <v>0</v>
      </c>
      <c r="J80" s="571">
        <f t="shared" si="7"/>
        <v>0</v>
      </c>
      <c r="K80" s="571">
        <f t="shared" si="8"/>
        <v>0</v>
      </c>
      <c r="L80" s="1291">
        <f t="shared" si="4"/>
        <v>0</v>
      </c>
    </row>
    <row r="81" spans="1:12" s="20" customFormat="1" hidden="1" x14ac:dyDescent="0.2">
      <c r="A81" s="419" t="s">
        <v>428</v>
      </c>
      <c r="B81" s="419"/>
      <c r="C81" s="568">
        <f t="shared" si="5"/>
        <v>0</v>
      </c>
      <c r="D81" s="569">
        <v>0</v>
      </c>
      <c r="E81" s="569">
        <v>0</v>
      </c>
      <c r="F81" s="569">
        <v>0</v>
      </c>
      <c r="G81" s="569">
        <v>0</v>
      </c>
      <c r="H81" s="569">
        <f t="array" ref="H81">SUM(IF('6. Class A Consumption Data'!N173:O173="B",'6. Class A Consumption Data'!N171:O171))</f>
        <v>0</v>
      </c>
      <c r="I81" s="570">
        <f t="shared" si="6"/>
        <v>0</v>
      </c>
      <c r="J81" s="571">
        <f t="shared" si="7"/>
        <v>0</v>
      </c>
      <c r="K81" s="571">
        <f t="shared" si="8"/>
        <v>0</v>
      </c>
      <c r="L81" s="1291">
        <f t="shared" si="4"/>
        <v>0</v>
      </c>
    </row>
    <row r="82" spans="1:12" s="20" customFormat="1" hidden="1" x14ac:dyDescent="0.2">
      <c r="A82" s="419" t="s">
        <v>429</v>
      </c>
      <c r="B82" s="419"/>
      <c r="C82" s="568">
        <f t="shared" si="5"/>
        <v>0</v>
      </c>
      <c r="D82" s="569">
        <v>0</v>
      </c>
      <c r="E82" s="569">
        <v>0</v>
      </c>
      <c r="F82" s="569">
        <v>0</v>
      </c>
      <c r="G82" s="569">
        <v>0</v>
      </c>
      <c r="H82" s="569">
        <f t="array" ref="H82">SUM(IF('6. Class A Consumption Data'!N176:O176="B",'6. Class A Consumption Data'!N174:O174))</f>
        <v>0</v>
      </c>
      <c r="I82" s="570">
        <f t="shared" si="6"/>
        <v>0</v>
      </c>
      <c r="J82" s="571">
        <f t="shared" si="7"/>
        <v>0</v>
      </c>
      <c r="K82" s="571">
        <f t="shared" si="8"/>
        <v>0</v>
      </c>
      <c r="L82" s="1291">
        <f t="shared" si="4"/>
        <v>0</v>
      </c>
    </row>
    <row r="83" spans="1:12" s="20" customFormat="1" hidden="1" x14ac:dyDescent="0.2">
      <c r="A83" s="419" t="s">
        <v>430</v>
      </c>
      <c r="B83" s="419"/>
      <c r="C83" s="568">
        <f t="shared" si="5"/>
        <v>0</v>
      </c>
      <c r="D83" s="569">
        <v>0</v>
      </c>
      <c r="E83" s="569">
        <v>0</v>
      </c>
      <c r="F83" s="569">
        <v>0</v>
      </c>
      <c r="G83" s="569">
        <v>0</v>
      </c>
      <c r="H83" s="569">
        <f t="array" ref="H83">SUM(IF('6. Class A Consumption Data'!N179:O179="B",'6. Class A Consumption Data'!N177:O177))</f>
        <v>0</v>
      </c>
      <c r="I83" s="570">
        <f t="shared" si="6"/>
        <v>0</v>
      </c>
      <c r="J83" s="571">
        <f t="shared" si="7"/>
        <v>0</v>
      </c>
      <c r="K83" s="571">
        <f t="shared" si="8"/>
        <v>0</v>
      </c>
      <c r="L83" s="1291">
        <f t="shared" si="4"/>
        <v>0</v>
      </c>
    </row>
    <row r="84" spans="1:12" s="20" customFormat="1" hidden="1" x14ac:dyDescent="0.2">
      <c r="A84" s="419" t="s">
        <v>431</v>
      </c>
      <c r="B84" s="419"/>
      <c r="C84" s="568">
        <f t="shared" si="5"/>
        <v>0</v>
      </c>
      <c r="D84" s="569">
        <v>0</v>
      </c>
      <c r="E84" s="569">
        <v>0</v>
      </c>
      <c r="F84" s="569">
        <v>0</v>
      </c>
      <c r="G84" s="569">
        <v>0</v>
      </c>
      <c r="H84" s="569">
        <f t="array" ref="H84">SUM(IF('6. Class A Consumption Data'!N182:O182="B",'6. Class A Consumption Data'!N180:O180))</f>
        <v>0</v>
      </c>
      <c r="I84" s="570">
        <f t="shared" si="6"/>
        <v>0</v>
      </c>
      <c r="J84" s="571">
        <f t="shared" si="7"/>
        <v>0</v>
      </c>
      <c r="K84" s="571">
        <f t="shared" si="8"/>
        <v>0</v>
      </c>
      <c r="L84" s="1291">
        <f t="shared" si="4"/>
        <v>0</v>
      </c>
    </row>
    <row r="85" spans="1:12" s="20" customFormat="1" hidden="1" x14ac:dyDescent="0.2">
      <c r="A85" s="419" t="s">
        <v>432</v>
      </c>
      <c r="B85" s="419"/>
      <c r="C85" s="568">
        <f t="shared" si="5"/>
        <v>0</v>
      </c>
      <c r="D85" s="569">
        <v>0</v>
      </c>
      <c r="E85" s="569">
        <v>0</v>
      </c>
      <c r="F85" s="569">
        <v>0</v>
      </c>
      <c r="G85" s="569">
        <v>0</v>
      </c>
      <c r="H85" s="569">
        <f t="array" ref="H85">SUM(IF('6. Class A Consumption Data'!N185:O185="B",'6. Class A Consumption Data'!N183:O183))</f>
        <v>0</v>
      </c>
      <c r="I85" s="570">
        <f t="shared" si="6"/>
        <v>0</v>
      </c>
      <c r="J85" s="571">
        <f t="shared" si="7"/>
        <v>0</v>
      </c>
      <c r="K85" s="571">
        <f t="shared" si="8"/>
        <v>0</v>
      </c>
      <c r="L85" s="1291">
        <f t="shared" si="4"/>
        <v>0</v>
      </c>
    </row>
    <row r="86" spans="1:12" s="20" customFormat="1" hidden="1" x14ac:dyDescent="0.2">
      <c r="A86" s="419" t="s">
        <v>433</v>
      </c>
      <c r="B86" s="419"/>
      <c r="C86" s="568">
        <f t="shared" si="5"/>
        <v>0</v>
      </c>
      <c r="D86" s="569">
        <v>0</v>
      </c>
      <c r="E86" s="569">
        <v>0</v>
      </c>
      <c r="F86" s="569">
        <v>0</v>
      </c>
      <c r="G86" s="569">
        <v>0</v>
      </c>
      <c r="H86" s="569">
        <f t="array" ref="H86">SUM(IF('6. Class A Consumption Data'!N188:O188="B",'6. Class A Consumption Data'!N186:O186))</f>
        <v>0</v>
      </c>
      <c r="I86" s="570">
        <f t="shared" si="6"/>
        <v>0</v>
      </c>
      <c r="J86" s="571">
        <f t="shared" si="7"/>
        <v>0</v>
      </c>
      <c r="K86" s="571">
        <f t="shared" si="8"/>
        <v>0</v>
      </c>
      <c r="L86" s="1291">
        <f t="shared" si="4"/>
        <v>0</v>
      </c>
    </row>
    <row r="87" spans="1:12" s="20" customFormat="1" hidden="1" x14ac:dyDescent="0.2">
      <c r="A87" s="419" t="s">
        <v>434</v>
      </c>
      <c r="B87" s="419"/>
      <c r="C87" s="568">
        <f t="shared" si="5"/>
        <v>0</v>
      </c>
      <c r="D87" s="569">
        <v>0</v>
      </c>
      <c r="E87" s="569">
        <v>0</v>
      </c>
      <c r="F87" s="569">
        <v>0</v>
      </c>
      <c r="G87" s="569">
        <v>0</v>
      </c>
      <c r="H87" s="569">
        <f t="array" ref="H87">SUM(IF('6. Class A Consumption Data'!N191:O191="B",'6. Class A Consumption Data'!N189:O189))</f>
        <v>0</v>
      </c>
      <c r="I87" s="570">
        <f t="shared" si="6"/>
        <v>0</v>
      </c>
      <c r="J87" s="571">
        <f t="shared" si="7"/>
        <v>0</v>
      </c>
      <c r="K87" s="571">
        <f t="shared" si="8"/>
        <v>0</v>
      </c>
      <c r="L87" s="1291">
        <f t="shared" si="4"/>
        <v>0</v>
      </c>
    </row>
    <row r="88" spans="1:12" s="20" customFormat="1" hidden="1" x14ac:dyDescent="0.2">
      <c r="A88" s="419" t="s">
        <v>435</v>
      </c>
      <c r="B88" s="419"/>
      <c r="C88" s="568">
        <f t="shared" si="5"/>
        <v>0</v>
      </c>
      <c r="D88" s="569">
        <v>0</v>
      </c>
      <c r="E88" s="569">
        <v>0</v>
      </c>
      <c r="F88" s="569">
        <v>0</v>
      </c>
      <c r="G88" s="569">
        <v>0</v>
      </c>
      <c r="H88" s="569">
        <f t="array" ref="H88">SUM(IF('6. Class A Consumption Data'!N194:O194="B",'6. Class A Consumption Data'!N192:O192))</f>
        <v>0</v>
      </c>
      <c r="I88" s="570">
        <f t="shared" si="6"/>
        <v>0</v>
      </c>
      <c r="J88" s="571">
        <f t="shared" si="7"/>
        <v>0</v>
      </c>
      <c r="K88" s="571">
        <f t="shared" si="8"/>
        <v>0</v>
      </c>
      <c r="L88" s="1291">
        <f t="shared" si="4"/>
        <v>0</v>
      </c>
    </row>
    <row r="89" spans="1:12" s="20" customFormat="1" hidden="1" x14ac:dyDescent="0.2">
      <c r="A89" s="419" t="s">
        <v>436</v>
      </c>
      <c r="B89" s="419"/>
      <c r="C89" s="568">
        <f t="shared" si="5"/>
        <v>0</v>
      </c>
      <c r="D89" s="569">
        <v>0</v>
      </c>
      <c r="E89" s="569">
        <v>0</v>
      </c>
      <c r="F89" s="569">
        <v>0</v>
      </c>
      <c r="G89" s="569">
        <v>0</v>
      </c>
      <c r="H89" s="569">
        <f t="array" ref="H89">SUM(IF('6. Class A Consumption Data'!N197:O197="B",'6. Class A Consumption Data'!N195:O195))</f>
        <v>0</v>
      </c>
      <c r="I89" s="570">
        <f t="shared" si="6"/>
        <v>0</v>
      </c>
      <c r="J89" s="571">
        <f t="shared" si="7"/>
        <v>0</v>
      </c>
      <c r="K89" s="571">
        <f t="shared" si="8"/>
        <v>0</v>
      </c>
      <c r="L89" s="1291">
        <f t="shared" si="4"/>
        <v>0</v>
      </c>
    </row>
    <row r="90" spans="1:12" s="20" customFormat="1" hidden="1" x14ac:dyDescent="0.2">
      <c r="A90" s="419" t="s">
        <v>437</v>
      </c>
      <c r="B90" s="419"/>
      <c r="C90" s="568">
        <f t="shared" si="5"/>
        <v>0</v>
      </c>
      <c r="D90" s="569">
        <v>0</v>
      </c>
      <c r="E90" s="569">
        <v>0</v>
      </c>
      <c r="F90" s="569">
        <v>0</v>
      </c>
      <c r="G90" s="569">
        <v>0</v>
      </c>
      <c r="H90" s="569">
        <f t="array" ref="H90">SUM(IF('6. Class A Consumption Data'!N200:O200="B",'6. Class A Consumption Data'!N198:O198))</f>
        <v>0</v>
      </c>
      <c r="I90" s="570">
        <f t="shared" si="6"/>
        <v>0</v>
      </c>
      <c r="J90" s="571">
        <f t="shared" si="7"/>
        <v>0</v>
      </c>
      <c r="K90" s="571">
        <f t="shared" si="8"/>
        <v>0</v>
      </c>
      <c r="L90" s="1291">
        <f t="shared" si="4"/>
        <v>0</v>
      </c>
    </row>
    <row r="91" spans="1:12" s="20" customFormat="1" hidden="1" x14ac:dyDescent="0.2">
      <c r="A91" s="419" t="s">
        <v>438</v>
      </c>
      <c r="B91" s="419"/>
      <c r="C91" s="568">
        <f t="shared" si="5"/>
        <v>0</v>
      </c>
      <c r="D91" s="569">
        <v>0</v>
      </c>
      <c r="E91" s="569">
        <v>0</v>
      </c>
      <c r="F91" s="569">
        <v>0</v>
      </c>
      <c r="G91" s="569">
        <v>0</v>
      </c>
      <c r="H91" s="569">
        <f t="array" ref="H91">SUM(IF('6. Class A Consumption Data'!N203:O203="B",'6. Class A Consumption Data'!N201:O201))</f>
        <v>0</v>
      </c>
      <c r="I91" s="570">
        <f t="shared" si="6"/>
        <v>0</v>
      </c>
      <c r="J91" s="571">
        <f t="shared" si="7"/>
        <v>0</v>
      </c>
      <c r="K91" s="571">
        <f t="shared" si="8"/>
        <v>0</v>
      </c>
      <c r="L91" s="1291">
        <f t="shared" si="4"/>
        <v>0</v>
      </c>
    </row>
    <row r="92" spans="1:12" s="20" customFormat="1" hidden="1" x14ac:dyDescent="0.2">
      <c r="A92" s="419" t="s">
        <v>439</v>
      </c>
      <c r="B92" s="419"/>
      <c r="C92" s="568">
        <f t="shared" si="5"/>
        <v>0</v>
      </c>
      <c r="D92" s="569">
        <v>0</v>
      </c>
      <c r="E92" s="569">
        <v>0</v>
      </c>
      <c r="F92" s="569">
        <v>0</v>
      </c>
      <c r="G92" s="569">
        <v>0</v>
      </c>
      <c r="H92" s="569">
        <f t="array" ref="H92">SUM(IF('6. Class A Consumption Data'!N206:O206="B",'6. Class A Consumption Data'!N204:O204))</f>
        <v>0</v>
      </c>
      <c r="I92" s="570">
        <f t="shared" si="6"/>
        <v>0</v>
      </c>
      <c r="J92" s="571">
        <f t="shared" si="7"/>
        <v>0</v>
      </c>
      <c r="K92" s="571">
        <f t="shared" si="8"/>
        <v>0</v>
      </c>
      <c r="L92" s="1291">
        <f t="shared" si="4"/>
        <v>0</v>
      </c>
    </row>
    <row r="93" spans="1:12" s="20" customFormat="1" hidden="1" x14ac:dyDescent="0.2">
      <c r="A93" s="419" t="s">
        <v>440</v>
      </c>
      <c r="B93" s="419"/>
      <c r="C93" s="568">
        <f t="shared" si="5"/>
        <v>0</v>
      </c>
      <c r="D93" s="569">
        <v>0</v>
      </c>
      <c r="E93" s="569">
        <v>0</v>
      </c>
      <c r="F93" s="569">
        <v>0</v>
      </c>
      <c r="G93" s="569">
        <v>0</v>
      </c>
      <c r="H93" s="569">
        <f t="array" ref="H93">SUM(IF('6. Class A Consumption Data'!N209:O209="B",'6. Class A Consumption Data'!N207:O207))</f>
        <v>0</v>
      </c>
      <c r="I93" s="570">
        <f t="shared" si="6"/>
        <v>0</v>
      </c>
      <c r="J93" s="571">
        <f t="shared" si="7"/>
        <v>0</v>
      </c>
      <c r="K93" s="571">
        <f t="shared" si="8"/>
        <v>0</v>
      </c>
      <c r="L93" s="1291">
        <f t="shared" si="4"/>
        <v>0</v>
      </c>
    </row>
    <row r="94" spans="1:12" s="20" customFormat="1" hidden="1" x14ac:dyDescent="0.2">
      <c r="A94" s="419" t="s">
        <v>441</v>
      </c>
      <c r="B94" s="419"/>
      <c r="C94" s="568">
        <f t="shared" si="5"/>
        <v>0</v>
      </c>
      <c r="D94" s="569">
        <v>0</v>
      </c>
      <c r="E94" s="569">
        <v>0</v>
      </c>
      <c r="F94" s="569">
        <v>0</v>
      </c>
      <c r="G94" s="569">
        <v>0</v>
      </c>
      <c r="H94" s="569">
        <f t="array" ref="H94">SUM(IF('6. Class A Consumption Data'!N212:O212="B",'6. Class A Consumption Data'!N210:O210))</f>
        <v>0</v>
      </c>
      <c r="I94" s="570">
        <f t="shared" si="6"/>
        <v>0</v>
      </c>
      <c r="J94" s="571">
        <f t="shared" si="7"/>
        <v>0</v>
      </c>
      <c r="K94" s="571">
        <f t="shared" si="8"/>
        <v>0</v>
      </c>
      <c r="L94" s="1291">
        <f t="shared" si="4"/>
        <v>0</v>
      </c>
    </row>
    <row r="95" spans="1:12" s="20" customFormat="1" hidden="1" x14ac:dyDescent="0.2">
      <c r="A95" s="419" t="s">
        <v>442</v>
      </c>
      <c r="B95" s="419"/>
      <c r="C95" s="568">
        <f t="shared" si="5"/>
        <v>0</v>
      </c>
      <c r="D95" s="569">
        <v>0</v>
      </c>
      <c r="E95" s="569">
        <v>0</v>
      </c>
      <c r="F95" s="569">
        <v>0</v>
      </c>
      <c r="G95" s="569">
        <v>0</v>
      </c>
      <c r="H95" s="569">
        <f t="array" ref="H95">SUM(IF('6. Class A Consumption Data'!N215:O215="B",'6. Class A Consumption Data'!N213:O213))</f>
        <v>0</v>
      </c>
      <c r="I95" s="570">
        <f t="shared" si="6"/>
        <v>0</v>
      </c>
      <c r="J95" s="571">
        <f t="shared" si="7"/>
        <v>0</v>
      </c>
      <c r="K95" s="571">
        <f t="shared" si="8"/>
        <v>0</v>
      </c>
      <c r="L95" s="1291">
        <f t="shared" si="4"/>
        <v>0</v>
      </c>
    </row>
    <row r="96" spans="1:12" s="20" customFormat="1" hidden="1" x14ac:dyDescent="0.2">
      <c r="A96" s="419" t="s">
        <v>443</v>
      </c>
      <c r="B96" s="419"/>
      <c r="C96" s="568">
        <f t="shared" si="5"/>
        <v>0</v>
      </c>
      <c r="D96" s="569">
        <v>0</v>
      </c>
      <c r="E96" s="569">
        <v>0</v>
      </c>
      <c r="F96" s="569">
        <v>0</v>
      </c>
      <c r="G96" s="569">
        <v>0</v>
      </c>
      <c r="H96" s="569">
        <f t="array" ref="H96">SUM(IF('6. Class A Consumption Data'!N218:O218="B",'6. Class A Consumption Data'!N216:O216))</f>
        <v>0</v>
      </c>
      <c r="I96" s="570">
        <f t="shared" si="6"/>
        <v>0</v>
      </c>
      <c r="J96" s="571">
        <f t="shared" si="7"/>
        <v>0</v>
      </c>
      <c r="K96" s="571">
        <f t="shared" si="8"/>
        <v>0</v>
      </c>
      <c r="L96" s="1291">
        <f t="shared" si="4"/>
        <v>0</v>
      </c>
    </row>
    <row r="97" spans="1:12" s="20" customFormat="1" hidden="1" x14ac:dyDescent="0.2">
      <c r="A97" s="419" t="s">
        <v>444</v>
      </c>
      <c r="B97" s="419"/>
      <c r="C97" s="568">
        <f t="shared" si="5"/>
        <v>0</v>
      </c>
      <c r="D97" s="569">
        <v>0</v>
      </c>
      <c r="E97" s="569">
        <v>0</v>
      </c>
      <c r="F97" s="569">
        <v>0</v>
      </c>
      <c r="G97" s="569">
        <v>0</v>
      </c>
      <c r="H97" s="569">
        <f t="array" ref="H97">SUM(IF('6. Class A Consumption Data'!N221:O221="B",'6. Class A Consumption Data'!N219:O219))</f>
        <v>0</v>
      </c>
      <c r="I97" s="570">
        <f t="shared" si="6"/>
        <v>0</v>
      </c>
      <c r="J97" s="571">
        <f t="shared" si="7"/>
        <v>0</v>
      </c>
      <c r="K97" s="571">
        <f t="shared" si="8"/>
        <v>0</v>
      </c>
      <c r="L97" s="1291">
        <f t="shared" si="4"/>
        <v>0</v>
      </c>
    </row>
    <row r="98" spans="1:12" s="20" customFormat="1" hidden="1" x14ac:dyDescent="0.2">
      <c r="A98" s="419" t="s">
        <v>445</v>
      </c>
      <c r="B98" s="419"/>
      <c r="C98" s="568">
        <f t="shared" ref="C98:C129" si="9">SUM(D98:G98)</f>
        <v>0</v>
      </c>
      <c r="D98" s="569">
        <v>0</v>
      </c>
      <c r="E98" s="569">
        <v>0</v>
      </c>
      <c r="F98" s="569">
        <v>0</v>
      </c>
      <c r="G98" s="569">
        <v>0</v>
      </c>
      <c r="H98" s="569">
        <f t="array" ref="H98">SUM(IF('6. Class A Consumption Data'!N224:O224="B",'6. Class A Consumption Data'!N222:O222))</f>
        <v>0</v>
      </c>
      <c r="I98" s="570">
        <f t="shared" ref="I98:I129" si="10">IFERROR(+C98/($C$184),0)</f>
        <v>0</v>
      </c>
      <c r="J98" s="571">
        <f t="shared" ref="J98:J129" si="11">+I98*$C$28</f>
        <v>0</v>
      </c>
      <c r="K98" s="571">
        <f t="shared" ref="K98:K129" si="12">+J98/12</f>
        <v>0</v>
      </c>
      <c r="L98" s="1291">
        <f t="shared" si="4"/>
        <v>0</v>
      </c>
    </row>
    <row r="99" spans="1:12" s="20" customFormat="1" hidden="1" x14ac:dyDescent="0.2">
      <c r="A99" s="419" t="s">
        <v>446</v>
      </c>
      <c r="B99" s="419"/>
      <c r="C99" s="568">
        <f t="shared" si="9"/>
        <v>0</v>
      </c>
      <c r="D99" s="569">
        <v>0</v>
      </c>
      <c r="E99" s="569">
        <v>0</v>
      </c>
      <c r="F99" s="569">
        <v>0</v>
      </c>
      <c r="G99" s="569">
        <v>0</v>
      </c>
      <c r="H99" s="569">
        <f t="array" ref="H99">SUM(IF('6. Class A Consumption Data'!N227:O227="B",'6. Class A Consumption Data'!N225:O225))</f>
        <v>0</v>
      </c>
      <c r="I99" s="570">
        <f t="shared" si="10"/>
        <v>0</v>
      </c>
      <c r="J99" s="571">
        <f t="shared" si="11"/>
        <v>0</v>
      </c>
      <c r="K99" s="571">
        <f t="shared" si="12"/>
        <v>0</v>
      </c>
      <c r="L99" s="1291">
        <f t="shared" ref="L99:L162" si="13">K99/12</f>
        <v>0</v>
      </c>
    </row>
    <row r="100" spans="1:12" s="20" customFormat="1" hidden="1" x14ac:dyDescent="0.2">
      <c r="A100" s="419" t="s">
        <v>447</v>
      </c>
      <c r="B100" s="419"/>
      <c r="C100" s="568">
        <f t="shared" si="9"/>
        <v>0</v>
      </c>
      <c r="D100" s="569">
        <v>0</v>
      </c>
      <c r="E100" s="569">
        <v>0</v>
      </c>
      <c r="F100" s="569">
        <v>0</v>
      </c>
      <c r="G100" s="569">
        <v>0</v>
      </c>
      <c r="H100" s="569">
        <f t="array" ref="H100">SUM(IF('6. Class A Consumption Data'!N230:O230="B",'6. Class A Consumption Data'!N228:O228))</f>
        <v>0</v>
      </c>
      <c r="I100" s="570">
        <f t="shared" si="10"/>
        <v>0</v>
      </c>
      <c r="J100" s="571">
        <f t="shared" si="11"/>
        <v>0</v>
      </c>
      <c r="K100" s="571">
        <f t="shared" si="12"/>
        <v>0</v>
      </c>
      <c r="L100" s="1291">
        <f t="shared" si="13"/>
        <v>0</v>
      </c>
    </row>
    <row r="101" spans="1:12" s="20" customFormat="1" hidden="1" x14ac:dyDescent="0.2">
      <c r="A101" s="419" t="s">
        <v>448</v>
      </c>
      <c r="B101" s="419"/>
      <c r="C101" s="568">
        <f t="shared" si="9"/>
        <v>0</v>
      </c>
      <c r="D101" s="569">
        <v>0</v>
      </c>
      <c r="E101" s="569">
        <v>0</v>
      </c>
      <c r="F101" s="569">
        <v>0</v>
      </c>
      <c r="G101" s="569">
        <v>0</v>
      </c>
      <c r="H101" s="569">
        <f t="array" ref="H101">SUM(IF('6. Class A Consumption Data'!N233:O233="B",'6. Class A Consumption Data'!N231:O231))</f>
        <v>0</v>
      </c>
      <c r="I101" s="570">
        <f t="shared" si="10"/>
        <v>0</v>
      </c>
      <c r="J101" s="571">
        <f t="shared" si="11"/>
        <v>0</v>
      </c>
      <c r="K101" s="571">
        <f t="shared" si="12"/>
        <v>0</v>
      </c>
      <c r="L101" s="1291">
        <f t="shared" si="13"/>
        <v>0</v>
      </c>
    </row>
    <row r="102" spans="1:12" s="20" customFormat="1" hidden="1" x14ac:dyDescent="0.2">
      <c r="A102" s="419" t="s">
        <v>449</v>
      </c>
      <c r="B102" s="419"/>
      <c r="C102" s="568">
        <f t="shared" si="9"/>
        <v>0</v>
      </c>
      <c r="D102" s="569">
        <v>0</v>
      </c>
      <c r="E102" s="569">
        <v>0</v>
      </c>
      <c r="F102" s="569">
        <v>0</v>
      </c>
      <c r="G102" s="569">
        <v>0</v>
      </c>
      <c r="H102" s="569">
        <f t="array" ref="H102">SUM(IF('6. Class A Consumption Data'!N236:O236="B",'6. Class A Consumption Data'!N234:O234))</f>
        <v>0</v>
      </c>
      <c r="I102" s="570">
        <f t="shared" si="10"/>
        <v>0</v>
      </c>
      <c r="J102" s="571">
        <f t="shared" si="11"/>
        <v>0</v>
      </c>
      <c r="K102" s="571">
        <f t="shared" si="12"/>
        <v>0</v>
      </c>
      <c r="L102" s="1291">
        <f t="shared" si="13"/>
        <v>0</v>
      </c>
    </row>
    <row r="103" spans="1:12" s="20" customFormat="1" hidden="1" x14ac:dyDescent="0.2">
      <c r="A103" s="419" t="s">
        <v>450</v>
      </c>
      <c r="B103" s="419"/>
      <c r="C103" s="568">
        <f t="shared" si="9"/>
        <v>0</v>
      </c>
      <c r="D103" s="569">
        <v>0</v>
      </c>
      <c r="E103" s="569">
        <v>0</v>
      </c>
      <c r="F103" s="569">
        <v>0</v>
      </c>
      <c r="G103" s="569">
        <v>0</v>
      </c>
      <c r="H103" s="569">
        <f t="array" ref="H103">SUM(IF('6. Class A Consumption Data'!N239:O239="B",'6. Class A Consumption Data'!N237:O237))</f>
        <v>0</v>
      </c>
      <c r="I103" s="570">
        <f t="shared" si="10"/>
        <v>0</v>
      </c>
      <c r="J103" s="571">
        <f t="shared" si="11"/>
        <v>0</v>
      </c>
      <c r="K103" s="571">
        <f t="shared" si="12"/>
        <v>0</v>
      </c>
      <c r="L103" s="1291">
        <f t="shared" si="13"/>
        <v>0</v>
      </c>
    </row>
    <row r="104" spans="1:12" s="20" customFormat="1" hidden="1" x14ac:dyDescent="0.2">
      <c r="A104" s="419" t="s">
        <v>451</v>
      </c>
      <c r="B104" s="419"/>
      <c r="C104" s="568">
        <f t="shared" si="9"/>
        <v>0</v>
      </c>
      <c r="D104" s="569">
        <v>0</v>
      </c>
      <c r="E104" s="569">
        <v>0</v>
      </c>
      <c r="F104" s="569">
        <v>0</v>
      </c>
      <c r="G104" s="569">
        <v>0</v>
      </c>
      <c r="H104" s="569">
        <f t="array" ref="H104">SUM(IF('6. Class A Consumption Data'!N242:O242="B",'6. Class A Consumption Data'!N240:O240))</f>
        <v>0</v>
      </c>
      <c r="I104" s="570">
        <f t="shared" si="10"/>
        <v>0</v>
      </c>
      <c r="J104" s="571">
        <f t="shared" si="11"/>
        <v>0</v>
      </c>
      <c r="K104" s="571">
        <f t="shared" si="12"/>
        <v>0</v>
      </c>
      <c r="L104" s="1291">
        <f t="shared" si="13"/>
        <v>0</v>
      </c>
    </row>
    <row r="105" spans="1:12" s="20" customFormat="1" hidden="1" x14ac:dyDescent="0.2">
      <c r="A105" s="419" t="s">
        <v>452</v>
      </c>
      <c r="B105" s="419"/>
      <c r="C105" s="568">
        <f t="shared" si="9"/>
        <v>0</v>
      </c>
      <c r="D105" s="569">
        <v>0</v>
      </c>
      <c r="E105" s="569">
        <v>0</v>
      </c>
      <c r="F105" s="569">
        <v>0</v>
      </c>
      <c r="G105" s="569">
        <v>0</v>
      </c>
      <c r="H105" s="569">
        <f t="array" ref="H105">SUM(IF('6. Class A Consumption Data'!N245:O245="B",'6. Class A Consumption Data'!N243:O243))</f>
        <v>0</v>
      </c>
      <c r="I105" s="570">
        <f t="shared" si="10"/>
        <v>0</v>
      </c>
      <c r="J105" s="571">
        <f t="shared" si="11"/>
        <v>0</v>
      </c>
      <c r="K105" s="571">
        <f t="shared" si="12"/>
        <v>0</v>
      </c>
      <c r="L105" s="1291">
        <f t="shared" si="13"/>
        <v>0</v>
      </c>
    </row>
    <row r="106" spans="1:12" s="20" customFormat="1" hidden="1" x14ac:dyDescent="0.2">
      <c r="A106" s="419" t="s">
        <v>453</v>
      </c>
      <c r="B106" s="419"/>
      <c r="C106" s="568">
        <f t="shared" si="9"/>
        <v>0</v>
      </c>
      <c r="D106" s="569">
        <v>0</v>
      </c>
      <c r="E106" s="569">
        <v>0</v>
      </c>
      <c r="F106" s="569">
        <v>0</v>
      </c>
      <c r="G106" s="569">
        <v>0</v>
      </c>
      <c r="H106" s="569">
        <f t="array" ref="H106">SUM(IF('6. Class A Consumption Data'!N248:O248="B",'6. Class A Consumption Data'!N246:O246))</f>
        <v>0</v>
      </c>
      <c r="I106" s="570">
        <f t="shared" si="10"/>
        <v>0</v>
      </c>
      <c r="J106" s="571">
        <f t="shared" si="11"/>
        <v>0</v>
      </c>
      <c r="K106" s="571">
        <f t="shared" si="12"/>
        <v>0</v>
      </c>
      <c r="L106" s="1291">
        <f t="shared" si="13"/>
        <v>0</v>
      </c>
    </row>
    <row r="107" spans="1:12" s="20" customFormat="1" hidden="1" x14ac:dyDescent="0.2">
      <c r="A107" s="419" t="s">
        <v>454</v>
      </c>
      <c r="B107" s="419"/>
      <c r="C107" s="568">
        <f t="shared" si="9"/>
        <v>0</v>
      </c>
      <c r="D107" s="569">
        <v>0</v>
      </c>
      <c r="E107" s="569">
        <v>0</v>
      </c>
      <c r="F107" s="569">
        <v>0</v>
      </c>
      <c r="G107" s="569">
        <v>0</v>
      </c>
      <c r="H107" s="569">
        <f t="array" ref="H107">SUM(IF('6. Class A Consumption Data'!N251:O251="B",'6. Class A Consumption Data'!N249:O249))</f>
        <v>0</v>
      </c>
      <c r="I107" s="570">
        <f t="shared" si="10"/>
        <v>0</v>
      </c>
      <c r="J107" s="571">
        <f t="shared" si="11"/>
        <v>0</v>
      </c>
      <c r="K107" s="571">
        <f t="shared" si="12"/>
        <v>0</v>
      </c>
      <c r="L107" s="1291">
        <f t="shared" si="13"/>
        <v>0</v>
      </c>
    </row>
    <row r="108" spans="1:12" s="20" customFormat="1" hidden="1" x14ac:dyDescent="0.2">
      <c r="A108" s="419" t="s">
        <v>455</v>
      </c>
      <c r="B108" s="419"/>
      <c r="C108" s="568">
        <f t="shared" si="9"/>
        <v>0</v>
      </c>
      <c r="D108" s="569">
        <v>0</v>
      </c>
      <c r="E108" s="569">
        <v>0</v>
      </c>
      <c r="F108" s="569">
        <v>0</v>
      </c>
      <c r="G108" s="569">
        <v>0</v>
      </c>
      <c r="H108" s="569">
        <f t="array" ref="H108">SUM(IF('6. Class A Consumption Data'!N254:O254="B",'6. Class A Consumption Data'!N252:O252))</f>
        <v>0</v>
      </c>
      <c r="I108" s="570">
        <f t="shared" si="10"/>
        <v>0</v>
      </c>
      <c r="J108" s="571">
        <f t="shared" si="11"/>
        <v>0</v>
      </c>
      <c r="K108" s="571">
        <f t="shared" si="12"/>
        <v>0</v>
      </c>
      <c r="L108" s="1291">
        <f t="shared" si="13"/>
        <v>0</v>
      </c>
    </row>
    <row r="109" spans="1:12" s="20" customFormat="1" hidden="1" x14ac:dyDescent="0.2">
      <c r="A109" s="419" t="s">
        <v>456</v>
      </c>
      <c r="B109" s="419"/>
      <c r="C109" s="568">
        <f t="shared" si="9"/>
        <v>0</v>
      </c>
      <c r="D109" s="569">
        <v>0</v>
      </c>
      <c r="E109" s="569">
        <v>0</v>
      </c>
      <c r="F109" s="569">
        <v>0</v>
      </c>
      <c r="G109" s="569">
        <v>0</v>
      </c>
      <c r="H109" s="569">
        <f t="array" ref="H109">SUM(IF('6. Class A Consumption Data'!N257:O257="B",'6. Class A Consumption Data'!N255:O255))</f>
        <v>0</v>
      </c>
      <c r="I109" s="570">
        <f t="shared" si="10"/>
        <v>0</v>
      </c>
      <c r="J109" s="571">
        <f t="shared" si="11"/>
        <v>0</v>
      </c>
      <c r="K109" s="571">
        <f t="shared" si="12"/>
        <v>0</v>
      </c>
      <c r="L109" s="1291">
        <f t="shared" si="13"/>
        <v>0</v>
      </c>
    </row>
    <row r="110" spans="1:12" s="20" customFormat="1" hidden="1" x14ac:dyDescent="0.2">
      <c r="A110" s="419" t="s">
        <v>457</v>
      </c>
      <c r="B110" s="419"/>
      <c r="C110" s="568">
        <f t="shared" si="9"/>
        <v>0</v>
      </c>
      <c r="D110" s="569">
        <v>0</v>
      </c>
      <c r="E110" s="569">
        <v>0</v>
      </c>
      <c r="F110" s="569">
        <v>0</v>
      </c>
      <c r="G110" s="569">
        <v>0</v>
      </c>
      <c r="H110" s="569">
        <f t="array" ref="H110">SUM(IF('6. Class A Consumption Data'!N260:O260="B",'6. Class A Consumption Data'!N258:O258))</f>
        <v>0</v>
      </c>
      <c r="I110" s="570">
        <f t="shared" si="10"/>
        <v>0</v>
      </c>
      <c r="J110" s="571">
        <f t="shared" si="11"/>
        <v>0</v>
      </c>
      <c r="K110" s="571">
        <f t="shared" si="12"/>
        <v>0</v>
      </c>
      <c r="L110" s="1291">
        <f t="shared" si="13"/>
        <v>0</v>
      </c>
    </row>
    <row r="111" spans="1:12" s="20" customFormat="1" hidden="1" x14ac:dyDescent="0.2">
      <c r="A111" s="419" t="s">
        <v>458</v>
      </c>
      <c r="B111" s="419"/>
      <c r="C111" s="568">
        <f t="shared" si="9"/>
        <v>0</v>
      </c>
      <c r="D111" s="569">
        <v>0</v>
      </c>
      <c r="E111" s="569">
        <v>0</v>
      </c>
      <c r="F111" s="569">
        <v>0</v>
      </c>
      <c r="G111" s="569">
        <v>0</v>
      </c>
      <c r="H111" s="569">
        <f t="array" ref="H111">SUM(IF('6. Class A Consumption Data'!N263:O263="B",'6. Class A Consumption Data'!N261:O261))</f>
        <v>0</v>
      </c>
      <c r="I111" s="570">
        <f t="shared" si="10"/>
        <v>0</v>
      </c>
      <c r="J111" s="571">
        <f t="shared" si="11"/>
        <v>0</v>
      </c>
      <c r="K111" s="571">
        <f t="shared" si="12"/>
        <v>0</v>
      </c>
      <c r="L111" s="1291">
        <f t="shared" si="13"/>
        <v>0</v>
      </c>
    </row>
    <row r="112" spans="1:12" s="20" customFormat="1" hidden="1" x14ac:dyDescent="0.2">
      <c r="A112" s="419" t="s">
        <v>459</v>
      </c>
      <c r="B112" s="419"/>
      <c r="C112" s="568">
        <f t="shared" si="9"/>
        <v>0</v>
      </c>
      <c r="D112" s="569">
        <v>0</v>
      </c>
      <c r="E112" s="569">
        <v>0</v>
      </c>
      <c r="F112" s="569">
        <v>0</v>
      </c>
      <c r="G112" s="569">
        <v>0</v>
      </c>
      <c r="H112" s="569">
        <f t="array" ref="H112">SUM(IF('6. Class A Consumption Data'!N266:O266="B",'6. Class A Consumption Data'!N264:O264))</f>
        <v>0</v>
      </c>
      <c r="I112" s="570">
        <f t="shared" si="10"/>
        <v>0</v>
      </c>
      <c r="J112" s="571">
        <f t="shared" si="11"/>
        <v>0</v>
      </c>
      <c r="K112" s="571">
        <f t="shared" si="12"/>
        <v>0</v>
      </c>
      <c r="L112" s="1291">
        <f t="shared" si="13"/>
        <v>0</v>
      </c>
    </row>
    <row r="113" spans="1:12" s="20" customFormat="1" hidden="1" x14ac:dyDescent="0.2">
      <c r="A113" s="419" t="s">
        <v>460</v>
      </c>
      <c r="B113" s="419"/>
      <c r="C113" s="568">
        <f t="shared" si="9"/>
        <v>0</v>
      </c>
      <c r="D113" s="569">
        <v>0</v>
      </c>
      <c r="E113" s="569">
        <v>0</v>
      </c>
      <c r="F113" s="569">
        <v>0</v>
      </c>
      <c r="G113" s="569">
        <v>0</v>
      </c>
      <c r="H113" s="569">
        <f t="array" ref="H113">SUM(IF('6. Class A Consumption Data'!N269:O269="B",'6. Class A Consumption Data'!N267:O267))</f>
        <v>0</v>
      </c>
      <c r="I113" s="570">
        <f t="shared" si="10"/>
        <v>0</v>
      </c>
      <c r="J113" s="571">
        <f t="shared" si="11"/>
        <v>0</v>
      </c>
      <c r="K113" s="571">
        <f t="shared" si="12"/>
        <v>0</v>
      </c>
      <c r="L113" s="1291">
        <f t="shared" si="13"/>
        <v>0</v>
      </c>
    </row>
    <row r="114" spans="1:12" s="20" customFormat="1" hidden="1" x14ac:dyDescent="0.2">
      <c r="A114" s="419" t="s">
        <v>461</v>
      </c>
      <c r="B114" s="419"/>
      <c r="C114" s="568">
        <f t="shared" si="9"/>
        <v>0</v>
      </c>
      <c r="D114" s="569">
        <v>0</v>
      </c>
      <c r="E114" s="569">
        <v>0</v>
      </c>
      <c r="F114" s="569">
        <v>0</v>
      </c>
      <c r="G114" s="569">
        <v>0</v>
      </c>
      <c r="H114" s="569">
        <f t="array" ref="H114">SUM(IF('6. Class A Consumption Data'!N272:O272="B",'6. Class A Consumption Data'!N270:O270))</f>
        <v>0</v>
      </c>
      <c r="I114" s="570">
        <f t="shared" si="10"/>
        <v>0</v>
      </c>
      <c r="J114" s="571">
        <f t="shared" si="11"/>
        <v>0</v>
      </c>
      <c r="K114" s="571">
        <f t="shared" si="12"/>
        <v>0</v>
      </c>
      <c r="L114" s="1291">
        <f t="shared" si="13"/>
        <v>0</v>
      </c>
    </row>
    <row r="115" spans="1:12" s="20" customFormat="1" hidden="1" x14ac:dyDescent="0.2">
      <c r="A115" s="419" t="s">
        <v>462</v>
      </c>
      <c r="B115" s="419"/>
      <c r="C115" s="568">
        <f t="shared" si="9"/>
        <v>0</v>
      </c>
      <c r="D115" s="569">
        <v>0</v>
      </c>
      <c r="E115" s="569">
        <v>0</v>
      </c>
      <c r="F115" s="569">
        <v>0</v>
      </c>
      <c r="G115" s="569">
        <v>0</v>
      </c>
      <c r="H115" s="569">
        <f t="array" ref="H115">SUM(IF('6. Class A Consumption Data'!N275:O275="B",'6. Class A Consumption Data'!N273:O273))</f>
        <v>0</v>
      </c>
      <c r="I115" s="570">
        <f t="shared" si="10"/>
        <v>0</v>
      </c>
      <c r="J115" s="571">
        <f t="shared" si="11"/>
        <v>0</v>
      </c>
      <c r="K115" s="571">
        <f t="shared" si="12"/>
        <v>0</v>
      </c>
      <c r="L115" s="1291">
        <f t="shared" si="13"/>
        <v>0</v>
      </c>
    </row>
    <row r="116" spans="1:12" s="20" customFormat="1" hidden="1" x14ac:dyDescent="0.2">
      <c r="A116" s="419" t="s">
        <v>463</v>
      </c>
      <c r="B116" s="419"/>
      <c r="C116" s="568">
        <f t="shared" si="9"/>
        <v>0</v>
      </c>
      <c r="D116" s="569">
        <v>0</v>
      </c>
      <c r="E116" s="569">
        <v>0</v>
      </c>
      <c r="F116" s="569">
        <v>0</v>
      </c>
      <c r="G116" s="569">
        <v>0</v>
      </c>
      <c r="H116" s="569">
        <f t="array" ref="H116">SUM(IF('6. Class A Consumption Data'!N278:O278="B",'6. Class A Consumption Data'!N276:O276))</f>
        <v>0</v>
      </c>
      <c r="I116" s="570">
        <f t="shared" si="10"/>
        <v>0</v>
      </c>
      <c r="J116" s="571">
        <f t="shared" si="11"/>
        <v>0</v>
      </c>
      <c r="K116" s="571">
        <f t="shared" si="12"/>
        <v>0</v>
      </c>
      <c r="L116" s="1291">
        <f t="shared" si="13"/>
        <v>0</v>
      </c>
    </row>
    <row r="117" spans="1:12" s="20" customFormat="1" hidden="1" x14ac:dyDescent="0.2">
      <c r="A117" s="419" t="s">
        <v>464</v>
      </c>
      <c r="B117" s="419"/>
      <c r="C117" s="568">
        <f t="shared" si="9"/>
        <v>0</v>
      </c>
      <c r="D117" s="569">
        <v>0</v>
      </c>
      <c r="E117" s="569">
        <v>0</v>
      </c>
      <c r="F117" s="569">
        <v>0</v>
      </c>
      <c r="G117" s="569">
        <v>0</v>
      </c>
      <c r="H117" s="569">
        <f t="array" ref="H117">SUM(IF('6. Class A Consumption Data'!N281:O281="B",'6. Class A Consumption Data'!N279:O279))</f>
        <v>0</v>
      </c>
      <c r="I117" s="570">
        <f t="shared" si="10"/>
        <v>0</v>
      </c>
      <c r="J117" s="571">
        <f t="shared" si="11"/>
        <v>0</v>
      </c>
      <c r="K117" s="571">
        <f t="shared" si="12"/>
        <v>0</v>
      </c>
      <c r="L117" s="1291">
        <f t="shared" si="13"/>
        <v>0</v>
      </c>
    </row>
    <row r="118" spans="1:12" s="20" customFormat="1" hidden="1" x14ac:dyDescent="0.2">
      <c r="A118" s="419" t="s">
        <v>465</v>
      </c>
      <c r="B118" s="419"/>
      <c r="C118" s="568">
        <f t="shared" si="9"/>
        <v>0</v>
      </c>
      <c r="D118" s="569">
        <v>0</v>
      </c>
      <c r="E118" s="569">
        <v>0</v>
      </c>
      <c r="F118" s="569">
        <v>0</v>
      </c>
      <c r="G118" s="569">
        <v>0</v>
      </c>
      <c r="H118" s="569">
        <f t="array" ref="H118">SUM(IF('6. Class A Consumption Data'!N284:O284="B",'6. Class A Consumption Data'!N282:O282))</f>
        <v>0</v>
      </c>
      <c r="I118" s="570">
        <f t="shared" si="10"/>
        <v>0</v>
      </c>
      <c r="J118" s="571">
        <f t="shared" si="11"/>
        <v>0</v>
      </c>
      <c r="K118" s="571">
        <f t="shared" si="12"/>
        <v>0</v>
      </c>
      <c r="L118" s="1291">
        <f t="shared" si="13"/>
        <v>0</v>
      </c>
    </row>
    <row r="119" spans="1:12" s="20" customFormat="1" hidden="1" x14ac:dyDescent="0.2">
      <c r="A119" s="419" t="s">
        <v>466</v>
      </c>
      <c r="B119" s="419"/>
      <c r="C119" s="568">
        <f t="shared" si="9"/>
        <v>0</v>
      </c>
      <c r="D119" s="569">
        <v>0</v>
      </c>
      <c r="E119" s="569">
        <v>0</v>
      </c>
      <c r="F119" s="569">
        <v>0</v>
      </c>
      <c r="G119" s="569">
        <v>0</v>
      </c>
      <c r="H119" s="569">
        <f t="array" ref="H119">SUM(IF('6. Class A Consumption Data'!N287:O287="B",'6. Class A Consumption Data'!N285:O285))</f>
        <v>0</v>
      </c>
      <c r="I119" s="570">
        <f t="shared" si="10"/>
        <v>0</v>
      </c>
      <c r="J119" s="571">
        <f t="shared" si="11"/>
        <v>0</v>
      </c>
      <c r="K119" s="571">
        <f t="shared" si="12"/>
        <v>0</v>
      </c>
      <c r="L119" s="1291">
        <f t="shared" si="13"/>
        <v>0</v>
      </c>
    </row>
    <row r="120" spans="1:12" s="20" customFormat="1" hidden="1" x14ac:dyDescent="0.2">
      <c r="A120" s="419" t="s">
        <v>467</v>
      </c>
      <c r="B120" s="419"/>
      <c r="C120" s="568">
        <f t="shared" si="9"/>
        <v>0</v>
      </c>
      <c r="D120" s="569">
        <v>0</v>
      </c>
      <c r="E120" s="569">
        <v>0</v>
      </c>
      <c r="F120" s="569">
        <v>0</v>
      </c>
      <c r="G120" s="569">
        <v>0</v>
      </c>
      <c r="H120" s="569">
        <f t="array" ref="H120">SUM(IF('6. Class A Consumption Data'!N290:O290="B",'6. Class A Consumption Data'!N288:O288))</f>
        <v>0</v>
      </c>
      <c r="I120" s="570">
        <f t="shared" si="10"/>
        <v>0</v>
      </c>
      <c r="J120" s="571">
        <f t="shared" si="11"/>
        <v>0</v>
      </c>
      <c r="K120" s="571">
        <f t="shared" si="12"/>
        <v>0</v>
      </c>
      <c r="L120" s="1291">
        <f t="shared" si="13"/>
        <v>0</v>
      </c>
    </row>
    <row r="121" spans="1:12" s="20" customFormat="1" hidden="1" x14ac:dyDescent="0.2">
      <c r="A121" s="419" t="s">
        <v>468</v>
      </c>
      <c r="B121" s="419"/>
      <c r="C121" s="568">
        <f t="shared" si="9"/>
        <v>0</v>
      </c>
      <c r="D121" s="569">
        <v>0</v>
      </c>
      <c r="E121" s="569">
        <v>0</v>
      </c>
      <c r="F121" s="569">
        <v>0</v>
      </c>
      <c r="G121" s="569">
        <v>0</v>
      </c>
      <c r="H121" s="569">
        <f t="array" ref="H121">SUM(IF('6. Class A Consumption Data'!N293:O293="B",'6. Class A Consumption Data'!N291:O291))</f>
        <v>0</v>
      </c>
      <c r="I121" s="570">
        <f t="shared" si="10"/>
        <v>0</v>
      </c>
      <c r="J121" s="571">
        <f t="shared" si="11"/>
        <v>0</v>
      </c>
      <c r="K121" s="571">
        <f t="shared" si="12"/>
        <v>0</v>
      </c>
      <c r="L121" s="1291">
        <f t="shared" si="13"/>
        <v>0</v>
      </c>
    </row>
    <row r="122" spans="1:12" s="20" customFormat="1" hidden="1" x14ac:dyDescent="0.2">
      <c r="A122" s="419" t="s">
        <v>469</v>
      </c>
      <c r="B122" s="419"/>
      <c r="C122" s="568">
        <f t="shared" si="9"/>
        <v>0</v>
      </c>
      <c r="D122" s="569">
        <v>0</v>
      </c>
      <c r="E122" s="569">
        <v>0</v>
      </c>
      <c r="F122" s="569">
        <v>0</v>
      </c>
      <c r="G122" s="569">
        <v>0</v>
      </c>
      <c r="H122" s="569">
        <f t="array" ref="H122">SUM(IF('6. Class A Consumption Data'!N296:O296="B",'6. Class A Consumption Data'!N294:O294))</f>
        <v>0</v>
      </c>
      <c r="I122" s="570">
        <f t="shared" si="10"/>
        <v>0</v>
      </c>
      <c r="J122" s="571">
        <f t="shared" si="11"/>
        <v>0</v>
      </c>
      <c r="K122" s="571">
        <f t="shared" si="12"/>
        <v>0</v>
      </c>
      <c r="L122" s="1291">
        <f t="shared" si="13"/>
        <v>0</v>
      </c>
    </row>
    <row r="123" spans="1:12" s="20" customFormat="1" hidden="1" x14ac:dyDescent="0.2">
      <c r="A123" s="419" t="s">
        <v>470</v>
      </c>
      <c r="B123" s="419"/>
      <c r="C123" s="568">
        <f t="shared" si="9"/>
        <v>0</v>
      </c>
      <c r="D123" s="569">
        <v>0</v>
      </c>
      <c r="E123" s="569">
        <v>0</v>
      </c>
      <c r="F123" s="569">
        <v>0</v>
      </c>
      <c r="G123" s="569">
        <v>0</v>
      </c>
      <c r="H123" s="569">
        <f t="array" ref="H123">SUM(IF('6. Class A Consumption Data'!N299:O299="B",'6. Class A Consumption Data'!N297:O297))</f>
        <v>0</v>
      </c>
      <c r="I123" s="570">
        <f t="shared" si="10"/>
        <v>0</v>
      </c>
      <c r="J123" s="571">
        <f t="shared" si="11"/>
        <v>0</v>
      </c>
      <c r="K123" s="571">
        <f t="shared" si="12"/>
        <v>0</v>
      </c>
      <c r="L123" s="1291">
        <f t="shared" si="13"/>
        <v>0</v>
      </c>
    </row>
    <row r="124" spans="1:12" s="20" customFormat="1" hidden="1" x14ac:dyDescent="0.2">
      <c r="A124" s="419" t="s">
        <v>471</v>
      </c>
      <c r="B124" s="419"/>
      <c r="C124" s="568">
        <f t="shared" si="9"/>
        <v>0</v>
      </c>
      <c r="D124" s="569">
        <v>0</v>
      </c>
      <c r="E124" s="569">
        <v>0</v>
      </c>
      <c r="F124" s="569">
        <v>0</v>
      </c>
      <c r="G124" s="569">
        <v>0</v>
      </c>
      <c r="H124" s="569">
        <f t="array" ref="H124">SUM(IF('6. Class A Consumption Data'!N302:O302="B",'6. Class A Consumption Data'!N300:O300))</f>
        <v>0</v>
      </c>
      <c r="I124" s="570">
        <f t="shared" si="10"/>
        <v>0</v>
      </c>
      <c r="J124" s="571">
        <f t="shared" si="11"/>
        <v>0</v>
      </c>
      <c r="K124" s="571">
        <f t="shared" si="12"/>
        <v>0</v>
      </c>
      <c r="L124" s="1291">
        <f t="shared" si="13"/>
        <v>0</v>
      </c>
    </row>
    <row r="125" spans="1:12" s="20" customFormat="1" hidden="1" x14ac:dyDescent="0.2">
      <c r="A125" s="419" t="s">
        <v>472</v>
      </c>
      <c r="B125" s="419"/>
      <c r="C125" s="568">
        <f t="shared" si="9"/>
        <v>0</v>
      </c>
      <c r="D125" s="569">
        <v>0</v>
      </c>
      <c r="E125" s="569">
        <v>0</v>
      </c>
      <c r="F125" s="569">
        <v>0</v>
      </c>
      <c r="G125" s="569">
        <v>0</v>
      </c>
      <c r="H125" s="569">
        <f t="array" ref="H125">SUM(IF('6. Class A Consumption Data'!N305:O305="B",'6. Class A Consumption Data'!N303:O303))</f>
        <v>0</v>
      </c>
      <c r="I125" s="570">
        <f t="shared" si="10"/>
        <v>0</v>
      </c>
      <c r="J125" s="571">
        <f t="shared" si="11"/>
        <v>0</v>
      </c>
      <c r="K125" s="571">
        <f t="shared" si="12"/>
        <v>0</v>
      </c>
      <c r="L125" s="1291">
        <f t="shared" si="13"/>
        <v>0</v>
      </c>
    </row>
    <row r="126" spans="1:12" s="20" customFormat="1" hidden="1" x14ac:dyDescent="0.2">
      <c r="A126" s="419" t="s">
        <v>473</v>
      </c>
      <c r="B126" s="419"/>
      <c r="C126" s="568">
        <f t="shared" si="9"/>
        <v>0</v>
      </c>
      <c r="D126" s="569">
        <v>0</v>
      </c>
      <c r="E126" s="569">
        <v>0</v>
      </c>
      <c r="F126" s="569">
        <v>0</v>
      </c>
      <c r="G126" s="569">
        <v>0</v>
      </c>
      <c r="H126" s="569">
        <f t="array" ref="H126">SUM(IF('6. Class A Consumption Data'!N308:O308="B",'6. Class A Consumption Data'!N306:O306))</f>
        <v>0</v>
      </c>
      <c r="I126" s="570">
        <f t="shared" si="10"/>
        <v>0</v>
      </c>
      <c r="J126" s="571">
        <f t="shared" si="11"/>
        <v>0</v>
      </c>
      <c r="K126" s="571">
        <f t="shared" si="12"/>
        <v>0</v>
      </c>
      <c r="L126" s="1291">
        <f t="shared" si="13"/>
        <v>0</v>
      </c>
    </row>
    <row r="127" spans="1:12" s="20" customFormat="1" hidden="1" x14ac:dyDescent="0.2">
      <c r="A127" s="419" t="s">
        <v>474</v>
      </c>
      <c r="B127" s="419"/>
      <c r="C127" s="568">
        <f t="shared" si="9"/>
        <v>0</v>
      </c>
      <c r="D127" s="569">
        <v>0</v>
      </c>
      <c r="E127" s="569">
        <v>0</v>
      </c>
      <c r="F127" s="569">
        <v>0</v>
      </c>
      <c r="G127" s="569">
        <v>0</v>
      </c>
      <c r="H127" s="569">
        <f t="array" ref="H127">SUM(IF('6. Class A Consumption Data'!N311:O311="B",'6. Class A Consumption Data'!N309:O309))</f>
        <v>0</v>
      </c>
      <c r="I127" s="570">
        <f t="shared" si="10"/>
        <v>0</v>
      </c>
      <c r="J127" s="571">
        <f t="shared" si="11"/>
        <v>0</v>
      </c>
      <c r="K127" s="571">
        <f t="shared" si="12"/>
        <v>0</v>
      </c>
      <c r="L127" s="1291">
        <f t="shared" si="13"/>
        <v>0</v>
      </c>
    </row>
    <row r="128" spans="1:12" s="20" customFormat="1" hidden="1" x14ac:dyDescent="0.2">
      <c r="A128" s="419" t="s">
        <v>475</v>
      </c>
      <c r="B128" s="419"/>
      <c r="C128" s="568">
        <f t="shared" si="9"/>
        <v>0</v>
      </c>
      <c r="D128" s="569">
        <v>0</v>
      </c>
      <c r="E128" s="569">
        <v>0</v>
      </c>
      <c r="F128" s="569">
        <v>0</v>
      </c>
      <c r="G128" s="569">
        <v>0</v>
      </c>
      <c r="H128" s="569">
        <f t="array" ref="H128">SUM(IF('6. Class A Consumption Data'!N314:O314="B",'6. Class A Consumption Data'!N312:O312))</f>
        <v>0</v>
      </c>
      <c r="I128" s="570">
        <f t="shared" si="10"/>
        <v>0</v>
      </c>
      <c r="J128" s="571">
        <f t="shared" si="11"/>
        <v>0</v>
      </c>
      <c r="K128" s="571">
        <f t="shared" si="12"/>
        <v>0</v>
      </c>
      <c r="L128" s="1291">
        <f t="shared" si="13"/>
        <v>0</v>
      </c>
    </row>
    <row r="129" spans="1:12" s="20" customFormat="1" hidden="1" x14ac:dyDescent="0.2">
      <c r="A129" s="419" t="s">
        <v>476</v>
      </c>
      <c r="B129" s="419"/>
      <c r="C129" s="568">
        <f t="shared" si="9"/>
        <v>0</v>
      </c>
      <c r="D129" s="569">
        <v>0</v>
      </c>
      <c r="E129" s="569">
        <v>0</v>
      </c>
      <c r="F129" s="569">
        <v>0</v>
      </c>
      <c r="G129" s="569">
        <v>0</v>
      </c>
      <c r="H129" s="569">
        <f t="array" ref="H129">SUM(IF('6. Class A Consumption Data'!N317:O317="B",'6. Class A Consumption Data'!N315:O315))</f>
        <v>0</v>
      </c>
      <c r="I129" s="570">
        <f t="shared" si="10"/>
        <v>0</v>
      </c>
      <c r="J129" s="571">
        <f t="shared" si="11"/>
        <v>0</v>
      </c>
      <c r="K129" s="571">
        <f t="shared" si="12"/>
        <v>0</v>
      </c>
      <c r="L129" s="1291">
        <f t="shared" si="13"/>
        <v>0</v>
      </c>
    </row>
    <row r="130" spans="1:12" s="20" customFormat="1" hidden="1" x14ac:dyDescent="0.2">
      <c r="A130" s="419" t="s">
        <v>477</v>
      </c>
      <c r="B130" s="419"/>
      <c r="C130" s="568">
        <f t="shared" ref="C130:C161" si="14">SUM(D130:G130)</f>
        <v>0</v>
      </c>
      <c r="D130" s="569">
        <v>0</v>
      </c>
      <c r="E130" s="569">
        <v>0</v>
      </c>
      <c r="F130" s="569">
        <v>0</v>
      </c>
      <c r="G130" s="569">
        <v>0</v>
      </c>
      <c r="H130" s="569">
        <f t="array" ref="H130">SUM(IF('6. Class A Consumption Data'!N320:O320="B",'6. Class A Consumption Data'!N318:O318))</f>
        <v>0</v>
      </c>
      <c r="I130" s="570">
        <f t="shared" ref="I130:I161" si="15">IFERROR(+C130/($C$184),0)</f>
        <v>0</v>
      </c>
      <c r="J130" s="571">
        <f t="shared" ref="J130:J161" si="16">+I130*$C$28</f>
        <v>0</v>
      </c>
      <c r="K130" s="571">
        <f t="shared" ref="K130:K161" si="17">+J130/12</f>
        <v>0</v>
      </c>
      <c r="L130" s="1291">
        <f t="shared" si="13"/>
        <v>0</v>
      </c>
    </row>
    <row r="131" spans="1:12" s="20" customFormat="1" hidden="1" x14ac:dyDescent="0.2">
      <c r="A131" s="419" t="s">
        <v>478</v>
      </c>
      <c r="B131" s="419"/>
      <c r="C131" s="568">
        <f t="shared" si="14"/>
        <v>0</v>
      </c>
      <c r="D131" s="569">
        <v>0</v>
      </c>
      <c r="E131" s="569">
        <v>0</v>
      </c>
      <c r="F131" s="569">
        <v>0</v>
      </c>
      <c r="G131" s="569">
        <v>0</v>
      </c>
      <c r="H131" s="569">
        <f t="array" ref="H131">SUM(IF('6. Class A Consumption Data'!N323:O323="B",'6. Class A Consumption Data'!N321:O321))</f>
        <v>0</v>
      </c>
      <c r="I131" s="570">
        <f t="shared" si="15"/>
        <v>0</v>
      </c>
      <c r="J131" s="571">
        <f t="shared" si="16"/>
        <v>0</v>
      </c>
      <c r="K131" s="571">
        <f t="shared" si="17"/>
        <v>0</v>
      </c>
      <c r="L131" s="1291">
        <f t="shared" si="13"/>
        <v>0</v>
      </c>
    </row>
    <row r="132" spans="1:12" s="20" customFormat="1" hidden="1" x14ac:dyDescent="0.2">
      <c r="A132" s="419" t="s">
        <v>479</v>
      </c>
      <c r="B132" s="419"/>
      <c r="C132" s="568">
        <f t="shared" si="14"/>
        <v>0</v>
      </c>
      <c r="D132" s="569">
        <v>0</v>
      </c>
      <c r="E132" s="569">
        <v>0</v>
      </c>
      <c r="F132" s="569">
        <v>0</v>
      </c>
      <c r="G132" s="569">
        <v>0</v>
      </c>
      <c r="H132" s="569">
        <f t="array" ref="H132">SUM(IF('6. Class A Consumption Data'!N326:O326="B",'6. Class A Consumption Data'!N324:O324))</f>
        <v>0</v>
      </c>
      <c r="I132" s="570">
        <f t="shared" si="15"/>
        <v>0</v>
      </c>
      <c r="J132" s="571">
        <f t="shared" si="16"/>
        <v>0</v>
      </c>
      <c r="K132" s="571">
        <f t="shared" si="17"/>
        <v>0</v>
      </c>
      <c r="L132" s="1291">
        <f t="shared" si="13"/>
        <v>0</v>
      </c>
    </row>
    <row r="133" spans="1:12" s="20" customFormat="1" hidden="1" x14ac:dyDescent="0.2">
      <c r="A133" s="419" t="s">
        <v>480</v>
      </c>
      <c r="B133" s="419"/>
      <c r="C133" s="568">
        <f t="shared" si="14"/>
        <v>0</v>
      </c>
      <c r="D133" s="569">
        <v>0</v>
      </c>
      <c r="E133" s="569">
        <v>0</v>
      </c>
      <c r="F133" s="569">
        <v>0</v>
      </c>
      <c r="G133" s="569">
        <v>0</v>
      </c>
      <c r="H133" s="569">
        <f t="array" ref="H133">SUM(IF('6. Class A Consumption Data'!N329:O329="B",'6. Class A Consumption Data'!N327:O327))</f>
        <v>0</v>
      </c>
      <c r="I133" s="570">
        <f t="shared" si="15"/>
        <v>0</v>
      </c>
      <c r="J133" s="571">
        <f t="shared" si="16"/>
        <v>0</v>
      </c>
      <c r="K133" s="571">
        <f t="shared" si="17"/>
        <v>0</v>
      </c>
      <c r="L133" s="1291">
        <f t="shared" si="13"/>
        <v>0</v>
      </c>
    </row>
    <row r="134" spans="1:12" s="20" customFormat="1" hidden="1" x14ac:dyDescent="0.2">
      <c r="A134" s="419" t="s">
        <v>481</v>
      </c>
      <c r="B134" s="419"/>
      <c r="C134" s="568">
        <f t="shared" si="14"/>
        <v>0</v>
      </c>
      <c r="D134" s="569">
        <v>0</v>
      </c>
      <c r="E134" s="569">
        <v>0</v>
      </c>
      <c r="F134" s="569">
        <v>0</v>
      </c>
      <c r="G134" s="569">
        <v>0</v>
      </c>
      <c r="H134" s="569">
        <f t="array" ref="H134">SUM(IF('6. Class A Consumption Data'!N332:O332="B",'6. Class A Consumption Data'!N330:O330))</f>
        <v>0</v>
      </c>
      <c r="I134" s="570">
        <f t="shared" si="15"/>
        <v>0</v>
      </c>
      <c r="J134" s="571">
        <f t="shared" si="16"/>
        <v>0</v>
      </c>
      <c r="K134" s="571">
        <f t="shared" si="17"/>
        <v>0</v>
      </c>
      <c r="L134" s="1291">
        <f t="shared" si="13"/>
        <v>0</v>
      </c>
    </row>
    <row r="135" spans="1:12" s="20" customFormat="1" hidden="1" x14ac:dyDescent="0.2">
      <c r="A135" s="419" t="s">
        <v>482</v>
      </c>
      <c r="B135" s="419"/>
      <c r="C135" s="568">
        <f t="shared" si="14"/>
        <v>0</v>
      </c>
      <c r="D135" s="569">
        <v>0</v>
      </c>
      <c r="E135" s="569">
        <v>0</v>
      </c>
      <c r="F135" s="569">
        <v>0</v>
      </c>
      <c r="G135" s="569">
        <v>0</v>
      </c>
      <c r="H135" s="569">
        <f t="array" ref="H135">SUM(IF('6. Class A Consumption Data'!N335:O335="B",'6. Class A Consumption Data'!N333:O333))</f>
        <v>0</v>
      </c>
      <c r="I135" s="570">
        <f t="shared" si="15"/>
        <v>0</v>
      </c>
      <c r="J135" s="571">
        <f t="shared" si="16"/>
        <v>0</v>
      </c>
      <c r="K135" s="571">
        <f t="shared" si="17"/>
        <v>0</v>
      </c>
      <c r="L135" s="1291">
        <f t="shared" si="13"/>
        <v>0</v>
      </c>
    </row>
    <row r="136" spans="1:12" s="20" customFormat="1" hidden="1" x14ac:dyDescent="0.2">
      <c r="A136" s="419" t="s">
        <v>483</v>
      </c>
      <c r="B136" s="419"/>
      <c r="C136" s="568">
        <f t="shared" si="14"/>
        <v>0</v>
      </c>
      <c r="D136" s="569">
        <v>0</v>
      </c>
      <c r="E136" s="569">
        <v>0</v>
      </c>
      <c r="F136" s="569">
        <v>0</v>
      </c>
      <c r="G136" s="569">
        <v>0</v>
      </c>
      <c r="H136" s="569">
        <f t="array" ref="H136">SUM(IF('6. Class A Consumption Data'!N338:O338="B",'6. Class A Consumption Data'!N336:O336))</f>
        <v>0</v>
      </c>
      <c r="I136" s="570">
        <f t="shared" si="15"/>
        <v>0</v>
      </c>
      <c r="J136" s="571">
        <f t="shared" si="16"/>
        <v>0</v>
      </c>
      <c r="K136" s="571">
        <f t="shared" si="17"/>
        <v>0</v>
      </c>
      <c r="L136" s="1291">
        <f t="shared" si="13"/>
        <v>0</v>
      </c>
    </row>
    <row r="137" spans="1:12" s="20" customFormat="1" hidden="1" x14ac:dyDescent="0.2">
      <c r="A137" s="419" t="s">
        <v>484</v>
      </c>
      <c r="B137" s="419"/>
      <c r="C137" s="568">
        <f t="shared" si="14"/>
        <v>0</v>
      </c>
      <c r="D137" s="569">
        <v>0</v>
      </c>
      <c r="E137" s="569">
        <v>0</v>
      </c>
      <c r="F137" s="569">
        <v>0</v>
      </c>
      <c r="G137" s="569">
        <v>0</v>
      </c>
      <c r="H137" s="569">
        <f t="array" ref="H137">SUM(IF('6. Class A Consumption Data'!N341:O341="B",'6. Class A Consumption Data'!N339:O339))</f>
        <v>0</v>
      </c>
      <c r="I137" s="570">
        <f t="shared" si="15"/>
        <v>0</v>
      </c>
      <c r="J137" s="571">
        <f t="shared" si="16"/>
        <v>0</v>
      </c>
      <c r="K137" s="571">
        <f t="shared" si="17"/>
        <v>0</v>
      </c>
      <c r="L137" s="1291">
        <f t="shared" si="13"/>
        <v>0</v>
      </c>
    </row>
    <row r="138" spans="1:12" s="20" customFormat="1" hidden="1" x14ac:dyDescent="0.2">
      <c r="A138" s="419" t="s">
        <v>485</v>
      </c>
      <c r="B138" s="419"/>
      <c r="C138" s="568">
        <f t="shared" si="14"/>
        <v>0</v>
      </c>
      <c r="D138" s="569">
        <v>0</v>
      </c>
      <c r="E138" s="569">
        <v>0</v>
      </c>
      <c r="F138" s="569">
        <v>0</v>
      </c>
      <c r="G138" s="569">
        <v>0</v>
      </c>
      <c r="H138" s="569">
        <f t="array" ref="H138">SUM(IF('6. Class A Consumption Data'!N344:O344="B",'6. Class A Consumption Data'!N342:O342))</f>
        <v>0</v>
      </c>
      <c r="I138" s="570">
        <f t="shared" si="15"/>
        <v>0</v>
      </c>
      <c r="J138" s="571">
        <f t="shared" si="16"/>
        <v>0</v>
      </c>
      <c r="K138" s="571">
        <f t="shared" si="17"/>
        <v>0</v>
      </c>
      <c r="L138" s="1291">
        <f t="shared" si="13"/>
        <v>0</v>
      </c>
    </row>
    <row r="139" spans="1:12" s="20" customFormat="1" hidden="1" x14ac:dyDescent="0.2">
      <c r="A139" s="419" t="s">
        <v>486</v>
      </c>
      <c r="B139" s="419"/>
      <c r="C139" s="568">
        <f t="shared" si="14"/>
        <v>0</v>
      </c>
      <c r="D139" s="569">
        <v>0</v>
      </c>
      <c r="E139" s="569">
        <v>0</v>
      </c>
      <c r="F139" s="569">
        <v>0</v>
      </c>
      <c r="G139" s="569">
        <v>0</v>
      </c>
      <c r="H139" s="569">
        <f t="array" ref="H139">SUM(IF('6. Class A Consumption Data'!N347:O347="B",'6. Class A Consumption Data'!N345:O345))</f>
        <v>0</v>
      </c>
      <c r="I139" s="570">
        <f t="shared" si="15"/>
        <v>0</v>
      </c>
      <c r="J139" s="571">
        <f t="shared" si="16"/>
        <v>0</v>
      </c>
      <c r="K139" s="571">
        <f t="shared" si="17"/>
        <v>0</v>
      </c>
      <c r="L139" s="1291">
        <f t="shared" si="13"/>
        <v>0</v>
      </c>
    </row>
    <row r="140" spans="1:12" s="20" customFormat="1" hidden="1" x14ac:dyDescent="0.2">
      <c r="A140" s="419" t="s">
        <v>487</v>
      </c>
      <c r="B140" s="419"/>
      <c r="C140" s="568">
        <f t="shared" si="14"/>
        <v>0</v>
      </c>
      <c r="D140" s="569">
        <v>0</v>
      </c>
      <c r="E140" s="569">
        <v>0</v>
      </c>
      <c r="F140" s="569">
        <v>0</v>
      </c>
      <c r="G140" s="569">
        <v>0</v>
      </c>
      <c r="H140" s="569">
        <f t="array" ref="H140">SUM(IF('6. Class A Consumption Data'!N350:O350="B",'6. Class A Consumption Data'!N348:O348))</f>
        <v>0</v>
      </c>
      <c r="I140" s="570">
        <f t="shared" si="15"/>
        <v>0</v>
      </c>
      <c r="J140" s="571">
        <f t="shared" si="16"/>
        <v>0</v>
      </c>
      <c r="K140" s="571">
        <f t="shared" si="17"/>
        <v>0</v>
      </c>
      <c r="L140" s="1291">
        <f t="shared" si="13"/>
        <v>0</v>
      </c>
    </row>
    <row r="141" spans="1:12" s="20" customFormat="1" hidden="1" x14ac:dyDescent="0.2">
      <c r="A141" s="419" t="s">
        <v>488</v>
      </c>
      <c r="B141" s="419"/>
      <c r="C141" s="568">
        <f t="shared" si="14"/>
        <v>0</v>
      </c>
      <c r="D141" s="569">
        <v>0</v>
      </c>
      <c r="E141" s="569">
        <v>0</v>
      </c>
      <c r="F141" s="569">
        <v>0</v>
      </c>
      <c r="G141" s="569">
        <v>0</v>
      </c>
      <c r="H141" s="569">
        <f t="array" ref="H141">SUM(IF('6. Class A Consumption Data'!N353:O353="B",'6. Class A Consumption Data'!N351:O351))</f>
        <v>0</v>
      </c>
      <c r="I141" s="570">
        <f t="shared" si="15"/>
        <v>0</v>
      </c>
      <c r="J141" s="571">
        <f t="shared" si="16"/>
        <v>0</v>
      </c>
      <c r="K141" s="571">
        <f t="shared" si="17"/>
        <v>0</v>
      </c>
      <c r="L141" s="1291">
        <f t="shared" si="13"/>
        <v>0</v>
      </c>
    </row>
    <row r="142" spans="1:12" s="20" customFormat="1" hidden="1" x14ac:dyDescent="0.2">
      <c r="A142" s="419" t="s">
        <v>489</v>
      </c>
      <c r="B142" s="419"/>
      <c r="C142" s="568">
        <f t="shared" si="14"/>
        <v>0</v>
      </c>
      <c r="D142" s="569">
        <v>0</v>
      </c>
      <c r="E142" s="569">
        <v>0</v>
      </c>
      <c r="F142" s="569">
        <v>0</v>
      </c>
      <c r="G142" s="569">
        <v>0</v>
      </c>
      <c r="H142" s="569">
        <f t="array" ref="H142">SUM(IF('6. Class A Consumption Data'!N356:O356="B",'6. Class A Consumption Data'!N354:O354))</f>
        <v>0</v>
      </c>
      <c r="I142" s="570">
        <f t="shared" si="15"/>
        <v>0</v>
      </c>
      <c r="J142" s="571">
        <f t="shared" si="16"/>
        <v>0</v>
      </c>
      <c r="K142" s="571">
        <f t="shared" si="17"/>
        <v>0</v>
      </c>
      <c r="L142" s="1291">
        <f t="shared" si="13"/>
        <v>0</v>
      </c>
    </row>
    <row r="143" spans="1:12" s="20" customFormat="1" hidden="1" x14ac:dyDescent="0.2">
      <c r="A143" s="419" t="s">
        <v>490</v>
      </c>
      <c r="B143" s="419"/>
      <c r="C143" s="568">
        <f t="shared" si="14"/>
        <v>0</v>
      </c>
      <c r="D143" s="569">
        <v>0</v>
      </c>
      <c r="E143" s="569">
        <v>0</v>
      </c>
      <c r="F143" s="569">
        <v>0</v>
      </c>
      <c r="G143" s="569">
        <v>0</v>
      </c>
      <c r="H143" s="569">
        <f t="array" ref="H143">SUM(IF('6. Class A Consumption Data'!N359:O359="B",'6. Class A Consumption Data'!N357:O357))</f>
        <v>0</v>
      </c>
      <c r="I143" s="570">
        <f t="shared" si="15"/>
        <v>0</v>
      </c>
      <c r="J143" s="571">
        <f t="shared" si="16"/>
        <v>0</v>
      </c>
      <c r="K143" s="571">
        <f t="shared" si="17"/>
        <v>0</v>
      </c>
      <c r="L143" s="1291">
        <f t="shared" si="13"/>
        <v>0</v>
      </c>
    </row>
    <row r="144" spans="1:12" s="20" customFormat="1" hidden="1" x14ac:dyDescent="0.2">
      <c r="A144" s="419" t="s">
        <v>491</v>
      </c>
      <c r="B144" s="419"/>
      <c r="C144" s="568">
        <f t="shared" si="14"/>
        <v>0</v>
      </c>
      <c r="D144" s="569">
        <v>0</v>
      </c>
      <c r="E144" s="569">
        <v>0</v>
      </c>
      <c r="F144" s="569">
        <v>0</v>
      </c>
      <c r="G144" s="569">
        <v>0</v>
      </c>
      <c r="H144" s="569">
        <f t="array" ref="H144">SUM(IF('6. Class A Consumption Data'!N362:O362="B",'6. Class A Consumption Data'!N360:O360))</f>
        <v>0</v>
      </c>
      <c r="I144" s="570">
        <f t="shared" si="15"/>
        <v>0</v>
      </c>
      <c r="J144" s="571">
        <f t="shared" si="16"/>
        <v>0</v>
      </c>
      <c r="K144" s="571">
        <f t="shared" si="17"/>
        <v>0</v>
      </c>
      <c r="L144" s="1291">
        <f t="shared" si="13"/>
        <v>0</v>
      </c>
    </row>
    <row r="145" spans="1:12" s="20" customFormat="1" hidden="1" x14ac:dyDescent="0.2">
      <c r="A145" s="419" t="s">
        <v>492</v>
      </c>
      <c r="B145" s="419"/>
      <c r="C145" s="568">
        <f t="shared" si="14"/>
        <v>0</v>
      </c>
      <c r="D145" s="569">
        <v>0</v>
      </c>
      <c r="E145" s="569">
        <v>0</v>
      </c>
      <c r="F145" s="569">
        <v>0</v>
      </c>
      <c r="G145" s="569">
        <v>0</v>
      </c>
      <c r="H145" s="569">
        <f t="array" ref="H145">SUM(IF('6. Class A Consumption Data'!N365:O365="B",'6. Class A Consumption Data'!N363:O363))</f>
        <v>0</v>
      </c>
      <c r="I145" s="570">
        <f t="shared" si="15"/>
        <v>0</v>
      </c>
      <c r="J145" s="571">
        <f t="shared" si="16"/>
        <v>0</v>
      </c>
      <c r="K145" s="571">
        <f t="shared" si="17"/>
        <v>0</v>
      </c>
      <c r="L145" s="1291">
        <f t="shared" si="13"/>
        <v>0</v>
      </c>
    </row>
    <row r="146" spans="1:12" s="20" customFormat="1" hidden="1" x14ac:dyDescent="0.2">
      <c r="A146" s="419" t="s">
        <v>493</v>
      </c>
      <c r="B146" s="419"/>
      <c r="C146" s="568">
        <f t="shared" si="14"/>
        <v>0</v>
      </c>
      <c r="D146" s="569">
        <v>0</v>
      </c>
      <c r="E146" s="569">
        <v>0</v>
      </c>
      <c r="F146" s="569">
        <v>0</v>
      </c>
      <c r="G146" s="569">
        <v>0</v>
      </c>
      <c r="H146" s="569">
        <f t="array" ref="H146">SUM(IF('6. Class A Consumption Data'!N368:O368="B",'6. Class A Consumption Data'!N366:O366))</f>
        <v>0</v>
      </c>
      <c r="I146" s="570">
        <f t="shared" si="15"/>
        <v>0</v>
      </c>
      <c r="J146" s="571">
        <f t="shared" si="16"/>
        <v>0</v>
      </c>
      <c r="K146" s="571">
        <f t="shared" si="17"/>
        <v>0</v>
      </c>
      <c r="L146" s="1291">
        <f t="shared" si="13"/>
        <v>0</v>
      </c>
    </row>
    <row r="147" spans="1:12" s="20" customFormat="1" hidden="1" x14ac:dyDescent="0.2">
      <c r="A147" s="419" t="s">
        <v>494</v>
      </c>
      <c r="B147" s="419"/>
      <c r="C147" s="568">
        <f t="shared" si="14"/>
        <v>0</v>
      </c>
      <c r="D147" s="569">
        <v>0</v>
      </c>
      <c r="E147" s="569">
        <v>0</v>
      </c>
      <c r="F147" s="569">
        <v>0</v>
      </c>
      <c r="G147" s="569">
        <v>0</v>
      </c>
      <c r="H147" s="569">
        <f t="array" ref="H147">SUM(IF('6. Class A Consumption Data'!N371:O371="B",'6. Class A Consumption Data'!N369:O369))</f>
        <v>0</v>
      </c>
      <c r="I147" s="570">
        <f t="shared" si="15"/>
        <v>0</v>
      </c>
      <c r="J147" s="571">
        <f t="shared" si="16"/>
        <v>0</v>
      </c>
      <c r="K147" s="571">
        <f t="shared" si="17"/>
        <v>0</v>
      </c>
      <c r="L147" s="1291">
        <f t="shared" si="13"/>
        <v>0</v>
      </c>
    </row>
    <row r="148" spans="1:12" s="20" customFormat="1" hidden="1" x14ac:dyDescent="0.2">
      <c r="A148" s="419" t="s">
        <v>495</v>
      </c>
      <c r="B148" s="419"/>
      <c r="C148" s="568">
        <f t="shared" si="14"/>
        <v>0</v>
      </c>
      <c r="D148" s="569">
        <v>0</v>
      </c>
      <c r="E148" s="569">
        <v>0</v>
      </c>
      <c r="F148" s="569">
        <v>0</v>
      </c>
      <c r="G148" s="569">
        <v>0</v>
      </c>
      <c r="H148" s="569">
        <f t="array" ref="H148">SUM(IF('6. Class A Consumption Data'!N374:O374="B",'6. Class A Consumption Data'!N372:O372))</f>
        <v>0</v>
      </c>
      <c r="I148" s="570">
        <f t="shared" si="15"/>
        <v>0</v>
      </c>
      <c r="J148" s="571">
        <f t="shared" si="16"/>
        <v>0</v>
      </c>
      <c r="K148" s="571">
        <f t="shared" si="17"/>
        <v>0</v>
      </c>
      <c r="L148" s="1291">
        <f t="shared" si="13"/>
        <v>0</v>
      </c>
    </row>
    <row r="149" spans="1:12" s="20" customFormat="1" hidden="1" x14ac:dyDescent="0.2">
      <c r="A149" s="419" t="s">
        <v>496</v>
      </c>
      <c r="B149" s="419"/>
      <c r="C149" s="568">
        <f t="shared" si="14"/>
        <v>0</v>
      </c>
      <c r="D149" s="569">
        <v>0</v>
      </c>
      <c r="E149" s="569">
        <v>0</v>
      </c>
      <c r="F149" s="569">
        <v>0</v>
      </c>
      <c r="G149" s="569">
        <v>0</v>
      </c>
      <c r="H149" s="569">
        <f t="array" ref="H149">SUM(IF('6. Class A Consumption Data'!N377:O377="B",'6. Class A Consumption Data'!N375:O375))</f>
        <v>0</v>
      </c>
      <c r="I149" s="570">
        <f t="shared" si="15"/>
        <v>0</v>
      </c>
      <c r="J149" s="571">
        <f t="shared" si="16"/>
        <v>0</v>
      </c>
      <c r="K149" s="571">
        <f t="shared" si="17"/>
        <v>0</v>
      </c>
      <c r="L149" s="1291">
        <f t="shared" si="13"/>
        <v>0</v>
      </c>
    </row>
    <row r="150" spans="1:12" s="20" customFormat="1" hidden="1" x14ac:dyDescent="0.2">
      <c r="A150" s="419" t="s">
        <v>497</v>
      </c>
      <c r="B150" s="419"/>
      <c r="C150" s="568">
        <f t="shared" si="14"/>
        <v>0</v>
      </c>
      <c r="D150" s="569">
        <v>0</v>
      </c>
      <c r="E150" s="569">
        <v>0</v>
      </c>
      <c r="F150" s="569">
        <v>0</v>
      </c>
      <c r="G150" s="569">
        <v>0</v>
      </c>
      <c r="H150" s="569">
        <f t="array" ref="H150">SUM(IF('6. Class A Consumption Data'!N380:O380="B",'6. Class A Consumption Data'!N378:O378))</f>
        <v>0</v>
      </c>
      <c r="I150" s="570">
        <f t="shared" si="15"/>
        <v>0</v>
      </c>
      <c r="J150" s="571">
        <f t="shared" si="16"/>
        <v>0</v>
      </c>
      <c r="K150" s="571">
        <f t="shared" si="17"/>
        <v>0</v>
      </c>
      <c r="L150" s="1291">
        <f t="shared" si="13"/>
        <v>0</v>
      </c>
    </row>
    <row r="151" spans="1:12" s="20" customFormat="1" hidden="1" x14ac:dyDescent="0.2">
      <c r="A151" s="419" t="s">
        <v>498</v>
      </c>
      <c r="B151" s="419"/>
      <c r="C151" s="568">
        <f t="shared" si="14"/>
        <v>0</v>
      </c>
      <c r="D151" s="569">
        <v>0</v>
      </c>
      <c r="E151" s="569">
        <v>0</v>
      </c>
      <c r="F151" s="569">
        <v>0</v>
      </c>
      <c r="G151" s="569">
        <v>0</v>
      </c>
      <c r="H151" s="569">
        <f t="array" ref="H151">SUM(IF('6. Class A Consumption Data'!N383:O383="B",'6. Class A Consumption Data'!N381:O381))</f>
        <v>0</v>
      </c>
      <c r="I151" s="570">
        <f t="shared" si="15"/>
        <v>0</v>
      </c>
      <c r="J151" s="571">
        <f t="shared" si="16"/>
        <v>0</v>
      </c>
      <c r="K151" s="571">
        <f t="shared" si="17"/>
        <v>0</v>
      </c>
      <c r="L151" s="1291">
        <f t="shared" si="13"/>
        <v>0</v>
      </c>
    </row>
    <row r="152" spans="1:12" s="20" customFormat="1" hidden="1" x14ac:dyDescent="0.2">
      <c r="A152" s="419" t="s">
        <v>499</v>
      </c>
      <c r="B152" s="419"/>
      <c r="C152" s="568">
        <f t="shared" si="14"/>
        <v>0</v>
      </c>
      <c r="D152" s="569">
        <v>0</v>
      </c>
      <c r="E152" s="569">
        <v>0</v>
      </c>
      <c r="F152" s="569">
        <v>0</v>
      </c>
      <c r="G152" s="569">
        <v>0</v>
      </c>
      <c r="H152" s="569">
        <f t="array" ref="H152">SUM(IF('6. Class A Consumption Data'!N386:O386="B",'6. Class A Consumption Data'!N384:O384))</f>
        <v>0</v>
      </c>
      <c r="I152" s="570">
        <f t="shared" si="15"/>
        <v>0</v>
      </c>
      <c r="J152" s="571">
        <f t="shared" si="16"/>
        <v>0</v>
      </c>
      <c r="K152" s="571">
        <f t="shared" si="17"/>
        <v>0</v>
      </c>
      <c r="L152" s="1291">
        <f t="shared" si="13"/>
        <v>0</v>
      </c>
    </row>
    <row r="153" spans="1:12" s="20" customFormat="1" hidden="1" x14ac:dyDescent="0.2">
      <c r="A153" s="419" t="s">
        <v>500</v>
      </c>
      <c r="B153" s="419"/>
      <c r="C153" s="568">
        <f t="shared" si="14"/>
        <v>0</v>
      </c>
      <c r="D153" s="569">
        <v>0</v>
      </c>
      <c r="E153" s="569">
        <v>0</v>
      </c>
      <c r="F153" s="569">
        <v>0</v>
      </c>
      <c r="G153" s="569">
        <v>0</v>
      </c>
      <c r="H153" s="569">
        <f t="array" ref="H153">SUM(IF('6. Class A Consumption Data'!N389:O389="B",'6. Class A Consumption Data'!N387:O387))</f>
        <v>0</v>
      </c>
      <c r="I153" s="570">
        <f t="shared" si="15"/>
        <v>0</v>
      </c>
      <c r="J153" s="571">
        <f t="shared" si="16"/>
        <v>0</v>
      </c>
      <c r="K153" s="571">
        <f t="shared" si="17"/>
        <v>0</v>
      </c>
      <c r="L153" s="1291">
        <f t="shared" si="13"/>
        <v>0</v>
      </c>
    </row>
    <row r="154" spans="1:12" s="20" customFormat="1" hidden="1" x14ac:dyDescent="0.2">
      <c r="A154" s="419" t="s">
        <v>501</v>
      </c>
      <c r="B154" s="419"/>
      <c r="C154" s="568">
        <f t="shared" si="14"/>
        <v>0</v>
      </c>
      <c r="D154" s="569">
        <v>0</v>
      </c>
      <c r="E154" s="569">
        <v>0</v>
      </c>
      <c r="F154" s="569">
        <v>0</v>
      </c>
      <c r="G154" s="569">
        <v>0</v>
      </c>
      <c r="H154" s="569">
        <f t="array" ref="H154">SUM(IF('6. Class A Consumption Data'!N392:O392="B",'6. Class A Consumption Data'!N390:O390))</f>
        <v>0</v>
      </c>
      <c r="I154" s="570">
        <f t="shared" si="15"/>
        <v>0</v>
      </c>
      <c r="J154" s="571">
        <f t="shared" si="16"/>
        <v>0</v>
      </c>
      <c r="K154" s="571">
        <f t="shared" si="17"/>
        <v>0</v>
      </c>
      <c r="L154" s="1291">
        <f t="shared" si="13"/>
        <v>0</v>
      </c>
    </row>
    <row r="155" spans="1:12" s="20" customFormat="1" hidden="1" x14ac:dyDescent="0.2">
      <c r="A155" s="419" t="s">
        <v>502</v>
      </c>
      <c r="B155" s="419"/>
      <c r="C155" s="568">
        <f t="shared" si="14"/>
        <v>0</v>
      </c>
      <c r="D155" s="569">
        <v>0</v>
      </c>
      <c r="E155" s="569">
        <v>0</v>
      </c>
      <c r="F155" s="569">
        <v>0</v>
      </c>
      <c r="G155" s="569">
        <v>0</v>
      </c>
      <c r="H155" s="569">
        <f t="array" ref="H155">SUM(IF('6. Class A Consumption Data'!N395:O395="B",'6. Class A Consumption Data'!N393:O393))</f>
        <v>0</v>
      </c>
      <c r="I155" s="570">
        <f t="shared" si="15"/>
        <v>0</v>
      </c>
      <c r="J155" s="571">
        <f t="shared" si="16"/>
        <v>0</v>
      </c>
      <c r="K155" s="571">
        <f t="shared" si="17"/>
        <v>0</v>
      </c>
      <c r="L155" s="1291">
        <f t="shared" si="13"/>
        <v>0</v>
      </c>
    </row>
    <row r="156" spans="1:12" s="20" customFormat="1" ht="15" hidden="1" customHeight="1" x14ac:dyDescent="0.2">
      <c r="A156" s="419" t="s">
        <v>503</v>
      </c>
      <c r="B156" s="419"/>
      <c r="C156" s="568">
        <f t="shared" si="14"/>
        <v>0</v>
      </c>
      <c r="D156" s="569">
        <v>0</v>
      </c>
      <c r="E156" s="569">
        <v>0</v>
      </c>
      <c r="F156" s="569">
        <v>0</v>
      </c>
      <c r="G156" s="569">
        <v>0</v>
      </c>
      <c r="H156" s="569">
        <f t="array" ref="H156">SUM(IF('6. Class A Consumption Data'!N398:O398="B",'6. Class A Consumption Data'!N396:O396))</f>
        <v>0</v>
      </c>
      <c r="I156" s="570">
        <f t="shared" si="15"/>
        <v>0</v>
      </c>
      <c r="J156" s="571">
        <f t="shared" si="16"/>
        <v>0</v>
      </c>
      <c r="K156" s="571">
        <f t="shared" si="17"/>
        <v>0</v>
      </c>
      <c r="L156" s="1291">
        <f t="shared" si="13"/>
        <v>0</v>
      </c>
    </row>
    <row r="157" spans="1:12" s="20" customFormat="1" hidden="1" x14ac:dyDescent="0.2">
      <c r="A157" s="419" t="s">
        <v>504</v>
      </c>
      <c r="B157" s="419"/>
      <c r="C157" s="568">
        <f t="shared" si="14"/>
        <v>0</v>
      </c>
      <c r="D157" s="569">
        <v>0</v>
      </c>
      <c r="E157" s="569">
        <v>0</v>
      </c>
      <c r="F157" s="569">
        <v>0</v>
      </c>
      <c r="G157" s="569">
        <v>0</v>
      </c>
      <c r="H157" s="569">
        <f t="array" ref="H157">SUM(IF('6. Class A Consumption Data'!N401:O401="B",'6. Class A Consumption Data'!N399:O399))</f>
        <v>0</v>
      </c>
      <c r="I157" s="570">
        <f t="shared" si="15"/>
        <v>0</v>
      </c>
      <c r="J157" s="571">
        <f t="shared" si="16"/>
        <v>0</v>
      </c>
      <c r="K157" s="571">
        <f t="shared" si="17"/>
        <v>0</v>
      </c>
      <c r="L157" s="1291">
        <f t="shared" si="13"/>
        <v>0</v>
      </c>
    </row>
    <row r="158" spans="1:12" s="20" customFormat="1" hidden="1" x14ac:dyDescent="0.2">
      <c r="A158" s="419" t="s">
        <v>505</v>
      </c>
      <c r="B158" s="419"/>
      <c r="C158" s="568">
        <f t="shared" si="14"/>
        <v>0</v>
      </c>
      <c r="D158" s="569">
        <v>0</v>
      </c>
      <c r="E158" s="569">
        <v>0</v>
      </c>
      <c r="F158" s="569">
        <v>0</v>
      </c>
      <c r="G158" s="569">
        <v>0</v>
      </c>
      <c r="H158" s="569">
        <f t="array" ref="H158">SUM(IF('6. Class A Consumption Data'!N404:O404="B",'6. Class A Consumption Data'!N402:O402))</f>
        <v>0</v>
      </c>
      <c r="I158" s="570">
        <f t="shared" si="15"/>
        <v>0</v>
      </c>
      <c r="J158" s="571">
        <f t="shared" si="16"/>
        <v>0</v>
      </c>
      <c r="K158" s="571">
        <f t="shared" si="17"/>
        <v>0</v>
      </c>
      <c r="L158" s="1291">
        <f t="shared" si="13"/>
        <v>0</v>
      </c>
    </row>
    <row r="159" spans="1:12" s="20" customFormat="1" hidden="1" x14ac:dyDescent="0.2">
      <c r="A159" s="419" t="s">
        <v>506</v>
      </c>
      <c r="B159" s="419"/>
      <c r="C159" s="568">
        <f t="shared" si="14"/>
        <v>0</v>
      </c>
      <c r="D159" s="569">
        <v>0</v>
      </c>
      <c r="E159" s="569">
        <v>0</v>
      </c>
      <c r="F159" s="569">
        <v>0</v>
      </c>
      <c r="G159" s="569">
        <v>0</v>
      </c>
      <c r="H159" s="569">
        <f t="array" ref="H159">SUM(IF('6. Class A Consumption Data'!N407:O407="B",'6. Class A Consumption Data'!N405:O405))</f>
        <v>0</v>
      </c>
      <c r="I159" s="570">
        <f t="shared" si="15"/>
        <v>0</v>
      </c>
      <c r="J159" s="571">
        <f t="shared" si="16"/>
        <v>0</v>
      </c>
      <c r="K159" s="571">
        <f t="shared" si="17"/>
        <v>0</v>
      </c>
      <c r="L159" s="1291">
        <f t="shared" si="13"/>
        <v>0</v>
      </c>
    </row>
    <row r="160" spans="1:12" s="20" customFormat="1" hidden="1" x14ac:dyDescent="0.2">
      <c r="A160" s="419" t="s">
        <v>507</v>
      </c>
      <c r="B160" s="419"/>
      <c r="C160" s="568">
        <f t="shared" si="14"/>
        <v>0</v>
      </c>
      <c r="D160" s="569">
        <v>0</v>
      </c>
      <c r="E160" s="569">
        <v>0</v>
      </c>
      <c r="F160" s="569">
        <v>0</v>
      </c>
      <c r="G160" s="569">
        <v>0</v>
      </c>
      <c r="H160" s="569">
        <f t="array" ref="H160">SUM(IF('6. Class A Consumption Data'!N410:O410="B",'6. Class A Consumption Data'!N408:O408))</f>
        <v>0</v>
      </c>
      <c r="I160" s="570">
        <f t="shared" si="15"/>
        <v>0</v>
      </c>
      <c r="J160" s="571">
        <f t="shared" si="16"/>
        <v>0</v>
      </c>
      <c r="K160" s="571">
        <f t="shared" si="17"/>
        <v>0</v>
      </c>
      <c r="L160" s="1291">
        <f t="shared" si="13"/>
        <v>0</v>
      </c>
    </row>
    <row r="161" spans="1:12" s="20" customFormat="1" hidden="1" x14ac:dyDescent="0.2">
      <c r="A161" s="419" t="s">
        <v>508</v>
      </c>
      <c r="B161" s="419"/>
      <c r="C161" s="568">
        <f t="shared" si="14"/>
        <v>0</v>
      </c>
      <c r="D161" s="569">
        <v>0</v>
      </c>
      <c r="E161" s="569">
        <v>0</v>
      </c>
      <c r="F161" s="569">
        <v>0</v>
      </c>
      <c r="G161" s="569">
        <v>0</v>
      </c>
      <c r="H161" s="569">
        <f t="array" ref="H161">SUM(IF('6. Class A Consumption Data'!N413:O413="B",'6. Class A Consumption Data'!N411:O411))</f>
        <v>0</v>
      </c>
      <c r="I161" s="570">
        <f t="shared" si="15"/>
        <v>0</v>
      </c>
      <c r="J161" s="571">
        <f t="shared" si="16"/>
        <v>0</v>
      </c>
      <c r="K161" s="571">
        <f t="shared" si="17"/>
        <v>0</v>
      </c>
      <c r="L161" s="1291">
        <f t="shared" si="13"/>
        <v>0</v>
      </c>
    </row>
    <row r="162" spans="1:12" s="20" customFormat="1" hidden="1" x14ac:dyDescent="0.2">
      <c r="A162" s="419" t="s">
        <v>509</v>
      </c>
      <c r="B162" s="419"/>
      <c r="C162" s="568">
        <f t="shared" ref="C162:C183" si="18">SUM(D162:G162)</f>
        <v>0</v>
      </c>
      <c r="D162" s="569">
        <v>0</v>
      </c>
      <c r="E162" s="569">
        <v>0</v>
      </c>
      <c r="F162" s="569">
        <v>0</v>
      </c>
      <c r="G162" s="569">
        <v>0</v>
      </c>
      <c r="H162" s="569">
        <f t="array" ref="H162">SUM(IF('6. Class A Consumption Data'!N416:O416="B",'6. Class A Consumption Data'!N414:O414))</f>
        <v>0</v>
      </c>
      <c r="I162" s="570">
        <f t="shared" ref="I162:I183" si="19">IFERROR(+C162/($C$184),0)</f>
        <v>0</v>
      </c>
      <c r="J162" s="571">
        <f t="shared" ref="J162:J183" si="20">+I162*$C$28</f>
        <v>0</v>
      </c>
      <c r="K162" s="571">
        <f t="shared" ref="K162:K183" si="21">+J162/12</f>
        <v>0</v>
      </c>
      <c r="L162" s="1291">
        <f t="shared" si="13"/>
        <v>0</v>
      </c>
    </row>
    <row r="163" spans="1:12" s="20" customFormat="1" hidden="1" x14ac:dyDescent="0.2">
      <c r="A163" s="419" t="s">
        <v>510</v>
      </c>
      <c r="B163" s="419"/>
      <c r="C163" s="568">
        <f t="shared" si="18"/>
        <v>0</v>
      </c>
      <c r="D163" s="569">
        <v>0</v>
      </c>
      <c r="E163" s="569">
        <v>0</v>
      </c>
      <c r="F163" s="569">
        <v>0</v>
      </c>
      <c r="G163" s="569">
        <v>0</v>
      </c>
      <c r="H163" s="569">
        <f t="array" ref="H163">SUM(IF('6. Class A Consumption Data'!N419:O419="B",'6. Class A Consumption Data'!N417:O417))</f>
        <v>0</v>
      </c>
      <c r="I163" s="570">
        <f t="shared" si="19"/>
        <v>0</v>
      </c>
      <c r="J163" s="571">
        <f t="shared" si="20"/>
        <v>0</v>
      </c>
      <c r="K163" s="571">
        <f t="shared" si="21"/>
        <v>0</v>
      </c>
      <c r="L163" s="1291">
        <f t="shared" ref="L163:L183" si="22">K163/12</f>
        <v>0</v>
      </c>
    </row>
    <row r="164" spans="1:12" s="20" customFormat="1" hidden="1" x14ac:dyDescent="0.2">
      <c r="A164" s="419" t="s">
        <v>511</v>
      </c>
      <c r="B164" s="419"/>
      <c r="C164" s="568">
        <f t="shared" si="18"/>
        <v>0</v>
      </c>
      <c r="D164" s="569">
        <v>0</v>
      </c>
      <c r="E164" s="569">
        <v>0</v>
      </c>
      <c r="F164" s="569">
        <v>0</v>
      </c>
      <c r="G164" s="569">
        <v>0</v>
      </c>
      <c r="H164" s="569">
        <f t="array" ref="H164">SUM(IF('6. Class A Consumption Data'!N422:O422="B",'6. Class A Consumption Data'!N420:O420))</f>
        <v>0</v>
      </c>
      <c r="I164" s="570">
        <f t="shared" si="19"/>
        <v>0</v>
      </c>
      <c r="J164" s="571">
        <f t="shared" si="20"/>
        <v>0</v>
      </c>
      <c r="K164" s="571">
        <f t="shared" si="21"/>
        <v>0</v>
      </c>
      <c r="L164" s="1291">
        <f t="shared" si="22"/>
        <v>0</v>
      </c>
    </row>
    <row r="165" spans="1:12" s="20" customFormat="1" hidden="1" x14ac:dyDescent="0.2">
      <c r="A165" s="419" t="s">
        <v>512</v>
      </c>
      <c r="B165" s="419"/>
      <c r="C165" s="568">
        <f t="shared" si="18"/>
        <v>0</v>
      </c>
      <c r="D165" s="569">
        <v>0</v>
      </c>
      <c r="E165" s="569">
        <v>0</v>
      </c>
      <c r="F165" s="569">
        <v>0</v>
      </c>
      <c r="G165" s="569">
        <v>0</v>
      </c>
      <c r="H165" s="569">
        <f t="array" ref="H165">SUM(IF('6. Class A Consumption Data'!N425:O425="B",'6. Class A Consumption Data'!N423:O423))</f>
        <v>0</v>
      </c>
      <c r="I165" s="570">
        <f t="shared" si="19"/>
        <v>0</v>
      </c>
      <c r="J165" s="571">
        <f t="shared" si="20"/>
        <v>0</v>
      </c>
      <c r="K165" s="571">
        <f t="shared" si="21"/>
        <v>0</v>
      </c>
      <c r="L165" s="1291">
        <f t="shared" si="22"/>
        <v>0</v>
      </c>
    </row>
    <row r="166" spans="1:12" s="20" customFormat="1" hidden="1" x14ac:dyDescent="0.2">
      <c r="A166" s="419" t="s">
        <v>513</v>
      </c>
      <c r="B166" s="419"/>
      <c r="C166" s="568">
        <f t="shared" si="18"/>
        <v>0</v>
      </c>
      <c r="D166" s="569">
        <v>0</v>
      </c>
      <c r="E166" s="569">
        <v>0</v>
      </c>
      <c r="F166" s="569">
        <v>0</v>
      </c>
      <c r="G166" s="569">
        <v>0</v>
      </c>
      <c r="H166" s="569">
        <f t="array" ref="H166">SUM(IF('6. Class A Consumption Data'!N428:O428="B",'6. Class A Consumption Data'!N426:O426))</f>
        <v>0</v>
      </c>
      <c r="I166" s="570">
        <f t="shared" si="19"/>
        <v>0</v>
      </c>
      <c r="J166" s="571">
        <f t="shared" si="20"/>
        <v>0</v>
      </c>
      <c r="K166" s="571">
        <f t="shared" si="21"/>
        <v>0</v>
      </c>
      <c r="L166" s="1291">
        <f t="shared" si="22"/>
        <v>0</v>
      </c>
    </row>
    <row r="167" spans="1:12" s="20" customFormat="1" hidden="1" x14ac:dyDescent="0.2">
      <c r="A167" s="419" t="s">
        <v>514</v>
      </c>
      <c r="B167" s="419"/>
      <c r="C167" s="568">
        <f t="shared" si="18"/>
        <v>0</v>
      </c>
      <c r="D167" s="569">
        <v>0</v>
      </c>
      <c r="E167" s="569">
        <v>0</v>
      </c>
      <c r="F167" s="569">
        <v>0</v>
      </c>
      <c r="G167" s="569">
        <v>0</v>
      </c>
      <c r="H167" s="569">
        <f t="array" ref="H167">SUM(IF('6. Class A Consumption Data'!N431:O431="B",'6. Class A Consumption Data'!N429:O429))</f>
        <v>0</v>
      </c>
      <c r="I167" s="570">
        <f t="shared" si="19"/>
        <v>0</v>
      </c>
      <c r="J167" s="571">
        <f t="shared" si="20"/>
        <v>0</v>
      </c>
      <c r="K167" s="571">
        <f t="shared" si="21"/>
        <v>0</v>
      </c>
      <c r="L167" s="1291">
        <f t="shared" si="22"/>
        <v>0</v>
      </c>
    </row>
    <row r="168" spans="1:12" s="20" customFormat="1" hidden="1" x14ac:dyDescent="0.2">
      <c r="A168" s="419" t="s">
        <v>515</v>
      </c>
      <c r="B168" s="419"/>
      <c r="C168" s="568">
        <f t="shared" si="18"/>
        <v>0</v>
      </c>
      <c r="D168" s="569">
        <v>0</v>
      </c>
      <c r="E168" s="569">
        <v>0</v>
      </c>
      <c r="F168" s="569">
        <v>0</v>
      </c>
      <c r="G168" s="569">
        <v>0</v>
      </c>
      <c r="H168" s="569">
        <f t="array" ref="H168">SUM(IF('6. Class A Consumption Data'!N434:O434="B",'6. Class A Consumption Data'!N432:O432))</f>
        <v>0</v>
      </c>
      <c r="I168" s="570">
        <f t="shared" si="19"/>
        <v>0</v>
      </c>
      <c r="J168" s="571">
        <f t="shared" si="20"/>
        <v>0</v>
      </c>
      <c r="K168" s="571">
        <f t="shared" si="21"/>
        <v>0</v>
      </c>
      <c r="L168" s="1291">
        <f t="shared" si="22"/>
        <v>0</v>
      </c>
    </row>
    <row r="169" spans="1:12" s="20" customFormat="1" hidden="1" x14ac:dyDescent="0.2">
      <c r="A169" s="419" t="s">
        <v>516</v>
      </c>
      <c r="B169" s="419"/>
      <c r="C169" s="568">
        <f t="shared" si="18"/>
        <v>0</v>
      </c>
      <c r="D169" s="569">
        <v>0</v>
      </c>
      <c r="E169" s="569">
        <v>0</v>
      </c>
      <c r="F169" s="569">
        <v>0</v>
      </c>
      <c r="G169" s="569">
        <v>0</v>
      </c>
      <c r="H169" s="569">
        <f t="array" ref="H169">SUM(IF('6. Class A Consumption Data'!N437:O437="B",'6. Class A Consumption Data'!N435:O435))</f>
        <v>0</v>
      </c>
      <c r="I169" s="570">
        <f t="shared" si="19"/>
        <v>0</v>
      </c>
      <c r="J169" s="571">
        <f t="shared" si="20"/>
        <v>0</v>
      </c>
      <c r="K169" s="571">
        <f t="shared" si="21"/>
        <v>0</v>
      </c>
      <c r="L169" s="1291">
        <f t="shared" si="22"/>
        <v>0</v>
      </c>
    </row>
    <row r="170" spans="1:12" s="20" customFormat="1" hidden="1" x14ac:dyDescent="0.2">
      <c r="A170" s="419" t="s">
        <v>517</v>
      </c>
      <c r="B170" s="419"/>
      <c r="C170" s="568">
        <f t="shared" si="18"/>
        <v>0</v>
      </c>
      <c r="D170" s="569">
        <v>0</v>
      </c>
      <c r="E170" s="569">
        <v>0</v>
      </c>
      <c r="F170" s="569">
        <v>0</v>
      </c>
      <c r="G170" s="569">
        <v>0</v>
      </c>
      <c r="H170" s="569">
        <f t="array" ref="H170">SUM(IF('6. Class A Consumption Data'!N440:O440="B",'6. Class A Consumption Data'!N438:O438))</f>
        <v>0</v>
      </c>
      <c r="I170" s="570">
        <f t="shared" si="19"/>
        <v>0</v>
      </c>
      <c r="J170" s="571">
        <f t="shared" si="20"/>
        <v>0</v>
      </c>
      <c r="K170" s="571">
        <f t="shared" si="21"/>
        <v>0</v>
      </c>
      <c r="L170" s="1291">
        <f t="shared" si="22"/>
        <v>0</v>
      </c>
    </row>
    <row r="171" spans="1:12" s="20" customFormat="1" hidden="1" x14ac:dyDescent="0.2">
      <c r="A171" s="419" t="s">
        <v>518</v>
      </c>
      <c r="B171" s="419"/>
      <c r="C171" s="568">
        <f t="shared" si="18"/>
        <v>0</v>
      </c>
      <c r="D171" s="569">
        <v>0</v>
      </c>
      <c r="E171" s="569">
        <v>0</v>
      </c>
      <c r="F171" s="569">
        <v>0</v>
      </c>
      <c r="G171" s="569">
        <v>0</v>
      </c>
      <c r="H171" s="569">
        <f t="array" ref="H171">SUM(IF('6. Class A Consumption Data'!N443:O443="B",'6. Class A Consumption Data'!N441:O441))</f>
        <v>0</v>
      </c>
      <c r="I171" s="570">
        <f t="shared" si="19"/>
        <v>0</v>
      </c>
      <c r="J171" s="571">
        <f t="shared" si="20"/>
        <v>0</v>
      </c>
      <c r="K171" s="571">
        <f t="shared" si="21"/>
        <v>0</v>
      </c>
      <c r="L171" s="1291">
        <f t="shared" si="22"/>
        <v>0</v>
      </c>
    </row>
    <row r="172" spans="1:12" s="20" customFormat="1" hidden="1" x14ac:dyDescent="0.2">
      <c r="A172" s="419" t="s">
        <v>519</v>
      </c>
      <c r="B172" s="419"/>
      <c r="C172" s="568">
        <f t="shared" si="18"/>
        <v>0</v>
      </c>
      <c r="D172" s="569">
        <v>0</v>
      </c>
      <c r="E172" s="569">
        <v>0</v>
      </c>
      <c r="F172" s="569">
        <v>0</v>
      </c>
      <c r="G172" s="569">
        <v>0</v>
      </c>
      <c r="H172" s="569">
        <f t="array" ref="H172">SUM(IF('6. Class A Consumption Data'!N446:O446="B",'6. Class A Consumption Data'!N444:O444))</f>
        <v>0</v>
      </c>
      <c r="I172" s="570">
        <f t="shared" si="19"/>
        <v>0</v>
      </c>
      <c r="J172" s="571">
        <f t="shared" si="20"/>
        <v>0</v>
      </c>
      <c r="K172" s="571">
        <f t="shared" si="21"/>
        <v>0</v>
      </c>
      <c r="L172" s="1291">
        <f t="shared" si="22"/>
        <v>0</v>
      </c>
    </row>
    <row r="173" spans="1:12" s="20" customFormat="1" hidden="1" x14ac:dyDescent="0.2">
      <c r="A173" s="419" t="s">
        <v>520</v>
      </c>
      <c r="B173" s="419"/>
      <c r="C173" s="568">
        <f t="shared" si="18"/>
        <v>0</v>
      </c>
      <c r="D173" s="569">
        <v>0</v>
      </c>
      <c r="E173" s="569">
        <v>0</v>
      </c>
      <c r="F173" s="569">
        <v>0</v>
      </c>
      <c r="G173" s="569">
        <v>0</v>
      </c>
      <c r="H173" s="569">
        <f t="array" ref="H173">SUM(IF('6. Class A Consumption Data'!N449:O449="B",'6. Class A Consumption Data'!N447:O447))</f>
        <v>0</v>
      </c>
      <c r="I173" s="570">
        <f t="shared" si="19"/>
        <v>0</v>
      </c>
      <c r="J173" s="571">
        <f t="shared" si="20"/>
        <v>0</v>
      </c>
      <c r="K173" s="571">
        <f t="shared" si="21"/>
        <v>0</v>
      </c>
      <c r="L173" s="1291">
        <f t="shared" si="22"/>
        <v>0</v>
      </c>
    </row>
    <row r="174" spans="1:12" s="20" customFormat="1" hidden="1" x14ac:dyDescent="0.2">
      <c r="A174" s="419" t="s">
        <v>521</v>
      </c>
      <c r="B174" s="419"/>
      <c r="C174" s="568">
        <f t="shared" si="18"/>
        <v>0</v>
      </c>
      <c r="D174" s="569">
        <v>0</v>
      </c>
      <c r="E174" s="569">
        <v>0</v>
      </c>
      <c r="F174" s="569">
        <v>0</v>
      </c>
      <c r="G174" s="569">
        <v>0</v>
      </c>
      <c r="H174" s="569">
        <f t="array" ref="H174">SUM(IF('6. Class A Consumption Data'!N452:O452="B",'6. Class A Consumption Data'!N450:O450))</f>
        <v>0</v>
      </c>
      <c r="I174" s="570">
        <f t="shared" si="19"/>
        <v>0</v>
      </c>
      <c r="J174" s="571">
        <f t="shared" si="20"/>
        <v>0</v>
      </c>
      <c r="K174" s="571">
        <f t="shared" si="21"/>
        <v>0</v>
      </c>
      <c r="L174" s="1291">
        <f t="shared" si="22"/>
        <v>0</v>
      </c>
    </row>
    <row r="175" spans="1:12" s="20" customFormat="1" hidden="1" x14ac:dyDescent="0.2">
      <c r="A175" s="419" t="s">
        <v>522</v>
      </c>
      <c r="B175" s="419"/>
      <c r="C175" s="568">
        <f t="shared" si="18"/>
        <v>0</v>
      </c>
      <c r="D175" s="569">
        <v>0</v>
      </c>
      <c r="E175" s="569">
        <v>0</v>
      </c>
      <c r="F175" s="569">
        <v>0</v>
      </c>
      <c r="G175" s="569">
        <v>0</v>
      </c>
      <c r="H175" s="569">
        <f t="array" ref="H175">SUM(IF('6. Class A Consumption Data'!N455:O455="B",'6. Class A Consumption Data'!N453:O453))</f>
        <v>0</v>
      </c>
      <c r="I175" s="570">
        <f t="shared" si="19"/>
        <v>0</v>
      </c>
      <c r="J175" s="571">
        <f t="shared" si="20"/>
        <v>0</v>
      </c>
      <c r="K175" s="571">
        <f t="shared" si="21"/>
        <v>0</v>
      </c>
      <c r="L175" s="1291">
        <f t="shared" si="22"/>
        <v>0</v>
      </c>
    </row>
    <row r="176" spans="1:12" s="20" customFormat="1" hidden="1" x14ac:dyDescent="0.2">
      <c r="A176" s="419" t="s">
        <v>523</v>
      </c>
      <c r="B176" s="419"/>
      <c r="C176" s="568">
        <f t="shared" si="18"/>
        <v>0</v>
      </c>
      <c r="D176" s="569">
        <v>0</v>
      </c>
      <c r="E176" s="569">
        <v>0</v>
      </c>
      <c r="F176" s="569">
        <v>0</v>
      </c>
      <c r="G176" s="569">
        <v>0</v>
      </c>
      <c r="H176" s="569">
        <f t="array" ref="H176">SUM(IF('6. Class A Consumption Data'!N458:O458="B",'6. Class A Consumption Data'!N456:O456))</f>
        <v>0</v>
      </c>
      <c r="I176" s="570">
        <f t="shared" si="19"/>
        <v>0</v>
      </c>
      <c r="J176" s="571">
        <f t="shared" si="20"/>
        <v>0</v>
      </c>
      <c r="K176" s="571">
        <f t="shared" si="21"/>
        <v>0</v>
      </c>
      <c r="L176" s="1291">
        <f t="shared" si="22"/>
        <v>0</v>
      </c>
    </row>
    <row r="177" spans="1:12" s="20" customFormat="1" hidden="1" x14ac:dyDescent="0.2">
      <c r="A177" s="419" t="s">
        <v>524</v>
      </c>
      <c r="B177" s="419"/>
      <c r="C177" s="568">
        <f t="shared" si="18"/>
        <v>0</v>
      </c>
      <c r="D177" s="569">
        <v>0</v>
      </c>
      <c r="E177" s="569">
        <v>0</v>
      </c>
      <c r="F177" s="569">
        <v>0</v>
      </c>
      <c r="G177" s="569">
        <v>0</v>
      </c>
      <c r="H177" s="569">
        <f t="array" ref="H177">SUM(IF('6. Class A Consumption Data'!N461:O461="B",'6. Class A Consumption Data'!N459:O459))</f>
        <v>0</v>
      </c>
      <c r="I177" s="570">
        <f t="shared" si="19"/>
        <v>0</v>
      </c>
      <c r="J177" s="571">
        <f t="shared" si="20"/>
        <v>0</v>
      </c>
      <c r="K177" s="571">
        <f t="shared" si="21"/>
        <v>0</v>
      </c>
      <c r="L177" s="1291">
        <f t="shared" si="22"/>
        <v>0</v>
      </c>
    </row>
    <row r="178" spans="1:12" s="20" customFormat="1" hidden="1" x14ac:dyDescent="0.2">
      <c r="A178" s="419" t="s">
        <v>525</v>
      </c>
      <c r="B178" s="419"/>
      <c r="C178" s="568">
        <f t="shared" si="18"/>
        <v>0</v>
      </c>
      <c r="D178" s="569">
        <v>0</v>
      </c>
      <c r="E178" s="569">
        <v>0</v>
      </c>
      <c r="F178" s="569">
        <v>0</v>
      </c>
      <c r="G178" s="569">
        <v>0</v>
      </c>
      <c r="H178" s="569">
        <f t="array" ref="H178">SUM(IF('6. Class A Consumption Data'!N464:O464="B",'6. Class A Consumption Data'!N462:O462))</f>
        <v>0</v>
      </c>
      <c r="I178" s="570">
        <f t="shared" si="19"/>
        <v>0</v>
      </c>
      <c r="J178" s="571">
        <f t="shared" si="20"/>
        <v>0</v>
      </c>
      <c r="K178" s="571">
        <f t="shared" si="21"/>
        <v>0</v>
      </c>
      <c r="L178" s="1291">
        <f t="shared" si="22"/>
        <v>0</v>
      </c>
    </row>
    <row r="179" spans="1:12" s="20" customFormat="1" hidden="1" x14ac:dyDescent="0.2">
      <c r="A179" s="419" t="s">
        <v>526</v>
      </c>
      <c r="B179" s="419"/>
      <c r="C179" s="568">
        <f t="shared" si="18"/>
        <v>0</v>
      </c>
      <c r="D179" s="569">
        <v>0</v>
      </c>
      <c r="E179" s="569">
        <v>0</v>
      </c>
      <c r="F179" s="569">
        <v>0</v>
      </c>
      <c r="G179" s="569">
        <v>0</v>
      </c>
      <c r="H179" s="569">
        <f t="array" ref="H179">SUM(IF('6. Class A Consumption Data'!N467:O467="B",'6. Class A Consumption Data'!N465:O465))</f>
        <v>0</v>
      </c>
      <c r="I179" s="570">
        <f t="shared" si="19"/>
        <v>0</v>
      </c>
      <c r="J179" s="571">
        <f t="shared" si="20"/>
        <v>0</v>
      </c>
      <c r="K179" s="571">
        <f t="shared" si="21"/>
        <v>0</v>
      </c>
      <c r="L179" s="1291">
        <f t="shared" si="22"/>
        <v>0</v>
      </c>
    </row>
    <row r="180" spans="1:12" s="20" customFormat="1" hidden="1" x14ac:dyDescent="0.2">
      <c r="A180" s="419" t="s">
        <v>527</v>
      </c>
      <c r="B180" s="419"/>
      <c r="C180" s="568">
        <f t="shared" si="18"/>
        <v>0</v>
      </c>
      <c r="D180" s="569">
        <v>0</v>
      </c>
      <c r="E180" s="569">
        <v>0</v>
      </c>
      <c r="F180" s="569">
        <v>0</v>
      </c>
      <c r="G180" s="569">
        <v>0</v>
      </c>
      <c r="H180" s="569">
        <f t="array" ref="H180">SUM(IF('6. Class A Consumption Data'!N470:O470="B",'6. Class A Consumption Data'!N468:O468))</f>
        <v>0</v>
      </c>
      <c r="I180" s="570">
        <f t="shared" si="19"/>
        <v>0</v>
      </c>
      <c r="J180" s="571">
        <f t="shared" si="20"/>
        <v>0</v>
      </c>
      <c r="K180" s="571">
        <f t="shared" si="21"/>
        <v>0</v>
      </c>
      <c r="L180" s="1291">
        <f t="shared" si="22"/>
        <v>0</v>
      </c>
    </row>
    <row r="181" spans="1:12" s="20" customFormat="1" hidden="1" x14ac:dyDescent="0.2">
      <c r="A181" s="419" t="s">
        <v>528</v>
      </c>
      <c r="B181" s="419"/>
      <c r="C181" s="568">
        <f t="shared" si="18"/>
        <v>0</v>
      </c>
      <c r="D181" s="569">
        <v>0</v>
      </c>
      <c r="E181" s="569">
        <v>0</v>
      </c>
      <c r="F181" s="569">
        <v>0</v>
      </c>
      <c r="G181" s="569">
        <v>0</v>
      </c>
      <c r="H181" s="569">
        <f t="array" ref="H181">SUM(IF('6. Class A Consumption Data'!N473:O473="B",'6. Class A Consumption Data'!N471:O471))</f>
        <v>0</v>
      </c>
      <c r="I181" s="570">
        <f t="shared" si="19"/>
        <v>0</v>
      </c>
      <c r="J181" s="571">
        <f t="shared" si="20"/>
        <v>0</v>
      </c>
      <c r="K181" s="571">
        <f t="shared" si="21"/>
        <v>0</v>
      </c>
      <c r="L181" s="1291">
        <f t="shared" si="22"/>
        <v>0</v>
      </c>
    </row>
    <row r="182" spans="1:12" s="20" customFormat="1" hidden="1" x14ac:dyDescent="0.2">
      <c r="A182" s="419" t="s">
        <v>529</v>
      </c>
      <c r="B182" s="419"/>
      <c r="C182" s="568">
        <f t="shared" si="18"/>
        <v>0</v>
      </c>
      <c r="D182" s="569">
        <v>0</v>
      </c>
      <c r="E182" s="569">
        <v>0</v>
      </c>
      <c r="F182" s="569">
        <v>0</v>
      </c>
      <c r="G182" s="569">
        <v>0</v>
      </c>
      <c r="H182" s="569">
        <f t="array" ref="H182">SUM(IF('6. Class A Consumption Data'!N476:O476="B",'6. Class A Consumption Data'!N474:O474))</f>
        <v>0</v>
      </c>
      <c r="I182" s="570">
        <f t="shared" si="19"/>
        <v>0</v>
      </c>
      <c r="J182" s="571">
        <f t="shared" si="20"/>
        <v>0</v>
      </c>
      <c r="K182" s="571">
        <f t="shared" si="21"/>
        <v>0</v>
      </c>
      <c r="L182" s="1291">
        <f t="shared" si="22"/>
        <v>0</v>
      </c>
    </row>
    <row r="183" spans="1:12" s="20" customFormat="1" hidden="1" x14ac:dyDescent="0.2">
      <c r="A183" s="419" t="s">
        <v>530</v>
      </c>
      <c r="B183" s="419"/>
      <c r="C183" s="568">
        <f t="shared" si="18"/>
        <v>0</v>
      </c>
      <c r="D183" s="569">
        <v>0</v>
      </c>
      <c r="E183" s="569">
        <v>0</v>
      </c>
      <c r="F183" s="569">
        <v>0</v>
      </c>
      <c r="G183" s="569">
        <v>0</v>
      </c>
      <c r="H183" s="569">
        <f t="array" ref="H183">SUM(IF('6. Class A Consumption Data'!N479:O479="B",'6. Class A Consumption Data'!N477:O477))</f>
        <v>0</v>
      </c>
      <c r="I183" s="570">
        <f t="shared" si="19"/>
        <v>0</v>
      </c>
      <c r="J183" s="571">
        <f t="shared" si="20"/>
        <v>0</v>
      </c>
      <c r="K183" s="571">
        <f t="shared" si="21"/>
        <v>0</v>
      </c>
      <c r="L183" s="1291">
        <f t="shared" si="22"/>
        <v>0</v>
      </c>
    </row>
    <row r="184" spans="1:12" s="20" customFormat="1" x14ac:dyDescent="0.2">
      <c r="A184" s="572" t="s">
        <v>688</v>
      </c>
      <c r="B184" s="572"/>
      <c r="C184" s="568">
        <f t="shared" ref="C184:K184" si="23">SUM(C34:C183)</f>
        <v>179035730.63828799</v>
      </c>
      <c r="D184" s="568">
        <f t="shared" si="23"/>
        <v>179035730.63828799</v>
      </c>
      <c r="E184" s="568">
        <f t="shared" si="23"/>
        <v>0</v>
      </c>
      <c r="F184" s="568">
        <f t="shared" si="23"/>
        <v>0</v>
      </c>
      <c r="G184" s="568">
        <f t="shared" si="23"/>
        <v>0</v>
      </c>
      <c r="H184" s="568">
        <f t="shared" si="23"/>
        <v>0</v>
      </c>
      <c r="I184" s="573">
        <f t="shared" si="23"/>
        <v>1</v>
      </c>
      <c r="J184" s="574">
        <f t="shared" si="23"/>
        <v>86710.032953455375</v>
      </c>
      <c r="K184" s="571">
        <f t="shared" si="23"/>
        <v>7225.8360794546134</v>
      </c>
      <c r="L184" s="1291">
        <v>0</v>
      </c>
    </row>
  </sheetData>
  <mergeCells count="6">
    <mergeCell ref="N33:T33"/>
    <mergeCell ref="A14:E14"/>
    <mergeCell ref="C16:G16"/>
    <mergeCell ref="A26:C26"/>
    <mergeCell ref="A31:D31"/>
    <mergeCell ref="A17:F17"/>
  </mergeCells>
  <pageMargins left="0.7" right="0.7" top="0.75" bottom="0.75" header="0.3" footer="0.3"/>
  <pageSetup scale="65" orientation="landscape" r:id="rId1"/>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1:Z31"/>
  <sheetViews>
    <sheetView showGridLines="0" topLeftCell="A8" zoomScale="90" zoomScaleNormal="90" workbookViewId="0">
      <selection activeCell="G1" sqref="G1"/>
    </sheetView>
  </sheetViews>
  <sheetFormatPr defaultColWidth="9.28515625" defaultRowHeight="15" x14ac:dyDescent="0.25"/>
  <cols>
    <col min="1" max="1" width="62.85546875" bestFit="1" customWidth="1"/>
    <col min="2" max="2" width="14.7109375" customWidth="1"/>
    <col min="3" max="3" width="17.7109375" customWidth="1"/>
    <col min="4" max="4" width="11" customWidth="1"/>
    <col min="5" max="5" width="22" customWidth="1"/>
    <col min="6" max="6" width="14.5703125" customWidth="1"/>
    <col min="7" max="7" width="24.28515625" customWidth="1"/>
    <col min="8" max="8" width="18.5703125" customWidth="1"/>
    <col min="9" max="9" width="26.42578125" customWidth="1"/>
    <col min="10" max="10" width="17.28515625" customWidth="1"/>
    <col min="11" max="11" width="18.5703125" customWidth="1"/>
    <col min="12" max="12" width="19.5703125" customWidth="1"/>
    <col min="13" max="13" width="18.28515625" customWidth="1"/>
    <col min="14" max="14" width="9.42578125" style="317" customWidth="1"/>
    <col min="23" max="23" width="13.7109375" bestFit="1" customWidth="1"/>
  </cols>
  <sheetData>
    <row r="1" spans="1:26" x14ac:dyDescent="0.25">
      <c r="A1" s="1056"/>
      <c r="B1" s="1056"/>
      <c r="C1" s="1056"/>
      <c r="D1" s="1056"/>
      <c r="E1" s="1056"/>
      <c r="F1" s="1056"/>
      <c r="G1" s="1056"/>
      <c r="H1" s="1056"/>
      <c r="I1" s="1056"/>
      <c r="J1" s="1056"/>
      <c r="K1" s="1056"/>
      <c r="L1" s="1056"/>
      <c r="M1" s="1056"/>
      <c r="N1" s="1126"/>
      <c r="O1" s="1056"/>
      <c r="P1" s="1056"/>
      <c r="Q1" s="1056"/>
      <c r="R1" s="1056"/>
      <c r="S1" s="1056"/>
      <c r="T1" s="1056"/>
      <c r="U1" s="1056"/>
      <c r="V1" s="1056"/>
      <c r="W1" s="1056"/>
      <c r="X1" s="1056"/>
      <c r="Y1" s="1056"/>
      <c r="Z1" s="1056"/>
    </row>
    <row r="2" spans="1:26" x14ac:dyDescent="0.25">
      <c r="A2" s="1056"/>
      <c r="B2" s="1146" t="b">
        <v>0</v>
      </c>
      <c r="C2" s="1056" t="b">
        <v>1</v>
      </c>
      <c r="D2" s="1056"/>
      <c r="E2" s="1056"/>
      <c r="F2" s="1056"/>
      <c r="G2" s="1056"/>
      <c r="H2" s="1056"/>
      <c r="I2" s="1056"/>
      <c r="J2" s="1056"/>
      <c r="K2" s="1056"/>
      <c r="L2" s="1056"/>
      <c r="M2" s="1056"/>
      <c r="N2" s="1126"/>
      <c r="O2" s="1056"/>
      <c r="P2" s="1056"/>
      <c r="Q2" s="1056"/>
      <c r="R2" s="1056"/>
      <c r="S2" s="1056"/>
      <c r="T2" s="1056"/>
      <c r="U2" s="1056"/>
      <c r="V2" s="1056"/>
      <c r="W2" s="1056"/>
      <c r="X2" s="1056"/>
      <c r="Y2" s="1056"/>
      <c r="Z2" s="1056"/>
    </row>
    <row r="3" spans="1:26" x14ac:dyDescent="0.25">
      <c r="A3" s="1056"/>
      <c r="B3" s="1056"/>
      <c r="C3" s="1056"/>
      <c r="D3" s="1056"/>
      <c r="E3" s="1056"/>
      <c r="F3" s="1056"/>
      <c r="G3" s="1056"/>
      <c r="H3" s="1056"/>
      <c r="I3" s="1056"/>
      <c r="J3" s="1056"/>
      <c r="K3" s="1056"/>
      <c r="L3" s="1056"/>
      <c r="M3" s="1056"/>
      <c r="N3" s="1126"/>
      <c r="O3" s="1056"/>
      <c r="P3" s="1056"/>
      <c r="Q3" s="1056"/>
      <c r="R3" s="1056"/>
      <c r="S3" s="1056"/>
      <c r="T3" s="1056"/>
      <c r="U3" s="1056"/>
      <c r="V3" s="1056"/>
      <c r="W3" s="1056"/>
      <c r="X3" s="1056"/>
      <c r="Y3" s="1056"/>
      <c r="Z3" s="1056"/>
    </row>
    <row r="4" spans="1:26" x14ac:dyDescent="0.25">
      <c r="A4" s="1056"/>
      <c r="B4" s="1056"/>
      <c r="C4" s="1056"/>
      <c r="D4" s="1056"/>
      <c r="E4" s="1056"/>
      <c r="F4" s="1056"/>
      <c r="G4" s="1056"/>
      <c r="H4" s="1056"/>
      <c r="I4" s="1056"/>
      <c r="J4" s="1056"/>
      <c r="K4" s="1056"/>
      <c r="L4" s="1056"/>
      <c r="M4" s="1056"/>
      <c r="N4" s="1126"/>
      <c r="O4" s="1056"/>
      <c r="P4" s="1056"/>
      <c r="Q4" s="1056"/>
      <c r="R4" s="1056"/>
      <c r="S4" s="1056"/>
      <c r="T4" s="1056"/>
      <c r="U4" s="1056"/>
      <c r="V4" s="1056"/>
      <c r="W4" s="1056"/>
      <c r="X4" s="1056"/>
      <c r="Y4" s="1056"/>
      <c r="Z4" s="1056"/>
    </row>
    <row r="5" spans="1:26" x14ac:dyDescent="0.25">
      <c r="A5" s="1056"/>
      <c r="B5" s="1056"/>
      <c r="C5" s="1056"/>
      <c r="D5" s="1056"/>
      <c r="E5" s="1056"/>
      <c r="F5" s="1056"/>
      <c r="G5" s="1056"/>
      <c r="H5" s="1056"/>
      <c r="I5" s="1056"/>
      <c r="J5" s="1056"/>
      <c r="K5" s="1056"/>
      <c r="L5" s="1056"/>
      <c r="M5" s="1056"/>
      <c r="N5" s="1126"/>
      <c r="O5" s="1056"/>
      <c r="P5" s="1056"/>
      <c r="Q5" s="1056"/>
      <c r="R5" s="1056"/>
      <c r="S5" s="1056"/>
      <c r="T5" s="1056"/>
      <c r="U5" s="1056"/>
      <c r="V5" s="1056"/>
      <c r="W5" s="1056"/>
      <c r="X5" s="1056"/>
      <c r="Y5" s="1056"/>
      <c r="Z5" s="1056"/>
    </row>
    <row r="6" spans="1:26" x14ac:dyDescent="0.25">
      <c r="A6" s="1056"/>
      <c r="B6" s="1056" t="s">
        <v>688</v>
      </c>
      <c r="C6" s="1056"/>
      <c r="D6" s="1056"/>
      <c r="E6" s="1056"/>
      <c r="F6" s="1056"/>
      <c r="G6" s="1056"/>
      <c r="H6" s="1056"/>
      <c r="I6" s="1056"/>
      <c r="J6" s="1056"/>
      <c r="K6" s="1056"/>
      <c r="L6" s="1056"/>
      <c r="M6" s="1056"/>
      <c r="N6" s="1126"/>
      <c r="O6" s="1056"/>
      <c r="P6" s="1056"/>
      <c r="Q6" s="1056"/>
      <c r="R6" s="1056"/>
      <c r="S6" s="1056"/>
      <c r="T6" s="1056"/>
      <c r="U6" s="1056"/>
      <c r="V6" s="1056"/>
      <c r="W6" s="1056"/>
      <c r="X6" s="1056"/>
      <c r="Y6" s="1056"/>
      <c r="Z6" s="1056"/>
    </row>
    <row r="7" spans="1:26" x14ac:dyDescent="0.25">
      <c r="A7" s="1056"/>
      <c r="B7" s="1056"/>
      <c r="C7" s="1056"/>
      <c r="D7" s="1056"/>
      <c r="E7" s="1056"/>
      <c r="F7" s="1056"/>
      <c r="G7" s="1056"/>
      <c r="H7" s="1056"/>
      <c r="I7" s="1056"/>
      <c r="J7" s="1056"/>
      <c r="K7" s="1056"/>
      <c r="L7" s="1056"/>
      <c r="M7" s="1056"/>
      <c r="N7" s="1126"/>
      <c r="O7" s="1056"/>
      <c r="P7" s="1056"/>
      <c r="Q7" s="1056"/>
      <c r="R7" s="1056"/>
      <c r="S7" s="1056"/>
      <c r="T7" s="1056"/>
      <c r="U7" s="1056"/>
      <c r="V7" s="1056"/>
      <c r="W7" s="1056"/>
      <c r="X7" s="1056"/>
      <c r="Y7" s="1056"/>
      <c r="Z7" s="1056"/>
    </row>
    <row r="8" spans="1:26" x14ac:dyDescent="0.25">
      <c r="A8" s="1056"/>
      <c r="B8" s="1056"/>
      <c r="C8" s="1056"/>
      <c r="D8" s="1056"/>
      <c r="E8" s="1056"/>
      <c r="F8" s="1056"/>
      <c r="G8" s="1056"/>
      <c r="H8" s="1056"/>
      <c r="I8" s="1056"/>
      <c r="J8" s="1056"/>
      <c r="K8" s="1056"/>
      <c r="L8" s="1056"/>
      <c r="M8" s="1056"/>
      <c r="N8" s="1126"/>
      <c r="O8" s="1056"/>
      <c r="P8" s="1056"/>
      <c r="Q8" s="1056"/>
      <c r="R8" s="1056"/>
      <c r="S8" s="1056"/>
      <c r="T8" s="1056"/>
      <c r="U8" s="1056"/>
      <c r="V8" s="1056"/>
      <c r="W8" s="1056"/>
      <c r="X8" s="1056"/>
      <c r="Y8" s="1056"/>
      <c r="Z8" s="1056"/>
    </row>
    <row r="9" spans="1:26" x14ac:dyDescent="0.25">
      <c r="A9" s="1056"/>
      <c r="B9" s="1056"/>
      <c r="C9" s="1056"/>
      <c r="D9" s="1056"/>
      <c r="E9" s="1056"/>
      <c r="F9" s="1056"/>
      <c r="G9" s="1056"/>
      <c r="H9" s="1056"/>
      <c r="I9" s="1056"/>
      <c r="J9" s="1056"/>
      <c r="K9" s="1056"/>
      <c r="L9" s="1056"/>
      <c r="M9" s="1056"/>
      <c r="N9" s="1126"/>
      <c r="O9" s="1056"/>
      <c r="P9" s="1056"/>
      <c r="Q9" s="1056"/>
      <c r="R9" s="1056"/>
      <c r="S9" s="1056"/>
      <c r="T9" s="1056"/>
      <c r="U9" s="1056"/>
      <c r="V9" s="1056"/>
      <c r="W9" s="1056"/>
      <c r="X9" s="1056"/>
      <c r="Y9" s="1056"/>
      <c r="Z9" s="1056"/>
    </row>
    <row r="10" spans="1:26" x14ac:dyDescent="0.25">
      <c r="A10" s="1056"/>
      <c r="B10" s="1056"/>
      <c r="C10" s="1056"/>
      <c r="D10" s="1056"/>
      <c r="E10" s="1056"/>
      <c r="F10" s="1056"/>
      <c r="G10" s="1056"/>
      <c r="H10" s="1056"/>
      <c r="I10" s="1056"/>
      <c r="J10" s="1056"/>
      <c r="K10" s="1056"/>
      <c r="L10" s="1056"/>
      <c r="M10" s="1056"/>
      <c r="N10" s="1126"/>
      <c r="O10" s="1056"/>
      <c r="P10" s="1056"/>
      <c r="Q10" s="1056"/>
      <c r="R10" s="1056"/>
      <c r="S10" s="1056"/>
      <c r="T10" s="1056"/>
      <c r="U10" s="1056"/>
      <c r="V10" s="1056"/>
      <c r="W10" s="1056"/>
      <c r="X10" s="1056"/>
      <c r="Y10" s="1056"/>
      <c r="Z10" s="1056"/>
    </row>
    <row r="11" spans="1:26" x14ac:dyDescent="0.25">
      <c r="A11" s="1056"/>
      <c r="B11" s="1056"/>
      <c r="C11" s="1056"/>
      <c r="D11" s="1056"/>
      <c r="E11" s="1056"/>
      <c r="F11" s="1056"/>
      <c r="G11" s="1056"/>
      <c r="H11" s="1056"/>
      <c r="I11" s="1056"/>
      <c r="J11" s="1056"/>
      <c r="K11" s="1056"/>
      <c r="L11" s="1056"/>
      <c r="M11" s="1056"/>
      <c r="N11" s="1126"/>
      <c r="O11" s="1056"/>
      <c r="P11" s="1056"/>
      <c r="Q11" s="1056"/>
      <c r="R11" s="1056"/>
      <c r="S11" s="1056"/>
      <c r="T11" s="1056"/>
      <c r="U11" s="1056"/>
      <c r="V11" s="1056"/>
      <c r="W11" s="1056"/>
      <c r="X11" s="1056"/>
      <c r="Y11" s="1056"/>
      <c r="Z11" s="1056"/>
    </row>
    <row r="12" spans="1:26" s="400" customFormat="1" ht="35.25" customHeight="1" x14ac:dyDescent="0.25">
      <c r="A12" s="1879" t="s">
        <v>742</v>
      </c>
      <c r="B12" s="1880"/>
      <c r="C12" s="1880"/>
      <c r="D12" s="1880"/>
      <c r="E12" s="1880"/>
      <c r="F12" s="1880"/>
      <c r="G12" s="1880"/>
      <c r="H12" s="1184"/>
      <c r="I12" s="1056"/>
      <c r="J12" s="1056"/>
      <c r="K12" s="1056"/>
      <c r="L12" s="1056"/>
      <c r="M12" s="1056"/>
      <c r="N12" s="1056"/>
      <c r="O12" s="1185"/>
      <c r="P12" s="1185"/>
      <c r="Q12" s="1185"/>
      <c r="R12" s="1185"/>
      <c r="S12" s="1185"/>
      <c r="T12" s="1185"/>
      <c r="U12" s="1185"/>
      <c r="V12" s="1185"/>
      <c r="W12" s="1185"/>
      <c r="X12" s="1185"/>
      <c r="Y12" s="1185"/>
      <c r="Z12" s="1185"/>
    </row>
    <row r="13" spans="1:26" ht="31.5" customHeight="1" x14ac:dyDescent="0.25">
      <c r="A13" s="1186" t="s">
        <v>364</v>
      </c>
      <c r="B13" s="575">
        <f>'1. Information Sheet'!F42</f>
        <v>2023</v>
      </c>
      <c r="C13" s="1882"/>
      <c r="D13" s="1883"/>
      <c r="E13" s="1883"/>
      <c r="F13" s="1883"/>
      <c r="G13" s="1883"/>
      <c r="H13" s="1056"/>
      <c r="I13" s="1056"/>
      <c r="J13" s="1056"/>
      <c r="K13" s="1056"/>
      <c r="L13" s="1056"/>
      <c r="M13" s="1056"/>
      <c r="N13" s="1056"/>
      <c r="O13" s="1056"/>
      <c r="P13" s="1056"/>
      <c r="Q13" s="1056"/>
      <c r="R13" s="1056"/>
      <c r="S13" s="1056"/>
      <c r="T13" s="1056"/>
      <c r="U13" s="1056"/>
      <c r="V13" s="1056"/>
      <c r="W13" s="1056"/>
      <c r="X13" s="1056"/>
      <c r="Y13" s="1056"/>
      <c r="Z13" s="1056"/>
    </row>
    <row r="14" spans="1:26" s="17" customFormat="1" ht="63" customHeight="1" x14ac:dyDescent="0.25">
      <c r="A14" s="1148"/>
      <c r="B14" s="1131"/>
      <c r="C14" s="1881" t="s">
        <v>6493</v>
      </c>
      <c r="D14" s="1881"/>
      <c r="E14" s="1881" t="s">
        <v>6494</v>
      </c>
      <c r="F14" s="1881"/>
      <c r="G14" s="1881" t="s">
        <v>6495</v>
      </c>
      <c r="H14" s="1881"/>
      <c r="I14" s="1881" t="s">
        <v>6496</v>
      </c>
      <c r="J14" s="1881"/>
      <c r="K14" s="1134" t="s">
        <v>721</v>
      </c>
      <c r="L14" s="1132" t="s">
        <v>743</v>
      </c>
      <c r="M14" s="1132" t="s">
        <v>744</v>
      </c>
      <c r="N14" s="1187" t="s">
        <v>344</v>
      </c>
      <c r="O14" s="1148"/>
      <c r="P14" s="1148"/>
      <c r="Q14" s="1148"/>
      <c r="R14" s="1148"/>
      <c r="S14" s="1148"/>
      <c r="T14" s="1148"/>
      <c r="U14" s="1148"/>
      <c r="V14" s="1148"/>
      <c r="W14" s="1401" t="s">
        <v>9802</v>
      </c>
      <c r="X14" s="1148"/>
      <c r="Y14" s="1148"/>
      <c r="Z14" s="1148"/>
    </row>
    <row r="15" spans="1:26" s="317" customFormat="1" x14ac:dyDescent="0.25">
      <c r="A15" s="1126"/>
      <c r="B15" s="1126"/>
      <c r="C15" s="1136" t="s">
        <v>379</v>
      </c>
      <c r="D15" s="1136" t="s">
        <v>380</v>
      </c>
      <c r="E15" s="1136" t="s">
        <v>379</v>
      </c>
      <c r="F15" s="1136" t="s">
        <v>380</v>
      </c>
      <c r="G15" s="1136" t="s">
        <v>379</v>
      </c>
      <c r="H15" s="1136" t="s">
        <v>380</v>
      </c>
      <c r="I15" s="1136" t="s">
        <v>379</v>
      </c>
      <c r="J15" s="1136" t="s">
        <v>380</v>
      </c>
      <c r="K15" s="1126"/>
      <c r="L15" s="1126"/>
      <c r="M15" s="1126"/>
      <c r="N15" s="1126"/>
      <c r="O15" s="1126"/>
      <c r="P15" s="1126"/>
      <c r="Q15" s="1126"/>
      <c r="R15" s="1126"/>
      <c r="S15" s="1126"/>
      <c r="T15" s="1126"/>
      <c r="U15" s="1126"/>
      <c r="V15" s="1126"/>
      <c r="W15" s="1402"/>
      <c r="X15" s="1126"/>
      <c r="Y15" s="1126"/>
      <c r="Z15" s="1126"/>
    </row>
    <row r="16" spans="1:26" ht="15.75" thickBot="1" x14ac:dyDescent="0.3">
      <c r="A16" s="1056"/>
      <c r="B16" s="1056"/>
      <c r="C16" s="1056"/>
      <c r="D16" s="1056"/>
      <c r="E16" s="1056"/>
      <c r="F16" s="1056"/>
      <c r="G16" s="1056"/>
      <c r="H16" s="1056"/>
      <c r="I16" s="1056"/>
      <c r="J16" s="1056"/>
      <c r="K16" s="1056"/>
      <c r="L16" s="1056"/>
      <c r="M16" s="1056"/>
      <c r="N16" s="1126"/>
      <c r="O16" s="1056"/>
      <c r="P16" s="1056"/>
      <c r="Q16" s="1056"/>
      <c r="R16" s="1056"/>
      <c r="S16" s="1056"/>
      <c r="T16" s="1056"/>
      <c r="U16" s="1056"/>
      <c r="V16" s="1056"/>
      <c r="W16" s="1403"/>
      <c r="X16" s="1056"/>
      <c r="Y16" s="1056"/>
      <c r="Z16" s="1056"/>
    </row>
    <row r="17" spans="1:26" ht="15.75" customHeight="1" x14ac:dyDescent="0.25">
      <c r="A17" s="1150" t="s">
        <v>170</v>
      </c>
      <c r="B17" s="1137" t="s">
        <v>379</v>
      </c>
      <c r="C17" s="1215">
        <f>'4. Billing Det. for Def-Var'!I17</f>
        <v>4886981417</v>
      </c>
      <c r="D17" s="1215">
        <f>'4. Billing Det. for Def-Var'!J17</f>
        <v>0</v>
      </c>
      <c r="E17" s="1145">
        <f t="array" ref="E17">SUM(IF('6. Class A Consumption Data'!D492:D791=A17,'6. Class A Consumption Data'!F492:F791))</f>
        <v>0</v>
      </c>
      <c r="F17" s="1138">
        <f t="array" ref="F17">SUM(IF('6. Class A Consumption Data'!D492:D791=A17&amp;"kW",'6. Class A Consumption Data'!F492:F791))</f>
        <v>0</v>
      </c>
      <c r="G17" s="1145">
        <f t="array" ref="G17">SUM(IF(('6. Class A Consumption Data'!D30:D479=A17)*('6. Class A Consumption Data'!B30:B479 &lt;&gt; "A"),'6. Class A Consumption Data'!F30:G479))</f>
        <v>0</v>
      </c>
      <c r="H17" s="1138">
        <f t="array" ref="H17">SUM(IF(('6. Class A Consumption Data'!D30:D479=A17&amp;"kW")*('6. Class A Consumption Data'!B30:B479&lt;&gt; "A"),'6. Class A Consumption Data'!F30:G479))</f>
        <v>0</v>
      </c>
      <c r="I17" s="1138">
        <f t="shared" ref="I17:I24" si="0">ROUND((C17-E17-G17),0)</f>
        <v>4886981417</v>
      </c>
      <c r="J17" s="1138">
        <f t="shared" ref="J17:J24" si="1">(D17-F17-H17)</f>
        <v>0</v>
      </c>
      <c r="K17" s="1118">
        <f>(I17/I25)</f>
        <v>0.27944401352168657</v>
      </c>
      <c r="L17" s="1290">
        <f>ROUND(('6.2a CBR B_Allocation'!$C$29*K17),0)</f>
        <v>2366848</v>
      </c>
      <c r="M17" s="1219">
        <f>ROUND(L17/I17,5)</f>
        <v>4.8000000000000001E-4</v>
      </c>
      <c r="N17" s="1126" t="s">
        <v>379</v>
      </c>
      <c r="O17" s="1870" t="s">
        <v>9755</v>
      </c>
      <c r="P17" s="1871"/>
      <c r="Q17" s="1871"/>
      <c r="R17" s="1871"/>
      <c r="S17" s="1871"/>
      <c r="T17" s="1871"/>
      <c r="U17" s="1872"/>
      <c r="V17" s="1056"/>
      <c r="W17" s="1404">
        <f>M17*I17</f>
        <v>2345751.0801599999</v>
      </c>
      <c r="X17" s="1056"/>
      <c r="Y17" s="1056"/>
      <c r="Z17" s="1056"/>
    </row>
    <row r="18" spans="1:26" s="1183" customFormat="1" ht="15.75" customHeight="1" x14ac:dyDescent="0.25">
      <c r="A18" s="1205" t="s">
        <v>6221</v>
      </c>
      <c r="B18" s="1214" t="s">
        <v>379</v>
      </c>
      <c r="C18" s="1215">
        <f>'4. Billing Det. for Def-Var'!I18</f>
        <v>328733472</v>
      </c>
      <c r="D18" s="1215">
        <f>'4. Billing Det. for Def-Var'!J18</f>
        <v>0</v>
      </c>
      <c r="E18" s="1216" cm="1">
        <f t="array" ref="E18">SUM(IF('6. Class A Consumption Data'!D492:D791=A18,'6. Class A Consumption Data'!F492:F791))</f>
        <v>0</v>
      </c>
      <c r="F18" s="1215" cm="1">
        <f t="array" ref="F18">SUM(IF('6. Class A Consumption Data'!D492:D791=A18&amp;"kW",'6. Class A Consumption Data'!F492:F791))</f>
        <v>0</v>
      </c>
      <c r="G18" s="1216" cm="1">
        <f t="array" ref="G18">SUM(IF(('6. Class A Consumption Data'!D30:D479=A18)*('6. Class A Consumption Data'!B30:B479 &lt;&gt; "A"),'6. Class A Consumption Data'!F30:G479))</f>
        <v>0</v>
      </c>
      <c r="H18" s="1215" cm="1">
        <f t="array" ref="H18">SUM(IF(('6. Class A Consumption Data'!D30:D479=A18&amp;"kW")*('6. Class A Consumption Data'!B30:B479&lt;&gt; "A"),'6. Class A Consumption Data'!F30:G479))</f>
        <v>0</v>
      </c>
      <c r="I18" s="1215">
        <f t="shared" si="0"/>
        <v>328733472</v>
      </c>
      <c r="J18" s="1215">
        <f t="shared" si="1"/>
        <v>0</v>
      </c>
      <c r="K18" s="1211">
        <f>(I18/I25)</f>
        <v>1.8797411521771491E-2</v>
      </c>
      <c r="L18" s="1218">
        <f>ROUND(('6.2a CBR B_Allocation'!$C$29*K18),0)</f>
        <v>159211</v>
      </c>
      <c r="M18" s="1219">
        <f>ROUND(L18/I18,5)</f>
        <v>4.8000000000000001E-4</v>
      </c>
      <c r="N18" s="1220" t="s">
        <v>379</v>
      </c>
      <c r="O18" s="1873"/>
      <c r="P18" s="1874"/>
      <c r="Q18" s="1874"/>
      <c r="R18" s="1874"/>
      <c r="S18" s="1874"/>
      <c r="T18" s="1874"/>
      <c r="U18" s="1875"/>
      <c r="V18" s="1056"/>
      <c r="W18" s="1404">
        <f>M18*I18</f>
        <v>157792.06656000001</v>
      </c>
      <c r="X18" s="1056"/>
      <c r="Y18" s="1056"/>
      <c r="Z18" s="1056"/>
    </row>
    <row r="19" spans="1:26" ht="15.75" customHeight="1" x14ac:dyDescent="0.25">
      <c r="A19" s="1150" t="s">
        <v>174</v>
      </c>
      <c r="B19" s="1137" t="s">
        <v>379</v>
      </c>
      <c r="C19" s="1215">
        <f>'4. Billing Det. for Def-Var'!I19</f>
        <v>2329110980</v>
      </c>
      <c r="D19" s="1215">
        <f>'4. Billing Det. for Def-Var'!J19</f>
        <v>0</v>
      </c>
      <c r="E19" s="1145">
        <f t="array" ref="E19">SUM(IF('6. Class A Consumption Data'!D492:D791=A19,'6. Class A Consumption Data'!F492:F791))</f>
        <v>291489.36387999996</v>
      </c>
      <c r="F19" s="1138">
        <f t="array" ref="F19">SUM(IF('6. Class A Consumption Data'!D492:D791=A19&amp;"kW",'6. Class A Consumption Data'!F492:F791))</f>
        <v>968.35997800000007</v>
      </c>
      <c r="G19" s="1145">
        <f t="array" ref="G19">SUM(IF(('6. Class A Consumption Data'!D30:D479=A19)*('6. Class A Consumption Data'!B30:B479 &lt;&gt; "A"),'6. Class A Consumption Data'!F30:G479))</f>
        <v>2355996.0490899999</v>
      </c>
      <c r="H19" s="1138">
        <f t="array" ref="H19">SUM(IF(('6. Class A Consumption Data'!D30:D479=A19&amp;"kW")*('6. Class A Consumption Data'!B30:B479&lt;&gt; "A"),'6. Class A Consumption Data'!F30:G479))</f>
        <v>7273.4050360000001</v>
      </c>
      <c r="I19" s="1138">
        <f t="shared" si="0"/>
        <v>2326463495</v>
      </c>
      <c r="J19" s="1138">
        <f t="shared" si="1"/>
        <v>-8241.7650140000005</v>
      </c>
      <c r="K19" s="1118">
        <f>(I19/I25)</f>
        <v>0.13303023704837022</v>
      </c>
      <c r="L19" s="1290">
        <f>ROUND(('6.2a CBR B_Allocation'!$C$29*K19),0)</f>
        <v>1126746</v>
      </c>
      <c r="M19" s="1219">
        <f>ROUND(L19/I19,5)</f>
        <v>4.8000000000000001E-4</v>
      </c>
      <c r="N19" s="1126" t="s">
        <v>379</v>
      </c>
      <c r="O19" s="1873"/>
      <c r="P19" s="1874"/>
      <c r="Q19" s="1874"/>
      <c r="R19" s="1874"/>
      <c r="S19" s="1874"/>
      <c r="T19" s="1874"/>
      <c r="U19" s="1875"/>
      <c r="V19" s="1056"/>
      <c r="W19" s="1404">
        <f>M19*I19</f>
        <v>1116702.4776000001</v>
      </c>
      <c r="X19" s="1056"/>
      <c r="Y19" s="1056"/>
      <c r="Z19" s="1056"/>
    </row>
    <row r="20" spans="1:26" ht="15.75" customHeight="1" x14ac:dyDescent="0.25">
      <c r="A20" s="1150" t="s">
        <v>990</v>
      </c>
      <c r="B20" s="1137" t="s">
        <v>9734</v>
      </c>
      <c r="C20" s="1215">
        <f>'4. Billing Det. for Def-Var'!I20</f>
        <v>9705018014</v>
      </c>
      <c r="D20" s="1215">
        <f>'4. Billing Det. for Def-Var'!J20</f>
        <v>24495301</v>
      </c>
      <c r="E20" s="1145">
        <f t="array" ref="E20">SUM(IF('6. Class A Consumption Data'!D492:D791=A20,'6. Class A Consumption Data'!F492:F791))</f>
        <v>560169348.86164284</v>
      </c>
      <c r="F20" s="1138">
        <f t="array" ref="F20">SUM(IF('6. Class A Consumption Data'!D492:D791=A20&amp;"kW",'6. Class A Consumption Data'!F492:F791))</f>
        <v>1385398.3424570006</v>
      </c>
      <c r="G20" s="1145">
        <f t="array" ref="G20">SUM(IF(('6. Class A Consumption Data'!D30:D479=A20)*('6. Class A Consumption Data'!B30:B479 &lt;&gt; "A"),'6. Class A Consumption Data'!F30:G479))</f>
        <v>117856285.232879</v>
      </c>
      <c r="H20" s="1138">
        <f t="array" ref="H20">SUM(IF(('6. Class A Consumption Data'!D30:D479=A20&amp;"kW")*('6. Class A Consumption Data'!B30:B479&lt;&gt; "A"),'6. Class A Consumption Data'!F30:G479))</f>
        <v>320342.82481399999</v>
      </c>
      <c r="I20" s="1138">
        <f t="shared" si="0"/>
        <v>9026992380</v>
      </c>
      <c r="J20" s="1138">
        <f t="shared" si="1"/>
        <v>22789559.832729001</v>
      </c>
      <c r="K20" s="1118">
        <f>(I20/I25)</f>
        <v>0.51617527578924316</v>
      </c>
      <c r="L20" s="1290">
        <f>ROUND(('6.2a CBR B_Allocation'!$C$29*K20),0)</f>
        <v>4371925</v>
      </c>
      <c r="M20" s="1219">
        <f>ROUND(L20/J20*12/365*30,4)</f>
        <v>0.18920000000000001</v>
      </c>
      <c r="N20" s="1126" t="s">
        <v>9734</v>
      </c>
      <c r="O20" s="1873"/>
      <c r="P20" s="1874"/>
      <c r="Q20" s="1874"/>
      <c r="R20" s="1874"/>
      <c r="S20" s="1874"/>
      <c r="T20" s="1874"/>
      <c r="U20" s="1875"/>
      <c r="V20" s="1056"/>
      <c r="W20" s="1404">
        <f>(M20/30*365/12)*J20</f>
        <v>4371670.6192461094</v>
      </c>
      <c r="X20" s="1056"/>
      <c r="Y20" s="1056"/>
      <c r="Z20" s="1056"/>
    </row>
    <row r="21" spans="1:26" ht="15.75" customHeight="1" x14ac:dyDescent="0.25">
      <c r="A21" s="1150" t="s">
        <v>1008</v>
      </c>
      <c r="B21" s="1137" t="s">
        <v>9734</v>
      </c>
      <c r="C21" s="1215">
        <f>'4. Billing Det. for Def-Var'!I21</f>
        <v>4286717227</v>
      </c>
      <c r="D21" s="1215">
        <f>'4. Billing Det. for Def-Var'!J21</f>
        <v>9419440</v>
      </c>
      <c r="E21" s="1145">
        <f t="array" ref="E21">SUM(IF('6. Class A Consumption Data'!D492:D791=A21,'6. Class A Consumption Data'!F492:F791))</f>
        <v>3517088425.001327</v>
      </c>
      <c r="F21" s="1138">
        <f t="array" ref="F21">SUM(IF('6. Class A Consumption Data'!D492:D791=A21&amp;"kW",'6. Class A Consumption Data'!F492:F791))</f>
        <v>7423835.5873000016</v>
      </c>
      <c r="G21" s="1145">
        <f t="array" ref="G21">SUM(IF(('6. Class A Consumption Data'!D30:D479=A21)*('6. Class A Consumption Data'!B30:B479 &lt;&gt; "A"),'6. Class A Consumption Data'!F30:G479))</f>
        <v>203821786.39502603</v>
      </c>
      <c r="H21" s="1138">
        <f t="array" ref="H21">SUM(IF(('6. Class A Consumption Data'!D30:D479=A21&amp;"kW")*('6. Class A Consumption Data'!B30:B479&lt;&gt; "A"),'6. Class A Consumption Data'!F30:G479))</f>
        <v>532016.52746299992</v>
      </c>
      <c r="I21" s="1138">
        <f t="shared" si="0"/>
        <v>565807016</v>
      </c>
      <c r="J21" s="1138">
        <f t="shared" si="1"/>
        <v>1463587.8852369986</v>
      </c>
      <c r="K21" s="1118">
        <f>(I21/I25)</f>
        <v>3.2353588020563803E-2</v>
      </c>
      <c r="L21" s="1290">
        <f>ROUND(('6.2a CBR B_Allocation'!$C$29*K21),0)</f>
        <v>274030</v>
      </c>
      <c r="M21" s="1219">
        <f>ROUND(L21/J21*12/365*30,4)</f>
        <v>0.1847</v>
      </c>
      <c r="N21" s="1126" t="s">
        <v>9734</v>
      </c>
      <c r="O21" s="1873"/>
      <c r="P21" s="1874"/>
      <c r="Q21" s="1874"/>
      <c r="R21" s="1874"/>
      <c r="S21" s="1874"/>
      <c r="T21" s="1874"/>
      <c r="U21" s="1875"/>
      <c r="V21" s="1056"/>
      <c r="W21" s="1404">
        <f>(M21/30*365/12)*J21</f>
        <v>274079.19188109692</v>
      </c>
      <c r="X21" s="1056"/>
      <c r="Y21" s="1056"/>
      <c r="Z21" s="1056"/>
    </row>
    <row r="22" spans="1:26" ht="15.75" customHeight="1" x14ac:dyDescent="0.25">
      <c r="A22" s="1150" t="s">
        <v>189</v>
      </c>
      <c r="B22" s="1137" t="s">
        <v>9734</v>
      </c>
      <c r="C22" s="1215">
        <f>'4. Billing Det. for Def-Var'!I22</f>
        <v>1909267288</v>
      </c>
      <c r="D22" s="1215">
        <f>'4. Billing Det. for Def-Var'!J22</f>
        <v>4188124</v>
      </c>
      <c r="E22" s="1145">
        <f t="array" ref="E22">SUM(IF('6. Class A Consumption Data'!D492:D791=A22,'6. Class A Consumption Data'!F492:F791))</f>
        <v>1564490670.3019371</v>
      </c>
      <c r="F22" s="1138">
        <f t="array" ref="F22">SUM(IF('6. Class A Consumption Data'!D492:D791=A22&amp;"kW",'6. Class A Consumption Data'!F492:F791))</f>
        <v>3234455.5639219997</v>
      </c>
      <c r="G22" s="1145">
        <f t="array" ref="G22">SUM(IF(('6. Class A Consumption Data'!D30:D479=A22)*('6. Class A Consumption Data'!B30:B479 &lt;&gt; "A"),'6. Class A Consumption Data'!F30:G479))</f>
        <v>147873388.42309797</v>
      </c>
      <c r="H22" s="1138">
        <f t="array" ref="H22">SUM(IF(('6. Class A Consumption Data'!D30:D479=A22&amp;"kW")*('6. Class A Consumption Data'!B30:B479&lt;&gt; "A"),'6. Class A Consumption Data'!F30:G479))</f>
        <v>349273.67393799999</v>
      </c>
      <c r="I22" s="1138">
        <f t="shared" si="0"/>
        <v>196903229</v>
      </c>
      <c r="J22" s="1138">
        <f t="shared" si="1"/>
        <v>604394.76214000036</v>
      </c>
      <c r="K22" s="1118">
        <f>(I22/I25)</f>
        <v>1.1259185147652413E-2</v>
      </c>
      <c r="L22" s="1290">
        <f>ROUND(('6.2a CBR B_Allocation'!$C$29*K22),0)</f>
        <v>95364</v>
      </c>
      <c r="M22" s="1219">
        <f>ROUND(L22/J22*12/365*30,4)</f>
        <v>0.15559999999999999</v>
      </c>
      <c r="N22" s="1126" t="s">
        <v>9734</v>
      </c>
      <c r="O22" s="1873"/>
      <c r="P22" s="1874"/>
      <c r="Q22" s="1874"/>
      <c r="R22" s="1874"/>
      <c r="S22" s="1874"/>
      <c r="T22" s="1874"/>
      <c r="U22" s="1875"/>
      <c r="V22" s="1056"/>
      <c r="W22" s="1404">
        <f>(M22/30*365/12)*J22</f>
        <v>95349.989224942168</v>
      </c>
      <c r="X22" s="1056"/>
      <c r="Y22" s="1056"/>
      <c r="Z22" s="1056"/>
    </row>
    <row r="23" spans="1:26" ht="15.75" customHeight="1" x14ac:dyDescent="0.25">
      <c r="A23" s="1150" t="s">
        <v>194</v>
      </c>
      <c r="B23" s="1137" t="s">
        <v>379</v>
      </c>
      <c r="C23" s="1215">
        <f>'4. Billing Det. for Def-Var'!I23</f>
        <v>41590391</v>
      </c>
      <c r="D23" s="1215">
        <f>'4. Billing Det. for Def-Var'!J23</f>
        <v>0</v>
      </c>
      <c r="E23" s="1145">
        <f t="array" ref="E23">SUM(IF('6. Class A Consumption Data'!D492:D791=A23,'6. Class A Consumption Data'!F492:F791))</f>
        <v>0</v>
      </c>
      <c r="F23" s="1138">
        <f t="array" ref="F23">SUM(IF('6. Class A Consumption Data'!D492:D791=A23&amp;"kW",'6. Class A Consumption Data'!F492:F791))</f>
        <v>0</v>
      </c>
      <c r="G23" s="1145">
        <f t="array" ref="G23">SUM(IF(('6. Class A Consumption Data'!D30:D479=A23)*('6. Class A Consumption Data'!B30:B479 &lt;&gt; "A"),'6. Class A Consumption Data'!F30:G479))</f>
        <v>0</v>
      </c>
      <c r="H23" s="1138">
        <f t="array" ref="H23">SUM(IF(('6. Class A Consumption Data'!D30:D479=A23&amp;"kW")*('6. Class A Consumption Data'!B30:B479&lt;&gt; "A"),'6. Class A Consumption Data'!F30:G479))</f>
        <v>0</v>
      </c>
      <c r="I23" s="1138">
        <f t="shared" si="0"/>
        <v>41590391</v>
      </c>
      <c r="J23" s="1138">
        <f t="shared" si="1"/>
        <v>0</v>
      </c>
      <c r="K23" s="1118">
        <f>(I23/I25)</f>
        <v>2.3781931612317877E-3</v>
      </c>
      <c r="L23" s="1290">
        <f>ROUND(('6.2a CBR B_Allocation'!$C$29*K23),0)</f>
        <v>20143</v>
      </c>
      <c r="M23" s="1219">
        <f>ROUND(L23/I23,5)</f>
        <v>4.8000000000000001E-4</v>
      </c>
      <c r="N23" s="1126" t="s">
        <v>379</v>
      </c>
      <c r="O23" s="1873"/>
      <c r="P23" s="1874"/>
      <c r="Q23" s="1874"/>
      <c r="R23" s="1874"/>
      <c r="S23" s="1874"/>
      <c r="T23" s="1874"/>
      <c r="U23" s="1875"/>
      <c r="V23" s="1056"/>
      <c r="W23" s="1404">
        <f>M23*I23</f>
        <v>19963.38768</v>
      </c>
      <c r="X23" s="1056"/>
      <c r="Y23" s="1056"/>
      <c r="Z23" s="1056"/>
    </row>
    <row r="24" spans="1:26" ht="15.75" customHeight="1" thickBot="1" x14ac:dyDescent="0.3">
      <c r="A24" s="1150" t="s">
        <v>202</v>
      </c>
      <c r="B24" s="1137" t="s">
        <v>9734</v>
      </c>
      <c r="C24" s="1215">
        <f>'4. Billing Det. for Def-Var'!I24</f>
        <v>114759446</v>
      </c>
      <c r="D24" s="1215">
        <f>'4. Billing Det. for Def-Var'!J24</f>
        <v>330988</v>
      </c>
      <c r="E24" s="1145">
        <f t="array" ref="E24">SUM(IF('6. Class A Consumption Data'!D492:D791=A24,'6. Class A Consumption Data'!F492:F791))</f>
        <v>0</v>
      </c>
      <c r="F24" s="1138">
        <f t="array" ref="F24">SUM(IF('6. Class A Consumption Data'!D492:D791=A24&amp;"kW",'6. Class A Consumption Data'!F492:F791))</f>
        <v>0</v>
      </c>
      <c r="G24" s="1145">
        <f t="array" ref="G24">SUM(IF(('6. Class A Consumption Data'!D30:D479=A24)*('6. Class A Consumption Data'!B30:B479 &lt;&gt; "A"),'6. Class A Consumption Data'!F30:G479))</f>
        <v>0</v>
      </c>
      <c r="H24" s="1138">
        <f t="array" ref="H24">SUM(IF(('6. Class A Consumption Data'!D30:D479=A24&amp;"kW")*('6. Class A Consumption Data'!B30:B479&lt;&gt; "A"),'6. Class A Consumption Data'!F30:G479))</f>
        <v>0</v>
      </c>
      <c r="I24" s="1138">
        <f t="shared" si="0"/>
        <v>114759446</v>
      </c>
      <c r="J24" s="1138">
        <f t="shared" si="1"/>
        <v>330988</v>
      </c>
      <c r="K24" s="1118">
        <f>(I24/I25)</f>
        <v>6.5620957894805231E-3</v>
      </c>
      <c r="L24" s="1290">
        <f>ROUND(('6.2a CBR B_Allocation'!$C$29*K24),0)</f>
        <v>55580</v>
      </c>
      <c r="M24" s="1219">
        <f>ROUND(L24/J24*12/365*30,4)</f>
        <v>0.1656</v>
      </c>
      <c r="N24" s="1126" t="s">
        <v>9734</v>
      </c>
      <c r="O24" s="1873"/>
      <c r="P24" s="1874"/>
      <c r="Q24" s="1874"/>
      <c r="R24" s="1874"/>
      <c r="S24" s="1874"/>
      <c r="T24" s="1874"/>
      <c r="U24" s="1875"/>
      <c r="V24" s="1056"/>
      <c r="W24" s="1404">
        <f>(M24/30*365/12)*J24</f>
        <v>55572.88519999999</v>
      </c>
      <c r="X24" s="1056"/>
      <c r="Y24" s="1056"/>
      <c r="Z24" s="1056"/>
    </row>
    <row r="25" spans="1:26" ht="15.75" thickBot="1" x14ac:dyDescent="0.3">
      <c r="A25" s="1056"/>
      <c r="B25" s="1139" t="s">
        <v>688</v>
      </c>
      <c r="C25" s="1222">
        <f>SUM(C17:C24)</f>
        <v>23602178235</v>
      </c>
      <c r="D25" s="1222">
        <f>SUM(D17:D24)</f>
        <v>38433853</v>
      </c>
      <c r="E25" s="1188">
        <f t="shared" ref="E25:L25" si="2">SUM(E17:E24)</f>
        <v>5642039933.5287876</v>
      </c>
      <c r="F25" s="1140">
        <f t="shared" si="2"/>
        <v>12044657.853657002</v>
      </c>
      <c r="G25" s="1188">
        <f t="shared" si="2"/>
        <v>471907456.10009301</v>
      </c>
      <c r="H25" s="1140">
        <f t="shared" si="2"/>
        <v>1208906.4312509999</v>
      </c>
      <c r="I25" s="1140">
        <f t="shared" si="2"/>
        <v>17488230846</v>
      </c>
      <c r="J25" s="1140">
        <f t="shared" si="2"/>
        <v>25180288.715092</v>
      </c>
      <c r="K25" s="1142">
        <f t="shared" si="2"/>
        <v>1</v>
      </c>
      <c r="L25" s="1143">
        <f t="shared" si="2"/>
        <v>8469847</v>
      </c>
      <c r="M25" s="1144">
        <v>0</v>
      </c>
      <c r="N25" s="1126"/>
      <c r="O25" s="1876"/>
      <c r="P25" s="1877"/>
      <c r="Q25" s="1877"/>
      <c r="R25" s="1877"/>
      <c r="S25" s="1877"/>
      <c r="T25" s="1877"/>
      <c r="U25" s="1878"/>
      <c r="V25" s="1056"/>
      <c r="W25" s="1404">
        <f>SUM(W17:W24)</f>
        <v>8436881.6975521483</v>
      </c>
      <c r="X25" s="1056"/>
      <c r="Y25" s="1056"/>
      <c r="Z25" s="1056"/>
    </row>
    <row r="26" spans="1:26" x14ac:dyDescent="0.25">
      <c r="A26" s="1056"/>
      <c r="B26" s="1056"/>
      <c r="C26" s="1056"/>
      <c r="D26" s="1056"/>
      <c r="E26" s="1138"/>
      <c r="F26" s="1138"/>
      <c r="G26" s="1138"/>
      <c r="H26" s="1056"/>
      <c r="I26" s="1056"/>
      <c r="J26" s="1056"/>
      <c r="K26" s="1056"/>
      <c r="L26" s="1056"/>
      <c r="M26" s="1056"/>
      <c r="N26" s="1126"/>
      <c r="O26" s="1056"/>
      <c r="P26" s="1056"/>
      <c r="Q26" s="1056"/>
      <c r="R26" s="1056"/>
      <c r="S26" s="1056"/>
      <c r="T26" s="1056"/>
      <c r="U26" s="1056"/>
      <c r="V26" s="1056"/>
      <c r="W26" s="1056"/>
      <c r="X26" s="1056"/>
      <c r="Y26" s="1056"/>
      <c r="Z26" s="1056"/>
    </row>
    <row r="27" spans="1:26" x14ac:dyDescent="0.25">
      <c r="A27" s="1056"/>
      <c r="B27" s="1056"/>
      <c r="C27" s="1056"/>
      <c r="D27" s="1056"/>
      <c r="E27" s="1056"/>
      <c r="F27" s="1056"/>
      <c r="G27" s="1056"/>
      <c r="H27" s="1056"/>
      <c r="I27" s="1056"/>
      <c r="J27" s="1056"/>
      <c r="K27" s="1056"/>
      <c r="L27" s="1056"/>
      <c r="M27" s="1056"/>
      <c r="N27" s="1126"/>
      <c r="O27" s="1056"/>
      <c r="P27" s="1056"/>
      <c r="Q27" s="1056"/>
      <c r="R27" s="1056"/>
      <c r="S27" s="1056"/>
      <c r="T27" s="1056"/>
      <c r="U27" s="1056"/>
      <c r="V27" s="1056"/>
      <c r="W27" s="1056"/>
      <c r="X27" s="1056"/>
      <c r="Y27" s="1056"/>
      <c r="Z27" s="1056"/>
    </row>
    <row r="28" spans="1:26" x14ac:dyDescent="0.25">
      <c r="A28" s="1056"/>
      <c r="B28" s="1056"/>
      <c r="C28" s="1056"/>
      <c r="D28" s="1056"/>
      <c r="E28" s="1056"/>
      <c r="F28" s="1056"/>
      <c r="G28" s="1056"/>
      <c r="H28" s="1056"/>
      <c r="I28" s="1056"/>
      <c r="J28" s="1056"/>
      <c r="K28" s="1056"/>
      <c r="L28" s="1056"/>
      <c r="M28" s="1056"/>
      <c r="N28" s="1126"/>
      <c r="O28" s="1056"/>
      <c r="P28" s="1056"/>
      <c r="Q28" s="1056"/>
      <c r="R28" s="1056"/>
      <c r="S28" s="1056"/>
      <c r="T28" s="1056"/>
      <c r="U28" s="1056"/>
      <c r="V28" s="1056"/>
      <c r="W28" s="1056"/>
      <c r="X28" s="1056"/>
      <c r="Y28" s="1056"/>
      <c r="Z28" s="1056"/>
    </row>
    <row r="29" spans="1:26" x14ac:dyDescent="0.25">
      <c r="A29" s="1056"/>
      <c r="B29" s="1056"/>
      <c r="C29" s="1056"/>
      <c r="D29" s="1056"/>
      <c r="E29" s="1056"/>
      <c r="F29" s="1056"/>
      <c r="G29" s="1056"/>
      <c r="H29" s="1056"/>
      <c r="I29" s="1056"/>
      <c r="J29" s="1056"/>
      <c r="K29" s="1056"/>
      <c r="L29" s="1056"/>
      <c r="M29" s="1056"/>
      <c r="N29" s="1126"/>
      <c r="O29" s="1056"/>
      <c r="P29" s="1056"/>
      <c r="Q29" s="1056"/>
      <c r="R29" s="1056"/>
      <c r="S29" s="1056"/>
      <c r="T29" s="1056"/>
      <c r="U29" s="1056"/>
      <c r="V29" s="1056"/>
      <c r="W29" s="1056"/>
      <c r="X29" s="1056"/>
      <c r="Y29" s="1056"/>
      <c r="Z29" s="1056"/>
    </row>
    <row r="30" spans="1:26" x14ac:dyDescent="0.25">
      <c r="A30" s="1056"/>
      <c r="B30" s="1056"/>
      <c r="C30" s="1056"/>
      <c r="D30" s="1056"/>
      <c r="E30" s="1056"/>
      <c r="F30" s="1056"/>
      <c r="G30" s="1056"/>
      <c r="H30" s="1056"/>
      <c r="I30" s="1056"/>
      <c r="J30" s="1056"/>
      <c r="K30" s="1056"/>
      <c r="L30" s="1056"/>
      <c r="M30" s="1056"/>
      <c r="N30" s="1126"/>
      <c r="O30" s="1056"/>
      <c r="P30" s="1056"/>
      <c r="Q30" s="1056"/>
      <c r="R30" s="1056"/>
      <c r="S30" s="1056"/>
      <c r="T30" s="1056"/>
      <c r="U30" s="1056"/>
      <c r="V30" s="1056"/>
      <c r="W30" s="1056"/>
      <c r="X30" s="1056"/>
      <c r="Y30" s="1056"/>
      <c r="Z30" s="1056"/>
    </row>
    <row r="31" spans="1:26" x14ac:dyDescent="0.25">
      <c r="A31" s="1056"/>
      <c r="B31" s="1056"/>
      <c r="C31" s="1056"/>
      <c r="D31" s="1056"/>
      <c r="E31" s="1056"/>
      <c r="F31" s="1056"/>
      <c r="G31" s="1056"/>
      <c r="H31" s="1056"/>
      <c r="I31" s="1056"/>
      <c r="J31" s="1056"/>
      <c r="K31" s="1056"/>
      <c r="L31" s="1056"/>
      <c r="M31" s="1056"/>
      <c r="N31" s="1126"/>
      <c r="O31" s="1056"/>
      <c r="P31" s="1056"/>
      <c r="Q31" s="1056"/>
      <c r="R31" s="1056"/>
      <c r="S31" s="1056"/>
      <c r="T31" s="1056"/>
      <c r="U31" s="1056"/>
      <c r="V31" s="1056"/>
      <c r="W31" s="1056"/>
      <c r="X31" s="1056"/>
      <c r="Y31" s="1056"/>
      <c r="Z31" s="1056"/>
    </row>
  </sheetData>
  <mergeCells count="7">
    <mergeCell ref="O17:U25"/>
    <mergeCell ref="A12:G12"/>
    <mergeCell ref="E14:F14"/>
    <mergeCell ref="G14:H14"/>
    <mergeCell ref="C14:D14"/>
    <mergeCell ref="I14:J14"/>
    <mergeCell ref="C13:G13"/>
  </mergeCells>
  <pageMargins left="0.7" right="0.7" top="0.75" bottom="0.75" header="0.3" footer="0.3"/>
  <pageSetup scale="31" orientation="landscape" r:id="rId1"/>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R25"/>
  <sheetViews>
    <sheetView showGridLines="0" topLeftCell="A4" zoomScaleNormal="100" workbookViewId="0"/>
  </sheetViews>
  <sheetFormatPr defaultColWidth="9.28515625" defaultRowHeight="15" x14ac:dyDescent="0.25"/>
  <cols>
    <col min="1" max="1" width="63.85546875" customWidth="1"/>
    <col min="3" max="3" width="14.28515625" customWidth="1"/>
    <col min="4" max="6" width="14.42578125" customWidth="1"/>
    <col min="7" max="8" width="22.5703125" customWidth="1"/>
    <col min="9" max="9" width="16.7109375" customWidth="1"/>
    <col min="10" max="10" width="21.28515625" customWidth="1"/>
    <col min="11" max="12" width="13.5703125" customWidth="1"/>
    <col min="13" max="13" width="17.7109375" hidden="1" customWidth="1"/>
    <col min="14" max="14" width="20.28515625" hidden="1" customWidth="1"/>
    <col min="15" max="15" width="13" bestFit="1" customWidth="1"/>
  </cols>
  <sheetData>
    <row r="1" spans="1:15" x14ac:dyDescent="0.25">
      <c r="A1" t="s">
        <v>745</v>
      </c>
    </row>
    <row r="11" spans="1:15" ht="39.75" customHeight="1" x14ac:dyDescent="0.25">
      <c r="A11" s="1888" t="s">
        <v>746</v>
      </c>
      <c r="B11" s="1888"/>
      <c r="C11" s="1888"/>
      <c r="D11" s="1888"/>
      <c r="E11" s="1888"/>
      <c r="F11" s="1888"/>
      <c r="G11" s="1888"/>
      <c r="H11" s="1888"/>
      <c r="I11" s="1888"/>
      <c r="J11" s="1888"/>
    </row>
    <row r="12" spans="1:15" ht="15" customHeight="1" x14ac:dyDescent="0.25">
      <c r="A12" s="1884" t="s">
        <v>719</v>
      </c>
      <c r="B12" s="1885"/>
      <c r="C12" s="1024">
        <v>12</v>
      </c>
      <c r="D12" s="1025"/>
      <c r="E12" s="1025"/>
      <c r="F12" s="1025"/>
      <c r="G12" s="1025"/>
      <c r="H12" s="1025"/>
      <c r="I12" s="1025"/>
      <c r="J12" s="1025"/>
      <c r="K12" s="400"/>
      <c r="L12" s="400"/>
    </row>
    <row r="13" spans="1:15" x14ac:dyDescent="0.25">
      <c r="A13" s="1884" t="s">
        <v>747</v>
      </c>
      <c r="B13" s="1885"/>
      <c r="C13" s="477">
        <v>12</v>
      </c>
      <c r="D13" s="1023" t="str">
        <f>IF(C13&gt;0, "Rate Rider Recovery to be used below", "If no rate rider recovery period is proposed then the default recovery period of 12 months will be used")</f>
        <v>Rate Rider Recovery to be used below</v>
      </c>
      <c r="E13" s="1023"/>
      <c r="F13" s="1023"/>
      <c r="K13" s="400"/>
      <c r="L13" s="400"/>
    </row>
    <row r="14" spans="1:15" ht="15" customHeight="1" x14ac:dyDescent="0.25">
      <c r="A14" s="1884" t="s">
        <v>748</v>
      </c>
      <c r="B14" s="1885"/>
      <c r="C14" s="477">
        <v>12</v>
      </c>
      <c r="D14" s="1023" t="str">
        <f>IF(C14&gt;0, "Rate Rider Recovery to be used below", "If no rate rider recovery period is proposed then the default recovery period of 12 months will be used")</f>
        <v>Rate Rider Recovery to be used below</v>
      </c>
      <c r="G14" s="1026"/>
      <c r="H14" s="1026"/>
    </row>
    <row r="15" spans="1:15" ht="17.25" hidden="1" customHeight="1" x14ac:dyDescent="0.25">
      <c r="A15" s="1884" t="s">
        <v>749</v>
      </c>
      <c r="B15" s="1885"/>
      <c r="C15" s="477">
        <v>12</v>
      </c>
      <c r="D15" s="1023" t="str">
        <f>IF(C15&gt;0, "Rate Rider Recovery to be used below", "If no rate rider recovery period is proposed then the default recovery period of 12 months will be used")</f>
        <v>Rate Rider Recovery to be used below</v>
      </c>
      <c r="N15" s="1019"/>
    </row>
    <row r="16" spans="1:15" ht="75.75" customHeight="1" x14ac:dyDescent="0.25">
      <c r="A16" s="1027" t="s">
        <v>343</v>
      </c>
      <c r="B16" s="1020" t="s">
        <v>344</v>
      </c>
      <c r="C16" s="1028" t="s">
        <v>750</v>
      </c>
      <c r="D16" s="1029" t="s">
        <v>751</v>
      </c>
      <c r="E16" s="1029" t="s">
        <v>752</v>
      </c>
      <c r="F16" s="1029" t="s">
        <v>753</v>
      </c>
      <c r="G16" s="1030" t="s">
        <v>754</v>
      </c>
      <c r="H16" s="1030" t="s">
        <v>755</v>
      </c>
      <c r="I16" s="1031" t="s">
        <v>756</v>
      </c>
      <c r="J16" s="1031" t="s">
        <v>757</v>
      </c>
      <c r="K16" s="1031" t="s">
        <v>758</v>
      </c>
      <c r="L16" s="1031" t="s">
        <v>759</v>
      </c>
      <c r="M16" s="1886" t="s">
        <v>760</v>
      </c>
      <c r="N16" s="1887"/>
      <c r="O16" s="1192" t="s">
        <v>9756</v>
      </c>
    </row>
    <row r="17" spans="1:18" ht="15.75" customHeight="1" x14ac:dyDescent="0.25">
      <c r="A17" s="1147" t="s">
        <v>170</v>
      </c>
      <c r="B17" s="1189" t="s">
        <v>379</v>
      </c>
      <c r="C17" s="1292">
        <f>'4. Billing Det. for Def-Var'!C17</f>
        <v>4886981417</v>
      </c>
      <c r="D17" s="1292">
        <f>'4. Billing Det. for Def-Var'!D17</f>
        <v>0</v>
      </c>
      <c r="E17" s="1292">
        <f>'4. Billing Det. for Def-Var'!I17</f>
        <v>4886981417</v>
      </c>
      <c r="F17" s="1292">
        <f>'4. Billing Det. for Def-Var'!J17</f>
        <v>0</v>
      </c>
      <c r="G17" s="1293">
        <f>SUM('5. Allocating Def-Var Balances'!G17:S17)-H17</f>
        <v>5477938.9762356933</v>
      </c>
      <c r="H17" s="1294">
        <f>IF('4. Billing Det. for Def-Var'!H17=0,0,SUM('5. Allocating Def-Var Balances'!I17,'5. Allocating Def-Var Balances'!N17,'5. Allocating Def-Var Balances'!H17))</f>
        <v>0</v>
      </c>
      <c r="I17" s="1227">
        <f>ROUND(IF(ISERROR(G17/C17),0,IF(OR(ISBLANK(C13), OR(C13=0, C13="")), G17/C17/(C12/12), G17/C17/(C13/12))),5)</f>
        <v>1.1199999999999999E-3</v>
      </c>
      <c r="J17" s="1228">
        <f>ROUND(IF(ISERROR(H17/E17),0,IF(OR(ISBLANK(C13), OR(C13=0, C13="")), H17/E17/(C12/12), H17/E17/(C13/12))),5)</f>
        <v>0</v>
      </c>
      <c r="K17" s="1227">
        <f>ROUND(IF(ISERROR(0/C17), 0, IF(OR(ISBLANK(C14), OR(C14=0, C14="")), (0/C17)/(C12/12), (0/C17)/(C14/12))),5)</f>
        <v>0</v>
      </c>
      <c r="M17" s="1190">
        <f>C17*I17*(C13/12)</f>
        <v>5473419.1870399993</v>
      </c>
      <c r="N17" s="1190">
        <f>E17*J17</f>
        <v>0</v>
      </c>
      <c r="R17" s="1406"/>
    </row>
    <row r="18" spans="1:18" s="1183" customFormat="1" ht="15.75" customHeight="1" x14ac:dyDescent="0.25">
      <c r="A18" s="1224" t="s">
        <v>6221</v>
      </c>
      <c r="B18" s="1225" t="s">
        <v>379</v>
      </c>
      <c r="C18" s="1223">
        <f>'4. Billing Det. for Def-Var'!C18</f>
        <v>328733472</v>
      </c>
      <c r="D18" s="1223">
        <f>'4. Billing Det. for Def-Var'!D18</f>
        <v>0</v>
      </c>
      <c r="E18" s="1223">
        <f>'4. Billing Det. for Def-Var'!I18</f>
        <v>328733472</v>
      </c>
      <c r="F18" s="1223">
        <f>'4. Billing Det. for Def-Var'!J18</f>
        <v>0</v>
      </c>
      <c r="G18" s="1226">
        <f>SUM('5. Allocating Def-Var Balances'!G18:S18)-H18</f>
        <v>240587.4407721273</v>
      </c>
      <c r="H18" s="1229">
        <f>IF('4. Billing Det. for Def-Var'!H18=0,0,SUM('5. Allocating Def-Var Balances'!I18,'5. Allocating Def-Var Balances'!N18,'5. Allocating Def-Var Balances'!H18))</f>
        <v>0</v>
      </c>
      <c r="I18" s="1227">
        <f>ROUND(IF(ISERROR(G18/C18),0,IF(OR(ISBLANK(C13), OR(C13=0, C13="")), G18/C18/(C12/12), G18/C18/(C13/12))),5)</f>
        <v>7.2999999999999996E-4</v>
      </c>
      <c r="J18" s="1228">
        <f>ROUND(IF(ISERROR(H18/E18),0,IF(OR(ISBLANK(C13), OR(C13=0, C13="")), H18/E18/(C12/12), H18/E18/(C13/12))),5)</f>
        <v>0</v>
      </c>
      <c r="K18" s="1227">
        <f>ROUND(IF(ISERROR(0/C18), 0, IF(OR(ISBLANK(C14), OR(C14=0, C14="")), (0/C18)/(C12/12), (0/C18)/(C14/12))),5)</f>
        <v>0</v>
      </c>
      <c r="M18" s="1190">
        <f>C18*I18*(C13/12)</f>
        <v>239975.43455999999</v>
      </c>
      <c r="N18" s="1190">
        <f>E18*J18</f>
        <v>0</v>
      </c>
      <c r="Q18" s="1405"/>
      <c r="R18" s="1406"/>
    </row>
    <row r="19" spans="1:18" ht="15.75" customHeight="1" x14ac:dyDescent="0.25">
      <c r="A19" s="1147" t="s">
        <v>174</v>
      </c>
      <c r="B19" s="1189" t="s">
        <v>379</v>
      </c>
      <c r="C19" s="1292">
        <f>'4. Billing Det. for Def-Var'!C19</f>
        <v>2329110980</v>
      </c>
      <c r="D19" s="1292">
        <f>'4. Billing Det. for Def-Var'!D19</f>
        <v>0</v>
      </c>
      <c r="E19" s="1292">
        <f>'4. Billing Det. for Def-Var'!I19</f>
        <v>2329110980</v>
      </c>
      <c r="F19" s="1292">
        <f>'4. Billing Det. for Def-Var'!J19</f>
        <v>0</v>
      </c>
      <c r="G19" s="1293">
        <f>SUM('5. Allocating Def-Var Balances'!G19:S19)-H19</f>
        <v>2888076.727764301</v>
      </c>
      <c r="H19" s="1294">
        <f>IF('4. Billing Det. for Def-Var'!H19=0,0,SUM('5. Allocating Def-Var Balances'!I19,'5. Allocating Def-Var Balances'!N19,'5. Allocating Def-Var Balances'!H19))</f>
        <v>0</v>
      </c>
      <c r="I19" s="1227">
        <f>ROUND(IF(ISERROR(G19/C19),0,IF(OR(ISBLANK(C13), OR(C13=0, C13="")), G19/C19/(C12/12), G19/C19/(C13/12))),5)</f>
        <v>1.24E-3</v>
      </c>
      <c r="J19" s="1228">
        <f>ROUND(IF(ISERROR(H19/E19),0,IF(OR(ISBLANK(C13), OR(C13=0, C13="")), H19/E19/(C12/12), H19/E19/(C13/12))),5)</f>
        <v>0</v>
      </c>
      <c r="K19" s="1227">
        <f>ROUND(IF(ISERROR(0/C19), 0, IF(OR(ISBLANK(C14), OR(C14=0, C14="")), (0/C19)/(C12/12), (0/C19)/(C14/12))),5)</f>
        <v>0</v>
      </c>
      <c r="M19" s="1190">
        <f>C19*I19*(C13/12)</f>
        <v>2888097.6151999999</v>
      </c>
      <c r="N19" s="1190">
        <f>E19*J19</f>
        <v>0</v>
      </c>
      <c r="Q19" s="1405"/>
      <c r="R19" s="1406"/>
    </row>
    <row r="20" spans="1:18" ht="15.75" customHeight="1" x14ac:dyDescent="0.25">
      <c r="A20" s="1147" t="s">
        <v>990</v>
      </c>
      <c r="B20" s="1189" t="s">
        <v>9734</v>
      </c>
      <c r="C20" s="1292">
        <f>'4. Billing Det. for Def-Var'!C20</f>
        <v>9754014966</v>
      </c>
      <c r="D20" s="1292">
        <f>'4. Billing Det. for Def-Var'!D20</f>
        <v>24593447</v>
      </c>
      <c r="E20" s="1292">
        <f>'4. Billing Det. for Def-Var'!I20</f>
        <v>9705018014</v>
      </c>
      <c r="F20" s="1292">
        <f>'4. Billing Det. for Def-Var'!J20</f>
        <v>24495301</v>
      </c>
      <c r="G20" s="1293">
        <f>SUM('5. Allocating Def-Var Balances'!G20:S20)-H20</f>
        <v>10192831.77106387</v>
      </c>
      <c r="H20" s="1293">
        <f>IF('4. Billing Det. for Def-Var'!H20=0,0,SUM('5. Allocating Def-Var Balances'!I20,'5. Allocating Def-Var Balances'!N20,'5. Allocating Def-Var Balances'!H20))</f>
        <v>2337335.1756004565</v>
      </c>
      <c r="I20" s="1228">
        <f>ROUND(IF(ISERROR(G20/D20),0,IF(OR(ISBLANK(C13), OR(C13=0, C13="")), G20/D20/(C12/12)*12/365*30, G20/D20/(C13/12)*12/365*30)),4)</f>
        <v>0.4088</v>
      </c>
      <c r="J20" s="1228">
        <f>ROUND(IF(ISERROR(H20/F20),0,IF(OR(ISBLANK(C13), OR(C13=0, C13="")), H20/F20/(C12/12)*12/365*30, H20/F20/(C13/12)*12/365*30)),4)</f>
        <v>9.4100000000000003E-2</v>
      </c>
      <c r="K20" s="1227">
        <f>ROUND(IF(ISERROR(0/D20), 0, IF(OR(ISBLANK(C14), OR(C14=0, C14="")), (0/D20)/(C12/12)*12/365*30, (0/D20)/(C14/12)*12/365*30)),4)</f>
        <v>0</v>
      </c>
      <c r="M20" s="1231">
        <f>D20*I20/30*365/12*(C12/12)</f>
        <v>10193437.260455556</v>
      </c>
      <c r="N20" s="1231">
        <f>F20*J20/30*365/12</f>
        <v>2337021.8216569447</v>
      </c>
      <c r="Q20" s="1405"/>
      <c r="R20" s="1406"/>
    </row>
    <row r="21" spans="1:18" ht="15.75" customHeight="1" x14ac:dyDescent="0.25">
      <c r="A21" s="1147" t="s">
        <v>1008</v>
      </c>
      <c r="B21" s="1189" t="s">
        <v>9734</v>
      </c>
      <c r="C21" s="1292">
        <f>'4. Billing Det. for Def-Var'!C21</f>
        <v>4286717227</v>
      </c>
      <c r="D21" s="1292">
        <f>'4. Billing Det. for Def-Var'!D21</f>
        <v>9419440</v>
      </c>
      <c r="E21" s="1292">
        <f>'4. Billing Det. for Def-Var'!I21</f>
        <v>4286717227</v>
      </c>
      <c r="F21" s="1292">
        <f>'4. Billing Det. for Def-Var'!J21</f>
        <v>9419440</v>
      </c>
      <c r="G21" s="1293">
        <f>SUM('5. Allocating Def-Var Balances'!G21:S21)-H21</f>
        <v>5926790.8099699831</v>
      </c>
      <c r="H21" s="1294">
        <f>IF('4. Billing Det. for Def-Var'!H21=0,0,SUM('5. Allocating Def-Var Balances'!I21,'5. Allocating Def-Var Balances'!N21,'5. Allocating Def-Var Balances'!H21))</f>
        <v>0</v>
      </c>
      <c r="I21" s="1228">
        <f>ROUND(IF(ISERROR(G21/D21),0,IF(OR(ISBLANK(C13), OR(C13=0, C13="")), G21/D21/(C12/12)*12/365*30, G21/D21/(C13/12)*12/365*30)),4)</f>
        <v>0.62060000000000004</v>
      </c>
      <c r="J21" s="1228">
        <f>ROUND(IF(ISERROR(H21/F21),0,IF(OR(ISBLANK(C13), OR(C13=0, C13="")), H21/F21/(C12/12)*12/365*30, H21/F21/(C13/12)*12/365*30)),4)</f>
        <v>0</v>
      </c>
      <c r="K21" s="1227">
        <f>ROUND(IF(ISERROR(0/D21), 0, IF(OR(ISBLANK(C14), OR(C14=0, C14="")), (0/D21)/(C12/12)*12/365*30, (0/D21)/(C14/12)*12/365*30)),4)</f>
        <v>0</v>
      </c>
      <c r="M21" s="1231">
        <f>D21*I21/30*365/12*(C12/12)</f>
        <v>5926894.8037777776</v>
      </c>
      <c r="N21" s="1231">
        <f>F21*J21/30*365/12</f>
        <v>0</v>
      </c>
      <c r="Q21" s="1405"/>
      <c r="R21" s="1406"/>
    </row>
    <row r="22" spans="1:18" ht="15.75" customHeight="1" x14ac:dyDescent="0.25">
      <c r="A22" s="1147" t="s">
        <v>189</v>
      </c>
      <c r="B22" s="1189" t="s">
        <v>9734</v>
      </c>
      <c r="C22" s="1292">
        <f>'4. Billing Det. for Def-Var'!C22</f>
        <v>2143188326</v>
      </c>
      <c r="D22" s="1292">
        <f>'4. Billing Det. for Def-Var'!D22</f>
        <v>4639620</v>
      </c>
      <c r="E22" s="1292">
        <f>'4. Billing Det. for Def-Var'!I22</f>
        <v>1909267288</v>
      </c>
      <c r="F22" s="1292">
        <f>'4. Billing Det. for Def-Var'!J22</f>
        <v>4188124</v>
      </c>
      <c r="G22" s="1293">
        <f>SUM('5. Allocating Def-Var Balances'!G22:S22)-H22</f>
        <v>2463356.2830794947</v>
      </c>
      <c r="H22" s="1293">
        <f>IF('4. Billing Det. for Def-Var'!H22=0,0,SUM('5. Allocating Def-Var Balances'!I22,'5. Allocating Def-Var Balances'!N22,'5. Allocating Def-Var Balances'!H22))</f>
        <v>459823.73092230794</v>
      </c>
      <c r="I22" s="1228">
        <f>ROUND(IF(ISERROR(G22/D22),0,IF(OR(ISBLANK(C13), OR(C13=0, C13="")), G22/D22/(C12/12)*12/365*30, G22/D22/(C13/12)*12/365*30)),4)</f>
        <v>0.52370000000000005</v>
      </c>
      <c r="J22" s="1228">
        <f>ROUND(IF(ISERROR(H22/F22),0,IF(OR(ISBLANK(C13), OR(C13=0, C13="")), H22/F22/(C12/12)*12/365*30, H22/F22/(C13/12)*12/365*30)),4)</f>
        <v>0.10829999999999999</v>
      </c>
      <c r="K22" s="1227">
        <f>ROUND(IF(ISERROR(0/D22), 0, IF(OR(ISBLANK(C14), OR(C14=0, C14="")), (0/D22)/(C12/12)*12/365*30, (0/D22)/(C14/12)*12/365*30)),4)</f>
        <v>0</v>
      </c>
      <c r="M22" s="1231">
        <f>D22*I22/30*365/12*(C12/12)</f>
        <v>2463515.7855833336</v>
      </c>
      <c r="N22" s="1231">
        <f>F22*J22/30*365/12</f>
        <v>459873.4657166666</v>
      </c>
      <c r="Q22" s="1405"/>
      <c r="R22" s="1406"/>
    </row>
    <row r="23" spans="1:18" ht="15.75" customHeight="1" x14ac:dyDescent="0.25">
      <c r="A23" s="1147" t="s">
        <v>194</v>
      </c>
      <c r="B23" s="1189" t="s">
        <v>379</v>
      </c>
      <c r="C23" s="1292">
        <f>'4. Billing Det. for Def-Var'!C23</f>
        <v>41590391</v>
      </c>
      <c r="D23" s="1292">
        <f>'4. Billing Det. for Def-Var'!D23</f>
        <v>0</v>
      </c>
      <c r="E23" s="1292">
        <f>'4. Billing Det. for Def-Var'!I23</f>
        <v>41590391</v>
      </c>
      <c r="F23" s="1292">
        <f>'4. Billing Det. for Def-Var'!J23</f>
        <v>0</v>
      </c>
      <c r="G23" s="1293">
        <f>SUM('5. Allocating Def-Var Balances'!G23:S23)-H23</f>
        <v>36898.966912207958</v>
      </c>
      <c r="H23" s="1294">
        <f>IF('4. Billing Det. for Def-Var'!H23=0,0,SUM('5. Allocating Def-Var Balances'!I23,'5. Allocating Def-Var Balances'!N23,'5. Allocating Def-Var Balances'!H23))</f>
        <v>0</v>
      </c>
      <c r="I23" s="1227">
        <f>ROUND(IF(ISERROR(G23/C23),0,IF(OR(ISBLANK(C13), OR(C13=0, C13="")), G23/C23/(C12/12), G23/C23/(C13/12))),5)</f>
        <v>8.8999999999999995E-4</v>
      </c>
      <c r="J23" s="1228">
        <f>ROUND(IF(ISERROR(H23/E23),0,IF(OR(ISBLANK(C13), OR(C13=0, C13="")), H23/E23/(C12/12), H23/E23/(C13/12))),5)</f>
        <v>0</v>
      </c>
      <c r="K23" s="1227">
        <f>ROUND(IF(ISERROR(0/C23), 0, IF(OR(ISBLANK(C14), OR(C14=0, C14="")), (0/C23)/(C12/12), (0/C23)/(C14/12))),5)</f>
        <v>0</v>
      </c>
      <c r="M23" s="1190">
        <f>C23*I23*(C13/12)</f>
        <v>37015.447990000001</v>
      </c>
      <c r="N23" s="1190">
        <f>E23*J23</f>
        <v>0</v>
      </c>
      <c r="Q23" s="1405"/>
      <c r="R23" s="1406"/>
    </row>
    <row r="24" spans="1:18" ht="15.75" customHeight="1" x14ac:dyDescent="0.25">
      <c r="A24" s="1147" t="s">
        <v>202</v>
      </c>
      <c r="B24" s="1189" t="s">
        <v>9734</v>
      </c>
      <c r="C24" s="1292">
        <f>'4. Billing Det. for Def-Var'!C24</f>
        <v>114759446</v>
      </c>
      <c r="D24" s="1292">
        <f>'4. Billing Det. for Def-Var'!D24</f>
        <v>330988</v>
      </c>
      <c r="E24" s="1292">
        <f>'4. Billing Det. for Def-Var'!I24</f>
        <v>114759446</v>
      </c>
      <c r="F24" s="1292">
        <f>'4. Billing Det. for Def-Var'!J24</f>
        <v>330988</v>
      </c>
      <c r="G24" s="1293">
        <f>SUM('5. Allocating Def-Var Balances'!G24:S24)-H24</f>
        <v>74552.99832820984</v>
      </c>
      <c r="H24" s="1294">
        <f>IF('4. Billing Det. for Def-Var'!H24=0,0,SUM('5. Allocating Def-Var Balances'!I24,'5. Allocating Def-Var Balances'!N24,'5. Allocating Def-Var Balances'!H24))</f>
        <v>0</v>
      </c>
      <c r="I24" s="1228">
        <f>ROUND(IF(ISERROR(G24/D24),0,IF(OR(ISBLANK(C12), OR(C12=0, C12="")), G24/D24/(C11/12)*12/365*30, G24/D24/(C12/12)*12/365*30)),4)</f>
        <v>0.22220000000000001</v>
      </c>
      <c r="J24" s="1228">
        <f>ROUND(IF(ISERROR(H24/F24),0,IF(OR(ISBLANK(C12), OR(C12=0, C12="")), H24/F24/(C11/12)*12/365*30, H24/F24/(C12/12)*12/365*30)),4)</f>
        <v>0</v>
      </c>
      <c r="K24" s="1227">
        <f>ROUND(IF(ISERROR(0/D24), 0, IF(OR(ISBLANK(C14), OR(C14=0, C14="")), (0/D24)/(C12/12)*12/365*30, (0/D24)/(C14/12)*12/365*30)),4)</f>
        <v>0</v>
      </c>
      <c r="M24" s="1231">
        <f>D24*I24/30*365/12*(C12/12)</f>
        <v>74566.999344444441</v>
      </c>
      <c r="N24" s="1231">
        <f>F24*J24/30*365/12</f>
        <v>0</v>
      </c>
      <c r="Q24" s="1405"/>
      <c r="R24" s="1406"/>
    </row>
    <row r="25" spans="1:18" x14ac:dyDescent="0.25">
      <c r="M25" s="1191">
        <f>SUM(M17:M24)</f>
        <v>27296922.533951111</v>
      </c>
      <c r="N25" s="1191">
        <f>SUM(N17:N24)</f>
        <v>2796895.2873736112</v>
      </c>
      <c r="O25" s="1230">
        <f>SUM(M25:N25)</f>
        <v>30093817.821324721</v>
      </c>
    </row>
  </sheetData>
  <mergeCells count="6">
    <mergeCell ref="A15:B15"/>
    <mergeCell ref="M16:N16"/>
    <mergeCell ref="A11:J11"/>
    <mergeCell ref="A12:B12"/>
    <mergeCell ref="A13:B13"/>
    <mergeCell ref="A14:B14"/>
  </mergeCells>
  <pageMargins left="0.25" right="0.25" top="0.75" bottom="0.75" header="0.3" footer="0.3"/>
  <pageSetup scale="44" orientation="portrait" verticalDpi="4" r:id="rId1"/>
  <headerFooter>
    <oddFooter>&amp;C&amp;A</oddFoot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pageSetUpPr fitToPage="1"/>
  </sheetPr>
  <dimension ref="A1:AZ54"/>
  <sheetViews>
    <sheetView showGridLines="0" zoomScaleNormal="100" workbookViewId="0"/>
  </sheetViews>
  <sheetFormatPr defaultColWidth="13.7109375" defaultRowHeight="12.75" x14ac:dyDescent="0.2"/>
  <cols>
    <col min="1" max="1" width="65.28515625" style="1151" customWidth="1"/>
    <col min="2" max="2" width="76" style="1151" bestFit="1" customWidth="1"/>
    <col min="3" max="3" width="6.42578125" style="1151" bestFit="1" customWidth="1"/>
    <col min="4" max="4" width="10.5703125" style="1151" customWidth="1"/>
    <col min="5" max="5" width="18.28515625" style="1151" customWidth="1"/>
    <col min="6" max="6" width="14" style="1151" customWidth="1"/>
    <col min="7" max="7" width="13.7109375" style="1151"/>
    <col min="8" max="8" width="14.5703125" style="1151" customWidth="1"/>
    <col min="9" max="16384" width="13.7109375" style="1151"/>
  </cols>
  <sheetData>
    <row r="1" spans="1:52" x14ac:dyDescent="0.2">
      <c r="AZ1" s="1152">
        <v>1</v>
      </c>
    </row>
    <row r="13" spans="1:52" ht="33" customHeight="1" thickBot="1" x14ac:dyDescent="0.25">
      <c r="A13" s="1889" t="s">
        <v>761</v>
      </c>
      <c r="B13" s="1889"/>
      <c r="C13" s="1889"/>
      <c r="D13" s="1889"/>
      <c r="E13" s="1889"/>
      <c r="F13" s="1889"/>
      <c r="G13" s="1889"/>
      <c r="H13" s="1889"/>
      <c r="I13" s="1153"/>
      <c r="J13" s="1153"/>
      <c r="K13" s="1153"/>
      <c r="L13" s="1153"/>
    </row>
    <row r="14" spans="1:52" ht="18.75" thickBot="1" x14ac:dyDescent="0.3">
      <c r="A14" s="1154" t="s">
        <v>7697</v>
      </c>
      <c r="B14" s="1155">
        <v>0.17</v>
      </c>
    </row>
    <row r="15" spans="1:52" ht="45" x14ac:dyDescent="0.25">
      <c r="A15" s="1156" t="s">
        <v>343</v>
      </c>
      <c r="B15" s="1156" t="s">
        <v>762</v>
      </c>
      <c r="C15" s="1157" t="s">
        <v>344</v>
      </c>
      <c r="D15" s="1158" t="s">
        <v>763</v>
      </c>
      <c r="E15" s="1159" t="s">
        <v>764</v>
      </c>
      <c r="F15" s="1159" t="s">
        <v>765</v>
      </c>
      <c r="G15" s="1160" t="s">
        <v>766</v>
      </c>
      <c r="H15" s="1161" t="s">
        <v>767</v>
      </c>
      <c r="I15" s="1161"/>
    </row>
    <row r="16" spans="1:52" x14ac:dyDescent="0.2">
      <c r="D16" s="1162"/>
      <c r="E16" s="1163"/>
      <c r="F16" s="1163"/>
      <c r="G16" s="1162"/>
    </row>
    <row r="17" spans="1:8" x14ac:dyDescent="0.2">
      <c r="A17" s="1151" t="s">
        <v>9736</v>
      </c>
      <c r="B17" s="1151" t="s">
        <v>243</v>
      </c>
      <c r="C17" s="1164" t="s">
        <v>845</v>
      </c>
      <c r="D17" s="1301">
        <v>1.4E-2</v>
      </c>
      <c r="E17" s="1295">
        <f>+'4. Billing Det. for Def-Var'!C17</f>
        <v>4886981417</v>
      </c>
      <c r="F17" s="1295">
        <v>0</v>
      </c>
      <c r="G17" s="1165">
        <v>1.0295000000000001</v>
      </c>
      <c r="H17" s="1163">
        <f t="shared" ref="H17:H22" si="0">E17*G17</f>
        <v>5031147368.8015003</v>
      </c>
    </row>
    <row r="18" spans="1:8" x14ac:dyDescent="0.2">
      <c r="A18" s="1151" t="s">
        <v>9736</v>
      </c>
      <c r="B18" s="1151" t="s">
        <v>175</v>
      </c>
      <c r="C18" s="1164" t="s">
        <v>845</v>
      </c>
      <c r="D18" s="1301">
        <v>9.5899999999999996E-3</v>
      </c>
      <c r="E18" s="1295">
        <f>+'4. Billing Det. for Def-Var'!C17</f>
        <v>4886981417</v>
      </c>
      <c r="F18" s="1295">
        <v>0</v>
      </c>
      <c r="G18" s="1165">
        <v>1.0295000000000001</v>
      </c>
      <c r="H18" s="1163">
        <f t="shared" si="0"/>
        <v>5031147368.8015003</v>
      </c>
    </row>
    <row r="19" spans="1:8" x14ac:dyDescent="0.2">
      <c r="A19" s="1233" t="s">
        <v>9737</v>
      </c>
      <c r="B19" s="1151" t="s">
        <v>243</v>
      </c>
      <c r="C19" s="1164" t="s">
        <v>845</v>
      </c>
      <c r="D19" s="1301">
        <v>1.4E-2</v>
      </c>
      <c r="E19" s="1232">
        <f>+'4. Billing Det. for Def-Var'!C18</f>
        <v>328733472</v>
      </c>
      <c r="F19" s="1303">
        <v>0</v>
      </c>
      <c r="G19" s="1165">
        <v>1.0295000000000001</v>
      </c>
      <c r="H19" s="1163">
        <f t="shared" si="0"/>
        <v>338431109.42400002</v>
      </c>
    </row>
    <row r="20" spans="1:8" x14ac:dyDescent="0.2">
      <c r="A20" s="1233" t="s">
        <v>9737</v>
      </c>
      <c r="B20" s="1151" t="s">
        <v>175</v>
      </c>
      <c r="C20" s="1164" t="s">
        <v>845</v>
      </c>
      <c r="D20" s="1301">
        <v>9.5899999999999996E-3</v>
      </c>
      <c r="E20" s="1232">
        <f>+'4. Billing Det. for Def-Var'!C18</f>
        <v>328733472</v>
      </c>
      <c r="F20" s="1303">
        <v>0</v>
      </c>
      <c r="G20" s="1165">
        <v>1.0295000000000001</v>
      </c>
      <c r="H20" s="1163">
        <f t="shared" si="0"/>
        <v>338431109.42400002</v>
      </c>
    </row>
    <row r="21" spans="1:8" x14ac:dyDescent="0.2">
      <c r="A21" s="1151" t="s">
        <v>9741</v>
      </c>
      <c r="B21" s="1151" t="s">
        <v>243</v>
      </c>
      <c r="C21" s="1164" t="s">
        <v>845</v>
      </c>
      <c r="D21" s="1301">
        <v>1.363E-2</v>
      </c>
      <c r="E21" s="1295">
        <f>+'4. Billing Det. for Def-Var'!C19</f>
        <v>2329110980</v>
      </c>
      <c r="F21" s="1295">
        <v>0</v>
      </c>
      <c r="G21" s="1165">
        <v>1.0295000000000001</v>
      </c>
      <c r="H21" s="1163">
        <f t="shared" si="0"/>
        <v>2397819753.9100003</v>
      </c>
    </row>
    <row r="22" spans="1:8" x14ac:dyDescent="0.2">
      <c r="A22" s="1151" t="s">
        <v>9741</v>
      </c>
      <c r="B22" s="1151" t="s">
        <v>175</v>
      </c>
      <c r="C22" s="1164" t="s">
        <v>845</v>
      </c>
      <c r="D22" s="1301">
        <v>8.5800000000000008E-3</v>
      </c>
      <c r="E22" s="1295">
        <f>+'4. Billing Det. for Def-Var'!C19</f>
        <v>2329110980</v>
      </c>
      <c r="F22" s="1295">
        <v>0</v>
      </c>
      <c r="G22" s="1165">
        <v>1.0295000000000001</v>
      </c>
      <c r="H22" s="1163">
        <f t="shared" si="0"/>
        <v>2397819753.9100003</v>
      </c>
    </row>
    <row r="23" spans="1:8" x14ac:dyDescent="0.2">
      <c r="A23" s="1151" t="s">
        <v>9742</v>
      </c>
      <c r="B23" s="1151" t="s">
        <v>243</v>
      </c>
      <c r="C23" s="1164" t="s">
        <v>3775</v>
      </c>
      <c r="D23" s="1166">
        <v>4.6086999999999998</v>
      </c>
      <c r="E23" s="1296">
        <f>+'4. Billing Det. for Def-Var'!C20-E25</f>
        <v>9753318847</v>
      </c>
      <c r="F23" s="1297">
        <f>+'4. Billing Det. for Def-Var'!D20-F25</f>
        <v>24584849</v>
      </c>
      <c r="G23" s="1162"/>
    </row>
    <row r="24" spans="1:8" x14ac:dyDescent="0.2">
      <c r="A24" s="1151" t="s">
        <v>9742</v>
      </c>
      <c r="B24" s="1151" t="s">
        <v>175</v>
      </c>
      <c r="C24" s="1164" t="s">
        <v>3775</v>
      </c>
      <c r="D24" s="1166">
        <v>3.1008</v>
      </c>
      <c r="E24" s="1298">
        <f>+'4. Billing Det. for Def-Var'!C20-E26</f>
        <v>9753318847</v>
      </c>
      <c r="F24" s="1299">
        <f>+'4. Billing Det. for Def-Var'!D20-F26</f>
        <v>24584849</v>
      </c>
      <c r="G24" s="1162"/>
    </row>
    <row r="25" spans="1:8" x14ac:dyDescent="0.2">
      <c r="A25" s="1151" t="s">
        <v>9742</v>
      </c>
      <c r="B25" s="1151" t="s">
        <v>9744</v>
      </c>
      <c r="C25" s="1164" t="s">
        <v>3775</v>
      </c>
      <c r="D25" s="1302">
        <f>D23*$B$14</f>
        <v>0.78347900000000004</v>
      </c>
      <c r="E25" s="1300">
        <v>696119</v>
      </c>
      <c r="F25" s="1300">
        <v>8598</v>
      </c>
      <c r="G25" s="1162"/>
    </row>
    <row r="26" spans="1:8" x14ac:dyDescent="0.2">
      <c r="A26" s="1151" t="s">
        <v>9742</v>
      </c>
      <c r="B26" s="1151" t="s">
        <v>9745</v>
      </c>
      <c r="C26" s="1164" t="s">
        <v>3775</v>
      </c>
      <c r="D26" s="1302">
        <f>D24*$B$14</f>
        <v>0.52713600000000005</v>
      </c>
      <c r="E26" s="1296">
        <f>E25</f>
        <v>696119</v>
      </c>
      <c r="F26" s="1300">
        <f>+F25</f>
        <v>8598</v>
      </c>
      <c r="G26" s="1162"/>
    </row>
    <row r="27" spans="1:8" x14ac:dyDescent="0.2">
      <c r="A27" s="1151" t="s">
        <v>9743</v>
      </c>
      <c r="B27" s="1151" t="s">
        <v>243</v>
      </c>
      <c r="C27" s="1164" t="s">
        <v>3775</v>
      </c>
      <c r="D27" s="1166">
        <v>4.4528999999999996</v>
      </c>
      <c r="E27" s="1296">
        <f>+'4. Billing Det. for Def-Var'!C21-E29</f>
        <v>4285996412</v>
      </c>
      <c r="F27" s="1297">
        <f>+'4. Billing Det. for Def-Var'!D21-F29</f>
        <v>9410672</v>
      </c>
      <c r="G27" s="1162"/>
    </row>
    <row r="28" spans="1:8" x14ac:dyDescent="0.2">
      <c r="A28" s="1151" t="s">
        <v>9743</v>
      </c>
      <c r="B28" s="1151" t="s">
        <v>175</v>
      </c>
      <c r="C28" s="1164" t="s">
        <v>3775</v>
      </c>
      <c r="D28" s="1166">
        <v>3.0975999999999999</v>
      </c>
      <c r="E28" s="1298">
        <f>+'4. Billing Det. for Def-Var'!C21-E30</f>
        <v>4285996412</v>
      </c>
      <c r="F28" s="1299">
        <f>+'4. Billing Det. for Def-Var'!D21-F30</f>
        <v>9410672</v>
      </c>
      <c r="G28" s="1162"/>
    </row>
    <row r="29" spans="1:8" x14ac:dyDescent="0.2">
      <c r="A29" s="1151" t="s">
        <v>9743</v>
      </c>
      <c r="B29" s="1151" t="s">
        <v>9744</v>
      </c>
      <c r="C29" s="1164" t="s">
        <v>3775</v>
      </c>
      <c r="D29" s="1302">
        <f>D27*$B$14</f>
        <v>0.75699300000000003</v>
      </c>
      <c r="E29" s="1300">
        <v>720815</v>
      </c>
      <c r="F29" s="1300">
        <v>8768</v>
      </c>
      <c r="G29" s="1162"/>
    </row>
    <row r="30" spans="1:8" x14ac:dyDescent="0.2">
      <c r="A30" s="1151" t="s">
        <v>9743</v>
      </c>
      <c r="B30" s="1151" t="s">
        <v>9745</v>
      </c>
      <c r="C30" s="1164" t="s">
        <v>3775</v>
      </c>
      <c r="D30" s="1302">
        <f>D28*$B$14</f>
        <v>0.52659200000000006</v>
      </c>
      <c r="E30" s="1300">
        <f>+E29</f>
        <v>720815</v>
      </c>
      <c r="F30" s="1300">
        <f>+F29</f>
        <v>8768</v>
      </c>
      <c r="G30" s="1162"/>
    </row>
    <row r="31" spans="1:8" x14ac:dyDescent="0.2">
      <c r="A31" s="1151" t="s">
        <v>9738</v>
      </c>
      <c r="B31" s="1151" t="s">
        <v>243</v>
      </c>
      <c r="C31" s="1164" t="s">
        <v>3775</v>
      </c>
      <c r="D31" s="1166">
        <v>5.0759999999999996</v>
      </c>
      <c r="E31" s="1295">
        <f>+'4. Billing Det. for Def-Var'!C22</f>
        <v>2143188326</v>
      </c>
      <c r="F31" s="1295">
        <f>+'4. Billing Det. for Def-Var'!D22</f>
        <v>4639620</v>
      </c>
      <c r="G31" s="1162"/>
    </row>
    <row r="32" spans="1:8" x14ac:dyDescent="0.2">
      <c r="A32" s="1151" t="s">
        <v>9738</v>
      </c>
      <c r="B32" s="1151" t="s">
        <v>175</v>
      </c>
      <c r="C32" s="1164" t="s">
        <v>3775</v>
      </c>
      <c r="D32" s="1166">
        <v>3.4415</v>
      </c>
      <c r="E32" s="1295">
        <f>+'4. Billing Det. for Def-Var'!C22</f>
        <v>2143188326</v>
      </c>
      <c r="F32" s="1295">
        <f>+'4. Billing Det. for Def-Var'!D22</f>
        <v>4639620</v>
      </c>
      <c r="G32" s="1162"/>
    </row>
    <row r="33" spans="1:8" x14ac:dyDescent="0.2">
      <c r="A33" s="1151" t="s">
        <v>9739</v>
      </c>
      <c r="B33" s="1151" t="s">
        <v>243</v>
      </c>
      <c r="C33" s="1164" t="s">
        <v>845</v>
      </c>
      <c r="D33" s="1301">
        <v>8.4700000000000001E-3</v>
      </c>
      <c r="E33" s="1167">
        <f>+'4. Billing Det. for Def-Var'!C23</f>
        <v>41590391</v>
      </c>
      <c r="F33" s="1167">
        <v>0</v>
      </c>
      <c r="G33" s="1165">
        <v>1.0295000000000001</v>
      </c>
      <c r="H33" s="1163">
        <f>E33*G33</f>
        <v>42817307.534500003</v>
      </c>
    </row>
    <row r="34" spans="1:8" x14ac:dyDescent="0.2">
      <c r="A34" s="1151" t="s">
        <v>9739</v>
      </c>
      <c r="B34" s="1151" t="s">
        <v>175</v>
      </c>
      <c r="C34" s="1164" t="s">
        <v>845</v>
      </c>
      <c r="D34" s="1301">
        <v>6.0600000000000003E-3</v>
      </c>
      <c r="E34" s="1167">
        <f>+'4. Billing Det. for Def-Var'!C23</f>
        <v>41590391</v>
      </c>
      <c r="F34" s="1167">
        <v>0</v>
      </c>
      <c r="G34" s="1165">
        <v>1.0295000000000001</v>
      </c>
      <c r="H34" s="1163">
        <f>E34*G34</f>
        <v>42817307.534500003</v>
      </c>
    </row>
    <row r="35" spans="1:8" x14ac:dyDescent="0.2">
      <c r="A35" s="1151" t="s">
        <v>9740</v>
      </c>
      <c r="B35" s="1151" t="s">
        <v>243</v>
      </c>
      <c r="C35" s="1164" t="s">
        <v>3775</v>
      </c>
      <c r="D35" s="1166">
        <v>4.0993000000000004</v>
      </c>
      <c r="E35" s="1167">
        <f>+'4. Billing Det. for Def-Var'!C24</f>
        <v>114759446</v>
      </c>
      <c r="F35" s="1167">
        <f>+'4. Billing Det. for Def-Var'!D24</f>
        <v>330988</v>
      </c>
      <c r="G35" s="1162"/>
    </row>
    <row r="36" spans="1:8" x14ac:dyDescent="0.2">
      <c r="A36" s="1151" t="s">
        <v>9740</v>
      </c>
      <c r="B36" s="1151" t="s">
        <v>175</v>
      </c>
      <c r="C36" s="1164" t="s">
        <v>3775</v>
      </c>
      <c r="D36" s="1166">
        <v>3.6970999999999998</v>
      </c>
      <c r="E36" s="1167">
        <f>+'4. Billing Det. for Def-Var'!C24</f>
        <v>114759446</v>
      </c>
      <c r="F36" s="1167">
        <f>+'4. Billing Det. for Def-Var'!D24</f>
        <v>330988</v>
      </c>
      <c r="G36" s="1162"/>
    </row>
    <row r="37" spans="1:8" x14ac:dyDescent="0.2">
      <c r="C37" s="1164"/>
      <c r="D37" s="1164"/>
    </row>
    <row r="38" spans="1:8" x14ac:dyDescent="0.2">
      <c r="C38" s="1164"/>
      <c r="D38" s="1164"/>
    </row>
    <row r="39" spans="1:8" x14ac:dyDescent="0.2">
      <c r="C39" s="1164"/>
      <c r="D39" s="1164"/>
    </row>
    <row r="40" spans="1:8" x14ac:dyDescent="0.2">
      <c r="C40" s="1164"/>
      <c r="D40" s="1164"/>
    </row>
    <row r="41" spans="1:8" x14ac:dyDescent="0.2">
      <c r="C41" s="1164"/>
      <c r="D41" s="1164"/>
    </row>
    <row r="42" spans="1:8" x14ac:dyDescent="0.2">
      <c r="C42" s="1164"/>
      <c r="D42" s="1164"/>
    </row>
    <row r="43" spans="1:8" x14ac:dyDescent="0.2">
      <c r="C43" s="1164"/>
      <c r="D43" s="1164"/>
    </row>
    <row r="44" spans="1:8" x14ac:dyDescent="0.2">
      <c r="C44" s="1164"/>
      <c r="D44" s="1164"/>
    </row>
    <row r="45" spans="1:8" x14ac:dyDescent="0.2">
      <c r="C45" s="1164"/>
      <c r="D45" s="1164"/>
    </row>
    <row r="46" spans="1:8" x14ac:dyDescent="0.2">
      <c r="C46" s="1164"/>
      <c r="D46" s="1164"/>
    </row>
    <row r="47" spans="1:8" x14ac:dyDescent="0.2">
      <c r="C47" s="1164"/>
      <c r="D47" s="1164"/>
    </row>
    <row r="48" spans="1:8" x14ac:dyDescent="0.2">
      <c r="C48" s="1164"/>
      <c r="D48" s="1164"/>
    </row>
    <row r="49" spans="3:4" x14ac:dyDescent="0.2">
      <c r="C49" s="1164"/>
      <c r="D49" s="1164"/>
    </row>
    <row r="50" spans="3:4" x14ac:dyDescent="0.2">
      <c r="C50" s="1164"/>
      <c r="D50" s="1164"/>
    </row>
    <row r="51" spans="3:4" x14ac:dyDescent="0.2">
      <c r="C51" s="1164"/>
      <c r="D51" s="1164"/>
    </row>
    <row r="52" spans="3:4" x14ac:dyDescent="0.2">
      <c r="C52" s="1164"/>
      <c r="D52" s="1164"/>
    </row>
    <row r="53" spans="3:4" x14ac:dyDescent="0.2">
      <c r="C53" s="1164"/>
      <c r="D53" s="1164"/>
    </row>
    <row r="54" spans="3:4" x14ac:dyDescent="0.2">
      <c r="C54" s="1164"/>
      <c r="D54" s="1164"/>
    </row>
  </sheetData>
  <mergeCells count="1">
    <mergeCell ref="A13:H13"/>
  </mergeCells>
  <pageMargins left="0.25" right="0.25" top="0.75" bottom="0.75" header="0.3" footer="0.3"/>
  <pageSetup scale="12" orientation="portrait" r:id="rId1"/>
  <headerFooter>
    <oddFooter>&amp;C&amp;A</oddFoot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pageSetUpPr fitToPage="1"/>
  </sheetPr>
  <dimension ref="B15:L74"/>
  <sheetViews>
    <sheetView showGridLines="0" zoomScaleNormal="100" workbookViewId="0"/>
  </sheetViews>
  <sheetFormatPr defaultColWidth="9.28515625" defaultRowHeight="12.75" x14ac:dyDescent="0.2"/>
  <cols>
    <col min="1" max="1" width="11.7109375" style="3" customWidth="1"/>
    <col min="2" max="2" width="69" style="3" customWidth="1"/>
    <col min="3" max="3" width="15.42578125" style="3" customWidth="1"/>
    <col min="4" max="4" width="2.85546875" style="3" customWidth="1"/>
    <col min="5" max="5" width="22.7109375" style="3" customWidth="1"/>
    <col min="6" max="6" width="0.140625" style="3" customWidth="1"/>
    <col min="7" max="7" width="20.28515625" style="3" customWidth="1"/>
    <col min="8" max="8" width="2.28515625" style="3" customWidth="1"/>
    <col min="9" max="10" width="20.28515625" style="3" customWidth="1"/>
    <col min="11" max="11" width="2.85546875" style="3" customWidth="1"/>
    <col min="12" max="12" width="24.5703125" style="3" customWidth="1"/>
    <col min="13" max="16384" width="9.28515625" style="3"/>
  </cols>
  <sheetData>
    <row r="15" spans="2:12" x14ac:dyDescent="0.2">
      <c r="B15" s="181"/>
      <c r="C15" s="182"/>
      <c r="F15" s="182"/>
      <c r="H15" s="182"/>
      <c r="L15" s="182"/>
    </row>
    <row r="17" spans="2:12" ht="15.75" x14ac:dyDescent="0.25">
      <c r="B17" s="68"/>
      <c r="C17" s="68"/>
      <c r="D17" s="69"/>
      <c r="E17" s="69"/>
      <c r="F17" s="70"/>
      <c r="G17" s="68"/>
      <c r="H17" s="70"/>
      <c r="I17" s="68"/>
      <c r="J17" s="68"/>
      <c r="K17" s="68"/>
    </row>
    <row r="18" spans="2:12" ht="29.25" customHeight="1" x14ac:dyDescent="0.25">
      <c r="B18" s="183" t="s">
        <v>768</v>
      </c>
      <c r="C18" s="184" t="s">
        <v>344</v>
      </c>
      <c r="D18" s="96"/>
      <c r="E18" s="184" t="s">
        <v>6472</v>
      </c>
      <c r="F18"/>
      <c r="G18" s="184" t="s">
        <v>6473</v>
      </c>
      <c r="H18" s="817"/>
      <c r="I18" s="184" t="s">
        <v>6497</v>
      </c>
      <c r="J18" s="184" t="s">
        <v>6498</v>
      </c>
      <c r="K18" s="96"/>
      <c r="L18" s="184">
        <v>2026</v>
      </c>
    </row>
    <row r="19" spans="2:12" ht="15" x14ac:dyDescent="0.2">
      <c r="B19" s="96"/>
      <c r="C19" s="96"/>
      <c r="D19" s="96"/>
      <c r="E19" s="96"/>
      <c r="F19" s="96"/>
      <c r="G19" s="96"/>
      <c r="H19" s="96"/>
      <c r="I19" s="96"/>
      <c r="J19" s="96"/>
      <c r="K19" s="96"/>
      <c r="L19" s="96"/>
    </row>
    <row r="20" spans="2:12" ht="15.75" x14ac:dyDescent="0.25">
      <c r="B20" s="101" t="s">
        <v>762</v>
      </c>
      <c r="C20" s="101"/>
      <c r="D20" s="95"/>
      <c r="E20" s="1892" t="s">
        <v>763</v>
      </c>
      <c r="F20" s="1893"/>
      <c r="G20" s="1893"/>
      <c r="H20" s="88"/>
      <c r="I20" s="1892" t="s">
        <v>763</v>
      </c>
      <c r="J20" s="1892"/>
      <c r="K20" s="95"/>
      <c r="L20" s="88" t="s">
        <v>763</v>
      </c>
    </row>
    <row r="21" spans="2:12" ht="15" customHeight="1" x14ac:dyDescent="0.2">
      <c r="B21" s="96"/>
      <c r="C21" s="96"/>
      <c r="D21" s="96"/>
      <c r="E21" s="96"/>
      <c r="F21" s="96"/>
      <c r="G21" s="96"/>
      <c r="H21" s="96"/>
      <c r="I21" s="96"/>
      <c r="J21" s="96"/>
      <c r="K21" s="96"/>
      <c r="L21" s="96"/>
    </row>
    <row r="22" spans="2:12" ht="15.4" customHeight="1" x14ac:dyDescent="0.25">
      <c r="B22" s="104" t="s">
        <v>769</v>
      </c>
      <c r="C22" s="105" t="s">
        <v>380</v>
      </c>
      <c r="D22" s="98"/>
      <c r="E22" s="999">
        <v>5.78</v>
      </c>
      <c r="F22" s="806"/>
      <c r="G22" s="999">
        <v>6.12</v>
      </c>
      <c r="H22" s="818"/>
      <c r="I22" s="999">
        <v>6.37</v>
      </c>
      <c r="J22" s="999">
        <v>6.37</v>
      </c>
      <c r="K22" s="95"/>
      <c r="L22" s="97">
        <f>I22</f>
        <v>6.37</v>
      </c>
    </row>
    <row r="23" spans="2:12" ht="15.75" x14ac:dyDescent="0.25">
      <c r="B23" s="98"/>
      <c r="C23" s="98"/>
      <c r="D23" s="98"/>
      <c r="E23" s="71"/>
      <c r="F23" s="95"/>
      <c r="G23" s="71"/>
      <c r="H23" s="470"/>
      <c r="I23" s="71"/>
      <c r="J23" s="71"/>
      <c r="K23" s="95"/>
      <c r="L23" s="71"/>
    </row>
    <row r="24" spans="2:12" ht="15.4" customHeight="1" x14ac:dyDescent="0.25">
      <c r="B24" s="104" t="s">
        <v>770</v>
      </c>
      <c r="C24" s="105" t="s">
        <v>380</v>
      </c>
      <c r="D24" s="98"/>
      <c r="E24" s="999">
        <v>0.95</v>
      </c>
      <c r="F24" s="806"/>
      <c r="G24" s="999">
        <v>0.95</v>
      </c>
      <c r="H24" s="818"/>
      <c r="I24" s="999">
        <v>1</v>
      </c>
      <c r="J24" s="999">
        <v>1</v>
      </c>
      <c r="K24" s="95"/>
      <c r="L24" s="97">
        <f>I24</f>
        <v>1</v>
      </c>
    </row>
    <row r="25" spans="2:12" ht="15.75" x14ac:dyDescent="0.25">
      <c r="B25" s="98"/>
      <c r="C25" s="98"/>
      <c r="D25" s="98"/>
      <c r="E25" s="71"/>
      <c r="F25" s="95"/>
      <c r="G25" s="71"/>
      <c r="H25" s="470"/>
      <c r="I25" s="71"/>
      <c r="J25" s="71"/>
      <c r="K25" s="95"/>
      <c r="L25" s="71"/>
    </row>
    <row r="26" spans="2:12" ht="15.4" customHeight="1" x14ac:dyDescent="0.25">
      <c r="B26" s="104" t="s">
        <v>771</v>
      </c>
      <c r="C26" s="105" t="s">
        <v>380</v>
      </c>
      <c r="D26" s="98"/>
      <c r="E26" s="999">
        <v>3.21</v>
      </c>
      <c r="F26" s="806"/>
      <c r="G26" s="999">
        <v>3.21</v>
      </c>
      <c r="H26" s="818"/>
      <c r="I26" s="999">
        <v>3.39</v>
      </c>
      <c r="J26" s="999">
        <v>3.39</v>
      </c>
      <c r="K26" s="95"/>
      <c r="L26" s="97">
        <f>I26</f>
        <v>3.39</v>
      </c>
    </row>
    <row r="27" spans="2:12" ht="15" x14ac:dyDescent="0.2">
      <c r="B27" s="96"/>
      <c r="C27" s="96"/>
      <c r="D27" s="96"/>
      <c r="E27" s="96"/>
      <c r="F27" s="96"/>
      <c r="G27" s="96"/>
      <c r="H27" s="96"/>
      <c r="I27" s="96"/>
      <c r="J27" s="96"/>
      <c r="K27" s="96"/>
      <c r="L27" s="96"/>
    </row>
    <row r="28" spans="2:12" ht="15" x14ac:dyDescent="0.2">
      <c r="B28" s="96"/>
      <c r="C28" s="96"/>
      <c r="D28" s="96"/>
      <c r="E28" s="96"/>
      <c r="F28" s="96"/>
      <c r="G28" s="96"/>
      <c r="H28" s="96"/>
      <c r="I28" s="96"/>
      <c r="J28" s="96"/>
      <c r="K28" s="96"/>
      <c r="L28" s="96"/>
    </row>
    <row r="29" spans="2:12" ht="28.5" customHeight="1" x14ac:dyDescent="0.2">
      <c r="B29" s="183" t="s">
        <v>772</v>
      </c>
      <c r="C29" s="184" t="s">
        <v>344</v>
      </c>
      <c r="D29" s="96"/>
      <c r="E29" s="1894">
        <v>2024</v>
      </c>
      <c r="F29" s="1894"/>
      <c r="G29" s="1894"/>
      <c r="H29" s="817"/>
      <c r="I29" s="1894">
        <v>2025</v>
      </c>
      <c r="J29" s="1894"/>
      <c r="K29" s="96"/>
      <c r="L29" s="184">
        <v>2026</v>
      </c>
    </row>
    <row r="30" spans="2:12" ht="15.75" customHeight="1" x14ac:dyDescent="0.25">
      <c r="B30" s="89"/>
      <c r="C30" s="106"/>
      <c r="D30" s="96"/>
      <c r="E30" s="581"/>
      <c r="F30" s="581"/>
      <c r="G30" s="294"/>
      <c r="H30" s="383"/>
      <c r="I30" s="99"/>
      <c r="J30" s="96"/>
      <c r="K30" s="99"/>
      <c r="L30" s="96"/>
    </row>
    <row r="31" spans="2:12" ht="3" customHeight="1" x14ac:dyDescent="0.25">
      <c r="B31" s="99"/>
      <c r="C31" s="106"/>
      <c r="D31" s="96"/>
      <c r="E31" s="96"/>
      <c r="F31" s="99"/>
      <c r="G31" s="99"/>
      <c r="H31" s="92"/>
      <c r="I31" s="99"/>
      <c r="J31" s="96"/>
      <c r="K31" s="99"/>
      <c r="L31" s="96"/>
    </row>
    <row r="32" spans="2:12" ht="3" customHeight="1" x14ac:dyDescent="0.2">
      <c r="B32" s="96"/>
      <c r="C32" s="96"/>
      <c r="D32" s="96"/>
      <c r="E32" s="96"/>
      <c r="F32" s="99"/>
      <c r="G32" s="96"/>
      <c r="H32" s="96"/>
      <c r="I32" s="96"/>
      <c r="J32" s="96"/>
      <c r="K32" s="96"/>
      <c r="L32" s="96"/>
    </row>
    <row r="33" spans="2:12" ht="15.75" x14ac:dyDescent="0.25">
      <c r="B33" s="101" t="s">
        <v>762</v>
      </c>
      <c r="C33" s="101"/>
      <c r="D33" s="95"/>
      <c r="E33" s="1892" t="s">
        <v>763</v>
      </c>
      <c r="F33" s="1892"/>
      <c r="G33" s="1892"/>
      <c r="H33" s="88"/>
      <c r="I33" s="1892" t="s">
        <v>763</v>
      </c>
      <c r="J33" s="1892"/>
      <c r="K33" s="96"/>
      <c r="L33" s="88" t="s">
        <v>763</v>
      </c>
    </row>
    <row r="34" spans="2:12" ht="15" x14ac:dyDescent="0.2">
      <c r="B34" s="96"/>
      <c r="C34" s="96"/>
      <c r="D34" s="96"/>
      <c r="E34" s="96"/>
      <c r="F34" s="96"/>
      <c r="G34" s="96"/>
      <c r="H34" s="96"/>
      <c r="I34" s="96"/>
      <c r="J34" s="96"/>
      <c r="K34" s="96"/>
      <c r="L34" s="96"/>
    </row>
    <row r="35" spans="2:12" ht="15.4" customHeight="1" x14ac:dyDescent="0.25">
      <c r="B35" s="104" t="s">
        <v>769</v>
      </c>
      <c r="C35" s="105" t="s">
        <v>380</v>
      </c>
      <c r="D35" s="98"/>
      <c r="E35" s="1895">
        <v>4.9103000000000003</v>
      </c>
      <c r="F35" s="1895"/>
      <c r="G35" s="1895"/>
      <c r="H35" s="815"/>
      <c r="I35" s="1904">
        <v>5.2172000000000001</v>
      </c>
      <c r="J35" s="1904"/>
      <c r="K35" s="99"/>
      <c r="L35" s="100">
        <f>I35</f>
        <v>5.2172000000000001</v>
      </c>
    </row>
    <row r="36" spans="2:12" ht="15.75" x14ac:dyDescent="0.25">
      <c r="B36" s="99"/>
      <c r="C36" s="99"/>
      <c r="D36" s="99"/>
      <c r="E36" s="1891"/>
      <c r="F36" s="1891"/>
      <c r="G36" s="1891"/>
      <c r="H36" s="72"/>
      <c r="I36" s="1304"/>
      <c r="J36" s="275"/>
      <c r="K36" s="99"/>
      <c r="L36" s="72"/>
    </row>
    <row r="37" spans="2:12" ht="15.4" customHeight="1" x14ac:dyDescent="0.25">
      <c r="B37" s="104" t="s">
        <v>770</v>
      </c>
      <c r="C37" s="105" t="s">
        <v>380</v>
      </c>
      <c r="D37" s="98"/>
      <c r="E37" s="1890">
        <v>0.65369999999999995</v>
      </c>
      <c r="F37" s="1890"/>
      <c r="G37" s="1890"/>
      <c r="H37" s="815"/>
      <c r="I37" s="1904">
        <v>0.65369999999999995</v>
      </c>
      <c r="J37" s="1904"/>
      <c r="K37" s="99"/>
      <c r="L37" s="100">
        <f>I37</f>
        <v>0.65369999999999995</v>
      </c>
    </row>
    <row r="38" spans="2:12" ht="15.75" x14ac:dyDescent="0.25">
      <c r="B38" s="99"/>
      <c r="C38" s="99"/>
      <c r="D38" s="99"/>
      <c r="E38" s="1891"/>
      <c r="F38" s="1891"/>
      <c r="G38" s="1891"/>
      <c r="H38" s="72"/>
      <c r="I38" s="1304"/>
      <c r="J38" s="275"/>
      <c r="K38" s="99"/>
      <c r="L38" s="72"/>
    </row>
    <row r="39" spans="2:12" ht="15.4" customHeight="1" x14ac:dyDescent="0.25">
      <c r="B39" s="104" t="s">
        <v>771</v>
      </c>
      <c r="C39" s="105" t="s">
        <v>380</v>
      </c>
      <c r="D39" s="98"/>
      <c r="E39" s="1890">
        <v>3.3041</v>
      </c>
      <c r="F39" s="1890"/>
      <c r="G39" s="1890"/>
      <c r="H39" s="815"/>
      <c r="I39" s="1904">
        <v>3.3041</v>
      </c>
      <c r="J39" s="1904"/>
      <c r="K39" s="99"/>
      <c r="L39" s="100">
        <f>I39</f>
        <v>3.3041</v>
      </c>
    </row>
    <row r="40" spans="2:12" ht="15.75" x14ac:dyDescent="0.25">
      <c r="B40" s="99"/>
      <c r="C40" s="99"/>
      <c r="D40" s="99"/>
      <c r="E40" s="1891"/>
      <c r="F40" s="1891"/>
      <c r="G40" s="1891"/>
      <c r="H40" s="71"/>
      <c r="I40" s="1304"/>
      <c r="J40" s="275"/>
      <c r="K40" s="99"/>
      <c r="L40" s="72"/>
    </row>
    <row r="41" spans="2:12" ht="15.4" customHeight="1" x14ac:dyDescent="0.25">
      <c r="B41" s="104" t="s">
        <v>773</v>
      </c>
      <c r="C41" s="105" t="s">
        <v>380</v>
      </c>
      <c r="D41" s="98"/>
      <c r="E41" s="1890">
        <v>3.9578000000000002</v>
      </c>
      <c r="F41" s="1890"/>
      <c r="G41" s="1890"/>
      <c r="H41" s="815">
        <v>3.0055000000000001</v>
      </c>
      <c r="I41" s="1904">
        <v>3.9578000000000002</v>
      </c>
      <c r="J41" s="1904"/>
      <c r="K41" s="99"/>
      <c r="L41" s="100">
        <f>L37+L39</f>
        <v>3.9577999999999998</v>
      </c>
    </row>
    <row r="42" spans="2:12" ht="15.75" x14ac:dyDescent="0.25">
      <c r="B42" s="91"/>
      <c r="C42" s="91"/>
      <c r="D42"/>
      <c r="E42"/>
      <c r="F42" s="71"/>
      <c r="G42"/>
      <c r="H42" s="71"/>
      <c r="I42"/>
      <c r="J42"/>
      <c r="K42"/>
      <c r="L42" s="72"/>
    </row>
    <row r="43" spans="2:12" ht="15" x14ac:dyDescent="0.25">
      <c r="B43"/>
      <c r="C43"/>
      <c r="D43"/>
      <c r="E43"/>
      <c r="F43"/>
      <c r="G43"/>
      <c r="H43"/>
      <c r="I43"/>
      <c r="J43"/>
      <c r="K43"/>
      <c r="L43"/>
    </row>
    <row r="44" spans="2:12" ht="26.25" customHeight="1" x14ac:dyDescent="0.25">
      <c r="B44" s="890" t="s">
        <v>774</v>
      </c>
      <c r="C44" s="185" t="s">
        <v>344</v>
      </c>
      <c r="D44"/>
      <c r="E44" s="1898">
        <f>E29</f>
        <v>2024</v>
      </c>
      <c r="F44" s="1898"/>
      <c r="G44" s="1898"/>
      <c r="H44" s="817"/>
      <c r="I44" s="1903">
        <f>I29</f>
        <v>2025</v>
      </c>
      <c r="J44" s="1903"/>
      <c r="K44" s="96"/>
      <c r="L44" s="819">
        <f>L29</f>
        <v>2026</v>
      </c>
    </row>
    <row r="45" spans="2:12" ht="15.75" x14ac:dyDescent="0.25">
      <c r="B45" s="89"/>
      <c r="C45" s="90"/>
      <c r="D45"/>
      <c r="E45"/>
      <c r="F45" s="91"/>
      <c r="G45" s="91"/>
      <c r="H45" s="91"/>
      <c r="I45" s="91"/>
      <c r="J45" s="91"/>
      <c r="K45" s="91"/>
      <c r="L45"/>
    </row>
    <row r="46" spans="2:12" ht="3" customHeight="1" x14ac:dyDescent="0.25">
      <c r="B46" s="91"/>
      <c r="C46" s="90"/>
      <c r="D46"/>
      <c r="E46"/>
      <c r="F46" s="92"/>
      <c r="G46" s="91"/>
      <c r="H46" s="92"/>
      <c r="I46" s="91"/>
      <c r="J46" s="91"/>
      <c r="K46" s="91"/>
      <c r="L46"/>
    </row>
    <row r="47" spans="2:12" ht="3" customHeight="1" x14ac:dyDescent="0.25">
      <c r="B47"/>
      <c r="C47"/>
      <c r="D47"/>
      <c r="E47"/>
      <c r="F47"/>
      <c r="G47"/>
      <c r="H47"/>
      <c r="I47"/>
      <c r="J47"/>
      <c r="K47"/>
      <c r="L47"/>
    </row>
    <row r="48" spans="2:12" ht="15.75" x14ac:dyDescent="0.25">
      <c r="B48" s="101" t="s">
        <v>762</v>
      </c>
      <c r="C48" s="101"/>
      <c r="D48" s="186"/>
      <c r="E48" s="1892" t="s">
        <v>763</v>
      </c>
      <c r="F48" s="1892"/>
      <c r="G48" s="1892"/>
      <c r="H48" s="1892" t="s">
        <v>763</v>
      </c>
      <c r="I48" s="1893"/>
      <c r="J48" s="1893"/>
      <c r="K48" s="96"/>
      <c r="L48" s="88" t="s">
        <v>763</v>
      </c>
    </row>
    <row r="49" spans="2:12" ht="15" x14ac:dyDescent="0.2">
      <c r="B49" s="22"/>
      <c r="C49" s="22"/>
      <c r="D49" s="22"/>
      <c r="E49" s="22"/>
      <c r="F49" s="22"/>
      <c r="G49" s="96"/>
      <c r="H49" s="96"/>
      <c r="I49" s="96"/>
      <c r="J49" s="96"/>
      <c r="K49" s="96"/>
      <c r="L49" s="96"/>
    </row>
    <row r="50" spans="2:12" ht="16.5" x14ac:dyDescent="0.25">
      <c r="B50" s="102" t="s">
        <v>769</v>
      </c>
      <c r="C50" s="103" t="s">
        <v>380</v>
      </c>
      <c r="D50" s="187"/>
      <c r="E50" s="1900"/>
      <c r="F50" s="1900"/>
      <c r="G50" s="1900"/>
      <c r="H50" s="818"/>
      <c r="I50" s="1902"/>
      <c r="J50" s="1902"/>
      <c r="K50" s="99"/>
      <c r="L50" s="97"/>
    </row>
    <row r="51" spans="2:12" ht="15.75" x14ac:dyDescent="0.25">
      <c r="B51" s="94"/>
      <c r="C51" s="94"/>
      <c r="D51" s="94"/>
      <c r="E51" s="94"/>
      <c r="F51" s="94"/>
      <c r="G51" s="99"/>
      <c r="H51" s="71"/>
      <c r="I51" s="99"/>
      <c r="J51" s="99"/>
      <c r="K51" s="99"/>
      <c r="L51" s="71"/>
    </row>
    <row r="52" spans="2:12" ht="16.5" x14ac:dyDescent="0.25">
      <c r="B52" s="102" t="s">
        <v>770</v>
      </c>
      <c r="C52" s="103" t="s">
        <v>380</v>
      </c>
      <c r="D52" s="187"/>
      <c r="E52" s="1900"/>
      <c r="F52" s="1900"/>
      <c r="G52" s="1900"/>
      <c r="H52" s="818"/>
      <c r="I52" s="1902"/>
      <c r="J52" s="1902"/>
      <c r="K52" s="99"/>
      <c r="L52" s="97"/>
    </row>
    <row r="53" spans="2:12" ht="15.75" x14ac:dyDescent="0.25">
      <c r="B53" s="94"/>
      <c r="C53" s="94"/>
      <c r="D53" s="94"/>
      <c r="E53" s="94"/>
      <c r="F53" s="94"/>
      <c r="G53" s="99"/>
      <c r="H53" s="71"/>
      <c r="I53" s="99"/>
      <c r="J53" s="99"/>
      <c r="K53" s="99"/>
      <c r="L53" s="71"/>
    </row>
    <row r="54" spans="2:12" ht="16.5" x14ac:dyDescent="0.25">
      <c r="B54" s="102" t="s">
        <v>771</v>
      </c>
      <c r="C54" s="103" t="s">
        <v>380</v>
      </c>
      <c r="D54" s="187"/>
      <c r="E54" s="1900"/>
      <c r="F54" s="1900"/>
      <c r="G54" s="1900"/>
      <c r="H54" s="818"/>
      <c r="I54" s="1902"/>
      <c r="J54" s="1902"/>
      <c r="K54" s="99"/>
      <c r="L54" s="97"/>
    </row>
    <row r="55" spans="2:12" ht="15.75" x14ac:dyDescent="0.25">
      <c r="B55" s="94"/>
      <c r="C55" s="94"/>
      <c r="D55" s="94"/>
      <c r="E55" s="94"/>
      <c r="F55" s="94"/>
      <c r="G55" s="99"/>
      <c r="H55" s="71"/>
      <c r="I55" s="99"/>
      <c r="J55" s="99"/>
      <c r="K55" s="99"/>
      <c r="L55" s="71"/>
    </row>
    <row r="56" spans="2:12" ht="16.5" x14ac:dyDescent="0.25">
      <c r="B56" s="102" t="s">
        <v>773</v>
      </c>
      <c r="C56" s="103" t="s">
        <v>380</v>
      </c>
      <c r="D56" s="187"/>
      <c r="E56" s="1897">
        <f>E54+E52</f>
        <v>0</v>
      </c>
      <c r="F56" s="1897"/>
      <c r="G56" s="1897"/>
      <c r="H56" s="71">
        <f>H54+H52</f>
        <v>0</v>
      </c>
      <c r="I56" s="1897">
        <f>I54+I52</f>
        <v>0</v>
      </c>
      <c r="J56" s="1897"/>
      <c r="K56" s="99"/>
      <c r="L56" s="71">
        <f>L54+L52</f>
        <v>0</v>
      </c>
    </row>
    <row r="57" spans="2:12" ht="15.75" x14ac:dyDescent="0.25">
      <c r="B57" s="91"/>
      <c r="C57" s="91"/>
      <c r="D57"/>
      <c r="E57"/>
      <c r="F57" s="71"/>
      <c r="G57"/>
      <c r="H57" s="71"/>
      <c r="I57"/>
      <c r="J57"/>
      <c r="K57"/>
      <c r="L57"/>
    </row>
    <row r="58" spans="2:12" ht="15" x14ac:dyDescent="0.25">
      <c r="B58"/>
      <c r="C58"/>
      <c r="D58"/>
      <c r="E58"/>
      <c r="F58"/>
      <c r="G58"/>
      <c r="H58"/>
      <c r="I58"/>
      <c r="J58"/>
      <c r="K58"/>
      <c r="L58"/>
    </row>
    <row r="59" spans="2:12" ht="27" customHeight="1" x14ac:dyDescent="0.25">
      <c r="B59" s="890" t="s">
        <v>775</v>
      </c>
      <c r="C59" s="185" t="s">
        <v>344</v>
      </c>
      <c r="D59"/>
      <c r="E59" s="1898">
        <f>E29</f>
        <v>2024</v>
      </c>
      <c r="F59" s="1898"/>
      <c r="G59" s="1898"/>
      <c r="H59" s="817"/>
      <c r="I59" s="1903">
        <f>I29</f>
        <v>2025</v>
      </c>
      <c r="J59" s="1903"/>
      <c r="K59" s="96"/>
      <c r="L59" s="819">
        <f>L29</f>
        <v>2026</v>
      </c>
    </row>
    <row r="60" spans="2:12" ht="15.75" x14ac:dyDescent="0.25">
      <c r="B60" s="89"/>
      <c r="C60" s="90"/>
      <c r="D60"/>
      <c r="E60"/>
      <c r="F60" s="91"/>
      <c r="G60" s="91"/>
      <c r="H60" s="91"/>
      <c r="I60" s="91"/>
      <c r="J60" s="91"/>
      <c r="K60" s="91"/>
      <c r="L60"/>
    </row>
    <row r="61" spans="2:12" ht="3" customHeight="1" x14ac:dyDescent="0.25">
      <c r="B61" s="91"/>
      <c r="C61" s="90"/>
      <c r="D61"/>
      <c r="E61"/>
      <c r="F61" s="92"/>
      <c r="G61" s="91"/>
      <c r="H61" s="92"/>
      <c r="I61" s="91"/>
      <c r="J61" s="91"/>
      <c r="K61" s="91"/>
      <c r="L61"/>
    </row>
    <row r="62" spans="2:12" ht="3" customHeight="1" x14ac:dyDescent="0.25">
      <c r="B62"/>
      <c r="C62"/>
      <c r="D62"/>
      <c r="E62"/>
      <c r="F62"/>
      <c r="G62"/>
      <c r="H62"/>
      <c r="I62"/>
      <c r="J62"/>
      <c r="K62"/>
      <c r="L62"/>
    </row>
    <row r="63" spans="2:12" ht="15.75" x14ac:dyDescent="0.25">
      <c r="B63" s="101" t="s">
        <v>762</v>
      </c>
      <c r="C63" s="101"/>
      <c r="D63" s="95"/>
      <c r="E63" s="1892" t="s">
        <v>763</v>
      </c>
      <c r="F63" s="1892"/>
      <c r="G63" s="1892"/>
      <c r="H63" s="1892" t="s">
        <v>763</v>
      </c>
      <c r="I63" s="1893"/>
      <c r="J63" s="1893"/>
      <c r="K63" s="96"/>
      <c r="L63" s="88" t="s">
        <v>763</v>
      </c>
    </row>
    <row r="64" spans="2:12" ht="15" x14ac:dyDescent="0.2">
      <c r="B64" s="96"/>
      <c r="C64" s="96"/>
      <c r="D64" s="96"/>
      <c r="E64" s="96"/>
      <c r="F64" s="96"/>
      <c r="G64" s="96"/>
      <c r="H64" s="96"/>
      <c r="I64" s="96"/>
      <c r="J64" s="96"/>
      <c r="K64" s="96"/>
      <c r="L64" s="96"/>
    </row>
    <row r="65" spans="2:12" ht="15.75" x14ac:dyDescent="0.25">
      <c r="B65" s="104" t="s">
        <v>769</v>
      </c>
      <c r="C65" s="105" t="s">
        <v>380</v>
      </c>
      <c r="D65" s="98"/>
      <c r="E65" s="1901"/>
      <c r="F65" s="1901"/>
      <c r="G65" s="1901"/>
      <c r="H65" s="818"/>
      <c r="I65" s="1902"/>
      <c r="J65" s="1902"/>
      <c r="K65" s="99"/>
      <c r="L65" s="97"/>
    </row>
    <row r="66" spans="2:12" ht="15.75" x14ac:dyDescent="0.25">
      <c r="B66" s="99"/>
      <c r="C66" s="99"/>
      <c r="D66" s="99"/>
      <c r="E66" s="99"/>
      <c r="F66" s="99"/>
      <c r="G66" s="99"/>
      <c r="H66" s="71"/>
      <c r="I66" s="99"/>
      <c r="J66" s="99"/>
      <c r="K66" s="99"/>
      <c r="L66" s="71"/>
    </row>
    <row r="67" spans="2:12" ht="15.75" x14ac:dyDescent="0.25">
      <c r="B67" s="104" t="s">
        <v>770</v>
      </c>
      <c r="C67" s="105" t="s">
        <v>380</v>
      </c>
      <c r="D67" s="98"/>
      <c r="E67" s="1901"/>
      <c r="F67" s="1901"/>
      <c r="G67" s="1901"/>
      <c r="H67" s="818"/>
      <c r="I67" s="1902"/>
      <c r="J67" s="1902"/>
      <c r="K67" s="99"/>
      <c r="L67" s="97"/>
    </row>
    <row r="68" spans="2:12" ht="15.75" x14ac:dyDescent="0.25">
      <c r="B68" s="99"/>
      <c r="C68" s="99"/>
      <c r="D68" s="99"/>
      <c r="E68" s="99"/>
      <c r="F68" s="99"/>
      <c r="G68" s="99"/>
      <c r="H68" s="71"/>
      <c r="I68" s="99"/>
      <c r="J68" s="99"/>
      <c r="K68" s="99"/>
      <c r="L68" s="71"/>
    </row>
    <row r="69" spans="2:12" ht="15.75" x14ac:dyDescent="0.25">
      <c r="B69" s="104" t="s">
        <v>771</v>
      </c>
      <c r="C69" s="105" t="s">
        <v>380</v>
      </c>
      <c r="D69" s="98"/>
      <c r="E69" s="1901"/>
      <c r="F69" s="1901"/>
      <c r="G69" s="1901"/>
      <c r="H69" s="818"/>
      <c r="I69" s="1902"/>
      <c r="J69" s="1902"/>
      <c r="K69" s="99"/>
      <c r="L69" s="97"/>
    </row>
    <row r="70" spans="2:12" ht="15.75" x14ac:dyDescent="0.25">
      <c r="B70" s="99"/>
      <c r="C70" s="99"/>
      <c r="D70" s="99"/>
      <c r="E70" s="99"/>
      <c r="F70" s="99"/>
      <c r="G70" s="99"/>
      <c r="H70" s="71"/>
      <c r="I70" s="99"/>
      <c r="J70" s="99"/>
      <c r="K70" s="99"/>
      <c r="L70" s="71"/>
    </row>
    <row r="71" spans="2:12" ht="15.75" x14ac:dyDescent="0.25">
      <c r="B71" s="104" t="s">
        <v>773</v>
      </c>
      <c r="C71" s="105" t="s">
        <v>380</v>
      </c>
      <c r="D71" s="98"/>
      <c r="E71" s="1897">
        <f>E69+E67</f>
        <v>0</v>
      </c>
      <c r="F71" s="1897"/>
      <c r="G71" s="1897"/>
      <c r="H71" s="71">
        <f>H69+H67</f>
        <v>0</v>
      </c>
      <c r="I71" s="1897">
        <f>J69+J67</f>
        <v>0</v>
      </c>
      <c r="J71" s="1897"/>
      <c r="K71" s="99"/>
      <c r="L71" s="71">
        <f>L69+L67</f>
        <v>0</v>
      </c>
    </row>
    <row r="72" spans="2:12" ht="15.75" x14ac:dyDescent="0.25">
      <c r="B72" s="91"/>
      <c r="C72" s="91"/>
      <c r="D72"/>
      <c r="E72"/>
      <c r="F72" s="71"/>
      <c r="G72"/>
      <c r="H72" s="71"/>
      <c r="I72"/>
      <c r="J72"/>
      <c r="K72"/>
      <c r="L72"/>
    </row>
    <row r="73" spans="2:12" ht="15.75" x14ac:dyDescent="0.2">
      <c r="B73" s="96"/>
      <c r="C73" s="96"/>
      <c r="D73" s="96"/>
      <c r="E73" s="1899" t="str">
        <f>"Historical " &amp;E59</f>
        <v>Historical 2024</v>
      </c>
      <c r="F73" s="1899"/>
      <c r="G73" s="1899"/>
      <c r="H73" s="272"/>
      <c r="I73" s="1899" t="str">
        <f>"Current " &amp;I59</f>
        <v>Current 2025</v>
      </c>
      <c r="J73" s="1899"/>
      <c r="K73" s="272"/>
      <c r="L73" s="272" t="str">
        <f>"Forecast " &amp;L59</f>
        <v>Forecast 2026</v>
      </c>
    </row>
    <row r="74" spans="2:12" ht="31.5" x14ac:dyDescent="0.25">
      <c r="B74" s="273" t="s">
        <v>776</v>
      </c>
      <c r="C74" s="274" t="s">
        <v>777</v>
      </c>
      <c r="D74" s="96"/>
      <c r="E74" s="1896">
        <v>-14577614.76</v>
      </c>
      <c r="F74" s="1896"/>
      <c r="G74" s="1896"/>
      <c r="H74" s="818"/>
      <c r="I74" s="1902">
        <f>L74</f>
        <v>-14577614.76</v>
      </c>
      <c r="J74" s="1902"/>
      <c r="K74" s="275"/>
      <c r="L74" s="1305">
        <f>E74</f>
        <v>-14577614.76</v>
      </c>
    </row>
  </sheetData>
  <mergeCells count="45">
    <mergeCell ref="I20:J20"/>
    <mergeCell ref="I29:J29"/>
    <mergeCell ref="I33:J33"/>
    <mergeCell ref="I35:J35"/>
    <mergeCell ref="I37:J37"/>
    <mergeCell ref="I39:J39"/>
    <mergeCell ref="I41:J41"/>
    <mergeCell ref="I44:J44"/>
    <mergeCell ref="I50:J50"/>
    <mergeCell ref="I52:J52"/>
    <mergeCell ref="H48:J48"/>
    <mergeCell ref="I71:J71"/>
    <mergeCell ref="I73:J73"/>
    <mergeCell ref="I74:J74"/>
    <mergeCell ref="I54:J54"/>
    <mergeCell ref="I56:J56"/>
    <mergeCell ref="I59:J59"/>
    <mergeCell ref="I65:J65"/>
    <mergeCell ref="I67:J67"/>
    <mergeCell ref="H63:J63"/>
    <mergeCell ref="I69:J69"/>
    <mergeCell ref="E74:G74"/>
    <mergeCell ref="E71:G71"/>
    <mergeCell ref="E56:G56"/>
    <mergeCell ref="E44:G44"/>
    <mergeCell ref="E48:G48"/>
    <mergeCell ref="E59:G59"/>
    <mergeCell ref="E73:G73"/>
    <mergeCell ref="E63:G63"/>
    <mergeCell ref="E50:G50"/>
    <mergeCell ref="E52:G52"/>
    <mergeCell ref="E54:G54"/>
    <mergeCell ref="E65:G65"/>
    <mergeCell ref="E67:G67"/>
    <mergeCell ref="E69:G69"/>
    <mergeCell ref="E20:G20"/>
    <mergeCell ref="E29:G29"/>
    <mergeCell ref="E33:G33"/>
    <mergeCell ref="E35:G35"/>
    <mergeCell ref="E36:G36"/>
    <mergeCell ref="E37:G37"/>
    <mergeCell ref="E38:G38"/>
    <mergeCell ref="E39:G39"/>
    <mergeCell ref="E40:G40"/>
    <mergeCell ref="E41:G41"/>
  </mergeCells>
  <pageMargins left="0.25" right="0.25" top="0.75" bottom="0.75" header="0.3" footer="0.3"/>
  <pageSetup scale="45" orientation="portrait" r:id="rId1"/>
  <headerFooter>
    <oddFooter>&amp;C&amp;A</oddFoot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pageSetUpPr fitToPage="1"/>
  </sheetPr>
  <dimension ref="A13:Q112"/>
  <sheetViews>
    <sheetView showGridLines="0" topLeftCell="B1" zoomScaleNormal="100" workbookViewId="0">
      <selection activeCell="B1" sqref="B1"/>
    </sheetView>
  </sheetViews>
  <sheetFormatPr defaultColWidth="9.28515625" defaultRowHeight="12.75" x14ac:dyDescent="0.2"/>
  <cols>
    <col min="1" max="1" width="11.7109375" style="3" hidden="1" customWidth="1"/>
    <col min="2" max="2" width="31.85546875" style="3" customWidth="1"/>
    <col min="3" max="3" width="3.7109375" style="3" customWidth="1"/>
    <col min="4" max="4" width="13.28515625" style="3" customWidth="1"/>
    <col min="5" max="5" width="15.28515625" style="3" customWidth="1"/>
    <col min="6" max="6" width="13.28515625" style="3" customWidth="1"/>
    <col min="7" max="7" width="2.7109375" style="3" customWidth="1"/>
    <col min="8" max="8" width="13.28515625" style="3" customWidth="1"/>
    <col min="9" max="9" width="9.42578125" style="3" bestFit="1" customWidth="1"/>
    <col min="10" max="10" width="13.28515625" style="3" customWidth="1"/>
    <col min="11" max="11" width="3.28515625" style="3" customWidth="1"/>
    <col min="12" max="12" width="13.28515625" style="3" customWidth="1"/>
    <col min="13" max="13" width="9.42578125" style="3" bestFit="1" customWidth="1"/>
    <col min="14" max="14" width="13.28515625" style="3" customWidth="1"/>
    <col min="15" max="15" width="3.7109375" style="3" customWidth="1"/>
    <col min="16" max="16" width="17.5703125" style="3" customWidth="1"/>
    <col min="17" max="16384" width="9.28515625" style="3"/>
  </cols>
  <sheetData>
    <row r="13" spans="2:17" ht="68.25" customHeight="1" x14ac:dyDescent="0.25">
      <c r="B13" s="1905" t="s">
        <v>778</v>
      </c>
      <c r="C13" s="1906"/>
      <c r="D13" s="1906"/>
      <c r="E13" s="1906"/>
      <c r="F13" s="1906"/>
      <c r="G13" s="1906"/>
      <c r="H13" s="1906"/>
      <c r="I13" s="1906"/>
      <c r="J13" s="1906"/>
      <c r="K13" s="1906"/>
      <c r="L13" s="1906"/>
      <c r="M13" s="1906"/>
      <c r="N13" s="1906"/>
      <c r="O13" s="1906"/>
      <c r="P13" s="1906"/>
    </row>
    <row r="16" spans="2:17" ht="15.75" x14ac:dyDescent="0.25">
      <c r="B16" s="179" t="s">
        <v>779</v>
      </c>
      <c r="C16" s="107"/>
      <c r="D16" s="1908" t="s">
        <v>780</v>
      </c>
      <c r="E16" s="1908"/>
      <c r="F16" s="1908"/>
      <c r="G16" s="107"/>
      <c r="H16" s="1908" t="s">
        <v>781</v>
      </c>
      <c r="I16" s="1908"/>
      <c r="J16" s="1908"/>
      <c r="K16" s="107"/>
      <c r="L16" s="1908" t="s">
        <v>782</v>
      </c>
      <c r="M16" s="1908"/>
      <c r="N16" s="1908"/>
      <c r="O16" s="107"/>
      <c r="P16" s="179" t="s">
        <v>783</v>
      </c>
      <c r="Q16" s="73"/>
    </row>
    <row r="17" spans="2:17" ht="15" x14ac:dyDescent="0.3">
      <c r="B17" s="180" t="s">
        <v>784</v>
      </c>
      <c r="C17" s="74"/>
      <c r="D17" s="108" t="s">
        <v>785</v>
      </c>
      <c r="E17" s="108" t="s">
        <v>763</v>
      </c>
      <c r="F17" s="108" t="s">
        <v>786</v>
      </c>
      <c r="G17" s="74"/>
      <c r="H17" s="108" t="s">
        <v>785</v>
      </c>
      <c r="I17" s="108" t="s">
        <v>763</v>
      </c>
      <c r="J17" s="108" t="s">
        <v>786</v>
      </c>
      <c r="K17" s="74"/>
      <c r="L17" s="108" t="s">
        <v>785</v>
      </c>
      <c r="M17" s="108" t="s">
        <v>763</v>
      </c>
      <c r="N17" s="108" t="s">
        <v>786</v>
      </c>
      <c r="O17" s="74"/>
      <c r="P17" s="108" t="s">
        <v>786</v>
      </c>
      <c r="Q17" s="68"/>
    </row>
    <row r="18" spans="2:17" x14ac:dyDescent="0.2">
      <c r="C18" s="68"/>
      <c r="D18" s="68"/>
      <c r="E18" s="68"/>
      <c r="F18" s="68"/>
      <c r="G18" s="68"/>
      <c r="H18" s="68"/>
      <c r="I18" s="68"/>
      <c r="J18" s="68"/>
      <c r="K18" s="68"/>
      <c r="L18" s="68"/>
      <c r="M18" s="68"/>
      <c r="N18" s="68"/>
      <c r="O18" s="68"/>
      <c r="P18" s="68"/>
      <c r="Q18" s="68"/>
    </row>
    <row r="19" spans="2:17" x14ac:dyDescent="0.2">
      <c r="B19" s="69" t="s">
        <v>787</v>
      </c>
      <c r="C19" s="68"/>
      <c r="D19" s="75">
        <v>3600881</v>
      </c>
      <c r="E19" s="347">
        <f>IF(D19&lt;&gt;0,F19/D19,0)</f>
        <v>5.78</v>
      </c>
      <c r="F19" s="76">
        <v>20813092.18</v>
      </c>
      <c r="G19" s="68"/>
      <c r="H19" s="75">
        <v>3567272</v>
      </c>
      <c r="I19" s="347">
        <f>IF(H19&lt;&gt;0,J19/H19,0)</f>
        <v>0.95</v>
      </c>
      <c r="J19" s="76">
        <v>3388908.4</v>
      </c>
      <c r="K19" s="68"/>
      <c r="L19" s="75">
        <v>3610645</v>
      </c>
      <c r="M19" s="347">
        <f>IF(L19&lt;&gt;0,N19/L19,0)</f>
        <v>3.21</v>
      </c>
      <c r="N19" s="76">
        <v>11590170.449999999</v>
      </c>
      <c r="O19" s="68"/>
      <c r="P19" s="77">
        <f t="shared" ref="P19:P30" si="0">J19+N19</f>
        <v>14979078.85</v>
      </c>
      <c r="Q19" s="68"/>
    </row>
    <row r="20" spans="2:17" x14ac:dyDescent="0.2">
      <c r="B20" s="69" t="s">
        <v>788</v>
      </c>
      <c r="C20" s="68"/>
      <c r="D20" s="75">
        <v>3387001</v>
      </c>
      <c r="E20" s="347">
        <f t="shared" ref="E20:E30" si="1">IF(D20&lt;&gt;0,F20/D20,0)</f>
        <v>5.78</v>
      </c>
      <c r="F20" s="76">
        <v>19576865.780000001</v>
      </c>
      <c r="G20" s="68"/>
      <c r="H20" s="75">
        <v>3431213.0000000005</v>
      </c>
      <c r="I20" s="347">
        <f t="shared" ref="I20:I30" si="2">IF(H20&lt;&gt;0,J20/H20,0)</f>
        <v>0.94999999999999984</v>
      </c>
      <c r="J20" s="76">
        <v>3259652.35</v>
      </c>
      <c r="K20" s="68"/>
      <c r="L20" s="75">
        <v>3455717.0000000005</v>
      </c>
      <c r="M20" s="347">
        <f t="shared" ref="M20:M30" si="3">IF(L20&lt;&gt;0,N20/L20,0)</f>
        <v>3.2099999999999995</v>
      </c>
      <c r="N20" s="76">
        <v>11092851.57</v>
      </c>
      <c r="O20" s="68"/>
      <c r="P20" s="77">
        <f t="shared" si="0"/>
        <v>14352503.92</v>
      </c>
      <c r="Q20" s="68"/>
    </row>
    <row r="21" spans="2:17" x14ac:dyDescent="0.2">
      <c r="B21" s="69" t="s">
        <v>789</v>
      </c>
      <c r="C21" s="68"/>
      <c r="D21" s="75">
        <v>3224982.9999999986</v>
      </c>
      <c r="E21" s="347">
        <f t="shared" si="1"/>
        <v>5.780000000000002</v>
      </c>
      <c r="F21" s="76">
        <v>18640401.739999998</v>
      </c>
      <c r="G21" s="68"/>
      <c r="H21" s="75">
        <v>3311691</v>
      </c>
      <c r="I21" s="347">
        <f t="shared" si="2"/>
        <v>0.95000000000000007</v>
      </c>
      <c r="J21" s="76">
        <v>3146106.45</v>
      </c>
      <c r="K21" s="68"/>
      <c r="L21" s="75">
        <v>3332596</v>
      </c>
      <c r="M21" s="347">
        <f t="shared" si="3"/>
        <v>3.21</v>
      </c>
      <c r="N21" s="76">
        <v>10697633.16</v>
      </c>
      <c r="O21" s="68"/>
      <c r="P21" s="77">
        <f t="shared" si="0"/>
        <v>13843739.609999999</v>
      </c>
      <c r="Q21" s="68"/>
    </row>
    <row r="22" spans="2:17" x14ac:dyDescent="0.2">
      <c r="B22" s="69" t="s">
        <v>790</v>
      </c>
      <c r="C22" s="68"/>
      <c r="D22" s="75">
        <v>3140497</v>
      </c>
      <c r="E22" s="347">
        <f t="shared" si="1"/>
        <v>5.78</v>
      </c>
      <c r="F22" s="76">
        <v>18152072.66</v>
      </c>
      <c r="G22" s="68"/>
      <c r="H22" s="75">
        <v>3675884.1578947366</v>
      </c>
      <c r="I22" s="347">
        <f t="shared" si="2"/>
        <v>0.95000000000000007</v>
      </c>
      <c r="J22" s="76">
        <v>3492089.95</v>
      </c>
      <c r="K22" s="68"/>
      <c r="L22" s="75">
        <v>3700986.0623052958</v>
      </c>
      <c r="M22" s="347">
        <f t="shared" si="3"/>
        <v>3.21</v>
      </c>
      <c r="N22" s="76">
        <v>11880165.26</v>
      </c>
      <c r="O22" s="68"/>
      <c r="P22" s="77">
        <f t="shared" si="0"/>
        <v>15372255.210000001</v>
      </c>
      <c r="Q22" s="68"/>
    </row>
    <row r="23" spans="2:17" x14ac:dyDescent="0.2">
      <c r="B23" s="69" t="s">
        <v>791</v>
      </c>
      <c r="C23" s="68"/>
      <c r="D23" s="75">
        <v>3631939.9999999995</v>
      </c>
      <c r="E23" s="347">
        <f t="shared" si="1"/>
        <v>5.78</v>
      </c>
      <c r="F23" s="76">
        <v>20992613.199999999</v>
      </c>
      <c r="G23" s="68"/>
      <c r="H23" s="75">
        <v>3591058.9999999995</v>
      </c>
      <c r="I23" s="347">
        <f t="shared" si="2"/>
        <v>0.95000000000000007</v>
      </c>
      <c r="J23" s="76">
        <v>3411506.05</v>
      </c>
      <c r="K23" s="68"/>
      <c r="L23" s="75">
        <v>3644593.0000000005</v>
      </c>
      <c r="M23" s="347">
        <f t="shared" si="3"/>
        <v>3.21</v>
      </c>
      <c r="N23" s="76">
        <v>11699143.530000001</v>
      </c>
      <c r="O23" s="68"/>
      <c r="P23" s="77">
        <f t="shared" si="0"/>
        <v>15110649.580000002</v>
      </c>
      <c r="Q23" s="68"/>
    </row>
    <row r="24" spans="2:17" x14ac:dyDescent="0.2">
      <c r="B24" s="69" t="s">
        <v>792</v>
      </c>
      <c r="C24" s="68"/>
      <c r="D24" s="75">
        <v>4312442</v>
      </c>
      <c r="E24" s="347">
        <f t="shared" si="1"/>
        <v>5.78</v>
      </c>
      <c r="F24" s="76">
        <v>24925914.760000002</v>
      </c>
      <c r="G24" s="68"/>
      <c r="H24" s="75">
        <v>4212133</v>
      </c>
      <c r="I24" s="347">
        <f t="shared" si="2"/>
        <v>0.95000000000000007</v>
      </c>
      <c r="J24" s="76">
        <v>4001526.35</v>
      </c>
      <c r="K24" s="68"/>
      <c r="L24" s="75">
        <v>4268117.9999999991</v>
      </c>
      <c r="M24" s="347">
        <f t="shared" si="3"/>
        <v>3.2100000000000004</v>
      </c>
      <c r="N24" s="76">
        <v>13700658.779999999</v>
      </c>
      <c r="O24" s="68"/>
      <c r="P24" s="77">
        <f t="shared" si="0"/>
        <v>17702185.129999999</v>
      </c>
      <c r="Q24" s="68"/>
    </row>
    <row r="25" spans="2:17" x14ac:dyDescent="0.2">
      <c r="B25" s="69" t="s">
        <v>793</v>
      </c>
      <c r="C25" s="68"/>
      <c r="D25" s="75">
        <v>4295777.0000000009</v>
      </c>
      <c r="E25" s="347">
        <f t="shared" si="1"/>
        <v>6.1199999999999983</v>
      </c>
      <c r="F25" s="76">
        <v>26290155.239999998</v>
      </c>
      <c r="G25" s="68"/>
      <c r="H25" s="75">
        <v>4228167</v>
      </c>
      <c r="I25" s="347">
        <f t="shared" si="2"/>
        <v>0.95</v>
      </c>
      <c r="J25" s="76">
        <v>4016758.65</v>
      </c>
      <c r="K25" s="68"/>
      <c r="L25" s="75">
        <v>4307292.9999999991</v>
      </c>
      <c r="M25" s="347">
        <f t="shared" si="3"/>
        <v>3.2100000000000004</v>
      </c>
      <c r="N25" s="76">
        <v>13826410.529999999</v>
      </c>
      <c r="O25" s="68"/>
      <c r="P25" s="77">
        <f t="shared" si="0"/>
        <v>17843169.18</v>
      </c>
      <c r="Q25" s="68"/>
    </row>
    <row r="26" spans="2:17" x14ac:dyDescent="0.2">
      <c r="B26" s="69" t="s">
        <v>794</v>
      </c>
      <c r="C26" s="68"/>
      <c r="D26" s="75">
        <v>4188850</v>
      </c>
      <c r="E26" s="347">
        <f t="shared" si="1"/>
        <v>6.12</v>
      </c>
      <c r="F26" s="76">
        <v>25635762</v>
      </c>
      <c r="G26" s="68"/>
      <c r="H26" s="75">
        <v>4122181</v>
      </c>
      <c r="I26" s="347">
        <f t="shared" si="2"/>
        <v>0.95000000000000007</v>
      </c>
      <c r="J26" s="76">
        <v>3916071.95</v>
      </c>
      <c r="K26" s="68"/>
      <c r="L26" s="75">
        <v>4183805.0000000028</v>
      </c>
      <c r="M26" s="347">
        <f t="shared" si="3"/>
        <v>3.2099999999999982</v>
      </c>
      <c r="N26" s="76">
        <v>13430014.050000001</v>
      </c>
      <c r="O26" s="68"/>
      <c r="P26" s="77">
        <f t="shared" si="0"/>
        <v>17346086</v>
      </c>
      <c r="Q26" s="68"/>
    </row>
    <row r="27" spans="2:17" x14ac:dyDescent="0.2">
      <c r="B27" s="69" t="s">
        <v>795</v>
      </c>
      <c r="C27" s="68"/>
      <c r="D27" s="75">
        <v>3782044.0000000005</v>
      </c>
      <c r="E27" s="347">
        <f t="shared" si="1"/>
        <v>6.1199999999999992</v>
      </c>
      <c r="F27" s="76">
        <v>23146109.280000001</v>
      </c>
      <c r="G27" s="68"/>
      <c r="H27" s="75">
        <v>3653709</v>
      </c>
      <c r="I27" s="347">
        <f t="shared" si="2"/>
        <v>0.95</v>
      </c>
      <c r="J27" s="76">
        <v>3471023.55</v>
      </c>
      <c r="K27" s="68"/>
      <c r="L27" s="75">
        <v>3697360.0000000009</v>
      </c>
      <c r="M27" s="347">
        <f t="shared" si="3"/>
        <v>3.2099999999999991</v>
      </c>
      <c r="N27" s="76">
        <v>11868525.6</v>
      </c>
      <c r="O27" s="68"/>
      <c r="P27" s="77">
        <f t="shared" si="0"/>
        <v>15339549.149999999</v>
      </c>
      <c r="Q27" s="68"/>
    </row>
    <row r="28" spans="2:17" x14ac:dyDescent="0.2">
      <c r="B28" s="69" t="s">
        <v>796</v>
      </c>
      <c r="C28" s="68"/>
      <c r="D28" s="75">
        <v>3229201.0000000009</v>
      </c>
      <c r="E28" s="347">
        <f t="shared" si="1"/>
        <v>6.1199999999999983</v>
      </c>
      <c r="F28" s="76">
        <v>19762710.120000001</v>
      </c>
      <c r="G28" s="68"/>
      <c r="H28" s="75">
        <v>3219543.9999999986</v>
      </c>
      <c r="I28" s="347">
        <f t="shared" si="2"/>
        <v>0.9500000000000004</v>
      </c>
      <c r="J28" s="76">
        <v>3058566.8</v>
      </c>
      <c r="K28" s="68"/>
      <c r="L28" s="75">
        <v>3265245.9999999995</v>
      </c>
      <c r="M28" s="347">
        <f t="shared" si="3"/>
        <v>3.2100000000000004</v>
      </c>
      <c r="N28" s="76">
        <v>10481439.66</v>
      </c>
      <c r="O28" s="68"/>
      <c r="P28" s="77">
        <f t="shared" si="0"/>
        <v>13540006.460000001</v>
      </c>
      <c r="Q28" s="68"/>
    </row>
    <row r="29" spans="2:17" x14ac:dyDescent="0.2">
      <c r="B29" s="69" t="s">
        <v>797</v>
      </c>
      <c r="C29" s="68"/>
      <c r="D29" s="75">
        <v>3236916.9999999995</v>
      </c>
      <c r="E29" s="347">
        <f t="shared" si="1"/>
        <v>6.120000000000001</v>
      </c>
      <c r="F29" s="76">
        <v>19809932.039999999</v>
      </c>
      <c r="G29" s="68"/>
      <c r="H29" s="75">
        <v>3253599</v>
      </c>
      <c r="I29" s="347">
        <f t="shared" si="2"/>
        <v>0.95</v>
      </c>
      <c r="J29" s="76">
        <v>3090919.05</v>
      </c>
      <c r="K29" s="68"/>
      <c r="L29" s="75">
        <v>3264938.0000000005</v>
      </c>
      <c r="M29" s="347">
        <f t="shared" si="3"/>
        <v>3.2099999999999995</v>
      </c>
      <c r="N29" s="76">
        <v>10480450.98</v>
      </c>
      <c r="O29" s="68"/>
      <c r="P29" s="77">
        <f t="shared" si="0"/>
        <v>13571370.030000001</v>
      </c>
      <c r="Q29" s="68"/>
    </row>
    <row r="30" spans="2:17" x14ac:dyDescent="0.2">
      <c r="B30" s="69" t="s">
        <v>798</v>
      </c>
      <c r="C30" s="68"/>
      <c r="D30" s="75">
        <v>3522999</v>
      </c>
      <c r="E30" s="347">
        <f t="shared" si="1"/>
        <v>6.12</v>
      </c>
      <c r="F30" s="76">
        <v>21560753.879999999</v>
      </c>
      <c r="G30" s="68"/>
      <c r="H30" s="75">
        <v>3464107</v>
      </c>
      <c r="I30" s="347">
        <f t="shared" si="2"/>
        <v>0.95</v>
      </c>
      <c r="J30" s="76">
        <v>3290901.65</v>
      </c>
      <c r="K30" s="68"/>
      <c r="L30" s="75">
        <v>3492814</v>
      </c>
      <c r="M30" s="347">
        <f t="shared" si="3"/>
        <v>3.21</v>
      </c>
      <c r="N30" s="76">
        <v>11211932.939999999</v>
      </c>
      <c r="O30" s="68"/>
      <c r="P30" s="77">
        <f t="shared" si="0"/>
        <v>14502834.59</v>
      </c>
      <c r="Q30" s="68"/>
    </row>
    <row r="31" spans="2:17" x14ac:dyDescent="0.2">
      <c r="B31" s="68"/>
      <c r="C31" s="68"/>
      <c r="D31" s="68"/>
      <c r="E31" s="68"/>
      <c r="F31" s="68"/>
      <c r="G31" s="68"/>
      <c r="H31" s="68"/>
      <c r="I31" s="68"/>
      <c r="J31" s="68"/>
      <c r="K31" s="68"/>
      <c r="L31" s="68"/>
      <c r="M31" s="68"/>
      <c r="N31" s="68"/>
      <c r="O31" s="68"/>
      <c r="P31" s="68"/>
      <c r="Q31" s="68"/>
    </row>
    <row r="32" spans="2:17" ht="13.5" thickBot="1" x14ac:dyDescent="0.25">
      <c r="B32" s="180" t="s">
        <v>688</v>
      </c>
      <c r="C32" s="68"/>
      <c r="D32" s="78">
        <f>SUM(D19:D30)</f>
        <v>43553532</v>
      </c>
      <c r="E32" s="79">
        <f>IF(D32&lt;&gt;0,F32/D32,0)</f>
        <v>5.9537394781208555</v>
      </c>
      <c r="F32" s="80">
        <f>SUM(F19:F30)</f>
        <v>259306382.88</v>
      </c>
      <c r="G32" s="68"/>
      <c r="H32" s="78">
        <f>SUM(H19:H30)</f>
        <v>43730559.157894731</v>
      </c>
      <c r="I32" s="79">
        <f>IF(H32&lt;&gt;0,J32/H32,0)</f>
        <v>0.95000000000000007</v>
      </c>
      <c r="J32" s="80">
        <f>SUM(J19:J30)</f>
        <v>41544031.199999996</v>
      </c>
      <c r="K32" s="68"/>
      <c r="L32" s="78">
        <f>SUM(L19:L30)</f>
        <v>44224111.062305301</v>
      </c>
      <c r="M32" s="79">
        <f>IF(L32&lt;&gt;0,N32/L32,0)</f>
        <v>3.2099999999999995</v>
      </c>
      <c r="N32" s="80">
        <f>SUM(N19:N30)</f>
        <v>141959396.50999999</v>
      </c>
      <c r="O32" s="68"/>
      <c r="P32" s="80">
        <f>SUM(P19:P30)</f>
        <v>183503427.71000001</v>
      </c>
      <c r="Q32" s="68"/>
    </row>
    <row r="33" spans="2:17" x14ac:dyDescent="0.2">
      <c r="B33" s="68"/>
      <c r="C33" s="68"/>
      <c r="D33" s="68"/>
      <c r="E33" s="68"/>
      <c r="F33" s="68"/>
      <c r="G33" s="68"/>
      <c r="H33" s="68"/>
      <c r="I33" s="68"/>
      <c r="J33" s="68"/>
      <c r="K33" s="68"/>
      <c r="L33" s="68"/>
      <c r="M33" s="68"/>
      <c r="N33" s="68"/>
      <c r="O33" s="68"/>
      <c r="P33" s="68"/>
      <c r="Q33" s="68"/>
    </row>
    <row r="34" spans="2:17" x14ac:dyDescent="0.2">
      <c r="B34" s="179" t="s">
        <v>799</v>
      </c>
      <c r="C34" s="107"/>
      <c r="D34" s="1908" t="s">
        <v>780</v>
      </c>
      <c r="E34" s="1908"/>
      <c r="F34" s="1908"/>
      <c r="G34" s="107"/>
      <c r="H34" s="1908" t="s">
        <v>781</v>
      </c>
      <c r="I34" s="1908"/>
      <c r="J34" s="1908"/>
      <c r="K34" s="107"/>
      <c r="L34" s="1908" t="s">
        <v>782</v>
      </c>
      <c r="M34" s="1908"/>
      <c r="N34" s="1908"/>
      <c r="O34" s="107"/>
      <c r="P34" s="179" t="s">
        <v>783</v>
      </c>
      <c r="Q34" s="68"/>
    </row>
    <row r="35" spans="2:17" ht="15" x14ac:dyDescent="0.3">
      <c r="B35" s="180"/>
      <c r="C35" s="74"/>
      <c r="D35" s="108"/>
      <c r="E35" s="108"/>
      <c r="F35" s="108"/>
      <c r="G35" s="74"/>
      <c r="H35" s="108"/>
      <c r="I35" s="108"/>
      <c r="J35" s="108"/>
      <c r="K35" s="74"/>
      <c r="L35" s="108"/>
      <c r="M35" s="108"/>
      <c r="N35" s="108"/>
      <c r="O35" s="74"/>
      <c r="P35" s="108"/>
      <c r="Q35" s="68"/>
    </row>
    <row r="36" spans="2:17" ht="15" x14ac:dyDescent="0.3">
      <c r="B36" s="180" t="s">
        <v>784</v>
      </c>
      <c r="C36" s="74"/>
      <c r="D36" s="108" t="s">
        <v>785</v>
      </c>
      <c r="E36" s="108" t="s">
        <v>763</v>
      </c>
      <c r="F36" s="108" t="s">
        <v>786</v>
      </c>
      <c r="G36" s="74"/>
      <c r="H36" s="108" t="s">
        <v>785</v>
      </c>
      <c r="I36" s="108" t="s">
        <v>763</v>
      </c>
      <c r="J36" s="108" t="s">
        <v>786</v>
      </c>
      <c r="K36" s="74"/>
      <c r="L36" s="108" t="s">
        <v>785</v>
      </c>
      <c r="M36" s="108" t="s">
        <v>763</v>
      </c>
      <c r="N36" s="108" t="s">
        <v>786</v>
      </c>
      <c r="O36" s="74"/>
      <c r="P36" s="108" t="s">
        <v>786</v>
      </c>
      <c r="Q36" s="68"/>
    </row>
    <row r="37" spans="2:17" x14ac:dyDescent="0.2">
      <c r="B37" s="68"/>
      <c r="C37" s="68"/>
      <c r="D37" s="68"/>
      <c r="E37" s="68"/>
      <c r="F37" s="68"/>
      <c r="G37" s="68"/>
      <c r="H37" s="68"/>
      <c r="I37" s="68"/>
      <c r="J37" s="68"/>
      <c r="K37" s="68"/>
      <c r="L37" s="68"/>
      <c r="M37" s="68"/>
      <c r="N37" s="68"/>
      <c r="O37" s="68"/>
      <c r="P37" s="68"/>
      <c r="Q37" s="68"/>
    </row>
    <row r="38" spans="2:17" x14ac:dyDescent="0.2">
      <c r="B38" s="69" t="s">
        <v>787</v>
      </c>
      <c r="C38" s="68"/>
      <c r="D38" s="75"/>
      <c r="E38" s="1168"/>
      <c r="F38" s="76"/>
      <c r="G38" s="68"/>
      <c r="H38" s="75"/>
      <c r="I38" s="1168"/>
      <c r="J38" s="76"/>
      <c r="K38" s="68"/>
      <c r="L38" s="75"/>
      <c r="M38" s="1168"/>
      <c r="N38" s="76"/>
      <c r="O38" s="68"/>
      <c r="P38" s="77">
        <f>J38+N38</f>
        <v>0</v>
      </c>
      <c r="Q38" s="68"/>
    </row>
    <row r="39" spans="2:17" x14ac:dyDescent="0.2">
      <c r="B39" s="69" t="s">
        <v>788</v>
      </c>
      <c r="C39" s="68"/>
      <c r="D39" s="75"/>
      <c r="E39" s="1168"/>
      <c r="F39" s="76"/>
      <c r="G39" s="68"/>
      <c r="H39" s="75"/>
      <c r="I39" s="1168"/>
      <c r="J39" s="76"/>
      <c r="K39" s="68"/>
      <c r="L39" s="75"/>
      <c r="M39" s="1168"/>
      <c r="N39" s="76"/>
      <c r="O39" s="68"/>
      <c r="P39" s="77">
        <f t="shared" ref="P39:P49" si="4">J39+N39</f>
        <v>0</v>
      </c>
      <c r="Q39" s="68"/>
    </row>
    <row r="40" spans="2:17" x14ac:dyDescent="0.2">
      <c r="B40" s="69" t="s">
        <v>789</v>
      </c>
      <c r="C40" s="68"/>
      <c r="D40" s="75"/>
      <c r="E40" s="1168"/>
      <c r="F40" s="76"/>
      <c r="G40" s="68"/>
      <c r="H40" s="75"/>
      <c r="I40" s="1168"/>
      <c r="J40" s="76"/>
      <c r="K40" s="68"/>
      <c r="L40" s="75"/>
      <c r="M40" s="1168"/>
      <c r="N40" s="76"/>
      <c r="O40" s="68"/>
      <c r="P40" s="77">
        <f t="shared" si="4"/>
        <v>0</v>
      </c>
      <c r="Q40" s="68"/>
    </row>
    <row r="41" spans="2:17" x14ac:dyDescent="0.2">
      <c r="B41" s="69" t="s">
        <v>790</v>
      </c>
      <c r="C41" s="68"/>
      <c r="D41" s="75"/>
      <c r="E41" s="1168"/>
      <c r="F41" s="76"/>
      <c r="G41" s="68"/>
      <c r="H41" s="75"/>
      <c r="I41" s="1168"/>
      <c r="J41" s="76"/>
      <c r="K41" s="68"/>
      <c r="L41" s="75"/>
      <c r="M41" s="1168"/>
      <c r="N41" s="76"/>
      <c r="O41" s="68"/>
      <c r="P41" s="77">
        <f t="shared" si="4"/>
        <v>0</v>
      </c>
      <c r="Q41" s="68"/>
    </row>
    <row r="42" spans="2:17" x14ac:dyDescent="0.2">
      <c r="B42" s="69" t="s">
        <v>791</v>
      </c>
      <c r="C42" s="68"/>
      <c r="D42" s="75"/>
      <c r="E42" s="1168"/>
      <c r="F42" s="76"/>
      <c r="G42" s="68"/>
      <c r="H42" s="75"/>
      <c r="I42" s="1168"/>
      <c r="J42" s="76"/>
      <c r="K42" s="68"/>
      <c r="L42" s="75"/>
      <c r="M42" s="1168"/>
      <c r="N42" s="76"/>
      <c r="O42" s="68"/>
      <c r="P42" s="77">
        <f t="shared" si="4"/>
        <v>0</v>
      </c>
      <c r="Q42" s="68"/>
    </row>
    <row r="43" spans="2:17" x14ac:dyDescent="0.2">
      <c r="B43" s="69" t="s">
        <v>792</v>
      </c>
      <c r="C43" s="68"/>
      <c r="D43" s="75"/>
      <c r="E43" s="1168"/>
      <c r="F43" s="76"/>
      <c r="G43" s="68"/>
      <c r="H43" s="75"/>
      <c r="I43" s="1168"/>
      <c r="J43" s="76"/>
      <c r="K43" s="68"/>
      <c r="L43" s="75"/>
      <c r="M43" s="1168"/>
      <c r="N43" s="76"/>
      <c r="O43" s="68"/>
      <c r="P43" s="77">
        <f t="shared" si="4"/>
        <v>0</v>
      </c>
      <c r="Q43" s="68"/>
    </row>
    <row r="44" spans="2:17" x14ac:dyDescent="0.2">
      <c r="B44" s="69" t="s">
        <v>793</v>
      </c>
      <c r="C44" s="68"/>
      <c r="D44" s="75"/>
      <c r="E44" s="1168"/>
      <c r="F44" s="76"/>
      <c r="G44" s="68"/>
      <c r="H44" s="75"/>
      <c r="I44" s="1168"/>
      <c r="J44" s="76"/>
      <c r="K44" s="68"/>
      <c r="L44" s="75"/>
      <c r="M44" s="1168"/>
      <c r="N44" s="76"/>
      <c r="O44" s="68"/>
      <c r="P44" s="77">
        <f t="shared" si="4"/>
        <v>0</v>
      </c>
      <c r="Q44" s="68"/>
    </row>
    <row r="45" spans="2:17" x14ac:dyDescent="0.2">
      <c r="B45" s="69" t="s">
        <v>794</v>
      </c>
      <c r="C45" s="68"/>
      <c r="D45" s="75"/>
      <c r="E45" s="1168"/>
      <c r="F45" s="76"/>
      <c r="G45" s="68"/>
      <c r="H45" s="75"/>
      <c r="I45" s="1168"/>
      <c r="J45" s="76"/>
      <c r="K45" s="68"/>
      <c r="L45" s="75"/>
      <c r="M45" s="1168"/>
      <c r="N45" s="76"/>
      <c r="O45" s="68"/>
      <c r="P45" s="77">
        <f t="shared" si="4"/>
        <v>0</v>
      </c>
      <c r="Q45" s="68"/>
    </row>
    <row r="46" spans="2:17" x14ac:dyDescent="0.2">
      <c r="B46" s="69" t="s">
        <v>795</v>
      </c>
      <c r="C46" s="68"/>
      <c r="D46" s="75"/>
      <c r="E46" s="1168"/>
      <c r="F46" s="76"/>
      <c r="G46" s="68"/>
      <c r="H46" s="75"/>
      <c r="I46" s="1168"/>
      <c r="J46" s="76"/>
      <c r="K46" s="68"/>
      <c r="L46" s="75"/>
      <c r="M46" s="1168"/>
      <c r="N46" s="76"/>
      <c r="O46" s="68"/>
      <c r="P46" s="77">
        <f t="shared" si="4"/>
        <v>0</v>
      </c>
      <c r="Q46" s="68"/>
    </row>
    <row r="47" spans="2:17" x14ac:dyDescent="0.2">
      <c r="B47" s="69" t="s">
        <v>796</v>
      </c>
      <c r="C47" s="68"/>
      <c r="D47" s="75"/>
      <c r="E47" s="1168"/>
      <c r="F47" s="76"/>
      <c r="G47" s="68"/>
      <c r="H47" s="75"/>
      <c r="I47" s="1168"/>
      <c r="J47" s="76"/>
      <c r="K47" s="68"/>
      <c r="L47" s="75"/>
      <c r="M47" s="1168"/>
      <c r="N47" s="76"/>
      <c r="O47" s="68"/>
      <c r="P47" s="77">
        <f t="shared" si="4"/>
        <v>0</v>
      </c>
      <c r="Q47" s="68"/>
    </row>
    <row r="48" spans="2:17" x14ac:dyDescent="0.2">
      <c r="B48" s="69" t="s">
        <v>797</v>
      </c>
      <c r="C48" s="68"/>
      <c r="D48" s="75"/>
      <c r="E48" s="1168"/>
      <c r="F48" s="76"/>
      <c r="G48" s="68"/>
      <c r="H48" s="75"/>
      <c r="I48" s="1168"/>
      <c r="J48" s="76"/>
      <c r="K48" s="68"/>
      <c r="L48" s="75"/>
      <c r="M48" s="1168"/>
      <c r="N48" s="76"/>
      <c r="O48" s="68"/>
      <c r="P48" s="77">
        <f t="shared" si="4"/>
        <v>0</v>
      </c>
      <c r="Q48" s="68"/>
    </row>
    <row r="49" spans="2:17" x14ac:dyDescent="0.2">
      <c r="B49" s="69" t="s">
        <v>798</v>
      </c>
      <c r="C49" s="68"/>
      <c r="D49" s="75"/>
      <c r="E49" s="1168"/>
      <c r="F49" s="76"/>
      <c r="G49" s="68"/>
      <c r="H49" s="75"/>
      <c r="I49" s="1168"/>
      <c r="J49" s="76"/>
      <c r="K49" s="68"/>
      <c r="L49" s="75"/>
      <c r="M49" s="1168"/>
      <c r="N49" s="76"/>
      <c r="O49" s="68"/>
      <c r="P49" s="77">
        <f t="shared" si="4"/>
        <v>0</v>
      </c>
      <c r="Q49" s="68"/>
    </row>
    <row r="50" spans="2:17" x14ac:dyDescent="0.2">
      <c r="B50" s="68"/>
      <c r="C50" s="68"/>
      <c r="D50" s="68"/>
      <c r="E50" s="68"/>
      <c r="F50" s="68"/>
      <c r="G50" s="68"/>
      <c r="H50" s="68"/>
      <c r="I50" s="68"/>
      <c r="J50" s="68"/>
      <c r="K50" s="68"/>
      <c r="L50" s="68"/>
      <c r="M50" s="68"/>
      <c r="N50" s="68"/>
      <c r="O50" s="68"/>
      <c r="P50" s="68"/>
      <c r="Q50" s="68"/>
    </row>
    <row r="51" spans="2:17" ht="13.5" thickBot="1" x14ac:dyDescent="0.25">
      <c r="B51" s="180" t="s">
        <v>688</v>
      </c>
      <c r="C51" s="68"/>
      <c r="D51" s="78">
        <f>SUM(D38:D49)</f>
        <v>0</v>
      </c>
      <c r="E51" s="463">
        <f>IF(D51&lt;&gt;0,F51/D51,0)</f>
        <v>0</v>
      </c>
      <c r="F51" s="80">
        <f>SUM(F38:F49)</f>
        <v>0</v>
      </c>
      <c r="G51" s="68"/>
      <c r="H51" s="78">
        <f>SUM(H38:H49)</f>
        <v>0</v>
      </c>
      <c r="I51" s="463">
        <f>IF(H51&lt;&gt;0,J51/H51,0)</f>
        <v>0</v>
      </c>
      <c r="J51" s="80">
        <f>SUM(J38:J49)</f>
        <v>0</v>
      </c>
      <c r="K51" s="68"/>
      <c r="L51" s="78">
        <f>SUM(L38:L49)</f>
        <v>0</v>
      </c>
      <c r="M51" s="463">
        <f>IF(L51&lt;&gt;0,N51/L51,0)</f>
        <v>0</v>
      </c>
      <c r="N51" s="80">
        <f>SUM(N38:N49)</f>
        <v>0</v>
      </c>
      <c r="O51" s="68"/>
      <c r="P51" s="80">
        <f>SUM(P38:P49)</f>
        <v>0</v>
      </c>
      <c r="Q51" s="68"/>
    </row>
    <row r="52" spans="2:17" x14ac:dyDescent="0.2">
      <c r="B52" s="68"/>
      <c r="C52" s="68"/>
      <c r="D52" s="68"/>
      <c r="E52" s="68"/>
      <c r="F52" s="68"/>
      <c r="G52" s="68"/>
      <c r="H52" s="68"/>
      <c r="I52" s="68"/>
      <c r="J52" s="68"/>
      <c r="K52" s="68"/>
      <c r="L52" s="68"/>
      <c r="M52" s="68"/>
      <c r="N52" s="68"/>
      <c r="O52" s="68"/>
      <c r="P52" s="68"/>
      <c r="Q52" s="68"/>
    </row>
    <row r="53" spans="2:17" x14ac:dyDescent="0.2">
      <c r="B53" s="179" t="str">
        <f>'11. RTSR - UTRs &amp; Sub-Tx'!B44</f>
        <v>If needed, add extra host here. (I)</v>
      </c>
      <c r="C53" s="107"/>
      <c r="D53" s="1908" t="s">
        <v>780</v>
      </c>
      <c r="E53" s="1908"/>
      <c r="F53" s="1908"/>
      <c r="G53" s="107"/>
      <c r="H53" s="1908" t="s">
        <v>781</v>
      </c>
      <c r="I53" s="1908"/>
      <c r="J53" s="1908"/>
      <c r="K53" s="107"/>
      <c r="L53" s="1908" t="s">
        <v>782</v>
      </c>
      <c r="M53" s="1908"/>
      <c r="N53" s="1908"/>
      <c r="O53" s="107"/>
      <c r="P53" s="179" t="s">
        <v>783</v>
      </c>
      <c r="Q53" s="68"/>
    </row>
    <row r="54" spans="2:17" ht="15" x14ac:dyDescent="0.3">
      <c r="B54" s="110"/>
      <c r="C54" s="74"/>
      <c r="D54" s="108"/>
      <c r="E54" s="108"/>
      <c r="F54" s="108"/>
      <c r="G54" s="74"/>
      <c r="H54" s="108"/>
      <c r="I54" s="108"/>
      <c r="J54" s="108"/>
      <c r="K54" s="74"/>
      <c r="L54" s="108"/>
      <c r="M54" s="108"/>
      <c r="N54" s="108"/>
      <c r="O54" s="74"/>
      <c r="P54" s="108"/>
      <c r="Q54" s="68"/>
    </row>
    <row r="55" spans="2:17" ht="15" x14ac:dyDescent="0.3">
      <c r="B55" s="180" t="s">
        <v>784</v>
      </c>
      <c r="C55" s="74"/>
      <c r="D55" s="108" t="s">
        <v>785</v>
      </c>
      <c r="E55" s="108" t="s">
        <v>763</v>
      </c>
      <c r="F55" s="108" t="s">
        <v>786</v>
      </c>
      <c r="G55" s="74"/>
      <c r="H55" s="108" t="s">
        <v>785</v>
      </c>
      <c r="I55" s="108" t="s">
        <v>763</v>
      </c>
      <c r="J55" s="108" t="s">
        <v>786</v>
      </c>
      <c r="K55" s="74"/>
      <c r="L55" s="108" t="s">
        <v>785</v>
      </c>
      <c r="M55" s="108" t="s">
        <v>763</v>
      </c>
      <c r="N55" s="108" t="s">
        <v>786</v>
      </c>
      <c r="O55" s="74"/>
      <c r="P55" s="108" t="s">
        <v>786</v>
      </c>
      <c r="Q55" s="68"/>
    </row>
    <row r="56" spans="2:17" x14ac:dyDescent="0.2">
      <c r="B56" s="68"/>
      <c r="C56" s="68"/>
      <c r="D56" s="68"/>
      <c r="E56" s="68"/>
      <c r="F56" s="68"/>
      <c r="G56" s="68"/>
      <c r="H56" s="68"/>
      <c r="I56" s="68"/>
      <c r="J56" s="68"/>
      <c r="K56" s="68"/>
      <c r="L56" s="68"/>
      <c r="M56" s="68"/>
      <c r="N56" s="68"/>
      <c r="O56" s="68"/>
      <c r="P56" s="68"/>
      <c r="Q56" s="68"/>
    </row>
    <row r="57" spans="2:17" x14ac:dyDescent="0.2">
      <c r="B57" s="69" t="s">
        <v>787</v>
      </c>
      <c r="C57" s="68"/>
      <c r="D57" s="75"/>
      <c r="E57" s="314">
        <f t="shared" ref="E57:E68" si="5">IF(D57&lt;&gt;0,F57/D57,0)</f>
        <v>0</v>
      </c>
      <c r="F57" s="76"/>
      <c r="G57" s="68"/>
      <c r="H57" s="75"/>
      <c r="I57" s="314">
        <f t="shared" ref="I57:I68" si="6">IF(H57&lt;&gt;0,J57/H57,0)</f>
        <v>0</v>
      </c>
      <c r="J57" s="109"/>
      <c r="K57" s="68"/>
      <c r="L57" s="75"/>
      <c r="M57" s="314">
        <f t="shared" ref="M57:M68" si="7">IF(L57&lt;&gt;0,N57/L57,0)</f>
        <v>0</v>
      </c>
      <c r="N57" s="76"/>
      <c r="O57" s="68"/>
      <c r="P57" s="77">
        <f t="shared" ref="P57:P68" si="8">J57+N57</f>
        <v>0</v>
      </c>
      <c r="Q57" s="68"/>
    </row>
    <row r="58" spans="2:17" x14ac:dyDescent="0.2">
      <c r="B58" s="69" t="s">
        <v>788</v>
      </c>
      <c r="C58" s="68"/>
      <c r="D58" s="75"/>
      <c r="E58" s="314">
        <f t="shared" si="5"/>
        <v>0</v>
      </c>
      <c r="F58" s="76"/>
      <c r="G58" s="68"/>
      <c r="H58" s="75"/>
      <c r="I58" s="314">
        <f t="shared" si="6"/>
        <v>0</v>
      </c>
      <c r="J58" s="109"/>
      <c r="K58" s="68"/>
      <c r="L58" s="75"/>
      <c r="M58" s="314">
        <f t="shared" si="7"/>
        <v>0</v>
      </c>
      <c r="N58" s="76"/>
      <c r="O58" s="68"/>
      <c r="P58" s="77">
        <f t="shared" si="8"/>
        <v>0</v>
      </c>
      <c r="Q58" s="68"/>
    </row>
    <row r="59" spans="2:17" x14ac:dyDescent="0.2">
      <c r="B59" s="69" t="s">
        <v>789</v>
      </c>
      <c r="C59" s="68"/>
      <c r="D59" s="75"/>
      <c r="E59" s="314">
        <f t="shared" si="5"/>
        <v>0</v>
      </c>
      <c r="F59" s="76"/>
      <c r="G59" s="68"/>
      <c r="H59" s="75"/>
      <c r="I59" s="314">
        <f t="shared" si="6"/>
        <v>0</v>
      </c>
      <c r="J59" s="109"/>
      <c r="K59" s="68"/>
      <c r="L59" s="75"/>
      <c r="M59" s="314">
        <f t="shared" si="7"/>
        <v>0</v>
      </c>
      <c r="N59" s="76"/>
      <c r="O59" s="68"/>
      <c r="P59" s="77">
        <f t="shared" si="8"/>
        <v>0</v>
      </c>
      <c r="Q59" s="68"/>
    </row>
    <row r="60" spans="2:17" x14ac:dyDescent="0.2">
      <c r="B60" s="69" t="s">
        <v>790</v>
      </c>
      <c r="C60" s="68"/>
      <c r="D60" s="75"/>
      <c r="E60" s="314">
        <f t="shared" si="5"/>
        <v>0</v>
      </c>
      <c r="F60" s="76"/>
      <c r="G60" s="68"/>
      <c r="H60" s="75"/>
      <c r="I60" s="314">
        <f t="shared" si="6"/>
        <v>0</v>
      </c>
      <c r="J60" s="109"/>
      <c r="K60" s="68"/>
      <c r="L60" s="75"/>
      <c r="M60" s="314">
        <f t="shared" si="7"/>
        <v>0</v>
      </c>
      <c r="N60" s="76"/>
      <c r="O60" s="68"/>
      <c r="P60" s="77">
        <f t="shared" si="8"/>
        <v>0</v>
      </c>
      <c r="Q60" s="68"/>
    </row>
    <row r="61" spans="2:17" x14ac:dyDescent="0.2">
      <c r="B61" s="69" t="s">
        <v>791</v>
      </c>
      <c r="C61" s="68"/>
      <c r="D61" s="75"/>
      <c r="E61" s="314">
        <f t="shared" si="5"/>
        <v>0</v>
      </c>
      <c r="F61" s="76"/>
      <c r="G61" s="68"/>
      <c r="H61" s="75"/>
      <c r="I61" s="314">
        <f t="shared" si="6"/>
        <v>0</v>
      </c>
      <c r="J61" s="109"/>
      <c r="K61" s="68"/>
      <c r="L61" s="75"/>
      <c r="M61" s="314">
        <f t="shared" si="7"/>
        <v>0</v>
      </c>
      <c r="N61" s="76"/>
      <c r="O61" s="68"/>
      <c r="P61" s="77">
        <f t="shared" si="8"/>
        <v>0</v>
      </c>
      <c r="Q61" s="68"/>
    </row>
    <row r="62" spans="2:17" x14ac:dyDescent="0.2">
      <c r="B62" s="69" t="s">
        <v>792</v>
      </c>
      <c r="C62" s="68"/>
      <c r="D62" s="75"/>
      <c r="E62" s="314">
        <f t="shared" si="5"/>
        <v>0</v>
      </c>
      <c r="F62" s="76"/>
      <c r="G62" s="68"/>
      <c r="H62" s="75"/>
      <c r="I62" s="314">
        <f t="shared" si="6"/>
        <v>0</v>
      </c>
      <c r="J62" s="109"/>
      <c r="K62" s="68"/>
      <c r="L62" s="75"/>
      <c r="M62" s="314">
        <f t="shared" si="7"/>
        <v>0</v>
      </c>
      <c r="N62" s="76"/>
      <c r="O62" s="68"/>
      <c r="P62" s="77">
        <f t="shared" si="8"/>
        <v>0</v>
      </c>
      <c r="Q62" s="68"/>
    </row>
    <row r="63" spans="2:17" x14ac:dyDescent="0.2">
      <c r="B63" s="69" t="s">
        <v>793</v>
      </c>
      <c r="C63" s="68"/>
      <c r="D63" s="75"/>
      <c r="E63" s="314">
        <f t="shared" si="5"/>
        <v>0</v>
      </c>
      <c r="F63" s="76"/>
      <c r="G63" s="68"/>
      <c r="H63" s="75"/>
      <c r="I63" s="314">
        <f t="shared" si="6"/>
        <v>0</v>
      </c>
      <c r="J63" s="109"/>
      <c r="K63" s="68"/>
      <c r="L63" s="75"/>
      <c r="M63" s="314">
        <f t="shared" si="7"/>
        <v>0</v>
      </c>
      <c r="N63" s="76"/>
      <c r="O63" s="68"/>
      <c r="P63" s="77">
        <f t="shared" si="8"/>
        <v>0</v>
      </c>
      <c r="Q63" s="68"/>
    </row>
    <row r="64" spans="2:17" x14ac:dyDescent="0.2">
      <c r="B64" s="69" t="s">
        <v>794</v>
      </c>
      <c r="C64" s="68"/>
      <c r="D64" s="75"/>
      <c r="E64" s="314">
        <f t="shared" si="5"/>
        <v>0</v>
      </c>
      <c r="F64" s="76"/>
      <c r="G64" s="68"/>
      <c r="H64" s="75"/>
      <c r="I64" s="314">
        <f t="shared" si="6"/>
        <v>0</v>
      </c>
      <c r="J64" s="109"/>
      <c r="K64" s="68"/>
      <c r="L64" s="75"/>
      <c r="M64" s="314">
        <f t="shared" si="7"/>
        <v>0</v>
      </c>
      <c r="N64" s="76"/>
      <c r="O64" s="68"/>
      <c r="P64" s="77">
        <f t="shared" si="8"/>
        <v>0</v>
      </c>
      <c r="Q64" s="68"/>
    </row>
    <row r="65" spans="2:17" x14ac:dyDescent="0.2">
      <c r="B65" s="69" t="s">
        <v>795</v>
      </c>
      <c r="C65" s="68"/>
      <c r="D65" s="75"/>
      <c r="E65" s="314">
        <f t="shared" si="5"/>
        <v>0</v>
      </c>
      <c r="F65" s="76"/>
      <c r="G65" s="68"/>
      <c r="H65" s="75"/>
      <c r="I65" s="314">
        <f t="shared" si="6"/>
        <v>0</v>
      </c>
      <c r="J65" s="109"/>
      <c r="K65" s="68"/>
      <c r="L65" s="75"/>
      <c r="M65" s="314">
        <f t="shared" si="7"/>
        <v>0</v>
      </c>
      <c r="N65" s="76"/>
      <c r="O65" s="68"/>
      <c r="P65" s="77">
        <f t="shared" si="8"/>
        <v>0</v>
      </c>
      <c r="Q65" s="68"/>
    </row>
    <row r="66" spans="2:17" x14ac:dyDescent="0.2">
      <c r="B66" s="69" t="s">
        <v>796</v>
      </c>
      <c r="C66" s="68"/>
      <c r="D66" s="75"/>
      <c r="E66" s="314">
        <f t="shared" si="5"/>
        <v>0</v>
      </c>
      <c r="F66" s="76"/>
      <c r="G66" s="68"/>
      <c r="H66" s="75"/>
      <c r="I66" s="314">
        <f t="shared" si="6"/>
        <v>0</v>
      </c>
      <c r="J66" s="109"/>
      <c r="K66" s="68"/>
      <c r="L66" s="75"/>
      <c r="M66" s="314">
        <f t="shared" si="7"/>
        <v>0</v>
      </c>
      <c r="N66" s="76"/>
      <c r="O66" s="68"/>
      <c r="P66" s="77">
        <f t="shared" si="8"/>
        <v>0</v>
      </c>
      <c r="Q66" s="68"/>
    </row>
    <row r="67" spans="2:17" x14ac:dyDescent="0.2">
      <c r="B67" s="69" t="s">
        <v>797</v>
      </c>
      <c r="C67" s="68"/>
      <c r="D67" s="75"/>
      <c r="E67" s="314">
        <f t="shared" si="5"/>
        <v>0</v>
      </c>
      <c r="F67" s="76"/>
      <c r="G67" s="68"/>
      <c r="H67" s="75"/>
      <c r="I67" s="314">
        <f t="shared" si="6"/>
        <v>0</v>
      </c>
      <c r="J67" s="109"/>
      <c r="K67" s="68"/>
      <c r="L67" s="75"/>
      <c r="M67" s="314">
        <f t="shared" si="7"/>
        <v>0</v>
      </c>
      <c r="N67" s="76"/>
      <c r="O67" s="68"/>
      <c r="P67" s="77">
        <f t="shared" si="8"/>
        <v>0</v>
      </c>
      <c r="Q67" s="68"/>
    </row>
    <row r="68" spans="2:17" x14ac:dyDescent="0.2">
      <c r="B68" s="69" t="s">
        <v>798</v>
      </c>
      <c r="C68" s="68"/>
      <c r="D68" s="75"/>
      <c r="E68" s="314">
        <f t="shared" si="5"/>
        <v>0</v>
      </c>
      <c r="F68" s="76"/>
      <c r="G68" s="68"/>
      <c r="H68" s="75"/>
      <c r="I68" s="314">
        <f t="shared" si="6"/>
        <v>0</v>
      </c>
      <c r="J68" s="109"/>
      <c r="K68" s="68"/>
      <c r="L68" s="75"/>
      <c r="M68" s="314">
        <f t="shared" si="7"/>
        <v>0</v>
      </c>
      <c r="N68" s="76"/>
      <c r="O68" s="68"/>
      <c r="P68" s="77">
        <f t="shared" si="8"/>
        <v>0</v>
      </c>
      <c r="Q68" s="68"/>
    </row>
    <row r="69" spans="2:17" x14ac:dyDescent="0.2">
      <c r="B69" s="68"/>
      <c r="C69" s="68"/>
      <c r="D69" s="68"/>
      <c r="E69" s="68"/>
      <c r="F69" s="68"/>
      <c r="G69" s="68"/>
      <c r="H69" s="68"/>
      <c r="I69" s="68"/>
      <c r="J69" s="68"/>
      <c r="K69" s="68"/>
      <c r="L69" s="68"/>
      <c r="M69" s="68"/>
      <c r="N69" s="68"/>
      <c r="O69" s="68"/>
      <c r="P69" s="68"/>
      <c r="Q69" s="68"/>
    </row>
    <row r="70" spans="2:17" ht="13.5" thickBot="1" x14ac:dyDescent="0.25">
      <c r="B70" s="180" t="s">
        <v>688</v>
      </c>
      <c r="C70" s="68"/>
      <c r="D70" s="78">
        <f>SUM(D57:D68)</f>
        <v>0</v>
      </c>
      <c r="E70" s="79">
        <f>IF(D70&lt;&gt;0,F70/D70,0)</f>
        <v>0</v>
      </c>
      <c r="F70" s="80">
        <f>SUM(F57:F68)</f>
        <v>0</v>
      </c>
      <c r="G70" s="68"/>
      <c r="H70" s="78">
        <f>SUM(H57:H68)</f>
        <v>0</v>
      </c>
      <c r="I70" s="79">
        <f>IF(H70&lt;&gt;0,J70/H70,0)</f>
        <v>0</v>
      </c>
      <c r="J70" s="80">
        <f>SUM(J57:J68)</f>
        <v>0</v>
      </c>
      <c r="K70" s="68"/>
      <c r="L70" s="78">
        <f>SUM(L57:L68)</f>
        <v>0</v>
      </c>
      <c r="M70" s="79">
        <f>IF(L70&lt;&gt;0,N70/L70,0)</f>
        <v>0</v>
      </c>
      <c r="N70" s="80">
        <f>SUM(N57:N68)</f>
        <v>0</v>
      </c>
      <c r="O70" s="68"/>
      <c r="P70" s="80">
        <f>SUM(P57:P68)</f>
        <v>0</v>
      </c>
      <c r="Q70" s="68"/>
    </row>
    <row r="71" spans="2:17" x14ac:dyDescent="0.2">
      <c r="B71" s="68"/>
      <c r="C71" s="68"/>
      <c r="D71" s="68"/>
      <c r="E71" s="68"/>
      <c r="F71" s="68"/>
      <c r="G71" s="68"/>
      <c r="H71" s="68"/>
      <c r="I71" s="68"/>
      <c r="J71" s="68"/>
      <c r="K71" s="68"/>
      <c r="L71" s="68"/>
      <c r="M71" s="68"/>
      <c r="N71" s="68"/>
      <c r="O71" s="68"/>
      <c r="P71" s="68"/>
      <c r="Q71" s="68"/>
    </row>
    <row r="72" spans="2:17" x14ac:dyDescent="0.2">
      <c r="B72" s="179" t="str">
        <f>'11. RTSR - UTRs &amp; Sub-Tx'!B59</f>
        <v>If needed, add extra host here. (II)</v>
      </c>
      <c r="C72" s="107"/>
      <c r="D72" s="1908" t="s">
        <v>780</v>
      </c>
      <c r="E72" s="1908"/>
      <c r="F72" s="1908"/>
      <c r="G72" s="107"/>
      <c r="H72" s="1908" t="s">
        <v>781</v>
      </c>
      <c r="I72" s="1908"/>
      <c r="J72" s="1908"/>
      <c r="K72" s="107"/>
      <c r="L72" s="1908" t="s">
        <v>782</v>
      </c>
      <c r="M72" s="1908"/>
      <c r="N72" s="1908"/>
      <c r="O72" s="107"/>
      <c r="P72" s="179" t="s">
        <v>783</v>
      </c>
      <c r="Q72" s="68"/>
    </row>
    <row r="73" spans="2:17" ht="15" x14ac:dyDescent="0.3">
      <c r="B73" s="110"/>
      <c r="C73" s="74"/>
      <c r="D73" s="108"/>
      <c r="E73" s="108"/>
      <c r="F73" s="108"/>
      <c r="G73" s="74"/>
      <c r="H73" s="108"/>
      <c r="I73" s="108"/>
      <c r="J73" s="108"/>
      <c r="K73" s="74"/>
      <c r="L73" s="108"/>
      <c r="M73" s="108"/>
      <c r="N73" s="108"/>
      <c r="O73" s="74"/>
      <c r="P73" s="108"/>
      <c r="Q73" s="68"/>
    </row>
    <row r="74" spans="2:17" ht="15" x14ac:dyDescent="0.3">
      <c r="B74" s="180" t="s">
        <v>784</v>
      </c>
      <c r="C74" s="74"/>
      <c r="D74" s="108" t="s">
        <v>785</v>
      </c>
      <c r="E74" s="108" t="s">
        <v>763</v>
      </c>
      <c r="F74" s="108" t="s">
        <v>786</v>
      </c>
      <c r="G74" s="74"/>
      <c r="H74" s="108" t="s">
        <v>785</v>
      </c>
      <c r="I74" s="108" t="s">
        <v>763</v>
      </c>
      <c r="J74" s="108" t="s">
        <v>786</v>
      </c>
      <c r="K74" s="74"/>
      <c r="L74" s="108" t="s">
        <v>785</v>
      </c>
      <c r="M74" s="108" t="s">
        <v>763</v>
      </c>
      <c r="N74" s="108" t="s">
        <v>786</v>
      </c>
      <c r="O74" s="74"/>
      <c r="P74" s="108" t="s">
        <v>786</v>
      </c>
      <c r="Q74" s="68"/>
    </row>
    <row r="75" spans="2:17" x14ac:dyDescent="0.2">
      <c r="B75" s="68"/>
      <c r="C75" s="68"/>
      <c r="D75" s="68"/>
      <c r="E75" s="68"/>
      <c r="F75" s="68"/>
      <c r="G75" s="68"/>
      <c r="H75" s="68"/>
      <c r="I75" s="68"/>
      <c r="J75" s="68"/>
      <c r="K75" s="68"/>
      <c r="L75" s="68"/>
      <c r="M75" s="68"/>
      <c r="N75" s="68"/>
      <c r="O75" s="68"/>
      <c r="P75" s="68"/>
      <c r="Q75" s="68"/>
    </row>
    <row r="76" spans="2:17" x14ac:dyDescent="0.2">
      <c r="B76" s="69" t="s">
        <v>787</v>
      </c>
      <c r="C76" s="68"/>
      <c r="D76" s="75"/>
      <c r="E76" s="314">
        <f t="shared" ref="E76:E87" si="9">IF(D76&lt;&gt;0,F76/D76,0)</f>
        <v>0</v>
      </c>
      <c r="F76" s="76"/>
      <c r="G76" s="68"/>
      <c r="H76" s="75"/>
      <c r="I76" s="314">
        <f t="shared" ref="I76:I87" si="10">IF(H76&lt;&gt;0,J76/H76,0)</f>
        <v>0</v>
      </c>
      <c r="J76" s="109"/>
      <c r="K76" s="68"/>
      <c r="L76" s="75"/>
      <c r="M76" s="314">
        <f t="shared" ref="M76:M87" si="11">IF(L76&lt;&gt;0,N76/L76,0)</f>
        <v>0</v>
      </c>
      <c r="N76" s="76"/>
      <c r="O76" s="68"/>
      <c r="P76" s="77">
        <f t="shared" ref="P76:P87" si="12">J76+N76</f>
        <v>0</v>
      </c>
      <c r="Q76" s="68"/>
    </row>
    <row r="77" spans="2:17" x14ac:dyDescent="0.2">
      <c r="B77" s="69" t="s">
        <v>788</v>
      </c>
      <c r="C77" s="68"/>
      <c r="D77" s="75"/>
      <c r="E77" s="314">
        <f t="shared" si="9"/>
        <v>0</v>
      </c>
      <c r="F77" s="76"/>
      <c r="G77" s="68"/>
      <c r="H77" s="75"/>
      <c r="I77" s="314">
        <f t="shared" si="10"/>
        <v>0</v>
      </c>
      <c r="J77" s="109"/>
      <c r="K77" s="68"/>
      <c r="L77" s="75"/>
      <c r="M77" s="314">
        <f t="shared" si="11"/>
        <v>0</v>
      </c>
      <c r="N77" s="76"/>
      <c r="O77" s="68"/>
      <c r="P77" s="77">
        <f t="shared" si="12"/>
        <v>0</v>
      </c>
      <c r="Q77" s="68"/>
    </row>
    <row r="78" spans="2:17" x14ac:dyDescent="0.2">
      <c r="B78" s="69" t="s">
        <v>789</v>
      </c>
      <c r="C78" s="68"/>
      <c r="D78" s="75"/>
      <c r="E78" s="314">
        <f t="shared" si="9"/>
        <v>0</v>
      </c>
      <c r="F78" s="76"/>
      <c r="G78" s="68"/>
      <c r="H78" s="75"/>
      <c r="I78" s="314">
        <f t="shared" si="10"/>
        <v>0</v>
      </c>
      <c r="J78" s="109"/>
      <c r="K78" s="68"/>
      <c r="L78" s="75"/>
      <c r="M78" s="314">
        <f t="shared" si="11"/>
        <v>0</v>
      </c>
      <c r="N78" s="76"/>
      <c r="O78" s="68"/>
      <c r="P78" s="77">
        <f t="shared" si="12"/>
        <v>0</v>
      </c>
      <c r="Q78" s="68"/>
    </row>
    <row r="79" spans="2:17" x14ac:dyDescent="0.2">
      <c r="B79" s="69" t="s">
        <v>790</v>
      </c>
      <c r="C79" s="68"/>
      <c r="D79" s="75"/>
      <c r="E79" s="314">
        <f t="shared" si="9"/>
        <v>0</v>
      </c>
      <c r="F79" s="76"/>
      <c r="G79" s="68"/>
      <c r="H79" s="75"/>
      <c r="I79" s="314">
        <f t="shared" si="10"/>
        <v>0</v>
      </c>
      <c r="J79" s="109"/>
      <c r="K79" s="68"/>
      <c r="L79" s="75"/>
      <c r="M79" s="314">
        <f t="shared" si="11"/>
        <v>0</v>
      </c>
      <c r="N79" s="76"/>
      <c r="O79" s="68"/>
      <c r="P79" s="77">
        <f t="shared" si="12"/>
        <v>0</v>
      </c>
      <c r="Q79" s="68"/>
    </row>
    <row r="80" spans="2:17" x14ac:dyDescent="0.2">
      <c r="B80" s="69" t="s">
        <v>791</v>
      </c>
      <c r="C80" s="68"/>
      <c r="D80" s="75"/>
      <c r="E80" s="314">
        <f t="shared" si="9"/>
        <v>0</v>
      </c>
      <c r="F80" s="76"/>
      <c r="G80" s="68"/>
      <c r="H80" s="75"/>
      <c r="I80" s="314">
        <f t="shared" si="10"/>
        <v>0</v>
      </c>
      <c r="J80" s="109"/>
      <c r="K80" s="68"/>
      <c r="L80" s="75"/>
      <c r="M80" s="314">
        <f t="shared" si="11"/>
        <v>0</v>
      </c>
      <c r="N80" s="76"/>
      <c r="O80" s="68"/>
      <c r="P80" s="77">
        <f t="shared" si="12"/>
        <v>0</v>
      </c>
      <c r="Q80" s="68"/>
    </row>
    <row r="81" spans="2:17" x14ac:dyDescent="0.2">
      <c r="B81" s="69" t="s">
        <v>792</v>
      </c>
      <c r="C81" s="68"/>
      <c r="D81" s="75"/>
      <c r="E81" s="314">
        <f t="shared" si="9"/>
        <v>0</v>
      </c>
      <c r="F81" s="76"/>
      <c r="G81" s="68"/>
      <c r="H81" s="75"/>
      <c r="I81" s="314">
        <f t="shared" si="10"/>
        <v>0</v>
      </c>
      <c r="J81" s="109"/>
      <c r="K81" s="68"/>
      <c r="L81" s="75"/>
      <c r="M81" s="314">
        <f t="shared" si="11"/>
        <v>0</v>
      </c>
      <c r="N81" s="76"/>
      <c r="O81" s="68"/>
      <c r="P81" s="77">
        <f t="shared" si="12"/>
        <v>0</v>
      </c>
      <c r="Q81" s="68"/>
    </row>
    <row r="82" spans="2:17" x14ac:dyDescent="0.2">
      <c r="B82" s="69" t="s">
        <v>793</v>
      </c>
      <c r="C82" s="68"/>
      <c r="D82" s="75"/>
      <c r="E82" s="314">
        <f t="shared" si="9"/>
        <v>0</v>
      </c>
      <c r="F82" s="76"/>
      <c r="G82" s="68"/>
      <c r="H82" s="75"/>
      <c r="I82" s="314">
        <f t="shared" si="10"/>
        <v>0</v>
      </c>
      <c r="J82" s="109"/>
      <c r="K82" s="68"/>
      <c r="L82" s="75"/>
      <c r="M82" s="314">
        <f t="shared" si="11"/>
        <v>0</v>
      </c>
      <c r="N82" s="76"/>
      <c r="O82" s="68"/>
      <c r="P82" s="77">
        <f t="shared" si="12"/>
        <v>0</v>
      </c>
      <c r="Q82" s="68"/>
    </row>
    <row r="83" spans="2:17" x14ac:dyDescent="0.2">
      <c r="B83" s="69" t="s">
        <v>794</v>
      </c>
      <c r="C83" s="68"/>
      <c r="D83" s="75"/>
      <c r="E83" s="314">
        <f t="shared" si="9"/>
        <v>0</v>
      </c>
      <c r="F83" s="76"/>
      <c r="G83" s="68"/>
      <c r="H83" s="75"/>
      <c r="I83" s="314">
        <f t="shared" si="10"/>
        <v>0</v>
      </c>
      <c r="J83" s="109"/>
      <c r="K83" s="68"/>
      <c r="L83" s="75"/>
      <c r="M83" s="314">
        <f t="shared" si="11"/>
        <v>0</v>
      </c>
      <c r="N83" s="76"/>
      <c r="O83" s="68"/>
      <c r="P83" s="77">
        <f t="shared" si="12"/>
        <v>0</v>
      </c>
      <c r="Q83" s="68"/>
    </row>
    <row r="84" spans="2:17" x14ac:dyDescent="0.2">
      <c r="B84" s="69" t="s">
        <v>795</v>
      </c>
      <c r="C84" s="68"/>
      <c r="D84" s="75"/>
      <c r="E84" s="314">
        <f t="shared" si="9"/>
        <v>0</v>
      </c>
      <c r="F84" s="76"/>
      <c r="G84" s="68"/>
      <c r="H84" s="75"/>
      <c r="I84" s="314">
        <f t="shared" si="10"/>
        <v>0</v>
      </c>
      <c r="J84" s="109"/>
      <c r="K84" s="68"/>
      <c r="L84" s="75"/>
      <c r="M84" s="314">
        <f t="shared" si="11"/>
        <v>0</v>
      </c>
      <c r="N84" s="76"/>
      <c r="O84" s="68"/>
      <c r="P84" s="77">
        <f t="shared" si="12"/>
        <v>0</v>
      </c>
      <c r="Q84" s="68"/>
    </row>
    <row r="85" spans="2:17" x14ac:dyDescent="0.2">
      <c r="B85" s="69" t="s">
        <v>796</v>
      </c>
      <c r="C85" s="68"/>
      <c r="D85" s="75"/>
      <c r="E85" s="314">
        <f t="shared" si="9"/>
        <v>0</v>
      </c>
      <c r="F85" s="76"/>
      <c r="G85" s="68"/>
      <c r="H85" s="75"/>
      <c r="I85" s="314">
        <f t="shared" si="10"/>
        <v>0</v>
      </c>
      <c r="J85" s="109"/>
      <c r="K85" s="68"/>
      <c r="L85" s="75"/>
      <c r="M85" s="314">
        <f t="shared" si="11"/>
        <v>0</v>
      </c>
      <c r="N85" s="76"/>
      <c r="O85" s="68"/>
      <c r="P85" s="77">
        <f t="shared" si="12"/>
        <v>0</v>
      </c>
      <c r="Q85" s="68"/>
    </row>
    <row r="86" spans="2:17" x14ac:dyDescent="0.2">
      <c r="B86" s="69" t="s">
        <v>797</v>
      </c>
      <c r="C86" s="68"/>
      <c r="D86" s="75"/>
      <c r="E86" s="314">
        <f t="shared" si="9"/>
        <v>0</v>
      </c>
      <c r="F86" s="76"/>
      <c r="G86" s="68"/>
      <c r="H86" s="75"/>
      <c r="I86" s="314">
        <f t="shared" si="10"/>
        <v>0</v>
      </c>
      <c r="J86" s="109"/>
      <c r="K86" s="68"/>
      <c r="L86" s="75"/>
      <c r="M86" s="314">
        <f t="shared" si="11"/>
        <v>0</v>
      </c>
      <c r="N86" s="76"/>
      <c r="O86" s="68"/>
      <c r="P86" s="77">
        <f t="shared" si="12"/>
        <v>0</v>
      </c>
      <c r="Q86" s="68"/>
    </row>
    <row r="87" spans="2:17" x14ac:dyDescent="0.2">
      <c r="B87" s="69" t="s">
        <v>798</v>
      </c>
      <c r="C87" s="68"/>
      <c r="D87" s="75"/>
      <c r="E87" s="314">
        <f t="shared" si="9"/>
        <v>0</v>
      </c>
      <c r="F87" s="76"/>
      <c r="G87" s="68"/>
      <c r="H87" s="75"/>
      <c r="I87" s="314">
        <f t="shared" si="10"/>
        <v>0</v>
      </c>
      <c r="J87" s="109"/>
      <c r="K87" s="68"/>
      <c r="L87" s="75"/>
      <c r="M87" s="314">
        <f t="shared" si="11"/>
        <v>0</v>
      </c>
      <c r="N87" s="76"/>
      <c r="O87" s="68"/>
      <c r="P87" s="77">
        <f t="shared" si="12"/>
        <v>0</v>
      </c>
      <c r="Q87" s="68"/>
    </row>
    <row r="88" spans="2:17" x14ac:dyDescent="0.2">
      <c r="B88" s="68"/>
      <c r="C88" s="68"/>
      <c r="D88" s="68"/>
      <c r="E88" s="68"/>
      <c r="F88" s="68"/>
      <c r="G88" s="68"/>
      <c r="H88" s="68"/>
      <c r="I88" s="68"/>
      <c r="J88" s="68"/>
      <c r="K88" s="68"/>
      <c r="L88" s="68"/>
      <c r="M88" s="68"/>
      <c r="N88" s="68"/>
      <c r="O88" s="68"/>
      <c r="P88" s="68"/>
      <c r="Q88" s="68"/>
    </row>
    <row r="89" spans="2:17" ht="13.5" thickBot="1" x14ac:dyDescent="0.25">
      <c r="B89" s="180" t="s">
        <v>688</v>
      </c>
      <c r="C89" s="68"/>
      <c r="D89" s="78">
        <f>SUM(D76:D87)</f>
        <v>0</v>
      </c>
      <c r="E89" s="79">
        <f>IF(D89&lt;&gt;0,F89/D89,0)</f>
        <v>0</v>
      </c>
      <c r="F89" s="80">
        <f>SUM(F76:F87)</f>
        <v>0</v>
      </c>
      <c r="G89" s="68"/>
      <c r="H89" s="78">
        <f>SUM(H76:H87)</f>
        <v>0</v>
      </c>
      <c r="I89" s="79">
        <f>IF(H89&lt;&gt;0,J89/H89,0)</f>
        <v>0</v>
      </c>
      <c r="J89" s="80">
        <f>SUM(J76:J87)</f>
        <v>0</v>
      </c>
      <c r="K89" s="68"/>
      <c r="L89" s="78">
        <f>SUM(L76:L87)</f>
        <v>0</v>
      </c>
      <c r="M89" s="79">
        <f>IF(L89&lt;&gt;0,N89/L89,0)</f>
        <v>0</v>
      </c>
      <c r="N89" s="80">
        <f>SUM(N76:N87)</f>
        <v>0</v>
      </c>
      <c r="O89" s="68"/>
      <c r="P89" s="80">
        <f>SUM(P76:P87)</f>
        <v>0</v>
      </c>
      <c r="Q89" s="68"/>
    </row>
    <row r="90" spans="2:17" x14ac:dyDescent="0.2">
      <c r="B90" s="68"/>
      <c r="C90" s="68"/>
      <c r="D90" s="68"/>
      <c r="E90" s="68"/>
      <c r="F90" s="68"/>
      <c r="G90" s="68"/>
      <c r="H90" s="68"/>
      <c r="I90" s="68"/>
      <c r="J90" s="68"/>
      <c r="K90" s="68"/>
      <c r="L90" s="68"/>
      <c r="M90" s="68"/>
      <c r="N90" s="68"/>
      <c r="O90" s="68"/>
      <c r="P90" s="68"/>
      <c r="Q90" s="68"/>
    </row>
    <row r="91" spans="2:17" x14ac:dyDescent="0.2">
      <c r="B91" s="179" t="s">
        <v>688</v>
      </c>
      <c r="C91" s="107"/>
      <c r="D91" s="1908" t="s">
        <v>780</v>
      </c>
      <c r="E91" s="1908"/>
      <c r="F91" s="1908"/>
      <c r="G91" s="107"/>
      <c r="H91" s="1908" t="s">
        <v>781</v>
      </c>
      <c r="I91" s="1908"/>
      <c r="J91" s="1908"/>
      <c r="K91" s="107"/>
      <c r="L91" s="1908" t="s">
        <v>782</v>
      </c>
      <c r="M91" s="1908"/>
      <c r="N91" s="1908"/>
      <c r="O91" s="107"/>
      <c r="P91" s="179" t="s">
        <v>783</v>
      </c>
      <c r="Q91" s="68"/>
    </row>
    <row r="92" spans="2:17" x14ac:dyDescent="0.2">
      <c r="B92" s="68"/>
      <c r="C92" s="68"/>
      <c r="D92" s="1907"/>
      <c r="E92" s="1907"/>
      <c r="F92" s="1907"/>
      <c r="G92" s="68"/>
      <c r="H92" s="1907"/>
      <c r="I92" s="1907"/>
      <c r="J92" s="1907"/>
      <c r="K92" s="68"/>
      <c r="L92" s="1907"/>
      <c r="M92" s="1907"/>
      <c r="N92" s="1907"/>
      <c r="O92" s="68"/>
      <c r="P92" s="111"/>
      <c r="Q92" s="68"/>
    </row>
    <row r="93" spans="2:17" ht="15" x14ac:dyDescent="0.3">
      <c r="B93" s="180" t="s">
        <v>784</v>
      </c>
      <c r="C93" s="68"/>
      <c r="D93" s="108" t="s">
        <v>785</v>
      </c>
      <c r="E93" s="108" t="s">
        <v>763</v>
      </c>
      <c r="F93" s="108" t="s">
        <v>786</v>
      </c>
      <c r="G93" s="74"/>
      <c r="H93" s="108" t="s">
        <v>785</v>
      </c>
      <c r="I93" s="108" t="s">
        <v>763</v>
      </c>
      <c r="J93" s="108" t="s">
        <v>786</v>
      </c>
      <c r="K93" s="74"/>
      <c r="L93" s="108" t="s">
        <v>785</v>
      </c>
      <c r="M93" s="108" t="s">
        <v>763</v>
      </c>
      <c r="N93" s="108" t="s">
        <v>786</v>
      </c>
      <c r="O93" s="74"/>
      <c r="P93" s="108" t="s">
        <v>786</v>
      </c>
      <c r="Q93" s="68"/>
    </row>
    <row r="94" spans="2:17" x14ac:dyDescent="0.2">
      <c r="B94" s="68"/>
      <c r="C94" s="68"/>
      <c r="D94" s="68"/>
      <c r="E94" s="68"/>
      <c r="F94" s="68"/>
      <c r="G94" s="68"/>
      <c r="H94" s="68"/>
      <c r="I94" s="68"/>
      <c r="J94" s="68"/>
      <c r="K94" s="68"/>
      <c r="L94" s="68"/>
      <c r="M94" s="68"/>
      <c r="N94" s="68"/>
      <c r="O94" s="68"/>
      <c r="P94" s="68"/>
      <c r="Q94" s="68"/>
    </row>
    <row r="95" spans="2:17" x14ac:dyDescent="0.2">
      <c r="B95" s="69" t="s">
        <v>787</v>
      </c>
      <c r="C95" s="68"/>
      <c r="D95" s="81">
        <f>D19+D38+D57+D76</f>
        <v>3600881</v>
      </c>
      <c r="E95" s="85">
        <f t="shared" ref="E95:E106" si="13">IF(D95&lt;&gt;0,F95/D95,0)</f>
        <v>5.78</v>
      </c>
      <c r="F95" s="77">
        <f>F19+F38+F57+F76</f>
        <v>20813092.18</v>
      </c>
      <c r="G95" s="68"/>
      <c r="H95" s="81">
        <f>H19+H38+H57+H76</f>
        <v>3567272</v>
      </c>
      <c r="I95" s="85">
        <f t="shared" ref="I95:I106" si="14">IF(H95&lt;&gt;0,J95/H95,0)</f>
        <v>0.95</v>
      </c>
      <c r="J95" s="77">
        <f>J19+J38+J57+J76</f>
        <v>3388908.4</v>
      </c>
      <c r="K95" s="68"/>
      <c r="L95" s="81">
        <f>L19+L38+L57+L76</f>
        <v>3610645</v>
      </c>
      <c r="M95" s="85">
        <f t="shared" ref="M95:M106" si="15">IF(L95&lt;&gt;0,N95/L95,0)</f>
        <v>3.21</v>
      </c>
      <c r="N95" s="77">
        <f>N19+N38+N57+N76</f>
        <v>11590170.449999999</v>
      </c>
      <c r="O95" s="68"/>
      <c r="P95" s="77">
        <f t="shared" ref="P95:P106" si="16">J95+N95</f>
        <v>14979078.85</v>
      </c>
      <c r="Q95" s="68"/>
    </row>
    <row r="96" spans="2:17" x14ac:dyDescent="0.2">
      <c r="B96" s="69" t="s">
        <v>788</v>
      </c>
      <c r="C96" s="68"/>
      <c r="D96" s="81">
        <f t="shared" ref="D96:D106" si="17">D20+D39+D58+D77</f>
        <v>3387001</v>
      </c>
      <c r="E96" s="85">
        <f t="shared" si="13"/>
        <v>5.78</v>
      </c>
      <c r="F96" s="77">
        <f t="shared" ref="F96:F106" si="18">F20+F39+F58+F77</f>
        <v>19576865.780000001</v>
      </c>
      <c r="G96" s="68"/>
      <c r="H96" s="81">
        <f t="shared" ref="H96:H106" si="19">H20+H39+H58+H77</f>
        <v>3431213.0000000005</v>
      </c>
      <c r="I96" s="85">
        <f t="shared" si="14"/>
        <v>0.94999999999999984</v>
      </c>
      <c r="J96" s="77">
        <f t="shared" ref="J96:J106" si="20">J20+J39+J58+J77</f>
        <v>3259652.35</v>
      </c>
      <c r="K96" s="68"/>
      <c r="L96" s="81">
        <f t="shared" ref="L96:L106" si="21">L20+L39+L58+L77</f>
        <v>3455717.0000000005</v>
      </c>
      <c r="M96" s="85">
        <f t="shared" si="15"/>
        <v>3.2099999999999995</v>
      </c>
      <c r="N96" s="77">
        <f t="shared" ref="N96:N106" si="22">N20+N39+N58+N77</f>
        <v>11092851.57</v>
      </c>
      <c r="O96" s="68"/>
      <c r="P96" s="77">
        <f t="shared" si="16"/>
        <v>14352503.92</v>
      </c>
      <c r="Q96" s="68"/>
    </row>
    <row r="97" spans="2:17" x14ac:dyDescent="0.2">
      <c r="B97" s="69" t="s">
        <v>789</v>
      </c>
      <c r="C97" s="68"/>
      <c r="D97" s="81">
        <f t="shared" si="17"/>
        <v>3224982.9999999986</v>
      </c>
      <c r="E97" s="85">
        <f t="shared" si="13"/>
        <v>5.780000000000002</v>
      </c>
      <c r="F97" s="77">
        <f t="shared" si="18"/>
        <v>18640401.739999998</v>
      </c>
      <c r="G97" s="68"/>
      <c r="H97" s="81">
        <f t="shared" si="19"/>
        <v>3311691</v>
      </c>
      <c r="I97" s="85">
        <f t="shared" si="14"/>
        <v>0.95000000000000007</v>
      </c>
      <c r="J97" s="77">
        <f t="shared" si="20"/>
        <v>3146106.45</v>
      </c>
      <c r="K97" s="68"/>
      <c r="L97" s="81">
        <f t="shared" si="21"/>
        <v>3332596</v>
      </c>
      <c r="M97" s="85">
        <f t="shared" si="15"/>
        <v>3.21</v>
      </c>
      <c r="N97" s="77">
        <f t="shared" si="22"/>
        <v>10697633.16</v>
      </c>
      <c r="O97" s="68"/>
      <c r="P97" s="77">
        <f t="shared" si="16"/>
        <v>13843739.609999999</v>
      </c>
      <c r="Q97" s="68"/>
    </row>
    <row r="98" spans="2:17" x14ac:dyDescent="0.2">
      <c r="B98" s="69" t="s">
        <v>790</v>
      </c>
      <c r="C98" s="68"/>
      <c r="D98" s="81">
        <f t="shared" si="17"/>
        <v>3140497</v>
      </c>
      <c r="E98" s="85">
        <f t="shared" si="13"/>
        <v>5.78</v>
      </c>
      <c r="F98" s="77">
        <f t="shared" si="18"/>
        <v>18152072.66</v>
      </c>
      <c r="G98" s="68"/>
      <c r="H98" s="81">
        <f t="shared" si="19"/>
        <v>3675884.1578947366</v>
      </c>
      <c r="I98" s="85">
        <f t="shared" si="14"/>
        <v>0.95000000000000007</v>
      </c>
      <c r="J98" s="77">
        <f t="shared" si="20"/>
        <v>3492089.95</v>
      </c>
      <c r="K98" s="68"/>
      <c r="L98" s="81">
        <f t="shared" si="21"/>
        <v>3700986.0623052958</v>
      </c>
      <c r="M98" s="85">
        <f t="shared" si="15"/>
        <v>3.21</v>
      </c>
      <c r="N98" s="77">
        <f t="shared" si="22"/>
        <v>11880165.26</v>
      </c>
      <c r="O98" s="68"/>
      <c r="P98" s="77">
        <f t="shared" si="16"/>
        <v>15372255.210000001</v>
      </c>
      <c r="Q98" s="68"/>
    </row>
    <row r="99" spans="2:17" x14ac:dyDescent="0.2">
      <c r="B99" s="69" t="s">
        <v>791</v>
      </c>
      <c r="C99" s="68"/>
      <c r="D99" s="81">
        <f t="shared" si="17"/>
        <v>3631939.9999999995</v>
      </c>
      <c r="E99" s="85">
        <f t="shared" si="13"/>
        <v>5.78</v>
      </c>
      <c r="F99" s="77">
        <f t="shared" si="18"/>
        <v>20992613.199999999</v>
      </c>
      <c r="G99" s="68"/>
      <c r="H99" s="81">
        <f t="shared" si="19"/>
        <v>3591058.9999999995</v>
      </c>
      <c r="I99" s="85">
        <f t="shared" si="14"/>
        <v>0.95000000000000007</v>
      </c>
      <c r="J99" s="77">
        <f t="shared" si="20"/>
        <v>3411506.05</v>
      </c>
      <c r="K99" s="68"/>
      <c r="L99" s="81">
        <f t="shared" si="21"/>
        <v>3644593.0000000005</v>
      </c>
      <c r="M99" s="85">
        <f t="shared" si="15"/>
        <v>3.21</v>
      </c>
      <c r="N99" s="77">
        <f t="shared" si="22"/>
        <v>11699143.530000001</v>
      </c>
      <c r="O99" s="68"/>
      <c r="P99" s="77">
        <f t="shared" si="16"/>
        <v>15110649.580000002</v>
      </c>
      <c r="Q99" s="68"/>
    </row>
    <row r="100" spans="2:17" x14ac:dyDescent="0.2">
      <c r="B100" s="69" t="s">
        <v>792</v>
      </c>
      <c r="C100" s="68"/>
      <c r="D100" s="81">
        <f t="shared" si="17"/>
        <v>4312442</v>
      </c>
      <c r="E100" s="85">
        <f t="shared" si="13"/>
        <v>5.78</v>
      </c>
      <c r="F100" s="77">
        <f t="shared" si="18"/>
        <v>24925914.760000002</v>
      </c>
      <c r="G100" s="68"/>
      <c r="H100" s="81">
        <f t="shared" si="19"/>
        <v>4212133</v>
      </c>
      <c r="I100" s="85">
        <f t="shared" si="14"/>
        <v>0.95000000000000007</v>
      </c>
      <c r="J100" s="77">
        <f t="shared" si="20"/>
        <v>4001526.35</v>
      </c>
      <c r="K100" s="68"/>
      <c r="L100" s="81">
        <f t="shared" si="21"/>
        <v>4268117.9999999991</v>
      </c>
      <c r="M100" s="85">
        <f t="shared" si="15"/>
        <v>3.2100000000000004</v>
      </c>
      <c r="N100" s="77">
        <f t="shared" si="22"/>
        <v>13700658.779999999</v>
      </c>
      <c r="O100" s="68"/>
      <c r="P100" s="77">
        <f t="shared" si="16"/>
        <v>17702185.129999999</v>
      </c>
      <c r="Q100" s="68"/>
    </row>
    <row r="101" spans="2:17" x14ac:dyDescent="0.2">
      <c r="B101" s="69" t="s">
        <v>793</v>
      </c>
      <c r="C101" s="68"/>
      <c r="D101" s="81">
        <f t="shared" si="17"/>
        <v>4295777.0000000009</v>
      </c>
      <c r="E101" s="85">
        <f t="shared" si="13"/>
        <v>6.1199999999999983</v>
      </c>
      <c r="F101" s="77">
        <f t="shared" si="18"/>
        <v>26290155.239999998</v>
      </c>
      <c r="G101" s="68"/>
      <c r="H101" s="81">
        <f t="shared" si="19"/>
        <v>4228167</v>
      </c>
      <c r="I101" s="85">
        <f t="shared" si="14"/>
        <v>0.95</v>
      </c>
      <c r="J101" s="77">
        <f t="shared" si="20"/>
        <v>4016758.65</v>
      </c>
      <c r="K101" s="68"/>
      <c r="L101" s="81">
        <f t="shared" si="21"/>
        <v>4307292.9999999991</v>
      </c>
      <c r="M101" s="85">
        <f t="shared" si="15"/>
        <v>3.2100000000000004</v>
      </c>
      <c r="N101" s="77">
        <f t="shared" si="22"/>
        <v>13826410.529999999</v>
      </c>
      <c r="O101" s="68"/>
      <c r="P101" s="77">
        <f t="shared" si="16"/>
        <v>17843169.18</v>
      </c>
      <c r="Q101" s="68"/>
    </row>
    <row r="102" spans="2:17" x14ac:dyDescent="0.2">
      <c r="B102" s="69" t="s">
        <v>794</v>
      </c>
      <c r="C102" s="68"/>
      <c r="D102" s="81">
        <f t="shared" si="17"/>
        <v>4188850</v>
      </c>
      <c r="E102" s="85">
        <f t="shared" si="13"/>
        <v>6.12</v>
      </c>
      <c r="F102" s="77">
        <f t="shared" si="18"/>
        <v>25635762</v>
      </c>
      <c r="G102" s="68"/>
      <c r="H102" s="81">
        <f t="shared" si="19"/>
        <v>4122181</v>
      </c>
      <c r="I102" s="85">
        <f t="shared" si="14"/>
        <v>0.95000000000000007</v>
      </c>
      <c r="J102" s="77">
        <f t="shared" si="20"/>
        <v>3916071.95</v>
      </c>
      <c r="K102" s="68"/>
      <c r="L102" s="81">
        <f t="shared" si="21"/>
        <v>4183805.0000000028</v>
      </c>
      <c r="M102" s="85">
        <f t="shared" si="15"/>
        <v>3.2099999999999982</v>
      </c>
      <c r="N102" s="77">
        <f t="shared" si="22"/>
        <v>13430014.050000001</v>
      </c>
      <c r="O102" s="68"/>
      <c r="P102" s="77">
        <f t="shared" si="16"/>
        <v>17346086</v>
      </c>
      <c r="Q102" s="68"/>
    </row>
    <row r="103" spans="2:17" x14ac:dyDescent="0.2">
      <c r="B103" s="69" t="s">
        <v>795</v>
      </c>
      <c r="C103" s="68"/>
      <c r="D103" s="81">
        <f t="shared" si="17"/>
        <v>3782044.0000000005</v>
      </c>
      <c r="E103" s="85">
        <f t="shared" si="13"/>
        <v>6.1199999999999992</v>
      </c>
      <c r="F103" s="77">
        <f t="shared" si="18"/>
        <v>23146109.280000001</v>
      </c>
      <c r="G103" s="68"/>
      <c r="H103" s="81">
        <f t="shared" si="19"/>
        <v>3653709</v>
      </c>
      <c r="I103" s="85">
        <f t="shared" si="14"/>
        <v>0.95</v>
      </c>
      <c r="J103" s="77">
        <f t="shared" si="20"/>
        <v>3471023.55</v>
      </c>
      <c r="K103" s="68"/>
      <c r="L103" s="81">
        <f t="shared" si="21"/>
        <v>3697360.0000000009</v>
      </c>
      <c r="M103" s="85">
        <f t="shared" si="15"/>
        <v>3.2099999999999991</v>
      </c>
      <c r="N103" s="77">
        <f t="shared" si="22"/>
        <v>11868525.6</v>
      </c>
      <c r="O103" s="68"/>
      <c r="P103" s="77">
        <f t="shared" si="16"/>
        <v>15339549.149999999</v>
      </c>
      <c r="Q103" s="68"/>
    </row>
    <row r="104" spans="2:17" x14ac:dyDescent="0.2">
      <c r="B104" s="69" t="s">
        <v>796</v>
      </c>
      <c r="C104" s="68"/>
      <c r="D104" s="81">
        <f t="shared" si="17"/>
        <v>3229201.0000000009</v>
      </c>
      <c r="E104" s="85">
        <f t="shared" si="13"/>
        <v>6.1199999999999983</v>
      </c>
      <c r="F104" s="77">
        <f t="shared" si="18"/>
        <v>19762710.120000001</v>
      </c>
      <c r="G104" s="68"/>
      <c r="H104" s="81">
        <f t="shared" si="19"/>
        <v>3219543.9999999986</v>
      </c>
      <c r="I104" s="85">
        <f t="shared" si="14"/>
        <v>0.9500000000000004</v>
      </c>
      <c r="J104" s="77">
        <f t="shared" si="20"/>
        <v>3058566.8</v>
      </c>
      <c r="K104" s="68"/>
      <c r="L104" s="81">
        <f t="shared" si="21"/>
        <v>3265245.9999999995</v>
      </c>
      <c r="M104" s="85">
        <f t="shared" si="15"/>
        <v>3.2100000000000004</v>
      </c>
      <c r="N104" s="77">
        <f t="shared" si="22"/>
        <v>10481439.66</v>
      </c>
      <c r="O104" s="68"/>
      <c r="P104" s="77">
        <f t="shared" si="16"/>
        <v>13540006.460000001</v>
      </c>
      <c r="Q104" s="68"/>
    </row>
    <row r="105" spans="2:17" x14ac:dyDescent="0.2">
      <c r="B105" s="69" t="s">
        <v>797</v>
      </c>
      <c r="C105" s="68"/>
      <c r="D105" s="81">
        <f t="shared" si="17"/>
        <v>3236916.9999999995</v>
      </c>
      <c r="E105" s="85">
        <f t="shared" si="13"/>
        <v>6.120000000000001</v>
      </c>
      <c r="F105" s="77">
        <f t="shared" si="18"/>
        <v>19809932.039999999</v>
      </c>
      <c r="G105" s="68"/>
      <c r="H105" s="81">
        <f t="shared" si="19"/>
        <v>3253599</v>
      </c>
      <c r="I105" s="85">
        <f t="shared" si="14"/>
        <v>0.95</v>
      </c>
      <c r="J105" s="77">
        <f t="shared" si="20"/>
        <v>3090919.05</v>
      </c>
      <c r="K105" s="68"/>
      <c r="L105" s="81">
        <f t="shared" si="21"/>
        <v>3264938.0000000005</v>
      </c>
      <c r="M105" s="85">
        <f t="shared" si="15"/>
        <v>3.2099999999999995</v>
      </c>
      <c r="N105" s="77">
        <f t="shared" si="22"/>
        <v>10480450.98</v>
      </c>
      <c r="O105" s="68"/>
      <c r="P105" s="77">
        <f t="shared" si="16"/>
        <v>13571370.030000001</v>
      </c>
      <c r="Q105" s="68"/>
    </row>
    <row r="106" spans="2:17" x14ac:dyDescent="0.2">
      <c r="B106" s="69" t="s">
        <v>798</v>
      </c>
      <c r="C106" s="68"/>
      <c r="D106" s="81">
        <f t="shared" si="17"/>
        <v>3522999</v>
      </c>
      <c r="E106" s="85">
        <f t="shared" si="13"/>
        <v>6.12</v>
      </c>
      <c r="F106" s="77">
        <f t="shared" si="18"/>
        <v>21560753.879999999</v>
      </c>
      <c r="G106" s="68"/>
      <c r="H106" s="81">
        <f t="shared" si="19"/>
        <v>3464107</v>
      </c>
      <c r="I106" s="85">
        <f t="shared" si="14"/>
        <v>0.95</v>
      </c>
      <c r="J106" s="77">
        <f t="shared" si="20"/>
        <v>3290901.65</v>
      </c>
      <c r="K106" s="68"/>
      <c r="L106" s="81">
        <f t="shared" si="21"/>
        <v>3492814</v>
      </c>
      <c r="M106" s="85">
        <f t="shared" si="15"/>
        <v>3.21</v>
      </c>
      <c r="N106" s="77">
        <f t="shared" si="22"/>
        <v>11211932.939999999</v>
      </c>
      <c r="O106" s="68"/>
      <c r="P106" s="77">
        <f t="shared" si="16"/>
        <v>14502834.59</v>
      </c>
      <c r="Q106" s="68"/>
    </row>
    <row r="107" spans="2:17" x14ac:dyDescent="0.2">
      <c r="B107" s="68"/>
      <c r="C107" s="68"/>
      <c r="D107" s="68"/>
      <c r="E107" s="68"/>
      <c r="F107" s="68"/>
      <c r="G107" s="68"/>
      <c r="H107" s="68"/>
      <c r="I107" s="68"/>
      <c r="J107" s="68"/>
      <c r="K107" s="68"/>
      <c r="L107" s="68"/>
      <c r="M107" s="68"/>
      <c r="N107" s="68"/>
      <c r="O107" s="68"/>
      <c r="P107" s="77"/>
      <c r="Q107" s="68"/>
    </row>
    <row r="108" spans="2:17" ht="13.5" thickBot="1" x14ac:dyDescent="0.25">
      <c r="B108" s="180" t="s">
        <v>688</v>
      </c>
      <c r="C108" s="68"/>
      <c r="D108" s="78">
        <f>SUM(D95:D106)</f>
        <v>43553532</v>
      </c>
      <c r="E108" s="79">
        <f>IF(D108&lt;&gt;0,F108/D108,0)</f>
        <v>5.9537394781208555</v>
      </c>
      <c r="F108" s="80">
        <f>SUM(F95:F106)</f>
        <v>259306382.88</v>
      </c>
      <c r="G108" s="68"/>
      <c r="H108" s="78">
        <f>SUM(H95:H106)</f>
        <v>43730559.157894731</v>
      </c>
      <c r="I108" s="79">
        <f>IF(H108&lt;&gt;0,J108/H108,0)</f>
        <v>0.95000000000000007</v>
      </c>
      <c r="J108" s="80">
        <f>SUM(J95:J106)</f>
        <v>41544031.199999996</v>
      </c>
      <c r="K108" s="68"/>
      <c r="L108" s="78">
        <f>SUM(L95:L106)</f>
        <v>44224111.062305301</v>
      </c>
      <c r="M108" s="79">
        <f>IF(L108&lt;&gt;0,N108/L108,0)</f>
        <v>3.2099999999999995</v>
      </c>
      <c r="N108" s="80">
        <f>SUM(N95:N106)</f>
        <v>141959396.50999999</v>
      </c>
      <c r="O108" s="68"/>
      <c r="P108" s="80">
        <f>SUM(P95:P106)</f>
        <v>183503427.71000001</v>
      </c>
      <c r="Q108" s="68"/>
    </row>
    <row r="109" spans="2:17" x14ac:dyDescent="0.2">
      <c r="P109" s="77"/>
    </row>
    <row r="110" spans="2:17" x14ac:dyDescent="0.2">
      <c r="M110" s="58"/>
      <c r="N110" s="82" t="s">
        <v>800</v>
      </c>
      <c r="P110" s="1234">
        <f>'11. RTSR - UTRs &amp; Sub-Tx'!E74</f>
        <v>-14577614.76</v>
      </c>
    </row>
    <row r="112" spans="2:17" ht="13.5" thickBot="1" x14ac:dyDescent="0.25">
      <c r="N112" s="51" t="s">
        <v>801</v>
      </c>
      <c r="P112" s="80">
        <f>P108+P110</f>
        <v>168925812.95000002</v>
      </c>
    </row>
  </sheetData>
  <mergeCells count="19">
    <mergeCell ref="D16:F16"/>
    <mergeCell ref="H16:J16"/>
    <mergeCell ref="L16:N16"/>
    <mergeCell ref="B13:P13"/>
    <mergeCell ref="D92:F92"/>
    <mergeCell ref="H92:J92"/>
    <mergeCell ref="L92:N92"/>
    <mergeCell ref="D53:F53"/>
    <mergeCell ref="H53:J53"/>
    <mergeCell ref="L53:N53"/>
    <mergeCell ref="D72:F72"/>
    <mergeCell ref="H72:J72"/>
    <mergeCell ref="L72:N72"/>
    <mergeCell ref="D34:F34"/>
    <mergeCell ref="H34:J34"/>
    <mergeCell ref="L34:N34"/>
    <mergeCell ref="D91:F91"/>
    <mergeCell ref="H91:J91"/>
    <mergeCell ref="L91:N91"/>
  </mergeCells>
  <pageMargins left="0.25" right="0.25" top="0.75" bottom="0.75" header="0.3" footer="0.3"/>
  <pageSetup scale="40" orientation="portrait" r:id="rId1"/>
  <headerFooter>
    <oddFooter>&amp;C&amp;A</oddFooter>
  </headerFooter>
  <colBreaks count="1" manualBreakCount="1">
    <brk id="24" max="72" man="1"/>
  </col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651E-1295-4058-A404-A7331B6376A4}">
  <sheetPr codeName="Sheet37">
    <pageSetUpPr fitToPage="1"/>
  </sheetPr>
  <dimension ref="B1:E25"/>
  <sheetViews>
    <sheetView showGridLines="0" tabSelected="1" workbookViewId="0"/>
  </sheetViews>
  <sheetFormatPr defaultRowHeight="15" x14ac:dyDescent="0.25"/>
  <cols>
    <col min="2" max="2" width="10.7109375" customWidth="1"/>
    <col min="3" max="3" width="30.28515625" customWidth="1"/>
    <col min="4" max="4" width="35.7109375" customWidth="1"/>
    <col min="5" max="5" width="44" customWidth="1"/>
  </cols>
  <sheetData>
    <row r="1" spans="2:5" ht="15.75" x14ac:dyDescent="0.25">
      <c r="B1" s="1273" t="s">
        <v>9758</v>
      </c>
      <c r="C1" s="1274"/>
      <c r="D1" s="1274"/>
      <c r="E1" s="1274"/>
    </row>
    <row r="2" spans="2:5" ht="15.75" x14ac:dyDescent="0.25">
      <c r="B2" s="1274"/>
      <c r="C2" s="1274"/>
      <c r="D2" s="1274"/>
      <c r="E2" s="1274"/>
    </row>
    <row r="3" spans="2:5" ht="15.75" x14ac:dyDescent="0.25">
      <c r="B3" s="1275" t="s">
        <v>9759</v>
      </c>
      <c r="C3" s="1275" t="s">
        <v>4</v>
      </c>
      <c r="D3" s="1275" t="s">
        <v>9760</v>
      </c>
      <c r="E3" s="1276" t="s">
        <v>9761</v>
      </c>
    </row>
    <row r="4" spans="2:5" ht="47.25" x14ac:dyDescent="0.25">
      <c r="B4" s="1277">
        <v>1</v>
      </c>
      <c r="C4" s="1278" t="s">
        <v>99</v>
      </c>
      <c r="D4" s="1279" t="s">
        <v>9762</v>
      </c>
      <c r="E4" s="1279" t="s">
        <v>9763</v>
      </c>
    </row>
    <row r="5" spans="2:5" ht="47.25" x14ac:dyDescent="0.25">
      <c r="B5" s="1277">
        <f>B4+1</f>
        <v>2</v>
      </c>
      <c r="C5" s="1278" t="s">
        <v>99</v>
      </c>
      <c r="D5" s="1279" t="s">
        <v>9764</v>
      </c>
      <c r="E5" s="1279" t="s">
        <v>9831</v>
      </c>
    </row>
    <row r="6" spans="2:5" ht="47.25" x14ac:dyDescent="0.25">
      <c r="B6" s="1277">
        <f t="shared" ref="B6:B25" si="0">B5+1</f>
        <v>3</v>
      </c>
      <c r="C6" s="1278" t="s">
        <v>100</v>
      </c>
      <c r="D6" s="1279" t="s">
        <v>9765</v>
      </c>
      <c r="E6" s="1279" t="s">
        <v>9763</v>
      </c>
    </row>
    <row r="7" spans="2:5" ht="31.5" x14ac:dyDescent="0.25">
      <c r="B7" s="1277">
        <f t="shared" si="0"/>
        <v>4</v>
      </c>
      <c r="C7" s="1280" t="s">
        <v>103</v>
      </c>
      <c r="D7" s="1281" t="s">
        <v>9766</v>
      </c>
      <c r="E7" s="1282" t="s">
        <v>9767</v>
      </c>
    </row>
    <row r="8" spans="2:5" ht="47.25" x14ac:dyDescent="0.25">
      <c r="B8" s="1277">
        <f t="shared" si="0"/>
        <v>5</v>
      </c>
      <c r="C8" s="1280" t="s">
        <v>102</v>
      </c>
      <c r="D8" s="1279" t="s">
        <v>9768</v>
      </c>
      <c r="E8" s="1279" t="s">
        <v>9763</v>
      </c>
    </row>
    <row r="9" spans="2:5" ht="31.5" x14ac:dyDescent="0.25">
      <c r="B9" s="1277">
        <f t="shared" si="0"/>
        <v>6</v>
      </c>
      <c r="C9" s="1280" t="s">
        <v>102</v>
      </c>
      <c r="D9" s="1281" t="s">
        <v>9769</v>
      </c>
      <c r="E9" s="1282" t="s">
        <v>9767</v>
      </c>
    </row>
    <row r="10" spans="2:5" ht="31.5" x14ac:dyDescent="0.25">
      <c r="B10" s="1277">
        <f t="shared" si="0"/>
        <v>7</v>
      </c>
      <c r="C10" s="1280" t="s">
        <v>102</v>
      </c>
      <c r="D10" s="1281" t="s">
        <v>9770</v>
      </c>
      <c r="E10" s="1282" t="s">
        <v>9767</v>
      </c>
    </row>
    <row r="11" spans="2:5" ht="31.5" x14ac:dyDescent="0.25">
      <c r="B11" s="1277">
        <f t="shared" si="0"/>
        <v>8</v>
      </c>
      <c r="C11" s="1280" t="s">
        <v>9771</v>
      </c>
      <c r="D11" s="1281" t="s">
        <v>9766</v>
      </c>
      <c r="E11" s="1282" t="s">
        <v>9767</v>
      </c>
    </row>
    <row r="12" spans="2:5" ht="47.25" x14ac:dyDescent="0.25">
      <c r="B12" s="1277">
        <f t="shared" si="0"/>
        <v>9</v>
      </c>
      <c r="C12" s="1280" t="s">
        <v>104</v>
      </c>
      <c r="D12" s="1279" t="s">
        <v>9768</v>
      </c>
      <c r="E12" s="1279" t="s">
        <v>9763</v>
      </c>
    </row>
    <row r="13" spans="2:5" ht="31.5" x14ac:dyDescent="0.25">
      <c r="B13" s="1277">
        <f t="shared" si="0"/>
        <v>10</v>
      </c>
      <c r="C13" s="1280" t="s">
        <v>104</v>
      </c>
      <c r="D13" s="1281" t="s">
        <v>9788</v>
      </c>
      <c r="E13" s="1282" t="s">
        <v>9767</v>
      </c>
    </row>
    <row r="14" spans="2:5" ht="31.5" x14ac:dyDescent="0.25">
      <c r="B14" s="1277">
        <f t="shared" si="0"/>
        <v>11</v>
      </c>
      <c r="C14" s="1280" t="s">
        <v>104</v>
      </c>
      <c r="D14" s="1281" t="s">
        <v>9770</v>
      </c>
      <c r="E14" s="1282" t="s">
        <v>9767</v>
      </c>
    </row>
    <row r="15" spans="2:5" ht="47.25" x14ac:dyDescent="0.25">
      <c r="B15" s="1277">
        <f t="shared" si="0"/>
        <v>12</v>
      </c>
      <c r="C15" s="1280" t="s">
        <v>106</v>
      </c>
      <c r="D15" s="1281" t="s">
        <v>9772</v>
      </c>
      <c r="E15" s="1279" t="s">
        <v>9763</v>
      </c>
    </row>
    <row r="16" spans="2:5" ht="31.5" x14ac:dyDescent="0.25">
      <c r="B16" s="1277">
        <f>B15+1</f>
        <v>13</v>
      </c>
      <c r="C16" s="1280" t="s">
        <v>106</v>
      </c>
      <c r="D16" s="1281" t="s">
        <v>9773</v>
      </c>
      <c r="E16" s="1282" t="s">
        <v>9774</v>
      </c>
    </row>
    <row r="17" spans="2:5" ht="15.75" x14ac:dyDescent="0.25">
      <c r="B17" s="1277">
        <f t="shared" si="0"/>
        <v>14</v>
      </c>
      <c r="C17" s="1280" t="s">
        <v>106</v>
      </c>
      <c r="D17" s="1281" t="s">
        <v>9775</v>
      </c>
      <c r="E17" s="1282" t="s">
        <v>9776</v>
      </c>
    </row>
    <row r="18" spans="2:5" ht="31.5" x14ac:dyDescent="0.25">
      <c r="B18" s="1277">
        <f t="shared" si="0"/>
        <v>15</v>
      </c>
      <c r="C18" s="1283" t="s">
        <v>109</v>
      </c>
      <c r="D18" s="1281" t="s">
        <v>9789</v>
      </c>
      <c r="E18" s="1282" t="s">
        <v>9777</v>
      </c>
    </row>
    <row r="19" spans="2:5" ht="31.5" x14ac:dyDescent="0.25">
      <c r="B19" s="1277">
        <f t="shared" si="0"/>
        <v>16</v>
      </c>
      <c r="C19" s="1283" t="s">
        <v>109</v>
      </c>
      <c r="D19" s="1281" t="s">
        <v>9778</v>
      </c>
      <c r="E19" s="1282" t="s">
        <v>9779</v>
      </c>
    </row>
    <row r="20" spans="2:5" ht="31.5" x14ac:dyDescent="0.25">
      <c r="B20" s="1277">
        <f t="shared" si="0"/>
        <v>17</v>
      </c>
      <c r="C20" s="1283" t="s">
        <v>110</v>
      </c>
      <c r="D20" s="1281" t="s">
        <v>9780</v>
      </c>
      <c r="E20" s="1282" t="s">
        <v>9781</v>
      </c>
    </row>
    <row r="21" spans="2:5" ht="31.5" x14ac:dyDescent="0.25">
      <c r="B21" s="1277">
        <f t="shared" si="0"/>
        <v>18</v>
      </c>
      <c r="C21" s="1283" t="s">
        <v>111</v>
      </c>
      <c r="D21" s="1284" t="s">
        <v>9782</v>
      </c>
      <c r="E21" s="1279" t="s">
        <v>9783</v>
      </c>
    </row>
    <row r="22" spans="2:5" ht="63" x14ac:dyDescent="0.25">
      <c r="B22" s="1277">
        <f t="shared" si="0"/>
        <v>19</v>
      </c>
      <c r="C22" s="1280" t="s">
        <v>114</v>
      </c>
      <c r="D22" s="1284" t="s">
        <v>9784</v>
      </c>
      <c r="E22" s="1279" t="s">
        <v>9785</v>
      </c>
    </row>
    <row r="23" spans="2:5" ht="47.25" x14ac:dyDescent="0.25">
      <c r="B23" s="1277">
        <f t="shared" si="0"/>
        <v>20</v>
      </c>
      <c r="C23" s="1280" t="s">
        <v>114</v>
      </c>
      <c r="D23" s="1284" t="s">
        <v>9786</v>
      </c>
      <c r="E23" s="1282" t="s">
        <v>9774</v>
      </c>
    </row>
    <row r="24" spans="2:5" ht="31.5" x14ac:dyDescent="0.25">
      <c r="B24" s="1277">
        <f t="shared" si="0"/>
        <v>21</v>
      </c>
      <c r="C24" s="1280" t="s">
        <v>114</v>
      </c>
      <c r="D24" s="1284" t="s">
        <v>9787</v>
      </c>
      <c r="E24" s="1282" t="s">
        <v>9783</v>
      </c>
    </row>
    <row r="25" spans="2:5" ht="47.25" x14ac:dyDescent="0.25">
      <c r="B25" s="1277">
        <f t="shared" si="0"/>
        <v>22</v>
      </c>
      <c r="C25" s="1280" t="s">
        <v>9828</v>
      </c>
      <c r="D25" s="1392" t="s">
        <v>9819</v>
      </c>
      <c r="E25" s="1282" t="s">
        <v>9829</v>
      </c>
    </row>
  </sheetData>
  <pageMargins left="0.196850393700787" right="0.196850393700787" top="0.39370078740157499" bottom="0.472441" header="0.196850393700787" footer="9.8425200000000004E-2"/>
  <pageSetup scale="64" orientation="landscape" r:id="rId1"/>
  <headerFooter>
    <oddHeader>&amp;R&amp;6&amp;K00-049Date: &amp;D
Time: &amp;T</oddHeader>
    <oddFooter>&amp;L&amp;6&amp;K00-049Path: &amp;Z
File: &amp;F
Tab: &amp;A&amp;R&amp;6&amp;K00-049Page &amp;P of &amp;N</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pageSetUpPr fitToPage="1"/>
  </sheetPr>
  <dimension ref="A13:Q113"/>
  <sheetViews>
    <sheetView showGridLines="0" topLeftCell="B3" zoomScaleNormal="100" workbookViewId="0">
      <selection activeCell="B1" sqref="B1"/>
    </sheetView>
  </sheetViews>
  <sheetFormatPr defaultColWidth="9.28515625" defaultRowHeight="12.75" x14ac:dyDescent="0.2"/>
  <cols>
    <col min="1" max="1" width="11.7109375" style="3" hidden="1" customWidth="1"/>
    <col min="2" max="2" width="30.28515625" style="3" customWidth="1"/>
    <col min="3" max="3" width="3.7109375" style="3" customWidth="1"/>
    <col min="4" max="4" width="13.7109375" style="3" customWidth="1"/>
    <col min="5" max="5" width="15.28515625" style="3" customWidth="1"/>
    <col min="6" max="6" width="13.7109375" style="3" customWidth="1"/>
    <col min="7" max="7" width="2.7109375" style="3" customWidth="1"/>
    <col min="8" max="8" width="13.7109375" style="3" customWidth="1"/>
    <col min="9" max="9" width="10.28515625" style="3" bestFit="1" customWidth="1"/>
    <col min="10" max="10" width="13.7109375" style="3" customWidth="1"/>
    <col min="11" max="11" width="3.28515625" style="3" customWidth="1"/>
    <col min="12" max="12" width="13.7109375" style="3" customWidth="1"/>
    <col min="13" max="13" width="9.42578125" style="3" bestFit="1" customWidth="1"/>
    <col min="14" max="14" width="13.7109375" style="3" customWidth="1"/>
    <col min="15" max="15" width="3.7109375" style="3" customWidth="1"/>
    <col min="16" max="16" width="18.28515625" style="3" customWidth="1"/>
    <col min="17" max="16384" width="9.28515625" style="3"/>
  </cols>
  <sheetData>
    <row r="13" spans="2:17" ht="18.75" customHeight="1" x14ac:dyDescent="0.25">
      <c r="B13" s="1909" t="s">
        <v>6499</v>
      </c>
      <c r="C13" s="1906"/>
      <c r="D13" s="1906"/>
      <c r="E13" s="1906"/>
      <c r="F13" s="1906"/>
      <c r="G13" s="1906"/>
      <c r="H13" s="1906"/>
      <c r="I13" s="1906"/>
      <c r="J13" s="1906"/>
      <c r="K13" s="1906"/>
      <c r="L13" s="1906"/>
      <c r="M13" s="1906"/>
      <c r="N13" s="1906"/>
      <c r="O13" s="1906"/>
      <c r="P13" s="1906"/>
    </row>
    <row r="16" spans="2:17" x14ac:dyDescent="0.2">
      <c r="B16" s="179" t="s">
        <v>779</v>
      </c>
      <c r="C16" s="107"/>
      <c r="D16" s="1908" t="s">
        <v>780</v>
      </c>
      <c r="E16" s="1908"/>
      <c r="F16" s="1908"/>
      <c r="G16" s="107"/>
      <c r="H16" s="1908" t="s">
        <v>781</v>
      </c>
      <c r="I16" s="1908"/>
      <c r="J16" s="1908"/>
      <c r="K16" s="107"/>
      <c r="L16" s="1908" t="s">
        <v>782</v>
      </c>
      <c r="M16" s="1908"/>
      <c r="N16" s="1908"/>
      <c r="O16" s="107"/>
      <c r="P16" s="179" t="s">
        <v>783</v>
      </c>
      <c r="Q16" s="68"/>
    </row>
    <row r="17" spans="2:17" ht="15.75" x14ac:dyDescent="0.25">
      <c r="B17" s="68"/>
      <c r="C17" s="68"/>
      <c r="D17" s="1907"/>
      <c r="E17" s="1907"/>
      <c r="F17" s="1907"/>
      <c r="G17" s="68"/>
      <c r="H17" s="1907"/>
      <c r="I17" s="1907"/>
      <c r="J17" s="1907"/>
      <c r="K17" s="68"/>
      <c r="L17" s="1907"/>
      <c r="M17" s="1907"/>
      <c r="N17" s="1907"/>
      <c r="O17" s="68"/>
      <c r="P17" s="111"/>
      <c r="Q17" s="73"/>
    </row>
    <row r="18" spans="2:17" x14ac:dyDescent="0.2">
      <c r="B18" s="180" t="s">
        <v>784</v>
      </c>
      <c r="C18" s="68"/>
      <c r="D18" s="111" t="s">
        <v>785</v>
      </c>
      <c r="E18" s="111" t="s">
        <v>763</v>
      </c>
      <c r="F18" s="111" t="s">
        <v>786</v>
      </c>
      <c r="G18" s="68"/>
      <c r="H18" s="111" t="s">
        <v>785</v>
      </c>
      <c r="I18" s="111" t="s">
        <v>763</v>
      </c>
      <c r="J18" s="111" t="s">
        <v>786</v>
      </c>
      <c r="K18" s="68"/>
      <c r="L18" s="111" t="s">
        <v>785</v>
      </c>
      <c r="M18" s="111" t="s">
        <v>763</v>
      </c>
      <c r="N18" s="111" t="s">
        <v>786</v>
      </c>
      <c r="O18" s="68"/>
      <c r="P18" s="111" t="s">
        <v>786</v>
      </c>
      <c r="Q18" s="68"/>
    </row>
    <row r="19" spans="2:17" x14ac:dyDescent="0.2">
      <c r="B19" s="68"/>
      <c r="C19" s="68"/>
      <c r="D19" s="68"/>
      <c r="E19" s="68"/>
      <c r="F19" s="68"/>
      <c r="G19" s="68"/>
      <c r="H19" s="68"/>
      <c r="I19" s="68"/>
      <c r="J19" s="68"/>
      <c r="K19" s="68"/>
      <c r="L19" s="68"/>
      <c r="M19" s="68"/>
      <c r="N19" s="68"/>
      <c r="O19" s="68"/>
      <c r="P19" s="68"/>
      <c r="Q19" s="68"/>
    </row>
    <row r="20" spans="2:17" x14ac:dyDescent="0.2">
      <c r="B20" s="69" t="s">
        <v>787</v>
      </c>
      <c r="C20" s="68"/>
      <c r="D20" s="84">
        <f>'12. RTSR - Historical Wholesale'!D19</f>
        <v>3600881</v>
      </c>
      <c r="E20" s="85">
        <f>'11. RTSR - UTRs &amp; Sub-Tx'!I22</f>
        <v>6.37</v>
      </c>
      <c r="F20" s="86">
        <f>D20*E20</f>
        <v>22937611.969999999</v>
      </c>
      <c r="G20" s="68"/>
      <c r="H20" s="84">
        <f>'12. RTSR - Historical Wholesale'!H19</f>
        <v>3567272</v>
      </c>
      <c r="I20" s="85">
        <f>'11. RTSR - UTRs &amp; Sub-Tx'!I24</f>
        <v>1</v>
      </c>
      <c r="J20" s="86">
        <f>H20*I20</f>
        <v>3567272</v>
      </c>
      <c r="K20" s="68"/>
      <c r="L20" s="84">
        <f>'12. RTSR - Historical Wholesale'!L19</f>
        <v>3610645</v>
      </c>
      <c r="M20" s="85">
        <f>'11. RTSR - UTRs &amp; Sub-Tx'!I26</f>
        <v>3.39</v>
      </c>
      <c r="N20" s="86">
        <f>L20*M20</f>
        <v>12240086.550000001</v>
      </c>
      <c r="O20" s="68"/>
      <c r="P20" s="77">
        <f t="shared" ref="P20:P31" si="0">J20+N20</f>
        <v>15807358.550000001</v>
      </c>
      <c r="Q20" s="68"/>
    </row>
    <row r="21" spans="2:17" x14ac:dyDescent="0.2">
      <c r="B21" s="69" t="s">
        <v>788</v>
      </c>
      <c r="C21" s="68"/>
      <c r="D21" s="84">
        <f>'12. RTSR - Historical Wholesale'!D20</f>
        <v>3387001</v>
      </c>
      <c r="E21" s="85">
        <f>E20</f>
        <v>6.37</v>
      </c>
      <c r="F21" s="86">
        <f t="shared" ref="F21:F31" si="1">D21*E21</f>
        <v>21575196.370000001</v>
      </c>
      <c r="G21" s="68"/>
      <c r="H21" s="84">
        <f>'12. RTSR - Historical Wholesale'!H20</f>
        <v>3431213.0000000005</v>
      </c>
      <c r="I21" s="85">
        <f>I20</f>
        <v>1</v>
      </c>
      <c r="J21" s="86">
        <f t="shared" ref="J21:J31" si="2">H21*I21</f>
        <v>3431213.0000000005</v>
      </c>
      <c r="K21" s="68"/>
      <c r="L21" s="84">
        <f>'12. RTSR - Historical Wholesale'!L20</f>
        <v>3455717.0000000005</v>
      </c>
      <c r="M21" s="85">
        <f>M20</f>
        <v>3.39</v>
      </c>
      <c r="N21" s="86">
        <f t="shared" ref="N21:N31" si="3">L21*M21</f>
        <v>11714880.630000003</v>
      </c>
      <c r="O21" s="68"/>
      <c r="P21" s="77">
        <f t="shared" si="0"/>
        <v>15146093.630000003</v>
      </c>
      <c r="Q21" s="68"/>
    </row>
    <row r="22" spans="2:17" x14ac:dyDescent="0.2">
      <c r="B22" s="69" t="s">
        <v>789</v>
      </c>
      <c r="C22" s="68"/>
      <c r="D22" s="84">
        <f>'12. RTSR - Historical Wholesale'!D21</f>
        <v>3224982.9999999986</v>
      </c>
      <c r="E22" s="85">
        <f>E21</f>
        <v>6.37</v>
      </c>
      <c r="F22" s="86">
        <f t="shared" si="1"/>
        <v>20543141.70999999</v>
      </c>
      <c r="G22" s="68"/>
      <c r="H22" s="84">
        <f>'12. RTSR - Historical Wholesale'!H21</f>
        <v>3311691</v>
      </c>
      <c r="I22" s="85">
        <f>I21</f>
        <v>1</v>
      </c>
      <c r="J22" s="86">
        <f t="shared" si="2"/>
        <v>3311691</v>
      </c>
      <c r="K22" s="68"/>
      <c r="L22" s="84">
        <f>'12. RTSR - Historical Wholesale'!L21</f>
        <v>3332596</v>
      </c>
      <c r="M22" s="85">
        <f>M21</f>
        <v>3.39</v>
      </c>
      <c r="N22" s="86">
        <f t="shared" si="3"/>
        <v>11297500.440000001</v>
      </c>
      <c r="O22" s="68"/>
      <c r="P22" s="77">
        <f t="shared" si="0"/>
        <v>14609191.440000001</v>
      </c>
      <c r="Q22" s="68"/>
    </row>
    <row r="23" spans="2:17" x14ac:dyDescent="0.2">
      <c r="B23" s="69" t="s">
        <v>790</v>
      </c>
      <c r="C23" s="68"/>
      <c r="D23" s="84">
        <f>'12. RTSR - Historical Wholesale'!D22</f>
        <v>3140497</v>
      </c>
      <c r="E23" s="85">
        <f>E22</f>
        <v>6.37</v>
      </c>
      <c r="F23" s="86">
        <f t="shared" si="1"/>
        <v>20004965.890000001</v>
      </c>
      <c r="G23" s="68"/>
      <c r="H23" s="84">
        <f>'12. RTSR - Historical Wholesale'!H22</f>
        <v>3675884.1578947366</v>
      </c>
      <c r="I23" s="85">
        <f>I22</f>
        <v>1</v>
      </c>
      <c r="J23" s="86">
        <f t="shared" si="2"/>
        <v>3675884.1578947366</v>
      </c>
      <c r="K23" s="68"/>
      <c r="L23" s="84">
        <f>'12. RTSR - Historical Wholesale'!L22</f>
        <v>3700986.0623052958</v>
      </c>
      <c r="M23" s="85">
        <f>M22</f>
        <v>3.39</v>
      </c>
      <c r="N23" s="86">
        <f t="shared" si="3"/>
        <v>12546342.751214953</v>
      </c>
      <c r="O23" s="68"/>
      <c r="P23" s="77">
        <f t="shared" si="0"/>
        <v>16222226.909109689</v>
      </c>
      <c r="Q23" s="68"/>
    </row>
    <row r="24" spans="2:17" x14ac:dyDescent="0.2">
      <c r="B24" s="69" t="s">
        <v>791</v>
      </c>
      <c r="C24" s="68"/>
      <c r="D24" s="84">
        <f>'12. RTSR - Historical Wholesale'!D23</f>
        <v>3631939.9999999995</v>
      </c>
      <c r="E24" s="85">
        <f>E23</f>
        <v>6.37</v>
      </c>
      <c r="F24" s="86">
        <f t="shared" si="1"/>
        <v>23135457.799999997</v>
      </c>
      <c r="G24" s="68"/>
      <c r="H24" s="84">
        <f>'12. RTSR - Historical Wholesale'!H23</f>
        <v>3591058.9999999995</v>
      </c>
      <c r="I24" s="85">
        <f>I23</f>
        <v>1</v>
      </c>
      <c r="J24" s="86">
        <f t="shared" si="2"/>
        <v>3591058.9999999995</v>
      </c>
      <c r="K24" s="68"/>
      <c r="L24" s="84">
        <f>'12. RTSR - Historical Wholesale'!L23</f>
        <v>3644593.0000000005</v>
      </c>
      <c r="M24" s="85">
        <f>M23</f>
        <v>3.39</v>
      </c>
      <c r="N24" s="86">
        <f t="shared" si="3"/>
        <v>12355170.270000001</v>
      </c>
      <c r="O24" s="68"/>
      <c r="P24" s="77">
        <f t="shared" si="0"/>
        <v>15946229.270000001</v>
      </c>
      <c r="Q24" s="68"/>
    </row>
    <row r="25" spans="2:17" x14ac:dyDescent="0.2">
      <c r="B25" s="69" t="s">
        <v>792</v>
      </c>
      <c r="C25" s="68"/>
      <c r="D25" s="84">
        <f>'12. RTSR - Historical Wholesale'!D24</f>
        <v>4312442</v>
      </c>
      <c r="E25" s="85">
        <f>E24</f>
        <v>6.37</v>
      </c>
      <c r="F25" s="86">
        <f t="shared" si="1"/>
        <v>27470255.539999999</v>
      </c>
      <c r="G25" s="68"/>
      <c r="H25" s="84">
        <f>'12. RTSR - Historical Wholesale'!H24</f>
        <v>4212133</v>
      </c>
      <c r="I25" s="85">
        <f>I24</f>
        <v>1</v>
      </c>
      <c r="J25" s="86">
        <f t="shared" si="2"/>
        <v>4212133</v>
      </c>
      <c r="K25" s="68"/>
      <c r="L25" s="84">
        <f>'12. RTSR - Historical Wholesale'!L24</f>
        <v>4268117.9999999991</v>
      </c>
      <c r="M25" s="85">
        <f>M24</f>
        <v>3.39</v>
      </c>
      <c r="N25" s="86">
        <f t="shared" si="3"/>
        <v>14468920.019999998</v>
      </c>
      <c r="O25" s="68"/>
      <c r="P25" s="77">
        <f t="shared" si="0"/>
        <v>18681053.019999996</v>
      </c>
      <c r="Q25" s="68"/>
    </row>
    <row r="26" spans="2:17" x14ac:dyDescent="0.2">
      <c r="B26" s="69" t="s">
        <v>793</v>
      </c>
      <c r="C26" s="68"/>
      <c r="D26" s="84">
        <f>'12. RTSR - Historical Wholesale'!D25</f>
        <v>4295777.0000000009</v>
      </c>
      <c r="E26" s="85">
        <f>'11. RTSR - UTRs &amp; Sub-Tx'!J22</f>
        <v>6.37</v>
      </c>
      <c r="F26" s="86">
        <f t="shared" si="1"/>
        <v>27364099.490000006</v>
      </c>
      <c r="G26" s="68"/>
      <c r="H26" s="84">
        <f>'12. RTSR - Historical Wholesale'!H25</f>
        <v>4228167</v>
      </c>
      <c r="I26" s="85">
        <f>'11. RTSR - UTRs &amp; Sub-Tx'!J24</f>
        <v>1</v>
      </c>
      <c r="J26" s="86">
        <f t="shared" si="2"/>
        <v>4228167</v>
      </c>
      <c r="K26" s="68"/>
      <c r="L26" s="84">
        <f>'12. RTSR - Historical Wholesale'!L25</f>
        <v>4307292.9999999991</v>
      </c>
      <c r="M26" s="85">
        <f>'11. RTSR - UTRs &amp; Sub-Tx'!J26</f>
        <v>3.39</v>
      </c>
      <c r="N26" s="86">
        <f t="shared" si="3"/>
        <v>14601723.269999998</v>
      </c>
      <c r="O26" s="68"/>
      <c r="P26" s="77">
        <f t="shared" si="0"/>
        <v>18829890.269999996</v>
      </c>
      <c r="Q26" s="68"/>
    </row>
    <row r="27" spans="2:17" x14ac:dyDescent="0.2">
      <c r="B27" s="69" t="s">
        <v>794</v>
      </c>
      <c r="C27" s="68"/>
      <c r="D27" s="84">
        <f>'12. RTSR - Historical Wholesale'!D26</f>
        <v>4188850</v>
      </c>
      <c r="E27" s="85">
        <f>E26</f>
        <v>6.37</v>
      </c>
      <c r="F27" s="86">
        <f t="shared" si="1"/>
        <v>26682974.5</v>
      </c>
      <c r="G27" s="68"/>
      <c r="H27" s="84">
        <f>'12. RTSR - Historical Wholesale'!H26</f>
        <v>4122181</v>
      </c>
      <c r="I27" s="85">
        <f>I26</f>
        <v>1</v>
      </c>
      <c r="J27" s="86">
        <f t="shared" si="2"/>
        <v>4122181</v>
      </c>
      <c r="K27" s="68"/>
      <c r="L27" s="84">
        <f>'12. RTSR - Historical Wholesale'!L26</f>
        <v>4183805.0000000028</v>
      </c>
      <c r="M27" s="85">
        <f>M26</f>
        <v>3.39</v>
      </c>
      <c r="N27" s="86">
        <f t="shared" si="3"/>
        <v>14183098.95000001</v>
      </c>
      <c r="O27" s="68"/>
      <c r="P27" s="77">
        <f t="shared" si="0"/>
        <v>18305279.95000001</v>
      </c>
      <c r="Q27" s="68"/>
    </row>
    <row r="28" spans="2:17" x14ac:dyDescent="0.2">
      <c r="B28" s="69" t="s">
        <v>795</v>
      </c>
      <c r="C28" s="68"/>
      <c r="D28" s="84">
        <f>'12. RTSR - Historical Wholesale'!D27</f>
        <v>3782044.0000000005</v>
      </c>
      <c r="E28" s="85">
        <f>E27</f>
        <v>6.37</v>
      </c>
      <c r="F28" s="86">
        <f t="shared" si="1"/>
        <v>24091620.280000005</v>
      </c>
      <c r="G28" s="68"/>
      <c r="H28" s="84">
        <f>'12. RTSR - Historical Wholesale'!H27</f>
        <v>3653709</v>
      </c>
      <c r="I28" s="85">
        <f>I27</f>
        <v>1</v>
      </c>
      <c r="J28" s="86">
        <f t="shared" si="2"/>
        <v>3653709</v>
      </c>
      <c r="K28" s="68"/>
      <c r="L28" s="84">
        <f>'12. RTSR - Historical Wholesale'!L27</f>
        <v>3697360.0000000009</v>
      </c>
      <c r="M28" s="85">
        <f>M27</f>
        <v>3.39</v>
      </c>
      <c r="N28" s="86">
        <f t="shared" si="3"/>
        <v>12534050.400000004</v>
      </c>
      <c r="O28" s="68"/>
      <c r="P28" s="77">
        <f t="shared" si="0"/>
        <v>16187759.400000004</v>
      </c>
      <c r="Q28" s="68"/>
    </row>
    <row r="29" spans="2:17" x14ac:dyDescent="0.2">
      <c r="B29" s="69" t="s">
        <v>796</v>
      </c>
      <c r="C29" s="68"/>
      <c r="D29" s="84">
        <f>'12. RTSR - Historical Wholesale'!D28</f>
        <v>3229201.0000000009</v>
      </c>
      <c r="E29" s="85">
        <f>E28</f>
        <v>6.37</v>
      </c>
      <c r="F29" s="86">
        <f t="shared" si="1"/>
        <v>20570010.370000005</v>
      </c>
      <c r="G29" s="68"/>
      <c r="H29" s="84">
        <f>'12. RTSR - Historical Wholesale'!H28</f>
        <v>3219543.9999999986</v>
      </c>
      <c r="I29" s="85">
        <f>I28</f>
        <v>1</v>
      </c>
      <c r="J29" s="86">
        <f t="shared" si="2"/>
        <v>3219543.9999999986</v>
      </c>
      <c r="K29" s="68"/>
      <c r="L29" s="84">
        <f>'12. RTSR - Historical Wholesale'!L28</f>
        <v>3265245.9999999995</v>
      </c>
      <c r="M29" s="85">
        <f>M28</f>
        <v>3.39</v>
      </c>
      <c r="N29" s="86">
        <f t="shared" si="3"/>
        <v>11069183.939999999</v>
      </c>
      <c r="O29" s="68"/>
      <c r="P29" s="77">
        <f t="shared" si="0"/>
        <v>14288727.939999998</v>
      </c>
      <c r="Q29" s="68"/>
    </row>
    <row r="30" spans="2:17" x14ac:dyDescent="0.2">
      <c r="B30" s="69" t="s">
        <v>797</v>
      </c>
      <c r="C30" s="68"/>
      <c r="D30" s="84">
        <f>'12. RTSR - Historical Wholesale'!D29</f>
        <v>3236916.9999999995</v>
      </c>
      <c r="E30" s="85">
        <f>E29</f>
        <v>6.37</v>
      </c>
      <c r="F30" s="86">
        <f t="shared" si="1"/>
        <v>20619161.289999999</v>
      </c>
      <c r="G30" s="68"/>
      <c r="H30" s="84">
        <f>'12. RTSR - Historical Wholesale'!H29</f>
        <v>3253599</v>
      </c>
      <c r="I30" s="85">
        <f>I29</f>
        <v>1</v>
      </c>
      <c r="J30" s="86">
        <f t="shared" si="2"/>
        <v>3253599</v>
      </c>
      <c r="K30" s="68"/>
      <c r="L30" s="84">
        <f>'12. RTSR - Historical Wholesale'!L29</f>
        <v>3264938.0000000005</v>
      </c>
      <c r="M30" s="85">
        <f>M29</f>
        <v>3.39</v>
      </c>
      <c r="N30" s="86">
        <f t="shared" si="3"/>
        <v>11068139.820000002</v>
      </c>
      <c r="O30" s="68"/>
      <c r="P30" s="77">
        <f t="shared" si="0"/>
        <v>14321738.820000002</v>
      </c>
      <c r="Q30" s="68"/>
    </row>
    <row r="31" spans="2:17" x14ac:dyDescent="0.2">
      <c r="B31" s="69" t="s">
        <v>798</v>
      </c>
      <c r="C31" s="68"/>
      <c r="D31" s="84">
        <f>'12. RTSR - Historical Wholesale'!D30</f>
        <v>3522999</v>
      </c>
      <c r="E31" s="85">
        <f>E30</f>
        <v>6.37</v>
      </c>
      <c r="F31" s="86">
        <f t="shared" si="1"/>
        <v>22441503.629999999</v>
      </c>
      <c r="G31" s="68"/>
      <c r="H31" s="84">
        <f>'12. RTSR - Historical Wholesale'!H30</f>
        <v>3464107</v>
      </c>
      <c r="I31" s="85">
        <f>I30</f>
        <v>1</v>
      </c>
      <c r="J31" s="86">
        <f t="shared" si="2"/>
        <v>3464107</v>
      </c>
      <c r="K31" s="68"/>
      <c r="L31" s="84">
        <f>'12. RTSR - Historical Wholesale'!L30</f>
        <v>3492814</v>
      </c>
      <c r="M31" s="85">
        <f>M30</f>
        <v>3.39</v>
      </c>
      <c r="N31" s="86">
        <f t="shared" si="3"/>
        <v>11840639.460000001</v>
      </c>
      <c r="O31" s="68"/>
      <c r="P31" s="77">
        <f t="shared" si="0"/>
        <v>15304746.460000001</v>
      </c>
      <c r="Q31" s="68"/>
    </row>
    <row r="32" spans="2:17" x14ac:dyDescent="0.2">
      <c r="B32" s="68"/>
      <c r="C32" s="68"/>
      <c r="D32" s="68"/>
      <c r="E32" s="68"/>
      <c r="F32" s="68"/>
      <c r="G32" s="68"/>
      <c r="H32" s="68"/>
      <c r="I32" s="68"/>
      <c r="J32" s="68"/>
      <c r="K32" s="68"/>
      <c r="L32" s="68"/>
      <c r="M32" s="68"/>
      <c r="N32" s="68"/>
      <c r="O32" s="68"/>
      <c r="P32" s="68"/>
      <c r="Q32" s="68"/>
    </row>
    <row r="33" spans="2:17" ht="13.5" thickBot="1" x14ac:dyDescent="0.25">
      <c r="B33" s="180" t="s">
        <v>688</v>
      </c>
      <c r="C33" s="68"/>
      <c r="D33" s="78">
        <f>SUM(D20:D31)</f>
        <v>43553532</v>
      </c>
      <c r="E33" s="79">
        <f>IF(D33&lt;&gt;0,F33/D33,0)</f>
        <v>6.370000000000001</v>
      </c>
      <c r="F33" s="80">
        <f>SUM(F20:F31)</f>
        <v>277435998.84000003</v>
      </c>
      <c r="G33" s="68"/>
      <c r="H33" s="78">
        <f>SUM(H20:H31)</f>
        <v>43730559.157894731</v>
      </c>
      <c r="I33" s="79">
        <f>IF(H33&lt;&gt;0,J33/H33,0)</f>
        <v>1</v>
      </c>
      <c r="J33" s="80">
        <f>SUM(J20:J31)</f>
        <v>43730559.157894731</v>
      </c>
      <c r="K33" s="68"/>
      <c r="L33" s="78">
        <f>SUM(L20:L31)</f>
        <v>44224111.062305301</v>
      </c>
      <c r="M33" s="79">
        <f>IF(L33&lt;&gt;0,N33/L33,0)</f>
        <v>3.39</v>
      </c>
      <c r="N33" s="80">
        <f>SUM(N20:N31)</f>
        <v>149919736.50121498</v>
      </c>
      <c r="O33" s="68"/>
      <c r="P33" s="80">
        <f>SUM(P20:P31)</f>
        <v>193650295.65910971</v>
      </c>
      <c r="Q33" s="68"/>
    </row>
    <row r="34" spans="2:17" x14ac:dyDescent="0.2">
      <c r="B34" s="68"/>
      <c r="C34" s="68"/>
      <c r="D34" s="68"/>
      <c r="E34" s="68"/>
      <c r="F34" s="68"/>
      <c r="G34" s="68"/>
      <c r="H34" s="68"/>
      <c r="I34" s="68"/>
      <c r="J34" s="68"/>
      <c r="K34" s="68"/>
      <c r="L34" s="68"/>
      <c r="M34" s="68"/>
      <c r="N34" s="68"/>
      <c r="O34" s="68"/>
      <c r="P34" s="68"/>
      <c r="Q34" s="68"/>
    </row>
    <row r="35" spans="2:17" x14ac:dyDescent="0.2">
      <c r="B35" s="179" t="s">
        <v>799</v>
      </c>
      <c r="C35" s="107"/>
      <c r="D35" s="1908" t="s">
        <v>780</v>
      </c>
      <c r="E35" s="1908"/>
      <c r="F35" s="1908"/>
      <c r="G35" s="107"/>
      <c r="H35" s="1908" t="s">
        <v>781</v>
      </c>
      <c r="I35" s="1908"/>
      <c r="J35" s="1908"/>
      <c r="K35" s="107"/>
      <c r="L35" s="1908" t="s">
        <v>782</v>
      </c>
      <c r="M35" s="1908"/>
      <c r="N35" s="1908"/>
      <c r="O35" s="107"/>
      <c r="P35" s="179" t="s">
        <v>783</v>
      </c>
      <c r="Q35" s="68"/>
    </row>
    <row r="36" spans="2:17" x14ac:dyDescent="0.2">
      <c r="B36" s="180"/>
      <c r="C36" s="68"/>
      <c r="D36" s="111"/>
      <c r="E36" s="111"/>
      <c r="F36" s="111"/>
      <c r="G36" s="68"/>
      <c r="H36" s="111"/>
      <c r="I36" s="111"/>
      <c r="J36" s="111"/>
      <c r="K36" s="68"/>
      <c r="L36" s="111"/>
      <c r="M36" s="111"/>
      <c r="N36" s="111"/>
      <c r="O36" s="68"/>
      <c r="P36" s="111"/>
      <c r="Q36" s="68"/>
    </row>
    <row r="37" spans="2:17" x14ac:dyDescent="0.2">
      <c r="B37" s="180" t="s">
        <v>784</v>
      </c>
      <c r="C37" s="68"/>
      <c r="D37" s="111" t="s">
        <v>785</v>
      </c>
      <c r="E37" s="111" t="s">
        <v>763</v>
      </c>
      <c r="F37" s="111" t="s">
        <v>786</v>
      </c>
      <c r="G37" s="68"/>
      <c r="H37" s="111" t="s">
        <v>785</v>
      </c>
      <c r="I37" s="111" t="s">
        <v>763</v>
      </c>
      <c r="J37" s="111" t="s">
        <v>786</v>
      </c>
      <c r="K37" s="68"/>
      <c r="L37" s="111" t="s">
        <v>785</v>
      </c>
      <c r="M37" s="111" t="s">
        <v>763</v>
      </c>
      <c r="N37" s="111" t="s">
        <v>786</v>
      </c>
      <c r="O37" s="68"/>
      <c r="P37" s="111" t="s">
        <v>786</v>
      </c>
      <c r="Q37" s="68"/>
    </row>
    <row r="38" spans="2:17" x14ac:dyDescent="0.2">
      <c r="B38" s="68"/>
      <c r="C38" s="68"/>
      <c r="D38" s="68"/>
      <c r="E38" s="68"/>
      <c r="F38" s="68"/>
      <c r="G38" s="68"/>
      <c r="H38" s="68"/>
      <c r="I38" s="68"/>
      <c r="J38" s="68"/>
      <c r="K38" s="68"/>
      <c r="L38" s="68"/>
      <c r="M38" s="68"/>
      <c r="N38" s="68"/>
      <c r="O38" s="68"/>
      <c r="P38" s="68"/>
      <c r="Q38" s="68"/>
    </row>
    <row r="39" spans="2:17" x14ac:dyDescent="0.2">
      <c r="B39" s="69" t="s">
        <v>787</v>
      </c>
      <c r="C39" s="68"/>
      <c r="D39" s="84">
        <f>'12. RTSR - Historical Wholesale'!D38</f>
        <v>0</v>
      </c>
      <c r="E39" s="85">
        <f>'11. RTSR - UTRs &amp; Sub-Tx'!I35</f>
        <v>5.2172000000000001</v>
      </c>
      <c r="F39" s="86">
        <f>D39*E39</f>
        <v>0</v>
      </c>
      <c r="G39" s="68"/>
      <c r="H39" s="84">
        <f>'12. RTSR - Historical Wholesale'!H38</f>
        <v>0</v>
      </c>
      <c r="I39" s="85">
        <f>'11. RTSR - UTRs &amp; Sub-Tx'!I37</f>
        <v>0.65369999999999995</v>
      </c>
      <c r="J39" s="86">
        <f>H39*I39</f>
        <v>0</v>
      </c>
      <c r="K39" s="68"/>
      <c r="L39" s="84">
        <f>'12. RTSR - Historical Wholesale'!L38</f>
        <v>0</v>
      </c>
      <c r="M39" s="85">
        <f>'11. RTSR - UTRs &amp; Sub-Tx'!I39</f>
        <v>3.3041</v>
      </c>
      <c r="N39" s="86">
        <f>L39*M39</f>
        <v>0</v>
      </c>
      <c r="O39" s="68"/>
      <c r="P39" s="77">
        <f t="shared" ref="P39:P50" si="4">J39+N39</f>
        <v>0</v>
      </c>
      <c r="Q39" s="68"/>
    </row>
    <row r="40" spans="2:17" x14ac:dyDescent="0.2">
      <c r="B40" s="69" t="s">
        <v>788</v>
      </c>
      <c r="C40" s="68"/>
      <c r="D40" s="84">
        <f>'12. RTSR - Historical Wholesale'!D39</f>
        <v>0</v>
      </c>
      <c r="E40" s="85">
        <f t="shared" ref="E40:E50" si="5">E39</f>
        <v>5.2172000000000001</v>
      </c>
      <c r="F40" s="86">
        <f t="shared" ref="F40:F50" si="6">D40*E40</f>
        <v>0</v>
      </c>
      <c r="G40" s="68"/>
      <c r="H40" s="84">
        <f>'12. RTSR - Historical Wholesale'!H39</f>
        <v>0</v>
      </c>
      <c r="I40" s="85">
        <f t="shared" ref="I40:I50" si="7">I39</f>
        <v>0.65369999999999995</v>
      </c>
      <c r="J40" s="86">
        <f t="shared" ref="J40:J50" si="8">H40*I40</f>
        <v>0</v>
      </c>
      <c r="K40" s="68"/>
      <c r="L40" s="84">
        <f>'12. RTSR - Historical Wholesale'!L39</f>
        <v>0</v>
      </c>
      <c r="M40" s="85">
        <f t="shared" ref="M40:M50" si="9">M39</f>
        <v>3.3041</v>
      </c>
      <c r="N40" s="86">
        <f t="shared" ref="N40:N50" si="10">L40*M40</f>
        <v>0</v>
      </c>
      <c r="O40" s="68"/>
      <c r="P40" s="77">
        <f t="shared" si="4"/>
        <v>0</v>
      </c>
      <c r="Q40" s="68"/>
    </row>
    <row r="41" spans="2:17" x14ac:dyDescent="0.2">
      <c r="B41" s="69" t="s">
        <v>789</v>
      </c>
      <c r="C41" s="68"/>
      <c r="D41" s="84">
        <f>'12. RTSR - Historical Wholesale'!D40</f>
        <v>0</v>
      </c>
      <c r="E41" s="85">
        <f t="shared" si="5"/>
        <v>5.2172000000000001</v>
      </c>
      <c r="F41" s="86">
        <f t="shared" si="6"/>
        <v>0</v>
      </c>
      <c r="G41" s="68"/>
      <c r="H41" s="84">
        <f>'12. RTSR - Historical Wholesale'!H40</f>
        <v>0</v>
      </c>
      <c r="I41" s="85">
        <f t="shared" si="7"/>
        <v>0.65369999999999995</v>
      </c>
      <c r="J41" s="86">
        <f t="shared" si="8"/>
        <v>0</v>
      </c>
      <c r="K41" s="68"/>
      <c r="L41" s="84">
        <f>'12. RTSR - Historical Wholesale'!L40</f>
        <v>0</v>
      </c>
      <c r="M41" s="85">
        <f t="shared" si="9"/>
        <v>3.3041</v>
      </c>
      <c r="N41" s="86">
        <f t="shared" si="10"/>
        <v>0</v>
      </c>
      <c r="O41" s="68"/>
      <c r="P41" s="77">
        <f t="shared" si="4"/>
        <v>0</v>
      </c>
      <c r="Q41" s="68"/>
    </row>
    <row r="42" spans="2:17" x14ac:dyDescent="0.2">
      <c r="B42" s="69" t="s">
        <v>790</v>
      </c>
      <c r="C42" s="68"/>
      <c r="D42" s="84">
        <f>'12. RTSR - Historical Wholesale'!D41</f>
        <v>0</v>
      </c>
      <c r="E42" s="85">
        <f t="shared" si="5"/>
        <v>5.2172000000000001</v>
      </c>
      <c r="F42" s="86">
        <f t="shared" si="6"/>
        <v>0</v>
      </c>
      <c r="G42" s="68"/>
      <c r="H42" s="84">
        <f>'12. RTSR - Historical Wholesale'!H41</f>
        <v>0</v>
      </c>
      <c r="I42" s="85">
        <f t="shared" si="7"/>
        <v>0.65369999999999995</v>
      </c>
      <c r="J42" s="86">
        <f t="shared" si="8"/>
        <v>0</v>
      </c>
      <c r="K42" s="68"/>
      <c r="L42" s="84">
        <f>'12. RTSR - Historical Wholesale'!L41</f>
        <v>0</v>
      </c>
      <c r="M42" s="85">
        <f t="shared" si="9"/>
        <v>3.3041</v>
      </c>
      <c r="N42" s="86">
        <f t="shared" si="10"/>
        <v>0</v>
      </c>
      <c r="O42" s="68"/>
      <c r="P42" s="77">
        <f t="shared" si="4"/>
        <v>0</v>
      </c>
      <c r="Q42" s="68"/>
    </row>
    <row r="43" spans="2:17" x14ac:dyDescent="0.2">
      <c r="B43" s="69" t="s">
        <v>791</v>
      </c>
      <c r="C43" s="68"/>
      <c r="D43" s="84">
        <f>'12. RTSR - Historical Wholesale'!D42</f>
        <v>0</v>
      </c>
      <c r="E43" s="85">
        <f t="shared" si="5"/>
        <v>5.2172000000000001</v>
      </c>
      <c r="F43" s="86">
        <f t="shared" si="6"/>
        <v>0</v>
      </c>
      <c r="G43" s="68"/>
      <c r="H43" s="84">
        <f>'12. RTSR - Historical Wholesale'!H42</f>
        <v>0</v>
      </c>
      <c r="I43" s="85">
        <f t="shared" si="7"/>
        <v>0.65369999999999995</v>
      </c>
      <c r="J43" s="86">
        <f t="shared" si="8"/>
        <v>0</v>
      </c>
      <c r="K43" s="68"/>
      <c r="L43" s="84">
        <f>'12. RTSR - Historical Wholesale'!L42</f>
        <v>0</v>
      </c>
      <c r="M43" s="85">
        <f t="shared" si="9"/>
        <v>3.3041</v>
      </c>
      <c r="N43" s="86">
        <f t="shared" si="10"/>
        <v>0</v>
      </c>
      <c r="O43" s="68"/>
      <c r="P43" s="77">
        <f t="shared" si="4"/>
        <v>0</v>
      </c>
      <c r="Q43" s="68"/>
    </row>
    <row r="44" spans="2:17" x14ac:dyDescent="0.2">
      <c r="B44" s="69" t="s">
        <v>792</v>
      </c>
      <c r="C44" s="68"/>
      <c r="D44" s="84">
        <f>'12. RTSR - Historical Wholesale'!D43</f>
        <v>0</v>
      </c>
      <c r="E44" s="85">
        <f t="shared" si="5"/>
        <v>5.2172000000000001</v>
      </c>
      <c r="F44" s="86">
        <f t="shared" si="6"/>
        <v>0</v>
      </c>
      <c r="G44" s="68"/>
      <c r="H44" s="84">
        <f>'12. RTSR - Historical Wholesale'!H43</f>
        <v>0</v>
      </c>
      <c r="I44" s="85">
        <f t="shared" si="7"/>
        <v>0.65369999999999995</v>
      </c>
      <c r="J44" s="86">
        <f t="shared" si="8"/>
        <v>0</v>
      </c>
      <c r="K44" s="68"/>
      <c r="L44" s="84">
        <f>'12. RTSR - Historical Wholesale'!L43</f>
        <v>0</v>
      </c>
      <c r="M44" s="85">
        <f t="shared" si="9"/>
        <v>3.3041</v>
      </c>
      <c r="N44" s="86">
        <f t="shared" si="10"/>
        <v>0</v>
      </c>
      <c r="O44" s="68"/>
      <c r="P44" s="77">
        <f t="shared" si="4"/>
        <v>0</v>
      </c>
      <c r="Q44" s="68"/>
    </row>
    <row r="45" spans="2:17" x14ac:dyDescent="0.2">
      <c r="B45" s="69" t="s">
        <v>793</v>
      </c>
      <c r="C45" s="68"/>
      <c r="D45" s="84">
        <f>'12. RTSR - Historical Wholesale'!D44</f>
        <v>0</v>
      </c>
      <c r="E45" s="85">
        <f t="shared" si="5"/>
        <v>5.2172000000000001</v>
      </c>
      <c r="F45" s="86">
        <f t="shared" si="6"/>
        <v>0</v>
      </c>
      <c r="G45" s="68"/>
      <c r="H45" s="84">
        <f>'12. RTSR - Historical Wholesale'!H44</f>
        <v>0</v>
      </c>
      <c r="I45" s="85">
        <f t="shared" si="7"/>
        <v>0.65369999999999995</v>
      </c>
      <c r="J45" s="86">
        <f t="shared" si="8"/>
        <v>0</v>
      </c>
      <c r="K45" s="68"/>
      <c r="L45" s="84">
        <f>'12. RTSR - Historical Wholesale'!L44</f>
        <v>0</v>
      </c>
      <c r="M45" s="85">
        <f t="shared" si="9"/>
        <v>3.3041</v>
      </c>
      <c r="N45" s="86">
        <f t="shared" si="10"/>
        <v>0</v>
      </c>
      <c r="O45" s="68"/>
      <c r="P45" s="77">
        <f t="shared" si="4"/>
        <v>0</v>
      </c>
      <c r="Q45" s="68"/>
    </row>
    <row r="46" spans="2:17" x14ac:dyDescent="0.2">
      <c r="B46" s="69" t="s">
        <v>794</v>
      </c>
      <c r="C46" s="68"/>
      <c r="D46" s="84">
        <f>'12. RTSR - Historical Wholesale'!D45</f>
        <v>0</v>
      </c>
      <c r="E46" s="85">
        <f t="shared" si="5"/>
        <v>5.2172000000000001</v>
      </c>
      <c r="F46" s="86">
        <f t="shared" si="6"/>
        <v>0</v>
      </c>
      <c r="G46" s="68"/>
      <c r="H46" s="84">
        <f>'12. RTSR - Historical Wholesale'!H45</f>
        <v>0</v>
      </c>
      <c r="I46" s="85">
        <f t="shared" si="7"/>
        <v>0.65369999999999995</v>
      </c>
      <c r="J46" s="86">
        <f t="shared" si="8"/>
        <v>0</v>
      </c>
      <c r="K46" s="68"/>
      <c r="L46" s="84">
        <f>'12. RTSR - Historical Wholesale'!L45</f>
        <v>0</v>
      </c>
      <c r="M46" s="85">
        <f t="shared" si="9"/>
        <v>3.3041</v>
      </c>
      <c r="N46" s="86">
        <f t="shared" si="10"/>
        <v>0</v>
      </c>
      <c r="O46" s="68"/>
      <c r="P46" s="77">
        <f t="shared" si="4"/>
        <v>0</v>
      </c>
      <c r="Q46" s="68"/>
    </row>
    <row r="47" spans="2:17" x14ac:dyDescent="0.2">
      <c r="B47" s="69" t="s">
        <v>795</v>
      </c>
      <c r="C47" s="68"/>
      <c r="D47" s="84">
        <f>'12. RTSR - Historical Wholesale'!D46</f>
        <v>0</v>
      </c>
      <c r="E47" s="85">
        <f t="shared" si="5"/>
        <v>5.2172000000000001</v>
      </c>
      <c r="F47" s="86">
        <f t="shared" si="6"/>
        <v>0</v>
      </c>
      <c r="G47" s="68"/>
      <c r="H47" s="84">
        <f>'12. RTSR - Historical Wholesale'!H46</f>
        <v>0</v>
      </c>
      <c r="I47" s="85">
        <f t="shared" si="7"/>
        <v>0.65369999999999995</v>
      </c>
      <c r="J47" s="86">
        <f t="shared" si="8"/>
        <v>0</v>
      </c>
      <c r="K47" s="68"/>
      <c r="L47" s="84">
        <f>'12. RTSR - Historical Wholesale'!L46</f>
        <v>0</v>
      </c>
      <c r="M47" s="85">
        <f t="shared" si="9"/>
        <v>3.3041</v>
      </c>
      <c r="N47" s="86">
        <f t="shared" si="10"/>
        <v>0</v>
      </c>
      <c r="O47" s="68"/>
      <c r="P47" s="77">
        <f t="shared" si="4"/>
        <v>0</v>
      </c>
      <c r="Q47" s="68"/>
    </row>
    <row r="48" spans="2:17" x14ac:dyDescent="0.2">
      <c r="B48" s="69" t="s">
        <v>796</v>
      </c>
      <c r="C48" s="68"/>
      <c r="D48" s="84">
        <f>'12. RTSR - Historical Wholesale'!D47</f>
        <v>0</v>
      </c>
      <c r="E48" s="85">
        <f t="shared" si="5"/>
        <v>5.2172000000000001</v>
      </c>
      <c r="F48" s="86">
        <f t="shared" si="6"/>
        <v>0</v>
      </c>
      <c r="G48" s="68"/>
      <c r="H48" s="84">
        <f>'12. RTSR - Historical Wholesale'!H47</f>
        <v>0</v>
      </c>
      <c r="I48" s="85">
        <f t="shared" si="7"/>
        <v>0.65369999999999995</v>
      </c>
      <c r="J48" s="86">
        <f t="shared" si="8"/>
        <v>0</v>
      </c>
      <c r="K48" s="68"/>
      <c r="L48" s="84">
        <f>'12. RTSR - Historical Wholesale'!L47</f>
        <v>0</v>
      </c>
      <c r="M48" s="85">
        <f t="shared" si="9"/>
        <v>3.3041</v>
      </c>
      <c r="N48" s="86">
        <f t="shared" si="10"/>
        <v>0</v>
      </c>
      <c r="O48" s="68"/>
      <c r="P48" s="77">
        <f t="shared" si="4"/>
        <v>0</v>
      </c>
      <c r="Q48" s="68"/>
    </row>
    <row r="49" spans="2:17" x14ac:dyDescent="0.2">
      <c r="B49" s="69" t="s">
        <v>797</v>
      </c>
      <c r="C49" s="68"/>
      <c r="D49" s="84">
        <f>'12. RTSR - Historical Wholesale'!D48</f>
        <v>0</v>
      </c>
      <c r="E49" s="85">
        <f t="shared" si="5"/>
        <v>5.2172000000000001</v>
      </c>
      <c r="F49" s="86">
        <f t="shared" si="6"/>
        <v>0</v>
      </c>
      <c r="G49" s="68"/>
      <c r="H49" s="84">
        <f>'12. RTSR - Historical Wholesale'!H48</f>
        <v>0</v>
      </c>
      <c r="I49" s="85">
        <f t="shared" si="7"/>
        <v>0.65369999999999995</v>
      </c>
      <c r="J49" s="86">
        <f t="shared" si="8"/>
        <v>0</v>
      </c>
      <c r="K49" s="68"/>
      <c r="L49" s="84">
        <f>'12. RTSR - Historical Wholesale'!L48</f>
        <v>0</v>
      </c>
      <c r="M49" s="85">
        <f t="shared" si="9"/>
        <v>3.3041</v>
      </c>
      <c r="N49" s="86">
        <f t="shared" si="10"/>
        <v>0</v>
      </c>
      <c r="O49" s="68"/>
      <c r="P49" s="77">
        <f t="shared" si="4"/>
        <v>0</v>
      </c>
      <c r="Q49" s="68"/>
    </row>
    <row r="50" spans="2:17" x14ac:dyDescent="0.2">
      <c r="B50" s="69" t="s">
        <v>798</v>
      </c>
      <c r="C50" s="68"/>
      <c r="D50" s="84">
        <f>'12. RTSR - Historical Wholesale'!D49</f>
        <v>0</v>
      </c>
      <c r="E50" s="85">
        <f t="shared" si="5"/>
        <v>5.2172000000000001</v>
      </c>
      <c r="F50" s="86">
        <f t="shared" si="6"/>
        <v>0</v>
      </c>
      <c r="G50" s="68"/>
      <c r="H50" s="84">
        <f>'12. RTSR - Historical Wholesale'!H49</f>
        <v>0</v>
      </c>
      <c r="I50" s="85">
        <f t="shared" si="7"/>
        <v>0.65369999999999995</v>
      </c>
      <c r="J50" s="86">
        <f t="shared" si="8"/>
        <v>0</v>
      </c>
      <c r="K50" s="68"/>
      <c r="L50" s="84">
        <f>'12. RTSR - Historical Wholesale'!L49</f>
        <v>0</v>
      </c>
      <c r="M50" s="85">
        <f t="shared" si="9"/>
        <v>3.3041</v>
      </c>
      <c r="N50" s="86">
        <f t="shared" si="10"/>
        <v>0</v>
      </c>
      <c r="O50" s="68"/>
      <c r="P50" s="77">
        <f t="shared" si="4"/>
        <v>0</v>
      </c>
      <c r="Q50" s="68"/>
    </row>
    <row r="51" spans="2:17" x14ac:dyDescent="0.2">
      <c r="B51" s="68"/>
      <c r="C51" s="68"/>
      <c r="D51" s="68"/>
      <c r="E51" s="68"/>
      <c r="F51" s="68"/>
      <c r="G51" s="68"/>
      <c r="H51" s="68"/>
      <c r="I51" s="68"/>
      <c r="J51" s="68"/>
      <c r="K51" s="68"/>
      <c r="L51" s="68"/>
      <c r="M51" s="68"/>
      <c r="N51" s="68"/>
      <c r="O51" s="68"/>
      <c r="P51" s="68"/>
      <c r="Q51" s="68"/>
    </row>
    <row r="52" spans="2:17" ht="13.5" thickBot="1" x14ac:dyDescent="0.25">
      <c r="B52" s="180" t="s">
        <v>688</v>
      </c>
      <c r="C52" s="68"/>
      <c r="D52" s="78">
        <f>SUM(D39:D50)</f>
        <v>0</v>
      </c>
      <c r="E52" s="79">
        <f>IF(D52&lt;&gt;0,F52/D52,0)</f>
        <v>0</v>
      </c>
      <c r="F52" s="80">
        <f>SUM(F39:F50)</f>
        <v>0</v>
      </c>
      <c r="G52" s="68"/>
      <c r="H52" s="78">
        <f>SUM(H39:H50)</f>
        <v>0</v>
      </c>
      <c r="I52" s="79">
        <f>IF(H52&lt;&gt;0,J52/H52,0)</f>
        <v>0</v>
      </c>
      <c r="J52" s="80">
        <f>SUM(J39:J50)</f>
        <v>0</v>
      </c>
      <c r="K52" s="68"/>
      <c r="L52" s="78">
        <f>SUM(L39:L50)</f>
        <v>0</v>
      </c>
      <c r="M52" s="79">
        <f>IF(L52&lt;&gt;0,N52/L52,0)</f>
        <v>0</v>
      </c>
      <c r="N52" s="80">
        <f>SUM(N39:N50)</f>
        <v>0</v>
      </c>
      <c r="O52" s="68"/>
      <c r="P52" s="80">
        <f>SUM(P39:P50)</f>
        <v>0</v>
      </c>
      <c r="Q52" s="68"/>
    </row>
    <row r="53" spans="2:17" x14ac:dyDescent="0.2">
      <c r="B53" s="68"/>
      <c r="C53" s="68"/>
      <c r="D53" s="68"/>
      <c r="E53" s="68"/>
      <c r="F53" s="68"/>
      <c r="G53" s="68"/>
      <c r="H53" s="68"/>
      <c r="I53" s="68"/>
      <c r="J53" s="68"/>
      <c r="K53" s="68"/>
      <c r="L53" s="68"/>
      <c r="M53" s="68"/>
      <c r="N53" s="68"/>
      <c r="O53" s="68"/>
      <c r="P53" s="68"/>
      <c r="Q53" s="68"/>
    </row>
    <row r="54" spans="2:17" x14ac:dyDescent="0.2">
      <c r="B54" s="179" t="str">
        <f>'12. RTSR - Historical Wholesale'!B53</f>
        <v>If needed, add extra host here. (I)</v>
      </c>
      <c r="C54" s="107"/>
      <c r="D54" s="1908" t="s">
        <v>780</v>
      </c>
      <c r="E54" s="1908"/>
      <c r="F54" s="1908"/>
      <c r="G54" s="107"/>
      <c r="H54" s="1908" t="s">
        <v>781</v>
      </c>
      <c r="I54" s="1908"/>
      <c r="J54" s="1908"/>
      <c r="K54" s="107"/>
      <c r="L54" s="1908" t="s">
        <v>782</v>
      </c>
      <c r="M54" s="1908"/>
      <c r="N54" s="1908"/>
      <c r="O54" s="107"/>
      <c r="P54" s="179" t="s">
        <v>783</v>
      </c>
      <c r="Q54" s="68"/>
    </row>
    <row r="55" spans="2:17" x14ac:dyDescent="0.2">
      <c r="B55" s="180"/>
      <c r="C55" s="68"/>
      <c r="D55" s="111"/>
      <c r="E55" s="111"/>
      <c r="F55" s="111"/>
      <c r="G55" s="68"/>
      <c r="H55" s="111"/>
      <c r="I55" s="111"/>
      <c r="J55" s="111"/>
      <c r="K55" s="68"/>
      <c r="L55" s="111"/>
      <c r="M55" s="111"/>
      <c r="N55" s="111"/>
      <c r="O55" s="68"/>
      <c r="P55" s="111"/>
      <c r="Q55" s="68"/>
    </row>
    <row r="56" spans="2:17" x14ac:dyDescent="0.2">
      <c r="B56" s="180" t="s">
        <v>784</v>
      </c>
      <c r="C56" s="68"/>
      <c r="D56" s="111" t="s">
        <v>785</v>
      </c>
      <c r="E56" s="111" t="s">
        <v>763</v>
      </c>
      <c r="F56" s="111" t="s">
        <v>786</v>
      </c>
      <c r="G56" s="68"/>
      <c r="H56" s="111" t="s">
        <v>785</v>
      </c>
      <c r="I56" s="111" t="s">
        <v>763</v>
      </c>
      <c r="J56" s="111" t="s">
        <v>786</v>
      </c>
      <c r="K56" s="68"/>
      <c r="L56" s="111" t="s">
        <v>785</v>
      </c>
      <c r="M56" s="111" t="s">
        <v>763</v>
      </c>
      <c r="N56" s="111" t="s">
        <v>786</v>
      </c>
      <c r="O56" s="68"/>
      <c r="P56" s="111" t="s">
        <v>786</v>
      </c>
      <c r="Q56" s="68"/>
    </row>
    <row r="57" spans="2:17" x14ac:dyDescent="0.2">
      <c r="B57" s="68"/>
      <c r="C57" s="68"/>
      <c r="D57" s="68"/>
      <c r="E57" s="68"/>
      <c r="F57" s="68"/>
      <c r="G57" s="68"/>
      <c r="H57" s="68"/>
      <c r="I57" s="68"/>
      <c r="J57" s="68"/>
      <c r="K57" s="68"/>
      <c r="L57" s="68"/>
      <c r="M57" s="68"/>
      <c r="N57" s="68"/>
      <c r="O57" s="68"/>
      <c r="P57" s="68"/>
      <c r="Q57" s="68"/>
    </row>
    <row r="58" spans="2:17" x14ac:dyDescent="0.2">
      <c r="B58" s="69" t="s">
        <v>787</v>
      </c>
      <c r="C58" s="68"/>
      <c r="D58" s="84">
        <f>'12. RTSR - Historical Wholesale'!D57</f>
        <v>0</v>
      </c>
      <c r="E58" s="85">
        <f>'11. RTSR - UTRs &amp; Sub-Tx'!I50</f>
        <v>0</v>
      </c>
      <c r="F58" s="86">
        <f>D58*E58</f>
        <v>0</v>
      </c>
      <c r="G58" s="68"/>
      <c r="H58" s="84">
        <f>'12. RTSR - Historical Wholesale'!H57</f>
        <v>0</v>
      </c>
      <c r="I58" s="85">
        <f>'11. RTSR - UTRs &amp; Sub-Tx'!I52</f>
        <v>0</v>
      </c>
      <c r="J58" s="86">
        <f>H58*I58</f>
        <v>0</v>
      </c>
      <c r="K58" s="68"/>
      <c r="L58" s="84">
        <f>'12. RTSR - Historical Wholesale'!L57</f>
        <v>0</v>
      </c>
      <c r="M58" s="85">
        <f>'11. RTSR - UTRs &amp; Sub-Tx'!I54</f>
        <v>0</v>
      </c>
      <c r="N58" s="86">
        <f>L58*M58</f>
        <v>0</v>
      </c>
      <c r="O58" s="68"/>
      <c r="P58" s="77">
        <f t="shared" ref="P58:P69" si="11">J58+N58</f>
        <v>0</v>
      </c>
      <c r="Q58" s="68"/>
    </row>
    <row r="59" spans="2:17" x14ac:dyDescent="0.2">
      <c r="B59" s="69" t="s">
        <v>788</v>
      </c>
      <c r="C59" s="68"/>
      <c r="D59" s="84">
        <f>'12. RTSR - Historical Wholesale'!D58</f>
        <v>0</v>
      </c>
      <c r="E59" s="85">
        <f>E58</f>
        <v>0</v>
      </c>
      <c r="F59" s="86">
        <f t="shared" ref="F59:F69" si="12">D59*E59</f>
        <v>0</v>
      </c>
      <c r="G59" s="68"/>
      <c r="H59" s="84">
        <f>'12. RTSR - Historical Wholesale'!H58</f>
        <v>0</v>
      </c>
      <c r="I59" s="85">
        <f>I58</f>
        <v>0</v>
      </c>
      <c r="J59" s="86">
        <f t="shared" ref="J59:J69" si="13">H59*I59</f>
        <v>0</v>
      </c>
      <c r="K59" s="68"/>
      <c r="L59" s="84">
        <f>'12. RTSR - Historical Wholesale'!L58</f>
        <v>0</v>
      </c>
      <c r="M59" s="85">
        <f>M58</f>
        <v>0</v>
      </c>
      <c r="N59" s="86">
        <f t="shared" ref="N59:N69" si="14">L59*M59</f>
        <v>0</v>
      </c>
      <c r="O59" s="68"/>
      <c r="P59" s="77">
        <f t="shared" si="11"/>
        <v>0</v>
      </c>
      <c r="Q59" s="68"/>
    </row>
    <row r="60" spans="2:17" x14ac:dyDescent="0.2">
      <c r="B60" s="69" t="s">
        <v>789</v>
      </c>
      <c r="C60" s="68"/>
      <c r="D60" s="84">
        <f>'12. RTSR - Historical Wholesale'!D59</f>
        <v>0</v>
      </c>
      <c r="E60" s="85">
        <f t="shared" ref="E60:E69" si="15">E59</f>
        <v>0</v>
      </c>
      <c r="F60" s="86">
        <f t="shared" si="12"/>
        <v>0</v>
      </c>
      <c r="G60" s="68"/>
      <c r="H60" s="84">
        <f>'12. RTSR - Historical Wholesale'!H59</f>
        <v>0</v>
      </c>
      <c r="I60" s="85">
        <f t="shared" ref="I60:I69" si="16">I59</f>
        <v>0</v>
      </c>
      <c r="J60" s="86">
        <f t="shared" si="13"/>
        <v>0</v>
      </c>
      <c r="K60" s="68"/>
      <c r="L60" s="84">
        <f>'12. RTSR - Historical Wholesale'!L59</f>
        <v>0</v>
      </c>
      <c r="M60" s="85">
        <f>M59</f>
        <v>0</v>
      </c>
      <c r="N60" s="86">
        <f t="shared" si="14"/>
        <v>0</v>
      </c>
      <c r="O60" s="68"/>
      <c r="P60" s="77">
        <f t="shared" si="11"/>
        <v>0</v>
      </c>
      <c r="Q60" s="68"/>
    </row>
    <row r="61" spans="2:17" x14ac:dyDescent="0.2">
      <c r="B61" s="69" t="s">
        <v>790</v>
      </c>
      <c r="C61" s="68"/>
      <c r="D61" s="84">
        <f>'12. RTSR - Historical Wholesale'!D60</f>
        <v>0</v>
      </c>
      <c r="E61" s="85">
        <f t="shared" si="15"/>
        <v>0</v>
      </c>
      <c r="F61" s="86">
        <f t="shared" si="12"/>
        <v>0</v>
      </c>
      <c r="G61" s="68"/>
      <c r="H61" s="84">
        <f>'12. RTSR - Historical Wholesale'!H60</f>
        <v>0</v>
      </c>
      <c r="I61" s="85">
        <f t="shared" si="16"/>
        <v>0</v>
      </c>
      <c r="J61" s="86">
        <f t="shared" si="13"/>
        <v>0</v>
      </c>
      <c r="K61" s="68"/>
      <c r="L61" s="84">
        <f>'12. RTSR - Historical Wholesale'!L60</f>
        <v>0</v>
      </c>
      <c r="M61" s="85">
        <f t="shared" ref="M61:M69" si="17">M60</f>
        <v>0</v>
      </c>
      <c r="N61" s="86">
        <f t="shared" si="14"/>
        <v>0</v>
      </c>
      <c r="O61" s="68"/>
      <c r="P61" s="77">
        <f t="shared" si="11"/>
        <v>0</v>
      </c>
      <c r="Q61" s="68"/>
    </row>
    <row r="62" spans="2:17" x14ac:dyDescent="0.2">
      <c r="B62" s="69" t="s">
        <v>791</v>
      </c>
      <c r="C62" s="68"/>
      <c r="D62" s="84">
        <f>'12. RTSR - Historical Wholesale'!D61</f>
        <v>0</v>
      </c>
      <c r="E62" s="85">
        <f t="shared" si="15"/>
        <v>0</v>
      </c>
      <c r="F62" s="86">
        <f t="shared" si="12"/>
        <v>0</v>
      </c>
      <c r="G62" s="68"/>
      <c r="H62" s="84">
        <f>'12. RTSR - Historical Wholesale'!H61</f>
        <v>0</v>
      </c>
      <c r="I62" s="85">
        <f t="shared" si="16"/>
        <v>0</v>
      </c>
      <c r="J62" s="86">
        <f t="shared" si="13"/>
        <v>0</v>
      </c>
      <c r="K62" s="68"/>
      <c r="L62" s="84">
        <f>'12. RTSR - Historical Wholesale'!L61</f>
        <v>0</v>
      </c>
      <c r="M62" s="85">
        <f t="shared" si="17"/>
        <v>0</v>
      </c>
      <c r="N62" s="86">
        <f t="shared" si="14"/>
        <v>0</v>
      </c>
      <c r="O62" s="68"/>
      <c r="P62" s="77">
        <f t="shared" si="11"/>
        <v>0</v>
      </c>
      <c r="Q62" s="68"/>
    </row>
    <row r="63" spans="2:17" x14ac:dyDescent="0.2">
      <c r="B63" s="69" t="s">
        <v>792</v>
      </c>
      <c r="C63" s="68"/>
      <c r="D63" s="84">
        <f>'12. RTSR - Historical Wholesale'!D62</f>
        <v>0</v>
      </c>
      <c r="E63" s="85">
        <f t="shared" si="15"/>
        <v>0</v>
      </c>
      <c r="F63" s="86">
        <f t="shared" si="12"/>
        <v>0</v>
      </c>
      <c r="G63" s="68"/>
      <c r="H63" s="84">
        <f>'12. RTSR - Historical Wholesale'!H62</f>
        <v>0</v>
      </c>
      <c r="I63" s="85">
        <f t="shared" si="16"/>
        <v>0</v>
      </c>
      <c r="J63" s="86">
        <f t="shared" si="13"/>
        <v>0</v>
      </c>
      <c r="K63" s="68"/>
      <c r="L63" s="84">
        <f>'12. RTSR - Historical Wholesale'!L62</f>
        <v>0</v>
      </c>
      <c r="M63" s="85">
        <f t="shared" si="17"/>
        <v>0</v>
      </c>
      <c r="N63" s="86">
        <f t="shared" si="14"/>
        <v>0</v>
      </c>
      <c r="O63" s="68"/>
      <c r="P63" s="77">
        <f t="shared" si="11"/>
        <v>0</v>
      </c>
      <c r="Q63" s="68"/>
    </row>
    <row r="64" spans="2:17" x14ac:dyDescent="0.2">
      <c r="B64" s="69" t="s">
        <v>793</v>
      </c>
      <c r="C64" s="68"/>
      <c r="D64" s="84">
        <f>'12. RTSR - Historical Wholesale'!D63</f>
        <v>0</v>
      </c>
      <c r="E64" s="85">
        <f t="shared" si="15"/>
        <v>0</v>
      </c>
      <c r="F64" s="86">
        <f t="shared" si="12"/>
        <v>0</v>
      </c>
      <c r="G64" s="68"/>
      <c r="H64" s="84">
        <f>'12. RTSR - Historical Wholesale'!H63</f>
        <v>0</v>
      </c>
      <c r="I64" s="85">
        <f t="shared" si="16"/>
        <v>0</v>
      </c>
      <c r="J64" s="86">
        <f t="shared" si="13"/>
        <v>0</v>
      </c>
      <c r="K64" s="68"/>
      <c r="L64" s="84">
        <f>'12. RTSR - Historical Wholesale'!L63</f>
        <v>0</v>
      </c>
      <c r="M64" s="85">
        <f t="shared" si="17"/>
        <v>0</v>
      </c>
      <c r="N64" s="86">
        <f t="shared" si="14"/>
        <v>0</v>
      </c>
      <c r="O64" s="68"/>
      <c r="P64" s="77">
        <f t="shared" si="11"/>
        <v>0</v>
      </c>
      <c r="Q64" s="68"/>
    </row>
    <row r="65" spans="2:17" x14ac:dyDescent="0.2">
      <c r="B65" s="69" t="s">
        <v>794</v>
      </c>
      <c r="C65" s="68"/>
      <c r="D65" s="84">
        <f>'12. RTSR - Historical Wholesale'!D64</f>
        <v>0</v>
      </c>
      <c r="E65" s="85">
        <f t="shared" si="15"/>
        <v>0</v>
      </c>
      <c r="F65" s="86">
        <f t="shared" si="12"/>
        <v>0</v>
      </c>
      <c r="G65" s="68"/>
      <c r="H65" s="84">
        <f>'12. RTSR - Historical Wholesale'!H64</f>
        <v>0</v>
      </c>
      <c r="I65" s="85">
        <f t="shared" si="16"/>
        <v>0</v>
      </c>
      <c r="J65" s="86">
        <f t="shared" si="13"/>
        <v>0</v>
      </c>
      <c r="K65" s="68"/>
      <c r="L65" s="84">
        <f>'12. RTSR - Historical Wholesale'!L64</f>
        <v>0</v>
      </c>
      <c r="M65" s="85">
        <f t="shared" si="17"/>
        <v>0</v>
      </c>
      <c r="N65" s="86">
        <f t="shared" si="14"/>
        <v>0</v>
      </c>
      <c r="O65" s="68"/>
      <c r="P65" s="77">
        <f t="shared" si="11"/>
        <v>0</v>
      </c>
      <c r="Q65" s="68"/>
    </row>
    <row r="66" spans="2:17" x14ac:dyDescent="0.2">
      <c r="B66" s="69" t="s">
        <v>795</v>
      </c>
      <c r="C66" s="68"/>
      <c r="D66" s="84">
        <f>'12. RTSR - Historical Wholesale'!D65</f>
        <v>0</v>
      </c>
      <c r="E66" s="85">
        <f t="shared" si="15"/>
        <v>0</v>
      </c>
      <c r="F66" s="86">
        <f t="shared" si="12"/>
        <v>0</v>
      </c>
      <c r="G66" s="68"/>
      <c r="H66" s="84">
        <f>'12. RTSR - Historical Wholesale'!H65</f>
        <v>0</v>
      </c>
      <c r="I66" s="85">
        <f t="shared" si="16"/>
        <v>0</v>
      </c>
      <c r="J66" s="86">
        <f t="shared" si="13"/>
        <v>0</v>
      </c>
      <c r="K66" s="68"/>
      <c r="L66" s="84">
        <f>'12. RTSR - Historical Wholesale'!L65</f>
        <v>0</v>
      </c>
      <c r="M66" s="85">
        <f t="shared" si="17"/>
        <v>0</v>
      </c>
      <c r="N66" s="86">
        <f t="shared" si="14"/>
        <v>0</v>
      </c>
      <c r="O66" s="68"/>
      <c r="P66" s="77">
        <f t="shared" si="11"/>
        <v>0</v>
      </c>
      <c r="Q66" s="68"/>
    </row>
    <row r="67" spans="2:17" x14ac:dyDescent="0.2">
      <c r="B67" s="69" t="s">
        <v>796</v>
      </c>
      <c r="C67" s="68"/>
      <c r="D67" s="84">
        <f>'12. RTSR - Historical Wholesale'!D66</f>
        <v>0</v>
      </c>
      <c r="E67" s="85">
        <f t="shared" si="15"/>
        <v>0</v>
      </c>
      <c r="F67" s="86">
        <f t="shared" si="12"/>
        <v>0</v>
      </c>
      <c r="G67" s="68"/>
      <c r="H67" s="84">
        <f>'12. RTSR - Historical Wholesale'!H66</f>
        <v>0</v>
      </c>
      <c r="I67" s="85">
        <f t="shared" si="16"/>
        <v>0</v>
      </c>
      <c r="J67" s="86">
        <f t="shared" si="13"/>
        <v>0</v>
      </c>
      <c r="K67" s="68"/>
      <c r="L67" s="84">
        <f>'12. RTSR - Historical Wholesale'!L66</f>
        <v>0</v>
      </c>
      <c r="M67" s="85">
        <f t="shared" si="17"/>
        <v>0</v>
      </c>
      <c r="N67" s="86">
        <f t="shared" si="14"/>
        <v>0</v>
      </c>
      <c r="O67" s="68"/>
      <c r="P67" s="77">
        <f t="shared" si="11"/>
        <v>0</v>
      </c>
      <c r="Q67" s="68"/>
    </row>
    <row r="68" spans="2:17" x14ac:dyDescent="0.2">
      <c r="B68" s="69" t="s">
        <v>797</v>
      </c>
      <c r="C68" s="68"/>
      <c r="D68" s="84">
        <f>'12. RTSR - Historical Wholesale'!D67</f>
        <v>0</v>
      </c>
      <c r="E68" s="85">
        <f t="shared" si="15"/>
        <v>0</v>
      </c>
      <c r="F68" s="86">
        <f t="shared" si="12"/>
        <v>0</v>
      </c>
      <c r="G68" s="68"/>
      <c r="H68" s="84">
        <f>'12. RTSR - Historical Wholesale'!H67</f>
        <v>0</v>
      </c>
      <c r="I68" s="85">
        <f t="shared" si="16"/>
        <v>0</v>
      </c>
      <c r="J68" s="86">
        <f t="shared" si="13"/>
        <v>0</v>
      </c>
      <c r="K68" s="68"/>
      <c r="L68" s="84">
        <f>'12. RTSR - Historical Wholesale'!L67</f>
        <v>0</v>
      </c>
      <c r="M68" s="85">
        <f t="shared" si="17"/>
        <v>0</v>
      </c>
      <c r="N68" s="86">
        <f t="shared" si="14"/>
        <v>0</v>
      </c>
      <c r="O68" s="68"/>
      <c r="P68" s="77">
        <f t="shared" si="11"/>
        <v>0</v>
      </c>
      <c r="Q68" s="68"/>
    </row>
    <row r="69" spans="2:17" x14ac:dyDescent="0.2">
      <c r="B69" s="69" t="s">
        <v>798</v>
      </c>
      <c r="C69" s="68"/>
      <c r="D69" s="84">
        <f>'12. RTSR - Historical Wholesale'!D68</f>
        <v>0</v>
      </c>
      <c r="E69" s="85">
        <f t="shared" si="15"/>
        <v>0</v>
      </c>
      <c r="F69" s="86">
        <f t="shared" si="12"/>
        <v>0</v>
      </c>
      <c r="G69" s="68"/>
      <c r="H69" s="84">
        <f>'12. RTSR - Historical Wholesale'!H68</f>
        <v>0</v>
      </c>
      <c r="I69" s="85">
        <f t="shared" si="16"/>
        <v>0</v>
      </c>
      <c r="J69" s="86">
        <f t="shared" si="13"/>
        <v>0</v>
      </c>
      <c r="K69" s="68"/>
      <c r="L69" s="84">
        <f>'12. RTSR - Historical Wholesale'!L68</f>
        <v>0</v>
      </c>
      <c r="M69" s="85">
        <f t="shared" si="17"/>
        <v>0</v>
      </c>
      <c r="N69" s="86">
        <f t="shared" si="14"/>
        <v>0</v>
      </c>
      <c r="O69" s="68"/>
      <c r="P69" s="77">
        <f t="shared" si="11"/>
        <v>0</v>
      </c>
      <c r="Q69" s="68"/>
    </row>
    <row r="70" spans="2:17" x14ac:dyDescent="0.2">
      <c r="B70" s="68"/>
      <c r="C70" s="68"/>
      <c r="D70" s="68"/>
      <c r="E70" s="68"/>
      <c r="F70" s="68"/>
      <c r="G70" s="68"/>
      <c r="H70" s="68"/>
      <c r="I70" s="68"/>
      <c r="J70" s="68"/>
      <c r="K70" s="68"/>
      <c r="L70" s="68"/>
      <c r="M70" s="68"/>
      <c r="N70" s="68"/>
      <c r="O70" s="68"/>
      <c r="P70" s="68"/>
      <c r="Q70" s="68"/>
    </row>
    <row r="71" spans="2:17" ht="13.5" thickBot="1" x14ac:dyDescent="0.25">
      <c r="B71" s="180" t="s">
        <v>688</v>
      </c>
      <c r="C71" s="68"/>
      <c r="D71" s="78">
        <f>SUM(D58:D69)</f>
        <v>0</v>
      </c>
      <c r="E71" s="79">
        <f>IF(D71&lt;&gt;0,F71/D71,0)</f>
        <v>0</v>
      </c>
      <c r="F71" s="80">
        <f>SUM(F58:F69)</f>
        <v>0</v>
      </c>
      <c r="G71" s="68"/>
      <c r="H71" s="78">
        <f>SUM(H58:H69)</f>
        <v>0</v>
      </c>
      <c r="I71" s="79">
        <f>IF(H71&lt;&gt;0,J71/H71,0)</f>
        <v>0</v>
      </c>
      <c r="J71" s="80">
        <f>SUM(J58:J69)</f>
        <v>0</v>
      </c>
      <c r="K71" s="68"/>
      <c r="L71" s="78">
        <f>SUM(L58:L69)</f>
        <v>0</v>
      </c>
      <c r="M71" s="79">
        <f>IF(L71&lt;&gt;0,N71/L71,0)</f>
        <v>0</v>
      </c>
      <c r="N71" s="80">
        <f>SUM(N58:N69)</f>
        <v>0</v>
      </c>
      <c r="O71" s="68"/>
      <c r="P71" s="80">
        <f>SUM(P58:P69)</f>
        <v>0</v>
      </c>
      <c r="Q71" s="68"/>
    </row>
    <row r="72" spans="2:17" x14ac:dyDescent="0.2">
      <c r="B72" s="68"/>
      <c r="C72" s="68"/>
      <c r="D72" s="68"/>
      <c r="E72" s="68"/>
      <c r="F72" s="68"/>
      <c r="G72" s="68"/>
      <c r="H72" s="68"/>
      <c r="I72" s="68"/>
      <c r="J72" s="68"/>
      <c r="K72" s="68"/>
      <c r="L72" s="68"/>
      <c r="M72" s="68"/>
      <c r="N72" s="68"/>
      <c r="O72" s="68"/>
      <c r="P72" s="68"/>
      <c r="Q72" s="68"/>
    </row>
    <row r="73" spans="2:17" x14ac:dyDescent="0.2">
      <c r="B73" s="179" t="str">
        <f>'12. RTSR - Historical Wholesale'!B72</f>
        <v>If needed, add extra host here. (II)</v>
      </c>
      <c r="C73" s="107"/>
      <c r="D73" s="1908" t="s">
        <v>780</v>
      </c>
      <c r="E73" s="1908"/>
      <c r="F73" s="1908"/>
      <c r="G73" s="107"/>
      <c r="H73" s="1908" t="s">
        <v>781</v>
      </c>
      <c r="I73" s="1908"/>
      <c r="J73" s="1908"/>
      <c r="K73" s="107"/>
      <c r="L73" s="1908" t="s">
        <v>782</v>
      </c>
      <c r="M73" s="1908"/>
      <c r="N73" s="1908"/>
      <c r="O73" s="107"/>
      <c r="P73" s="179" t="s">
        <v>783</v>
      </c>
      <c r="Q73" s="68"/>
    </row>
    <row r="74" spans="2:17" x14ac:dyDescent="0.2">
      <c r="B74" s="180"/>
      <c r="C74" s="68"/>
      <c r="D74" s="111"/>
      <c r="E74" s="111"/>
      <c r="F74" s="111"/>
      <c r="G74" s="68"/>
      <c r="H74" s="111"/>
      <c r="I74" s="111"/>
      <c r="J74" s="111"/>
      <c r="K74" s="68"/>
      <c r="L74" s="111"/>
      <c r="M74" s="111"/>
      <c r="N74" s="111"/>
      <c r="O74" s="68"/>
      <c r="P74" s="111"/>
      <c r="Q74" s="68"/>
    </row>
    <row r="75" spans="2:17" x14ac:dyDescent="0.2">
      <c r="B75" s="180" t="s">
        <v>784</v>
      </c>
      <c r="C75" s="68"/>
      <c r="D75" s="111" t="s">
        <v>785</v>
      </c>
      <c r="E75" s="111" t="s">
        <v>763</v>
      </c>
      <c r="F75" s="111" t="s">
        <v>786</v>
      </c>
      <c r="G75" s="68"/>
      <c r="H75" s="111" t="s">
        <v>785</v>
      </c>
      <c r="I75" s="111" t="s">
        <v>763</v>
      </c>
      <c r="J75" s="111" t="s">
        <v>786</v>
      </c>
      <c r="K75" s="68"/>
      <c r="L75" s="111" t="s">
        <v>785</v>
      </c>
      <c r="M75" s="111" t="s">
        <v>763</v>
      </c>
      <c r="N75" s="111" t="s">
        <v>786</v>
      </c>
      <c r="O75" s="68"/>
      <c r="P75" s="111" t="s">
        <v>786</v>
      </c>
      <c r="Q75" s="68"/>
    </row>
    <row r="76" spans="2:17" x14ac:dyDescent="0.2">
      <c r="B76" s="68"/>
      <c r="C76" s="68"/>
      <c r="D76" s="68"/>
      <c r="E76" s="68"/>
      <c r="F76" s="68"/>
      <c r="G76" s="68"/>
      <c r="H76" s="68"/>
      <c r="I76" s="68"/>
      <c r="J76" s="68"/>
      <c r="K76" s="68"/>
      <c r="L76" s="68"/>
      <c r="M76" s="68"/>
      <c r="N76" s="68"/>
      <c r="O76" s="68"/>
      <c r="P76" s="68"/>
      <c r="Q76" s="68"/>
    </row>
    <row r="77" spans="2:17" x14ac:dyDescent="0.2">
      <c r="B77" s="69" t="s">
        <v>787</v>
      </c>
      <c r="C77" s="68"/>
      <c r="D77" s="84">
        <f>'12. RTSR - Historical Wholesale'!D76</f>
        <v>0</v>
      </c>
      <c r="E77" s="85">
        <f>'11. RTSR - UTRs &amp; Sub-Tx'!I65</f>
        <v>0</v>
      </c>
      <c r="F77" s="86">
        <f>D77*E77</f>
        <v>0</v>
      </c>
      <c r="G77" s="68"/>
      <c r="H77" s="84">
        <f>'12. RTSR - Historical Wholesale'!H76</f>
        <v>0</v>
      </c>
      <c r="I77" s="85">
        <f>'11. RTSR - UTRs &amp; Sub-Tx'!I67</f>
        <v>0</v>
      </c>
      <c r="J77" s="86">
        <f>H77*I77</f>
        <v>0</v>
      </c>
      <c r="K77" s="68"/>
      <c r="L77" s="84">
        <f>'12. RTSR - Historical Wholesale'!L76</f>
        <v>0</v>
      </c>
      <c r="M77" s="85">
        <f>'11. RTSR - UTRs &amp; Sub-Tx'!I69</f>
        <v>0</v>
      </c>
      <c r="N77" s="86">
        <f>L77*M77</f>
        <v>0</v>
      </c>
      <c r="O77" s="68"/>
      <c r="P77" s="77">
        <f t="shared" ref="P77:P88" si="18">J77+N77</f>
        <v>0</v>
      </c>
      <c r="Q77" s="68"/>
    </row>
    <row r="78" spans="2:17" x14ac:dyDescent="0.2">
      <c r="B78" s="69" t="s">
        <v>788</v>
      </c>
      <c r="C78" s="68"/>
      <c r="D78" s="84">
        <f>'12. RTSR - Historical Wholesale'!D77</f>
        <v>0</v>
      </c>
      <c r="E78" s="85">
        <f>E77</f>
        <v>0</v>
      </c>
      <c r="F78" s="86">
        <f t="shared" ref="F78:F88" si="19">D78*E78</f>
        <v>0</v>
      </c>
      <c r="G78" s="68"/>
      <c r="H78" s="84">
        <f>'12. RTSR - Historical Wholesale'!H77</f>
        <v>0</v>
      </c>
      <c r="I78" s="85">
        <f>I77</f>
        <v>0</v>
      </c>
      <c r="J78" s="86">
        <f t="shared" ref="J78:J88" si="20">H78*I78</f>
        <v>0</v>
      </c>
      <c r="K78" s="68"/>
      <c r="L78" s="84">
        <f>'12. RTSR - Historical Wholesale'!L77</f>
        <v>0</v>
      </c>
      <c r="M78" s="85">
        <f>M77</f>
        <v>0</v>
      </c>
      <c r="N78" s="86">
        <f t="shared" ref="N78:N88" si="21">L78*M78</f>
        <v>0</v>
      </c>
      <c r="O78" s="68"/>
      <c r="P78" s="77">
        <f t="shared" si="18"/>
        <v>0</v>
      </c>
      <c r="Q78" s="68"/>
    </row>
    <row r="79" spans="2:17" x14ac:dyDescent="0.2">
      <c r="B79" s="69" t="s">
        <v>789</v>
      </c>
      <c r="C79" s="68"/>
      <c r="D79" s="84">
        <f>'12. RTSR - Historical Wholesale'!D78</f>
        <v>0</v>
      </c>
      <c r="E79" s="85">
        <f t="shared" ref="E79:E88" si="22">E78</f>
        <v>0</v>
      </c>
      <c r="F79" s="86">
        <f t="shared" si="19"/>
        <v>0</v>
      </c>
      <c r="G79" s="68"/>
      <c r="H79" s="84">
        <f>'12. RTSR - Historical Wholesale'!H78</f>
        <v>0</v>
      </c>
      <c r="I79" s="85">
        <f t="shared" ref="I79:I88" si="23">I78</f>
        <v>0</v>
      </c>
      <c r="J79" s="86">
        <f t="shared" si="20"/>
        <v>0</v>
      </c>
      <c r="K79" s="68"/>
      <c r="L79" s="84">
        <f>'12. RTSR - Historical Wholesale'!L78</f>
        <v>0</v>
      </c>
      <c r="M79" s="85">
        <f>M78</f>
        <v>0</v>
      </c>
      <c r="N79" s="86">
        <f t="shared" si="21"/>
        <v>0</v>
      </c>
      <c r="O79" s="68"/>
      <c r="P79" s="77">
        <f t="shared" si="18"/>
        <v>0</v>
      </c>
      <c r="Q79" s="68"/>
    </row>
    <row r="80" spans="2:17" x14ac:dyDescent="0.2">
      <c r="B80" s="69" t="s">
        <v>790</v>
      </c>
      <c r="C80" s="68"/>
      <c r="D80" s="84">
        <f>'12. RTSR - Historical Wholesale'!D79</f>
        <v>0</v>
      </c>
      <c r="E80" s="85">
        <f t="shared" si="22"/>
        <v>0</v>
      </c>
      <c r="F80" s="86">
        <f t="shared" si="19"/>
        <v>0</v>
      </c>
      <c r="G80" s="68"/>
      <c r="H80" s="84">
        <f>'12. RTSR - Historical Wholesale'!H79</f>
        <v>0</v>
      </c>
      <c r="I80" s="85">
        <f t="shared" si="23"/>
        <v>0</v>
      </c>
      <c r="J80" s="86">
        <f t="shared" si="20"/>
        <v>0</v>
      </c>
      <c r="K80" s="68"/>
      <c r="L80" s="84">
        <f>'12. RTSR - Historical Wholesale'!L79</f>
        <v>0</v>
      </c>
      <c r="M80" s="85">
        <f t="shared" ref="M80:M88" si="24">M79</f>
        <v>0</v>
      </c>
      <c r="N80" s="86">
        <f t="shared" si="21"/>
        <v>0</v>
      </c>
      <c r="O80" s="68"/>
      <c r="P80" s="77">
        <f t="shared" si="18"/>
        <v>0</v>
      </c>
      <c r="Q80" s="68"/>
    </row>
    <row r="81" spans="2:17" x14ac:dyDescent="0.2">
      <c r="B81" s="69" t="s">
        <v>791</v>
      </c>
      <c r="C81" s="68"/>
      <c r="D81" s="84">
        <f>'12. RTSR - Historical Wholesale'!D80</f>
        <v>0</v>
      </c>
      <c r="E81" s="85">
        <f t="shared" si="22"/>
        <v>0</v>
      </c>
      <c r="F81" s="86">
        <f t="shared" si="19"/>
        <v>0</v>
      </c>
      <c r="G81" s="68"/>
      <c r="H81" s="84">
        <f>'12. RTSR - Historical Wholesale'!H80</f>
        <v>0</v>
      </c>
      <c r="I81" s="85">
        <f t="shared" si="23"/>
        <v>0</v>
      </c>
      <c r="J81" s="86">
        <f t="shared" si="20"/>
        <v>0</v>
      </c>
      <c r="K81" s="68"/>
      <c r="L81" s="84">
        <f>'12. RTSR - Historical Wholesale'!L80</f>
        <v>0</v>
      </c>
      <c r="M81" s="85">
        <f t="shared" si="24"/>
        <v>0</v>
      </c>
      <c r="N81" s="86">
        <f t="shared" si="21"/>
        <v>0</v>
      </c>
      <c r="O81" s="68"/>
      <c r="P81" s="77">
        <f t="shared" si="18"/>
        <v>0</v>
      </c>
      <c r="Q81" s="68"/>
    </row>
    <row r="82" spans="2:17" x14ac:dyDescent="0.2">
      <c r="B82" s="69" t="s">
        <v>792</v>
      </c>
      <c r="C82" s="68"/>
      <c r="D82" s="84">
        <f>'12. RTSR - Historical Wholesale'!D81</f>
        <v>0</v>
      </c>
      <c r="E82" s="85">
        <f t="shared" si="22"/>
        <v>0</v>
      </c>
      <c r="F82" s="86">
        <f t="shared" si="19"/>
        <v>0</v>
      </c>
      <c r="G82" s="68"/>
      <c r="H82" s="84">
        <f>'12. RTSR - Historical Wholesale'!H81</f>
        <v>0</v>
      </c>
      <c r="I82" s="85">
        <f t="shared" si="23"/>
        <v>0</v>
      </c>
      <c r="J82" s="86">
        <f t="shared" si="20"/>
        <v>0</v>
      </c>
      <c r="K82" s="68"/>
      <c r="L82" s="84">
        <f>'12. RTSR - Historical Wholesale'!L81</f>
        <v>0</v>
      </c>
      <c r="M82" s="85">
        <f t="shared" si="24"/>
        <v>0</v>
      </c>
      <c r="N82" s="86">
        <f t="shared" si="21"/>
        <v>0</v>
      </c>
      <c r="O82" s="68"/>
      <c r="P82" s="77">
        <f t="shared" si="18"/>
        <v>0</v>
      </c>
      <c r="Q82" s="68"/>
    </row>
    <row r="83" spans="2:17" x14ac:dyDescent="0.2">
      <c r="B83" s="69" t="s">
        <v>793</v>
      </c>
      <c r="C83" s="68"/>
      <c r="D83" s="84">
        <f>'12. RTSR - Historical Wholesale'!D82</f>
        <v>0</v>
      </c>
      <c r="E83" s="85">
        <f t="shared" si="22"/>
        <v>0</v>
      </c>
      <c r="F83" s="86">
        <f t="shared" si="19"/>
        <v>0</v>
      </c>
      <c r="G83" s="68"/>
      <c r="H83" s="84">
        <f>'12. RTSR - Historical Wholesale'!H82</f>
        <v>0</v>
      </c>
      <c r="I83" s="85">
        <f t="shared" si="23"/>
        <v>0</v>
      </c>
      <c r="J83" s="86">
        <f t="shared" si="20"/>
        <v>0</v>
      </c>
      <c r="K83" s="68"/>
      <c r="L83" s="84">
        <f>'12. RTSR - Historical Wholesale'!L82</f>
        <v>0</v>
      </c>
      <c r="M83" s="85">
        <f t="shared" si="24"/>
        <v>0</v>
      </c>
      <c r="N83" s="86">
        <f t="shared" si="21"/>
        <v>0</v>
      </c>
      <c r="O83" s="68"/>
      <c r="P83" s="77">
        <f t="shared" si="18"/>
        <v>0</v>
      </c>
      <c r="Q83" s="68"/>
    </row>
    <row r="84" spans="2:17" x14ac:dyDescent="0.2">
      <c r="B84" s="69" t="s">
        <v>794</v>
      </c>
      <c r="C84" s="68"/>
      <c r="D84" s="84">
        <f>'12. RTSR - Historical Wholesale'!D83</f>
        <v>0</v>
      </c>
      <c r="E84" s="85">
        <f t="shared" si="22"/>
        <v>0</v>
      </c>
      <c r="F84" s="86">
        <f t="shared" si="19"/>
        <v>0</v>
      </c>
      <c r="G84" s="68"/>
      <c r="H84" s="84">
        <f>'12. RTSR - Historical Wholesale'!H83</f>
        <v>0</v>
      </c>
      <c r="I84" s="85">
        <f t="shared" si="23"/>
        <v>0</v>
      </c>
      <c r="J84" s="86">
        <f t="shared" si="20"/>
        <v>0</v>
      </c>
      <c r="K84" s="68"/>
      <c r="L84" s="84">
        <f>'12. RTSR - Historical Wholesale'!L83</f>
        <v>0</v>
      </c>
      <c r="M84" s="85">
        <f t="shared" si="24"/>
        <v>0</v>
      </c>
      <c r="N84" s="86">
        <f t="shared" si="21"/>
        <v>0</v>
      </c>
      <c r="O84" s="68"/>
      <c r="P84" s="77">
        <f t="shared" si="18"/>
        <v>0</v>
      </c>
      <c r="Q84" s="68"/>
    </row>
    <row r="85" spans="2:17" x14ac:dyDescent="0.2">
      <c r="B85" s="69" t="s">
        <v>795</v>
      </c>
      <c r="C85" s="68"/>
      <c r="D85" s="84">
        <f>'12. RTSR - Historical Wholesale'!D84</f>
        <v>0</v>
      </c>
      <c r="E85" s="85">
        <f t="shared" si="22"/>
        <v>0</v>
      </c>
      <c r="F85" s="86">
        <f t="shared" si="19"/>
        <v>0</v>
      </c>
      <c r="G85" s="68"/>
      <c r="H85" s="84">
        <f>'12. RTSR - Historical Wholesale'!H84</f>
        <v>0</v>
      </c>
      <c r="I85" s="85">
        <f t="shared" si="23"/>
        <v>0</v>
      </c>
      <c r="J85" s="86">
        <f t="shared" si="20"/>
        <v>0</v>
      </c>
      <c r="K85" s="68"/>
      <c r="L85" s="84">
        <f>'12. RTSR - Historical Wholesale'!L84</f>
        <v>0</v>
      </c>
      <c r="M85" s="85">
        <f t="shared" si="24"/>
        <v>0</v>
      </c>
      <c r="N85" s="86">
        <f t="shared" si="21"/>
        <v>0</v>
      </c>
      <c r="O85" s="68"/>
      <c r="P85" s="77">
        <f t="shared" si="18"/>
        <v>0</v>
      </c>
      <c r="Q85" s="68"/>
    </row>
    <row r="86" spans="2:17" x14ac:dyDescent="0.2">
      <c r="B86" s="69" t="s">
        <v>796</v>
      </c>
      <c r="C86" s="68"/>
      <c r="D86" s="84">
        <f>'12. RTSR - Historical Wholesale'!D85</f>
        <v>0</v>
      </c>
      <c r="E86" s="85">
        <f t="shared" si="22"/>
        <v>0</v>
      </c>
      <c r="F86" s="86">
        <f t="shared" si="19"/>
        <v>0</v>
      </c>
      <c r="G86" s="68"/>
      <c r="H86" s="84">
        <f>'12. RTSR - Historical Wholesale'!H85</f>
        <v>0</v>
      </c>
      <c r="I86" s="85">
        <f t="shared" si="23"/>
        <v>0</v>
      </c>
      <c r="J86" s="86">
        <f t="shared" si="20"/>
        <v>0</v>
      </c>
      <c r="K86" s="68"/>
      <c r="L86" s="84">
        <f>'12. RTSR - Historical Wholesale'!L85</f>
        <v>0</v>
      </c>
      <c r="M86" s="85">
        <f t="shared" si="24"/>
        <v>0</v>
      </c>
      <c r="N86" s="86">
        <f t="shared" si="21"/>
        <v>0</v>
      </c>
      <c r="O86" s="68"/>
      <c r="P86" s="77">
        <f t="shared" si="18"/>
        <v>0</v>
      </c>
      <c r="Q86" s="68"/>
    </row>
    <row r="87" spans="2:17" x14ac:dyDescent="0.2">
      <c r="B87" s="69" t="s">
        <v>797</v>
      </c>
      <c r="C87" s="68"/>
      <c r="D87" s="84">
        <f>'12. RTSR - Historical Wholesale'!D86</f>
        <v>0</v>
      </c>
      <c r="E87" s="85">
        <f t="shared" si="22"/>
        <v>0</v>
      </c>
      <c r="F87" s="86">
        <f t="shared" si="19"/>
        <v>0</v>
      </c>
      <c r="G87" s="68"/>
      <c r="H87" s="84">
        <f>'12. RTSR - Historical Wholesale'!H86</f>
        <v>0</v>
      </c>
      <c r="I87" s="85">
        <f t="shared" si="23"/>
        <v>0</v>
      </c>
      <c r="J87" s="86">
        <f t="shared" si="20"/>
        <v>0</v>
      </c>
      <c r="K87" s="68"/>
      <c r="L87" s="84">
        <f>'12. RTSR - Historical Wholesale'!L86</f>
        <v>0</v>
      </c>
      <c r="M87" s="85">
        <f t="shared" si="24"/>
        <v>0</v>
      </c>
      <c r="N87" s="86">
        <f t="shared" si="21"/>
        <v>0</v>
      </c>
      <c r="O87" s="68"/>
      <c r="P87" s="77">
        <f t="shared" si="18"/>
        <v>0</v>
      </c>
      <c r="Q87" s="68"/>
    </row>
    <row r="88" spans="2:17" x14ac:dyDescent="0.2">
      <c r="B88" s="69" t="s">
        <v>798</v>
      </c>
      <c r="C88" s="68"/>
      <c r="D88" s="84">
        <f>'12. RTSR - Historical Wholesale'!D87</f>
        <v>0</v>
      </c>
      <c r="E88" s="85">
        <f t="shared" si="22"/>
        <v>0</v>
      </c>
      <c r="F88" s="86">
        <f t="shared" si="19"/>
        <v>0</v>
      </c>
      <c r="G88" s="68"/>
      <c r="H88" s="84">
        <f>'12. RTSR - Historical Wholesale'!H87</f>
        <v>0</v>
      </c>
      <c r="I88" s="85">
        <f t="shared" si="23"/>
        <v>0</v>
      </c>
      <c r="J88" s="86">
        <f t="shared" si="20"/>
        <v>0</v>
      </c>
      <c r="K88" s="68"/>
      <c r="L88" s="84">
        <f>'12. RTSR - Historical Wholesale'!L87</f>
        <v>0</v>
      </c>
      <c r="M88" s="85">
        <f t="shared" si="24"/>
        <v>0</v>
      </c>
      <c r="N88" s="86">
        <f t="shared" si="21"/>
        <v>0</v>
      </c>
      <c r="O88" s="68"/>
      <c r="P88" s="77">
        <f t="shared" si="18"/>
        <v>0</v>
      </c>
      <c r="Q88" s="68"/>
    </row>
    <row r="89" spans="2:17" x14ac:dyDescent="0.2">
      <c r="B89" s="68"/>
      <c r="C89" s="68"/>
      <c r="D89" s="68"/>
      <c r="E89" s="68"/>
      <c r="F89" s="68"/>
      <c r="G89" s="68"/>
      <c r="H89" s="68"/>
      <c r="I89" s="68"/>
      <c r="J89" s="68"/>
      <c r="K89" s="68"/>
      <c r="L89" s="68"/>
      <c r="M89" s="68"/>
      <c r="N89" s="68"/>
      <c r="O89" s="68"/>
      <c r="P89" s="68"/>
      <c r="Q89" s="68"/>
    </row>
    <row r="90" spans="2:17" ht="13.5" thickBot="1" x14ac:dyDescent="0.25">
      <c r="B90" s="180" t="s">
        <v>688</v>
      </c>
      <c r="C90" s="68"/>
      <c r="D90" s="78">
        <f>SUM(D77:D88)</f>
        <v>0</v>
      </c>
      <c r="E90" s="79">
        <f>IF(D90&lt;&gt;0,F90/D90,0)</f>
        <v>0</v>
      </c>
      <c r="F90" s="80">
        <f>SUM(F77:F88)</f>
        <v>0</v>
      </c>
      <c r="G90" s="68"/>
      <c r="H90" s="78">
        <f>SUM(H77:H88)</f>
        <v>0</v>
      </c>
      <c r="I90" s="79">
        <f>IF(H90&lt;&gt;0,J90/H90,0)</f>
        <v>0</v>
      </c>
      <c r="J90" s="80">
        <f>SUM(J77:J88)</f>
        <v>0</v>
      </c>
      <c r="K90" s="68"/>
      <c r="L90" s="78">
        <f>SUM(L77:L88)</f>
        <v>0</v>
      </c>
      <c r="M90" s="79">
        <f>IF(L90&lt;&gt;0,N90/L90,0)</f>
        <v>0</v>
      </c>
      <c r="N90" s="80">
        <f>SUM(N77:N88)</f>
        <v>0</v>
      </c>
      <c r="O90" s="68"/>
      <c r="P90" s="80">
        <f>SUM(P77:P88)</f>
        <v>0</v>
      </c>
      <c r="Q90" s="68"/>
    </row>
    <row r="91" spans="2:17" x14ac:dyDescent="0.2">
      <c r="B91" s="68"/>
      <c r="C91" s="68"/>
      <c r="D91" s="68"/>
      <c r="E91" s="68"/>
      <c r="F91" s="68"/>
      <c r="G91" s="68"/>
      <c r="H91" s="68"/>
      <c r="I91" s="68"/>
      <c r="J91" s="68"/>
      <c r="K91" s="68"/>
      <c r="L91" s="68"/>
      <c r="M91" s="68"/>
      <c r="N91" s="68"/>
      <c r="O91" s="68"/>
      <c r="P91" s="68"/>
      <c r="Q91" s="68"/>
    </row>
    <row r="92" spans="2:17" x14ac:dyDescent="0.2">
      <c r="B92" s="179" t="s">
        <v>688</v>
      </c>
      <c r="C92" s="107"/>
      <c r="D92" s="1908" t="s">
        <v>780</v>
      </c>
      <c r="E92" s="1908"/>
      <c r="F92" s="1908"/>
      <c r="G92" s="107"/>
      <c r="H92" s="1908" t="s">
        <v>781</v>
      </c>
      <c r="I92" s="1908"/>
      <c r="J92" s="1908"/>
      <c r="K92" s="107"/>
      <c r="L92" s="1908" t="s">
        <v>782</v>
      </c>
      <c r="M92" s="1908"/>
      <c r="N92" s="1908"/>
      <c r="O92" s="107"/>
      <c r="P92" s="179" t="s">
        <v>783</v>
      </c>
      <c r="Q92" s="68"/>
    </row>
    <row r="93" spans="2:17" x14ac:dyDescent="0.2">
      <c r="B93" s="68"/>
      <c r="C93" s="68"/>
      <c r="D93" s="1907"/>
      <c r="E93" s="1907"/>
      <c r="F93" s="1907"/>
      <c r="G93" s="68"/>
      <c r="H93" s="1907"/>
      <c r="I93" s="1907"/>
      <c r="J93" s="1907"/>
      <c r="K93" s="68"/>
      <c r="L93" s="1907"/>
      <c r="M93" s="1907"/>
      <c r="N93" s="1907"/>
      <c r="O93" s="68"/>
      <c r="P93" s="111"/>
      <c r="Q93" s="68"/>
    </row>
    <row r="94" spans="2:17" x14ac:dyDescent="0.2">
      <c r="B94" s="180" t="s">
        <v>784</v>
      </c>
      <c r="C94" s="68"/>
      <c r="D94" s="111" t="s">
        <v>785</v>
      </c>
      <c r="E94" s="111" t="s">
        <v>763</v>
      </c>
      <c r="F94" s="111" t="s">
        <v>786</v>
      </c>
      <c r="G94" s="68"/>
      <c r="H94" s="111" t="s">
        <v>785</v>
      </c>
      <c r="I94" s="111" t="s">
        <v>763</v>
      </c>
      <c r="J94" s="111" t="s">
        <v>786</v>
      </c>
      <c r="K94" s="68"/>
      <c r="L94" s="111" t="s">
        <v>785</v>
      </c>
      <c r="M94" s="111" t="s">
        <v>763</v>
      </c>
      <c r="N94" s="111" t="s">
        <v>786</v>
      </c>
      <c r="O94" s="68"/>
      <c r="P94" s="111" t="s">
        <v>786</v>
      </c>
      <c r="Q94" s="68"/>
    </row>
    <row r="95" spans="2:17" x14ac:dyDescent="0.2">
      <c r="B95" s="68"/>
      <c r="C95" s="68"/>
      <c r="D95" s="68"/>
      <c r="E95" s="68"/>
      <c r="F95" s="68"/>
      <c r="G95" s="68"/>
      <c r="H95" s="68"/>
      <c r="I95" s="68"/>
      <c r="J95" s="68"/>
      <c r="K95" s="68"/>
      <c r="L95" s="68"/>
      <c r="M95" s="68"/>
      <c r="N95" s="68"/>
      <c r="O95" s="68"/>
      <c r="P95" s="68"/>
      <c r="Q95" s="68"/>
    </row>
    <row r="96" spans="2:17" x14ac:dyDescent="0.2">
      <c r="B96" s="69" t="s">
        <v>787</v>
      </c>
      <c r="C96" s="68"/>
      <c r="D96" s="81">
        <f>D20+D39+D58+D77</f>
        <v>3600881</v>
      </c>
      <c r="E96" s="85">
        <f t="shared" ref="E96:E107" si="25">IF(D96&lt;&gt;0,F96/D96,0)</f>
        <v>6.37</v>
      </c>
      <c r="F96" s="77">
        <f>F20+F39+F58+F77</f>
        <v>22937611.969999999</v>
      </c>
      <c r="G96" s="68"/>
      <c r="H96" s="81">
        <f>H20+H39+H58+H77</f>
        <v>3567272</v>
      </c>
      <c r="I96" s="85">
        <f t="shared" ref="I96:I107" si="26">IF(H96&lt;&gt;0,J96/H96,0)</f>
        <v>1</v>
      </c>
      <c r="J96" s="77">
        <f>J20+J39+J58+J77</f>
        <v>3567272</v>
      </c>
      <c r="K96" s="68"/>
      <c r="L96" s="81">
        <f>L20+L39+L58+L77</f>
        <v>3610645</v>
      </c>
      <c r="M96" s="85">
        <f t="shared" ref="M96:M107" si="27">IF(L96&lt;&gt;0,N96/L96,0)</f>
        <v>3.39</v>
      </c>
      <c r="N96" s="77">
        <f>N20+N39+N58+N77</f>
        <v>12240086.550000001</v>
      </c>
      <c r="O96" s="68"/>
      <c r="P96" s="77">
        <f t="shared" ref="P96:P107" si="28">J96+N96</f>
        <v>15807358.550000001</v>
      </c>
      <c r="Q96" s="68"/>
    </row>
    <row r="97" spans="2:17" x14ac:dyDescent="0.2">
      <c r="B97" s="69" t="s">
        <v>788</v>
      </c>
      <c r="C97" s="68"/>
      <c r="D97" s="81">
        <f t="shared" ref="D97:D107" si="29">D21+D40+D59+D78</f>
        <v>3387001</v>
      </c>
      <c r="E97" s="85">
        <f t="shared" si="25"/>
        <v>6.37</v>
      </c>
      <c r="F97" s="77">
        <f t="shared" ref="F97:F107" si="30">F21+F40+F59+F78</f>
        <v>21575196.370000001</v>
      </c>
      <c r="G97" s="68"/>
      <c r="H97" s="81">
        <f t="shared" ref="H97:H107" si="31">H21+H40+H59+H78</f>
        <v>3431213.0000000005</v>
      </c>
      <c r="I97" s="85">
        <f t="shared" si="26"/>
        <v>1</v>
      </c>
      <c r="J97" s="77">
        <f t="shared" ref="J97:J107" si="32">J21+J40+J59+J78</f>
        <v>3431213.0000000005</v>
      </c>
      <c r="K97" s="68"/>
      <c r="L97" s="81">
        <f t="shared" ref="L97:L107" si="33">L21+L40+L59+L78</f>
        <v>3455717.0000000005</v>
      </c>
      <c r="M97" s="85">
        <f t="shared" si="27"/>
        <v>3.39</v>
      </c>
      <c r="N97" s="77">
        <f t="shared" ref="N97:N107" si="34">N21+N40+N59+N78</f>
        <v>11714880.630000003</v>
      </c>
      <c r="O97" s="68"/>
      <c r="P97" s="77">
        <f t="shared" si="28"/>
        <v>15146093.630000003</v>
      </c>
      <c r="Q97" s="68"/>
    </row>
    <row r="98" spans="2:17" x14ac:dyDescent="0.2">
      <c r="B98" s="69" t="s">
        <v>789</v>
      </c>
      <c r="C98" s="68"/>
      <c r="D98" s="81">
        <f t="shared" si="29"/>
        <v>3224982.9999999986</v>
      </c>
      <c r="E98" s="85">
        <f t="shared" si="25"/>
        <v>6.3699999999999992</v>
      </c>
      <c r="F98" s="77">
        <f t="shared" si="30"/>
        <v>20543141.70999999</v>
      </c>
      <c r="G98" s="68"/>
      <c r="H98" s="81">
        <f t="shared" si="31"/>
        <v>3311691</v>
      </c>
      <c r="I98" s="85">
        <f t="shared" si="26"/>
        <v>1</v>
      </c>
      <c r="J98" s="77">
        <f t="shared" si="32"/>
        <v>3311691</v>
      </c>
      <c r="K98" s="68"/>
      <c r="L98" s="81">
        <f t="shared" si="33"/>
        <v>3332596</v>
      </c>
      <c r="M98" s="85">
        <f t="shared" si="27"/>
        <v>3.3900000000000006</v>
      </c>
      <c r="N98" s="77">
        <f t="shared" si="34"/>
        <v>11297500.440000001</v>
      </c>
      <c r="O98" s="68"/>
      <c r="P98" s="77">
        <f t="shared" si="28"/>
        <v>14609191.440000001</v>
      </c>
      <c r="Q98" s="68"/>
    </row>
    <row r="99" spans="2:17" x14ac:dyDescent="0.2">
      <c r="B99" s="69" t="s">
        <v>790</v>
      </c>
      <c r="C99" s="68"/>
      <c r="D99" s="81">
        <f t="shared" si="29"/>
        <v>3140497</v>
      </c>
      <c r="E99" s="85">
        <f t="shared" si="25"/>
        <v>6.37</v>
      </c>
      <c r="F99" s="77">
        <f t="shared" si="30"/>
        <v>20004965.890000001</v>
      </c>
      <c r="G99" s="68"/>
      <c r="H99" s="81">
        <f t="shared" si="31"/>
        <v>3675884.1578947366</v>
      </c>
      <c r="I99" s="85">
        <f t="shared" si="26"/>
        <v>1</v>
      </c>
      <c r="J99" s="77">
        <f t="shared" si="32"/>
        <v>3675884.1578947366</v>
      </c>
      <c r="K99" s="68"/>
      <c r="L99" s="81">
        <f t="shared" si="33"/>
        <v>3700986.0623052958</v>
      </c>
      <c r="M99" s="85">
        <f t="shared" si="27"/>
        <v>3.39</v>
      </c>
      <c r="N99" s="77">
        <f t="shared" si="34"/>
        <v>12546342.751214953</v>
      </c>
      <c r="O99" s="68"/>
      <c r="P99" s="77">
        <f t="shared" si="28"/>
        <v>16222226.909109689</v>
      </c>
      <c r="Q99" s="68"/>
    </row>
    <row r="100" spans="2:17" x14ac:dyDescent="0.2">
      <c r="B100" s="69" t="s">
        <v>791</v>
      </c>
      <c r="C100" s="68"/>
      <c r="D100" s="81">
        <f t="shared" si="29"/>
        <v>3631939.9999999995</v>
      </c>
      <c r="E100" s="85">
        <f t="shared" si="25"/>
        <v>6.37</v>
      </c>
      <c r="F100" s="77">
        <f t="shared" si="30"/>
        <v>23135457.799999997</v>
      </c>
      <c r="G100" s="68"/>
      <c r="H100" s="81">
        <f t="shared" si="31"/>
        <v>3591058.9999999995</v>
      </c>
      <c r="I100" s="85">
        <f t="shared" si="26"/>
        <v>1</v>
      </c>
      <c r="J100" s="77">
        <f t="shared" si="32"/>
        <v>3591058.9999999995</v>
      </c>
      <c r="K100" s="68"/>
      <c r="L100" s="81">
        <f t="shared" si="33"/>
        <v>3644593.0000000005</v>
      </c>
      <c r="M100" s="85">
        <f t="shared" si="27"/>
        <v>3.39</v>
      </c>
      <c r="N100" s="77">
        <f t="shared" si="34"/>
        <v>12355170.270000001</v>
      </c>
      <c r="O100" s="68"/>
      <c r="P100" s="77">
        <f t="shared" si="28"/>
        <v>15946229.270000001</v>
      </c>
      <c r="Q100" s="68"/>
    </row>
    <row r="101" spans="2:17" x14ac:dyDescent="0.2">
      <c r="B101" s="69" t="s">
        <v>792</v>
      </c>
      <c r="C101" s="68"/>
      <c r="D101" s="81">
        <f t="shared" si="29"/>
        <v>4312442</v>
      </c>
      <c r="E101" s="85">
        <f t="shared" si="25"/>
        <v>6.37</v>
      </c>
      <c r="F101" s="77">
        <f t="shared" si="30"/>
        <v>27470255.539999999</v>
      </c>
      <c r="G101" s="68"/>
      <c r="H101" s="81">
        <f t="shared" si="31"/>
        <v>4212133</v>
      </c>
      <c r="I101" s="85">
        <f t="shared" si="26"/>
        <v>1</v>
      </c>
      <c r="J101" s="77">
        <f t="shared" si="32"/>
        <v>4212133</v>
      </c>
      <c r="K101" s="68"/>
      <c r="L101" s="81">
        <f t="shared" si="33"/>
        <v>4268117.9999999991</v>
      </c>
      <c r="M101" s="85">
        <f t="shared" si="27"/>
        <v>3.39</v>
      </c>
      <c r="N101" s="77">
        <f t="shared" si="34"/>
        <v>14468920.019999998</v>
      </c>
      <c r="O101" s="68"/>
      <c r="P101" s="77">
        <f t="shared" si="28"/>
        <v>18681053.019999996</v>
      </c>
      <c r="Q101" s="68"/>
    </row>
    <row r="102" spans="2:17" x14ac:dyDescent="0.2">
      <c r="B102" s="69" t="s">
        <v>793</v>
      </c>
      <c r="C102" s="68"/>
      <c r="D102" s="81">
        <f t="shared" si="29"/>
        <v>4295777.0000000009</v>
      </c>
      <c r="E102" s="85">
        <f t="shared" si="25"/>
        <v>6.37</v>
      </c>
      <c r="F102" s="77">
        <f t="shared" si="30"/>
        <v>27364099.490000006</v>
      </c>
      <c r="G102" s="68"/>
      <c r="H102" s="81">
        <f t="shared" si="31"/>
        <v>4228167</v>
      </c>
      <c r="I102" s="85">
        <f t="shared" si="26"/>
        <v>1</v>
      </c>
      <c r="J102" s="77">
        <f t="shared" si="32"/>
        <v>4228167</v>
      </c>
      <c r="K102" s="68"/>
      <c r="L102" s="81">
        <f t="shared" si="33"/>
        <v>4307292.9999999991</v>
      </c>
      <c r="M102" s="85">
        <f t="shared" si="27"/>
        <v>3.39</v>
      </c>
      <c r="N102" s="77">
        <f t="shared" si="34"/>
        <v>14601723.269999998</v>
      </c>
      <c r="O102" s="68"/>
      <c r="P102" s="77">
        <f t="shared" si="28"/>
        <v>18829890.269999996</v>
      </c>
      <c r="Q102" s="68"/>
    </row>
    <row r="103" spans="2:17" x14ac:dyDescent="0.2">
      <c r="B103" s="69" t="s">
        <v>794</v>
      </c>
      <c r="C103" s="68"/>
      <c r="D103" s="81">
        <f t="shared" si="29"/>
        <v>4188850</v>
      </c>
      <c r="E103" s="85">
        <f t="shared" si="25"/>
        <v>6.37</v>
      </c>
      <c r="F103" s="77">
        <f t="shared" si="30"/>
        <v>26682974.5</v>
      </c>
      <c r="G103" s="68"/>
      <c r="H103" s="81">
        <f t="shared" si="31"/>
        <v>4122181</v>
      </c>
      <c r="I103" s="85">
        <f t="shared" si="26"/>
        <v>1</v>
      </c>
      <c r="J103" s="77">
        <f t="shared" si="32"/>
        <v>4122181</v>
      </c>
      <c r="K103" s="68"/>
      <c r="L103" s="81">
        <f t="shared" si="33"/>
        <v>4183805.0000000028</v>
      </c>
      <c r="M103" s="85">
        <f t="shared" si="27"/>
        <v>3.39</v>
      </c>
      <c r="N103" s="77">
        <f t="shared" si="34"/>
        <v>14183098.95000001</v>
      </c>
      <c r="O103" s="68"/>
      <c r="P103" s="77">
        <f t="shared" si="28"/>
        <v>18305279.95000001</v>
      </c>
      <c r="Q103" s="68"/>
    </row>
    <row r="104" spans="2:17" x14ac:dyDescent="0.2">
      <c r="B104" s="69" t="s">
        <v>795</v>
      </c>
      <c r="C104" s="68"/>
      <c r="D104" s="81">
        <f t="shared" si="29"/>
        <v>3782044.0000000005</v>
      </c>
      <c r="E104" s="85">
        <f t="shared" si="25"/>
        <v>6.37</v>
      </c>
      <c r="F104" s="77">
        <f t="shared" si="30"/>
        <v>24091620.280000005</v>
      </c>
      <c r="G104" s="68"/>
      <c r="H104" s="81">
        <f t="shared" si="31"/>
        <v>3653709</v>
      </c>
      <c r="I104" s="85">
        <f t="shared" si="26"/>
        <v>1</v>
      </c>
      <c r="J104" s="77">
        <f t="shared" si="32"/>
        <v>3653709</v>
      </c>
      <c r="K104" s="68"/>
      <c r="L104" s="81">
        <f t="shared" si="33"/>
        <v>3697360.0000000009</v>
      </c>
      <c r="M104" s="85">
        <f t="shared" si="27"/>
        <v>3.39</v>
      </c>
      <c r="N104" s="77">
        <f t="shared" si="34"/>
        <v>12534050.400000004</v>
      </c>
      <c r="O104" s="68"/>
      <c r="P104" s="77">
        <f t="shared" si="28"/>
        <v>16187759.400000004</v>
      </c>
      <c r="Q104" s="68"/>
    </row>
    <row r="105" spans="2:17" x14ac:dyDescent="0.2">
      <c r="B105" s="69" t="s">
        <v>796</v>
      </c>
      <c r="C105" s="68"/>
      <c r="D105" s="81">
        <f t="shared" si="29"/>
        <v>3229201.0000000009</v>
      </c>
      <c r="E105" s="85">
        <f t="shared" si="25"/>
        <v>6.3699999999999992</v>
      </c>
      <c r="F105" s="77">
        <f t="shared" si="30"/>
        <v>20570010.370000005</v>
      </c>
      <c r="G105" s="68"/>
      <c r="H105" s="81">
        <f t="shared" si="31"/>
        <v>3219543.9999999986</v>
      </c>
      <c r="I105" s="85">
        <f t="shared" si="26"/>
        <v>1</v>
      </c>
      <c r="J105" s="77">
        <f t="shared" si="32"/>
        <v>3219543.9999999986</v>
      </c>
      <c r="K105" s="68"/>
      <c r="L105" s="81">
        <f t="shared" si="33"/>
        <v>3265245.9999999995</v>
      </c>
      <c r="M105" s="85">
        <f t="shared" si="27"/>
        <v>3.39</v>
      </c>
      <c r="N105" s="77">
        <f t="shared" si="34"/>
        <v>11069183.939999999</v>
      </c>
      <c r="O105" s="68"/>
      <c r="P105" s="77">
        <f t="shared" si="28"/>
        <v>14288727.939999998</v>
      </c>
      <c r="Q105" s="68"/>
    </row>
    <row r="106" spans="2:17" x14ac:dyDescent="0.2">
      <c r="B106" s="69" t="s">
        <v>797</v>
      </c>
      <c r="C106" s="68"/>
      <c r="D106" s="81">
        <f t="shared" si="29"/>
        <v>3236916.9999999995</v>
      </c>
      <c r="E106" s="85">
        <f t="shared" si="25"/>
        <v>6.370000000000001</v>
      </c>
      <c r="F106" s="77">
        <f t="shared" si="30"/>
        <v>20619161.289999999</v>
      </c>
      <c r="G106" s="68"/>
      <c r="H106" s="81">
        <f t="shared" si="31"/>
        <v>3253599</v>
      </c>
      <c r="I106" s="85">
        <f t="shared" si="26"/>
        <v>1</v>
      </c>
      <c r="J106" s="77">
        <f t="shared" si="32"/>
        <v>3253599</v>
      </c>
      <c r="K106" s="68"/>
      <c r="L106" s="81">
        <f t="shared" si="33"/>
        <v>3264938.0000000005</v>
      </c>
      <c r="M106" s="85">
        <f t="shared" si="27"/>
        <v>3.39</v>
      </c>
      <c r="N106" s="77">
        <f t="shared" si="34"/>
        <v>11068139.820000002</v>
      </c>
      <c r="O106" s="68"/>
      <c r="P106" s="77">
        <f t="shared" si="28"/>
        <v>14321738.820000002</v>
      </c>
      <c r="Q106" s="68"/>
    </row>
    <row r="107" spans="2:17" x14ac:dyDescent="0.2">
      <c r="B107" s="69" t="s">
        <v>798</v>
      </c>
      <c r="C107" s="68"/>
      <c r="D107" s="81">
        <f t="shared" si="29"/>
        <v>3522999</v>
      </c>
      <c r="E107" s="85">
        <f t="shared" si="25"/>
        <v>6.37</v>
      </c>
      <c r="F107" s="77">
        <f t="shared" si="30"/>
        <v>22441503.629999999</v>
      </c>
      <c r="G107" s="68"/>
      <c r="H107" s="81">
        <f t="shared" si="31"/>
        <v>3464107</v>
      </c>
      <c r="I107" s="85">
        <f t="shared" si="26"/>
        <v>1</v>
      </c>
      <c r="J107" s="77">
        <f t="shared" si="32"/>
        <v>3464107</v>
      </c>
      <c r="K107" s="68"/>
      <c r="L107" s="81">
        <f t="shared" si="33"/>
        <v>3492814</v>
      </c>
      <c r="M107" s="85">
        <f t="shared" si="27"/>
        <v>3.39</v>
      </c>
      <c r="N107" s="77">
        <f t="shared" si="34"/>
        <v>11840639.460000001</v>
      </c>
      <c r="O107" s="68"/>
      <c r="P107" s="77">
        <f t="shared" si="28"/>
        <v>15304746.460000001</v>
      </c>
      <c r="Q107" s="68"/>
    </row>
    <row r="108" spans="2:17" x14ac:dyDescent="0.2">
      <c r="B108" s="68"/>
      <c r="C108" s="68"/>
      <c r="D108" s="68"/>
      <c r="E108" s="68"/>
      <c r="F108" s="68"/>
      <c r="G108" s="68"/>
      <c r="H108" s="68"/>
      <c r="I108" s="68"/>
      <c r="J108" s="68"/>
      <c r="K108" s="68"/>
      <c r="L108" s="68"/>
      <c r="M108" s="68"/>
      <c r="N108" s="68"/>
      <c r="O108" s="68"/>
      <c r="P108" s="77"/>
      <c r="Q108" s="68"/>
    </row>
    <row r="109" spans="2:17" ht="13.5" thickBot="1" x14ac:dyDescent="0.25">
      <c r="B109" s="180" t="s">
        <v>688</v>
      </c>
      <c r="C109" s="68"/>
      <c r="D109" s="78">
        <f>SUM(D96:D107)</f>
        <v>43553532</v>
      </c>
      <c r="E109" s="79">
        <f>IF(D109&lt;&gt;0,F109/D109,0)</f>
        <v>6.370000000000001</v>
      </c>
      <c r="F109" s="80">
        <f>SUM(F96:F107)</f>
        <v>277435998.84000003</v>
      </c>
      <c r="G109" s="68"/>
      <c r="H109" s="78">
        <f>SUM(H96:H107)</f>
        <v>43730559.157894731</v>
      </c>
      <c r="I109" s="79">
        <f>IF(H109&lt;&gt;0,J109/H109,0)</f>
        <v>1</v>
      </c>
      <c r="J109" s="80">
        <f>SUM(J96:J107)</f>
        <v>43730559.157894731</v>
      </c>
      <c r="K109" s="68"/>
      <c r="L109" s="78">
        <f>SUM(L96:L107)</f>
        <v>44224111.062305301</v>
      </c>
      <c r="M109" s="79">
        <f>IF(L109&lt;&gt;0,N109/L109,0)</f>
        <v>3.39</v>
      </c>
      <c r="N109" s="80">
        <f>SUM(N96:N107)</f>
        <v>149919736.50121498</v>
      </c>
      <c r="O109" s="68"/>
      <c r="P109" s="80">
        <f>SUM(P96:P107)</f>
        <v>193650295.65910971</v>
      </c>
      <c r="Q109" s="68"/>
    </row>
    <row r="111" spans="2:17" x14ac:dyDescent="0.2">
      <c r="N111" s="82" t="s">
        <v>800</v>
      </c>
      <c r="P111" s="1234">
        <f>'11. RTSR - UTRs &amp; Sub-Tx'!I74</f>
        <v>-14577614.76</v>
      </c>
    </row>
    <row r="113" spans="14:16" ht="13.5" thickBot="1" x14ac:dyDescent="0.25">
      <c r="N113" s="51" t="s">
        <v>801</v>
      </c>
      <c r="P113" s="80">
        <f>P109+P111</f>
        <v>179072680.89910972</v>
      </c>
    </row>
  </sheetData>
  <mergeCells count="22">
    <mergeCell ref="D35:F35"/>
    <mergeCell ref="H35:J35"/>
    <mergeCell ref="L35:N35"/>
    <mergeCell ref="D54:F54"/>
    <mergeCell ref="H54:J54"/>
    <mergeCell ref="L54:N54"/>
    <mergeCell ref="D93:F93"/>
    <mergeCell ref="H93:J93"/>
    <mergeCell ref="L93:N93"/>
    <mergeCell ref="D73:F73"/>
    <mergeCell ref="H73:J73"/>
    <mergeCell ref="L73:N73"/>
    <mergeCell ref="D92:F92"/>
    <mergeCell ref="H92:J92"/>
    <mergeCell ref="L92:N92"/>
    <mergeCell ref="B13:P13"/>
    <mergeCell ref="D16:F16"/>
    <mergeCell ref="H16:J16"/>
    <mergeCell ref="L16:N16"/>
    <mergeCell ref="D17:F17"/>
    <mergeCell ref="H17:J17"/>
    <mergeCell ref="L17:N17"/>
  </mergeCells>
  <pageMargins left="0.25" right="0.25" top="0.75" bottom="0.75" header="0.3" footer="0.3"/>
  <pageSetup scale="42" orientation="portrait" r:id="rId1"/>
  <headerFooter>
    <oddFooter>&amp;C&amp;A</oddFooter>
  </headerFooter>
  <rowBreaks count="1" manualBreakCount="1">
    <brk id="72" max="15" man="1"/>
  </rowBreaks>
  <colBreaks count="1" manualBreakCount="1">
    <brk id="24" max="72" man="1"/>
  </colBreaks>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2:Q113"/>
  <sheetViews>
    <sheetView showGridLines="0" topLeftCell="B1" zoomScaleNormal="100" workbookViewId="0">
      <selection activeCell="B1" sqref="B1"/>
    </sheetView>
  </sheetViews>
  <sheetFormatPr defaultColWidth="9.28515625" defaultRowHeight="12.75" x14ac:dyDescent="0.2"/>
  <cols>
    <col min="1" max="1" width="11.7109375" style="3" hidden="1" customWidth="1"/>
    <col min="2" max="2" width="30.28515625" style="3" customWidth="1"/>
    <col min="3" max="3" width="3.7109375" style="3" customWidth="1"/>
    <col min="4" max="4" width="14.42578125" style="3" customWidth="1"/>
    <col min="5" max="5" width="10.28515625" style="3" bestFit="1" customWidth="1"/>
    <col min="6" max="6" width="14.42578125" style="3" customWidth="1"/>
    <col min="7" max="7" width="2.7109375" style="3" customWidth="1"/>
    <col min="8" max="8" width="14.42578125" style="3" customWidth="1"/>
    <col min="9" max="9" width="9.7109375" style="3" bestFit="1" customWidth="1"/>
    <col min="10" max="10" width="14.42578125" style="3" customWidth="1"/>
    <col min="11" max="11" width="3.28515625" style="3" customWidth="1"/>
    <col min="12" max="12" width="14.42578125" style="3" customWidth="1"/>
    <col min="13" max="13" width="9.7109375" style="3" bestFit="1" customWidth="1"/>
    <col min="14" max="14" width="14.42578125" style="3" customWidth="1"/>
    <col min="15" max="15" width="3.7109375" style="3" customWidth="1"/>
    <col min="16" max="16" width="16.5703125" style="3" customWidth="1"/>
    <col min="17" max="16384" width="9.28515625" style="3"/>
  </cols>
  <sheetData>
    <row r="12" spans="2:17" ht="12.75" customHeight="1" x14ac:dyDescent="0.2"/>
    <row r="13" spans="2:17" ht="22.5" customHeight="1" x14ac:dyDescent="0.25">
      <c r="B13" s="1910" t="s">
        <v>6500</v>
      </c>
      <c r="C13" s="1893"/>
      <c r="D13" s="1893"/>
      <c r="E13" s="1893"/>
      <c r="F13" s="1893"/>
      <c r="G13" s="1893"/>
      <c r="H13" s="1893"/>
      <c r="I13" s="1893"/>
      <c r="J13" s="1893"/>
      <c r="K13" s="1893"/>
      <c r="L13" s="1893"/>
      <c r="M13" s="1893"/>
      <c r="N13" s="1893"/>
      <c r="O13" s="1893"/>
      <c r="P13" s="1893"/>
    </row>
    <row r="15" spans="2:17" ht="14.25" customHeight="1" x14ac:dyDescent="0.2"/>
    <row r="16" spans="2:17" x14ac:dyDescent="0.2">
      <c r="B16" s="179" t="s">
        <v>779</v>
      </c>
      <c r="C16" s="107"/>
      <c r="D16" s="1908" t="s">
        <v>780</v>
      </c>
      <c r="E16" s="1908"/>
      <c r="F16" s="1908"/>
      <c r="G16" s="107"/>
      <c r="H16" s="1908" t="s">
        <v>781</v>
      </c>
      <c r="I16" s="1908"/>
      <c r="J16" s="1908"/>
      <c r="K16" s="107"/>
      <c r="L16" s="1908" t="s">
        <v>782</v>
      </c>
      <c r="M16" s="1908"/>
      <c r="N16" s="1908"/>
      <c r="O16" s="107"/>
      <c r="P16" s="179" t="s">
        <v>783</v>
      </c>
      <c r="Q16" s="68"/>
    </row>
    <row r="17" spans="2:17" ht="15.75" x14ac:dyDescent="0.25">
      <c r="B17" s="68"/>
      <c r="C17" s="68"/>
      <c r="D17" s="1907"/>
      <c r="E17" s="1907"/>
      <c r="F17" s="1907"/>
      <c r="G17" s="68"/>
      <c r="H17" s="1907"/>
      <c r="I17" s="1907"/>
      <c r="J17" s="1907"/>
      <c r="K17" s="68"/>
      <c r="L17" s="1907"/>
      <c r="M17" s="1907"/>
      <c r="N17" s="1907"/>
      <c r="O17" s="68"/>
      <c r="P17" s="111"/>
      <c r="Q17" s="73"/>
    </row>
    <row r="18" spans="2:17" x14ac:dyDescent="0.2">
      <c r="B18" s="180" t="s">
        <v>784</v>
      </c>
      <c r="C18" s="68"/>
      <c r="D18" s="111" t="s">
        <v>785</v>
      </c>
      <c r="E18" s="111" t="s">
        <v>763</v>
      </c>
      <c r="F18" s="111" t="s">
        <v>786</v>
      </c>
      <c r="G18" s="68"/>
      <c r="H18" s="111" t="s">
        <v>785</v>
      </c>
      <c r="I18" s="111" t="s">
        <v>763</v>
      </c>
      <c r="J18" s="111" t="s">
        <v>786</v>
      </c>
      <c r="K18" s="68"/>
      <c r="L18" s="111" t="s">
        <v>785</v>
      </c>
      <c r="M18" s="111" t="s">
        <v>763</v>
      </c>
      <c r="N18" s="111" t="s">
        <v>786</v>
      </c>
      <c r="O18" s="68"/>
      <c r="P18" s="111" t="s">
        <v>786</v>
      </c>
      <c r="Q18" s="68"/>
    </row>
    <row r="19" spans="2:17" x14ac:dyDescent="0.2">
      <c r="B19" s="68"/>
      <c r="C19" s="68"/>
      <c r="D19" s="68"/>
      <c r="E19" s="68"/>
      <c r="F19" s="68"/>
      <c r="G19" s="68"/>
      <c r="H19" s="68"/>
      <c r="I19" s="68"/>
      <c r="J19" s="68"/>
      <c r="K19" s="68"/>
      <c r="L19" s="68"/>
      <c r="M19" s="68"/>
      <c r="N19" s="68"/>
      <c r="O19" s="68"/>
      <c r="P19" s="68"/>
      <c r="Q19" s="68"/>
    </row>
    <row r="20" spans="2:17" x14ac:dyDescent="0.2">
      <c r="B20" s="69" t="s">
        <v>787</v>
      </c>
      <c r="C20" s="68"/>
      <c r="D20" s="84">
        <f>'12. RTSR - Historical Wholesale'!D19</f>
        <v>3600881</v>
      </c>
      <c r="E20" s="85">
        <f>'11. RTSR - UTRs &amp; Sub-Tx'!L22</f>
        <v>6.37</v>
      </c>
      <c r="F20" s="86">
        <f t="shared" ref="F20:F31" si="0">D20*E20</f>
        <v>22937611.969999999</v>
      </c>
      <c r="G20" s="68"/>
      <c r="H20" s="84">
        <f>'12. RTSR - Historical Wholesale'!H19</f>
        <v>3567272</v>
      </c>
      <c r="I20" s="85">
        <f>'11. RTSR - UTRs &amp; Sub-Tx'!L24</f>
        <v>1</v>
      </c>
      <c r="J20" s="86">
        <f t="shared" ref="J20:J31" si="1">H20*I20</f>
        <v>3567272</v>
      </c>
      <c r="K20" s="68"/>
      <c r="L20" s="84">
        <f>'12. RTSR - Historical Wholesale'!L19</f>
        <v>3610645</v>
      </c>
      <c r="M20" s="85">
        <f>'11. RTSR - UTRs &amp; Sub-Tx'!L26</f>
        <v>3.39</v>
      </c>
      <c r="N20" s="86">
        <f t="shared" ref="N20:N31" si="2">L20*M20</f>
        <v>12240086.550000001</v>
      </c>
      <c r="O20" s="68"/>
      <c r="P20" s="77">
        <f t="shared" ref="P20:P31" si="3">J20+N20</f>
        <v>15807358.550000001</v>
      </c>
      <c r="Q20" s="68"/>
    </row>
    <row r="21" spans="2:17" x14ac:dyDescent="0.2">
      <c r="B21" s="69" t="s">
        <v>788</v>
      </c>
      <c r="C21" s="68"/>
      <c r="D21" s="84">
        <f>'12. RTSR - Historical Wholesale'!D20</f>
        <v>3387001</v>
      </c>
      <c r="E21" s="85">
        <f t="shared" ref="E21:E31" si="4">E20</f>
        <v>6.37</v>
      </c>
      <c r="F21" s="86">
        <f t="shared" si="0"/>
        <v>21575196.370000001</v>
      </c>
      <c r="G21" s="68"/>
      <c r="H21" s="84">
        <f>'12. RTSR - Historical Wholesale'!H20</f>
        <v>3431213.0000000005</v>
      </c>
      <c r="I21" s="85">
        <f t="shared" ref="I21:I31" si="5">I20</f>
        <v>1</v>
      </c>
      <c r="J21" s="86">
        <f t="shared" si="1"/>
        <v>3431213.0000000005</v>
      </c>
      <c r="K21" s="68"/>
      <c r="L21" s="84">
        <f>'12. RTSR - Historical Wholesale'!L20</f>
        <v>3455717.0000000005</v>
      </c>
      <c r="M21" s="85">
        <f t="shared" ref="M21:M31" si="6">M20</f>
        <v>3.39</v>
      </c>
      <c r="N21" s="86">
        <f t="shared" si="2"/>
        <v>11714880.630000003</v>
      </c>
      <c r="O21" s="68"/>
      <c r="P21" s="77">
        <f t="shared" si="3"/>
        <v>15146093.630000003</v>
      </c>
      <c r="Q21" s="68"/>
    </row>
    <row r="22" spans="2:17" x14ac:dyDescent="0.2">
      <c r="B22" s="69" t="s">
        <v>789</v>
      </c>
      <c r="C22" s="68"/>
      <c r="D22" s="84">
        <f>'12. RTSR - Historical Wholesale'!D21</f>
        <v>3224982.9999999986</v>
      </c>
      <c r="E22" s="85">
        <f t="shared" si="4"/>
        <v>6.37</v>
      </c>
      <c r="F22" s="86">
        <f t="shared" si="0"/>
        <v>20543141.70999999</v>
      </c>
      <c r="G22" s="68"/>
      <c r="H22" s="84">
        <f>'12. RTSR - Historical Wholesale'!H21</f>
        <v>3311691</v>
      </c>
      <c r="I22" s="85">
        <f t="shared" si="5"/>
        <v>1</v>
      </c>
      <c r="J22" s="86">
        <f t="shared" si="1"/>
        <v>3311691</v>
      </c>
      <c r="K22" s="68"/>
      <c r="L22" s="84">
        <f>'12. RTSR - Historical Wholesale'!L21</f>
        <v>3332596</v>
      </c>
      <c r="M22" s="85">
        <f t="shared" si="6"/>
        <v>3.39</v>
      </c>
      <c r="N22" s="86">
        <f t="shared" si="2"/>
        <v>11297500.440000001</v>
      </c>
      <c r="O22" s="68"/>
      <c r="P22" s="77">
        <f t="shared" si="3"/>
        <v>14609191.440000001</v>
      </c>
      <c r="Q22" s="68"/>
    </row>
    <row r="23" spans="2:17" x14ac:dyDescent="0.2">
      <c r="B23" s="69" t="s">
        <v>790</v>
      </c>
      <c r="C23" s="68"/>
      <c r="D23" s="84">
        <f>'12. RTSR - Historical Wholesale'!D22</f>
        <v>3140497</v>
      </c>
      <c r="E23" s="85">
        <f t="shared" si="4"/>
        <v>6.37</v>
      </c>
      <c r="F23" s="86">
        <f t="shared" si="0"/>
        <v>20004965.890000001</v>
      </c>
      <c r="G23" s="68"/>
      <c r="H23" s="84">
        <f>'12. RTSR - Historical Wholesale'!H22</f>
        <v>3675884.1578947366</v>
      </c>
      <c r="I23" s="85">
        <f t="shared" si="5"/>
        <v>1</v>
      </c>
      <c r="J23" s="86">
        <f t="shared" si="1"/>
        <v>3675884.1578947366</v>
      </c>
      <c r="K23" s="68"/>
      <c r="L23" s="84">
        <f>'12. RTSR - Historical Wholesale'!L22</f>
        <v>3700986.0623052958</v>
      </c>
      <c r="M23" s="85">
        <f t="shared" si="6"/>
        <v>3.39</v>
      </c>
      <c r="N23" s="86">
        <f t="shared" si="2"/>
        <v>12546342.751214953</v>
      </c>
      <c r="O23" s="68"/>
      <c r="P23" s="77">
        <f t="shared" si="3"/>
        <v>16222226.909109689</v>
      </c>
      <c r="Q23" s="68"/>
    </row>
    <row r="24" spans="2:17" x14ac:dyDescent="0.2">
      <c r="B24" s="69" t="s">
        <v>791</v>
      </c>
      <c r="C24" s="68"/>
      <c r="D24" s="84">
        <f>'12. RTSR - Historical Wholesale'!D23</f>
        <v>3631939.9999999995</v>
      </c>
      <c r="E24" s="85">
        <f t="shared" si="4"/>
        <v>6.37</v>
      </c>
      <c r="F24" s="86">
        <f t="shared" si="0"/>
        <v>23135457.799999997</v>
      </c>
      <c r="G24" s="68"/>
      <c r="H24" s="84">
        <f>'12. RTSR - Historical Wholesale'!H23</f>
        <v>3591058.9999999995</v>
      </c>
      <c r="I24" s="85">
        <f t="shared" si="5"/>
        <v>1</v>
      </c>
      <c r="J24" s="86">
        <f t="shared" si="1"/>
        <v>3591058.9999999995</v>
      </c>
      <c r="K24" s="68"/>
      <c r="L24" s="84">
        <f>'12. RTSR - Historical Wholesale'!L23</f>
        <v>3644593.0000000005</v>
      </c>
      <c r="M24" s="85">
        <f t="shared" si="6"/>
        <v>3.39</v>
      </c>
      <c r="N24" s="86">
        <f t="shared" si="2"/>
        <v>12355170.270000001</v>
      </c>
      <c r="O24" s="68"/>
      <c r="P24" s="77">
        <f t="shared" si="3"/>
        <v>15946229.270000001</v>
      </c>
      <c r="Q24" s="68"/>
    </row>
    <row r="25" spans="2:17" x14ac:dyDescent="0.2">
      <c r="B25" s="69" t="s">
        <v>792</v>
      </c>
      <c r="C25" s="68"/>
      <c r="D25" s="84">
        <f>'12. RTSR - Historical Wholesale'!D24</f>
        <v>4312442</v>
      </c>
      <c r="E25" s="85">
        <f t="shared" si="4"/>
        <v>6.37</v>
      </c>
      <c r="F25" s="86">
        <f t="shared" si="0"/>
        <v>27470255.539999999</v>
      </c>
      <c r="G25" s="68"/>
      <c r="H25" s="84">
        <f>'12. RTSR - Historical Wholesale'!H24</f>
        <v>4212133</v>
      </c>
      <c r="I25" s="85">
        <f t="shared" si="5"/>
        <v>1</v>
      </c>
      <c r="J25" s="86">
        <f t="shared" si="1"/>
        <v>4212133</v>
      </c>
      <c r="K25" s="68"/>
      <c r="L25" s="84">
        <f>'12. RTSR - Historical Wholesale'!L24</f>
        <v>4268117.9999999991</v>
      </c>
      <c r="M25" s="85">
        <f t="shared" si="6"/>
        <v>3.39</v>
      </c>
      <c r="N25" s="86">
        <f t="shared" si="2"/>
        <v>14468920.019999998</v>
      </c>
      <c r="O25" s="68"/>
      <c r="P25" s="77">
        <f t="shared" si="3"/>
        <v>18681053.019999996</v>
      </c>
      <c r="Q25" s="68"/>
    </row>
    <row r="26" spans="2:17" x14ac:dyDescent="0.2">
      <c r="B26" s="69" t="s">
        <v>793</v>
      </c>
      <c r="C26" s="68"/>
      <c r="D26" s="84">
        <f>'12. RTSR - Historical Wholesale'!D25</f>
        <v>4295777.0000000009</v>
      </c>
      <c r="E26" s="85">
        <f t="shared" si="4"/>
        <v>6.37</v>
      </c>
      <c r="F26" s="86">
        <f t="shared" si="0"/>
        <v>27364099.490000006</v>
      </c>
      <c r="G26" s="68"/>
      <c r="H26" s="84">
        <f>'12. RTSR - Historical Wholesale'!H25</f>
        <v>4228167</v>
      </c>
      <c r="I26" s="85">
        <f t="shared" si="5"/>
        <v>1</v>
      </c>
      <c r="J26" s="86">
        <f t="shared" si="1"/>
        <v>4228167</v>
      </c>
      <c r="K26" s="68"/>
      <c r="L26" s="84">
        <f>'12. RTSR - Historical Wholesale'!L25</f>
        <v>4307292.9999999991</v>
      </c>
      <c r="M26" s="85">
        <f t="shared" si="6"/>
        <v>3.39</v>
      </c>
      <c r="N26" s="86">
        <f t="shared" si="2"/>
        <v>14601723.269999998</v>
      </c>
      <c r="O26" s="68"/>
      <c r="P26" s="77">
        <f t="shared" si="3"/>
        <v>18829890.269999996</v>
      </c>
      <c r="Q26" s="68"/>
    </row>
    <row r="27" spans="2:17" x14ac:dyDescent="0.2">
      <c r="B27" s="69" t="s">
        <v>794</v>
      </c>
      <c r="C27" s="68"/>
      <c r="D27" s="84">
        <f>'12. RTSR - Historical Wholesale'!D26</f>
        <v>4188850</v>
      </c>
      <c r="E27" s="85">
        <f t="shared" si="4"/>
        <v>6.37</v>
      </c>
      <c r="F27" s="86">
        <f t="shared" si="0"/>
        <v>26682974.5</v>
      </c>
      <c r="G27" s="68"/>
      <c r="H27" s="84">
        <f>'12. RTSR - Historical Wholesale'!H26</f>
        <v>4122181</v>
      </c>
      <c r="I27" s="85">
        <f t="shared" si="5"/>
        <v>1</v>
      </c>
      <c r="J27" s="86">
        <f t="shared" si="1"/>
        <v>4122181</v>
      </c>
      <c r="K27" s="68"/>
      <c r="L27" s="84">
        <f>'12. RTSR - Historical Wholesale'!L26</f>
        <v>4183805.0000000028</v>
      </c>
      <c r="M27" s="85">
        <f t="shared" si="6"/>
        <v>3.39</v>
      </c>
      <c r="N27" s="86">
        <f t="shared" si="2"/>
        <v>14183098.95000001</v>
      </c>
      <c r="O27" s="68"/>
      <c r="P27" s="77">
        <f t="shared" si="3"/>
        <v>18305279.95000001</v>
      </c>
      <c r="Q27" s="68"/>
    </row>
    <row r="28" spans="2:17" x14ac:dyDescent="0.2">
      <c r="B28" s="69" t="s">
        <v>795</v>
      </c>
      <c r="C28" s="68"/>
      <c r="D28" s="84">
        <f>'12. RTSR - Historical Wholesale'!D27</f>
        <v>3782044.0000000005</v>
      </c>
      <c r="E28" s="85">
        <f t="shared" si="4"/>
        <v>6.37</v>
      </c>
      <c r="F28" s="86">
        <f t="shared" si="0"/>
        <v>24091620.280000005</v>
      </c>
      <c r="G28" s="68"/>
      <c r="H28" s="84">
        <f>'12. RTSR - Historical Wholesale'!H27</f>
        <v>3653709</v>
      </c>
      <c r="I28" s="85">
        <f t="shared" si="5"/>
        <v>1</v>
      </c>
      <c r="J28" s="86">
        <f t="shared" si="1"/>
        <v>3653709</v>
      </c>
      <c r="K28" s="68"/>
      <c r="L28" s="84">
        <f>'12. RTSR - Historical Wholesale'!L27</f>
        <v>3697360.0000000009</v>
      </c>
      <c r="M28" s="85">
        <f t="shared" si="6"/>
        <v>3.39</v>
      </c>
      <c r="N28" s="86">
        <f t="shared" si="2"/>
        <v>12534050.400000004</v>
      </c>
      <c r="O28" s="68"/>
      <c r="P28" s="77">
        <f t="shared" si="3"/>
        <v>16187759.400000004</v>
      </c>
      <c r="Q28" s="68"/>
    </row>
    <row r="29" spans="2:17" x14ac:dyDescent="0.2">
      <c r="B29" s="69" t="s">
        <v>796</v>
      </c>
      <c r="C29" s="68"/>
      <c r="D29" s="84">
        <f>'12. RTSR - Historical Wholesale'!D28</f>
        <v>3229201.0000000009</v>
      </c>
      <c r="E29" s="85">
        <f t="shared" si="4"/>
        <v>6.37</v>
      </c>
      <c r="F29" s="86">
        <f t="shared" si="0"/>
        <v>20570010.370000005</v>
      </c>
      <c r="G29" s="68"/>
      <c r="H29" s="84">
        <f>'12. RTSR - Historical Wholesale'!H28</f>
        <v>3219543.9999999986</v>
      </c>
      <c r="I29" s="85">
        <f t="shared" si="5"/>
        <v>1</v>
      </c>
      <c r="J29" s="86">
        <f t="shared" si="1"/>
        <v>3219543.9999999986</v>
      </c>
      <c r="K29" s="68"/>
      <c r="L29" s="84">
        <f>'12. RTSR - Historical Wholesale'!L28</f>
        <v>3265245.9999999995</v>
      </c>
      <c r="M29" s="85">
        <f t="shared" si="6"/>
        <v>3.39</v>
      </c>
      <c r="N29" s="86">
        <f t="shared" si="2"/>
        <v>11069183.939999999</v>
      </c>
      <c r="O29" s="68"/>
      <c r="P29" s="77">
        <f t="shared" si="3"/>
        <v>14288727.939999998</v>
      </c>
      <c r="Q29" s="68"/>
    </row>
    <row r="30" spans="2:17" x14ac:dyDescent="0.2">
      <c r="B30" s="69" t="s">
        <v>797</v>
      </c>
      <c r="C30" s="68"/>
      <c r="D30" s="84">
        <f>'12. RTSR - Historical Wholesale'!D29</f>
        <v>3236916.9999999995</v>
      </c>
      <c r="E30" s="85">
        <f t="shared" si="4"/>
        <v>6.37</v>
      </c>
      <c r="F30" s="86">
        <f t="shared" si="0"/>
        <v>20619161.289999999</v>
      </c>
      <c r="G30" s="68"/>
      <c r="H30" s="84">
        <f>'12. RTSR - Historical Wholesale'!H29</f>
        <v>3253599</v>
      </c>
      <c r="I30" s="85">
        <f t="shared" si="5"/>
        <v>1</v>
      </c>
      <c r="J30" s="86">
        <f t="shared" si="1"/>
        <v>3253599</v>
      </c>
      <c r="K30" s="68"/>
      <c r="L30" s="84">
        <f>'12. RTSR - Historical Wholesale'!L29</f>
        <v>3264938.0000000005</v>
      </c>
      <c r="M30" s="85">
        <f t="shared" si="6"/>
        <v>3.39</v>
      </c>
      <c r="N30" s="86">
        <f t="shared" si="2"/>
        <v>11068139.820000002</v>
      </c>
      <c r="O30" s="68"/>
      <c r="P30" s="77">
        <f t="shared" si="3"/>
        <v>14321738.820000002</v>
      </c>
      <c r="Q30" s="68"/>
    </row>
    <row r="31" spans="2:17" x14ac:dyDescent="0.2">
      <c r="B31" s="69" t="s">
        <v>798</v>
      </c>
      <c r="C31" s="68"/>
      <c r="D31" s="84">
        <f>'12. RTSR - Historical Wholesale'!D30</f>
        <v>3522999</v>
      </c>
      <c r="E31" s="85">
        <f t="shared" si="4"/>
        <v>6.37</v>
      </c>
      <c r="F31" s="86">
        <f t="shared" si="0"/>
        <v>22441503.629999999</v>
      </c>
      <c r="G31" s="68"/>
      <c r="H31" s="84">
        <f>'12. RTSR - Historical Wholesale'!H30</f>
        <v>3464107</v>
      </c>
      <c r="I31" s="85">
        <f t="shared" si="5"/>
        <v>1</v>
      </c>
      <c r="J31" s="86">
        <f t="shared" si="1"/>
        <v>3464107</v>
      </c>
      <c r="K31" s="68"/>
      <c r="L31" s="84">
        <f>'12. RTSR - Historical Wholesale'!L30</f>
        <v>3492814</v>
      </c>
      <c r="M31" s="85">
        <f t="shared" si="6"/>
        <v>3.39</v>
      </c>
      <c r="N31" s="86">
        <f t="shared" si="2"/>
        <v>11840639.460000001</v>
      </c>
      <c r="O31" s="68"/>
      <c r="P31" s="77">
        <f t="shared" si="3"/>
        <v>15304746.460000001</v>
      </c>
      <c r="Q31" s="68"/>
    </row>
    <row r="32" spans="2:17" x14ac:dyDescent="0.2">
      <c r="B32" s="68"/>
      <c r="C32" s="68"/>
      <c r="D32" s="68"/>
      <c r="E32" s="68"/>
      <c r="F32" s="68"/>
      <c r="G32" s="68"/>
      <c r="H32" s="68"/>
      <c r="I32" s="68"/>
      <c r="J32" s="68"/>
      <c r="K32" s="68"/>
      <c r="L32" s="68"/>
      <c r="M32" s="68"/>
      <c r="N32" s="68"/>
      <c r="O32" s="68"/>
      <c r="P32" s="68"/>
      <c r="Q32" s="68"/>
    </row>
    <row r="33" spans="2:17" ht="13.5" thickBot="1" x14ac:dyDescent="0.25">
      <c r="B33" s="180" t="s">
        <v>688</v>
      </c>
      <c r="C33" s="68"/>
      <c r="D33" s="78">
        <f>SUM(D20:D31)</f>
        <v>43553532</v>
      </c>
      <c r="E33" s="79">
        <f>IF(D33&lt;&gt;0,F33/D33,0)</f>
        <v>6.370000000000001</v>
      </c>
      <c r="F33" s="80">
        <f>SUM(F20:F31)</f>
        <v>277435998.84000003</v>
      </c>
      <c r="G33" s="68"/>
      <c r="H33" s="78">
        <f>SUM(H20:H31)</f>
        <v>43730559.157894731</v>
      </c>
      <c r="I33" s="79">
        <f>IF(H33&lt;&gt;0,J33/H33,0)</f>
        <v>1</v>
      </c>
      <c r="J33" s="80">
        <f>SUM(J20:J31)</f>
        <v>43730559.157894731</v>
      </c>
      <c r="K33" s="68"/>
      <c r="L33" s="78">
        <f>SUM(L20:L31)</f>
        <v>44224111.062305301</v>
      </c>
      <c r="M33" s="79">
        <f>IF(L33&lt;&gt;0,N33/L33,0)</f>
        <v>3.39</v>
      </c>
      <c r="N33" s="80">
        <f>SUM(N20:N31)</f>
        <v>149919736.50121498</v>
      </c>
      <c r="O33" s="68"/>
      <c r="P33" s="80">
        <f>SUM(P20:P31)</f>
        <v>193650295.65910971</v>
      </c>
      <c r="Q33" s="68"/>
    </row>
    <row r="34" spans="2:17" x14ac:dyDescent="0.2">
      <c r="B34" s="68"/>
      <c r="C34" s="68"/>
      <c r="D34" s="68"/>
      <c r="E34" s="68"/>
      <c r="F34" s="68"/>
      <c r="G34" s="68"/>
      <c r="H34" s="68"/>
      <c r="I34" s="68"/>
      <c r="J34" s="68"/>
      <c r="K34" s="68"/>
      <c r="L34" s="68"/>
      <c r="M34" s="68"/>
      <c r="N34" s="68"/>
      <c r="O34" s="68"/>
      <c r="P34" s="68"/>
      <c r="Q34" s="68"/>
    </row>
    <row r="35" spans="2:17" x14ac:dyDescent="0.2">
      <c r="B35" s="179" t="s">
        <v>799</v>
      </c>
      <c r="C35" s="68"/>
      <c r="D35" s="1908" t="s">
        <v>780</v>
      </c>
      <c r="E35" s="1908"/>
      <c r="F35" s="1908"/>
      <c r="G35" s="107"/>
      <c r="H35" s="1908" t="s">
        <v>781</v>
      </c>
      <c r="I35" s="1908"/>
      <c r="J35" s="1908"/>
      <c r="K35" s="107"/>
      <c r="L35" s="1908" t="s">
        <v>782</v>
      </c>
      <c r="M35" s="1908"/>
      <c r="N35" s="1908"/>
      <c r="O35" s="107"/>
      <c r="P35" s="179" t="s">
        <v>783</v>
      </c>
      <c r="Q35" s="68"/>
    </row>
    <row r="36" spans="2:17" x14ac:dyDescent="0.2">
      <c r="B36" s="180"/>
      <c r="C36" s="68"/>
      <c r="D36" s="111"/>
      <c r="E36" s="111"/>
      <c r="F36" s="111"/>
      <c r="G36" s="68"/>
      <c r="H36" s="111"/>
      <c r="I36" s="111"/>
      <c r="J36" s="111"/>
      <c r="K36" s="68"/>
      <c r="L36" s="111"/>
      <c r="M36" s="111"/>
      <c r="N36" s="111"/>
      <c r="O36" s="68"/>
      <c r="P36" s="111"/>
      <c r="Q36" s="68"/>
    </row>
    <row r="37" spans="2:17" x14ac:dyDescent="0.2">
      <c r="B37" s="180" t="s">
        <v>784</v>
      </c>
      <c r="C37" s="68"/>
      <c r="D37" s="111" t="s">
        <v>785</v>
      </c>
      <c r="E37" s="111" t="s">
        <v>763</v>
      </c>
      <c r="F37" s="111" t="s">
        <v>786</v>
      </c>
      <c r="G37" s="68"/>
      <c r="H37" s="111" t="s">
        <v>785</v>
      </c>
      <c r="I37" s="111" t="s">
        <v>763</v>
      </c>
      <c r="J37" s="111" t="s">
        <v>786</v>
      </c>
      <c r="K37" s="68"/>
      <c r="L37" s="111" t="s">
        <v>785</v>
      </c>
      <c r="M37" s="111" t="s">
        <v>763</v>
      </c>
      <c r="N37" s="111" t="s">
        <v>786</v>
      </c>
      <c r="O37" s="68"/>
      <c r="P37" s="111" t="s">
        <v>786</v>
      </c>
      <c r="Q37" s="68"/>
    </row>
    <row r="38" spans="2:17" x14ac:dyDescent="0.2">
      <c r="B38" s="68"/>
      <c r="C38" s="68"/>
      <c r="D38" s="68"/>
      <c r="E38" s="68"/>
      <c r="F38" s="68"/>
      <c r="G38" s="68"/>
      <c r="H38" s="68"/>
      <c r="I38" s="68"/>
      <c r="J38" s="68"/>
      <c r="K38" s="68"/>
      <c r="L38" s="68"/>
      <c r="M38" s="68"/>
      <c r="N38" s="68"/>
      <c r="O38" s="68"/>
      <c r="P38" s="68"/>
      <c r="Q38" s="68"/>
    </row>
    <row r="39" spans="2:17" x14ac:dyDescent="0.2">
      <c r="B39" s="69" t="s">
        <v>787</v>
      </c>
      <c r="C39" s="68"/>
      <c r="D39" s="84">
        <f>'12. RTSR - Historical Wholesale'!D38</f>
        <v>0</v>
      </c>
      <c r="E39" s="85">
        <f>'11. RTSR - UTRs &amp; Sub-Tx'!L35</f>
        <v>5.2172000000000001</v>
      </c>
      <c r="F39" s="86">
        <f t="shared" ref="F39:F50" si="7">D39*E39</f>
        <v>0</v>
      </c>
      <c r="G39" s="68"/>
      <c r="H39" s="84">
        <f>'12. RTSR - Historical Wholesale'!H38</f>
        <v>0</v>
      </c>
      <c r="I39" s="85">
        <f>'11. RTSR - UTRs &amp; Sub-Tx'!L37</f>
        <v>0.65369999999999995</v>
      </c>
      <c r="J39" s="86">
        <f t="shared" ref="J39:J50" si="8">H39*I39</f>
        <v>0</v>
      </c>
      <c r="K39" s="68"/>
      <c r="L39" s="84">
        <f>'12. RTSR - Historical Wholesale'!L38</f>
        <v>0</v>
      </c>
      <c r="M39" s="85">
        <f>'11. RTSR - UTRs &amp; Sub-Tx'!L39</f>
        <v>3.3041</v>
      </c>
      <c r="N39" s="86">
        <f t="shared" ref="N39:N50" si="9">L39*M39</f>
        <v>0</v>
      </c>
      <c r="O39" s="68"/>
      <c r="P39" s="77">
        <f t="shared" ref="P39:P50" si="10">J39+N39</f>
        <v>0</v>
      </c>
      <c r="Q39" s="68"/>
    </row>
    <row r="40" spans="2:17" x14ac:dyDescent="0.2">
      <c r="B40" s="69" t="s">
        <v>788</v>
      </c>
      <c r="C40" s="68"/>
      <c r="D40" s="84">
        <f>'12. RTSR - Historical Wholesale'!D39</f>
        <v>0</v>
      </c>
      <c r="E40" s="85">
        <f t="shared" ref="E40:E50" si="11">E39</f>
        <v>5.2172000000000001</v>
      </c>
      <c r="F40" s="86">
        <f t="shared" si="7"/>
        <v>0</v>
      </c>
      <c r="G40" s="68"/>
      <c r="H40" s="84">
        <f>'12. RTSR - Historical Wholesale'!H39</f>
        <v>0</v>
      </c>
      <c r="I40" s="85">
        <f t="shared" ref="I40:I50" si="12">I39</f>
        <v>0.65369999999999995</v>
      </c>
      <c r="J40" s="86">
        <f t="shared" si="8"/>
        <v>0</v>
      </c>
      <c r="K40" s="68"/>
      <c r="L40" s="84">
        <f>'12. RTSR - Historical Wholesale'!L39</f>
        <v>0</v>
      </c>
      <c r="M40" s="85">
        <f t="shared" ref="M40:M50" si="13">M39</f>
        <v>3.3041</v>
      </c>
      <c r="N40" s="86">
        <f t="shared" si="9"/>
        <v>0</v>
      </c>
      <c r="O40" s="68"/>
      <c r="P40" s="77">
        <f t="shared" si="10"/>
        <v>0</v>
      </c>
      <c r="Q40" s="68"/>
    </row>
    <row r="41" spans="2:17" x14ac:dyDescent="0.2">
      <c r="B41" s="69" t="s">
        <v>789</v>
      </c>
      <c r="C41" s="68"/>
      <c r="D41" s="84">
        <f>'12. RTSR - Historical Wholesale'!D40</f>
        <v>0</v>
      </c>
      <c r="E41" s="85">
        <f t="shared" si="11"/>
        <v>5.2172000000000001</v>
      </c>
      <c r="F41" s="86">
        <f t="shared" si="7"/>
        <v>0</v>
      </c>
      <c r="G41" s="68"/>
      <c r="H41" s="84">
        <f>'12. RTSR - Historical Wholesale'!H40</f>
        <v>0</v>
      </c>
      <c r="I41" s="85">
        <f t="shared" si="12"/>
        <v>0.65369999999999995</v>
      </c>
      <c r="J41" s="86">
        <f t="shared" si="8"/>
        <v>0</v>
      </c>
      <c r="K41" s="68"/>
      <c r="L41" s="84">
        <f>'12. RTSR - Historical Wholesale'!L40</f>
        <v>0</v>
      </c>
      <c r="M41" s="85">
        <f t="shared" si="13"/>
        <v>3.3041</v>
      </c>
      <c r="N41" s="86">
        <f t="shared" si="9"/>
        <v>0</v>
      </c>
      <c r="O41" s="68"/>
      <c r="P41" s="77">
        <f t="shared" si="10"/>
        <v>0</v>
      </c>
      <c r="Q41" s="68"/>
    </row>
    <row r="42" spans="2:17" x14ac:dyDescent="0.2">
      <c r="B42" s="69" t="s">
        <v>790</v>
      </c>
      <c r="C42" s="68"/>
      <c r="D42" s="84">
        <f>'12. RTSR - Historical Wholesale'!D41</f>
        <v>0</v>
      </c>
      <c r="E42" s="85">
        <f t="shared" si="11"/>
        <v>5.2172000000000001</v>
      </c>
      <c r="F42" s="86">
        <f t="shared" si="7"/>
        <v>0</v>
      </c>
      <c r="G42" s="68"/>
      <c r="H42" s="84">
        <f>'12. RTSR - Historical Wholesale'!H41</f>
        <v>0</v>
      </c>
      <c r="I42" s="85">
        <f t="shared" si="12"/>
        <v>0.65369999999999995</v>
      </c>
      <c r="J42" s="86">
        <f t="shared" si="8"/>
        <v>0</v>
      </c>
      <c r="K42" s="68"/>
      <c r="L42" s="84">
        <f>'12. RTSR - Historical Wholesale'!L41</f>
        <v>0</v>
      </c>
      <c r="M42" s="85">
        <f t="shared" si="13"/>
        <v>3.3041</v>
      </c>
      <c r="N42" s="86">
        <f t="shared" si="9"/>
        <v>0</v>
      </c>
      <c r="O42" s="68"/>
      <c r="P42" s="77">
        <f t="shared" si="10"/>
        <v>0</v>
      </c>
      <c r="Q42" s="68"/>
    </row>
    <row r="43" spans="2:17" x14ac:dyDescent="0.2">
      <c r="B43" s="69" t="s">
        <v>791</v>
      </c>
      <c r="C43" s="68"/>
      <c r="D43" s="84">
        <f>'12. RTSR - Historical Wholesale'!D42</f>
        <v>0</v>
      </c>
      <c r="E43" s="85">
        <f t="shared" si="11"/>
        <v>5.2172000000000001</v>
      </c>
      <c r="F43" s="86">
        <f t="shared" si="7"/>
        <v>0</v>
      </c>
      <c r="G43" s="68"/>
      <c r="H43" s="84">
        <f>'12. RTSR - Historical Wholesale'!H42</f>
        <v>0</v>
      </c>
      <c r="I43" s="85">
        <f t="shared" si="12"/>
        <v>0.65369999999999995</v>
      </c>
      <c r="J43" s="86">
        <f t="shared" si="8"/>
        <v>0</v>
      </c>
      <c r="K43" s="68"/>
      <c r="L43" s="84">
        <f>'12. RTSR - Historical Wholesale'!L42</f>
        <v>0</v>
      </c>
      <c r="M43" s="85">
        <f t="shared" si="13"/>
        <v>3.3041</v>
      </c>
      <c r="N43" s="86">
        <f t="shared" si="9"/>
        <v>0</v>
      </c>
      <c r="O43" s="68"/>
      <c r="P43" s="77">
        <f t="shared" si="10"/>
        <v>0</v>
      </c>
      <c r="Q43" s="68"/>
    </row>
    <row r="44" spans="2:17" x14ac:dyDescent="0.2">
      <c r="B44" s="69" t="s">
        <v>792</v>
      </c>
      <c r="C44" s="68"/>
      <c r="D44" s="84">
        <f>'12. RTSR - Historical Wholesale'!D43</f>
        <v>0</v>
      </c>
      <c r="E44" s="85">
        <f t="shared" si="11"/>
        <v>5.2172000000000001</v>
      </c>
      <c r="F44" s="86">
        <f t="shared" si="7"/>
        <v>0</v>
      </c>
      <c r="G44" s="68"/>
      <c r="H44" s="84">
        <f>'12. RTSR - Historical Wholesale'!H43</f>
        <v>0</v>
      </c>
      <c r="I44" s="85">
        <f t="shared" si="12"/>
        <v>0.65369999999999995</v>
      </c>
      <c r="J44" s="86">
        <f t="shared" si="8"/>
        <v>0</v>
      </c>
      <c r="K44" s="68"/>
      <c r="L44" s="84">
        <f>'12. RTSR - Historical Wholesale'!L43</f>
        <v>0</v>
      </c>
      <c r="M44" s="85">
        <f t="shared" si="13"/>
        <v>3.3041</v>
      </c>
      <c r="N44" s="86">
        <f t="shared" si="9"/>
        <v>0</v>
      </c>
      <c r="O44" s="68"/>
      <c r="P44" s="77">
        <f t="shared" si="10"/>
        <v>0</v>
      </c>
      <c r="Q44" s="68"/>
    </row>
    <row r="45" spans="2:17" x14ac:dyDescent="0.2">
      <c r="B45" s="69" t="s">
        <v>793</v>
      </c>
      <c r="C45" s="68"/>
      <c r="D45" s="84">
        <f>'12. RTSR - Historical Wholesale'!D44</f>
        <v>0</v>
      </c>
      <c r="E45" s="85">
        <f t="shared" si="11"/>
        <v>5.2172000000000001</v>
      </c>
      <c r="F45" s="86">
        <f t="shared" si="7"/>
        <v>0</v>
      </c>
      <c r="G45" s="68"/>
      <c r="H45" s="84">
        <f>'12. RTSR - Historical Wholesale'!H44</f>
        <v>0</v>
      </c>
      <c r="I45" s="85">
        <f t="shared" si="12"/>
        <v>0.65369999999999995</v>
      </c>
      <c r="J45" s="86">
        <f t="shared" si="8"/>
        <v>0</v>
      </c>
      <c r="K45" s="68"/>
      <c r="L45" s="84">
        <f>'12. RTSR - Historical Wholesale'!L44</f>
        <v>0</v>
      </c>
      <c r="M45" s="85">
        <f t="shared" si="13"/>
        <v>3.3041</v>
      </c>
      <c r="N45" s="86">
        <f t="shared" si="9"/>
        <v>0</v>
      </c>
      <c r="O45" s="68"/>
      <c r="P45" s="77">
        <f t="shared" si="10"/>
        <v>0</v>
      </c>
      <c r="Q45" s="68"/>
    </row>
    <row r="46" spans="2:17" x14ac:dyDescent="0.2">
      <c r="B46" s="69" t="s">
        <v>794</v>
      </c>
      <c r="C46" s="68"/>
      <c r="D46" s="84">
        <f>'12. RTSR - Historical Wholesale'!D45</f>
        <v>0</v>
      </c>
      <c r="E46" s="85">
        <f t="shared" si="11"/>
        <v>5.2172000000000001</v>
      </c>
      <c r="F46" s="86">
        <f t="shared" si="7"/>
        <v>0</v>
      </c>
      <c r="G46" s="68"/>
      <c r="H46" s="84">
        <f>'12. RTSR - Historical Wholesale'!H45</f>
        <v>0</v>
      </c>
      <c r="I46" s="85">
        <f t="shared" si="12"/>
        <v>0.65369999999999995</v>
      </c>
      <c r="J46" s="86">
        <f t="shared" si="8"/>
        <v>0</v>
      </c>
      <c r="K46" s="68"/>
      <c r="L46" s="84">
        <f>'12. RTSR - Historical Wholesale'!L45</f>
        <v>0</v>
      </c>
      <c r="M46" s="85">
        <f t="shared" si="13"/>
        <v>3.3041</v>
      </c>
      <c r="N46" s="86">
        <f t="shared" si="9"/>
        <v>0</v>
      </c>
      <c r="O46" s="68"/>
      <c r="P46" s="77">
        <f t="shared" si="10"/>
        <v>0</v>
      </c>
      <c r="Q46" s="68"/>
    </row>
    <row r="47" spans="2:17" x14ac:dyDescent="0.2">
      <c r="B47" s="69" t="s">
        <v>795</v>
      </c>
      <c r="C47" s="68"/>
      <c r="D47" s="84">
        <f>'12. RTSR - Historical Wholesale'!D46</f>
        <v>0</v>
      </c>
      <c r="E47" s="85">
        <f t="shared" si="11"/>
        <v>5.2172000000000001</v>
      </c>
      <c r="F47" s="86">
        <f t="shared" si="7"/>
        <v>0</v>
      </c>
      <c r="G47" s="68"/>
      <c r="H47" s="84">
        <f>'12. RTSR - Historical Wholesale'!H46</f>
        <v>0</v>
      </c>
      <c r="I47" s="85">
        <f t="shared" si="12"/>
        <v>0.65369999999999995</v>
      </c>
      <c r="J47" s="86">
        <f t="shared" si="8"/>
        <v>0</v>
      </c>
      <c r="K47" s="68"/>
      <c r="L47" s="84">
        <f>'12. RTSR - Historical Wholesale'!L46</f>
        <v>0</v>
      </c>
      <c r="M47" s="85">
        <f t="shared" si="13"/>
        <v>3.3041</v>
      </c>
      <c r="N47" s="86">
        <f t="shared" si="9"/>
        <v>0</v>
      </c>
      <c r="O47" s="68"/>
      <c r="P47" s="77">
        <f t="shared" si="10"/>
        <v>0</v>
      </c>
      <c r="Q47" s="68"/>
    </row>
    <row r="48" spans="2:17" x14ac:dyDescent="0.2">
      <c r="B48" s="69" t="s">
        <v>796</v>
      </c>
      <c r="C48" s="68"/>
      <c r="D48" s="84">
        <f>'12. RTSR - Historical Wholesale'!D47</f>
        <v>0</v>
      </c>
      <c r="E48" s="85">
        <f t="shared" si="11"/>
        <v>5.2172000000000001</v>
      </c>
      <c r="F48" s="86">
        <f t="shared" si="7"/>
        <v>0</v>
      </c>
      <c r="G48" s="68"/>
      <c r="H48" s="84">
        <f>'12. RTSR - Historical Wholesale'!H47</f>
        <v>0</v>
      </c>
      <c r="I48" s="85">
        <f t="shared" si="12"/>
        <v>0.65369999999999995</v>
      </c>
      <c r="J48" s="86">
        <f t="shared" si="8"/>
        <v>0</v>
      </c>
      <c r="K48" s="68"/>
      <c r="L48" s="84">
        <f>'12. RTSR - Historical Wholesale'!L47</f>
        <v>0</v>
      </c>
      <c r="M48" s="85">
        <f t="shared" si="13"/>
        <v>3.3041</v>
      </c>
      <c r="N48" s="86">
        <f t="shared" si="9"/>
        <v>0</v>
      </c>
      <c r="O48" s="68"/>
      <c r="P48" s="77">
        <f t="shared" si="10"/>
        <v>0</v>
      </c>
      <c r="Q48" s="68"/>
    </row>
    <row r="49" spans="2:17" x14ac:dyDescent="0.2">
      <c r="B49" s="69" t="s">
        <v>797</v>
      </c>
      <c r="C49" s="68"/>
      <c r="D49" s="84">
        <f>'12. RTSR - Historical Wholesale'!D48</f>
        <v>0</v>
      </c>
      <c r="E49" s="85">
        <f t="shared" si="11"/>
        <v>5.2172000000000001</v>
      </c>
      <c r="F49" s="86">
        <f t="shared" si="7"/>
        <v>0</v>
      </c>
      <c r="G49" s="68"/>
      <c r="H49" s="84">
        <f>'12. RTSR - Historical Wholesale'!H48</f>
        <v>0</v>
      </c>
      <c r="I49" s="85">
        <f t="shared" si="12"/>
        <v>0.65369999999999995</v>
      </c>
      <c r="J49" s="86">
        <f t="shared" si="8"/>
        <v>0</v>
      </c>
      <c r="K49" s="68"/>
      <c r="L49" s="84">
        <f>'12. RTSR - Historical Wholesale'!L48</f>
        <v>0</v>
      </c>
      <c r="M49" s="85">
        <f t="shared" si="13"/>
        <v>3.3041</v>
      </c>
      <c r="N49" s="86">
        <f t="shared" si="9"/>
        <v>0</v>
      </c>
      <c r="O49" s="68"/>
      <c r="P49" s="77">
        <f t="shared" si="10"/>
        <v>0</v>
      </c>
      <c r="Q49" s="68"/>
    </row>
    <row r="50" spans="2:17" x14ac:dyDescent="0.2">
      <c r="B50" s="69" t="s">
        <v>798</v>
      </c>
      <c r="C50" s="68"/>
      <c r="D50" s="84">
        <f>'12. RTSR - Historical Wholesale'!D49</f>
        <v>0</v>
      </c>
      <c r="E50" s="85">
        <f t="shared" si="11"/>
        <v>5.2172000000000001</v>
      </c>
      <c r="F50" s="86">
        <f t="shared" si="7"/>
        <v>0</v>
      </c>
      <c r="G50" s="68"/>
      <c r="H50" s="84">
        <f>'12. RTSR - Historical Wholesale'!H49</f>
        <v>0</v>
      </c>
      <c r="I50" s="85">
        <f t="shared" si="12"/>
        <v>0.65369999999999995</v>
      </c>
      <c r="J50" s="86">
        <f t="shared" si="8"/>
        <v>0</v>
      </c>
      <c r="K50" s="68"/>
      <c r="L50" s="84">
        <f>'12. RTSR - Historical Wholesale'!L49</f>
        <v>0</v>
      </c>
      <c r="M50" s="85">
        <f t="shared" si="13"/>
        <v>3.3041</v>
      </c>
      <c r="N50" s="86">
        <f t="shared" si="9"/>
        <v>0</v>
      </c>
      <c r="O50" s="68"/>
      <c r="P50" s="77">
        <f t="shared" si="10"/>
        <v>0</v>
      </c>
      <c r="Q50" s="68"/>
    </row>
    <row r="51" spans="2:17" x14ac:dyDescent="0.2">
      <c r="B51" s="68"/>
      <c r="C51" s="68"/>
      <c r="D51" s="68"/>
      <c r="E51" s="68"/>
      <c r="F51" s="68"/>
      <c r="G51" s="68"/>
      <c r="H51" s="68"/>
      <c r="I51" s="68"/>
      <c r="J51" s="68"/>
      <c r="K51" s="68"/>
      <c r="L51" s="68"/>
      <c r="M51" s="68"/>
      <c r="N51" s="68"/>
      <c r="O51" s="68"/>
      <c r="P51" s="68"/>
      <c r="Q51" s="68"/>
    </row>
    <row r="52" spans="2:17" ht="13.5" thickBot="1" x14ac:dyDescent="0.25">
      <c r="B52" s="180" t="s">
        <v>688</v>
      </c>
      <c r="C52" s="68"/>
      <c r="D52" s="78">
        <f>SUM(D39:D50)</f>
        <v>0</v>
      </c>
      <c r="E52" s="79">
        <f>IF(D52&lt;&gt;0,F52/D52,0)</f>
        <v>0</v>
      </c>
      <c r="F52" s="80">
        <f>SUM(F39:F50)</f>
        <v>0</v>
      </c>
      <c r="G52" s="68"/>
      <c r="H52" s="78">
        <f>SUM(H39:H50)</f>
        <v>0</v>
      </c>
      <c r="I52" s="79">
        <f>IF(H52&lt;&gt;0,J52/H52,0)</f>
        <v>0</v>
      </c>
      <c r="J52" s="80">
        <f>SUM(J39:J50)</f>
        <v>0</v>
      </c>
      <c r="K52" s="68"/>
      <c r="L52" s="78">
        <f>SUM(L39:L50)</f>
        <v>0</v>
      </c>
      <c r="M52" s="79">
        <f>IF(L52&lt;&gt;0,N52/L52,0)</f>
        <v>0</v>
      </c>
      <c r="N52" s="80">
        <f>SUM(N39:N50)</f>
        <v>0</v>
      </c>
      <c r="O52" s="68"/>
      <c r="P52" s="80">
        <f>SUM(P39:P50)</f>
        <v>0</v>
      </c>
      <c r="Q52" s="68"/>
    </row>
    <row r="53" spans="2:17" x14ac:dyDescent="0.2">
      <c r="B53" s="68"/>
      <c r="C53" s="68"/>
      <c r="D53" s="68"/>
      <c r="E53" s="68"/>
      <c r="F53" s="68"/>
      <c r="G53" s="68"/>
      <c r="H53" s="68"/>
      <c r="I53" s="68"/>
      <c r="J53" s="68"/>
      <c r="K53" s="68"/>
      <c r="L53" s="68"/>
      <c r="M53" s="68"/>
      <c r="N53" s="68"/>
      <c r="O53" s="68"/>
      <c r="P53" s="68"/>
      <c r="Q53" s="68"/>
    </row>
    <row r="54" spans="2:17" x14ac:dyDescent="0.2">
      <c r="B54" s="179" t="str">
        <f>'12. RTSR - Historical Wholesale'!B53</f>
        <v>If needed, add extra host here. (I)</v>
      </c>
      <c r="C54" s="68"/>
      <c r="D54" s="1908" t="s">
        <v>780</v>
      </c>
      <c r="E54" s="1908"/>
      <c r="F54" s="1908"/>
      <c r="G54" s="107"/>
      <c r="H54" s="1908" t="s">
        <v>781</v>
      </c>
      <c r="I54" s="1908"/>
      <c r="J54" s="1908"/>
      <c r="K54" s="107"/>
      <c r="L54" s="1908" t="s">
        <v>782</v>
      </c>
      <c r="M54" s="1908"/>
      <c r="N54" s="1908"/>
      <c r="O54" s="107"/>
      <c r="P54" s="179" t="s">
        <v>783</v>
      </c>
      <c r="Q54" s="68"/>
    </row>
    <row r="55" spans="2:17" x14ac:dyDescent="0.2">
      <c r="B55" s="180"/>
      <c r="C55" s="68"/>
      <c r="D55" s="111"/>
      <c r="E55" s="111"/>
      <c r="F55" s="111"/>
      <c r="G55" s="68"/>
      <c r="H55" s="111"/>
      <c r="I55" s="111"/>
      <c r="J55" s="111"/>
      <c r="K55" s="68"/>
      <c r="L55" s="111"/>
      <c r="M55" s="111"/>
      <c r="N55" s="111"/>
      <c r="O55" s="68"/>
      <c r="P55" s="111"/>
      <c r="Q55" s="68"/>
    </row>
    <row r="56" spans="2:17" x14ac:dyDescent="0.2">
      <c r="B56" s="180" t="s">
        <v>784</v>
      </c>
      <c r="C56" s="68"/>
      <c r="D56" s="111" t="s">
        <v>785</v>
      </c>
      <c r="E56" s="111" t="s">
        <v>763</v>
      </c>
      <c r="F56" s="111" t="s">
        <v>786</v>
      </c>
      <c r="G56" s="68"/>
      <c r="H56" s="111" t="s">
        <v>785</v>
      </c>
      <c r="I56" s="111" t="s">
        <v>763</v>
      </c>
      <c r="J56" s="111" t="s">
        <v>786</v>
      </c>
      <c r="K56" s="68"/>
      <c r="L56" s="111" t="s">
        <v>785</v>
      </c>
      <c r="M56" s="111" t="s">
        <v>763</v>
      </c>
      <c r="N56" s="111" t="s">
        <v>786</v>
      </c>
      <c r="O56" s="68"/>
      <c r="P56" s="111" t="s">
        <v>786</v>
      </c>
      <c r="Q56" s="68"/>
    </row>
    <row r="57" spans="2:17" x14ac:dyDescent="0.2">
      <c r="B57" s="68"/>
      <c r="C57" s="68"/>
      <c r="D57" s="68"/>
      <c r="E57" s="68"/>
      <c r="F57" s="68"/>
      <c r="G57" s="68"/>
      <c r="H57" s="68"/>
      <c r="I57" s="68"/>
      <c r="J57" s="68"/>
      <c r="K57" s="68"/>
      <c r="L57" s="68"/>
      <c r="M57" s="68"/>
      <c r="N57" s="68"/>
      <c r="O57" s="68"/>
      <c r="P57" s="68"/>
      <c r="Q57" s="68"/>
    </row>
    <row r="58" spans="2:17" x14ac:dyDescent="0.2">
      <c r="B58" s="69" t="s">
        <v>787</v>
      </c>
      <c r="C58" s="68"/>
      <c r="D58" s="84">
        <f>'12. RTSR - Historical Wholesale'!D57</f>
        <v>0</v>
      </c>
      <c r="E58" s="85">
        <f>'11. RTSR - UTRs &amp; Sub-Tx'!L50</f>
        <v>0</v>
      </c>
      <c r="F58" s="86">
        <f t="shared" ref="F58:F69" si="14">D58*E58</f>
        <v>0</v>
      </c>
      <c r="G58" s="68"/>
      <c r="H58" s="84">
        <f>'12. RTSR - Historical Wholesale'!H57</f>
        <v>0</v>
      </c>
      <c r="I58" s="85">
        <f>'11. RTSR - UTRs &amp; Sub-Tx'!L52</f>
        <v>0</v>
      </c>
      <c r="J58" s="86">
        <f t="shared" ref="J58:J69" si="15">H58*I58</f>
        <v>0</v>
      </c>
      <c r="K58" s="68"/>
      <c r="L58" s="84">
        <f>'12. RTSR - Historical Wholesale'!L57</f>
        <v>0</v>
      </c>
      <c r="M58" s="85">
        <f>'11. RTSR - UTRs &amp; Sub-Tx'!L54</f>
        <v>0</v>
      </c>
      <c r="N58" s="86">
        <f t="shared" ref="N58:N69" si="16">L58*M58</f>
        <v>0</v>
      </c>
      <c r="O58" s="68"/>
      <c r="P58" s="77">
        <f t="shared" ref="P58:P69" si="17">J58+N58</f>
        <v>0</v>
      </c>
      <c r="Q58" s="68"/>
    </row>
    <row r="59" spans="2:17" x14ac:dyDescent="0.2">
      <c r="B59" s="69" t="s">
        <v>788</v>
      </c>
      <c r="C59" s="68"/>
      <c r="D59" s="84">
        <f>'12. RTSR - Historical Wholesale'!D58</f>
        <v>0</v>
      </c>
      <c r="E59" s="85">
        <f t="shared" ref="E59:E69" si="18">E58</f>
        <v>0</v>
      </c>
      <c r="F59" s="86">
        <f t="shared" si="14"/>
        <v>0</v>
      </c>
      <c r="G59" s="68"/>
      <c r="H59" s="84">
        <f>'12. RTSR - Historical Wholesale'!H58</f>
        <v>0</v>
      </c>
      <c r="I59" s="85">
        <f t="shared" ref="I59:I69" si="19">I58</f>
        <v>0</v>
      </c>
      <c r="J59" s="86">
        <f t="shared" si="15"/>
        <v>0</v>
      </c>
      <c r="K59" s="68"/>
      <c r="L59" s="84">
        <f>'12. RTSR - Historical Wholesale'!L58</f>
        <v>0</v>
      </c>
      <c r="M59" s="85">
        <f t="shared" ref="M59:M69" si="20">M58</f>
        <v>0</v>
      </c>
      <c r="N59" s="86">
        <f t="shared" si="16"/>
        <v>0</v>
      </c>
      <c r="O59" s="68"/>
      <c r="P59" s="77">
        <f t="shared" si="17"/>
        <v>0</v>
      </c>
      <c r="Q59" s="68"/>
    </row>
    <row r="60" spans="2:17" x14ac:dyDescent="0.2">
      <c r="B60" s="69" t="s">
        <v>789</v>
      </c>
      <c r="C60" s="68"/>
      <c r="D60" s="84">
        <f>'12. RTSR - Historical Wholesale'!D59</f>
        <v>0</v>
      </c>
      <c r="E60" s="85">
        <f t="shared" si="18"/>
        <v>0</v>
      </c>
      <c r="F60" s="86">
        <f t="shared" si="14"/>
        <v>0</v>
      </c>
      <c r="G60" s="68"/>
      <c r="H60" s="84">
        <f>'12. RTSR - Historical Wholesale'!H59</f>
        <v>0</v>
      </c>
      <c r="I60" s="85">
        <f t="shared" si="19"/>
        <v>0</v>
      </c>
      <c r="J60" s="86">
        <f t="shared" si="15"/>
        <v>0</v>
      </c>
      <c r="K60" s="68"/>
      <c r="L60" s="84">
        <f>'12. RTSR - Historical Wholesale'!L59</f>
        <v>0</v>
      </c>
      <c r="M60" s="85">
        <f t="shared" si="20"/>
        <v>0</v>
      </c>
      <c r="N60" s="86">
        <f t="shared" si="16"/>
        <v>0</v>
      </c>
      <c r="O60" s="68"/>
      <c r="P60" s="77">
        <f t="shared" si="17"/>
        <v>0</v>
      </c>
      <c r="Q60" s="68"/>
    </row>
    <row r="61" spans="2:17" x14ac:dyDescent="0.2">
      <c r="B61" s="69" t="s">
        <v>790</v>
      </c>
      <c r="C61" s="68"/>
      <c r="D61" s="84">
        <f>'12. RTSR - Historical Wholesale'!D60</f>
        <v>0</v>
      </c>
      <c r="E61" s="85">
        <f t="shared" si="18"/>
        <v>0</v>
      </c>
      <c r="F61" s="86">
        <f t="shared" si="14"/>
        <v>0</v>
      </c>
      <c r="G61" s="68"/>
      <c r="H61" s="84">
        <f>'12. RTSR - Historical Wholesale'!H60</f>
        <v>0</v>
      </c>
      <c r="I61" s="85">
        <f t="shared" si="19"/>
        <v>0</v>
      </c>
      <c r="J61" s="86">
        <f t="shared" si="15"/>
        <v>0</v>
      </c>
      <c r="K61" s="68"/>
      <c r="L61" s="84">
        <f>'12. RTSR - Historical Wholesale'!L60</f>
        <v>0</v>
      </c>
      <c r="M61" s="85">
        <f t="shared" si="20"/>
        <v>0</v>
      </c>
      <c r="N61" s="86">
        <f t="shared" si="16"/>
        <v>0</v>
      </c>
      <c r="O61" s="68"/>
      <c r="P61" s="77">
        <f t="shared" si="17"/>
        <v>0</v>
      </c>
      <c r="Q61" s="68"/>
    </row>
    <row r="62" spans="2:17" x14ac:dyDescent="0.2">
      <c r="B62" s="69" t="s">
        <v>791</v>
      </c>
      <c r="C62" s="68"/>
      <c r="D62" s="84">
        <f>'12. RTSR - Historical Wholesale'!D61</f>
        <v>0</v>
      </c>
      <c r="E62" s="85">
        <f t="shared" si="18"/>
        <v>0</v>
      </c>
      <c r="F62" s="86">
        <f t="shared" si="14"/>
        <v>0</v>
      </c>
      <c r="G62" s="68"/>
      <c r="H62" s="84">
        <f>'12. RTSR - Historical Wholesale'!H61</f>
        <v>0</v>
      </c>
      <c r="I62" s="85">
        <f t="shared" si="19"/>
        <v>0</v>
      </c>
      <c r="J62" s="86">
        <f t="shared" si="15"/>
        <v>0</v>
      </c>
      <c r="K62" s="68"/>
      <c r="L62" s="84">
        <f>'12. RTSR - Historical Wholesale'!L61</f>
        <v>0</v>
      </c>
      <c r="M62" s="85">
        <f t="shared" si="20"/>
        <v>0</v>
      </c>
      <c r="N62" s="86">
        <f t="shared" si="16"/>
        <v>0</v>
      </c>
      <c r="O62" s="68"/>
      <c r="P62" s="77">
        <f t="shared" si="17"/>
        <v>0</v>
      </c>
      <c r="Q62" s="68"/>
    </row>
    <row r="63" spans="2:17" x14ac:dyDescent="0.2">
      <c r="B63" s="69" t="s">
        <v>792</v>
      </c>
      <c r="C63" s="68"/>
      <c r="D63" s="84">
        <f>'12. RTSR - Historical Wholesale'!D62</f>
        <v>0</v>
      </c>
      <c r="E63" s="85">
        <f t="shared" si="18"/>
        <v>0</v>
      </c>
      <c r="F63" s="86">
        <f t="shared" si="14"/>
        <v>0</v>
      </c>
      <c r="G63" s="68"/>
      <c r="H63" s="84">
        <f>'12. RTSR - Historical Wholesale'!H62</f>
        <v>0</v>
      </c>
      <c r="I63" s="85">
        <f t="shared" si="19"/>
        <v>0</v>
      </c>
      <c r="J63" s="86">
        <f t="shared" si="15"/>
        <v>0</v>
      </c>
      <c r="K63" s="68"/>
      <c r="L63" s="84">
        <f>'12. RTSR - Historical Wholesale'!L62</f>
        <v>0</v>
      </c>
      <c r="M63" s="85">
        <f t="shared" si="20"/>
        <v>0</v>
      </c>
      <c r="N63" s="86">
        <f t="shared" si="16"/>
        <v>0</v>
      </c>
      <c r="O63" s="68"/>
      <c r="P63" s="77">
        <f t="shared" si="17"/>
        <v>0</v>
      </c>
      <c r="Q63" s="68"/>
    </row>
    <row r="64" spans="2:17" x14ac:dyDescent="0.2">
      <c r="B64" s="69" t="s">
        <v>793</v>
      </c>
      <c r="C64" s="68"/>
      <c r="D64" s="84">
        <f>'12. RTSR - Historical Wholesale'!D63</f>
        <v>0</v>
      </c>
      <c r="E64" s="85">
        <f t="shared" si="18"/>
        <v>0</v>
      </c>
      <c r="F64" s="86">
        <f t="shared" si="14"/>
        <v>0</v>
      </c>
      <c r="G64" s="68"/>
      <c r="H64" s="84">
        <f>'12. RTSR - Historical Wholesale'!H63</f>
        <v>0</v>
      </c>
      <c r="I64" s="85">
        <f t="shared" si="19"/>
        <v>0</v>
      </c>
      <c r="J64" s="86">
        <f t="shared" si="15"/>
        <v>0</v>
      </c>
      <c r="K64" s="68"/>
      <c r="L64" s="84">
        <f>'12. RTSR - Historical Wholesale'!L63</f>
        <v>0</v>
      </c>
      <c r="M64" s="85">
        <f t="shared" si="20"/>
        <v>0</v>
      </c>
      <c r="N64" s="86">
        <f t="shared" si="16"/>
        <v>0</v>
      </c>
      <c r="O64" s="68"/>
      <c r="P64" s="77">
        <f t="shared" si="17"/>
        <v>0</v>
      </c>
      <c r="Q64" s="68"/>
    </row>
    <row r="65" spans="2:17" x14ac:dyDescent="0.2">
      <c r="B65" s="69" t="s">
        <v>794</v>
      </c>
      <c r="C65" s="68"/>
      <c r="D65" s="84">
        <f>'12. RTSR - Historical Wholesale'!D64</f>
        <v>0</v>
      </c>
      <c r="E65" s="85">
        <f t="shared" si="18"/>
        <v>0</v>
      </c>
      <c r="F65" s="86">
        <f t="shared" si="14"/>
        <v>0</v>
      </c>
      <c r="G65" s="68"/>
      <c r="H65" s="84">
        <f>'12. RTSR - Historical Wholesale'!H64</f>
        <v>0</v>
      </c>
      <c r="I65" s="85">
        <f t="shared" si="19"/>
        <v>0</v>
      </c>
      <c r="J65" s="86">
        <f t="shared" si="15"/>
        <v>0</v>
      </c>
      <c r="K65" s="68"/>
      <c r="L65" s="84">
        <f>'12. RTSR - Historical Wholesale'!L64</f>
        <v>0</v>
      </c>
      <c r="M65" s="85">
        <f t="shared" si="20"/>
        <v>0</v>
      </c>
      <c r="N65" s="86">
        <f t="shared" si="16"/>
        <v>0</v>
      </c>
      <c r="O65" s="68"/>
      <c r="P65" s="77">
        <f t="shared" si="17"/>
        <v>0</v>
      </c>
      <c r="Q65" s="68"/>
    </row>
    <row r="66" spans="2:17" x14ac:dyDescent="0.2">
      <c r="B66" s="69" t="s">
        <v>795</v>
      </c>
      <c r="C66" s="68"/>
      <c r="D66" s="84">
        <f>'12. RTSR - Historical Wholesale'!D65</f>
        <v>0</v>
      </c>
      <c r="E66" s="85">
        <f t="shared" si="18"/>
        <v>0</v>
      </c>
      <c r="F66" s="86">
        <f t="shared" si="14"/>
        <v>0</v>
      </c>
      <c r="G66" s="68"/>
      <c r="H66" s="84">
        <f>'12. RTSR - Historical Wholesale'!H65</f>
        <v>0</v>
      </c>
      <c r="I66" s="85">
        <f t="shared" si="19"/>
        <v>0</v>
      </c>
      <c r="J66" s="86">
        <f t="shared" si="15"/>
        <v>0</v>
      </c>
      <c r="K66" s="68"/>
      <c r="L66" s="84">
        <f>'12. RTSR - Historical Wholesale'!L65</f>
        <v>0</v>
      </c>
      <c r="M66" s="85">
        <f t="shared" si="20"/>
        <v>0</v>
      </c>
      <c r="N66" s="86">
        <f t="shared" si="16"/>
        <v>0</v>
      </c>
      <c r="O66" s="68"/>
      <c r="P66" s="77">
        <f t="shared" si="17"/>
        <v>0</v>
      </c>
      <c r="Q66" s="68"/>
    </row>
    <row r="67" spans="2:17" x14ac:dyDescent="0.2">
      <c r="B67" s="69" t="s">
        <v>796</v>
      </c>
      <c r="C67" s="68"/>
      <c r="D67" s="84">
        <f>'12. RTSR - Historical Wholesale'!D66</f>
        <v>0</v>
      </c>
      <c r="E67" s="85">
        <f t="shared" si="18"/>
        <v>0</v>
      </c>
      <c r="F67" s="86">
        <f t="shared" si="14"/>
        <v>0</v>
      </c>
      <c r="G67" s="68"/>
      <c r="H67" s="84">
        <f>'12. RTSR - Historical Wholesale'!H66</f>
        <v>0</v>
      </c>
      <c r="I67" s="85">
        <f t="shared" si="19"/>
        <v>0</v>
      </c>
      <c r="J67" s="86">
        <f t="shared" si="15"/>
        <v>0</v>
      </c>
      <c r="K67" s="68"/>
      <c r="L67" s="84">
        <f>'12. RTSR - Historical Wholesale'!L66</f>
        <v>0</v>
      </c>
      <c r="M67" s="85">
        <f t="shared" si="20"/>
        <v>0</v>
      </c>
      <c r="N67" s="86">
        <f t="shared" si="16"/>
        <v>0</v>
      </c>
      <c r="O67" s="68"/>
      <c r="P67" s="77">
        <f t="shared" si="17"/>
        <v>0</v>
      </c>
      <c r="Q67" s="68"/>
    </row>
    <row r="68" spans="2:17" x14ac:dyDescent="0.2">
      <c r="B68" s="69" t="s">
        <v>797</v>
      </c>
      <c r="C68" s="68"/>
      <c r="D68" s="84">
        <f>'12. RTSR - Historical Wholesale'!D67</f>
        <v>0</v>
      </c>
      <c r="E68" s="85">
        <f t="shared" si="18"/>
        <v>0</v>
      </c>
      <c r="F68" s="86">
        <f t="shared" si="14"/>
        <v>0</v>
      </c>
      <c r="G68" s="68"/>
      <c r="H68" s="84">
        <f>'12. RTSR - Historical Wholesale'!H67</f>
        <v>0</v>
      </c>
      <c r="I68" s="85">
        <f t="shared" si="19"/>
        <v>0</v>
      </c>
      <c r="J68" s="86">
        <f t="shared" si="15"/>
        <v>0</v>
      </c>
      <c r="K68" s="68"/>
      <c r="L68" s="84">
        <f>'12. RTSR - Historical Wholesale'!L67</f>
        <v>0</v>
      </c>
      <c r="M68" s="85">
        <f t="shared" si="20"/>
        <v>0</v>
      </c>
      <c r="N68" s="86">
        <f t="shared" si="16"/>
        <v>0</v>
      </c>
      <c r="O68" s="68"/>
      <c r="P68" s="77">
        <f t="shared" si="17"/>
        <v>0</v>
      </c>
      <c r="Q68" s="68"/>
    </row>
    <row r="69" spans="2:17" x14ac:dyDescent="0.2">
      <c r="B69" s="69" t="s">
        <v>798</v>
      </c>
      <c r="C69" s="68"/>
      <c r="D69" s="84">
        <f>'12. RTSR - Historical Wholesale'!D68</f>
        <v>0</v>
      </c>
      <c r="E69" s="85">
        <f t="shared" si="18"/>
        <v>0</v>
      </c>
      <c r="F69" s="86">
        <f t="shared" si="14"/>
        <v>0</v>
      </c>
      <c r="G69" s="68"/>
      <c r="H69" s="84">
        <f>'12. RTSR - Historical Wholesale'!H68</f>
        <v>0</v>
      </c>
      <c r="I69" s="85">
        <f t="shared" si="19"/>
        <v>0</v>
      </c>
      <c r="J69" s="86">
        <f t="shared" si="15"/>
        <v>0</v>
      </c>
      <c r="K69" s="68"/>
      <c r="L69" s="84">
        <f>'12. RTSR - Historical Wholesale'!L68</f>
        <v>0</v>
      </c>
      <c r="M69" s="85">
        <f t="shared" si="20"/>
        <v>0</v>
      </c>
      <c r="N69" s="86">
        <f t="shared" si="16"/>
        <v>0</v>
      </c>
      <c r="O69" s="68"/>
      <c r="P69" s="77">
        <f t="shared" si="17"/>
        <v>0</v>
      </c>
      <c r="Q69" s="68"/>
    </row>
    <row r="70" spans="2:17" x14ac:dyDescent="0.2">
      <c r="B70" s="68"/>
      <c r="C70" s="68"/>
      <c r="D70" s="68"/>
      <c r="E70" s="68"/>
      <c r="F70" s="68"/>
      <c r="G70" s="68"/>
      <c r="H70" s="68"/>
      <c r="I70" s="68"/>
      <c r="J70" s="68"/>
      <c r="K70" s="68"/>
      <c r="L70" s="68"/>
      <c r="M70" s="68"/>
      <c r="N70" s="68"/>
      <c r="O70" s="68"/>
      <c r="P70" s="68"/>
      <c r="Q70" s="68"/>
    </row>
    <row r="71" spans="2:17" ht="13.5" thickBot="1" x14ac:dyDescent="0.25">
      <c r="B71" s="180" t="s">
        <v>688</v>
      </c>
      <c r="C71" s="68"/>
      <c r="D71" s="78">
        <f>SUM(D58:D69)</f>
        <v>0</v>
      </c>
      <c r="E71" s="79">
        <f>IF(D71&lt;&gt;0,F71/D71,0)</f>
        <v>0</v>
      </c>
      <c r="F71" s="80">
        <f>SUM(F58:F69)</f>
        <v>0</v>
      </c>
      <c r="G71" s="68"/>
      <c r="H71" s="78">
        <f>SUM(H58:H69)</f>
        <v>0</v>
      </c>
      <c r="I71" s="79">
        <f>IF(H71&lt;&gt;0,J71/H71,0)</f>
        <v>0</v>
      </c>
      <c r="J71" s="80">
        <f>SUM(J58:J69)</f>
        <v>0</v>
      </c>
      <c r="K71" s="68"/>
      <c r="L71" s="78">
        <f>SUM(L58:L69)</f>
        <v>0</v>
      </c>
      <c r="M71" s="79">
        <f>IF(L71&lt;&gt;0,N71/L71,0)</f>
        <v>0</v>
      </c>
      <c r="N71" s="80">
        <f>SUM(N58:N69)</f>
        <v>0</v>
      </c>
      <c r="O71" s="68"/>
      <c r="P71" s="80">
        <f>SUM(P58:P69)</f>
        <v>0</v>
      </c>
      <c r="Q71" s="68"/>
    </row>
    <row r="72" spans="2:17" x14ac:dyDescent="0.2">
      <c r="B72" s="68"/>
      <c r="C72" s="68"/>
      <c r="D72" s="68"/>
      <c r="E72" s="68"/>
      <c r="F72" s="68"/>
      <c r="G72" s="68"/>
      <c r="H72" s="68"/>
      <c r="I72" s="68"/>
      <c r="J72" s="68"/>
      <c r="K72" s="68"/>
      <c r="L72" s="68"/>
      <c r="M72" s="68"/>
      <c r="N72" s="68"/>
      <c r="O72" s="68"/>
      <c r="P72" s="68"/>
      <c r="Q72" s="68"/>
    </row>
    <row r="73" spans="2:17" x14ac:dyDescent="0.2">
      <c r="B73" s="179" t="str">
        <f>'12. RTSR - Historical Wholesale'!B72</f>
        <v>If needed, add extra host here. (II)</v>
      </c>
      <c r="C73" s="68"/>
      <c r="D73" s="1908" t="s">
        <v>780</v>
      </c>
      <c r="E73" s="1908"/>
      <c r="F73" s="1908"/>
      <c r="G73" s="107"/>
      <c r="H73" s="1908" t="s">
        <v>781</v>
      </c>
      <c r="I73" s="1908"/>
      <c r="J73" s="1908"/>
      <c r="K73" s="107"/>
      <c r="L73" s="1908" t="s">
        <v>782</v>
      </c>
      <c r="M73" s="1908"/>
      <c r="N73" s="1908"/>
      <c r="O73" s="107"/>
      <c r="P73" s="179" t="s">
        <v>783</v>
      </c>
      <c r="Q73" s="68"/>
    </row>
    <row r="74" spans="2:17" x14ac:dyDescent="0.2">
      <c r="B74" s="180"/>
      <c r="C74" s="68"/>
      <c r="D74" s="111"/>
      <c r="E74" s="111"/>
      <c r="F74" s="111"/>
      <c r="G74" s="68"/>
      <c r="H74" s="111"/>
      <c r="I74" s="111"/>
      <c r="J74" s="111"/>
      <c r="K74" s="68"/>
      <c r="L74" s="111"/>
      <c r="M74" s="111"/>
      <c r="N74" s="111"/>
      <c r="O74" s="68"/>
      <c r="P74" s="111"/>
      <c r="Q74" s="68"/>
    </row>
    <row r="75" spans="2:17" x14ac:dyDescent="0.2">
      <c r="B75" s="180" t="s">
        <v>784</v>
      </c>
      <c r="C75" s="68"/>
      <c r="D75" s="111" t="s">
        <v>785</v>
      </c>
      <c r="E75" s="111" t="s">
        <v>763</v>
      </c>
      <c r="F75" s="111" t="s">
        <v>786</v>
      </c>
      <c r="G75" s="68"/>
      <c r="H75" s="111" t="s">
        <v>785</v>
      </c>
      <c r="I75" s="111" t="s">
        <v>763</v>
      </c>
      <c r="J75" s="111" t="s">
        <v>786</v>
      </c>
      <c r="K75" s="68"/>
      <c r="L75" s="111" t="s">
        <v>785</v>
      </c>
      <c r="M75" s="111" t="s">
        <v>763</v>
      </c>
      <c r="N75" s="111" t="s">
        <v>786</v>
      </c>
      <c r="O75" s="68"/>
      <c r="P75" s="111" t="s">
        <v>786</v>
      </c>
      <c r="Q75" s="68"/>
    </row>
    <row r="76" spans="2:17" x14ac:dyDescent="0.2">
      <c r="B76" s="68"/>
      <c r="C76" s="68"/>
      <c r="D76" s="68"/>
      <c r="E76" s="68"/>
      <c r="F76" s="68"/>
      <c r="G76" s="68"/>
      <c r="H76" s="68"/>
      <c r="I76" s="68"/>
      <c r="J76" s="68"/>
      <c r="K76" s="68"/>
      <c r="L76" s="68"/>
      <c r="M76" s="68"/>
      <c r="N76" s="68"/>
      <c r="O76" s="68"/>
      <c r="P76" s="68"/>
      <c r="Q76" s="68"/>
    </row>
    <row r="77" spans="2:17" x14ac:dyDescent="0.2">
      <c r="B77" s="69" t="s">
        <v>787</v>
      </c>
      <c r="C77" s="68"/>
      <c r="D77" s="84">
        <f>'12. RTSR - Historical Wholesale'!D76</f>
        <v>0</v>
      </c>
      <c r="E77" s="85">
        <f>'11. RTSR - UTRs &amp; Sub-Tx'!L65</f>
        <v>0</v>
      </c>
      <c r="F77" s="86">
        <f t="shared" ref="F77:F88" si="21">D77*E77</f>
        <v>0</v>
      </c>
      <c r="G77" s="68"/>
      <c r="H77" s="84">
        <f>'12. RTSR - Historical Wholesale'!H76</f>
        <v>0</v>
      </c>
      <c r="I77" s="85">
        <f>'11. RTSR - UTRs &amp; Sub-Tx'!L67</f>
        <v>0</v>
      </c>
      <c r="J77" s="86">
        <f t="shared" ref="J77:J88" si="22">H77*I77</f>
        <v>0</v>
      </c>
      <c r="K77" s="68"/>
      <c r="L77" s="84">
        <f>'12. RTSR - Historical Wholesale'!L76</f>
        <v>0</v>
      </c>
      <c r="M77" s="85">
        <f>'11. RTSR - UTRs &amp; Sub-Tx'!L69</f>
        <v>0</v>
      </c>
      <c r="N77" s="86">
        <f t="shared" ref="N77:N88" si="23">L77*M77</f>
        <v>0</v>
      </c>
      <c r="O77" s="68"/>
      <c r="P77" s="77">
        <f t="shared" ref="P77:P88" si="24">J77+N77</f>
        <v>0</v>
      </c>
      <c r="Q77" s="68"/>
    </row>
    <row r="78" spans="2:17" x14ac:dyDescent="0.2">
      <c r="B78" s="69" t="s">
        <v>788</v>
      </c>
      <c r="C78" s="68"/>
      <c r="D78" s="84">
        <f>'12. RTSR - Historical Wholesale'!D77</f>
        <v>0</v>
      </c>
      <c r="E78" s="85">
        <f t="shared" ref="E78:E88" si="25">E77</f>
        <v>0</v>
      </c>
      <c r="F78" s="86">
        <f t="shared" si="21"/>
        <v>0</v>
      </c>
      <c r="G78" s="68"/>
      <c r="H78" s="84">
        <f>'12. RTSR - Historical Wholesale'!H77</f>
        <v>0</v>
      </c>
      <c r="I78" s="85">
        <f t="shared" ref="I78:I88" si="26">I77</f>
        <v>0</v>
      </c>
      <c r="J78" s="86">
        <f t="shared" si="22"/>
        <v>0</v>
      </c>
      <c r="K78" s="68"/>
      <c r="L78" s="84">
        <f>'12. RTSR - Historical Wholesale'!L77</f>
        <v>0</v>
      </c>
      <c r="M78" s="85">
        <f t="shared" ref="M78:M88" si="27">M77</f>
        <v>0</v>
      </c>
      <c r="N78" s="86">
        <f t="shared" si="23"/>
        <v>0</v>
      </c>
      <c r="O78" s="68"/>
      <c r="P78" s="77">
        <f t="shared" si="24"/>
        <v>0</v>
      </c>
      <c r="Q78" s="68"/>
    </row>
    <row r="79" spans="2:17" x14ac:dyDescent="0.2">
      <c r="B79" s="69" t="s">
        <v>789</v>
      </c>
      <c r="C79" s="68"/>
      <c r="D79" s="84">
        <f>'12. RTSR - Historical Wholesale'!D78</f>
        <v>0</v>
      </c>
      <c r="E79" s="85">
        <f t="shared" si="25"/>
        <v>0</v>
      </c>
      <c r="F79" s="86">
        <f t="shared" si="21"/>
        <v>0</v>
      </c>
      <c r="G79" s="68"/>
      <c r="H79" s="84">
        <f>'12. RTSR - Historical Wholesale'!H78</f>
        <v>0</v>
      </c>
      <c r="I79" s="85">
        <f t="shared" si="26"/>
        <v>0</v>
      </c>
      <c r="J79" s="86">
        <f t="shared" si="22"/>
        <v>0</v>
      </c>
      <c r="K79" s="68"/>
      <c r="L79" s="84">
        <f>'12. RTSR - Historical Wholesale'!L78</f>
        <v>0</v>
      </c>
      <c r="M79" s="85">
        <f t="shared" si="27"/>
        <v>0</v>
      </c>
      <c r="N79" s="86">
        <f t="shared" si="23"/>
        <v>0</v>
      </c>
      <c r="O79" s="68"/>
      <c r="P79" s="77">
        <f t="shared" si="24"/>
        <v>0</v>
      </c>
      <c r="Q79" s="68"/>
    </row>
    <row r="80" spans="2:17" x14ac:dyDescent="0.2">
      <c r="B80" s="69" t="s">
        <v>790</v>
      </c>
      <c r="C80" s="68"/>
      <c r="D80" s="84">
        <f>'12. RTSR - Historical Wholesale'!D79</f>
        <v>0</v>
      </c>
      <c r="E80" s="85">
        <f t="shared" si="25"/>
        <v>0</v>
      </c>
      <c r="F80" s="86">
        <f t="shared" si="21"/>
        <v>0</v>
      </c>
      <c r="G80" s="68"/>
      <c r="H80" s="84">
        <f>'12. RTSR - Historical Wholesale'!H79</f>
        <v>0</v>
      </c>
      <c r="I80" s="85">
        <f t="shared" si="26"/>
        <v>0</v>
      </c>
      <c r="J80" s="86">
        <f t="shared" si="22"/>
        <v>0</v>
      </c>
      <c r="K80" s="68"/>
      <c r="L80" s="84">
        <f>'12. RTSR - Historical Wholesale'!L79</f>
        <v>0</v>
      </c>
      <c r="M80" s="85">
        <f t="shared" si="27"/>
        <v>0</v>
      </c>
      <c r="N80" s="86">
        <f t="shared" si="23"/>
        <v>0</v>
      </c>
      <c r="O80" s="68"/>
      <c r="P80" s="77">
        <f t="shared" si="24"/>
        <v>0</v>
      </c>
      <c r="Q80" s="68"/>
    </row>
    <row r="81" spans="2:17" x14ac:dyDescent="0.2">
      <c r="B81" s="69" t="s">
        <v>791</v>
      </c>
      <c r="C81" s="68"/>
      <c r="D81" s="84">
        <f>'12. RTSR - Historical Wholesale'!D80</f>
        <v>0</v>
      </c>
      <c r="E81" s="85">
        <f t="shared" si="25"/>
        <v>0</v>
      </c>
      <c r="F81" s="86">
        <f t="shared" si="21"/>
        <v>0</v>
      </c>
      <c r="G81" s="68"/>
      <c r="H81" s="84">
        <f>'12. RTSR - Historical Wholesale'!H80</f>
        <v>0</v>
      </c>
      <c r="I81" s="85">
        <f t="shared" si="26"/>
        <v>0</v>
      </c>
      <c r="J81" s="86">
        <f t="shared" si="22"/>
        <v>0</v>
      </c>
      <c r="K81" s="68"/>
      <c r="L81" s="84">
        <f>'12. RTSR - Historical Wholesale'!L80</f>
        <v>0</v>
      </c>
      <c r="M81" s="85">
        <f t="shared" si="27"/>
        <v>0</v>
      </c>
      <c r="N81" s="86">
        <f t="shared" si="23"/>
        <v>0</v>
      </c>
      <c r="O81" s="68"/>
      <c r="P81" s="77">
        <f t="shared" si="24"/>
        <v>0</v>
      </c>
      <c r="Q81" s="68"/>
    </row>
    <row r="82" spans="2:17" x14ac:dyDescent="0.2">
      <c r="B82" s="69" t="s">
        <v>792</v>
      </c>
      <c r="C82" s="68"/>
      <c r="D82" s="84">
        <f>'12. RTSR - Historical Wholesale'!D81</f>
        <v>0</v>
      </c>
      <c r="E82" s="85">
        <f t="shared" si="25"/>
        <v>0</v>
      </c>
      <c r="F82" s="86">
        <f t="shared" si="21"/>
        <v>0</v>
      </c>
      <c r="G82" s="68"/>
      <c r="H82" s="84">
        <f>'12. RTSR - Historical Wholesale'!H81</f>
        <v>0</v>
      </c>
      <c r="I82" s="85">
        <f t="shared" si="26"/>
        <v>0</v>
      </c>
      <c r="J82" s="86">
        <f t="shared" si="22"/>
        <v>0</v>
      </c>
      <c r="K82" s="68"/>
      <c r="L82" s="84">
        <f>'12. RTSR - Historical Wholesale'!L81</f>
        <v>0</v>
      </c>
      <c r="M82" s="85">
        <f t="shared" si="27"/>
        <v>0</v>
      </c>
      <c r="N82" s="86">
        <f t="shared" si="23"/>
        <v>0</v>
      </c>
      <c r="O82" s="68"/>
      <c r="P82" s="77">
        <f t="shared" si="24"/>
        <v>0</v>
      </c>
      <c r="Q82" s="68"/>
    </row>
    <row r="83" spans="2:17" x14ac:dyDescent="0.2">
      <c r="B83" s="69" t="s">
        <v>793</v>
      </c>
      <c r="C83" s="68"/>
      <c r="D83" s="84">
        <f>'12. RTSR - Historical Wholesale'!D82</f>
        <v>0</v>
      </c>
      <c r="E83" s="85">
        <f t="shared" si="25"/>
        <v>0</v>
      </c>
      <c r="F83" s="86">
        <f t="shared" si="21"/>
        <v>0</v>
      </c>
      <c r="G83" s="68"/>
      <c r="H83" s="84">
        <f>'12. RTSR - Historical Wholesale'!H82</f>
        <v>0</v>
      </c>
      <c r="I83" s="85">
        <f t="shared" si="26"/>
        <v>0</v>
      </c>
      <c r="J83" s="86">
        <f t="shared" si="22"/>
        <v>0</v>
      </c>
      <c r="K83" s="68"/>
      <c r="L83" s="84">
        <f>'12. RTSR - Historical Wholesale'!L82</f>
        <v>0</v>
      </c>
      <c r="M83" s="85">
        <f t="shared" si="27"/>
        <v>0</v>
      </c>
      <c r="N83" s="86">
        <f t="shared" si="23"/>
        <v>0</v>
      </c>
      <c r="O83" s="68"/>
      <c r="P83" s="77">
        <f t="shared" si="24"/>
        <v>0</v>
      </c>
      <c r="Q83" s="68"/>
    </row>
    <row r="84" spans="2:17" x14ac:dyDescent="0.2">
      <c r="B84" s="69" t="s">
        <v>794</v>
      </c>
      <c r="C84" s="68"/>
      <c r="D84" s="84">
        <f>'12. RTSR - Historical Wholesale'!D83</f>
        <v>0</v>
      </c>
      <c r="E84" s="85">
        <f t="shared" si="25"/>
        <v>0</v>
      </c>
      <c r="F84" s="86">
        <f t="shared" si="21"/>
        <v>0</v>
      </c>
      <c r="G84" s="68"/>
      <c r="H84" s="84">
        <f>'12. RTSR - Historical Wholesale'!H83</f>
        <v>0</v>
      </c>
      <c r="I84" s="85">
        <f t="shared" si="26"/>
        <v>0</v>
      </c>
      <c r="J84" s="86">
        <f t="shared" si="22"/>
        <v>0</v>
      </c>
      <c r="K84" s="68"/>
      <c r="L84" s="84">
        <f>'12. RTSR - Historical Wholesale'!L83</f>
        <v>0</v>
      </c>
      <c r="M84" s="85">
        <f t="shared" si="27"/>
        <v>0</v>
      </c>
      <c r="N84" s="86">
        <f t="shared" si="23"/>
        <v>0</v>
      </c>
      <c r="O84" s="68"/>
      <c r="P84" s="77">
        <f t="shared" si="24"/>
        <v>0</v>
      </c>
      <c r="Q84" s="68"/>
    </row>
    <row r="85" spans="2:17" x14ac:dyDescent="0.2">
      <c r="B85" s="69" t="s">
        <v>795</v>
      </c>
      <c r="C85" s="68"/>
      <c r="D85" s="84">
        <f>'12. RTSR - Historical Wholesale'!D84</f>
        <v>0</v>
      </c>
      <c r="E85" s="85">
        <f t="shared" si="25"/>
        <v>0</v>
      </c>
      <c r="F85" s="86">
        <f t="shared" si="21"/>
        <v>0</v>
      </c>
      <c r="G85" s="68"/>
      <c r="H85" s="84">
        <f>'12. RTSR - Historical Wholesale'!H84</f>
        <v>0</v>
      </c>
      <c r="I85" s="85">
        <f t="shared" si="26"/>
        <v>0</v>
      </c>
      <c r="J85" s="86">
        <f t="shared" si="22"/>
        <v>0</v>
      </c>
      <c r="K85" s="68"/>
      <c r="L85" s="84">
        <f>'12. RTSR - Historical Wholesale'!L84</f>
        <v>0</v>
      </c>
      <c r="M85" s="85">
        <f t="shared" si="27"/>
        <v>0</v>
      </c>
      <c r="N85" s="86">
        <f t="shared" si="23"/>
        <v>0</v>
      </c>
      <c r="O85" s="68"/>
      <c r="P85" s="77">
        <f t="shared" si="24"/>
        <v>0</v>
      </c>
      <c r="Q85" s="68"/>
    </row>
    <row r="86" spans="2:17" x14ac:dyDescent="0.2">
      <c r="B86" s="69" t="s">
        <v>796</v>
      </c>
      <c r="C86" s="68"/>
      <c r="D86" s="84">
        <f>'12. RTSR - Historical Wholesale'!D85</f>
        <v>0</v>
      </c>
      <c r="E86" s="85">
        <f t="shared" si="25"/>
        <v>0</v>
      </c>
      <c r="F86" s="86">
        <f t="shared" si="21"/>
        <v>0</v>
      </c>
      <c r="G86" s="68"/>
      <c r="H86" s="84">
        <f>'12. RTSR - Historical Wholesale'!H85</f>
        <v>0</v>
      </c>
      <c r="I86" s="85">
        <f t="shared" si="26"/>
        <v>0</v>
      </c>
      <c r="J86" s="86">
        <f t="shared" si="22"/>
        <v>0</v>
      </c>
      <c r="K86" s="68"/>
      <c r="L86" s="84">
        <f>'12. RTSR - Historical Wholesale'!L85</f>
        <v>0</v>
      </c>
      <c r="M86" s="85">
        <f t="shared" si="27"/>
        <v>0</v>
      </c>
      <c r="N86" s="86">
        <f t="shared" si="23"/>
        <v>0</v>
      </c>
      <c r="O86" s="68"/>
      <c r="P86" s="77">
        <f t="shared" si="24"/>
        <v>0</v>
      </c>
      <c r="Q86" s="68"/>
    </row>
    <row r="87" spans="2:17" x14ac:dyDescent="0.2">
      <c r="B87" s="69" t="s">
        <v>797</v>
      </c>
      <c r="C87" s="68"/>
      <c r="D87" s="84">
        <f>'12. RTSR - Historical Wholesale'!D86</f>
        <v>0</v>
      </c>
      <c r="E87" s="85">
        <f t="shared" si="25"/>
        <v>0</v>
      </c>
      <c r="F87" s="86">
        <f t="shared" si="21"/>
        <v>0</v>
      </c>
      <c r="G87" s="68"/>
      <c r="H87" s="84">
        <f>'12. RTSR - Historical Wholesale'!H86</f>
        <v>0</v>
      </c>
      <c r="I87" s="85">
        <f t="shared" si="26"/>
        <v>0</v>
      </c>
      <c r="J87" s="86">
        <f t="shared" si="22"/>
        <v>0</v>
      </c>
      <c r="K87" s="68"/>
      <c r="L87" s="84">
        <f>'12. RTSR - Historical Wholesale'!L86</f>
        <v>0</v>
      </c>
      <c r="M87" s="85">
        <f t="shared" si="27"/>
        <v>0</v>
      </c>
      <c r="N87" s="86">
        <f t="shared" si="23"/>
        <v>0</v>
      </c>
      <c r="O87" s="68"/>
      <c r="P87" s="77">
        <f t="shared" si="24"/>
        <v>0</v>
      </c>
      <c r="Q87" s="68"/>
    </row>
    <row r="88" spans="2:17" x14ac:dyDescent="0.2">
      <c r="B88" s="69" t="s">
        <v>798</v>
      </c>
      <c r="C88" s="68"/>
      <c r="D88" s="84">
        <f>'12. RTSR - Historical Wholesale'!D87</f>
        <v>0</v>
      </c>
      <c r="E88" s="85">
        <f t="shared" si="25"/>
        <v>0</v>
      </c>
      <c r="F88" s="86">
        <f t="shared" si="21"/>
        <v>0</v>
      </c>
      <c r="G88" s="68"/>
      <c r="H88" s="84">
        <f>'12. RTSR - Historical Wholesale'!H87</f>
        <v>0</v>
      </c>
      <c r="I88" s="85">
        <f t="shared" si="26"/>
        <v>0</v>
      </c>
      <c r="J88" s="86">
        <f t="shared" si="22"/>
        <v>0</v>
      </c>
      <c r="K88" s="68"/>
      <c r="L88" s="84">
        <f>'12. RTSR - Historical Wholesale'!L87</f>
        <v>0</v>
      </c>
      <c r="M88" s="85">
        <f t="shared" si="27"/>
        <v>0</v>
      </c>
      <c r="N88" s="86">
        <f t="shared" si="23"/>
        <v>0</v>
      </c>
      <c r="O88" s="68"/>
      <c r="P88" s="77">
        <f t="shared" si="24"/>
        <v>0</v>
      </c>
      <c r="Q88" s="68"/>
    </row>
    <row r="89" spans="2:17" x14ac:dyDescent="0.2">
      <c r="B89" s="68"/>
      <c r="C89" s="68"/>
      <c r="D89" s="68"/>
      <c r="E89" s="68"/>
      <c r="F89" s="68"/>
      <c r="G89" s="68"/>
      <c r="H89" s="68"/>
      <c r="I89" s="68"/>
      <c r="J89" s="68"/>
      <c r="K89" s="68"/>
      <c r="L89" s="68"/>
      <c r="M89" s="68"/>
      <c r="N89" s="68"/>
      <c r="O89" s="68"/>
      <c r="P89" s="68"/>
      <c r="Q89" s="68"/>
    </row>
    <row r="90" spans="2:17" ht="13.5" thickBot="1" x14ac:dyDescent="0.25">
      <c r="B90" s="180" t="s">
        <v>688</v>
      </c>
      <c r="C90" s="68"/>
      <c r="D90" s="78">
        <f>SUM(D77:D88)</f>
        <v>0</v>
      </c>
      <c r="E90" s="79">
        <f>IF(D90&lt;&gt;0,F90/D90,0)</f>
        <v>0</v>
      </c>
      <c r="F90" s="80">
        <f>SUM(F77:F88)</f>
        <v>0</v>
      </c>
      <c r="G90" s="68"/>
      <c r="H90" s="78">
        <f>SUM(H77:H88)</f>
        <v>0</v>
      </c>
      <c r="I90" s="79">
        <f>IF(H90&lt;&gt;0,J90/H90,0)</f>
        <v>0</v>
      </c>
      <c r="J90" s="80">
        <f>SUM(J77:J88)</f>
        <v>0</v>
      </c>
      <c r="K90" s="68"/>
      <c r="L90" s="78">
        <f>SUM(L77:L88)</f>
        <v>0</v>
      </c>
      <c r="M90" s="79">
        <f>IF(L90&lt;&gt;0,N90/L90,0)</f>
        <v>0</v>
      </c>
      <c r="N90" s="80">
        <f>SUM(N77:N88)</f>
        <v>0</v>
      </c>
      <c r="O90" s="68"/>
      <c r="P90" s="80">
        <f>SUM(P77:P88)</f>
        <v>0</v>
      </c>
      <c r="Q90" s="68"/>
    </row>
    <row r="91" spans="2:17" x14ac:dyDescent="0.2">
      <c r="B91" s="68"/>
      <c r="C91" s="68"/>
      <c r="D91" s="68"/>
      <c r="E91" s="68"/>
      <c r="F91" s="68"/>
      <c r="G91" s="68"/>
      <c r="H91" s="68"/>
      <c r="I91" s="68"/>
      <c r="J91" s="68"/>
      <c r="K91" s="68"/>
      <c r="L91" s="68"/>
      <c r="M91" s="68"/>
      <c r="N91" s="68"/>
      <c r="O91" s="68"/>
      <c r="P91" s="68"/>
      <c r="Q91" s="68"/>
    </row>
    <row r="92" spans="2:17" x14ac:dyDescent="0.2">
      <c r="B92" s="179" t="s">
        <v>688</v>
      </c>
      <c r="C92" s="68"/>
      <c r="D92" s="1908" t="s">
        <v>780</v>
      </c>
      <c r="E92" s="1908"/>
      <c r="F92" s="1908"/>
      <c r="G92" s="107"/>
      <c r="H92" s="1908" t="s">
        <v>781</v>
      </c>
      <c r="I92" s="1908"/>
      <c r="J92" s="1908"/>
      <c r="K92" s="107"/>
      <c r="L92" s="1908" t="s">
        <v>782</v>
      </c>
      <c r="M92" s="1908"/>
      <c r="N92" s="1908"/>
      <c r="O92" s="107"/>
      <c r="P92" s="179" t="s">
        <v>783</v>
      </c>
      <c r="Q92" s="68"/>
    </row>
    <row r="93" spans="2:17" x14ac:dyDescent="0.2">
      <c r="B93" s="68"/>
      <c r="C93" s="68"/>
      <c r="D93" s="1907"/>
      <c r="E93" s="1907"/>
      <c r="F93" s="1907"/>
      <c r="G93" s="68"/>
      <c r="H93" s="1907"/>
      <c r="I93" s="1907"/>
      <c r="J93" s="1907"/>
      <c r="K93" s="68"/>
      <c r="L93" s="1907"/>
      <c r="M93" s="1907"/>
      <c r="N93" s="1907"/>
      <c r="O93" s="68"/>
      <c r="P93" s="111"/>
      <c r="Q93" s="68"/>
    </row>
    <row r="94" spans="2:17" x14ac:dyDescent="0.2">
      <c r="B94" s="180" t="s">
        <v>784</v>
      </c>
      <c r="C94" s="68"/>
      <c r="D94" s="111" t="s">
        <v>785</v>
      </c>
      <c r="E94" s="111" t="s">
        <v>763</v>
      </c>
      <c r="F94" s="111" t="s">
        <v>786</v>
      </c>
      <c r="G94" s="68"/>
      <c r="H94" s="111" t="s">
        <v>785</v>
      </c>
      <c r="I94" s="111" t="s">
        <v>763</v>
      </c>
      <c r="J94" s="111" t="s">
        <v>786</v>
      </c>
      <c r="K94" s="68"/>
      <c r="L94" s="111" t="s">
        <v>785</v>
      </c>
      <c r="M94" s="111" t="s">
        <v>763</v>
      </c>
      <c r="N94" s="111" t="s">
        <v>786</v>
      </c>
      <c r="O94" s="68"/>
      <c r="P94" s="111" t="s">
        <v>786</v>
      </c>
      <c r="Q94" s="68"/>
    </row>
    <row r="95" spans="2:17" x14ac:dyDescent="0.2">
      <c r="B95" s="68"/>
      <c r="C95" s="68"/>
      <c r="D95" s="68"/>
      <c r="E95" s="68"/>
      <c r="F95" s="68"/>
      <c r="G95" s="68"/>
      <c r="H95" s="68"/>
      <c r="I95" s="68"/>
      <c r="J95" s="68"/>
      <c r="K95" s="68"/>
      <c r="L95" s="68"/>
      <c r="M95" s="68"/>
      <c r="N95" s="68"/>
      <c r="O95" s="68"/>
      <c r="P95" s="68"/>
      <c r="Q95" s="68"/>
    </row>
    <row r="96" spans="2:17" x14ac:dyDescent="0.2">
      <c r="B96" s="69" t="s">
        <v>787</v>
      </c>
      <c r="C96" s="68"/>
      <c r="D96" s="81">
        <f>D20+D39+D58+D77</f>
        <v>3600881</v>
      </c>
      <c r="E96" s="87">
        <f t="shared" ref="E96:E107" si="28">IF(D96&lt;&gt;0,F96/D96,0)</f>
        <v>6.37</v>
      </c>
      <c r="F96" s="77">
        <f>F20+F39+F58+F77</f>
        <v>22937611.969999999</v>
      </c>
      <c r="G96" s="68"/>
      <c r="H96" s="81">
        <f>H20+H39+H58+H77</f>
        <v>3567272</v>
      </c>
      <c r="I96" s="87">
        <f t="shared" ref="I96:I107" si="29">IF(H96&lt;&gt;0,J96/H96,0)</f>
        <v>1</v>
      </c>
      <c r="J96" s="77">
        <f>J20+J39+J58+J77</f>
        <v>3567272</v>
      </c>
      <c r="K96" s="68"/>
      <c r="L96" s="81">
        <f>L20+L39+L58+L77</f>
        <v>3610645</v>
      </c>
      <c r="M96" s="87">
        <f t="shared" ref="M96:M107" si="30">IF(L96&lt;&gt;0,N96/L96,0)</f>
        <v>3.39</v>
      </c>
      <c r="N96" s="77">
        <f>N20+N39+N58+N77</f>
        <v>12240086.550000001</v>
      </c>
      <c r="O96" s="68"/>
      <c r="P96" s="77">
        <f t="shared" ref="P96:P107" si="31">J96+N96</f>
        <v>15807358.550000001</v>
      </c>
      <c r="Q96" s="68"/>
    </row>
    <row r="97" spans="2:17" x14ac:dyDescent="0.2">
      <c r="B97" s="69" t="s">
        <v>788</v>
      </c>
      <c r="C97" s="68"/>
      <c r="D97" s="81">
        <f t="shared" ref="D97:D107" si="32">D21+D40+D59+D78</f>
        <v>3387001</v>
      </c>
      <c r="E97" s="87">
        <f t="shared" si="28"/>
        <v>6.37</v>
      </c>
      <c r="F97" s="77">
        <f t="shared" ref="F97:F107" si="33">F21+F40+F59+F78</f>
        <v>21575196.370000001</v>
      </c>
      <c r="G97" s="68"/>
      <c r="H97" s="81">
        <f t="shared" ref="H97:H107" si="34">H21+H40+H59+H78</f>
        <v>3431213.0000000005</v>
      </c>
      <c r="I97" s="87">
        <f t="shared" si="29"/>
        <v>1</v>
      </c>
      <c r="J97" s="77">
        <f t="shared" ref="J97:J107" si="35">J21+J40+J59+J78</f>
        <v>3431213.0000000005</v>
      </c>
      <c r="K97" s="68"/>
      <c r="L97" s="81">
        <f t="shared" ref="L97:L107" si="36">L21+L40+L59+L78</f>
        <v>3455717.0000000005</v>
      </c>
      <c r="M97" s="87">
        <f t="shared" si="30"/>
        <v>3.39</v>
      </c>
      <c r="N97" s="77">
        <f t="shared" ref="N97:N107" si="37">N21+N40+N59+N78</f>
        <v>11714880.630000003</v>
      </c>
      <c r="O97" s="68"/>
      <c r="P97" s="77">
        <f t="shared" si="31"/>
        <v>15146093.630000003</v>
      </c>
      <c r="Q97" s="68"/>
    </row>
    <row r="98" spans="2:17" x14ac:dyDescent="0.2">
      <c r="B98" s="69" t="s">
        <v>789</v>
      </c>
      <c r="C98" s="68"/>
      <c r="D98" s="81">
        <f t="shared" si="32"/>
        <v>3224982.9999999986</v>
      </c>
      <c r="E98" s="87">
        <f t="shared" si="28"/>
        <v>6.3699999999999992</v>
      </c>
      <c r="F98" s="77">
        <f t="shared" si="33"/>
        <v>20543141.70999999</v>
      </c>
      <c r="G98" s="68"/>
      <c r="H98" s="81">
        <f t="shared" si="34"/>
        <v>3311691</v>
      </c>
      <c r="I98" s="87">
        <f t="shared" si="29"/>
        <v>1</v>
      </c>
      <c r="J98" s="77">
        <f t="shared" si="35"/>
        <v>3311691</v>
      </c>
      <c r="K98" s="68"/>
      <c r="L98" s="81">
        <f t="shared" si="36"/>
        <v>3332596</v>
      </c>
      <c r="M98" s="87">
        <f t="shared" si="30"/>
        <v>3.3900000000000006</v>
      </c>
      <c r="N98" s="77">
        <f t="shared" si="37"/>
        <v>11297500.440000001</v>
      </c>
      <c r="O98" s="68"/>
      <c r="P98" s="77">
        <f t="shared" si="31"/>
        <v>14609191.440000001</v>
      </c>
      <c r="Q98" s="68"/>
    </row>
    <row r="99" spans="2:17" x14ac:dyDescent="0.2">
      <c r="B99" s="69" t="s">
        <v>790</v>
      </c>
      <c r="C99" s="68"/>
      <c r="D99" s="81">
        <f t="shared" si="32"/>
        <v>3140497</v>
      </c>
      <c r="E99" s="87">
        <f t="shared" si="28"/>
        <v>6.37</v>
      </c>
      <c r="F99" s="77">
        <f t="shared" si="33"/>
        <v>20004965.890000001</v>
      </c>
      <c r="G99" s="68"/>
      <c r="H99" s="81">
        <f t="shared" si="34"/>
        <v>3675884.1578947366</v>
      </c>
      <c r="I99" s="87">
        <f t="shared" si="29"/>
        <v>1</v>
      </c>
      <c r="J99" s="77">
        <f t="shared" si="35"/>
        <v>3675884.1578947366</v>
      </c>
      <c r="K99" s="68"/>
      <c r="L99" s="81">
        <f t="shared" si="36"/>
        <v>3700986.0623052958</v>
      </c>
      <c r="M99" s="87">
        <f t="shared" si="30"/>
        <v>3.39</v>
      </c>
      <c r="N99" s="77">
        <f t="shared" si="37"/>
        <v>12546342.751214953</v>
      </c>
      <c r="O99" s="68"/>
      <c r="P99" s="77">
        <f t="shared" si="31"/>
        <v>16222226.909109689</v>
      </c>
      <c r="Q99" s="68"/>
    </row>
    <row r="100" spans="2:17" x14ac:dyDescent="0.2">
      <c r="B100" s="69" t="s">
        <v>791</v>
      </c>
      <c r="C100" s="68"/>
      <c r="D100" s="81">
        <f t="shared" si="32"/>
        <v>3631939.9999999995</v>
      </c>
      <c r="E100" s="87">
        <f t="shared" si="28"/>
        <v>6.37</v>
      </c>
      <c r="F100" s="77">
        <f t="shared" si="33"/>
        <v>23135457.799999997</v>
      </c>
      <c r="G100" s="68"/>
      <c r="H100" s="81">
        <f t="shared" si="34"/>
        <v>3591058.9999999995</v>
      </c>
      <c r="I100" s="87">
        <f t="shared" si="29"/>
        <v>1</v>
      </c>
      <c r="J100" s="77">
        <f t="shared" si="35"/>
        <v>3591058.9999999995</v>
      </c>
      <c r="K100" s="68"/>
      <c r="L100" s="81">
        <f t="shared" si="36"/>
        <v>3644593.0000000005</v>
      </c>
      <c r="M100" s="87">
        <f t="shared" si="30"/>
        <v>3.39</v>
      </c>
      <c r="N100" s="77">
        <f t="shared" si="37"/>
        <v>12355170.270000001</v>
      </c>
      <c r="O100" s="68"/>
      <c r="P100" s="77">
        <f t="shared" si="31"/>
        <v>15946229.270000001</v>
      </c>
      <c r="Q100" s="68"/>
    </row>
    <row r="101" spans="2:17" x14ac:dyDescent="0.2">
      <c r="B101" s="69" t="s">
        <v>792</v>
      </c>
      <c r="C101" s="68"/>
      <c r="D101" s="81">
        <f t="shared" si="32"/>
        <v>4312442</v>
      </c>
      <c r="E101" s="87">
        <f t="shared" si="28"/>
        <v>6.37</v>
      </c>
      <c r="F101" s="77">
        <f t="shared" si="33"/>
        <v>27470255.539999999</v>
      </c>
      <c r="G101" s="68"/>
      <c r="H101" s="81">
        <f t="shared" si="34"/>
        <v>4212133</v>
      </c>
      <c r="I101" s="87">
        <f t="shared" si="29"/>
        <v>1</v>
      </c>
      <c r="J101" s="77">
        <f t="shared" si="35"/>
        <v>4212133</v>
      </c>
      <c r="K101" s="68"/>
      <c r="L101" s="81">
        <f t="shared" si="36"/>
        <v>4268117.9999999991</v>
      </c>
      <c r="M101" s="87">
        <f t="shared" si="30"/>
        <v>3.39</v>
      </c>
      <c r="N101" s="77">
        <f t="shared" si="37"/>
        <v>14468920.019999998</v>
      </c>
      <c r="O101" s="68"/>
      <c r="P101" s="77">
        <f t="shared" si="31"/>
        <v>18681053.019999996</v>
      </c>
      <c r="Q101" s="68"/>
    </row>
    <row r="102" spans="2:17" x14ac:dyDescent="0.2">
      <c r="B102" s="69" t="s">
        <v>793</v>
      </c>
      <c r="C102" s="68"/>
      <c r="D102" s="81">
        <f t="shared" si="32"/>
        <v>4295777.0000000009</v>
      </c>
      <c r="E102" s="87">
        <f t="shared" si="28"/>
        <v>6.37</v>
      </c>
      <c r="F102" s="77">
        <f t="shared" si="33"/>
        <v>27364099.490000006</v>
      </c>
      <c r="G102" s="68"/>
      <c r="H102" s="81">
        <f t="shared" si="34"/>
        <v>4228167</v>
      </c>
      <c r="I102" s="87">
        <f t="shared" si="29"/>
        <v>1</v>
      </c>
      <c r="J102" s="77">
        <f t="shared" si="35"/>
        <v>4228167</v>
      </c>
      <c r="K102" s="68"/>
      <c r="L102" s="81">
        <f t="shared" si="36"/>
        <v>4307292.9999999991</v>
      </c>
      <c r="M102" s="87">
        <f t="shared" si="30"/>
        <v>3.39</v>
      </c>
      <c r="N102" s="77">
        <f t="shared" si="37"/>
        <v>14601723.269999998</v>
      </c>
      <c r="O102" s="68"/>
      <c r="P102" s="77">
        <f t="shared" si="31"/>
        <v>18829890.269999996</v>
      </c>
      <c r="Q102" s="68"/>
    </row>
    <row r="103" spans="2:17" x14ac:dyDescent="0.2">
      <c r="B103" s="69" t="s">
        <v>794</v>
      </c>
      <c r="C103" s="68"/>
      <c r="D103" s="81">
        <f t="shared" si="32"/>
        <v>4188850</v>
      </c>
      <c r="E103" s="87">
        <f t="shared" si="28"/>
        <v>6.37</v>
      </c>
      <c r="F103" s="77">
        <f t="shared" si="33"/>
        <v>26682974.5</v>
      </c>
      <c r="G103" s="68"/>
      <c r="H103" s="81">
        <f t="shared" si="34"/>
        <v>4122181</v>
      </c>
      <c r="I103" s="87">
        <f t="shared" si="29"/>
        <v>1</v>
      </c>
      <c r="J103" s="77">
        <f t="shared" si="35"/>
        <v>4122181</v>
      </c>
      <c r="K103" s="68"/>
      <c r="L103" s="81">
        <f t="shared" si="36"/>
        <v>4183805.0000000028</v>
      </c>
      <c r="M103" s="87">
        <f t="shared" si="30"/>
        <v>3.39</v>
      </c>
      <c r="N103" s="77">
        <f t="shared" si="37"/>
        <v>14183098.95000001</v>
      </c>
      <c r="O103" s="68"/>
      <c r="P103" s="77">
        <f t="shared" si="31"/>
        <v>18305279.95000001</v>
      </c>
      <c r="Q103" s="68"/>
    </row>
    <row r="104" spans="2:17" x14ac:dyDescent="0.2">
      <c r="B104" s="69" t="s">
        <v>795</v>
      </c>
      <c r="C104" s="68"/>
      <c r="D104" s="81">
        <f t="shared" si="32"/>
        <v>3782044.0000000005</v>
      </c>
      <c r="E104" s="87">
        <f t="shared" si="28"/>
        <v>6.37</v>
      </c>
      <c r="F104" s="77">
        <f t="shared" si="33"/>
        <v>24091620.280000005</v>
      </c>
      <c r="G104" s="68"/>
      <c r="H104" s="81">
        <f t="shared" si="34"/>
        <v>3653709</v>
      </c>
      <c r="I104" s="87">
        <f t="shared" si="29"/>
        <v>1</v>
      </c>
      <c r="J104" s="77">
        <f t="shared" si="35"/>
        <v>3653709</v>
      </c>
      <c r="K104" s="68"/>
      <c r="L104" s="81">
        <f t="shared" si="36"/>
        <v>3697360.0000000009</v>
      </c>
      <c r="M104" s="87">
        <f t="shared" si="30"/>
        <v>3.39</v>
      </c>
      <c r="N104" s="77">
        <f t="shared" si="37"/>
        <v>12534050.400000004</v>
      </c>
      <c r="O104" s="68"/>
      <c r="P104" s="77">
        <f t="shared" si="31"/>
        <v>16187759.400000004</v>
      </c>
      <c r="Q104" s="68"/>
    </row>
    <row r="105" spans="2:17" x14ac:dyDescent="0.2">
      <c r="B105" s="69" t="s">
        <v>796</v>
      </c>
      <c r="C105" s="68"/>
      <c r="D105" s="81">
        <f t="shared" si="32"/>
        <v>3229201.0000000009</v>
      </c>
      <c r="E105" s="87">
        <f t="shared" si="28"/>
        <v>6.3699999999999992</v>
      </c>
      <c r="F105" s="77">
        <f t="shared" si="33"/>
        <v>20570010.370000005</v>
      </c>
      <c r="G105" s="68"/>
      <c r="H105" s="81">
        <f t="shared" si="34"/>
        <v>3219543.9999999986</v>
      </c>
      <c r="I105" s="87">
        <f t="shared" si="29"/>
        <v>1</v>
      </c>
      <c r="J105" s="77">
        <f t="shared" si="35"/>
        <v>3219543.9999999986</v>
      </c>
      <c r="K105" s="68"/>
      <c r="L105" s="81">
        <f t="shared" si="36"/>
        <v>3265245.9999999995</v>
      </c>
      <c r="M105" s="87">
        <f t="shared" si="30"/>
        <v>3.39</v>
      </c>
      <c r="N105" s="77">
        <f t="shared" si="37"/>
        <v>11069183.939999999</v>
      </c>
      <c r="O105" s="68"/>
      <c r="P105" s="77">
        <f t="shared" si="31"/>
        <v>14288727.939999998</v>
      </c>
      <c r="Q105" s="68"/>
    </row>
    <row r="106" spans="2:17" x14ac:dyDescent="0.2">
      <c r="B106" s="69" t="s">
        <v>797</v>
      </c>
      <c r="C106" s="68"/>
      <c r="D106" s="81">
        <f t="shared" si="32"/>
        <v>3236916.9999999995</v>
      </c>
      <c r="E106" s="87">
        <f t="shared" si="28"/>
        <v>6.370000000000001</v>
      </c>
      <c r="F106" s="77">
        <f t="shared" si="33"/>
        <v>20619161.289999999</v>
      </c>
      <c r="G106" s="68"/>
      <c r="H106" s="81">
        <f t="shared" si="34"/>
        <v>3253599</v>
      </c>
      <c r="I106" s="87">
        <f t="shared" si="29"/>
        <v>1</v>
      </c>
      <c r="J106" s="77">
        <f t="shared" si="35"/>
        <v>3253599</v>
      </c>
      <c r="K106" s="68"/>
      <c r="L106" s="81">
        <f t="shared" si="36"/>
        <v>3264938.0000000005</v>
      </c>
      <c r="M106" s="87">
        <f t="shared" si="30"/>
        <v>3.39</v>
      </c>
      <c r="N106" s="77">
        <f t="shared" si="37"/>
        <v>11068139.820000002</v>
      </c>
      <c r="O106" s="68"/>
      <c r="P106" s="77">
        <f t="shared" si="31"/>
        <v>14321738.820000002</v>
      </c>
      <c r="Q106" s="68"/>
    </row>
    <row r="107" spans="2:17" x14ac:dyDescent="0.2">
      <c r="B107" s="69" t="s">
        <v>798</v>
      </c>
      <c r="C107" s="68"/>
      <c r="D107" s="81">
        <f t="shared" si="32"/>
        <v>3522999</v>
      </c>
      <c r="E107" s="87">
        <f t="shared" si="28"/>
        <v>6.37</v>
      </c>
      <c r="F107" s="77">
        <f t="shared" si="33"/>
        <v>22441503.629999999</v>
      </c>
      <c r="G107" s="68"/>
      <c r="H107" s="81">
        <f t="shared" si="34"/>
        <v>3464107</v>
      </c>
      <c r="I107" s="87">
        <f t="shared" si="29"/>
        <v>1</v>
      </c>
      <c r="J107" s="77">
        <f t="shared" si="35"/>
        <v>3464107</v>
      </c>
      <c r="K107" s="68"/>
      <c r="L107" s="81">
        <f t="shared" si="36"/>
        <v>3492814</v>
      </c>
      <c r="M107" s="87">
        <f t="shared" si="30"/>
        <v>3.39</v>
      </c>
      <c r="N107" s="77">
        <f t="shared" si="37"/>
        <v>11840639.460000001</v>
      </c>
      <c r="O107" s="68"/>
      <c r="P107" s="77">
        <f t="shared" si="31"/>
        <v>15304746.460000001</v>
      </c>
      <c r="Q107" s="68"/>
    </row>
    <row r="108" spans="2:17" x14ac:dyDescent="0.2">
      <c r="B108" s="68"/>
      <c r="C108" s="68"/>
      <c r="D108" s="68"/>
      <c r="E108" s="68"/>
      <c r="F108" s="68"/>
      <c r="G108" s="68"/>
      <c r="H108" s="68"/>
      <c r="I108" s="68"/>
      <c r="J108" s="68"/>
      <c r="K108" s="68"/>
      <c r="L108" s="68"/>
      <c r="M108" s="68"/>
      <c r="N108" s="68"/>
      <c r="O108" s="68"/>
      <c r="P108" s="77"/>
      <c r="Q108" s="68"/>
    </row>
    <row r="109" spans="2:17" ht="13.5" thickBot="1" x14ac:dyDescent="0.25">
      <c r="B109" s="180" t="s">
        <v>688</v>
      </c>
      <c r="C109" s="68"/>
      <c r="D109" s="78">
        <f>SUM(D96:D107)</f>
        <v>43553532</v>
      </c>
      <c r="E109" s="79">
        <f>IF(D109&lt;&gt;0,F109/D109,0)</f>
        <v>6.370000000000001</v>
      </c>
      <c r="F109" s="80">
        <f>SUM(F96:F107)</f>
        <v>277435998.84000003</v>
      </c>
      <c r="G109" s="68"/>
      <c r="H109" s="78">
        <f>SUM(H96:H107)</f>
        <v>43730559.157894731</v>
      </c>
      <c r="I109" s="79">
        <f>IF(H109&lt;&gt;0,J109/H109,0)</f>
        <v>1</v>
      </c>
      <c r="J109" s="80">
        <f>SUM(J96:J107)</f>
        <v>43730559.157894731</v>
      </c>
      <c r="K109" s="68"/>
      <c r="L109" s="78">
        <f>SUM(L96:L107)</f>
        <v>44224111.062305301</v>
      </c>
      <c r="M109" s="79">
        <f>IF(L109&lt;&gt;0,N109/L109,0)</f>
        <v>3.39</v>
      </c>
      <c r="N109" s="80">
        <f>SUM(N96:N107)</f>
        <v>149919736.50121498</v>
      </c>
      <c r="O109" s="68"/>
      <c r="P109" s="80">
        <f>SUM(P96:P107)</f>
        <v>193650295.65910971</v>
      </c>
      <c r="Q109" s="68"/>
    </row>
    <row r="111" spans="2:17" x14ac:dyDescent="0.2">
      <c r="N111" s="82" t="s">
        <v>800</v>
      </c>
      <c r="P111" s="83">
        <f>'11. RTSR - UTRs &amp; Sub-Tx'!L74</f>
        <v>-14577614.76</v>
      </c>
    </row>
    <row r="113" spans="14:16" ht="13.5" thickBot="1" x14ac:dyDescent="0.25">
      <c r="N113" s="51" t="s">
        <v>801</v>
      </c>
      <c r="P113" s="80">
        <f>P109+P111</f>
        <v>179072680.89910972</v>
      </c>
    </row>
  </sheetData>
  <mergeCells count="22">
    <mergeCell ref="D93:F93"/>
    <mergeCell ref="H93:J93"/>
    <mergeCell ref="L93:N93"/>
    <mergeCell ref="D73:F73"/>
    <mergeCell ref="H73:J73"/>
    <mergeCell ref="L73:N73"/>
    <mergeCell ref="D92:F92"/>
    <mergeCell ref="H92:J92"/>
    <mergeCell ref="L92:N92"/>
    <mergeCell ref="B13:P13"/>
    <mergeCell ref="D35:F35"/>
    <mergeCell ref="H35:J35"/>
    <mergeCell ref="L35:N35"/>
    <mergeCell ref="D54:F54"/>
    <mergeCell ref="H54:J54"/>
    <mergeCell ref="L54:N54"/>
    <mergeCell ref="D16:F16"/>
    <mergeCell ref="H16:J16"/>
    <mergeCell ref="L16:N16"/>
    <mergeCell ref="D17:F17"/>
    <mergeCell ref="H17:J17"/>
    <mergeCell ref="L17:N17"/>
  </mergeCells>
  <pageMargins left="0.25" right="0.25" top="0.75" bottom="0.75" header="0.3" footer="0.3"/>
  <pageSetup scale="42" orientation="portrait" r:id="rId1"/>
  <headerFooter>
    <oddFooter>&amp;C&amp;A</oddFooter>
  </headerFooter>
  <rowBreaks count="1" manualBreakCount="1">
    <brk id="72" max="15" man="1"/>
  </rowBreaks>
  <colBreaks count="1" manualBreakCount="1">
    <brk id="24" max="72" man="1"/>
  </colBreaks>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A3:J68"/>
  <sheetViews>
    <sheetView showGridLines="0" workbookViewId="0"/>
  </sheetViews>
  <sheetFormatPr defaultColWidth="9.28515625" defaultRowHeight="12.75" x14ac:dyDescent="0.2"/>
  <cols>
    <col min="1" max="1" width="56.7109375" style="1151" customWidth="1"/>
    <col min="2" max="2" width="79.7109375" style="1151" customWidth="1"/>
    <col min="3" max="3" width="9.28515625" style="1169"/>
    <col min="4" max="4" width="16.28515625" style="1169" customWidth="1"/>
    <col min="5" max="5" width="17.42578125" style="1169" customWidth="1"/>
    <col min="6" max="6" width="16.28515625" style="1169" customWidth="1"/>
    <col min="7" max="7" width="14.5703125" style="1169" customWidth="1"/>
    <col min="8" max="8" width="11.5703125" style="1169" customWidth="1"/>
    <col min="9" max="9" width="14.28515625" style="1169" customWidth="1"/>
    <col min="10" max="10" width="14.42578125" style="1169" customWidth="1"/>
    <col min="11" max="16384" width="9.28515625" style="1151"/>
  </cols>
  <sheetData>
    <row r="3" spans="1:10" x14ac:dyDescent="0.2">
      <c r="D3" s="1170"/>
      <c r="E3" s="1171"/>
      <c r="F3" s="1171"/>
      <c r="G3" s="1171"/>
      <c r="H3" s="1172"/>
      <c r="I3" s="1171"/>
      <c r="J3" s="1170"/>
    </row>
    <row r="4" spans="1:10" x14ac:dyDescent="0.2">
      <c r="D4" s="1170"/>
      <c r="E4" s="1171"/>
      <c r="F4" s="1171"/>
      <c r="G4" s="1171"/>
      <c r="H4" s="1172"/>
      <c r="I4" s="1171"/>
      <c r="J4" s="1170"/>
    </row>
    <row r="5" spans="1:10" x14ac:dyDescent="0.2">
      <c r="D5" s="1170"/>
      <c r="E5" s="1171"/>
      <c r="F5" s="1171"/>
      <c r="G5" s="1171"/>
      <c r="H5" s="1172"/>
      <c r="I5" s="1171"/>
      <c r="J5" s="1170"/>
    </row>
    <row r="6" spans="1:10" x14ac:dyDescent="0.2">
      <c r="D6" s="1170"/>
      <c r="E6" s="1171"/>
      <c r="F6" s="1171"/>
      <c r="G6" s="1171"/>
      <c r="H6" s="1172"/>
      <c r="I6" s="1171"/>
      <c r="J6" s="1170"/>
    </row>
    <row r="7" spans="1:10" x14ac:dyDescent="0.2">
      <c r="D7" s="1170"/>
      <c r="E7" s="1171"/>
      <c r="F7" s="1171"/>
      <c r="G7" s="1171"/>
      <c r="H7" s="1172"/>
      <c r="I7" s="1171"/>
      <c r="J7" s="1170"/>
    </row>
    <row r="8" spans="1:10" x14ac:dyDescent="0.2">
      <c r="D8" s="1170"/>
      <c r="E8" s="1171"/>
      <c r="F8" s="1171"/>
      <c r="G8" s="1171"/>
      <c r="H8" s="1172"/>
      <c r="I8" s="1171"/>
      <c r="J8" s="1170"/>
    </row>
    <row r="9" spans="1:10" x14ac:dyDescent="0.2">
      <c r="D9" s="1170"/>
      <c r="E9" s="1171"/>
      <c r="F9" s="1171"/>
      <c r="G9" s="1171"/>
      <c r="H9" s="1172"/>
      <c r="I9" s="1171"/>
      <c r="J9" s="1170"/>
    </row>
    <row r="10" spans="1:10" x14ac:dyDescent="0.2">
      <c r="D10" s="1170"/>
      <c r="E10" s="1171"/>
      <c r="F10" s="1171"/>
      <c r="G10" s="1171"/>
      <c r="H10" s="1172"/>
      <c r="I10" s="1171"/>
      <c r="J10" s="1170"/>
    </row>
    <row r="11" spans="1:10" x14ac:dyDescent="0.2">
      <c r="D11" s="1170"/>
      <c r="E11" s="1171"/>
      <c r="F11" s="1171"/>
      <c r="G11" s="1171"/>
      <c r="H11" s="1172"/>
      <c r="I11" s="1171"/>
      <c r="J11" s="1170"/>
    </row>
    <row r="12" spans="1:10" x14ac:dyDescent="0.2">
      <c r="D12" s="1170"/>
      <c r="E12" s="1171"/>
      <c r="F12" s="1171"/>
      <c r="G12" s="1171"/>
      <c r="H12" s="1172"/>
      <c r="I12" s="1171"/>
      <c r="J12" s="1170"/>
    </row>
    <row r="13" spans="1:10" ht="15.75" x14ac:dyDescent="0.25">
      <c r="A13" s="1173" t="s">
        <v>802</v>
      </c>
      <c r="D13" s="1170"/>
      <c r="E13" s="1171"/>
      <c r="F13" s="1171"/>
      <c r="G13" s="1171"/>
      <c r="H13" s="1172"/>
      <c r="I13" s="1171"/>
      <c r="J13" s="1170"/>
    </row>
    <row r="14" spans="1:10" x14ac:dyDescent="0.2">
      <c r="D14" s="1170"/>
      <c r="E14" s="1171"/>
      <c r="F14" s="1171"/>
      <c r="G14" s="1171"/>
      <c r="H14" s="1172"/>
      <c r="I14" s="1171"/>
      <c r="J14" s="1170"/>
    </row>
    <row r="15" spans="1:10" ht="47.25" x14ac:dyDescent="0.2">
      <c r="A15" s="1174" t="s">
        <v>343</v>
      </c>
      <c r="B15" s="1174" t="s">
        <v>762</v>
      </c>
      <c r="C15" s="1175" t="s">
        <v>344</v>
      </c>
      <c r="D15" s="1176" t="s">
        <v>803</v>
      </c>
      <c r="E15" s="1177" t="s">
        <v>767</v>
      </c>
      <c r="F15" s="1178" t="s">
        <v>804</v>
      </c>
      <c r="G15" s="1179" t="s">
        <v>805</v>
      </c>
      <c r="H15" s="1180" t="s">
        <v>806</v>
      </c>
      <c r="I15" s="1178" t="s">
        <v>807</v>
      </c>
      <c r="J15" s="1181" t="s">
        <v>808</v>
      </c>
    </row>
    <row r="16" spans="1:10" x14ac:dyDescent="0.2">
      <c r="G16" s="1182"/>
    </row>
    <row r="17" spans="1:10" x14ac:dyDescent="0.2">
      <c r="A17" s="1151" t="s">
        <v>9736</v>
      </c>
      <c r="B17" s="1151" t="s">
        <v>243</v>
      </c>
      <c r="C17" s="1169" t="s">
        <v>845</v>
      </c>
      <c r="D17" s="1240">
        <v>1.4E-2</v>
      </c>
      <c r="E17" s="1306">
        <f>+'10. RTSR Current Rates'!E17</f>
        <v>4886981417</v>
      </c>
      <c r="F17" s="1306">
        <v>0</v>
      </c>
      <c r="G17" s="1182">
        <f>IF(ISERROR(D17*E17), 0, ROUND(D17*E17, 2))</f>
        <v>68417739.840000004</v>
      </c>
      <c r="H17" s="1238">
        <f>G17/SUM($G$17:$G$26)</f>
        <v>0.23776820367957427</v>
      </c>
      <c r="I17" s="1235">
        <f t="shared" ref="I17:I26" si="0">H17*total_current_wholesale_network</f>
        <v>65965459.080235258</v>
      </c>
      <c r="J17" s="1240">
        <f>IF(ISERROR(I17/E17), 0, I17/E17)</f>
        <v>1.3498201333601523E-2</v>
      </c>
    </row>
    <row r="18" spans="1:10" x14ac:dyDescent="0.2">
      <c r="A18" s="1233" t="s">
        <v>9737</v>
      </c>
      <c r="B18" s="1151" t="s">
        <v>243</v>
      </c>
      <c r="C18" s="1169" t="s">
        <v>845</v>
      </c>
      <c r="D18" s="1240">
        <v>1.4E-2</v>
      </c>
      <c r="E18" s="1306">
        <f>'10. RTSR Current Rates'!E19</f>
        <v>328733472</v>
      </c>
      <c r="F18" s="1306">
        <v>0</v>
      </c>
      <c r="G18" s="1182">
        <f>IF(ISERROR(D18*E18), 0, ROUND(D18*E18, 2))</f>
        <v>4602268.6100000003</v>
      </c>
      <c r="H18" s="1238">
        <f t="shared" ref="H18:H26" si="1">G18/SUM($G$17:$G$26)</f>
        <v>1.5993997211975003E-2</v>
      </c>
      <c r="I18" s="1235">
        <f t="shared" si="0"/>
        <v>4437310.5919484608</v>
      </c>
      <c r="J18" s="1240">
        <f>IF(ISERROR(I18/E18), 0, I18/E18)</f>
        <v>1.349820133907283E-2</v>
      </c>
    </row>
    <row r="19" spans="1:10" x14ac:dyDescent="0.2">
      <c r="A19" s="1151" t="s">
        <v>9741</v>
      </c>
      <c r="B19" s="1151" t="s">
        <v>243</v>
      </c>
      <c r="C19" s="1169" t="s">
        <v>845</v>
      </c>
      <c r="D19" s="1240">
        <v>1.363E-2</v>
      </c>
      <c r="E19" s="1306">
        <f>+'10. RTSR Current Rates'!E21</f>
        <v>2329110980</v>
      </c>
      <c r="F19" s="1306">
        <v>0</v>
      </c>
      <c r="G19" s="1182">
        <f>IF(ISERROR(D19*E19), 0, ROUND(D19*E19, 2))</f>
        <v>31745782.66</v>
      </c>
      <c r="H19" s="1238">
        <f t="shared" si="1"/>
        <v>0.11032427752103857</v>
      </c>
      <c r="I19" s="1235">
        <f t="shared" si="0"/>
        <v>30607926.130350698</v>
      </c>
      <c r="J19" s="1240">
        <f>IF(ISERROR(I19/E19), 0, I19/E19)</f>
        <v>1.3141463156191337E-2</v>
      </c>
    </row>
    <row r="20" spans="1:10" x14ac:dyDescent="0.2">
      <c r="A20" s="1151" t="s">
        <v>9742</v>
      </c>
      <c r="B20" s="1151" t="s">
        <v>243</v>
      </c>
      <c r="C20" s="1169" t="s">
        <v>3775</v>
      </c>
      <c r="D20" s="1170">
        <v>4.6086999999999998</v>
      </c>
      <c r="E20" s="1306"/>
      <c r="F20" s="1306">
        <f>+'10. RTSR Current Rates'!F23</f>
        <v>24584849</v>
      </c>
      <c r="G20" s="1235">
        <f>IF(ISERROR(D20*F20), 0, ROUND((D20/30*365/12)*F20, 2))</f>
        <v>114877862.94</v>
      </c>
      <c r="H20" s="1238">
        <f t="shared" si="1"/>
        <v>0.39922837523818638</v>
      </c>
      <c r="I20" s="1235">
        <f t="shared" si="0"/>
        <v>110760323.04947658</v>
      </c>
      <c r="J20" s="1239">
        <f>((+(I20/F20)*12)/365)*30</f>
        <v>4.4435114631035022</v>
      </c>
    </row>
    <row r="21" spans="1:10" x14ac:dyDescent="0.2">
      <c r="A21" s="1151" t="s">
        <v>9742</v>
      </c>
      <c r="B21" s="1151" t="s">
        <v>9744</v>
      </c>
      <c r="C21" s="1169" t="s">
        <v>3775</v>
      </c>
      <c r="D21" s="1170">
        <v>0.78347900000000004</v>
      </c>
      <c r="E21" s="1306"/>
      <c r="F21" s="1306">
        <f>+'10. RTSR Current Rates'!F25</f>
        <v>8598</v>
      </c>
      <c r="G21" s="1236">
        <f t="shared" ref="G21:G24" si="2">IF(ISERROR(D21*F21), 0, ROUND((D21/30*365/12)*F21, 2))</f>
        <v>6829.91</v>
      </c>
      <c r="H21" s="1238">
        <f t="shared" si="1"/>
        <v>2.3735590152361877E-5</v>
      </c>
      <c r="I21" s="1235">
        <f t="shared" si="0"/>
        <v>6585.1071619773857</v>
      </c>
      <c r="J21" s="1239">
        <f>((+(I21/F21)*12)/365)*30</f>
        <v>0.75539662881519398</v>
      </c>
    </row>
    <row r="22" spans="1:10" x14ac:dyDescent="0.2">
      <c r="A22" s="1151" t="s">
        <v>9743</v>
      </c>
      <c r="B22" s="1151" t="s">
        <v>243</v>
      </c>
      <c r="C22" s="1169" t="s">
        <v>3775</v>
      </c>
      <c r="D22" s="1170">
        <v>4.4528999999999996</v>
      </c>
      <c r="E22" s="1306"/>
      <c r="F22" s="1306">
        <f>+'10. RTSR Current Rates'!F27</f>
        <v>9410672</v>
      </c>
      <c r="G22" s="1236">
        <f t="shared" si="2"/>
        <v>42486792.200000003</v>
      </c>
      <c r="H22" s="1238">
        <f t="shared" si="1"/>
        <v>0.14765188509771954</v>
      </c>
      <c r="I22" s="1235">
        <f t="shared" si="0"/>
        <v>40963948.222694732</v>
      </c>
      <c r="J22" s="1239">
        <f>((+(I22/F22)*12)/365)*30</f>
        <v>4.2932957653865085</v>
      </c>
    </row>
    <row r="23" spans="1:10" x14ac:dyDescent="0.2">
      <c r="A23" s="1151" t="s">
        <v>9743</v>
      </c>
      <c r="B23" s="1151" t="s">
        <v>9744</v>
      </c>
      <c r="C23" s="1169" t="s">
        <v>3775</v>
      </c>
      <c r="D23" s="1170">
        <v>0.75699300000000003</v>
      </c>
      <c r="E23" s="1306"/>
      <c r="F23" s="1306">
        <f>+'10. RTSR Current Rates'!F29</f>
        <v>8768</v>
      </c>
      <c r="G23" s="1236">
        <f t="shared" si="2"/>
        <v>6729.5</v>
      </c>
      <c r="H23" s="1238">
        <f t="shared" si="1"/>
        <v>2.3386641102198895E-5</v>
      </c>
      <c r="I23" s="1235">
        <f t="shared" si="0"/>
        <v>6488.2961337011502</v>
      </c>
      <c r="J23" s="1239">
        <f>((+(I23/F23)*12)/365)*30</f>
        <v>0.72986032900847841</v>
      </c>
    </row>
    <row r="24" spans="1:10" x14ac:dyDescent="0.2">
      <c r="A24" s="1151" t="s">
        <v>9738</v>
      </c>
      <c r="B24" s="1151" t="s">
        <v>243</v>
      </c>
      <c r="C24" s="1169" t="s">
        <v>3775</v>
      </c>
      <c r="D24" s="1170">
        <v>5.0759999999999996</v>
      </c>
      <c r="E24" s="1306"/>
      <c r="F24" s="1306">
        <f>+'10. RTSR Current Rates'!F31</f>
        <v>4639620</v>
      </c>
      <c r="G24" s="1236">
        <f t="shared" si="2"/>
        <v>23877804.329999998</v>
      </c>
      <c r="H24" s="1238">
        <f t="shared" si="1"/>
        <v>8.2981148699641988E-2</v>
      </c>
      <c r="I24" s="1235">
        <f t="shared" si="0"/>
        <v>23021957.874375746</v>
      </c>
      <c r="J24" s="1239">
        <f>((+(I24/F24)*12)/365)*30</f>
        <v>4.8940621405256017</v>
      </c>
    </row>
    <row r="25" spans="1:10" x14ac:dyDescent="0.2">
      <c r="A25" s="1151" t="s">
        <v>9739</v>
      </c>
      <c r="B25" s="1151" t="s">
        <v>243</v>
      </c>
      <c r="C25" s="1169" t="s">
        <v>845</v>
      </c>
      <c r="D25" s="1240">
        <v>8.4700000000000001E-3</v>
      </c>
      <c r="E25" s="1306">
        <f>+'10. RTSR Current Rates'!E33</f>
        <v>41590391</v>
      </c>
      <c r="F25" s="1306">
        <v>0</v>
      </c>
      <c r="G25" s="1237">
        <f>IF(ISERROR(D25*E25), 0, ROUND(D25*E25, 2))</f>
        <v>352270.61</v>
      </c>
      <c r="H25" s="1238">
        <f t="shared" si="1"/>
        <v>1.2242256225459063E-3</v>
      </c>
      <c r="I25" s="1235">
        <f t="shared" si="0"/>
        <v>339644.25839654438</v>
      </c>
      <c r="J25" s="1240">
        <f>IF(ISERROR(I25/E25), 0, I25/E25)</f>
        <v>8.1664117655576834E-3</v>
      </c>
    </row>
    <row r="26" spans="1:10" x14ac:dyDescent="0.2">
      <c r="A26" s="1151" t="s">
        <v>9740</v>
      </c>
      <c r="B26" s="1151" t="s">
        <v>243</v>
      </c>
      <c r="C26" s="1169" t="s">
        <v>3775</v>
      </c>
      <c r="D26" s="1170">
        <v>4.0993000000000004</v>
      </c>
      <c r="E26" s="1306"/>
      <c r="F26" s="1306">
        <f>+'10. RTSR Current Rates'!F35</f>
        <v>330988</v>
      </c>
      <c r="G26" s="1236">
        <f t="shared" ref="G26" si="3">IF(ISERROR(D26*F26), 0, ROUND((D26/30*365/12)*F26, 2))</f>
        <v>1375663.82</v>
      </c>
      <c r="H26" s="1238">
        <f t="shared" si="1"/>
        <v>4.7807646980637412E-3</v>
      </c>
      <c r="I26" s="1235">
        <f t="shared" si="0"/>
        <v>1326356.2292263252</v>
      </c>
      <c r="J26" s="1239">
        <f>((+(I26/F26)*12)/365)*30</f>
        <v>3.9523697711465857</v>
      </c>
    </row>
    <row r="28" spans="1:10" ht="15.75" x14ac:dyDescent="0.25">
      <c r="A28" s="1173" t="s">
        <v>9748</v>
      </c>
    </row>
    <row r="29" spans="1:10" ht="47.25" x14ac:dyDescent="0.2">
      <c r="A29" s="1174" t="s">
        <v>343</v>
      </c>
      <c r="B29" s="1174" t="s">
        <v>762</v>
      </c>
      <c r="C29" s="1175" t="s">
        <v>344</v>
      </c>
      <c r="D29" s="1176" t="s">
        <v>9746</v>
      </c>
      <c r="E29" s="1177" t="s">
        <v>767</v>
      </c>
      <c r="F29" s="1178" t="s">
        <v>804</v>
      </c>
      <c r="G29" s="1179" t="s">
        <v>805</v>
      </c>
      <c r="H29" s="1180" t="s">
        <v>806</v>
      </c>
      <c r="I29" s="1178" t="s">
        <v>807</v>
      </c>
      <c r="J29" s="1181" t="s">
        <v>9747</v>
      </c>
    </row>
    <row r="31" spans="1:10" x14ac:dyDescent="0.2">
      <c r="A31" s="1151" t="s">
        <v>9736</v>
      </c>
      <c r="B31" s="1151" t="s">
        <v>175</v>
      </c>
      <c r="C31" s="1169" t="s">
        <v>845</v>
      </c>
      <c r="D31" s="1240">
        <v>9.5899999999999996E-3</v>
      </c>
      <c r="E31" s="1306">
        <f>+'10. RTSR Current Rates'!E18</f>
        <v>4886981417</v>
      </c>
      <c r="F31" s="1306">
        <v>0</v>
      </c>
      <c r="G31" s="1182">
        <f>IF(ISERROR(D31*E31), 0, ROUND(D31*E31, 2))</f>
        <v>46866151.789999999</v>
      </c>
      <c r="H31" s="1238">
        <f>G31/SUM($G$31:$G$40)</f>
        <v>0.24090709337496841</v>
      </c>
      <c r="I31" s="1235">
        <f t="shared" ref="I31:I40" si="4">H31*Total_Current_Wholesale_Lineplus</f>
        <v>43139879.05826775</v>
      </c>
      <c r="J31" s="1240">
        <f>IF(ISERROR(I31/E31), 0, I31/E31)</f>
        <v>8.827510353978444E-3</v>
      </c>
    </row>
    <row r="32" spans="1:10" x14ac:dyDescent="0.2">
      <c r="A32" s="1233" t="s">
        <v>9737</v>
      </c>
      <c r="B32" s="1151" t="s">
        <v>175</v>
      </c>
      <c r="C32" s="1169" t="s">
        <v>845</v>
      </c>
      <c r="D32" s="1240">
        <v>9.5899999999999996E-3</v>
      </c>
      <c r="E32" s="1306">
        <f>+'10. RTSR Current Rates'!E20</f>
        <v>328733472</v>
      </c>
      <c r="F32" s="1306">
        <v>0</v>
      </c>
      <c r="G32" s="1182">
        <f>IF(ISERROR(D32*E32), 0, ROUND(D32*E32, 2))</f>
        <v>3152554</v>
      </c>
      <c r="H32" s="1238">
        <f t="shared" ref="H32:H40" si="5">G32/SUM($G$31:$G$40)</f>
        <v>1.6205141489975747E-2</v>
      </c>
      <c r="I32" s="1235">
        <f t="shared" si="4"/>
        <v>2901898.1309593502</v>
      </c>
      <c r="J32" s="1240">
        <f>IF(ISERROR(I32/E32), 0, I32/E32)</f>
        <v>8.8275103636521381E-3</v>
      </c>
    </row>
    <row r="33" spans="1:10" x14ac:dyDescent="0.2">
      <c r="A33" s="1151" t="s">
        <v>9741</v>
      </c>
      <c r="B33" s="1151" t="s">
        <v>175</v>
      </c>
      <c r="C33" s="1169" t="s">
        <v>845</v>
      </c>
      <c r="D33" s="1240">
        <v>8.5800000000000008E-3</v>
      </c>
      <c r="E33" s="1306">
        <f>+'10. RTSR Current Rates'!E22</f>
        <v>2329110980</v>
      </c>
      <c r="F33" s="1306">
        <v>0</v>
      </c>
      <c r="G33" s="1182">
        <f>IF(ISERROR(D33*E33), 0, ROUND(D33*E33, 2))</f>
        <v>19983772.210000001</v>
      </c>
      <c r="H33" s="1238">
        <f t="shared" si="5"/>
        <v>0.10272301637545157</v>
      </c>
      <c r="I33" s="1235">
        <f t="shared" si="4"/>
        <v>18394885.932395261</v>
      </c>
      <c r="J33" s="1240">
        <f>IF(ISERROR(I33/E33), 0, I33/E33)</f>
        <v>7.8978142692003716E-3</v>
      </c>
    </row>
    <row r="34" spans="1:10" x14ac:dyDescent="0.2">
      <c r="A34" s="1151" t="s">
        <v>9742</v>
      </c>
      <c r="B34" s="1151" t="s">
        <v>175</v>
      </c>
      <c r="C34" s="1169" t="s">
        <v>3775</v>
      </c>
      <c r="D34" s="1170">
        <v>3.1008</v>
      </c>
      <c r="E34" s="1306"/>
      <c r="F34" s="1306">
        <f>+'10. RTSR Current Rates'!F24</f>
        <v>24584849</v>
      </c>
      <c r="G34" s="1235">
        <f>IF(ISERROR(D34*F34), 0, ROUND((D34/30*365/12)*F34, 2))</f>
        <v>77291487.280000001</v>
      </c>
      <c r="H34" s="1238">
        <f t="shared" si="5"/>
        <v>0.39730310324361162</v>
      </c>
      <c r="I34" s="1235">
        <f t="shared" si="4"/>
        <v>71146131.827369303</v>
      </c>
      <c r="J34" s="1239">
        <f>((+(I34/F34)*12)/365)*30</f>
        <v>2.8542590309091955</v>
      </c>
    </row>
    <row r="35" spans="1:10" x14ac:dyDescent="0.2">
      <c r="A35" s="1151" t="s">
        <v>9742</v>
      </c>
      <c r="B35" s="1151" t="s">
        <v>9745</v>
      </c>
      <c r="C35" s="1169" t="s">
        <v>3775</v>
      </c>
      <c r="D35" s="1170">
        <v>0.52713600000000005</v>
      </c>
      <c r="E35" s="1306"/>
      <c r="F35" s="1306">
        <f>+'10. RTSR Current Rates'!F26</f>
        <v>8598</v>
      </c>
      <c r="G35" s="1236">
        <f>IF(ISERROR(D35*F35), 0, ROUND((D35/30*365/12)*F35, 2))</f>
        <v>4595.26</v>
      </c>
      <c r="H35" s="1238">
        <f t="shared" si="5"/>
        <v>2.3621114335623102E-5</v>
      </c>
      <c r="I35" s="1235">
        <f t="shared" si="4"/>
        <v>4229.8962699044223</v>
      </c>
      <c r="J35" s="1239">
        <f t="shared" ref="J35:J40" si="6">((+(I35/F35)*12)/365)*30</f>
        <v>0.48522359681148919</v>
      </c>
    </row>
    <row r="36" spans="1:10" x14ac:dyDescent="0.2">
      <c r="A36" s="1151" t="s">
        <v>9743</v>
      </c>
      <c r="B36" s="1151" t="s">
        <v>175</v>
      </c>
      <c r="C36" s="1169" t="s">
        <v>3775</v>
      </c>
      <c r="D36" s="1170">
        <v>3.0975999999999999</v>
      </c>
      <c r="E36" s="1306"/>
      <c r="F36" s="1306">
        <f>+'10. RTSR Current Rates'!F28</f>
        <v>9410672</v>
      </c>
      <c r="G36" s="1236">
        <f>IF(ISERROR(D36*F36), 0, ROUND((D36/30*365/12)*F36, 2))</f>
        <v>29555365.609999999</v>
      </c>
      <c r="H36" s="1238">
        <f t="shared" si="5"/>
        <v>0.15192408488419654</v>
      </c>
      <c r="I36" s="1235">
        <f t="shared" si="4"/>
        <v>27205453.173356984</v>
      </c>
      <c r="J36" s="1239">
        <f t="shared" si="6"/>
        <v>2.8513134590841189</v>
      </c>
    </row>
    <row r="37" spans="1:10" x14ac:dyDescent="0.2">
      <c r="A37" s="1151" t="s">
        <v>9743</v>
      </c>
      <c r="B37" s="1151" t="s">
        <v>9745</v>
      </c>
      <c r="C37" s="1169" t="s">
        <v>3775</v>
      </c>
      <c r="D37" s="1170">
        <v>0.52659200000000006</v>
      </c>
      <c r="E37" s="1306"/>
      <c r="F37" s="1306">
        <f>+'10. RTSR Current Rates'!F30</f>
        <v>8768</v>
      </c>
      <c r="G37" s="1236">
        <f>IF(ISERROR(D37*F37), 0, ROUND((D37/30*365/12)*F37, 2))</f>
        <v>4681.29</v>
      </c>
      <c r="H37" s="1238">
        <f t="shared" si="5"/>
        <v>2.406333620474338E-5</v>
      </c>
      <c r="I37" s="1235">
        <f t="shared" si="4"/>
        <v>4309.0861255600057</v>
      </c>
      <c r="J37" s="1239">
        <f t="shared" si="6"/>
        <v>0.48472371675382531</v>
      </c>
    </row>
    <row r="38" spans="1:10" x14ac:dyDescent="0.2">
      <c r="A38" s="1151" t="s">
        <v>9738</v>
      </c>
      <c r="B38" s="1151" t="s">
        <v>175</v>
      </c>
      <c r="C38" s="1169" t="s">
        <v>3775</v>
      </c>
      <c r="D38" s="1170">
        <v>3.4415</v>
      </c>
      <c r="E38" s="1306"/>
      <c r="F38" s="1306">
        <f>+'10. RTSR Current Rates'!F32</f>
        <v>4639620</v>
      </c>
      <c r="G38" s="1236">
        <f>IF(ISERROR(D38*F38), 0, ROUND((D38/30*365/12)*F38, 2))</f>
        <v>16189019.619999999</v>
      </c>
      <c r="H38" s="1238">
        <f t="shared" si="5"/>
        <v>8.3216767587833043E-2</v>
      </c>
      <c r="I38" s="1235">
        <f t="shared" si="4"/>
        <v>14901849.667711403</v>
      </c>
      <c r="J38" s="1239">
        <f t="shared" si="6"/>
        <v>3.1678703731677276</v>
      </c>
    </row>
    <row r="39" spans="1:10" x14ac:dyDescent="0.2">
      <c r="A39" s="1151" t="s">
        <v>9739</v>
      </c>
      <c r="B39" s="1151" t="s">
        <v>175</v>
      </c>
      <c r="C39" s="1169" t="s">
        <v>845</v>
      </c>
      <c r="D39" s="1240">
        <v>6.0600000000000003E-3</v>
      </c>
      <c r="E39" s="1306">
        <f>+'10. RTSR Current Rates'!E34</f>
        <v>41590391</v>
      </c>
      <c r="F39" s="1306">
        <v>0</v>
      </c>
      <c r="G39" s="1237">
        <f>IF(ISERROR(D39*E39), 0, ROUND(D39*E39, 2))</f>
        <v>252037.77</v>
      </c>
      <c r="H39" s="1238">
        <f t="shared" si="5"/>
        <v>1.2955551986319552E-3</v>
      </c>
      <c r="I39" s="1235">
        <f t="shared" si="4"/>
        <v>231998.54267180283</v>
      </c>
      <c r="J39" s="1240">
        <f>IF(ISERROR(I39/E39), 0, I39/E39)</f>
        <v>5.578176523317678E-3</v>
      </c>
    </row>
    <row r="40" spans="1:10" x14ac:dyDescent="0.2">
      <c r="A40" s="1151" t="s">
        <v>9740</v>
      </c>
      <c r="B40" s="1151" t="s">
        <v>175</v>
      </c>
      <c r="C40" s="1169" t="s">
        <v>3775</v>
      </c>
      <c r="D40" s="1170">
        <v>3.6970999999999998</v>
      </c>
      <c r="E40" s="1306"/>
      <c r="F40" s="1306">
        <f>+'10. RTSR Current Rates'!F36</f>
        <v>330988</v>
      </c>
      <c r="G40" s="1236">
        <f>IF(ISERROR(D40*F40), 0, ROUND((D40/30*365/12)*F40, 2))</f>
        <v>1240691.51</v>
      </c>
      <c r="H40" s="1238">
        <f t="shared" si="5"/>
        <v>6.3775533947909094E-3</v>
      </c>
      <c r="I40" s="1235">
        <f t="shared" si="4"/>
        <v>1142045.5839824264</v>
      </c>
      <c r="J40" s="1239">
        <f t="shared" si="6"/>
        <v>3.4031479205526263</v>
      </c>
    </row>
    <row r="42" spans="1:10" ht="15.75" x14ac:dyDescent="0.25">
      <c r="A42" s="1173" t="s">
        <v>9752</v>
      </c>
    </row>
    <row r="43" spans="1:10" ht="47.25" x14ac:dyDescent="0.2">
      <c r="A43" s="1174" t="s">
        <v>343</v>
      </c>
      <c r="B43" s="1174" t="s">
        <v>762</v>
      </c>
      <c r="C43" s="1175" t="s">
        <v>344</v>
      </c>
      <c r="D43" s="1176" t="s">
        <v>9750</v>
      </c>
      <c r="E43" s="1177" t="s">
        <v>767</v>
      </c>
      <c r="F43" s="1178" t="s">
        <v>804</v>
      </c>
      <c r="G43" s="1179" t="s">
        <v>805</v>
      </c>
      <c r="H43" s="1180" t="s">
        <v>806</v>
      </c>
      <c r="I43" s="1178" t="s">
        <v>9749</v>
      </c>
      <c r="J43" s="1181" t="s">
        <v>9751</v>
      </c>
    </row>
    <row r="45" spans="1:10" x14ac:dyDescent="0.2">
      <c r="A45" s="1151" t="s">
        <v>9736</v>
      </c>
      <c r="B45" s="1151" t="s">
        <v>243</v>
      </c>
      <c r="C45" s="1169" t="s">
        <v>845</v>
      </c>
      <c r="D45" s="1240">
        <f>+J17</f>
        <v>1.3498201333601523E-2</v>
      </c>
      <c r="E45" s="1306">
        <f>E17</f>
        <v>4886981417</v>
      </c>
      <c r="F45" s="1306">
        <f t="shared" ref="F45:F47" si="7">F17</f>
        <v>0</v>
      </c>
      <c r="G45" s="1182">
        <f>IF(ISERROR(D45*E45), 0, ROUND(D45*E45, 2))</f>
        <v>65965459.079999998</v>
      </c>
      <c r="H45" s="1238">
        <f>G45/SUM($G$45:$G$54)</f>
        <v>0.23776820367872628</v>
      </c>
      <c r="I45" s="1235">
        <f t="shared" ref="I45:I54" si="8">H45*forecast_wholesale_network</f>
        <v>65965459.079999998</v>
      </c>
      <c r="J45" s="1240">
        <f>IF(ISERROR(I45/E45), 0, I45/E45)</f>
        <v>1.3498201333553382E-2</v>
      </c>
    </row>
    <row r="46" spans="1:10" x14ac:dyDescent="0.2">
      <c r="A46" s="1233" t="s">
        <v>9737</v>
      </c>
      <c r="B46" s="1151" t="s">
        <v>243</v>
      </c>
      <c r="C46" s="1169" t="s">
        <v>845</v>
      </c>
      <c r="D46" s="1240">
        <f t="shared" ref="D46:D54" si="9">+J18</f>
        <v>1.349820133907283E-2</v>
      </c>
      <c r="E46" s="1306">
        <f t="shared" ref="E46:E53" si="10">E18</f>
        <v>328733472</v>
      </c>
      <c r="F46" s="1306">
        <f t="shared" si="7"/>
        <v>0</v>
      </c>
      <c r="G46" s="1182">
        <f>IF(ISERROR(D46*E46), 0, ROUND(D46*E46, 2))</f>
        <v>4437310.59</v>
      </c>
      <c r="H46" s="1238">
        <f t="shared" ref="H46:H54" si="11">G46/SUM($G$45:$G$54)</f>
        <v>1.5993997204951902E-2</v>
      </c>
      <c r="I46" s="1235">
        <f t="shared" si="8"/>
        <v>4437310.59</v>
      </c>
      <c r="J46" s="1240">
        <f>IF(ISERROR(I46/E46), 0, I46/E46)</f>
        <v>1.3498201333145655E-2</v>
      </c>
    </row>
    <row r="47" spans="1:10" x14ac:dyDescent="0.2">
      <c r="A47" s="1151" t="s">
        <v>9741</v>
      </c>
      <c r="B47" s="1151" t="s">
        <v>243</v>
      </c>
      <c r="C47" s="1169" t="s">
        <v>845</v>
      </c>
      <c r="D47" s="1240">
        <f t="shared" si="9"/>
        <v>1.3141463156191337E-2</v>
      </c>
      <c r="E47" s="1306">
        <f t="shared" si="10"/>
        <v>2329110980</v>
      </c>
      <c r="F47" s="1306">
        <f t="shared" si="7"/>
        <v>0</v>
      </c>
      <c r="G47" s="1182">
        <f>IF(ISERROR(D47*E47), 0, ROUND(D47*E47, 2))</f>
        <v>30607926.129999999</v>
      </c>
      <c r="H47" s="1238">
        <f t="shared" si="11"/>
        <v>0.1103242775197745</v>
      </c>
      <c r="I47" s="1235">
        <f t="shared" si="8"/>
        <v>30607926.129999999</v>
      </c>
      <c r="J47" s="1240">
        <f>IF(ISERROR(I47/E47), 0, I47/E47)</f>
        <v>1.3141463156040764E-2</v>
      </c>
    </row>
    <row r="48" spans="1:10" x14ac:dyDescent="0.2">
      <c r="A48" s="1151" t="s">
        <v>9742</v>
      </c>
      <c r="B48" s="1151" t="s">
        <v>243</v>
      </c>
      <c r="C48" s="1169" t="s">
        <v>3775</v>
      </c>
      <c r="D48" s="1170">
        <f t="shared" si="9"/>
        <v>4.4435114631035022</v>
      </c>
      <c r="E48" s="1306"/>
      <c r="F48" s="1306">
        <f>F20</f>
        <v>24584849</v>
      </c>
      <c r="G48" s="1235">
        <f>IF(ISERROR(D48*F48), 0, ROUND((D48/30*365/12)*F48, 2))</f>
        <v>110760323.05</v>
      </c>
      <c r="H48" s="1238">
        <f t="shared" si="11"/>
        <v>0.39922837524007304</v>
      </c>
      <c r="I48" s="1235">
        <f t="shared" si="8"/>
        <v>110760323.05</v>
      </c>
      <c r="J48" s="1239">
        <f>((+(I48/F48)*12)/365)*30</f>
        <v>4.4435114631245014</v>
      </c>
    </row>
    <row r="49" spans="1:10" x14ac:dyDescent="0.2">
      <c r="A49" s="1151" t="s">
        <v>9742</v>
      </c>
      <c r="B49" s="1151" t="s">
        <v>9744</v>
      </c>
      <c r="C49" s="1169" t="s">
        <v>3775</v>
      </c>
      <c r="D49" s="1170">
        <f t="shared" si="9"/>
        <v>0.75539662881519398</v>
      </c>
      <c r="E49" s="1306"/>
      <c r="F49" s="1306">
        <f t="shared" ref="F49:F54" si="12">F21</f>
        <v>8598</v>
      </c>
      <c r="G49" s="1236">
        <f t="shared" ref="G49:G52" si="13">IF(ISERROR(D49*F49), 0, ROUND((D49/30*365/12)*F49, 2))</f>
        <v>6585.11</v>
      </c>
      <c r="H49" s="1238">
        <f t="shared" si="11"/>
        <v>2.3735600381829666E-5</v>
      </c>
      <c r="I49" s="1235">
        <f t="shared" si="8"/>
        <v>6585.11</v>
      </c>
      <c r="J49" s="1239">
        <f>((+(I49/F49)*12)/365)*30</f>
        <v>0.75539695437295062</v>
      </c>
    </row>
    <row r="50" spans="1:10" x14ac:dyDescent="0.2">
      <c r="A50" s="1151" t="s">
        <v>9743</v>
      </c>
      <c r="B50" s="1151" t="s">
        <v>243</v>
      </c>
      <c r="C50" s="1169" t="s">
        <v>3775</v>
      </c>
      <c r="D50" s="1170">
        <f t="shared" si="9"/>
        <v>4.2932957653865085</v>
      </c>
      <c r="E50" s="1306"/>
      <c r="F50" s="1306">
        <f t="shared" si="12"/>
        <v>9410672</v>
      </c>
      <c r="G50" s="1236">
        <f t="shared" si="13"/>
        <v>40963948.219999999</v>
      </c>
      <c r="H50" s="1238">
        <f t="shared" si="11"/>
        <v>0.14765188508800653</v>
      </c>
      <c r="I50" s="1235">
        <f t="shared" si="8"/>
        <v>40963948.219999999</v>
      </c>
      <c r="J50" s="1239">
        <f>((+(I50/F50)*12)/365)*30</f>
        <v>4.293295765104082</v>
      </c>
    </row>
    <row r="51" spans="1:10" x14ac:dyDescent="0.2">
      <c r="A51" s="1151" t="s">
        <v>9743</v>
      </c>
      <c r="B51" s="1151" t="s">
        <v>9744</v>
      </c>
      <c r="C51" s="1169" t="s">
        <v>3775</v>
      </c>
      <c r="D51" s="1170">
        <f t="shared" si="9"/>
        <v>0.72986032900847841</v>
      </c>
      <c r="E51" s="1306"/>
      <c r="F51" s="1306">
        <f t="shared" si="12"/>
        <v>8768</v>
      </c>
      <c r="G51" s="1236">
        <f t="shared" si="13"/>
        <v>6488.3</v>
      </c>
      <c r="H51" s="1238">
        <f t="shared" si="11"/>
        <v>2.338665503802145E-5</v>
      </c>
      <c r="I51" s="1235">
        <f t="shared" si="8"/>
        <v>6488.3</v>
      </c>
      <c r="J51" s="1239">
        <f>((+(I51/F51)*12)/365)*30</f>
        <v>0.72986076392360766</v>
      </c>
    </row>
    <row r="52" spans="1:10" x14ac:dyDescent="0.2">
      <c r="A52" s="1151" t="s">
        <v>9738</v>
      </c>
      <c r="B52" s="1151" t="s">
        <v>243</v>
      </c>
      <c r="C52" s="1169" t="s">
        <v>3775</v>
      </c>
      <c r="D52" s="1170">
        <f t="shared" si="9"/>
        <v>4.8940621405256017</v>
      </c>
      <c r="E52" s="1306"/>
      <c r="F52" s="1306">
        <f t="shared" si="12"/>
        <v>4639620</v>
      </c>
      <c r="G52" s="1236">
        <f t="shared" si="13"/>
        <v>23021957.870000001</v>
      </c>
      <c r="H52" s="1238">
        <f t="shared" si="11"/>
        <v>8.298114868386991E-2</v>
      </c>
      <c r="I52" s="1235">
        <f t="shared" si="8"/>
        <v>23021957.870000001</v>
      </c>
      <c r="J52" s="1239">
        <f>((+(I52/F52)*12)/365)*30</f>
        <v>4.8940621395953956</v>
      </c>
    </row>
    <row r="53" spans="1:10" x14ac:dyDescent="0.2">
      <c r="A53" s="1151" t="s">
        <v>9739</v>
      </c>
      <c r="B53" s="1151" t="s">
        <v>243</v>
      </c>
      <c r="C53" s="1169" t="s">
        <v>845</v>
      </c>
      <c r="D53" s="1240">
        <f t="shared" si="9"/>
        <v>8.1664117655576834E-3</v>
      </c>
      <c r="E53" s="1306">
        <f t="shared" si="10"/>
        <v>41590391</v>
      </c>
      <c r="F53" s="1306">
        <f t="shared" si="12"/>
        <v>0</v>
      </c>
      <c r="G53" s="1237">
        <f>IF(ISERROR(D53*E53), 0, ROUND(D53*E53, 2))</f>
        <v>339644.26</v>
      </c>
      <c r="H53" s="1238">
        <f t="shared" si="11"/>
        <v>1.2242256283254579E-3</v>
      </c>
      <c r="I53" s="1235">
        <f t="shared" si="8"/>
        <v>339644.26000000007</v>
      </c>
      <c r="J53" s="1240">
        <f>IF(ISERROR(I53/E53), 0, I53/E53)</f>
        <v>8.1664118041111962E-3</v>
      </c>
    </row>
    <row r="54" spans="1:10" x14ac:dyDescent="0.2">
      <c r="A54" s="1151" t="s">
        <v>9740</v>
      </c>
      <c r="B54" s="1151" t="s">
        <v>243</v>
      </c>
      <c r="C54" s="1169" t="s">
        <v>3775</v>
      </c>
      <c r="D54" s="1170">
        <f t="shared" si="9"/>
        <v>3.9523697711465857</v>
      </c>
      <c r="E54" s="1306"/>
      <c r="F54" s="1306">
        <f t="shared" si="12"/>
        <v>330988</v>
      </c>
      <c r="G54" s="1236">
        <f t="shared" ref="G54" si="14">IF(ISERROR(D54*F54), 0, ROUND((D54/30*365/12)*F54, 2))</f>
        <v>1326356.23</v>
      </c>
      <c r="H54" s="1238">
        <f t="shared" si="11"/>
        <v>4.7807647008524011E-3</v>
      </c>
      <c r="I54" s="1235">
        <f t="shared" si="8"/>
        <v>1326356.23</v>
      </c>
      <c r="J54" s="1239">
        <f>((+(I54/F54)*12)/365)*30</f>
        <v>3.9523697734520358</v>
      </c>
    </row>
    <row r="56" spans="1:10" ht="15.75" x14ac:dyDescent="0.25">
      <c r="A56" s="1173" t="s">
        <v>9754</v>
      </c>
    </row>
    <row r="57" spans="1:10" ht="47.25" x14ac:dyDescent="0.2">
      <c r="A57" s="1174" t="s">
        <v>343</v>
      </c>
      <c r="B57" s="1174" t="s">
        <v>762</v>
      </c>
      <c r="C57" s="1175" t="s">
        <v>344</v>
      </c>
      <c r="D57" s="1176" t="s">
        <v>9747</v>
      </c>
      <c r="E57" s="1177" t="s">
        <v>767</v>
      </c>
      <c r="F57" s="1178" t="s">
        <v>804</v>
      </c>
      <c r="G57" s="1179" t="s">
        <v>805</v>
      </c>
      <c r="H57" s="1180" t="s">
        <v>806</v>
      </c>
      <c r="I57" s="1178" t="s">
        <v>9749</v>
      </c>
      <c r="J57" s="1181" t="s">
        <v>9753</v>
      </c>
    </row>
    <row r="59" spans="1:10" x14ac:dyDescent="0.2">
      <c r="A59" s="1151" t="s">
        <v>9736</v>
      </c>
      <c r="B59" s="1151" t="s">
        <v>175</v>
      </c>
      <c r="C59" s="1169" t="s">
        <v>845</v>
      </c>
      <c r="D59" s="1240">
        <f>+J31</f>
        <v>8.827510353978444E-3</v>
      </c>
      <c r="E59" s="1306">
        <f>E31</f>
        <v>4886981417</v>
      </c>
      <c r="F59" s="1306">
        <f>+F31</f>
        <v>0</v>
      </c>
      <c r="G59" s="1182">
        <f>IF(ISERROR(D59*E59), 0, ROUND(D59*E59, 2))</f>
        <v>43139879.060000002</v>
      </c>
      <c r="H59" s="1238">
        <f>G59/SUM($G$59:$G$68)</f>
        <v>0.24090709338344421</v>
      </c>
      <c r="I59" s="1235">
        <f t="shared" ref="I59:I68" si="15">H59*forecast_wholesale_lineplus</f>
        <v>43139879.05978553</v>
      </c>
      <c r="J59" s="1240">
        <f>IF(ISERROR(I59/E59), 0, I59/E59)</f>
        <v>8.8275103542890202E-3</v>
      </c>
    </row>
    <row r="60" spans="1:10" x14ac:dyDescent="0.2">
      <c r="A60" s="1233" t="s">
        <v>9737</v>
      </c>
      <c r="B60" s="1151" t="s">
        <v>175</v>
      </c>
      <c r="C60" s="1169" t="s">
        <v>845</v>
      </c>
      <c r="D60" s="1240">
        <f t="shared" ref="D60:D68" si="16">+J32</f>
        <v>8.8275103636521381E-3</v>
      </c>
      <c r="E60" s="1306">
        <f t="shared" ref="E60:E67" si="17">E32</f>
        <v>328733472</v>
      </c>
      <c r="F60" s="1306">
        <f t="shared" ref="F60:F68" si="18">+F32</f>
        <v>0</v>
      </c>
      <c r="G60" s="1182">
        <f>IF(ISERROR(D60*E60), 0, ROUND(D60*E60, 2))</f>
        <v>2901898.13</v>
      </c>
      <c r="H60" s="1238">
        <f t="shared" ref="H60:H68" si="19">G60/SUM($G$59:$G$68)</f>
        <v>1.6205141484537861E-2</v>
      </c>
      <c r="I60" s="1235">
        <f t="shared" si="15"/>
        <v>2901898.1299855737</v>
      </c>
      <c r="J60" s="1240">
        <f>IF(ISERROR(I60/E60), 0, I60/E60)</f>
        <v>8.8275103606899313E-3</v>
      </c>
    </row>
    <row r="61" spans="1:10" x14ac:dyDescent="0.2">
      <c r="A61" s="1151" t="s">
        <v>9741</v>
      </c>
      <c r="B61" s="1151" t="s">
        <v>175</v>
      </c>
      <c r="C61" s="1169" t="s">
        <v>845</v>
      </c>
      <c r="D61" s="1240">
        <f t="shared" si="16"/>
        <v>7.8978142692003716E-3</v>
      </c>
      <c r="E61" s="1306">
        <f t="shared" si="17"/>
        <v>2329110980</v>
      </c>
      <c r="F61" s="1306">
        <f t="shared" si="18"/>
        <v>0</v>
      </c>
      <c r="G61" s="1182">
        <f>IF(ISERROR(D61*E61), 0, ROUND(D61*E61, 2))</f>
        <v>18394885.93</v>
      </c>
      <c r="H61" s="1238">
        <f t="shared" si="19"/>
        <v>0.10272301636156497</v>
      </c>
      <c r="I61" s="1235">
        <f t="shared" si="15"/>
        <v>18394885.929908551</v>
      </c>
      <c r="J61" s="1240">
        <f>IF(ISERROR(I61/E61), 0, I61/E61)</f>
        <v>7.8978142681327065E-3</v>
      </c>
    </row>
    <row r="62" spans="1:10" x14ac:dyDescent="0.2">
      <c r="A62" s="1151" t="s">
        <v>9742</v>
      </c>
      <c r="B62" s="1151" t="s">
        <v>175</v>
      </c>
      <c r="C62" s="1169" t="s">
        <v>3775</v>
      </c>
      <c r="D62" s="1170">
        <f t="shared" si="16"/>
        <v>2.8542590309091955</v>
      </c>
      <c r="E62" s="1306"/>
      <c r="F62" s="1306">
        <f t="shared" si="18"/>
        <v>24584849</v>
      </c>
      <c r="G62" s="1235">
        <f>IF(ISERROR(D62*F62), 0, ROUND((D62/30*365/12)*F62, 2))</f>
        <v>71146131.829999998</v>
      </c>
      <c r="H62" s="1238">
        <f t="shared" si="19"/>
        <v>0.39730310325632706</v>
      </c>
      <c r="I62" s="1235">
        <f t="shared" si="15"/>
        <v>71146131.829646289</v>
      </c>
      <c r="J62" s="1239">
        <f>((+(I62/F62)*12)/365)*30</f>
        <v>2.8542590310005442</v>
      </c>
    </row>
    <row r="63" spans="1:10" x14ac:dyDescent="0.2">
      <c r="A63" s="1151" t="s">
        <v>9742</v>
      </c>
      <c r="B63" s="1151" t="s">
        <v>9745</v>
      </c>
      <c r="C63" s="1169" t="s">
        <v>3775</v>
      </c>
      <c r="D63" s="1170">
        <f t="shared" si="16"/>
        <v>0.48522359681148919</v>
      </c>
      <c r="E63" s="1306"/>
      <c r="F63" s="1306">
        <f t="shared" si="18"/>
        <v>8598</v>
      </c>
      <c r="G63" s="1236">
        <f t="shared" ref="G63:G68" si="20">IF(ISERROR(D63*F63), 0, ROUND((D63/30*365/12)*F63, 2))</f>
        <v>4229.8999999999996</v>
      </c>
      <c r="H63" s="1238">
        <f t="shared" si="19"/>
        <v>2.362113516557064E-5</v>
      </c>
      <c r="I63" s="1235">
        <f t="shared" si="15"/>
        <v>4229.8999999789703</v>
      </c>
      <c r="J63" s="1239">
        <f t="shared" ref="J63:J68" si="21">((+(I63/F63)*12)/365)*30</f>
        <v>0.48522402469909515</v>
      </c>
    </row>
    <row r="64" spans="1:10" x14ac:dyDescent="0.2">
      <c r="A64" s="1151" t="s">
        <v>9743</v>
      </c>
      <c r="B64" s="1151" t="s">
        <v>175</v>
      </c>
      <c r="C64" s="1169" t="s">
        <v>3775</v>
      </c>
      <c r="D64" s="1170">
        <f t="shared" si="16"/>
        <v>2.8513134590841189</v>
      </c>
      <c r="E64" s="1306"/>
      <c r="F64" s="1306">
        <f t="shared" si="18"/>
        <v>9410672</v>
      </c>
      <c r="G64" s="1236">
        <f t="shared" si="20"/>
        <v>27205453.170000002</v>
      </c>
      <c r="H64" s="1238">
        <f t="shared" si="19"/>
        <v>0.15192408486469478</v>
      </c>
      <c r="I64" s="1235">
        <f t="shared" si="15"/>
        <v>27205453.169864751</v>
      </c>
      <c r="J64" s="1239">
        <f t="shared" si="21"/>
        <v>2.8513134587181099</v>
      </c>
    </row>
    <row r="65" spans="1:10" x14ac:dyDescent="0.2">
      <c r="A65" s="1151" t="s">
        <v>9743</v>
      </c>
      <c r="B65" s="1151" t="s">
        <v>9745</v>
      </c>
      <c r="C65" s="1169" t="s">
        <v>3775</v>
      </c>
      <c r="D65" s="1170">
        <f t="shared" si="16"/>
        <v>0.48472371675382531</v>
      </c>
      <c r="E65" s="1306"/>
      <c r="F65" s="1306">
        <f t="shared" si="18"/>
        <v>8768</v>
      </c>
      <c r="G65" s="1236">
        <f t="shared" si="20"/>
        <v>4309.09</v>
      </c>
      <c r="H65" s="1238">
        <f t="shared" si="19"/>
        <v>2.406335784075482E-5</v>
      </c>
      <c r="I65" s="1235">
        <f t="shared" si="15"/>
        <v>4309.0899999785779</v>
      </c>
      <c r="J65" s="1239">
        <f t="shared" si="21"/>
        <v>0.4847241525823317</v>
      </c>
    </row>
    <row r="66" spans="1:10" x14ac:dyDescent="0.2">
      <c r="A66" s="1151" t="s">
        <v>9738</v>
      </c>
      <c r="B66" s="1151" t="s">
        <v>175</v>
      </c>
      <c r="C66" s="1169" t="s">
        <v>3775</v>
      </c>
      <c r="D66" s="1170">
        <f t="shared" si="16"/>
        <v>3.1678703731677276</v>
      </c>
      <c r="E66" s="1306"/>
      <c r="F66" s="1306">
        <f t="shared" si="18"/>
        <v>4639620</v>
      </c>
      <c r="G66" s="1236">
        <f t="shared" si="20"/>
        <v>14901849.67</v>
      </c>
      <c r="H66" s="1238">
        <f t="shared" si="19"/>
        <v>8.3216767600199595E-2</v>
      </c>
      <c r="I66" s="1235">
        <f t="shared" si="15"/>
        <v>14901849.669925915</v>
      </c>
      <c r="J66" s="1239">
        <f t="shared" si="21"/>
        <v>3.1678703736384941</v>
      </c>
    </row>
    <row r="67" spans="1:10" x14ac:dyDescent="0.2">
      <c r="A67" s="1151" t="s">
        <v>9739</v>
      </c>
      <c r="B67" s="1151" t="s">
        <v>175</v>
      </c>
      <c r="C67" s="1169" t="s">
        <v>845</v>
      </c>
      <c r="D67" s="1240">
        <f t="shared" si="16"/>
        <v>5.578176523317678E-3</v>
      </c>
      <c r="E67" s="1306">
        <f t="shared" si="17"/>
        <v>41590391</v>
      </c>
      <c r="F67" s="1306">
        <f t="shared" si="18"/>
        <v>0</v>
      </c>
      <c r="G67" s="1237">
        <f>IF(ISERROR(D67*E67), 0, ROUND(D67*E67, 2))</f>
        <v>231998.54</v>
      </c>
      <c r="H67" s="1238">
        <f t="shared" si="19"/>
        <v>1.2955551837052998E-3</v>
      </c>
      <c r="I67" s="1235">
        <f t="shared" si="15"/>
        <v>231998.53999884662</v>
      </c>
      <c r="J67" s="1240">
        <f>IF(ISERROR(I67/E67), 0, I67/E67)</f>
        <v>5.5781764590490772E-3</v>
      </c>
    </row>
    <row r="68" spans="1:10" x14ac:dyDescent="0.2">
      <c r="A68" s="1151" t="s">
        <v>9740</v>
      </c>
      <c r="B68" s="1151" t="s">
        <v>175</v>
      </c>
      <c r="C68" s="1169" t="s">
        <v>3775</v>
      </c>
      <c r="D68" s="1170">
        <f t="shared" si="16"/>
        <v>3.4031479205526263</v>
      </c>
      <c r="E68" s="1306"/>
      <c r="F68" s="1306">
        <f t="shared" si="18"/>
        <v>330988</v>
      </c>
      <c r="G68" s="1236">
        <f t="shared" si="20"/>
        <v>1142045.58</v>
      </c>
      <c r="H68" s="1238">
        <f t="shared" si="19"/>
        <v>6.3775533725200419E-3</v>
      </c>
      <c r="I68" s="1235">
        <f t="shared" si="15"/>
        <v>1142045.5799943225</v>
      </c>
      <c r="J68" s="1239">
        <f t="shared" si="21"/>
        <v>3.403147908668593</v>
      </c>
    </row>
  </sheetData>
  <pageMargins left="0.25" right="0.25" top="0.75" bottom="0.75" header="0.3" footer="0.3"/>
  <pageSetup scale="40" orientation="portrait" r:id="rId1"/>
  <headerFooter>
    <oddFooter>&amp;C&amp;A</oddFooter>
  </headerFooter>
  <customProperties>
    <customPr name="_pios_id" r:id="rId2"/>
  </customProperties>
  <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2083-8931-4DFF-8764-4A9F52B8EC7D}">
  <sheetPr codeName="Sheet35">
    <pageSetUpPr fitToPage="1"/>
  </sheetPr>
  <dimension ref="A1:AC70"/>
  <sheetViews>
    <sheetView showGridLines="0" zoomScaleNormal="100" workbookViewId="0">
      <selection activeCell="A13" sqref="A13"/>
    </sheetView>
  </sheetViews>
  <sheetFormatPr defaultColWidth="9.28515625" defaultRowHeight="15" x14ac:dyDescent="0.25"/>
  <cols>
    <col min="1" max="1" width="36.42578125" customWidth="1"/>
    <col min="2" max="2" width="32.5703125" customWidth="1"/>
    <col min="3" max="3" width="32.28515625" customWidth="1"/>
    <col min="4" max="4" width="17.28515625" customWidth="1"/>
    <col min="5" max="5" width="22.7109375" customWidth="1"/>
    <col min="6" max="6" width="22.140625" bestFit="1" customWidth="1"/>
    <col min="7" max="7" width="18.28515625" customWidth="1"/>
    <col min="8" max="8" width="14.28515625" customWidth="1"/>
    <col min="9" max="9" width="11.42578125" bestFit="1" customWidth="1"/>
    <col min="10" max="10" width="5.42578125" customWidth="1"/>
    <col min="11" max="11" width="13.5703125" customWidth="1"/>
    <col min="12" max="12" width="13.28515625" customWidth="1"/>
    <col min="13" max="13" width="11.42578125" customWidth="1"/>
    <col min="14" max="17" width="0" hidden="1" customWidth="1"/>
    <col min="25" max="26" width="9.28515625" hidden="1" customWidth="1"/>
    <col min="27" max="28" width="0" hidden="1" customWidth="1"/>
  </cols>
  <sheetData>
    <row r="1" spans="1:29" x14ac:dyDescent="0.25">
      <c r="Y1" t="b">
        <v>0</v>
      </c>
      <c r="Z1">
        <v>0</v>
      </c>
      <c r="AC1" s="188" t="s">
        <v>809</v>
      </c>
    </row>
    <row r="2" spans="1:29" x14ac:dyDescent="0.25">
      <c r="Y2" t="b">
        <v>1</v>
      </c>
    </row>
    <row r="3" spans="1:29" x14ac:dyDescent="0.25">
      <c r="K3" s="21"/>
    </row>
    <row r="8" spans="1:29" x14ac:dyDescent="0.25">
      <c r="B8">
        <v>0</v>
      </c>
    </row>
    <row r="9" spans="1:29" x14ac:dyDescent="0.25">
      <c r="B9">
        <v>0</v>
      </c>
    </row>
    <row r="10" spans="1:29" x14ac:dyDescent="0.25">
      <c r="B10" s="426">
        <v>0</v>
      </c>
    </row>
    <row r="11" spans="1:29" x14ac:dyDescent="0.25">
      <c r="B11" s="317"/>
      <c r="C11" s="317"/>
      <c r="D11" s="317"/>
      <c r="E11" s="317"/>
      <c r="F11" s="317"/>
      <c r="G11" s="317"/>
      <c r="H11" s="317"/>
    </row>
    <row r="12" spans="1:29" x14ac:dyDescent="0.25">
      <c r="A12" t="s">
        <v>810</v>
      </c>
      <c r="B12" s="317"/>
      <c r="C12" s="317"/>
      <c r="D12" s="317"/>
      <c r="E12" s="317"/>
      <c r="F12" s="317"/>
      <c r="G12" s="317"/>
      <c r="H12" s="317"/>
    </row>
    <row r="13" spans="1:29" x14ac:dyDescent="0.25">
      <c r="A13" s="875"/>
      <c r="B13" s="317"/>
      <c r="C13" s="317"/>
      <c r="D13" s="317"/>
      <c r="E13" s="317"/>
      <c r="F13" s="317"/>
      <c r="G13" s="317"/>
      <c r="H13" s="317"/>
    </row>
    <row r="14" spans="1:29" x14ac:dyDescent="0.25">
      <c r="B14" s="317"/>
      <c r="C14" s="317"/>
      <c r="D14" s="317"/>
      <c r="E14" s="317"/>
      <c r="F14" s="317"/>
      <c r="G14" s="317"/>
      <c r="H14" s="317"/>
    </row>
    <row r="15" spans="1:29" x14ac:dyDescent="0.25">
      <c r="A15" s="1911" t="s">
        <v>811</v>
      </c>
      <c r="B15" s="1911"/>
      <c r="C15" s="1911"/>
      <c r="D15" s="317"/>
      <c r="E15" s="1911" t="s">
        <v>812</v>
      </c>
      <c r="F15" s="1911"/>
      <c r="G15" s="317"/>
      <c r="H15" s="317"/>
      <c r="I15" s="317"/>
    </row>
    <row r="16" spans="1:29" x14ac:dyDescent="0.25">
      <c r="A16" s="317" t="s">
        <v>813</v>
      </c>
      <c r="B16" s="317" t="s">
        <v>814</v>
      </c>
      <c r="C16" s="317" t="s">
        <v>815</v>
      </c>
      <c r="D16" s="317"/>
      <c r="E16" s="317" t="s">
        <v>816</v>
      </c>
      <c r="F16" s="317" t="s">
        <v>815</v>
      </c>
      <c r="G16" s="317"/>
      <c r="H16" s="317"/>
      <c r="I16" s="317"/>
    </row>
    <row r="17" spans="1:9" x14ac:dyDescent="0.25">
      <c r="D17" s="317"/>
      <c r="E17" s="883"/>
      <c r="G17" s="317"/>
      <c r="H17" s="317"/>
      <c r="I17" s="317"/>
    </row>
    <row r="18" spans="1:9" x14ac:dyDescent="0.25">
      <c r="D18" s="317"/>
      <c r="E18" s="317"/>
      <c r="G18" s="317"/>
      <c r="H18" s="317"/>
      <c r="I18" s="317"/>
    </row>
    <row r="19" spans="1:9" x14ac:dyDescent="0.25">
      <c r="D19" s="317"/>
      <c r="E19" s="317"/>
      <c r="G19" s="317"/>
      <c r="H19" s="317"/>
      <c r="I19" s="317"/>
    </row>
    <row r="20" spans="1:9" x14ac:dyDescent="0.25">
      <c r="D20" s="317"/>
      <c r="E20" s="317"/>
      <c r="G20" s="317"/>
      <c r="H20" s="317"/>
      <c r="I20" s="317"/>
    </row>
    <row r="21" spans="1:9" x14ac:dyDescent="0.25">
      <c r="D21" s="317"/>
      <c r="E21" s="317"/>
      <c r="G21" s="317"/>
      <c r="H21" s="317"/>
      <c r="I21" s="317"/>
    </row>
    <row r="22" spans="1:9" x14ac:dyDescent="0.25">
      <c r="A22" t="s">
        <v>817</v>
      </c>
      <c r="B22" s="317"/>
      <c r="C22" s="317"/>
      <c r="D22" s="317"/>
      <c r="E22" s="317"/>
      <c r="F22" s="317"/>
      <c r="G22" s="317"/>
      <c r="H22" s="317"/>
    </row>
    <row r="23" spans="1:9" x14ac:dyDescent="0.25">
      <c r="A23" s="874" t="s">
        <v>818</v>
      </c>
      <c r="B23" s="874" t="s">
        <v>813</v>
      </c>
      <c r="C23" s="874" t="s">
        <v>819</v>
      </c>
      <c r="D23" s="874" t="s">
        <v>820</v>
      </c>
      <c r="E23" s="874" t="s">
        <v>821</v>
      </c>
      <c r="F23" s="874" t="s">
        <v>822</v>
      </c>
      <c r="G23" s="874" t="s">
        <v>823</v>
      </c>
      <c r="H23" s="874" t="s">
        <v>824</v>
      </c>
      <c r="I23" s="874" t="s">
        <v>815</v>
      </c>
    </row>
    <row r="24" spans="1:9" x14ac:dyDescent="0.25">
      <c r="A24" s="376" t="s">
        <v>688</v>
      </c>
      <c r="B24" s="535"/>
      <c r="C24" s="535"/>
      <c r="D24" s="828"/>
      <c r="E24" s="829"/>
      <c r="F24" s="830"/>
      <c r="G24" s="828"/>
      <c r="H24" s="535"/>
      <c r="I24" s="535"/>
    </row>
    <row r="25" spans="1:9" x14ac:dyDescent="0.25">
      <c r="B25" s="317"/>
      <c r="C25" s="317"/>
      <c r="D25" s="317"/>
      <c r="E25" s="317"/>
      <c r="F25" s="317"/>
      <c r="G25" s="317"/>
      <c r="H25" s="317"/>
    </row>
    <row r="26" spans="1:9" x14ac:dyDescent="0.25">
      <c r="A26" t="s">
        <v>825</v>
      </c>
      <c r="B26" s="317"/>
      <c r="C26" s="317"/>
      <c r="D26" s="317"/>
      <c r="E26" s="317"/>
      <c r="F26" s="317"/>
      <c r="G26" s="317"/>
      <c r="H26" s="317"/>
    </row>
    <row r="27" spans="1:9" x14ac:dyDescent="0.25">
      <c r="A27" s="874" t="s">
        <v>818</v>
      </c>
      <c r="B27" s="874" t="s">
        <v>813</v>
      </c>
      <c r="C27" s="874" t="s">
        <v>819</v>
      </c>
      <c r="D27" s="874" t="s">
        <v>820</v>
      </c>
      <c r="E27" s="874" t="s">
        <v>821</v>
      </c>
      <c r="F27" s="874" t="s">
        <v>822</v>
      </c>
      <c r="G27" s="874" t="s">
        <v>823</v>
      </c>
      <c r="H27" s="874" t="s">
        <v>824</v>
      </c>
      <c r="I27" s="874" t="s">
        <v>815</v>
      </c>
    </row>
    <row r="28" spans="1:9" x14ac:dyDescent="0.25">
      <c r="A28" s="376" t="s">
        <v>688</v>
      </c>
      <c r="B28" s="535"/>
      <c r="C28" s="535"/>
      <c r="D28" s="535"/>
      <c r="E28" s="535"/>
      <c r="F28" s="535"/>
      <c r="G28" s="828"/>
      <c r="H28" s="535"/>
      <c r="I28" s="535"/>
    </row>
    <row r="29" spans="1:9" x14ac:dyDescent="0.25">
      <c r="B29" s="317"/>
      <c r="C29" s="317"/>
      <c r="D29" s="317"/>
      <c r="E29" s="317"/>
      <c r="F29" s="317"/>
      <c r="G29" s="317"/>
      <c r="H29" s="317"/>
    </row>
    <row r="30" spans="1:9" x14ac:dyDescent="0.25">
      <c r="A30" t="s">
        <v>826</v>
      </c>
      <c r="B30" s="317"/>
      <c r="C30" s="317"/>
      <c r="D30" s="317"/>
      <c r="E30" s="317"/>
      <c r="F30" s="317"/>
      <c r="G30" s="317"/>
      <c r="H30" s="317"/>
    </row>
    <row r="31" spans="1:9" x14ac:dyDescent="0.25">
      <c r="A31" s="874" t="s">
        <v>818</v>
      </c>
      <c r="B31" s="874" t="s">
        <v>813</v>
      </c>
      <c r="C31" s="874" t="s">
        <v>819</v>
      </c>
      <c r="D31" s="874" t="s">
        <v>820</v>
      </c>
      <c r="E31" s="874" t="s">
        <v>821</v>
      </c>
      <c r="F31" s="874" t="s">
        <v>822</v>
      </c>
      <c r="G31" s="874" t="s">
        <v>823</v>
      </c>
      <c r="H31" s="874" t="s">
        <v>824</v>
      </c>
      <c r="I31" s="874" t="s">
        <v>815</v>
      </c>
    </row>
    <row r="32" spans="1:9" x14ac:dyDescent="0.25">
      <c r="A32" s="376" t="s">
        <v>688</v>
      </c>
      <c r="B32" s="535"/>
      <c r="C32" s="535"/>
      <c r="D32" s="535"/>
      <c r="E32" s="535"/>
      <c r="F32" s="535"/>
      <c r="G32" s="535"/>
      <c r="H32" s="535"/>
      <c r="I32" s="535"/>
    </row>
    <row r="33" spans="1:9" x14ac:dyDescent="0.25">
      <c r="B33" s="317"/>
      <c r="C33" s="317"/>
      <c r="D33" s="317"/>
      <c r="E33" s="317"/>
      <c r="F33" s="317"/>
      <c r="G33" s="317"/>
      <c r="H33" s="317"/>
    </row>
    <row r="34" spans="1:9" x14ac:dyDescent="0.25">
      <c r="A34" t="s">
        <v>827</v>
      </c>
      <c r="B34" s="317"/>
      <c r="C34" s="317"/>
      <c r="D34" s="317"/>
      <c r="E34" s="317"/>
      <c r="F34" s="317"/>
      <c r="G34" s="317"/>
      <c r="H34" s="317"/>
    </row>
    <row r="35" spans="1:9" x14ac:dyDescent="0.25">
      <c r="A35" s="874" t="s">
        <v>818</v>
      </c>
      <c r="B35" s="874" t="s">
        <v>813</v>
      </c>
      <c r="C35" s="874" t="s">
        <v>819</v>
      </c>
      <c r="D35" s="874" t="s">
        <v>820</v>
      </c>
      <c r="E35" s="874" t="s">
        <v>821</v>
      </c>
      <c r="F35" s="874" t="s">
        <v>822</v>
      </c>
      <c r="G35" s="874" t="s">
        <v>823</v>
      </c>
      <c r="H35" s="874" t="s">
        <v>824</v>
      </c>
      <c r="I35" s="874" t="s">
        <v>815</v>
      </c>
    </row>
    <row r="36" spans="1:9" x14ac:dyDescent="0.25">
      <c r="A36" s="376" t="s">
        <v>688</v>
      </c>
      <c r="B36" s="535"/>
      <c r="C36" s="535"/>
      <c r="D36" s="535"/>
      <c r="E36" s="535"/>
      <c r="F36" s="535"/>
      <c r="G36" s="535"/>
      <c r="H36" s="535"/>
      <c r="I36" s="535"/>
    </row>
    <row r="37" spans="1:9" x14ac:dyDescent="0.25">
      <c r="B37" s="317"/>
      <c r="C37" s="317"/>
      <c r="D37" s="317"/>
      <c r="E37" s="317"/>
      <c r="F37" s="317"/>
      <c r="G37" s="317"/>
      <c r="H37" s="317"/>
    </row>
    <row r="38" spans="1:9" x14ac:dyDescent="0.25">
      <c r="A38" t="s">
        <v>828</v>
      </c>
      <c r="B38" s="317"/>
      <c r="C38" s="317"/>
      <c r="D38" s="317"/>
      <c r="E38" s="317"/>
      <c r="F38" s="317"/>
      <c r="G38" s="317"/>
      <c r="H38" s="317"/>
    </row>
    <row r="39" spans="1:9" x14ac:dyDescent="0.25">
      <c r="A39" s="874" t="s">
        <v>818</v>
      </c>
      <c r="B39" s="874" t="s">
        <v>813</v>
      </c>
      <c r="C39" s="874" t="s">
        <v>819</v>
      </c>
      <c r="D39" s="871" t="s">
        <v>820</v>
      </c>
      <c r="E39" s="872" t="s">
        <v>821</v>
      </c>
      <c r="F39" s="873" t="s">
        <v>822</v>
      </c>
      <c r="G39" s="871" t="s">
        <v>823</v>
      </c>
      <c r="H39" s="874" t="s">
        <v>824</v>
      </c>
      <c r="I39" s="874" t="s">
        <v>815</v>
      </c>
    </row>
    <row r="40" spans="1:9" x14ac:dyDescent="0.25">
      <c r="A40" s="376" t="s">
        <v>688</v>
      </c>
      <c r="B40" s="535"/>
      <c r="C40" s="535"/>
      <c r="D40" s="535"/>
      <c r="E40" s="535"/>
      <c r="F40" s="535"/>
      <c r="G40" s="828"/>
      <c r="H40" s="535"/>
      <c r="I40" s="535"/>
    </row>
    <row r="41" spans="1:9" x14ac:dyDescent="0.25">
      <c r="B41" s="317"/>
      <c r="C41" s="317"/>
      <c r="D41" s="317"/>
      <c r="E41" s="317"/>
      <c r="F41" s="317"/>
      <c r="G41" s="317"/>
      <c r="H41" s="317"/>
    </row>
    <row r="42" spans="1:9" x14ac:dyDescent="0.25">
      <c r="A42" t="s">
        <v>829</v>
      </c>
      <c r="B42" s="317"/>
      <c r="C42" s="317"/>
      <c r="D42" s="317"/>
      <c r="E42" s="317"/>
      <c r="F42" s="317"/>
      <c r="G42" s="317"/>
      <c r="H42" s="317"/>
    </row>
    <row r="43" spans="1:9" x14ac:dyDescent="0.25">
      <c r="A43" s="874" t="s">
        <v>818</v>
      </c>
      <c r="B43" s="874" t="s">
        <v>813</v>
      </c>
      <c r="C43" s="874" t="s">
        <v>819</v>
      </c>
      <c r="D43" s="874" t="s">
        <v>820</v>
      </c>
      <c r="E43" s="874" t="s">
        <v>821</v>
      </c>
      <c r="F43" s="874" t="s">
        <v>822</v>
      </c>
      <c r="G43" s="874" t="s">
        <v>823</v>
      </c>
      <c r="H43" s="874" t="s">
        <v>824</v>
      </c>
      <c r="I43" s="874" t="s">
        <v>815</v>
      </c>
    </row>
    <row r="44" spans="1:9" x14ac:dyDescent="0.25">
      <c r="A44" s="376" t="s">
        <v>688</v>
      </c>
      <c r="B44" s="535"/>
      <c r="C44" s="535"/>
      <c r="D44" s="535"/>
      <c r="E44" s="535"/>
      <c r="F44" s="535"/>
      <c r="G44" s="828"/>
      <c r="H44" s="535"/>
      <c r="I44" s="535"/>
    </row>
    <row r="45" spans="1:9" x14ac:dyDescent="0.25">
      <c r="B45" s="317"/>
      <c r="C45" s="317"/>
      <c r="D45" s="317"/>
      <c r="E45" s="317"/>
      <c r="F45" s="317"/>
      <c r="G45" s="317"/>
      <c r="H45" s="317"/>
    </row>
    <row r="46" spans="1:9" x14ac:dyDescent="0.25">
      <c r="A46" t="s">
        <v>830</v>
      </c>
      <c r="B46" s="317"/>
      <c r="C46" s="317"/>
      <c r="D46" s="317"/>
      <c r="E46" s="317"/>
      <c r="F46" s="317"/>
      <c r="G46" s="317"/>
      <c r="H46" s="317"/>
    </row>
    <row r="47" spans="1:9" x14ac:dyDescent="0.25">
      <c r="A47" s="874" t="s">
        <v>818</v>
      </c>
      <c r="B47" s="874" t="s">
        <v>813</v>
      </c>
      <c r="C47" s="874" t="s">
        <v>819</v>
      </c>
      <c r="D47" s="874" t="s">
        <v>820</v>
      </c>
      <c r="E47" s="874" t="s">
        <v>821</v>
      </c>
      <c r="F47" s="874" t="s">
        <v>822</v>
      </c>
      <c r="G47" s="874" t="s">
        <v>823</v>
      </c>
      <c r="H47" s="874" t="s">
        <v>824</v>
      </c>
      <c r="I47" s="874" t="s">
        <v>815</v>
      </c>
    </row>
    <row r="48" spans="1:9" x14ac:dyDescent="0.25">
      <c r="A48" s="376" t="s">
        <v>688</v>
      </c>
      <c r="B48" s="535"/>
      <c r="C48" s="535"/>
      <c r="D48" s="535"/>
      <c r="E48" s="535"/>
      <c r="F48" s="535"/>
      <c r="G48" s="828"/>
      <c r="H48" s="535"/>
      <c r="I48" s="535"/>
    </row>
    <row r="49" spans="1:9" x14ac:dyDescent="0.25">
      <c r="B49" s="317"/>
      <c r="C49" s="317"/>
      <c r="D49" s="317"/>
      <c r="E49" s="317"/>
      <c r="F49" s="317"/>
      <c r="G49" s="317"/>
      <c r="H49" s="317"/>
    </row>
    <row r="50" spans="1:9" x14ac:dyDescent="0.25">
      <c r="A50" t="s">
        <v>831</v>
      </c>
      <c r="B50" s="317"/>
      <c r="C50" s="317"/>
      <c r="D50" s="317"/>
      <c r="E50" s="317"/>
      <c r="F50" s="317"/>
      <c r="G50" s="317"/>
      <c r="H50" s="317"/>
    </row>
    <row r="51" spans="1:9" x14ac:dyDescent="0.25">
      <c r="A51" s="874" t="s">
        <v>818</v>
      </c>
      <c r="B51" s="874" t="s">
        <v>813</v>
      </c>
      <c r="C51" s="874" t="s">
        <v>819</v>
      </c>
      <c r="D51" s="874" t="s">
        <v>820</v>
      </c>
      <c r="E51" s="874" t="s">
        <v>821</v>
      </c>
      <c r="F51" s="874" t="s">
        <v>822</v>
      </c>
      <c r="G51" s="874" t="s">
        <v>823</v>
      </c>
      <c r="H51" s="874" t="s">
        <v>824</v>
      </c>
      <c r="I51" s="874" t="s">
        <v>815</v>
      </c>
    </row>
    <row r="52" spans="1:9" x14ac:dyDescent="0.25">
      <c r="A52" s="376" t="s">
        <v>688</v>
      </c>
      <c r="B52" s="535"/>
      <c r="C52" s="535"/>
      <c r="D52" s="535"/>
      <c r="E52" s="535"/>
      <c r="F52" s="535"/>
      <c r="G52" s="535"/>
      <c r="H52" s="535"/>
      <c r="I52" s="535"/>
    </row>
    <row r="53" spans="1:9" x14ac:dyDescent="0.25">
      <c r="B53" s="317"/>
      <c r="C53" s="317"/>
      <c r="D53" s="317"/>
      <c r="E53" s="317"/>
      <c r="F53" s="317"/>
      <c r="G53" s="317"/>
      <c r="H53" s="317"/>
    </row>
    <row r="54" spans="1:9" x14ac:dyDescent="0.25">
      <c r="A54" t="s">
        <v>832</v>
      </c>
      <c r="B54" s="317"/>
      <c r="C54" s="317"/>
      <c r="D54" s="317"/>
      <c r="E54" s="317"/>
      <c r="F54" s="317"/>
      <c r="G54" s="317"/>
      <c r="H54" s="317"/>
    </row>
    <row r="55" spans="1:9" x14ac:dyDescent="0.25">
      <c r="A55" s="874" t="s">
        <v>818</v>
      </c>
      <c r="B55" s="874" t="s">
        <v>813</v>
      </c>
      <c r="C55" s="874" t="s">
        <v>819</v>
      </c>
      <c r="D55" s="874" t="s">
        <v>820</v>
      </c>
      <c r="E55" s="874" t="s">
        <v>821</v>
      </c>
      <c r="F55" s="874" t="s">
        <v>822</v>
      </c>
      <c r="G55" s="874" t="s">
        <v>823</v>
      </c>
      <c r="H55" s="874" t="s">
        <v>824</v>
      </c>
      <c r="I55" s="874" t="s">
        <v>815</v>
      </c>
    </row>
    <row r="56" spans="1:9" x14ac:dyDescent="0.25">
      <c r="A56" s="376" t="s">
        <v>688</v>
      </c>
      <c r="B56" s="535"/>
      <c r="C56" s="535"/>
      <c r="D56" s="535"/>
      <c r="E56" s="535"/>
      <c r="F56" s="535"/>
      <c r="G56" s="535"/>
      <c r="H56" s="535"/>
      <c r="I56" s="535"/>
    </row>
    <row r="57" spans="1:9" x14ac:dyDescent="0.25">
      <c r="B57" s="317"/>
      <c r="C57" s="317"/>
      <c r="D57" s="317"/>
      <c r="E57" s="317"/>
      <c r="F57" s="317"/>
      <c r="G57" s="317"/>
      <c r="H57" s="317"/>
    </row>
    <row r="58" spans="1:9" x14ac:dyDescent="0.25">
      <c r="A58" t="s">
        <v>833</v>
      </c>
      <c r="B58" s="317"/>
      <c r="C58" s="317"/>
      <c r="D58" s="317"/>
      <c r="E58" s="317"/>
      <c r="F58" s="317"/>
      <c r="G58" s="317"/>
      <c r="H58" s="317"/>
    </row>
    <row r="59" spans="1:9" x14ac:dyDescent="0.25">
      <c r="A59" s="874" t="s">
        <v>818</v>
      </c>
      <c r="B59" s="874" t="s">
        <v>813</v>
      </c>
      <c r="C59" s="874" t="s">
        <v>819</v>
      </c>
      <c r="D59" s="874" t="s">
        <v>820</v>
      </c>
      <c r="E59" s="874" t="s">
        <v>821</v>
      </c>
      <c r="F59" s="874" t="s">
        <v>822</v>
      </c>
      <c r="G59" s="874" t="s">
        <v>823</v>
      </c>
      <c r="H59" s="874" t="s">
        <v>824</v>
      </c>
      <c r="I59" s="874" t="s">
        <v>815</v>
      </c>
    </row>
    <row r="60" spans="1:9" x14ac:dyDescent="0.25">
      <c r="A60" s="376" t="s">
        <v>688</v>
      </c>
      <c r="B60" s="535"/>
      <c r="C60" s="535"/>
      <c r="D60" s="535"/>
      <c r="E60" s="535"/>
      <c r="F60" s="535"/>
      <c r="G60" s="535"/>
      <c r="H60" s="535"/>
      <c r="I60" s="535"/>
    </row>
    <row r="61" spans="1:9" x14ac:dyDescent="0.25">
      <c r="B61" s="317"/>
      <c r="C61" s="317"/>
      <c r="D61" s="317"/>
      <c r="E61" s="317"/>
      <c r="F61" s="317"/>
      <c r="G61" s="317"/>
      <c r="H61" s="317"/>
    </row>
    <row r="62" spans="1:9" x14ac:dyDescent="0.25">
      <c r="A62" t="s">
        <v>834</v>
      </c>
      <c r="B62" s="317"/>
      <c r="C62" s="317"/>
      <c r="D62" s="317"/>
      <c r="E62" s="317"/>
      <c r="F62" s="317"/>
      <c r="G62" s="317"/>
      <c r="H62" s="317"/>
    </row>
    <row r="63" spans="1:9" x14ac:dyDescent="0.25">
      <c r="A63" s="874" t="s">
        <v>818</v>
      </c>
      <c r="B63" s="874" t="s">
        <v>813</v>
      </c>
      <c r="C63" s="874" t="s">
        <v>819</v>
      </c>
      <c r="D63" s="874" t="s">
        <v>820</v>
      </c>
      <c r="E63" s="874" t="s">
        <v>821</v>
      </c>
      <c r="F63" s="874" t="s">
        <v>822</v>
      </c>
      <c r="G63" s="874" t="s">
        <v>823</v>
      </c>
      <c r="H63" s="874" t="s">
        <v>824</v>
      </c>
      <c r="I63" s="874" t="s">
        <v>815</v>
      </c>
    </row>
    <row r="64" spans="1:9" x14ac:dyDescent="0.25">
      <c r="A64" s="376" t="s">
        <v>688</v>
      </c>
      <c r="B64" s="376"/>
      <c r="C64" s="376"/>
      <c r="D64" s="376"/>
      <c r="E64" s="376"/>
      <c r="F64" s="376"/>
      <c r="G64" s="376"/>
      <c r="H64" s="376"/>
      <c r="I64" s="535"/>
    </row>
    <row r="66" spans="1:9" x14ac:dyDescent="0.25">
      <c r="A66" t="s">
        <v>835</v>
      </c>
      <c r="B66" s="317"/>
      <c r="C66" s="317"/>
      <c r="D66" s="317"/>
      <c r="E66" s="317"/>
      <c r="F66" s="317"/>
      <c r="G66" s="317"/>
      <c r="H66" s="317"/>
    </row>
    <row r="67" spans="1:9" x14ac:dyDescent="0.25">
      <c r="A67" s="874" t="s">
        <v>818</v>
      </c>
      <c r="B67" s="874" t="s">
        <v>813</v>
      </c>
      <c r="C67" s="874" t="s">
        <v>819</v>
      </c>
      <c r="D67" s="874" t="s">
        <v>820</v>
      </c>
      <c r="E67" s="874" t="s">
        <v>821</v>
      </c>
      <c r="F67" s="874" t="s">
        <v>822</v>
      </c>
      <c r="G67" s="874" t="s">
        <v>823</v>
      </c>
      <c r="H67" s="874" t="s">
        <v>824</v>
      </c>
      <c r="I67" s="874" t="s">
        <v>815</v>
      </c>
    </row>
    <row r="68" spans="1:9" x14ac:dyDescent="0.25">
      <c r="A68" s="376" t="s">
        <v>688</v>
      </c>
      <c r="B68" s="376"/>
      <c r="C68" s="376"/>
      <c r="D68" s="376"/>
      <c r="E68" s="376"/>
      <c r="F68" s="376"/>
      <c r="G68" s="376"/>
      <c r="H68" s="376"/>
      <c r="I68" s="535"/>
    </row>
    <row r="70" spans="1:9" x14ac:dyDescent="0.25">
      <c r="F70" s="831" t="s">
        <v>836</v>
      </c>
      <c r="G70" s="832">
        <f>SUM(G68,G64,G60,G56,G52,G48,G44,G40,G36,G32,G28,G24)</f>
        <v>0</v>
      </c>
    </row>
  </sheetData>
  <sheetProtection algorithmName="SHA-512" hashValue="a2gHRUw6jY0G0yidiBzrznin08LC12Ci7kbyrR1xPK89fPkjk9dGP2JeSiJMLqNhmf8tVTtfgdGwRWABq1SjAg==" saltValue="XjkN1Ql8PNxeiHrtgLLXow==" spinCount="100000" sheet="1" objects="1" scenarios="1"/>
  <mergeCells count="2">
    <mergeCell ref="A15:C15"/>
    <mergeCell ref="E15:F15"/>
  </mergeCells>
  <dataValidations count="2">
    <dataValidation type="list" allowBlank="1" showInputMessage="1" showErrorMessage="1" sqref="AC1" xr:uid="{CC965DD4-99F3-482D-9FAC-7E8170B8DCC1}">
      <formula1>"YES, NO"</formula1>
    </dataValidation>
    <dataValidation type="list" allowBlank="1" showInputMessage="1" showErrorMessage="1" sqref="A13" xr:uid="{0A33D87E-8D46-4251-B74F-A9D9801C3054}">
      <formula1>"Loss Adjusted,Total Metered"</formula1>
    </dataValidation>
  </dataValidations>
  <pageMargins left="0.25" right="0.25" top="0.75" bottom="0.75" header="0.3" footer="0.3"/>
  <pageSetup scale="47" orientation="portrait" r:id="rId1"/>
  <headerFooter>
    <oddFooter>&amp;C&amp;A</oddFooter>
  </headerFooter>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95234" r:id="rId5" name="Button 2">
              <controlPr locked="0" defaultSize="0" print="0" autoFill="0" autoPict="0" macro="[0]!Desc_Click">
                <anchor>
                  <from>
                    <xdr:col>3</xdr:col>
                    <xdr:colOff>38100</xdr:colOff>
                    <xdr:row>13</xdr:row>
                    <xdr:rowOff>9525</xdr:rowOff>
                  </from>
                  <to>
                    <xdr:col>3</xdr:col>
                    <xdr:colOff>200025</xdr:colOff>
                    <xdr:row>14</xdr:row>
                    <xdr:rowOff>47625</xdr:rowOff>
                  </to>
                </anchor>
              </controlPr>
            </control>
          </mc:Choice>
        </mc:AlternateContent>
        <mc:AlternateContent xmlns:mc="http://schemas.openxmlformats.org/markup-compatibility/2006">
          <mc:Choice Requires="x14">
            <control shapeId="95235" r:id="rId6" name="Button 3">
              <controlPr locked="0" defaultSize="0" print="0" autoFill="0" autoPict="0" macro="[0]!DelDesc_Click">
                <anchor>
                  <from>
                    <xdr:col>3</xdr:col>
                    <xdr:colOff>238125</xdr:colOff>
                    <xdr:row>13</xdr:row>
                    <xdr:rowOff>9525</xdr:rowOff>
                  </from>
                  <to>
                    <xdr:col>3</xdr:col>
                    <xdr:colOff>400050</xdr:colOff>
                    <xdr:row>14</xdr:row>
                    <xdr:rowOff>47625</xdr:rowOff>
                  </to>
                </anchor>
              </controlPr>
            </control>
          </mc:Choice>
        </mc:AlternateContent>
        <mc:AlternateContent xmlns:mc="http://schemas.openxmlformats.org/markup-compatibility/2006">
          <mc:Choice Requires="x14">
            <control shapeId="95245" r:id="rId7" name="Button 13">
              <controlPr locked="0" defaultSize="0" print="0" autoFill="0" autoPict="0" macro="[0]!JanAdd_Click">
                <anchor moveWithCells="1" sizeWithCells="1">
                  <from>
                    <xdr:col>9</xdr:col>
                    <xdr:colOff>133350</xdr:colOff>
                    <xdr:row>21</xdr:row>
                    <xdr:rowOff>66675</xdr:rowOff>
                  </from>
                  <to>
                    <xdr:col>10</xdr:col>
                    <xdr:colOff>47625</xdr:colOff>
                    <xdr:row>22</xdr:row>
                    <xdr:rowOff>104775</xdr:rowOff>
                  </to>
                </anchor>
              </controlPr>
            </control>
          </mc:Choice>
        </mc:AlternateContent>
        <mc:AlternateContent xmlns:mc="http://schemas.openxmlformats.org/markup-compatibility/2006">
          <mc:Choice Requires="x14">
            <control shapeId="95246" r:id="rId8" name="Button 14">
              <controlPr locked="0" defaultSize="0" print="0" autoFill="0" autoPict="0" macro="[0]!JanDel_Click">
                <anchor moveWithCells="1" sizeWithCells="1">
                  <from>
                    <xdr:col>10</xdr:col>
                    <xdr:colOff>104775</xdr:colOff>
                    <xdr:row>21</xdr:row>
                    <xdr:rowOff>66675</xdr:rowOff>
                  </from>
                  <to>
                    <xdr:col>10</xdr:col>
                    <xdr:colOff>266700</xdr:colOff>
                    <xdr:row>22</xdr:row>
                    <xdr:rowOff>104775</xdr:rowOff>
                  </to>
                </anchor>
              </controlPr>
            </control>
          </mc:Choice>
        </mc:AlternateContent>
        <mc:AlternateContent xmlns:mc="http://schemas.openxmlformats.org/markup-compatibility/2006">
          <mc:Choice Requires="x14">
            <control shapeId="95261" r:id="rId9" name="Button 29">
              <controlPr locked="0" defaultSize="0" print="0" autoFill="0" autoPict="0" macro="[0]!FebAdd_Click">
                <anchor moveWithCells="1" sizeWithCells="1">
                  <from>
                    <xdr:col>9</xdr:col>
                    <xdr:colOff>133350</xdr:colOff>
                    <xdr:row>25</xdr:row>
                    <xdr:rowOff>76200</xdr:rowOff>
                  </from>
                  <to>
                    <xdr:col>10</xdr:col>
                    <xdr:colOff>47625</xdr:colOff>
                    <xdr:row>26</xdr:row>
                    <xdr:rowOff>114300</xdr:rowOff>
                  </to>
                </anchor>
              </controlPr>
            </control>
          </mc:Choice>
        </mc:AlternateContent>
        <mc:AlternateContent xmlns:mc="http://schemas.openxmlformats.org/markup-compatibility/2006">
          <mc:Choice Requires="x14">
            <control shapeId="95262" r:id="rId10" name="Button 30">
              <controlPr locked="0" defaultSize="0" print="0" autoFill="0" autoPict="0" macro="[0]!MarAdd_Click">
                <anchor moveWithCells="1" sizeWithCells="1">
                  <from>
                    <xdr:col>9</xdr:col>
                    <xdr:colOff>123825</xdr:colOff>
                    <xdr:row>29</xdr:row>
                    <xdr:rowOff>47625</xdr:rowOff>
                  </from>
                  <to>
                    <xdr:col>10</xdr:col>
                    <xdr:colOff>47625</xdr:colOff>
                    <xdr:row>30</xdr:row>
                    <xdr:rowOff>85725</xdr:rowOff>
                  </to>
                </anchor>
              </controlPr>
            </control>
          </mc:Choice>
        </mc:AlternateContent>
        <mc:AlternateContent xmlns:mc="http://schemas.openxmlformats.org/markup-compatibility/2006">
          <mc:Choice Requires="x14">
            <control shapeId="95263" r:id="rId11" name="Button 31">
              <controlPr locked="0" defaultSize="0" print="0" autoFill="0" autoPict="0" macro="[0]!AprAdd_Click">
                <anchor moveWithCells="1" sizeWithCells="1">
                  <from>
                    <xdr:col>9</xdr:col>
                    <xdr:colOff>123825</xdr:colOff>
                    <xdr:row>33</xdr:row>
                    <xdr:rowOff>47625</xdr:rowOff>
                  </from>
                  <to>
                    <xdr:col>10</xdr:col>
                    <xdr:colOff>47625</xdr:colOff>
                    <xdr:row>34</xdr:row>
                    <xdr:rowOff>85725</xdr:rowOff>
                  </to>
                </anchor>
              </controlPr>
            </control>
          </mc:Choice>
        </mc:AlternateContent>
        <mc:AlternateContent xmlns:mc="http://schemas.openxmlformats.org/markup-compatibility/2006">
          <mc:Choice Requires="x14">
            <control shapeId="95264" r:id="rId12" name="Button 32">
              <controlPr locked="0" defaultSize="0" print="0" autoFill="0" autoPict="0" macro="[0]!MayAdd_Click">
                <anchor moveWithCells="1" sizeWithCells="1">
                  <from>
                    <xdr:col>9</xdr:col>
                    <xdr:colOff>123825</xdr:colOff>
                    <xdr:row>37</xdr:row>
                    <xdr:rowOff>85725</xdr:rowOff>
                  </from>
                  <to>
                    <xdr:col>10</xdr:col>
                    <xdr:colOff>47625</xdr:colOff>
                    <xdr:row>39</xdr:row>
                    <xdr:rowOff>0</xdr:rowOff>
                  </to>
                </anchor>
              </controlPr>
            </control>
          </mc:Choice>
        </mc:AlternateContent>
        <mc:AlternateContent xmlns:mc="http://schemas.openxmlformats.org/markup-compatibility/2006">
          <mc:Choice Requires="x14">
            <control shapeId="95265" r:id="rId13" name="Button 33">
              <controlPr locked="0" defaultSize="0" print="0" autoFill="0" autoPict="0" macro="[0]!JunAdd_Click">
                <anchor moveWithCells="1" sizeWithCells="1">
                  <from>
                    <xdr:col>9</xdr:col>
                    <xdr:colOff>123825</xdr:colOff>
                    <xdr:row>41</xdr:row>
                    <xdr:rowOff>85725</xdr:rowOff>
                  </from>
                  <to>
                    <xdr:col>10</xdr:col>
                    <xdr:colOff>47625</xdr:colOff>
                    <xdr:row>43</xdr:row>
                    <xdr:rowOff>0</xdr:rowOff>
                  </to>
                </anchor>
              </controlPr>
            </control>
          </mc:Choice>
        </mc:AlternateContent>
        <mc:AlternateContent xmlns:mc="http://schemas.openxmlformats.org/markup-compatibility/2006">
          <mc:Choice Requires="x14">
            <control shapeId="95266" r:id="rId14" name="Button 34">
              <controlPr locked="0" defaultSize="0" print="0" autoFill="0" autoPict="0" macro="[0]!JulAdd_Click">
                <anchor moveWithCells="1" sizeWithCells="1">
                  <from>
                    <xdr:col>9</xdr:col>
                    <xdr:colOff>123825</xdr:colOff>
                    <xdr:row>45</xdr:row>
                    <xdr:rowOff>85725</xdr:rowOff>
                  </from>
                  <to>
                    <xdr:col>10</xdr:col>
                    <xdr:colOff>47625</xdr:colOff>
                    <xdr:row>47</xdr:row>
                    <xdr:rowOff>0</xdr:rowOff>
                  </to>
                </anchor>
              </controlPr>
            </control>
          </mc:Choice>
        </mc:AlternateContent>
        <mc:AlternateContent xmlns:mc="http://schemas.openxmlformats.org/markup-compatibility/2006">
          <mc:Choice Requires="x14">
            <control shapeId="95267" r:id="rId15" name="Button 35">
              <controlPr locked="0" defaultSize="0" print="0" autoFill="0" autoPict="0" macro="[0]!AugAdd_Click">
                <anchor moveWithCells="1" sizeWithCells="1">
                  <from>
                    <xdr:col>9</xdr:col>
                    <xdr:colOff>123825</xdr:colOff>
                    <xdr:row>49</xdr:row>
                    <xdr:rowOff>85725</xdr:rowOff>
                  </from>
                  <to>
                    <xdr:col>10</xdr:col>
                    <xdr:colOff>47625</xdr:colOff>
                    <xdr:row>51</xdr:row>
                    <xdr:rowOff>0</xdr:rowOff>
                  </to>
                </anchor>
              </controlPr>
            </control>
          </mc:Choice>
        </mc:AlternateContent>
        <mc:AlternateContent xmlns:mc="http://schemas.openxmlformats.org/markup-compatibility/2006">
          <mc:Choice Requires="x14">
            <control shapeId="95268" r:id="rId16" name="Button 36">
              <controlPr locked="0" defaultSize="0" print="0" autoFill="0" autoPict="0" macro="[0]!SepAdd_Click">
                <anchor moveWithCells="1" sizeWithCells="1">
                  <from>
                    <xdr:col>9</xdr:col>
                    <xdr:colOff>123825</xdr:colOff>
                    <xdr:row>53</xdr:row>
                    <xdr:rowOff>76200</xdr:rowOff>
                  </from>
                  <to>
                    <xdr:col>10</xdr:col>
                    <xdr:colOff>47625</xdr:colOff>
                    <xdr:row>54</xdr:row>
                    <xdr:rowOff>114300</xdr:rowOff>
                  </to>
                </anchor>
              </controlPr>
            </control>
          </mc:Choice>
        </mc:AlternateContent>
        <mc:AlternateContent xmlns:mc="http://schemas.openxmlformats.org/markup-compatibility/2006">
          <mc:Choice Requires="x14">
            <control shapeId="95269" r:id="rId17" name="Button 37">
              <controlPr locked="0" defaultSize="0" print="0" autoFill="0" autoPict="0" macro="[0]!OctAdd_Click">
                <anchor moveWithCells="1" sizeWithCells="1">
                  <from>
                    <xdr:col>9</xdr:col>
                    <xdr:colOff>123825</xdr:colOff>
                    <xdr:row>57</xdr:row>
                    <xdr:rowOff>76200</xdr:rowOff>
                  </from>
                  <to>
                    <xdr:col>10</xdr:col>
                    <xdr:colOff>47625</xdr:colOff>
                    <xdr:row>58</xdr:row>
                    <xdr:rowOff>114300</xdr:rowOff>
                  </to>
                </anchor>
              </controlPr>
            </control>
          </mc:Choice>
        </mc:AlternateContent>
        <mc:AlternateContent xmlns:mc="http://schemas.openxmlformats.org/markup-compatibility/2006">
          <mc:Choice Requires="x14">
            <control shapeId="95270" r:id="rId18" name="Button 38">
              <controlPr locked="0" defaultSize="0" print="0" autoFill="0" autoPict="0" macro="[0]!NovAdd_Click">
                <anchor moveWithCells="1" sizeWithCells="1">
                  <from>
                    <xdr:col>9</xdr:col>
                    <xdr:colOff>123825</xdr:colOff>
                    <xdr:row>61</xdr:row>
                    <xdr:rowOff>66675</xdr:rowOff>
                  </from>
                  <to>
                    <xdr:col>10</xdr:col>
                    <xdr:colOff>47625</xdr:colOff>
                    <xdr:row>62</xdr:row>
                    <xdr:rowOff>104775</xdr:rowOff>
                  </to>
                </anchor>
              </controlPr>
            </control>
          </mc:Choice>
        </mc:AlternateContent>
        <mc:AlternateContent xmlns:mc="http://schemas.openxmlformats.org/markup-compatibility/2006">
          <mc:Choice Requires="x14">
            <control shapeId="95271" r:id="rId19" name="Button 39">
              <controlPr locked="0" defaultSize="0" print="0" autoFill="0" autoPict="0" macro="[0]!DecAdd_Click">
                <anchor moveWithCells="1" sizeWithCells="1">
                  <from>
                    <xdr:col>9</xdr:col>
                    <xdr:colOff>123825</xdr:colOff>
                    <xdr:row>65</xdr:row>
                    <xdr:rowOff>57150</xdr:rowOff>
                  </from>
                  <to>
                    <xdr:col>10</xdr:col>
                    <xdr:colOff>47625</xdr:colOff>
                    <xdr:row>66</xdr:row>
                    <xdr:rowOff>95250</xdr:rowOff>
                  </to>
                </anchor>
              </controlPr>
            </control>
          </mc:Choice>
        </mc:AlternateContent>
        <mc:AlternateContent xmlns:mc="http://schemas.openxmlformats.org/markup-compatibility/2006">
          <mc:Choice Requires="x14">
            <control shapeId="95274" r:id="rId20" name="Button 42">
              <controlPr locked="0" defaultSize="0" print="0" autoFill="0" autoPict="0" macro="[0]!FebDel_Click">
                <anchor moveWithCells="1" sizeWithCells="1">
                  <from>
                    <xdr:col>10</xdr:col>
                    <xdr:colOff>104775</xdr:colOff>
                    <xdr:row>25</xdr:row>
                    <xdr:rowOff>66675</xdr:rowOff>
                  </from>
                  <to>
                    <xdr:col>10</xdr:col>
                    <xdr:colOff>257175</xdr:colOff>
                    <xdr:row>26</xdr:row>
                    <xdr:rowOff>104775</xdr:rowOff>
                  </to>
                </anchor>
              </controlPr>
            </control>
          </mc:Choice>
        </mc:AlternateContent>
        <mc:AlternateContent xmlns:mc="http://schemas.openxmlformats.org/markup-compatibility/2006">
          <mc:Choice Requires="x14">
            <control shapeId="95276" r:id="rId21" name="Button 44">
              <controlPr locked="0" defaultSize="0" print="0" autoFill="0" autoPict="0" macro="[0]!MarDel_Click">
                <anchor moveWithCells="1" sizeWithCells="1">
                  <from>
                    <xdr:col>10</xdr:col>
                    <xdr:colOff>104775</xdr:colOff>
                    <xdr:row>29</xdr:row>
                    <xdr:rowOff>57150</xdr:rowOff>
                  </from>
                  <to>
                    <xdr:col>10</xdr:col>
                    <xdr:colOff>266700</xdr:colOff>
                    <xdr:row>30</xdr:row>
                    <xdr:rowOff>95250</xdr:rowOff>
                  </to>
                </anchor>
              </controlPr>
            </control>
          </mc:Choice>
        </mc:AlternateContent>
        <mc:AlternateContent xmlns:mc="http://schemas.openxmlformats.org/markup-compatibility/2006">
          <mc:Choice Requires="x14">
            <control shapeId="95277" r:id="rId22" name="Button 45">
              <controlPr locked="0" defaultSize="0" print="0" autoFill="0" autoPict="0" macro="[0]!AprDel_Click">
                <anchor moveWithCells="1" sizeWithCells="1">
                  <from>
                    <xdr:col>10</xdr:col>
                    <xdr:colOff>104775</xdr:colOff>
                    <xdr:row>33</xdr:row>
                    <xdr:rowOff>47625</xdr:rowOff>
                  </from>
                  <to>
                    <xdr:col>10</xdr:col>
                    <xdr:colOff>266700</xdr:colOff>
                    <xdr:row>34</xdr:row>
                    <xdr:rowOff>85725</xdr:rowOff>
                  </to>
                </anchor>
              </controlPr>
            </control>
          </mc:Choice>
        </mc:AlternateContent>
        <mc:AlternateContent xmlns:mc="http://schemas.openxmlformats.org/markup-compatibility/2006">
          <mc:Choice Requires="x14">
            <control shapeId="95279" r:id="rId23" name="Button 47">
              <controlPr locked="0" defaultSize="0" print="0" autoFill="0" autoPict="0" macro="[0]!MayDel_Click">
                <anchor moveWithCells="1" sizeWithCells="1">
                  <from>
                    <xdr:col>10</xdr:col>
                    <xdr:colOff>104775</xdr:colOff>
                    <xdr:row>37</xdr:row>
                    <xdr:rowOff>85725</xdr:rowOff>
                  </from>
                  <to>
                    <xdr:col>10</xdr:col>
                    <xdr:colOff>266700</xdr:colOff>
                    <xdr:row>39</xdr:row>
                    <xdr:rowOff>0</xdr:rowOff>
                  </to>
                </anchor>
              </controlPr>
            </control>
          </mc:Choice>
        </mc:AlternateContent>
        <mc:AlternateContent xmlns:mc="http://schemas.openxmlformats.org/markup-compatibility/2006">
          <mc:Choice Requires="x14">
            <control shapeId="95280" r:id="rId24" name="Button 48">
              <controlPr locked="0" defaultSize="0" print="0" autoFill="0" autoPict="0" macro="[0]!JunDel_Click">
                <anchor moveWithCells="1" sizeWithCells="1">
                  <from>
                    <xdr:col>10</xdr:col>
                    <xdr:colOff>85725</xdr:colOff>
                    <xdr:row>41</xdr:row>
                    <xdr:rowOff>85725</xdr:rowOff>
                  </from>
                  <to>
                    <xdr:col>10</xdr:col>
                    <xdr:colOff>247650</xdr:colOff>
                    <xdr:row>42</xdr:row>
                    <xdr:rowOff>123825</xdr:rowOff>
                  </to>
                </anchor>
              </controlPr>
            </control>
          </mc:Choice>
        </mc:AlternateContent>
        <mc:AlternateContent xmlns:mc="http://schemas.openxmlformats.org/markup-compatibility/2006">
          <mc:Choice Requires="x14">
            <control shapeId="95281" r:id="rId25" name="Button 49">
              <controlPr locked="0" defaultSize="0" print="0" autoFill="0" autoPict="0" macro="[0]!JulDel_Click">
                <anchor moveWithCells="1" sizeWithCells="1">
                  <from>
                    <xdr:col>10</xdr:col>
                    <xdr:colOff>104775</xdr:colOff>
                    <xdr:row>45</xdr:row>
                    <xdr:rowOff>85725</xdr:rowOff>
                  </from>
                  <to>
                    <xdr:col>10</xdr:col>
                    <xdr:colOff>266700</xdr:colOff>
                    <xdr:row>46</xdr:row>
                    <xdr:rowOff>123825</xdr:rowOff>
                  </to>
                </anchor>
              </controlPr>
            </control>
          </mc:Choice>
        </mc:AlternateContent>
        <mc:AlternateContent xmlns:mc="http://schemas.openxmlformats.org/markup-compatibility/2006">
          <mc:Choice Requires="x14">
            <control shapeId="95282" r:id="rId26" name="Button 50">
              <controlPr locked="0" defaultSize="0" print="0" autoFill="0" autoPict="0" macro="[0]!AugDel_Click">
                <anchor moveWithCells="1" sizeWithCells="1">
                  <from>
                    <xdr:col>10</xdr:col>
                    <xdr:colOff>95250</xdr:colOff>
                    <xdr:row>49</xdr:row>
                    <xdr:rowOff>85725</xdr:rowOff>
                  </from>
                  <to>
                    <xdr:col>10</xdr:col>
                    <xdr:colOff>257175</xdr:colOff>
                    <xdr:row>51</xdr:row>
                    <xdr:rowOff>0</xdr:rowOff>
                  </to>
                </anchor>
              </controlPr>
            </control>
          </mc:Choice>
        </mc:AlternateContent>
        <mc:AlternateContent xmlns:mc="http://schemas.openxmlformats.org/markup-compatibility/2006">
          <mc:Choice Requires="x14">
            <control shapeId="95283" r:id="rId27" name="Button 51">
              <controlPr locked="0" defaultSize="0" print="0" autoFill="0" autoPict="0" macro="[0]!SepDel_Click">
                <anchor moveWithCells="1" sizeWithCells="1">
                  <from>
                    <xdr:col>10</xdr:col>
                    <xdr:colOff>104775</xdr:colOff>
                    <xdr:row>53</xdr:row>
                    <xdr:rowOff>66675</xdr:rowOff>
                  </from>
                  <to>
                    <xdr:col>10</xdr:col>
                    <xdr:colOff>257175</xdr:colOff>
                    <xdr:row>54</xdr:row>
                    <xdr:rowOff>104775</xdr:rowOff>
                  </to>
                </anchor>
              </controlPr>
            </control>
          </mc:Choice>
        </mc:AlternateContent>
        <mc:AlternateContent xmlns:mc="http://schemas.openxmlformats.org/markup-compatibility/2006">
          <mc:Choice Requires="x14">
            <control shapeId="95284" r:id="rId28" name="Button 52">
              <controlPr locked="0" defaultSize="0" print="0" autoFill="0" autoPict="0" macro="[0]!OctDel_Click">
                <anchor moveWithCells="1" sizeWithCells="1">
                  <from>
                    <xdr:col>10</xdr:col>
                    <xdr:colOff>95250</xdr:colOff>
                    <xdr:row>57</xdr:row>
                    <xdr:rowOff>66675</xdr:rowOff>
                  </from>
                  <to>
                    <xdr:col>10</xdr:col>
                    <xdr:colOff>257175</xdr:colOff>
                    <xdr:row>58</xdr:row>
                    <xdr:rowOff>104775</xdr:rowOff>
                  </to>
                </anchor>
              </controlPr>
            </control>
          </mc:Choice>
        </mc:AlternateContent>
        <mc:AlternateContent xmlns:mc="http://schemas.openxmlformats.org/markup-compatibility/2006">
          <mc:Choice Requires="x14">
            <control shapeId="95286" r:id="rId29" name="Button 54">
              <controlPr locked="0" defaultSize="0" print="0" autoFill="0" autoPict="0" macro="[0]!NovDel_Click">
                <anchor moveWithCells="1" sizeWithCells="1">
                  <from>
                    <xdr:col>10</xdr:col>
                    <xdr:colOff>85725</xdr:colOff>
                    <xdr:row>61</xdr:row>
                    <xdr:rowOff>66675</xdr:rowOff>
                  </from>
                  <to>
                    <xdr:col>10</xdr:col>
                    <xdr:colOff>247650</xdr:colOff>
                    <xdr:row>62</xdr:row>
                    <xdr:rowOff>104775</xdr:rowOff>
                  </to>
                </anchor>
              </controlPr>
            </control>
          </mc:Choice>
        </mc:AlternateContent>
        <mc:AlternateContent xmlns:mc="http://schemas.openxmlformats.org/markup-compatibility/2006">
          <mc:Choice Requires="x14">
            <control shapeId="95287" r:id="rId30" name="Button 55">
              <controlPr locked="0" defaultSize="0" print="0" autoFill="0" autoPict="0" macro="[0]!DecDel_Click">
                <anchor moveWithCells="1" sizeWithCells="1">
                  <from>
                    <xdr:col>10</xdr:col>
                    <xdr:colOff>85725</xdr:colOff>
                    <xdr:row>65</xdr:row>
                    <xdr:rowOff>57150</xdr:rowOff>
                  </from>
                  <to>
                    <xdr:col>10</xdr:col>
                    <xdr:colOff>247650</xdr:colOff>
                    <xdr:row>66</xdr:row>
                    <xdr:rowOff>95250</xdr:rowOff>
                  </to>
                </anchor>
              </controlPr>
            </control>
          </mc:Choice>
        </mc:AlternateContent>
        <mc:AlternateContent xmlns:mc="http://schemas.openxmlformats.org/markup-compatibility/2006">
          <mc:Choice Requires="x14">
            <control shapeId="95288" r:id="rId31" name="Button 56">
              <controlPr locked="0" defaultSize="0" print="0" autoFill="0" autoPict="0" macro="[0]!ServP_Click">
                <anchor>
                  <from>
                    <xdr:col>6</xdr:col>
                    <xdr:colOff>28575</xdr:colOff>
                    <xdr:row>13</xdr:row>
                    <xdr:rowOff>28575</xdr:rowOff>
                  </from>
                  <to>
                    <xdr:col>6</xdr:col>
                    <xdr:colOff>190500</xdr:colOff>
                    <xdr:row>14</xdr:row>
                    <xdr:rowOff>66675</xdr:rowOff>
                  </to>
                </anchor>
              </controlPr>
            </control>
          </mc:Choice>
        </mc:AlternateContent>
        <mc:AlternateContent xmlns:mc="http://schemas.openxmlformats.org/markup-compatibility/2006">
          <mc:Choice Requires="x14">
            <control shapeId="95289" r:id="rId32" name="Button 57">
              <controlPr locked="0" defaultSize="0" print="0" autoFill="0" autoPict="0" macro="[0]!DelServP_Click">
                <anchor>
                  <from>
                    <xdr:col>6</xdr:col>
                    <xdr:colOff>228600</xdr:colOff>
                    <xdr:row>13</xdr:row>
                    <xdr:rowOff>28575</xdr:rowOff>
                  </from>
                  <to>
                    <xdr:col>6</xdr:col>
                    <xdr:colOff>390525</xdr:colOff>
                    <xdr:row>14</xdr:row>
                    <xdr:rowOff>66675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762E-0396-4838-BD74-E9C27E6F1112}">
  <sheetPr codeName="Sheet36">
    <pageSetUpPr fitToPage="1"/>
  </sheetPr>
  <dimension ref="A1:AC16"/>
  <sheetViews>
    <sheetView showGridLines="0" zoomScaleNormal="100" workbookViewId="0">
      <selection activeCell="A17" sqref="A17:XFD26"/>
    </sheetView>
  </sheetViews>
  <sheetFormatPr defaultColWidth="9.28515625" defaultRowHeight="15" x14ac:dyDescent="0.25"/>
  <cols>
    <col min="1" max="1" width="56.7109375" customWidth="1"/>
    <col min="2" max="2" width="11.42578125" customWidth="1"/>
    <col min="3" max="3" width="15.5703125" customWidth="1"/>
    <col min="4" max="4" width="17.28515625" customWidth="1"/>
    <col min="5" max="5" width="29.7109375" bestFit="1" customWidth="1"/>
    <col min="6" max="6" width="16.7109375" customWidth="1"/>
    <col min="7" max="7" width="18.28515625" customWidth="1"/>
    <col min="8" max="8" width="14.28515625" customWidth="1"/>
    <col min="9" max="9" width="16.42578125" customWidth="1"/>
    <col min="11" max="11" width="13.5703125" customWidth="1"/>
    <col min="12" max="12" width="13.28515625" customWidth="1"/>
    <col min="13" max="13" width="11.42578125" customWidth="1"/>
    <col min="25" max="26" width="9.28515625" hidden="1" customWidth="1"/>
    <col min="27" max="28" width="0" hidden="1" customWidth="1"/>
  </cols>
  <sheetData>
    <row r="1" spans="1:29" x14ac:dyDescent="0.25">
      <c r="Y1" t="b">
        <v>0</v>
      </c>
      <c r="Z1">
        <v>0</v>
      </c>
      <c r="AC1" s="188" t="s">
        <v>809</v>
      </c>
    </row>
    <row r="2" spans="1:29" x14ac:dyDescent="0.25">
      <c r="Y2" t="b">
        <v>1</v>
      </c>
    </row>
    <row r="3" spans="1:29" x14ac:dyDescent="0.25">
      <c r="K3" s="21"/>
    </row>
    <row r="8" spans="1:29" x14ac:dyDescent="0.25">
      <c r="B8">
        <v>0</v>
      </c>
    </row>
    <row r="9" spans="1:29" x14ac:dyDescent="0.25">
      <c r="B9">
        <v>0</v>
      </c>
    </row>
    <row r="10" spans="1:29" x14ac:dyDescent="0.25">
      <c r="B10" s="426">
        <v>0</v>
      </c>
    </row>
    <row r="11" spans="1:29" x14ac:dyDescent="0.25">
      <c r="B11" s="317"/>
      <c r="C11" s="317"/>
      <c r="D11" s="317"/>
      <c r="E11" s="317"/>
      <c r="F11" s="317"/>
      <c r="G11" s="317"/>
      <c r="H11" s="317"/>
    </row>
    <row r="12" spans="1:29" x14ac:dyDescent="0.25">
      <c r="B12" s="317"/>
      <c r="C12" s="317"/>
      <c r="D12" s="317"/>
      <c r="E12" s="317"/>
      <c r="F12" s="317"/>
      <c r="G12" s="317"/>
      <c r="H12" s="317"/>
    </row>
    <row r="13" spans="1:29" x14ac:dyDescent="0.25">
      <c r="B13" s="317"/>
      <c r="C13" s="317"/>
      <c r="D13" s="317"/>
      <c r="E13" s="317"/>
      <c r="F13" s="317"/>
      <c r="G13" s="317"/>
      <c r="H13" s="317"/>
    </row>
    <row r="14" spans="1:29" x14ac:dyDescent="0.25">
      <c r="B14" s="317"/>
      <c r="C14" s="317"/>
      <c r="D14" s="317"/>
      <c r="E14" s="317"/>
      <c r="F14" s="317"/>
      <c r="G14" s="317"/>
      <c r="H14" s="317"/>
    </row>
    <row r="15" spans="1:29" x14ac:dyDescent="0.25">
      <c r="B15" s="317"/>
      <c r="C15" s="317"/>
      <c r="D15" s="317"/>
      <c r="E15" s="317"/>
      <c r="F15" s="317"/>
      <c r="G15" s="317"/>
      <c r="H15" s="317"/>
    </row>
    <row r="16" spans="1:29" ht="75" x14ac:dyDescent="0.25">
      <c r="A16" s="1022" t="s">
        <v>343</v>
      </c>
      <c r="B16" s="1021" t="s">
        <v>837</v>
      </c>
      <c r="C16" s="1021" t="s">
        <v>838</v>
      </c>
      <c r="D16" s="1021" t="s">
        <v>6501</v>
      </c>
      <c r="E16" s="1021" t="s">
        <v>839</v>
      </c>
      <c r="F16" s="1021" t="s">
        <v>840</v>
      </c>
      <c r="G16" s="1021" t="s">
        <v>767</v>
      </c>
      <c r="H16" s="1021" t="s">
        <v>841</v>
      </c>
      <c r="I16" s="1021" t="s">
        <v>842</v>
      </c>
    </row>
  </sheetData>
  <sheetProtection algorithmName="SHA-512" hashValue="lDv1IDh0qRyZvv4KHuvno6WFMQkYkLvIkg+wyN119UtfpPJN0t5FAGi8cpCVS8NkO5J6bjjkGZ01oFekc+uNOQ==" saltValue="6p6PkF597tj0tBC90wDSKQ==" spinCount="100000" sheet="1" objects="1" scenarios="1"/>
  <dataValidations count="1">
    <dataValidation type="list" allowBlank="1" showInputMessage="1" showErrorMessage="1" sqref="AC1" xr:uid="{3C8B19A0-7148-460E-AFF6-AA8A3C09745E}">
      <formula1>"YES, NO"</formula1>
    </dataValidation>
  </dataValidations>
  <pageMargins left="0.25" right="0.25" top="0.75" bottom="0.75" header="0.3" footer="0.3"/>
  <pageSetup scale="49" orientation="portrait" r:id="rId1"/>
  <headerFooter>
    <oddFooter>&amp;C&amp;A</oddFooter>
  </headerFooter>
  <customProperties>
    <customPr name="_pios_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9"/>
  <dimension ref="A1:G25"/>
  <sheetViews>
    <sheetView workbookViewId="0">
      <selection activeCell="C31" sqref="C31"/>
    </sheetView>
  </sheetViews>
  <sheetFormatPr defaultRowHeight="16.5" customHeight="1" x14ac:dyDescent="0.25"/>
  <cols>
    <col min="1" max="1" width="32.28515625" bestFit="1" customWidth="1"/>
    <col min="2" max="2" width="33.7109375" customWidth="1"/>
    <col min="3" max="3" width="102.7109375" bestFit="1" customWidth="1"/>
    <col min="4" max="4" width="23.7109375" bestFit="1" customWidth="1"/>
  </cols>
  <sheetData>
    <row r="1" spans="1:7" ht="16.5" customHeight="1" thickBot="1" x14ac:dyDescent="0.3">
      <c r="A1" s="511" t="s">
        <v>859</v>
      </c>
      <c r="B1" s="512" t="s">
        <v>860</v>
      </c>
      <c r="C1" s="513" t="s">
        <v>861</v>
      </c>
      <c r="D1" s="513" t="s">
        <v>862</v>
      </c>
      <c r="E1" s="513" t="s">
        <v>863</v>
      </c>
      <c r="G1" t="str">
        <f>" (" &amp; YEAR('1. Information Sheet'!F26) &amp; ") "</f>
        <v xml:space="preserve"> (2026) </v>
      </c>
    </row>
    <row r="2" spans="1:7" ht="16.5" customHeight="1" x14ac:dyDescent="0.25">
      <c r="A2" s="376" t="s">
        <v>864</v>
      </c>
      <c r="B2" s="544" t="s">
        <v>865</v>
      </c>
      <c r="C2" s="376" t="str">
        <f>G2 &amp; $G$1</f>
        <v xml:space="preserve">Rate Rider for Recovery of Incremental Capital (2026) </v>
      </c>
      <c r="D2" s="376" t="s">
        <v>866</v>
      </c>
      <c r="E2" s="376" t="s">
        <v>690</v>
      </c>
      <c r="F2" s="376"/>
      <c r="G2" t="s">
        <v>867</v>
      </c>
    </row>
    <row r="3" spans="1:7" ht="16.5" customHeight="1" x14ac:dyDescent="0.25">
      <c r="A3" s="545" t="s">
        <v>868</v>
      </c>
      <c r="B3" s="546" t="s">
        <v>868</v>
      </c>
      <c r="C3" s="376" t="str">
        <f t="shared" ref="C3:C25" si="0">G3 &amp; $G$1</f>
        <v xml:space="preserve">Rate Rider for Recovery of Advanced Capital Module (2026) </v>
      </c>
      <c r="D3" s="545" t="s">
        <v>869</v>
      </c>
      <c r="E3" s="545" t="s">
        <v>690</v>
      </c>
      <c r="F3" s="376"/>
      <c r="G3" t="s">
        <v>870</v>
      </c>
    </row>
    <row r="4" spans="1:7" ht="16.5" customHeight="1" x14ac:dyDescent="0.25">
      <c r="A4" s="376" t="s">
        <v>871</v>
      </c>
      <c r="B4" s="544" t="s">
        <v>871</v>
      </c>
      <c r="C4" s="376" t="str">
        <f t="shared" si="0"/>
        <v xml:space="preserve">Rate Rider for Recovery of Stranded Meter Assets (2026) </v>
      </c>
      <c r="D4" s="376" t="s">
        <v>872</v>
      </c>
      <c r="E4" s="376" t="s">
        <v>690</v>
      </c>
      <c r="F4" s="376"/>
      <c r="G4" t="s">
        <v>873</v>
      </c>
    </row>
    <row r="5" spans="1:7" ht="16.5" customHeight="1" x14ac:dyDescent="0.25">
      <c r="A5" s="376" t="s">
        <v>874</v>
      </c>
      <c r="B5" s="544" t="s">
        <v>874</v>
      </c>
      <c r="C5" s="376" t="str">
        <f t="shared" si="0"/>
        <v xml:space="preserve">Rate Rider for Application of IFRS (2026) </v>
      </c>
      <c r="D5" s="376" t="s">
        <v>875</v>
      </c>
      <c r="E5" s="376" t="s">
        <v>690</v>
      </c>
      <c r="F5" s="376"/>
      <c r="G5" t="s">
        <v>876</v>
      </c>
    </row>
    <row r="6" spans="1:7" ht="16.5" customHeight="1" x14ac:dyDescent="0.25">
      <c r="A6" s="376" t="s">
        <v>877</v>
      </c>
      <c r="B6" s="544" t="s">
        <v>877</v>
      </c>
      <c r="C6" s="376" t="str">
        <f t="shared" si="0"/>
        <v xml:space="preserve">Rate Rider per Acquisition Agreement (2026) </v>
      </c>
      <c r="D6" s="376" t="s">
        <v>878</v>
      </c>
      <c r="E6" s="376" t="s">
        <v>690</v>
      </c>
      <c r="F6" s="376"/>
      <c r="G6" t="s">
        <v>879</v>
      </c>
    </row>
    <row r="7" spans="1:7" ht="16.5" customHeight="1" x14ac:dyDescent="0.25">
      <c r="A7" s="376" t="s">
        <v>880</v>
      </c>
      <c r="B7" s="544">
        <v>1576</v>
      </c>
      <c r="C7" s="376" t="str">
        <f t="shared" si="0"/>
        <v xml:space="preserve">Rate Rider for Disposition of Account 1576 (2026) </v>
      </c>
      <c r="D7" s="376" t="s">
        <v>881</v>
      </c>
      <c r="E7" s="376" t="s">
        <v>690</v>
      </c>
      <c r="F7" s="376"/>
      <c r="G7" t="s">
        <v>882</v>
      </c>
    </row>
    <row r="8" spans="1:7" ht="16.5" customHeight="1" x14ac:dyDescent="0.25">
      <c r="A8" s="376" t="s">
        <v>883</v>
      </c>
      <c r="B8" s="544">
        <v>1575</v>
      </c>
      <c r="C8" s="376" t="str">
        <f t="shared" si="0"/>
        <v xml:space="preserve">Rate Rider for Disposition of Account 1575 (2026) </v>
      </c>
      <c r="D8" s="376" t="s">
        <v>884</v>
      </c>
      <c r="E8" s="376" t="s">
        <v>690</v>
      </c>
      <c r="F8" s="376"/>
      <c r="G8" t="s">
        <v>885</v>
      </c>
    </row>
    <row r="9" spans="1:7" ht="16.5" customHeight="1" x14ac:dyDescent="0.25">
      <c r="A9" s="376" t="s">
        <v>886</v>
      </c>
      <c r="B9" s="544" t="s">
        <v>887</v>
      </c>
      <c r="C9" s="376" t="str">
        <f t="shared" si="0"/>
        <v xml:space="preserve">Rate Rider for Disposition of Accounts 1575 and 1576 (2026) </v>
      </c>
      <c r="D9" s="376" t="s">
        <v>888</v>
      </c>
      <c r="E9" s="376" t="s">
        <v>690</v>
      </c>
      <c r="F9" s="376"/>
      <c r="G9" t="s">
        <v>889</v>
      </c>
    </row>
    <row r="10" spans="1:7" ht="16.5" customHeight="1" x14ac:dyDescent="0.25">
      <c r="A10" s="376" t="s">
        <v>890</v>
      </c>
      <c r="B10" s="544">
        <v>1574</v>
      </c>
      <c r="C10" s="376" t="str">
        <f t="shared" si="0"/>
        <v xml:space="preserve">Rate Rider for Disposition of Account 1574 (2026) </v>
      </c>
      <c r="D10" s="376" t="s">
        <v>891</v>
      </c>
      <c r="E10" s="376" t="s">
        <v>690</v>
      </c>
      <c r="F10" s="376"/>
      <c r="G10" t="s">
        <v>892</v>
      </c>
    </row>
    <row r="11" spans="1:7" ht="16.5" customHeight="1" x14ac:dyDescent="0.25">
      <c r="A11" s="376" t="s">
        <v>893</v>
      </c>
      <c r="B11" s="544" t="s">
        <v>893</v>
      </c>
      <c r="C11" s="376" t="str">
        <f t="shared" si="0"/>
        <v xml:space="preserve">Rate Rider for Disposition of Residual Historical Smart Meter Costs (2026) </v>
      </c>
      <c r="D11" s="376" t="s">
        <v>894</v>
      </c>
      <c r="E11" s="376" t="s">
        <v>690</v>
      </c>
      <c r="F11" s="376"/>
      <c r="G11" t="s">
        <v>895</v>
      </c>
    </row>
    <row r="12" spans="1:7" ht="16.5" customHeight="1" x14ac:dyDescent="0.25">
      <c r="A12" s="376" t="s">
        <v>896</v>
      </c>
      <c r="B12" s="544" t="s">
        <v>896</v>
      </c>
      <c r="C12" s="376" t="str">
        <f t="shared" si="0"/>
        <v xml:space="preserve">Rate Rider for Disposition of Residual Historical Smart Meter Costs (2026) </v>
      </c>
      <c r="D12" s="376" t="s">
        <v>897</v>
      </c>
      <c r="E12" s="376" t="s">
        <v>690</v>
      </c>
      <c r="F12" s="376"/>
      <c r="G12" t="s">
        <v>895</v>
      </c>
    </row>
    <row r="13" spans="1:7" ht="16.5" customHeight="1" x14ac:dyDescent="0.25">
      <c r="A13" s="376" t="s">
        <v>898</v>
      </c>
      <c r="B13" s="544" t="s">
        <v>898</v>
      </c>
      <c r="C13" s="376" t="str">
        <f t="shared" si="0"/>
        <v xml:space="preserve">Rate Rider for Recovery of Smart Meter Incremental Revenue Requirement (2026) </v>
      </c>
      <c r="D13" s="376" t="s">
        <v>899</v>
      </c>
      <c r="E13" s="376" t="s">
        <v>690</v>
      </c>
      <c r="F13" s="376"/>
      <c r="G13" t="s">
        <v>900</v>
      </c>
    </row>
    <row r="14" spans="1:7" ht="16.5" customHeight="1" x14ac:dyDescent="0.25">
      <c r="A14" s="376" t="s">
        <v>901</v>
      </c>
      <c r="B14" s="544" t="s">
        <v>902</v>
      </c>
      <c r="C14" s="376" t="str">
        <f t="shared" si="0"/>
        <v xml:space="preserve">Rate Rider for Recovery of (year) Foregone Revenue (2026) </v>
      </c>
      <c r="D14" s="376" t="s">
        <v>903</v>
      </c>
      <c r="E14" s="376" t="s">
        <v>690</v>
      </c>
      <c r="F14" s="376"/>
      <c r="G14" t="s">
        <v>904</v>
      </c>
    </row>
    <row r="15" spans="1:7" ht="16.5" customHeight="1" x14ac:dyDescent="0.25">
      <c r="A15" s="376" t="s">
        <v>905</v>
      </c>
      <c r="B15" s="544" t="s">
        <v>905</v>
      </c>
      <c r="C15" s="376" t="str">
        <f t="shared" si="0"/>
        <v xml:space="preserve">Rate Rider for Recovery of Wind Storm Damage Costs (2026) </v>
      </c>
      <c r="D15" s="376" t="s">
        <v>906</v>
      </c>
      <c r="E15" s="376" t="s">
        <v>690</v>
      </c>
      <c r="F15" s="376"/>
      <c r="G15" t="s">
        <v>907</v>
      </c>
    </row>
    <row r="16" spans="1:7" ht="16.5" customHeight="1" x14ac:dyDescent="0.25">
      <c r="A16" s="376" t="s">
        <v>908</v>
      </c>
      <c r="B16" s="544" t="s">
        <v>908</v>
      </c>
      <c r="C16" s="376" t="str">
        <f t="shared" si="0"/>
        <v xml:space="preserve">Low Voltage Service Rate (2026) </v>
      </c>
      <c r="D16" s="376" t="s">
        <v>909</v>
      </c>
      <c r="E16" s="376" t="s">
        <v>692</v>
      </c>
      <c r="F16" s="376"/>
      <c r="G16" t="s">
        <v>910</v>
      </c>
    </row>
    <row r="17" spans="1:7" ht="16.5" customHeight="1" x14ac:dyDescent="0.25">
      <c r="A17" s="376" t="s">
        <v>911</v>
      </c>
      <c r="B17" s="547" t="s">
        <v>912</v>
      </c>
      <c r="C17" s="376" t="str">
        <f t="shared" si="0"/>
        <v xml:space="preserve">Funding Adder for Renewable Energy Generation (2026) </v>
      </c>
      <c r="D17" s="376" t="s">
        <v>913</v>
      </c>
      <c r="E17" s="376" t="s">
        <v>690</v>
      </c>
      <c r="F17" s="376"/>
      <c r="G17" t="s">
        <v>914</v>
      </c>
    </row>
    <row r="18" spans="1:7" ht="16.5" customHeight="1" x14ac:dyDescent="0.25">
      <c r="A18" s="376" t="s">
        <v>915</v>
      </c>
      <c r="B18" s="544" t="s">
        <v>916</v>
      </c>
      <c r="C18" s="376" t="str">
        <f t="shared" si="0"/>
        <v xml:space="preserve">Distribution Wheeling Service Rate (2026) </v>
      </c>
      <c r="D18" s="376" t="s">
        <v>917</v>
      </c>
      <c r="E18" s="376" t="s">
        <v>690</v>
      </c>
      <c r="F18" s="376"/>
      <c r="G18" t="s">
        <v>918</v>
      </c>
    </row>
    <row r="19" spans="1:7" ht="16.5" customHeight="1" x14ac:dyDescent="0.25">
      <c r="A19" s="376" t="s">
        <v>919</v>
      </c>
      <c r="B19" s="544">
        <v>1595</v>
      </c>
      <c r="C19" s="376" t="str">
        <f t="shared" si="0"/>
        <v xml:space="preserve">Rate Rider for Disposition of Account 1595 (2026) </v>
      </c>
      <c r="D19" s="376" t="s">
        <v>920</v>
      </c>
      <c r="E19" s="376" t="s">
        <v>690</v>
      </c>
      <c r="F19" s="376"/>
      <c r="G19" t="s">
        <v>921</v>
      </c>
    </row>
    <row r="20" spans="1:7" ht="16.5" customHeight="1" x14ac:dyDescent="0.25">
      <c r="A20" s="376" t="s">
        <v>922</v>
      </c>
      <c r="B20" s="544" t="s">
        <v>923</v>
      </c>
      <c r="C20" s="376" t="str">
        <f t="shared" si="0"/>
        <v xml:space="preserve">Rate Rider for Disposition of Earnings Sharing (2026) </v>
      </c>
      <c r="D20" s="376" t="s">
        <v>924</v>
      </c>
      <c r="E20" s="376" t="s">
        <v>690</v>
      </c>
      <c r="F20" s="376"/>
      <c r="G20" t="s">
        <v>925</v>
      </c>
    </row>
    <row r="21" spans="1:7" ht="16.5" customHeight="1" x14ac:dyDescent="0.25">
      <c r="A21" s="376" t="s">
        <v>926</v>
      </c>
      <c r="B21" s="544" t="s">
        <v>926</v>
      </c>
      <c r="C21" s="376" t="str">
        <f t="shared" si="0"/>
        <v xml:space="preserve">Rate Rider for Disposition of Tax Loss Carry-forward (2026) </v>
      </c>
      <c r="D21" s="376" t="s">
        <v>927</v>
      </c>
      <c r="E21" s="376" t="s">
        <v>690</v>
      </c>
      <c r="F21" s="376"/>
      <c r="G21" t="s">
        <v>928</v>
      </c>
    </row>
    <row r="22" spans="1:7" ht="16.5" customHeight="1" x14ac:dyDescent="0.25">
      <c r="A22" s="376" t="s">
        <v>929</v>
      </c>
      <c r="B22" s="544" t="s">
        <v>930</v>
      </c>
      <c r="C22" s="376" t="str">
        <f t="shared" si="0"/>
        <v xml:space="preserve">Rate Rider for Disposition of Deferral/Variance Accounts (2026) </v>
      </c>
      <c r="D22" s="376" t="s">
        <v>931</v>
      </c>
      <c r="E22" s="376" t="s">
        <v>692</v>
      </c>
      <c r="F22" s="376"/>
      <c r="G22" t="s">
        <v>932</v>
      </c>
    </row>
    <row r="23" spans="1:7" ht="16.5" customHeight="1" x14ac:dyDescent="0.25">
      <c r="A23" s="376" t="s">
        <v>933</v>
      </c>
      <c r="B23" s="544" t="s">
        <v>934</v>
      </c>
      <c r="C23" s="376" t="str">
        <f t="shared" si="0"/>
        <v xml:space="preserve">Rate Rider for Disposition of Deferral/Variance Accounts Applicable only for Non-Wholesale Market Participants (2026) </v>
      </c>
      <c r="D23" s="376" t="s">
        <v>935</v>
      </c>
      <c r="E23" s="376" t="s">
        <v>692</v>
      </c>
      <c r="F23" s="376"/>
      <c r="G23" t="s">
        <v>936</v>
      </c>
    </row>
    <row r="24" spans="1:7" ht="16.5" customHeight="1" x14ac:dyDescent="0.25">
      <c r="A24" s="376" t="s">
        <v>937</v>
      </c>
      <c r="B24" s="544" t="s">
        <v>937</v>
      </c>
      <c r="C24" s="376" t="str">
        <f t="shared" si="0"/>
        <v xml:space="preserve">Rate Rider for Disposition of Capacity Based Recovery Account Applicable only for Class B Customers (2026) </v>
      </c>
      <c r="D24" s="376" t="s">
        <v>938</v>
      </c>
      <c r="E24" s="376" t="s">
        <v>692</v>
      </c>
      <c r="F24" s="376"/>
      <c r="G24" t="s">
        <v>939</v>
      </c>
    </row>
    <row r="25" spans="1:7" ht="16.5" customHeight="1" x14ac:dyDescent="0.25">
      <c r="A25" s="376" t="s">
        <v>940</v>
      </c>
      <c r="B25" s="544" t="s">
        <v>940</v>
      </c>
      <c r="C25" s="376" t="str">
        <f t="shared" si="0"/>
        <v xml:space="preserve">Rate Rider for Application of Tax Change (2026) </v>
      </c>
      <c r="D25" s="376" t="s">
        <v>941</v>
      </c>
      <c r="E25" s="376" t="s">
        <v>690</v>
      </c>
      <c r="F25" s="376"/>
      <c r="G25" t="s">
        <v>942</v>
      </c>
    </row>
  </sheetData>
  <sheetProtection algorithmName="SHA-512" hashValue="d0nYGwP7edpKCrVR1Ke4QNJy46GBJlzRR/mAYbN1YgmP1zPtjU5CCqZnU5xPefWscPBszLs4IDB09i3Pc4UHOw==" saltValue="jrYesBTyFosE1jq38XQCjA==" spinCount="100000" sheet="1" objects="1" scenarios="1"/>
  <pageMargins left="0.7" right="0.7" top="0.75" bottom="0.75" header="0.3" footer="0.3"/>
  <pageSetup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32D49-E7B6-41BF-A00B-210E6814EB01}">
  <sheetPr codeName="Sheet41">
    <pageSetUpPr fitToPage="1"/>
  </sheetPr>
  <dimension ref="A5:AV39"/>
  <sheetViews>
    <sheetView showGridLines="0" zoomScaleNormal="100" workbookViewId="0"/>
  </sheetViews>
  <sheetFormatPr defaultColWidth="9.140625" defaultRowHeight="15" x14ac:dyDescent="0.25"/>
  <cols>
    <col min="1" max="1" width="4.5703125" style="1307" customWidth="1"/>
    <col min="2" max="2" width="40.42578125" style="1307" bestFit="1" customWidth="1"/>
    <col min="3" max="3" width="11.42578125" style="1307" customWidth="1"/>
    <col min="4" max="4" width="11.5703125" style="1307" bestFit="1" customWidth="1"/>
    <col min="5" max="5" width="15.28515625" style="1307" bestFit="1" customWidth="1"/>
    <col min="6" max="6" width="2" style="1307" customWidth="1"/>
    <col min="7" max="7" width="11.140625" style="1307" bestFit="1" customWidth="1"/>
    <col min="8" max="8" width="12.7109375" style="1307" customWidth="1"/>
    <col min="9" max="9" width="2" style="1307" customWidth="1"/>
    <col min="10" max="13" width="13.85546875" style="1307" customWidth="1"/>
    <col min="14" max="14" width="2.28515625" style="1307" customWidth="1"/>
    <col min="15" max="15" width="13" style="1307" customWidth="1"/>
    <col min="16" max="16" width="2.28515625" style="1307" customWidth="1"/>
    <col min="17" max="18" width="11.42578125" style="1307" customWidth="1"/>
    <col min="19" max="19" width="2.140625" style="1307" customWidth="1"/>
    <col min="20" max="20" width="13.28515625" style="1307" customWidth="1"/>
    <col min="21" max="22" width="11" style="1307" bestFit="1" customWidth="1"/>
    <col min="23" max="23" width="9.42578125" style="1307" bestFit="1" customWidth="1"/>
    <col min="24" max="25" width="11.140625" style="1307" customWidth="1"/>
    <col min="26" max="26" width="12.28515625" style="1307" customWidth="1"/>
    <col min="27" max="27" width="2.140625" style="1307" customWidth="1"/>
    <col min="28" max="30" width="12.5703125" style="1307" bestFit="1" customWidth="1"/>
    <col min="31" max="31" width="13.28515625" style="1307" bestFit="1" customWidth="1"/>
    <col min="32" max="32" width="2.5703125" style="1307" customWidth="1"/>
    <col min="33" max="33" width="11.7109375" style="1307" customWidth="1"/>
    <col min="34" max="34" width="10.5703125" style="1307" bestFit="1" customWidth="1"/>
    <col min="35" max="35" width="1.85546875" style="1307" customWidth="1"/>
    <col min="36" max="39" width="10.28515625" style="1307" customWidth="1"/>
    <col min="40" max="40" width="9.7109375" style="1307" customWidth="1"/>
    <col min="41" max="44" width="12.42578125" style="1307" customWidth="1"/>
    <col min="45" max="45" width="9.140625" style="1307"/>
    <col min="46" max="46" width="10.5703125" style="1307" bestFit="1" customWidth="1"/>
    <col min="47" max="47" width="9.140625" style="1307"/>
    <col min="48" max="48" width="16.140625" style="1307" bestFit="1" customWidth="1"/>
    <col min="49" max="16384" width="9.140625" style="1307"/>
  </cols>
  <sheetData>
    <row r="5" spans="1:39" ht="18.75" x14ac:dyDescent="0.3">
      <c r="B5" s="1308">
        <v>2026</v>
      </c>
    </row>
    <row r="6" spans="1:39" x14ac:dyDescent="0.25">
      <c r="B6" s="1309" t="s">
        <v>9761</v>
      </c>
      <c r="C6" s="1310"/>
      <c r="D6" s="1311" t="s">
        <v>9790</v>
      </c>
      <c r="G6" s="1312" t="s">
        <v>9791</v>
      </c>
      <c r="H6" s="1310"/>
      <c r="I6" s="1310"/>
      <c r="J6" s="1311" t="s">
        <v>9792</v>
      </c>
      <c r="L6"/>
      <c r="M6"/>
      <c r="N6"/>
      <c r="O6"/>
    </row>
    <row r="7" spans="1:39" x14ac:dyDescent="0.25">
      <c r="B7" s="1313" t="str">
        <f>_xlfn.CONCAT("Revenue Requirement ",B5-1)</f>
        <v>Revenue Requirement 2025</v>
      </c>
      <c r="C7" s="1314"/>
      <c r="D7" s="1315">
        <v>944938191.17195868</v>
      </c>
      <c r="G7" s="1316" t="s">
        <v>9793</v>
      </c>
      <c r="J7" s="1317">
        <v>3.6999999999999998E-2</v>
      </c>
      <c r="L7"/>
      <c r="M7"/>
      <c r="N7"/>
      <c r="O7"/>
    </row>
    <row r="8" spans="1:39" x14ac:dyDescent="0.25">
      <c r="B8" s="1318" t="s">
        <v>9830</v>
      </c>
      <c r="D8" s="1319">
        <f>+J12</f>
        <v>4.1300000000000003E-2</v>
      </c>
      <c r="G8" s="1316" t="s">
        <v>9794</v>
      </c>
      <c r="J8" s="1317">
        <v>0</v>
      </c>
      <c r="L8"/>
      <c r="M8"/>
      <c r="N8"/>
      <c r="O8"/>
    </row>
    <row r="9" spans="1:39" x14ac:dyDescent="0.25">
      <c r="B9" s="1320" t="str">
        <f>_xlfn.CONCAT("Revenue Requirement ",B5)</f>
        <v>Revenue Requirement 2026</v>
      </c>
      <c r="C9" s="1321"/>
      <c r="D9" s="1322">
        <f>+D7*(1+D8)</f>
        <v>983964138.46736073</v>
      </c>
      <c r="G9" s="1316" t="s">
        <v>9795</v>
      </c>
      <c r="J9" s="1317">
        <v>-6.0000000000000001E-3</v>
      </c>
      <c r="L9"/>
      <c r="M9"/>
      <c r="N9"/>
      <c r="O9"/>
    </row>
    <row r="10" spans="1:39" x14ac:dyDescent="0.25">
      <c r="B10" s="1318" t="str">
        <f>+J16</f>
        <v>Revenue based on 2025 rates and 2026 load/ customer</v>
      </c>
      <c r="D10" s="1323">
        <f>+M27</f>
        <v>946627087.31426275</v>
      </c>
      <c r="G10" s="1316" t="s">
        <v>9796</v>
      </c>
      <c r="J10" s="1317">
        <v>1.03E-2</v>
      </c>
      <c r="L10"/>
      <c r="M10"/>
      <c r="N10"/>
      <c r="O10"/>
    </row>
    <row r="11" spans="1:39" x14ac:dyDescent="0.25">
      <c r="B11" s="1318" t="s">
        <v>9797</v>
      </c>
      <c r="D11" s="1323">
        <f>+D9-D10</f>
        <v>37337051.153097987</v>
      </c>
      <c r="G11" s="1316"/>
      <c r="J11" s="1317"/>
      <c r="L11"/>
      <c r="M11"/>
      <c r="N11"/>
      <c r="O11"/>
    </row>
    <row r="12" spans="1:39" x14ac:dyDescent="0.25">
      <c r="B12" s="1324" t="s">
        <v>9798</v>
      </c>
      <c r="C12" s="1325"/>
      <c r="D12" s="1326">
        <f>+D9/D10</f>
        <v>1.0394421960383886</v>
      </c>
      <c r="G12" s="1327" t="s">
        <v>9799</v>
      </c>
      <c r="H12" s="1328"/>
      <c r="I12" s="1328"/>
      <c r="J12" s="1329">
        <f>ROUND(SUM(J7:J11),4)</f>
        <v>4.1300000000000003E-2</v>
      </c>
      <c r="L12"/>
      <c r="M12"/>
      <c r="N12"/>
      <c r="O12"/>
    </row>
    <row r="16" spans="1:39" s="1334" customFormat="1" ht="25.5" x14ac:dyDescent="0.25">
      <c r="A16" s="1307"/>
      <c r="B16" s="1330"/>
      <c r="C16" s="1331" t="str">
        <f>_xlfn.CONCAT("Billing Determinants ",B5)</f>
        <v>Billing Determinants 2026</v>
      </c>
      <c r="D16" s="1332"/>
      <c r="E16" s="1333"/>
      <c r="G16" s="1335" t="str">
        <f>_xlfn.CONCAT("Rates Prior Year - ",B5-1)</f>
        <v>Rates Prior Year - 2025</v>
      </c>
      <c r="H16" s="1333"/>
      <c r="J16" s="1335" t="str">
        <f>_xlfn.CONCAT("Revenue based on ",B5-1," rates and ",B5," load/ customer")</f>
        <v>Revenue based on 2025 rates and 2026 load/ customer</v>
      </c>
      <c r="K16" s="1332"/>
      <c r="L16" s="1332"/>
      <c r="M16" s="1333"/>
      <c r="Q16" s="1335" t="str">
        <f>_xlfn.CONCAT("Esclated Rates ",B5)</f>
        <v>Esclated Rates 2026</v>
      </c>
      <c r="R16" s="1333"/>
      <c r="T16" s="1335" t="s">
        <v>9800</v>
      </c>
      <c r="U16" s="1332"/>
      <c r="V16" s="1332"/>
      <c r="W16" s="1333"/>
      <c r="AB16" s="1331" t="s">
        <v>9801</v>
      </c>
      <c r="AC16" s="1332"/>
      <c r="AD16" s="1332"/>
      <c r="AE16" s="1333"/>
      <c r="AG16" s="1336" t="str">
        <f>_xlfn.CONCAT(B5," Year Final Rates (DOS Adjusted)")</f>
        <v>2026 Year Final Rates (DOS Adjusted)</v>
      </c>
      <c r="AH16" s="1337"/>
      <c r="AJ16" s="1393" t="s">
        <v>9802</v>
      </c>
      <c r="AK16" s="1394"/>
      <c r="AL16" s="1394"/>
      <c r="AM16" s="1395"/>
    </row>
    <row r="17" spans="2:48" ht="75" x14ac:dyDescent="0.25">
      <c r="B17" s="1338"/>
      <c r="C17" s="1339" t="s">
        <v>9803</v>
      </c>
      <c r="D17" s="1339" t="s">
        <v>9804</v>
      </c>
      <c r="E17" s="1339" t="s">
        <v>9805</v>
      </c>
      <c r="G17" s="1340" t="s">
        <v>9806</v>
      </c>
      <c r="H17" s="1340" t="s">
        <v>9807</v>
      </c>
      <c r="J17" s="1341" t="s">
        <v>958</v>
      </c>
      <c r="K17" s="1341" t="s">
        <v>9807</v>
      </c>
      <c r="L17" s="1341" t="s">
        <v>9808</v>
      </c>
      <c r="M17" s="1341" t="s">
        <v>9809</v>
      </c>
      <c r="O17" s="1339" t="s">
        <v>9810</v>
      </c>
      <c r="Q17" s="1340" t="s">
        <v>9806</v>
      </c>
      <c r="R17" s="1340" t="s">
        <v>9807</v>
      </c>
      <c r="T17" s="1342">
        <f>B5</f>
        <v>2026</v>
      </c>
      <c r="U17" s="1342">
        <f>T17-1</f>
        <v>2025</v>
      </c>
      <c r="V17" s="1342" t="s">
        <v>9811</v>
      </c>
      <c r="W17" s="1342" t="s">
        <v>9812</v>
      </c>
      <c r="X17" s="1342" t="s">
        <v>9813</v>
      </c>
      <c r="Y17" s="1342" t="s">
        <v>9814</v>
      </c>
      <c r="Z17" s="1342" t="s">
        <v>9815</v>
      </c>
      <c r="AB17" s="1342" t="str">
        <f>J17</f>
        <v>Monthly Service Charge</v>
      </c>
      <c r="AC17" s="1342" t="str">
        <f>K17</f>
        <v>Volumetric Rate</v>
      </c>
      <c r="AD17" s="1342" t="str">
        <f>L17</f>
        <v>Transformer Ownership Allowance</v>
      </c>
      <c r="AE17" s="1342" t="s">
        <v>688</v>
      </c>
      <c r="AG17" s="1343" t="s">
        <v>9806</v>
      </c>
      <c r="AH17" s="1343" t="s">
        <v>9807</v>
      </c>
      <c r="AJ17" s="1396" t="s">
        <v>9816</v>
      </c>
      <c r="AK17" s="1397" t="s">
        <v>9817</v>
      </c>
      <c r="AL17" s="1397" t="s">
        <v>9818</v>
      </c>
      <c r="AM17" s="1397" t="s">
        <v>688</v>
      </c>
      <c r="AO17" s="1344"/>
      <c r="AP17" s="1345"/>
      <c r="AQ17" s="1344"/>
      <c r="AR17" s="1344"/>
    </row>
    <row r="18" spans="2:48" ht="15.75" x14ac:dyDescent="0.25">
      <c r="B18" s="1346" t="s">
        <v>1184</v>
      </c>
      <c r="C18" s="1347">
        <v>619673.18147774285</v>
      </c>
      <c r="D18" s="1347">
        <v>0</v>
      </c>
      <c r="E18" s="1347">
        <v>4952133260.9858141</v>
      </c>
      <c r="G18" s="1348">
        <v>49.24</v>
      </c>
      <c r="H18" s="1349">
        <v>0</v>
      </c>
      <c r="J18" s="1350">
        <f t="shared" ref="J18:J26" si="0">G18/30*365*C18</f>
        <v>371237940.7142294</v>
      </c>
      <c r="K18" s="1350">
        <v>0</v>
      </c>
      <c r="L18" s="1350">
        <v>0</v>
      </c>
      <c r="M18" s="1350">
        <f t="shared" ref="M18:M20" si="1">SUM(J18:L18)</f>
        <v>371237940.7142294</v>
      </c>
      <c r="O18" s="1350">
        <f t="shared" ref="O18:O26" si="2">M18*$D$12</f>
        <v>385880380.34876776</v>
      </c>
      <c r="Q18" s="1351">
        <f t="shared" ref="Q18:Q26" si="3">G18*D$12</f>
        <v>51.182133732930254</v>
      </c>
      <c r="R18" s="1352">
        <v>0</v>
      </c>
      <c r="T18" s="1353">
        <f t="shared" ref="T18:T23" si="4">Q18/30*365/12</f>
        <v>51.892996701443174</v>
      </c>
      <c r="U18" s="1354">
        <v>49.923888888888889</v>
      </c>
      <c r="V18" s="1353">
        <v>22.641638175564569</v>
      </c>
      <c r="W18" s="1353">
        <v>6.3893597021695205</v>
      </c>
      <c r="X18" s="1355" t="s">
        <v>9819</v>
      </c>
      <c r="Y18" s="1355" t="s">
        <v>9819</v>
      </c>
      <c r="Z18" s="1353">
        <f t="shared" ref="Z18:Z23" si="5">IF(X18=TRUE,U18,T18)</f>
        <v>51.892996701443174</v>
      </c>
      <c r="AB18" s="1356">
        <f t="shared" ref="AB18:AB24" si="6">+Z18*12*C18</f>
        <v>385880380.3487677</v>
      </c>
      <c r="AC18" s="1356">
        <f>O18-AB18-AD18</f>
        <v>5.9604644775390625E-8</v>
      </c>
      <c r="AD18" s="1356">
        <v>0</v>
      </c>
      <c r="AE18" s="1356">
        <f t="shared" ref="AE18:AE26" si="7">SUM(AB18:AD18)</f>
        <v>385880380.34876776</v>
      </c>
      <c r="AG18" s="1357">
        <f t="shared" ref="AG18:AG24" si="8">ROUND((((AB18/(C18*12))*12)/365)*30,2)</f>
        <v>51.18</v>
      </c>
      <c r="AH18" s="1358">
        <v>0</v>
      </c>
      <c r="AJ18" s="1398">
        <f>AG18/30*C18*365</f>
        <v>385864293.37437564</v>
      </c>
      <c r="AK18" s="1398">
        <v>0</v>
      </c>
      <c r="AL18" s="1398">
        <v>0</v>
      </c>
      <c r="AM18" s="1398">
        <f>SUM(AJ18:AL18)</f>
        <v>385864293.37437564</v>
      </c>
      <c r="AO18" s="1359"/>
      <c r="AP18" s="1359"/>
      <c r="AQ18" s="1359"/>
      <c r="AR18" s="1359"/>
    </row>
    <row r="19" spans="2:48" ht="15.75" x14ac:dyDescent="0.25">
      <c r="B19" s="1360" t="s">
        <v>9820</v>
      </c>
      <c r="C19" s="1347">
        <v>99516.367916155912</v>
      </c>
      <c r="D19" s="1347">
        <v>0</v>
      </c>
      <c r="E19" s="1347">
        <v>352562385.74427855</v>
      </c>
      <c r="G19" s="1348">
        <v>40.39</v>
      </c>
      <c r="H19" s="1349">
        <v>0</v>
      </c>
      <c r="J19" s="1350">
        <f t="shared" si="0"/>
        <v>48903504.218291372</v>
      </c>
      <c r="K19" s="1350">
        <v>0</v>
      </c>
      <c r="L19" s="1350">
        <v>0</v>
      </c>
      <c r="M19" s="1350">
        <f t="shared" si="1"/>
        <v>48903504.218291372</v>
      </c>
      <c r="O19" s="1350">
        <f t="shared" si="2"/>
        <v>50832365.818633385</v>
      </c>
      <c r="Q19" s="1351">
        <f t="shared" si="3"/>
        <v>41.983070297990515</v>
      </c>
      <c r="R19" s="1352">
        <v>0</v>
      </c>
      <c r="T19" s="1353">
        <f t="shared" si="4"/>
        <v>42.566168496573717</v>
      </c>
      <c r="U19" s="1354">
        <v>40.950972222222227</v>
      </c>
      <c r="V19" s="1353">
        <v>18.205207689212958</v>
      </c>
      <c r="W19" s="1353">
        <v>4.0621972308346725</v>
      </c>
      <c r="X19" s="1355" t="s">
        <v>9819</v>
      </c>
      <c r="Y19" s="1355" t="s">
        <v>9819</v>
      </c>
      <c r="Z19" s="1353">
        <f t="shared" si="5"/>
        <v>42.566168496573717</v>
      </c>
      <c r="AB19" s="1356">
        <f t="shared" si="6"/>
        <v>50832365.818633385</v>
      </c>
      <c r="AC19" s="1356">
        <f t="shared" ref="AC19:AC24" si="9">O19-AB19-AD19</f>
        <v>0</v>
      </c>
      <c r="AD19" s="1356">
        <v>0</v>
      </c>
      <c r="AE19" s="1356">
        <f t="shared" si="7"/>
        <v>50832365.818633385</v>
      </c>
      <c r="AG19" s="1357">
        <f t="shared" si="8"/>
        <v>41.98</v>
      </c>
      <c r="AH19" s="1358">
        <v>0</v>
      </c>
      <c r="AJ19" s="1398">
        <f t="shared" ref="AJ19:AJ26" si="10">AG19/30*C19*365</f>
        <v>50828648.355629407</v>
      </c>
      <c r="AK19" s="1398">
        <v>0</v>
      </c>
      <c r="AL19" s="1398">
        <v>0</v>
      </c>
      <c r="AM19" s="1398">
        <f t="shared" ref="AM19:AM26" si="11">SUM(AJ19:AL19)</f>
        <v>50828648.355629407</v>
      </c>
      <c r="AO19" s="1359"/>
      <c r="AP19" s="1359"/>
      <c r="AQ19" s="1359"/>
      <c r="AR19" s="1359"/>
    </row>
    <row r="20" spans="2:48" ht="15.75" x14ac:dyDescent="0.25">
      <c r="B20" s="1346" t="s">
        <v>9821</v>
      </c>
      <c r="C20" s="1347">
        <v>73181.532659616831</v>
      </c>
      <c r="D20" s="1347">
        <v>0</v>
      </c>
      <c r="E20" s="1347">
        <v>2406862915.7834449</v>
      </c>
      <c r="G20" s="1348">
        <v>43.7</v>
      </c>
      <c r="H20" s="1349">
        <v>4.5350000000000001E-2</v>
      </c>
      <c r="J20" s="1350">
        <f t="shared" si="0"/>
        <v>38909401.222907282</v>
      </c>
      <c r="K20" s="1350">
        <f>H20*E20</f>
        <v>109151233.23077923</v>
      </c>
      <c r="L20" s="1350">
        <v>0</v>
      </c>
      <c r="M20" s="1350">
        <f t="shared" si="1"/>
        <v>148060634.45368651</v>
      </c>
      <c r="O20" s="1350">
        <f t="shared" si="2"/>
        <v>153900471.023377</v>
      </c>
      <c r="Q20" s="1351">
        <f t="shared" si="3"/>
        <v>45.423623966877585</v>
      </c>
      <c r="R20" s="1352">
        <f t="shared" ref="R20:R25" si="12">H20*$D$12</f>
        <v>4.7138703590340926E-2</v>
      </c>
      <c r="T20" s="1353">
        <f t="shared" si="4"/>
        <v>46.054507633084221</v>
      </c>
      <c r="U20" s="1354">
        <v>44.306944444444447</v>
      </c>
      <c r="V20" s="1353">
        <v>37.248065998537271</v>
      </c>
      <c r="W20" s="1353">
        <v>14.232305006733275</v>
      </c>
      <c r="X20" s="1355" t="b">
        <f t="shared" ref="X20:X25" si="13">OR(T20&gt;V20)</f>
        <v>1</v>
      </c>
      <c r="Y20" s="1355" t="b">
        <f t="shared" ref="Y20:Y25" si="14">OR(T20&lt;W20)</f>
        <v>0</v>
      </c>
      <c r="Z20" s="1353">
        <f t="shared" si="5"/>
        <v>44.306944444444447</v>
      </c>
      <c r="AB20" s="1356">
        <f t="shared" si="6"/>
        <v>38909401.222907282</v>
      </c>
      <c r="AC20" s="1356">
        <f t="shared" si="9"/>
        <v>114991069.80046973</v>
      </c>
      <c r="AD20" s="1356">
        <v>0</v>
      </c>
      <c r="AE20" s="1356">
        <f t="shared" si="7"/>
        <v>153900471.023377</v>
      </c>
      <c r="AG20" s="1357">
        <f t="shared" si="8"/>
        <v>43.7</v>
      </c>
      <c r="AH20" s="1361">
        <f>ROUND(AC20/E20,5)</f>
        <v>4.7780000000000003E-2</v>
      </c>
      <c r="AJ20" s="1398">
        <f t="shared" si="10"/>
        <v>38909401.222907275</v>
      </c>
      <c r="AK20" s="1398">
        <f>+AH20*E20</f>
        <v>114999910.116133</v>
      </c>
      <c r="AL20" s="1398">
        <v>0</v>
      </c>
      <c r="AM20" s="1398">
        <f t="shared" si="11"/>
        <v>153909311.33904028</v>
      </c>
      <c r="AO20" s="1359"/>
      <c r="AP20" s="1359"/>
      <c r="AQ20" s="1359"/>
      <c r="AR20" s="1359"/>
    </row>
    <row r="21" spans="2:48" ht="15.75" x14ac:dyDescent="0.25">
      <c r="B21" s="1346" t="s">
        <v>9822</v>
      </c>
      <c r="C21" s="1347">
        <v>9961.8102922183734</v>
      </c>
      <c r="D21" s="1362">
        <v>23251474.534149002</v>
      </c>
      <c r="E21" s="1362">
        <v>9526057834.2122154</v>
      </c>
      <c r="G21" s="1363">
        <v>61.86</v>
      </c>
      <c r="H21" s="1364">
        <v>10.125400000000001</v>
      </c>
      <c r="J21" s="1350">
        <f t="shared" si="0"/>
        <v>7497557.280232314</v>
      </c>
      <c r="K21" s="1350">
        <f>H21*D21/360*365</f>
        <v>238700348.02929556</v>
      </c>
      <c r="L21" s="1365">
        <f>-7376109.87*0.63</f>
        <v>-4646949.2181000002</v>
      </c>
      <c r="M21" s="1350">
        <f>SUM(J21:L21)</f>
        <v>241550956.09142786</v>
      </c>
      <c r="O21" s="1350">
        <f t="shared" si="2"/>
        <v>251078256.25484616</v>
      </c>
      <c r="Q21" s="1366">
        <f t="shared" si="3"/>
        <v>64.299894246934713</v>
      </c>
      <c r="R21" s="1367">
        <f t="shared" si="12"/>
        <v>10.524768011767101</v>
      </c>
      <c r="T21" s="1353">
        <f t="shared" si="4"/>
        <v>65.1929483336977</v>
      </c>
      <c r="U21" s="1354">
        <v>62.719166666666666</v>
      </c>
      <c r="V21" s="1353">
        <v>82.118830436674344</v>
      </c>
      <c r="W21" s="1353">
        <v>30.353500110326362</v>
      </c>
      <c r="X21" s="1355" t="b">
        <f t="shared" si="13"/>
        <v>0</v>
      </c>
      <c r="Y21" s="1355" t="b">
        <f t="shared" si="14"/>
        <v>0</v>
      </c>
      <c r="Z21" s="1353">
        <f t="shared" si="5"/>
        <v>65.1929483336977</v>
      </c>
      <c r="AB21" s="1356">
        <f t="shared" si="6"/>
        <v>7793277.4042882845</v>
      </c>
      <c r="AC21" s="1356">
        <f t="shared" si="9"/>
        <v>247931928.06865788</v>
      </c>
      <c r="AD21" s="1365">
        <f>-7376109.87*0.63</f>
        <v>-4646949.2181000002</v>
      </c>
      <c r="AE21" s="1356">
        <f t="shared" si="7"/>
        <v>251078256.25484616</v>
      </c>
      <c r="AG21" s="1368">
        <f t="shared" si="8"/>
        <v>64.3</v>
      </c>
      <c r="AH21" s="1358">
        <f>ROUND((((AC21/(D21))*12)/365)*30,4)</f>
        <v>10.516999999999999</v>
      </c>
      <c r="AJ21" s="1398">
        <f t="shared" si="10"/>
        <v>7793290.221773969</v>
      </c>
      <c r="AK21" s="1398">
        <f>((AH21/30*365)/12)*D21</f>
        <v>247932087.64336234</v>
      </c>
      <c r="AL21" s="1398">
        <f>+AD21</f>
        <v>-4646949.2181000002</v>
      </c>
      <c r="AM21" s="1398">
        <f t="shared" si="11"/>
        <v>251078428.64703631</v>
      </c>
      <c r="AO21" s="1359"/>
      <c r="AP21" s="1359"/>
      <c r="AQ21" s="1359"/>
      <c r="AR21" s="1359"/>
      <c r="AS21" s="1369"/>
      <c r="AT21" s="1370"/>
      <c r="AV21" s="1371"/>
    </row>
    <row r="22" spans="2:48" ht="15.75" x14ac:dyDescent="0.25">
      <c r="B22" s="1346" t="s">
        <v>9823</v>
      </c>
      <c r="C22" s="1347">
        <v>482.58333333333331</v>
      </c>
      <c r="D22" s="1362">
        <v>8625809.5724448487</v>
      </c>
      <c r="E22" s="1362">
        <v>4015109586.0488472</v>
      </c>
      <c r="G22" s="1348">
        <v>1094.1500000000001</v>
      </c>
      <c r="H22" s="1364">
        <v>8.3927999999999994</v>
      </c>
      <c r="J22" s="1350">
        <f t="shared" si="0"/>
        <v>6424225.7423611116</v>
      </c>
      <c r="K22" s="1350">
        <f>H22*D22/360*365</f>
        <v>73400176.448776439</v>
      </c>
      <c r="L22" s="1365">
        <f>-7626105.69*0.63</f>
        <v>-4804446.5847000005</v>
      </c>
      <c r="M22" s="1350">
        <f t="shared" ref="M22:M26" si="15">SUM(J22:L22)</f>
        <v>75019955.606437549</v>
      </c>
      <c r="O22" s="1350">
        <f t="shared" si="2"/>
        <v>77978907.402257875</v>
      </c>
      <c r="Q22" s="1351">
        <f t="shared" si="3"/>
        <v>1137.3056787954031</v>
      </c>
      <c r="R22" s="1367">
        <f t="shared" si="12"/>
        <v>8.7238304629109873</v>
      </c>
      <c r="T22" s="1353">
        <f t="shared" si="4"/>
        <v>1153.1015910008948</v>
      </c>
      <c r="U22" s="1354">
        <v>1109.346527777778</v>
      </c>
      <c r="V22" s="1353">
        <v>155.90115836511356</v>
      </c>
      <c r="W22" s="1353">
        <v>43.039255765670681</v>
      </c>
      <c r="X22" s="1355" t="b">
        <f t="shared" si="13"/>
        <v>1</v>
      </c>
      <c r="Y22" s="1355" t="b">
        <f t="shared" si="14"/>
        <v>0</v>
      </c>
      <c r="Z22" s="1353">
        <f t="shared" si="5"/>
        <v>1109.346527777778</v>
      </c>
      <c r="AB22" s="1356">
        <f t="shared" si="6"/>
        <v>6424225.7423611125</v>
      </c>
      <c r="AC22" s="1356">
        <f t="shared" si="9"/>
        <v>76359128.244596764</v>
      </c>
      <c r="AD22" s="1365">
        <f>-7626105.69*0.63</f>
        <v>-4804446.5847000005</v>
      </c>
      <c r="AE22" s="1356">
        <f t="shared" si="7"/>
        <v>77978907.402257875</v>
      </c>
      <c r="AG22" s="1372">
        <f t="shared" si="8"/>
        <v>1094.1500000000001</v>
      </c>
      <c r="AH22" s="1358">
        <f>ROUND((((AC22/(D22))*12)/365)*30,4)</f>
        <v>8.7310999999999996</v>
      </c>
      <c r="AJ22" s="1398">
        <f t="shared" si="10"/>
        <v>6424225.7423611116</v>
      </c>
      <c r="AK22" s="1398">
        <f t="shared" ref="AK22:AK24" si="16">((AH22/30*365)/12)*D22</f>
        <v>76358817.151833951</v>
      </c>
      <c r="AL22" s="1398">
        <f>+AD22</f>
        <v>-4804446.5847000005</v>
      </c>
      <c r="AM22" s="1398">
        <f t="shared" si="11"/>
        <v>77978596.309495062</v>
      </c>
      <c r="AO22" s="1359"/>
      <c r="AP22" s="1359"/>
      <c r="AQ22" s="1359"/>
      <c r="AR22" s="1359"/>
    </row>
    <row r="23" spans="2:48" ht="15.75" x14ac:dyDescent="0.25">
      <c r="B23" s="1346" t="s">
        <v>9824</v>
      </c>
      <c r="C23" s="1347">
        <v>48.416666666666664</v>
      </c>
      <c r="D23" s="1362">
        <v>4002690.2496490665</v>
      </c>
      <c r="E23" s="1362">
        <v>1576472212.3379035</v>
      </c>
      <c r="G23" s="1348">
        <v>4843.5200000000004</v>
      </c>
      <c r="H23" s="1364">
        <v>9.0792999999999999</v>
      </c>
      <c r="J23" s="1350">
        <f t="shared" si="0"/>
        <v>2853169.6355555556</v>
      </c>
      <c r="K23" s="1350">
        <f>H23*D23/360*365</f>
        <v>36846370.383411534</v>
      </c>
      <c r="L23" s="1365">
        <f>-3838545.42*0.63</f>
        <v>-2418283.6146</v>
      </c>
      <c r="M23" s="1350">
        <f t="shared" si="15"/>
        <v>37281256.404367089</v>
      </c>
      <c r="O23" s="1350">
        <f t="shared" si="2"/>
        <v>38751711.028025568</v>
      </c>
      <c r="Q23" s="1351">
        <f t="shared" si="3"/>
        <v>5034.5590653558565</v>
      </c>
      <c r="R23" s="1367">
        <f t="shared" si="12"/>
        <v>9.4374075304913418</v>
      </c>
      <c r="T23" s="1353">
        <f t="shared" si="4"/>
        <v>5104.4834968191326</v>
      </c>
      <c r="U23" s="1354">
        <v>4910.7911111111116</v>
      </c>
      <c r="V23" s="1353">
        <v>504.43882427036812</v>
      </c>
      <c r="W23" s="1354">
        <v>153.15552627260561</v>
      </c>
      <c r="X23" s="1355" t="b">
        <f t="shared" si="13"/>
        <v>1</v>
      </c>
      <c r="Y23" s="1355" t="b">
        <f t="shared" si="14"/>
        <v>0</v>
      </c>
      <c r="Z23" s="1353">
        <f t="shared" si="5"/>
        <v>4910.7911111111116</v>
      </c>
      <c r="AB23" s="1356">
        <f t="shared" si="6"/>
        <v>2853169.6355555556</v>
      </c>
      <c r="AC23" s="1356">
        <f t="shared" si="9"/>
        <v>38316825.007070012</v>
      </c>
      <c r="AD23" s="1365">
        <f>-3838545.42*0.63</f>
        <v>-2418283.6146</v>
      </c>
      <c r="AE23" s="1356">
        <f t="shared" si="7"/>
        <v>38751711.028025568</v>
      </c>
      <c r="AG23" s="1373">
        <f t="shared" si="8"/>
        <v>4843.5200000000004</v>
      </c>
      <c r="AH23" s="1374">
        <f>ROUND((((AC23/(D23))*12)/365)*30,4)</f>
        <v>9.4415999999999993</v>
      </c>
      <c r="AJ23" s="1398">
        <f t="shared" si="10"/>
        <v>2853169.6355555556</v>
      </c>
      <c r="AK23" s="1398">
        <f t="shared" si="16"/>
        <v>38316686.375823945</v>
      </c>
      <c r="AL23" s="1398">
        <f>+AD23</f>
        <v>-2418283.6146</v>
      </c>
      <c r="AM23" s="1398">
        <f t="shared" si="11"/>
        <v>38751572.3967795</v>
      </c>
      <c r="AO23" s="1359"/>
      <c r="AP23" s="1359"/>
      <c r="AQ23" s="1359"/>
      <c r="AR23" s="1359"/>
    </row>
    <row r="24" spans="2:48" ht="15.75" x14ac:dyDescent="0.25">
      <c r="B24" s="1346" t="s">
        <v>9825</v>
      </c>
      <c r="C24" s="1347">
        <v>173276.66666666672</v>
      </c>
      <c r="D24" s="1362">
        <v>354445.84735874383</v>
      </c>
      <c r="E24" s="1362">
        <v>118551502.35653578</v>
      </c>
      <c r="G24" s="1363">
        <v>2</v>
      </c>
      <c r="H24" s="1364">
        <v>44.686300000000003</v>
      </c>
      <c r="J24" s="1350">
        <f t="shared" si="0"/>
        <v>4216398.8888888899</v>
      </c>
      <c r="K24" s="1350">
        <f>H24*D24/360*365</f>
        <v>16058857.822560742</v>
      </c>
      <c r="L24" s="1350">
        <v>0</v>
      </c>
      <c r="M24" s="1350">
        <f t="shared" si="15"/>
        <v>20275256.711449631</v>
      </c>
      <c r="O24" s="1350">
        <f t="shared" si="2"/>
        <v>21074957.36139128</v>
      </c>
      <c r="Q24" s="1366">
        <f t="shared" si="3"/>
        <v>2.0788843920767772</v>
      </c>
      <c r="R24" s="1367">
        <f t="shared" si="12"/>
        <v>46.44882580483025</v>
      </c>
      <c r="T24" s="1353">
        <f>(Q24*C24/(C24/(1.8))/30*365/12)</f>
        <v>3.793964015540118</v>
      </c>
      <c r="U24" s="1354">
        <v>3.66</v>
      </c>
      <c r="V24" s="1353">
        <v>6.1236305666640654</v>
      </c>
      <c r="W24" s="1353">
        <v>0.57433021012311625</v>
      </c>
      <c r="X24" s="1355" t="b">
        <f t="shared" si="13"/>
        <v>0</v>
      </c>
      <c r="Y24" s="1355" t="b">
        <f t="shared" si="14"/>
        <v>0</v>
      </c>
      <c r="Z24" s="1353">
        <f>IF(X24=TRUE,U24,(T24*(C24/(1.8))/C24))</f>
        <v>2.1077577864111769</v>
      </c>
      <c r="AB24" s="1356">
        <f t="shared" si="6"/>
        <v>4382702.9204404894</v>
      </c>
      <c r="AC24" s="1356">
        <f t="shared" si="9"/>
        <v>16692254.44095079</v>
      </c>
      <c r="AD24" s="1356">
        <v>0</v>
      </c>
      <c r="AE24" s="1356">
        <f t="shared" si="7"/>
        <v>21074957.36139128</v>
      </c>
      <c r="AG24" s="1368">
        <f t="shared" si="8"/>
        <v>2.08</v>
      </c>
      <c r="AH24" s="1375">
        <f>ROUND((((AC24/(D24))*12)/365)*30,4)</f>
        <v>46.448799999999999</v>
      </c>
      <c r="AJ24" s="1398">
        <f t="shared" si="10"/>
        <v>4385054.8444444453</v>
      </c>
      <c r="AK24" s="1398">
        <f t="shared" si="16"/>
        <v>16692245.167502332</v>
      </c>
      <c r="AL24" s="1398">
        <v>0</v>
      </c>
      <c r="AM24" s="1398">
        <f t="shared" si="11"/>
        <v>21077300.011946779</v>
      </c>
      <c r="AO24" s="1359"/>
      <c r="AP24" s="1359"/>
      <c r="AQ24" s="1359"/>
      <c r="AR24" s="1359"/>
    </row>
    <row r="25" spans="2:48" ht="15.75" x14ac:dyDescent="0.25">
      <c r="B25" s="1346" t="s">
        <v>1243</v>
      </c>
      <c r="C25" s="1347">
        <v>791</v>
      </c>
      <c r="D25" s="1347">
        <v>0</v>
      </c>
      <c r="E25" s="1347">
        <v>42090115.886468768</v>
      </c>
      <c r="G25" s="1348">
        <v>7.73</v>
      </c>
      <c r="H25" s="1349">
        <v>9.7360000000000002E-2</v>
      </c>
      <c r="J25" s="1350">
        <f t="shared" si="0"/>
        <v>74392.231666666659</v>
      </c>
      <c r="K25" s="1350">
        <f>H25*E25</f>
        <v>4097893.6827065991</v>
      </c>
      <c r="L25" s="1350">
        <v>0</v>
      </c>
      <c r="M25" s="1350">
        <f t="shared" si="15"/>
        <v>4172285.9143732656</v>
      </c>
      <c r="O25" s="1350">
        <f t="shared" si="2"/>
        <v>4336850.0333361831</v>
      </c>
      <c r="Q25" s="1351">
        <f t="shared" si="3"/>
        <v>8.0348881753767447</v>
      </c>
      <c r="R25" s="1352">
        <f t="shared" si="12"/>
        <v>0.10120009220629751</v>
      </c>
      <c r="T25" s="1353">
        <f>((Q26/30*365*C26)+(Q25/30*365*C25))/C26/12</f>
        <v>1.3436755313269231</v>
      </c>
      <c r="U25" s="1354">
        <v>1.2926890369161985</v>
      </c>
      <c r="V25" s="1353">
        <v>8.7504508190247616</v>
      </c>
      <c r="W25" s="1353">
        <v>0.7005196485277172</v>
      </c>
      <c r="X25" s="1355" t="b">
        <f t="shared" si="13"/>
        <v>0</v>
      </c>
      <c r="Y25" s="1355" t="b">
        <f t="shared" si="14"/>
        <v>0</v>
      </c>
      <c r="Z25" s="1353">
        <f>IF(X25=TRUE,U25,T25)</f>
        <v>1.3436755313269231</v>
      </c>
      <c r="AB25" s="1356">
        <f>((Z25*C26*12)*J25/(J25+J26))</f>
        <v>77326.424651796551</v>
      </c>
      <c r="AC25" s="1356">
        <f>O25-AB25-AD25</f>
        <v>4259523.6086843861</v>
      </c>
      <c r="AD25" s="1356">
        <v>0</v>
      </c>
      <c r="AE25" s="1356">
        <f t="shared" si="7"/>
        <v>4336850.0333361831</v>
      </c>
      <c r="AG25" s="1372">
        <f>ROUND(((((AB25)/(C25*12))*12)/365)*30,2)</f>
        <v>8.0299999999999994</v>
      </c>
      <c r="AH25" s="1376">
        <f>ROUND(AC25/E25,5)</f>
        <v>0.1012</v>
      </c>
      <c r="AJ25" s="1398">
        <f t="shared" si="10"/>
        <v>77279.381666666668</v>
      </c>
      <c r="AK25" s="1398">
        <f>+AH25*E25</f>
        <v>4259519.7277106391</v>
      </c>
      <c r="AL25" s="1398">
        <v>0</v>
      </c>
      <c r="AM25" s="1398">
        <f t="shared" si="11"/>
        <v>4336799.109377306</v>
      </c>
      <c r="AO25" s="1359"/>
      <c r="AP25" s="1359"/>
      <c r="AQ25" s="1359"/>
      <c r="AR25" s="1359"/>
    </row>
    <row r="26" spans="2:48" ht="15.75" x14ac:dyDescent="0.25">
      <c r="B26" s="1360" t="s">
        <v>9826</v>
      </c>
      <c r="C26" s="1347">
        <v>12873</v>
      </c>
      <c r="D26" s="1347">
        <v>0</v>
      </c>
      <c r="E26" s="1347"/>
      <c r="G26" s="1363">
        <v>0.8</v>
      </c>
      <c r="H26" s="1349"/>
      <c r="J26" s="1350">
        <f t="shared" si="0"/>
        <v>125297.20000000001</v>
      </c>
      <c r="K26" s="1350"/>
      <c r="L26" s="1350"/>
      <c r="M26" s="1350">
        <f t="shared" si="15"/>
        <v>125297.20000000001</v>
      </c>
      <c r="O26" s="1350">
        <f t="shared" si="2"/>
        <v>130239.1967254612</v>
      </c>
      <c r="Q26" s="1366">
        <f t="shared" si="3"/>
        <v>0.83155375683071098</v>
      </c>
      <c r="R26" s="1352"/>
      <c r="T26" s="1353"/>
      <c r="U26" s="1353"/>
      <c r="V26" s="1353"/>
      <c r="W26" s="1353"/>
      <c r="X26" s="1355"/>
      <c r="Y26" s="1355"/>
      <c r="Z26" s="1353"/>
      <c r="AB26" s="1356">
        <f>((Z25*C26*12)*J26/(J25+J26))</f>
        <v>130239.19672546121</v>
      </c>
      <c r="AC26" s="1356">
        <v>0</v>
      </c>
      <c r="AD26" s="1356"/>
      <c r="AE26" s="1356">
        <f t="shared" si="7"/>
        <v>130239.19672546121</v>
      </c>
      <c r="AG26" s="1368">
        <f>ROUND(((((AB26)/(C26*12))*12)/365)*30,2)</f>
        <v>0.83</v>
      </c>
      <c r="AH26" s="1374"/>
      <c r="AJ26" s="1398">
        <f t="shared" si="10"/>
        <v>129995.84499999999</v>
      </c>
      <c r="AK26" s="1398">
        <v>0</v>
      </c>
      <c r="AL26" s="1398">
        <v>0</v>
      </c>
      <c r="AM26" s="1398">
        <f t="shared" si="11"/>
        <v>129995.84499999999</v>
      </c>
      <c r="AO26" s="1377"/>
      <c r="AP26" s="1359"/>
      <c r="AQ26" s="1359"/>
      <c r="AR26" s="1359"/>
    </row>
    <row r="27" spans="2:48" ht="15.75" x14ac:dyDescent="0.25">
      <c r="B27" s="1346" t="s">
        <v>9827</v>
      </c>
      <c r="C27" s="1378">
        <f>SUM(C18:C26)</f>
        <v>989804.55901240068</v>
      </c>
      <c r="D27" s="1379">
        <f>SUM(D18:D26)</f>
        <v>36234420.203601658</v>
      </c>
      <c r="E27" s="1379">
        <f>SUM(E18:E26)</f>
        <v>22989839813.355507</v>
      </c>
      <c r="G27" s="1380"/>
      <c r="H27" s="1380"/>
      <c r="J27" s="1350">
        <f t="shared" ref="J27:L27" si="17">SUM(J18:J26)</f>
        <v>480241887.13413262</v>
      </c>
      <c r="K27" s="1350">
        <f t="shared" si="17"/>
        <v>478254879.59753007</v>
      </c>
      <c r="L27" s="1350">
        <f t="shared" si="17"/>
        <v>-11869679.417399999</v>
      </c>
      <c r="M27" s="1350">
        <f>SUM(M18:M26)</f>
        <v>946627087.31426275</v>
      </c>
      <c r="O27" s="1350">
        <f>SUM(O18:O26)</f>
        <v>983964138.46736085</v>
      </c>
      <c r="Q27" s="1380"/>
      <c r="R27" s="1380"/>
      <c r="T27" s="1350"/>
      <c r="U27" s="1350"/>
      <c r="V27" s="1350"/>
      <c r="W27" s="1350"/>
      <c r="X27" s="1350"/>
      <c r="Y27" s="1350"/>
      <c r="Z27" s="1350"/>
      <c r="AB27" s="1381">
        <f>SUM(AB18:AB26)</f>
        <v>497283088.71433115</v>
      </c>
      <c r="AC27" s="1381">
        <f t="shared" ref="AC27:AE27" si="18">SUM(AC18:AC26)</f>
        <v>498550729.17042959</v>
      </c>
      <c r="AD27" s="1381">
        <f t="shared" si="18"/>
        <v>-11869679.417399999</v>
      </c>
      <c r="AE27" s="1381">
        <f t="shared" si="18"/>
        <v>983964138.46736085</v>
      </c>
      <c r="AG27" s="1382"/>
      <c r="AH27" s="1382"/>
      <c r="AJ27" s="1398">
        <f>SUM(AJ18:AJ26)</f>
        <v>497265358.62371415</v>
      </c>
      <c r="AK27" s="1398">
        <f t="shared" ref="AK27:AM27" si="19">SUM(AK18:AK26)</f>
        <v>498559266.18236625</v>
      </c>
      <c r="AL27" s="1398">
        <f t="shared" si="19"/>
        <v>-11869679.417399999</v>
      </c>
      <c r="AM27" s="1398">
        <f t="shared" si="19"/>
        <v>983954945.38868034</v>
      </c>
      <c r="AO27" s="1359"/>
      <c r="AP27" s="1359"/>
      <c r="AQ27" s="1359"/>
      <c r="AR27" s="1359"/>
    </row>
    <row r="28" spans="2:48" x14ac:dyDescent="0.25">
      <c r="AJ28" s="1399"/>
      <c r="AK28" s="1399"/>
      <c r="AL28" s="1399"/>
      <c r="AM28" s="1400">
        <f>+AM27-D9</f>
        <v>-9193.07868039608</v>
      </c>
    </row>
    <row r="29" spans="2:48" x14ac:dyDescent="0.25">
      <c r="C29" s="1383"/>
      <c r="J29" s="1384"/>
      <c r="Z29" s="1385"/>
      <c r="AB29" s="1386"/>
    </row>
    <row r="30" spans="2:48" x14ac:dyDescent="0.25">
      <c r="AD30" s="1371"/>
    </row>
    <row r="31" spans="2:48" x14ac:dyDescent="0.25">
      <c r="T31" s="1387"/>
      <c r="U31" s="1388"/>
      <c r="AD31" s="1371"/>
    </row>
    <row r="32" spans="2:48" x14ac:dyDescent="0.25">
      <c r="J32" s="1384"/>
      <c r="T32" s="1389"/>
      <c r="U32" s="1390"/>
      <c r="AB32" s="1384"/>
      <c r="AD32" s="1371"/>
    </row>
    <row r="33" spans="10:28" x14ac:dyDescent="0.25">
      <c r="J33" s="1384"/>
      <c r="T33" s="1387"/>
      <c r="U33" s="1388"/>
      <c r="AB33" s="1384"/>
    </row>
    <row r="34" spans="10:28" x14ac:dyDescent="0.25">
      <c r="J34" s="1384"/>
      <c r="T34" s="1387"/>
      <c r="U34" s="1388"/>
      <c r="AB34" s="1384"/>
    </row>
    <row r="35" spans="10:28" x14ac:dyDescent="0.25">
      <c r="T35" s="1387"/>
      <c r="U35" s="1391"/>
    </row>
    <row r="36" spans="10:28" x14ac:dyDescent="0.25">
      <c r="J36" s="1384"/>
      <c r="AB36" s="1384"/>
    </row>
    <row r="38" spans="10:28" x14ac:dyDescent="0.25">
      <c r="J38" s="1384"/>
      <c r="AB38" s="1384"/>
    </row>
    <row r="39" spans="10:28" x14ac:dyDescent="0.25">
      <c r="J39" s="1384"/>
      <c r="AB39" s="1384"/>
    </row>
  </sheetData>
  <pageMargins left="0.196850393700787" right="0.196850393700787" top="0.39370078740157499" bottom="0.472441" header="0.196850393700787" footer="9.8425200000000004E-2"/>
  <pageSetup scale="33" orientation="landscape" r:id="rId1"/>
  <headerFooter>
    <oddHeader>&amp;R&amp;6&amp;K00-049Date: &amp;D
Time: &amp;T</oddHeader>
    <oddFooter>&amp;L&amp;6&amp;K00-049Path: &amp;Z
File: &amp;F
Tab: &amp;A&amp;R&amp;6&amp;K00-049Page &amp;P of &amp;N</oddFooter>
  </headerFooter>
  <customProperties>
    <customPr name="_pios_id" r:id="rId2"/>
  </customProperties>
  <ignoredErrors>
    <ignoredError sqref="Z24"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
  <dimension ref="A1:S542"/>
  <sheetViews>
    <sheetView showGridLines="0" topLeftCell="L1" zoomScaleNormal="100" workbookViewId="0">
      <pane ySplit="4" topLeftCell="A5" activePane="bottomLeft" state="frozen"/>
      <selection activeCell="E1" sqref="E1"/>
      <selection pane="bottomLeft" activeCell="S5" sqref="S5"/>
    </sheetView>
  </sheetViews>
  <sheetFormatPr defaultColWidth="9.140625" defaultRowHeight="15" x14ac:dyDescent="0.25"/>
  <cols>
    <col min="1" max="1" width="24" customWidth="1"/>
    <col min="2" max="2" width="18.85546875" customWidth="1"/>
    <col min="3" max="3" width="13.5703125" customWidth="1"/>
    <col min="4" max="4" width="24.140625" customWidth="1"/>
    <col min="5" max="5" width="36.42578125" customWidth="1"/>
    <col min="6" max="6" width="26.28515625" customWidth="1"/>
    <col min="7" max="7" width="25.42578125" customWidth="1"/>
    <col min="8" max="8" width="17.85546875" customWidth="1"/>
    <col min="9" max="9" width="17" customWidth="1"/>
    <col min="10" max="10" width="20.7109375" customWidth="1"/>
    <col min="11" max="11" width="19.85546875" customWidth="1"/>
    <col min="12" max="12" width="15" customWidth="1"/>
    <col min="13" max="13" width="14.42578125" customWidth="1"/>
    <col min="14" max="14" width="21.42578125" customWidth="1"/>
    <col min="15" max="15" width="20.5703125" customWidth="1"/>
    <col min="16" max="16" width="22.140625" customWidth="1"/>
    <col min="17" max="17" width="21.28515625" customWidth="1"/>
    <col min="18" max="18" width="18.5703125" customWidth="1"/>
    <col min="19" max="19" width="17.5703125" customWidth="1"/>
    <col min="20" max="20" width="0.7109375" customWidth="1"/>
    <col min="21" max="21" width="12.5703125" bestFit="1" customWidth="1"/>
    <col min="22" max="22" width="10.5703125" bestFit="1" customWidth="1"/>
  </cols>
  <sheetData>
    <row r="1" spans="1:19" x14ac:dyDescent="0.25">
      <c r="A1" s="1912" t="s">
        <v>1119</v>
      </c>
      <c r="B1" s="1912"/>
      <c r="C1" s="1912"/>
      <c r="D1" s="1912"/>
    </row>
    <row r="2" spans="1:19" x14ac:dyDescent="0.25">
      <c r="A2" s="1913"/>
      <c r="B2" s="1913"/>
      <c r="C2" s="1913"/>
      <c r="D2" s="1913"/>
    </row>
    <row r="3" spans="1:19" x14ac:dyDescent="0.25">
      <c r="A3" s="464" t="s">
        <v>169</v>
      </c>
      <c r="F3" t="s">
        <v>7815</v>
      </c>
      <c r="G3" t="s">
        <v>7814</v>
      </c>
      <c r="H3" t="s">
        <v>7813</v>
      </c>
      <c r="I3" t="s">
        <v>7812</v>
      </c>
      <c r="J3" t="s">
        <v>7816</v>
      </c>
      <c r="K3" t="s">
        <v>7817</v>
      </c>
      <c r="L3" t="s">
        <v>7818</v>
      </c>
      <c r="M3" t="s">
        <v>7819</v>
      </c>
      <c r="N3" t="s">
        <v>7820</v>
      </c>
      <c r="O3" t="s">
        <v>7821</v>
      </c>
      <c r="P3" t="s">
        <v>7822</v>
      </c>
      <c r="Q3" t="s">
        <v>7823</v>
      </c>
      <c r="R3" s="882" t="s">
        <v>1120</v>
      </c>
      <c r="S3" s="882" t="s">
        <v>1121</v>
      </c>
    </row>
    <row r="4" spans="1:19" ht="22.5" x14ac:dyDescent="0.25">
      <c r="A4" s="876" t="s">
        <v>1122</v>
      </c>
      <c r="B4" s="876" t="s">
        <v>1123</v>
      </c>
      <c r="C4" s="876" t="s">
        <v>343</v>
      </c>
      <c r="D4" s="876" t="s">
        <v>1124</v>
      </c>
      <c r="E4" s="876" t="s">
        <v>1125</v>
      </c>
      <c r="F4" s="876" t="s">
        <v>1126</v>
      </c>
      <c r="G4" s="876" t="s">
        <v>1127</v>
      </c>
      <c r="H4" s="876" t="s">
        <v>1128</v>
      </c>
      <c r="I4" s="876" t="s">
        <v>1129</v>
      </c>
      <c r="J4" s="876" t="s">
        <v>1130</v>
      </c>
      <c r="K4" s="876" t="s">
        <v>1131</v>
      </c>
      <c r="L4" s="876" t="s">
        <v>1132</v>
      </c>
      <c r="M4" s="876" t="s">
        <v>1133</v>
      </c>
      <c r="N4" s="876" t="s">
        <v>1134</v>
      </c>
      <c r="O4" s="876" t="s">
        <v>1135</v>
      </c>
      <c r="P4" s="876" t="s">
        <v>1136</v>
      </c>
      <c r="Q4" s="879" t="s">
        <v>1137</v>
      </c>
      <c r="R4" s="823" t="s">
        <v>1138</v>
      </c>
      <c r="S4" s="824" t="s">
        <v>1139</v>
      </c>
    </row>
    <row r="5" spans="1:19" ht="22.5" x14ac:dyDescent="0.25">
      <c r="A5" s="880">
        <v>2025</v>
      </c>
      <c r="B5" s="816" t="s">
        <v>167</v>
      </c>
      <c r="C5" s="816" t="s">
        <v>1140</v>
      </c>
      <c r="D5" s="816" t="s">
        <v>1141</v>
      </c>
      <c r="E5" s="816" t="s">
        <v>1142</v>
      </c>
      <c r="F5" s="816">
        <v>0</v>
      </c>
      <c r="G5" s="816">
        <v>0</v>
      </c>
      <c r="H5" s="826">
        <v>0</v>
      </c>
      <c r="I5" s="826">
        <v>0</v>
      </c>
      <c r="J5" s="826">
        <v>2951233.1239999998</v>
      </c>
      <c r="K5" s="826">
        <v>0</v>
      </c>
      <c r="L5" s="826">
        <v>0</v>
      </c>
      <c r="M5" s="826">
        <v>0</v>
      </c>
      <c r="N5" s="826"/>
      <c r="O5" s="826"/>
      <c r="P5" s="826">
        <v>2951233.1239999998</v>
      </c>
      <c r="Q5" s="881">
        <v>0</v>
      </c>
      <c r="R5" s="889">
        <v>2951233.1239999998</v>
      </c>
      <c r="S5" s="889">
        <v>0</v>
      </c>
    </row>
    <row r="6" spans="1:19" ht="33.75" x14ac:dyDescent="0.25">
      <c r="A6" s="880">
        <v>2025</v>
      </c>
      <c r="B6" s="816" t="s">
        <v>167</v>
      </c>
      <c r="C6" s="816" t="s">
        <v>1143</v>
      </c>
      <c r="D6" s="816" t="s">
        <v>1144</v>
      </c>
      <c r="E6" s="816" t="s">
        <v>1145</v>
      </c>
      <c r="F6" s="816">
        <v>0</v>
      </c>
      <c r="G6" s="816">
        <v>0</v>
      </c>
      <c r="H6" s="826">
        <v>0</v>
      </c>
      <c r="I6" s="826">
        <v>0</v>
      </c>
      <c r="J6" s="826">
        <v>285159.69089999999</v>
      </c>
      <c r="K6" s="826">
        <v>0</v>
      </c>
      <c r="L6" s="826">
        <v>0</v>
      </c>
      <c r="M6" s="826">
        <v>0</v>
      </c>
      <c r="N6" s="826"/>
      <c r="O6" s="826"/>
      <c r="P6" s="826">
        <v>285159.69089999999</v>
      </c>
      <c r="Q6" s="881">
        <v>0</v>
      </c>
      <c r="R6" s="889">
        <v>285159.69089999999</v>
      </c>
      <c r="S6" s="889">
        <v>0</v>
      </c>
    </row>
    <row r="7" spans="1:19" ht="33.75" x14ac:dyDescent="0.25">
      <c r="A7" s="880">
        <v>2025</v>
      </c>
      <c r="B7" s="816" t="s">
        <v>167</v>
      </c>
      <c r="C7" s="816" t="s">
        <v>1143</v>
      </c>
      <c r="D7" s="816" t="s">
        <v>8778</v>
      </c>
      <c r="E7" s="816" t="s">
        <v>1147</v>
      </c>
      <c r="F7" s="816">
        <v>81007846.049999997</v>
      </c>
      <c r="G7" s="816">
        <v>0</v>
      </c>
      <c r="H7" s="826">
        <v>624478732.02999997</v>
      </c>
      <c r="I7" s="826">
        <v>0</v>
      </c>
      <c r="J7" s="826">
        <v>739501.96680000005</v>
      </c>
      <c r="K7" s="826">
        <v>0</v>
      </c>
      <c r="L7" s="826">
        <v>0</v>
      </c>
      <c r="M7" s="826">
        <v>0</v>
      </c>
      <c r="N7" s="826"/>
      <c r="O7" s="826"/>
      <c r="P7" s="826">
        <v>625218233.99679995</v>
      </c>
      <c r="Q7" s="881">
        <v>0</v>
      </c>
      <c r="R7" s="889">
        <v>706226080.0467999</v>
      </c>
      <c r="S7" s="889">
        <v>0</v>
      </c>
    </row>
    <row r="8" spans="1:19" ht="33.75" x14ac:dyDescent="0.25">
      <c r="A8" s="880">
        <v>2025</v>
      </c>
      <c r="B8" s="816" t="s">
        <v>167</v>
      </c>
      <c r="C8" s="816" t="s">
        <v>1143</v>
      </c>
      <c r="D8" s="816" t="s">
        <v>8779</v>
      </c>
      <c r="E8" s="816" t="s">
        <v>1149</v>
      </c>
      <c r="F8" s="816">
        <v>26353524.329999998</v>
      </c>
      <c r="G8" s="816">
        <v>0</v>
      </c>
      <c r="H8" s="826">
        <v>115763719.13</v>
      </c>
      <c r="I8" s="826">
        <v>0</v>
      </c>
      <c r="J8" s="826">
        <v>0</v>
      </c>
      <c r="K8" s="826">
        <v>0</v>
      </c>
      <c r="L8" s="826">
        <v>0</v>
      </c>
      <c r="M8" s="826">
        <v>0</v>
      </c>
      <c r="N8" s="826"/>
      <c r="O8" s="826"/>
      <c r="P8" s="826">
        <v>115763719.13</v>
      </c>
      <c r="Q8" s="881">
        <v>0</v>
      </c>
      <c r="R8" s="889">
        <v>142117243.45999998</v>
      </c>
      <c r="S8" s="889">
        <v>0</v>
      </c>
    </row>
    <row r="9" spans="1:19" ht="33.75" x14ac:dyDescent="0.25">
      <c r="A9" s="880">
        <v>2025</v>
      </c>
      <c r="B9" s="816" t="s">
        <v>167</v>
      </c>
      <c r="C9" s="816" t="s">
        <v>1143</v>
      </c>
      <c r="D9" s="816" t="s">
        <v>8780</v>
      </c>
      <c r="E9" s="816" t="s">
        <v>1151</v>
      </c>
      <c r="F9" s="816">
        <v>79302507.709999993</v>
      </c>
      <c r="G9" s="816">
        <v>0</v>
      </c>
      <c r="H9" s="826">
        <v>495261816.52999997</v>
      </c>
      <c r="I9" s="826">
        <v>0</v>
      </c>
      <c r="J9" s="826">
        <v>2227414.3280000002</v>
      </c>
      <c r="K9" s="826">
        <v>0</v>
      </c>
      <c r="L9" s="826">
        <v>0</v>
      </c>
      <c r="M9" s="826">
        <v>0</v>
      </c>
      <c r="N9" s="826"/>
      <c r="O9" s="826"/>
      <c r="P9" s="826">
        <v>497489230.85799998</v>
      </c>
      <c r="Q9" s="881">
        <v>0</v>
      </c>
      <c r="R9" s="889">
        <v>576791738.56799996</v>
      </c>
      <c r="S9" s="889">
        <v>0</v>
      </c>
    </row>
    <row r="10" spans="1:19" ht="33.75" x14ac:dyDescent="0.25">
      <c r="A10" s="880">
        <v>2025</v>
      </c>
      <c r="B10" s="816" t="s">
        <v>167</v>
      </c>
      <c r="C10" s="816" t="s">
        <v>1143</v>
      </c>
      <c r="D10" s="816" t="s">
        <v>1152</v>
      </c>
      <c r="E10" s="816" t="s">
        <v>1153</v>
      </c>
      <c r="F10" s="816">
        <v>50846067.409999996</v>
      </c>
      <c r="G10" s="816">
        <v>0</v>
      </c>
      <c r="H10" s="826">
        <v>294033844.86000001</v>
      </c>
      <c r="I10" s="826">
        <v>0</v>
      </c>
      <c r="J10" s="826">
        <v>190884.46789999999</v>
      </c>
      <c r="K10" s="826">
        <v>0</v>
      </c>
      <c r="L10" s="826">
        <v>0</v>
      </c>
      <c r="M10" s="826">
        <v>0</v>
      </c>
      <c r="N10" s="826"/>
      <c r="O10" s="826"/>
      <c r="P10" s="826">
        <v>294224729.32789999</v>
      </c>
      <c r="Q10" s="881">
        <v>0</v>
      </c>
      <c r="R10" s="889">
        <v>345070796.73790002</v>
      </c>
      <c r="S10" s="889">
        <v>0</v>
      </c>
    </row>
    <row r="11" spans="1:19" ht="33.75" x14ac:dyDescent="0.25">
      <c r="A11" s="880">
        <v>2025</v>
      </c>
      <c r="B11" s="816" t="s">
        <v>167</v>
      </c>
      <c r="C11" s="816" t="s">
        <v>1143</v>
      </c>
      <c r="D11" s="816" t="s">
        <v>8781</v>
      </c>
      <c r="E11" s="816" t="s">
        <v>8782</v>
      </c>
      <c r="F11" s="816">
        <v>117999926.91</v>
      </c>
      <c r="G11" s="816">
        <v>0</v>
      </c>
      <c r="H11" s="826">
        <v>904416753.66999996</v>
      </c>
      <c r="I11" s="826">
        <v>0</v>
      </c>
      <c r="J11" s="826">
        <v>5500886.2060000002</v>
      </c>
      <c r="K11" s="826">
        <v>0</v>
      </c>
      <c r="L11" s="826">
        <v>0</v>
      </c>
      <c r="M11" s="826">
        <v>0</v>
      </c>
      <c r="N11" s="826"/>
      <c r="O11" s="826"/>
      <c r="P11" s="826">
        <v>909917639.87600005</v>
      </c>
      <c r="Q11" s="881">
        <v>0</v>
      </c>
      <c r="R11" s="889">
        <v>1027917566.786</v>
      </c>
      <c r="S11" s="889">
        <v>0</v>
      </c>
    </row>
    <row r="12" spans="1:19" ht="22.5" x14ac:dyDescent="0.25">
      <c r="A12" s="880">
        <v>2025</v>
      </c>
      <c r="B12" s="816" t="s">
        <v>167</v>
      </c>
      <c r="C12" s="816" t="s">
        <v>1155</v>
      </c>
      <c r="D12" s="816" t="s">
        <v>1156</v>
      </c>
      <c r="E12" s="816" t="s">
        <v>1157</v>
      </c>
      <c r="F12" s="816">
        <v>0</v>
      </c>
      <c r="G12" s="816">
        <v>0</v>
      </c>
      <c r="H12" s="826">
        <v>0</v>
      </c>
      <c r="I12" s="826">
        <v>0</v>
      </c>
      <c r="J12" s="826">
        <v>0</v>
      </c>
      <c r="K12" s="826">
        <v>0</v>
      </c>
      <c r="L12" s="826">
        <v>0</v>
      </c>
      <c r="M12" s="826">
        <v>0</v>
      </c>
      <c r="N12" s="826"/>
      <c r="O12" s="826"/>
      <c r="P12" s="826">
        <v>0</v>
      </c>
      <c r="Q12" s="881">
        <v>0</v>
      </c>
      <c r="R12" s="889">
        <v>0</v>
      </c>
      <c r="S12" s="889">
        <v>0</v>
      </c>
    </row>
    <row r="13" spans="1:19" s="1" customFormat="1" ht="33.75" x14ac:dyDescent="0.25">
      <c r="A13" s="1015">
        <v>2025</v>
      </c>
      <c r="B13" s="1016" t="s">
        <v>167</v>
      </c>
      <c r="C13" s="1016" t="s">
        <v>1155</v>
      </c>
      <c r="D13" s="1016" t="s">
        <v>8783</v>
      </c>
      <c r="E13" s="1016" t="s">
        <v>1159</v>
      </c>
      <c r="F13" s="1016">
        <v>40540208.82</v>
      </c>
      <c r="G13" s="1016">
        <v>87300.160000000003</v>
      </c>
      <c r="H13" s="1017">
        <v>0</v>
      </c>
      <c r="I13" s="1017">
        <v>0</v>
      </c>
      <c r="J13" s="1017">
        <v>448681535.47000003</v>
      </c>
      <c r="K13" s="1017">
        <v>961337.87</v>
      </c>
      <c r="L13" s="1017">
        <v>0</v>
      </c>
      <c r="M13" s="1017">
        <v>0</v>
      </c>
      <c r="N13" s="1017"/>
      <c r="O13" s="1017"/>
      <c r="P13" s="1017">
        <v>448681535.47000003</v>
      </c>
      <c r="Q13" s="1018">
        <v>961337.87</v>
      </c>
      <c r="R13" s="889">
        <v>489221744.29000002</v>
      </c>
      <c r="S13" s="889">
        <v>1048638.03</v>
      </c>
    </row>
    <row r="14" spans="1:19" s="1014" customFormat="1" ht="33.75" x14ac:dyDescent="0.25">
      <c r="A14" s="1010">
        <v>2025</v>
      </c>
      <c r="B14" s="1011" t="s">
        <v>167</v>
      </c>
      <c r="C14" s="1011" t="s">
        <v>1155</v>
      </c>
      <c r="D14" s="1011" t="s">
        <v>8784</v>
      </c>
      <c r="E14" s="1011" t="s">
        <v>1161</v>
      </c>
      <c r="F14" s="1011">
        <v>70784360.329999998</v>
      </c>
      <c r="G14" s="1011">
        <v>205059.28</v>
      </c>
      <c r="H14" s="1012">
        <v>58448823.299999997</v>
      </c>
      <c r="I14" s="1012">
        <v>171192.9</v>
      </c>
      <c r="J14" s="1012">
        <v>249302878.5</v>
      </c>
      <c r="K14" s="1012">
        <v>710925.4</v>
      </c>
      <c r="L14" s="1012">
        <v>5766324.0099999998</v>
      </c>
      <c r="M14" s="1012">
        <v>11306.3</v>
      </c>
      <c r="N14" s="1012"/>
      <c r="O14" s="1012"/>
      <c r="P14" s="1012">
        <v>313518025.81</v>
      </c>
      <c r="Q14" s="1013">
        <v>893424.6</v>
      </c>
      <c r="R14" s="889">
        <v>384302386.13999999</v>
      </c>
      <c r="S14" s="889">
        <v>1098483.8799999999</v>
      </c>
    </row>
    <row r="15" spans="1:19" ht="33.75" x14ac:dyDescent="0.25">
      <c r="A15" s="880">
        <v>2025</v>
      </c>
      <c r="B15" s="816" t="s">
        <v>167</v>
      </c>
      <c r="C15" s="816" t="s">
        <v>1155</v>
      </c>
      <c r="D15" s="816" t="s">
        <v>8785</v>
      </c>
      <c r="E15" s="816" t="s">
        <v>1163</v>
      </c>
      <c r="F15" s="816">
        <v>218460100.53</v>
      </c>
      <c r="G15" s="816">
        <v>605683.70539999998</v>
      </c>
      <c r="H15" s="826">
        <v>205150337.49000001</v>
      </c>
      <c r="I15" s="826">
        <v>552659.09259999997</v>
      </c>
      <c r="J15" s="826">
        <v>1322450896.4300001</v>
      </c>
      <c r="K15" s="826">
        <v>3563491.6460000002</v>
      </c>
      <c r="L15" s="826">
        <v>8605363.0830000006</v>
      </c>
      <c r="M15" s="826">
        <v>16182.647209999999</v>
      </c>
      <c r="N15" s="826"/>
      <c r="O15" s="826"/>
      <c r="P15" s="826">
        <v>1536206597.003</v>
      </c>
      <c r="Q15" s="881">
        <v>4132333.3858099999</v>
      </c>
      <c r="R15" s="889">
        <v>1754666697.533</v>
      </c>
      <c r="S15" s="889">
        <v>4738017.0912100002</v>
      </c>
    </row>
    <row r="16" spans="1:19" ht="33.75" x14ac:dyDescent="0.25">
      <c r="A16" s="880">
        <v>2025</v>
      </c>
      <c r="B16" s="816" t="s">
        <v>167</v>
      </c>
      <c r="C16" s="816" t="s">
        <v>1155</v>
      </c>
      <c r="D16" s="816" t="s">
        <v>8786</v>
      </c>
      <c r="E16" s="816" t="s">
        <v>8787</v>
      </c>
      <c r="F16" s="816">
        <v>475455178.94999999</v>
      </c>
      <c r="G16" s="816">
        <v>1331393.851</v>
      </c>
      <c r="H16" s="826">
        <v>471566861.51999998</v>
      </c>
      <c r="I16" s="826">
        <v>1193757.5149999999</v>
      </c>
      <c r="J16" s="826">
        <v>3838240447.4200001</v>
      </c>
      <c r="K16" s="826">
        <v>9716391.7819999997</v>
      </c>
      <c r="L16" s="826">
        <v>24955018.109999999</v>
      </c>
      <c r="M16" s="826">
        <v>58718.574379999998</v>
      </c>
      <c r="N16" s="826"/>
      <c r="O16" s="826"/>
      <c r="P16" s="826">
        <v>4334762327.0500002</v>
      </c>
      <c r="Q16" s="881">
        <v>10968867.871379999</v>
      </c>
      <c r="R16" s="889">
        <v>4810217506</v>
      </c>
      <c r="S16" s="889">
        <v>12300261.722379999</v>
      </c>
    </row>
    <row r="17" spans="1:19" ht="33.75" x14ac:dyDescent="0.25">
      <c r="A17" s="880">
        <v>2025</v>
      </c>
      <c r="B17" s="816" t="s">
        <v>167</v>
      </c>
      <c r="C17" s="816" t="s">
        <v>1155</v>
      </c>
      <c r="D17" s="816" t="s">
        <v>8788</v>
      </c>
      <c r="E17" s="816" t="s">
        <v>1166</v>
      </c>
      <c r="F17" s="816">
        <v>284153714.35000002</v>
      </c>
      <c r="G17" s="816">
        <v>779948.40969999996</v>
      </c>
      <c r="H17" s="826">
        <v>355169497.83999997</v>
      </c>
      <c r="I17" s="826">
        <v>974873.35560000001</v>
      </c>
      <c r="J17" s="826">
        <v>1425726485.95</v>
      </c>
      <c r="K17" s="826">
        <v>3913026.5010000002</v>
      </c>
      <c r="L17" s="826">
        <v>0</v>
      </c>
      <c r="M17" s="826">
        <v>0</v>
      </c>
      <c r="N17" s="826"/>
      <c r="O17" s="826"/>
      <c r="P17" s="826">
        <v>1780895983.79</v>
      </c>
      <c r="Q17" s="881">
        <v>4887899.8565999996</v>
      </c>
      <c r="R17" s="889">
        <v>2065049698.1399999</v>
      </c>
      <c r="S17" s="889">
        <v>5667848.2662999993</v>
      </c>
    </row>
    <row r="18" spans="1:19" ht="33.75" x14ac:dyDescent="0.25">
      <c r="A18" s="880">
        <v>2025</v>
      </c>
      <c r="B18" s="816" t="s">
        <v>167</v>
      </c>
      <c r="C18" s="816" t="s">
        <v>1155</v>
      </c>
      <c r="D18" s="816" t="s">
        <v>1167</v>
      </c>
      <c r="E18" s="816" t="s">
        <v>1168</v>
      </c>
      <c r="F18" s="816">
        <v>168165053.59999999</v>
      </c>
      <c r="G18" s="816">
        <v>454232.71</v>
      </c>
      <c r="H18" s="826">
        <v>120950125.31999999</v>
      </c>
      <c r="I18" s="826">
        <v>337133.89990000002</v>
      </c>
      <c r="J18" s="826">
        <v>788917648</v>
      </c>
      <c r="K18" s="826">
        <v>2199012.88</v>
      </c>
      <c r="L18" s="826">
        <v>3879476.2560000001</v>
      </c>
      <c r="M18" s="826">
        <v>22748.76179</v>
      </c>
      <c r="N18" s="826"/>
      <c r="O18" s="826"/>
      <c r="P18" s="826">
        <v>913747249.57599998</v>
      </c>
      <c r="Q18" s="881">
        <v>2558895.5416899999</v>
      </c>
      <c r="R18" s="889">
        <v>1081912303.1759999</v>
      </c>
      <c r="S18" s="889">
        <v>3013128.2516899998</v>
      </c>
    </row>
    <row r="19" spans="1:19" ht="33.75" x14ac:dyDescent="0.25">
      <c r="A19" s="880">
        <v>2025</v>
      </c>
      <c r="B19" s="816" t="s">
        <v>167</v>
      </c>
      <c r="C19" s="816" t="s">
        <v>1155</v>
      </c>
      <c r="D19" s="816" t="s">
        <v>8789</v>
      </c>
      <c r="E19" s="816" t="s">
        <v>1170</v>
      </c>
      <c r="F19" s="816">
        <v>360130760.82999998</v>
      </c>
      <c r="G19" s="816">
        <v>835633.19389999995</v>
      </c>
      <c r="H19" s="826">
        <v>123352611.84</v>
      </c>
      <c r="I19" s="826">
        <v>286402.29210000002</v>
      </c>
      <c r="J19" s="826">
        <v>1156474105.0999999</v>
      </c>
      <c r="K19" s="826">
        <v>2683436.838</v>
      </c>
      <c r="L19" s="826">
        <v>34253879.259999998</v>
      </c>
      <c r="M19" s="826">
        <v>69061.699760000003</v>
      </c>
      <c r="N19" s="826"/>
      <c r="O19" s="826"/>
      <c r="P19" s="826">
        <v>1314080596.2</v>
      </c>
      <c r="Q19" s="881">
        <v>3038900.8298599999</v>
      </c>
      <c r="R19" s="889">
        <v>1674211357.03</v>
      </c>
      <c r="S19" s="889">
        <v>3874534.0237599998</v>
      </c>
    </row>
    <row r="20" spans="1:19" ht="33.75" x14ac:dyDescent="0.25">
      <c r="A20" s="880">
        <v>2025</v>
      </c>
      <c r="B20" s="816" t="s">
        <v>167</v>
      </c>
      <c r="C20" s="816" t="s">
        <v>1155</v>
      </c>
      <c r="D20" s="816" t="s">
        <v>1171</v>
      </c>
      <c r="E20" s="816" t="s">
        <v>1172</v>
      </c>
      <c r="F20" s="816">
        <v>143083991.41</v>
      </c>
      <c r="G20" s="816">
        <v>350643.00380000001</v>
      </c>
      <c r="H20" s="826">
        <v>0</v>
      </c>
      <c r="I20" s="826">
        <v>0</v>
      </c>
      <c r="J20" s="826">
        <v>667286619.85000002</v>
      </c>
      <c r="K20" s="826">
        <v>1600233.63</v>
      </c>
      <c r="L20" s="826">
        <v>68427291.260000005</v>
      </c>
      <c r="M20" s="826">
        <v>114749.73330000001</v>
      </c>
      <c r="N20" s="826"/>
      <c r="O20" s="826"/>
      <c r="P20" s="826">
        <v>735713911.11000001</v>
      </c>
      <c r="Q20" s="881">
        <v>1714983.3633000001</v>
      </c>
      <c r="R20" s="889">
        <v>878797902.51999998</v>
      </c>
      <c r="S20" s="889">
        <v>2065626.3671000001</v>
      </c>
    </row>
    <row r="21" spans="1:19" ht="22.5" x14ac:dyDescent="0.25">
      <c r="A21" s="880">
        <v>2025</v>
      </c>
      <c r="B21" s="816" t="s">
        <v>167</v>
      </c>
      <c r="C21" s="816" t="s">
        <v>1173</v>
      </c>
      <c r="D21" s="816" t="s">
        <v>8790</v>
      </c>
      <c r="E21" s="816" t="s">
        <v>1175</v>
      </c>
      <c r="F21" s="816">
        <v>134759150.09999999</v>
      </c>
      <c r="G21" s="816">
        <v>229222.1888</v>
      </c>
      <c r="H21" s="826">
        <v>0</v>
      </c>
      <c r="I21" s="826">
        <v>0</v>
      </c>
      <c r="J21" s="826">
        <v>893275772.62</v>
      </c>
      <c r="K21" s="826">
        <v>1516593.784</v>
      </c>
      <c r="L21" s="826">
        <v>0</v>
      </c>
      <c r="M21" s="826">
        <v>0</v>
      </c>
      <c r="N21" s="826"/>
      <c r="O21" s="826"/>
      <c r="P21" s="826">
        <v>893275772.62</v>
      </c>
      <c r="Q21" s="881">
        <v>1516593.784</v>
      </c>
      <c r="R21" s="889">
        <v>1028034922.72</v>
      </c>
      <c r="S21" s="889">
        <v>1745815.9728000001</v>
      </c>
    </row>
    <row r="22" spans="1:19" ht="22.5" x14ac:dyDescent="0.25">
      <c r="A22" s="880">
        <v>2025</v>
      </c>
      <c r="B22" s="816" t="s">
        <v>167</v>
      </c>
      <c r="C22" s="816" t="s">
        <v>1173</v>
      </c>
      <c r="D22" s="816" t="s">
        <v>8791</v>
      </c>
      <c r="E22" s="816" t="s">
        <v>1177</v>
      </c>
      <c r="F22" s="816">
        <v>0</v>
      </c>
      <c r="G22" s="816">
        <v>0</v>
      </c>
      <c r="H22" s="826">
        <v>0</v>
      </c>
      <c r="I22" s="826">
        <v>0</v>
      </c>
      <c r="J22" s="826">
        <v>195177786.88</v>
      </c>
      <c r="K22" s="826">
        <v>404119.03999999998</v>
      </c>
      <c r="L22" s="826">
        <v>0</v>
      </c>
      <c r="M22" s="826">
        <v>0</v>
      </c>
      <c r="N22" s="826"/>
      <c r="O22" s="826"/>
      <c r="P22" s="826">
        <v>195177786.88</v>
      </c>
      <c r="Q22" s="881">
        <v>404119.03999999998</v>
      </c>
      <c r="R22" s="889">
        <v>195177786.88</v>
      </c>
      <c r="S22" s="889">
        <v>404119.03999999998</v>
      </c>
    </row>
    <row r="23" spans="1:19" ht="22.5" x14ac:dyDescent="0.25">
      <c r="A23" s="880">
        <v>2025</v>
      </c>
      <c r="B23" s="816" t="s">
        <v>167</v>
      </c>
      <c r="C23" s="816" t="s">
        <v>1173</v>
      </c>
      <c r="D23" s="816" t="s">
        <v>8792</v>
      </c>
      <c r="E23" s="816" t="s">
        <v>1179</v>
      </c>
      <c r="F23" s="816">
        <v>0</v>
      </c>
      <c r="G23" s="816">
        <v>0</v>
      </c>
      <c r="H23" s="826">
        <v>0</v>
      </c>
      <c r="I23" s="826">
        <v>0</v>
      </c>
      <c r="J23" s="826">
        <v>232027455.84</v>
      </c>
      <c r="K23" s="826">
        <v>535719.30149999994</v>
      </c>
      <c r="L23" s="826">
        <v>0</v>
      </c>
      <c r="M23" s="826">
        <v>0</v>
      </c>
      <c r="N23" s="826"/>
      <c r="O23" s="826"/>
      <c r="P23" s="826">
        <v>232027455.84</v>
      </c>
      <c r="Q23" s="881">
        <v>535719.30149999994</v>
      </c>
      <c r="R23" s="889">
        <v>232027455.84</v>
      </c>
      <c r="S23" s="889">
        <v>535719.30149999994</v>
      </c>
    </row>
    <row r="24" spans="1:19" ht="22.5" x14ac:dyDescent="0.25">
      <c r="A24" s="880">
        <v>2025</v>
      </c>
      <c r="B24" s="816" t="s">
        <v>167</v>
      </c>
      <c r="C24" s="816" t="s">
        <v>1173</v>
      </c>
      <c r="D24" s="816" t="s">
        <v>8793</v>
      </c>
      <c r="E24" s="816" t="s">
        <v>8794</v>
      </c>
      <c r="F24" s="816">
        <v>0</v>
      </c>
      <c r="G24" s="816">
        <v>0</v>
      </c>
      <c r="H24" s="826">
        <v>0</v>
      </c>
      <c r="I24" s="826">
        <v>0</v>
      </c>
      <c r="J24" s="826">
        <v>248545492.68000001</v>
      </c>
      <c r="K24" s="826">
        <v>455969.81069999997</v>
      </c>
      <c r="L24" s="826">
        <v>0</v>
      </c>
      <c r="M24" s="826">
        <v>0</v>
      </c>
      <c r="N24" s="826"/>
      <c r="O24" s="826"/>
      <c r="P24" s="826">
        <v>248545492.68000001</v>
      </c>
      <c r="Q24" s="881">
        <v>455969.81069999997</v>
      </c>
      <c r="R24" s="889">
        <v>248545492.68000001</v>
      </c>
      <c r="S24" s="889">
        <v>455969.81069999997</v>
      </c>
    </row>
    <row r="25" spans="1:19" ht="22.5" x14ac:dyDescent="0.25">
      <c r="A25" s="880">
        <v>2025</v>
      </c>
      <c r="B25" s="816" t="s">
        <v>167</v>
      </c>
      <c r="C25" s="816" t="s">
        <v>1173</v>
      </c>
      <c r="D25" s="816" t="s">
        <v>8795</v>
      </c>
      <c r="E25" s="816" t="s">
        <v>8796</v>
      </c>
      <c r="F25" s="816">
        <v>0</v>
      </c>
      <c r="G25" s="816">
        <v>0</v>
      </c>
      <c r="H25" s="826">
        <v>0</v>
      </c>
      <c r="I25" s="826">
        <v>0</v>
      </c>
      <c r="J25" s="826">
        <v>234289032.19</v>
      </c>
      <c r="K25" s="826">
        <v>434330.57319999998</v>
      </c>
      <c r="L25" s="826">
        <v>0</v>
      </c>
      <c r="M25" s="826">
        <v>0</v>
      </c>
      <c r="N25" s="826"/>
      <c r="O25" s="826"/>
      <c r="P25" s="826">
        <v>234289032.19</v>
      </c>
      <c r="Q25" s="881">
        <v>434330.57319999998</v>
      </c>
      <c r="R25" s="889">
        <v>234289032.19</v>
      </c>
      <c r="S25" s="889">
        <v>434330.57319999998</v>
      </c>
    </row>
    <row r="26" spans="1:19" ht="33.75" x14ac:dyDescent="0.25">
      <c r="A26" s="880">
        <v>2025</v>
      </c>
      <c r="B26" s="816" t="s">
        <v>167</v>
      </c>
      <c r="C26" s="816" t="s">
        <v>1173</v>
      </c>
      <c r="D26" s="816" t="s">
        <v>8797</v>
      </c>
      <c r="E26" s="816" t="s">
        <v>1183</v>
      </c>
      <c r="F26" s="816">
        <v>0</v>
      </c>
      <c r="G26" s="816">
        <v>0</v>
      </c>
      <c r="H26" s="826">
        <v>0</v>
      </c>
      <c r="I26" s="826">
        <v>0</v>
      </c>
      <c r="J26" s="826">
        <v>233446637.49000001</v>
      </c>
      <c r="K26" s="826">
        <v>586656.22730000003</v>
      </c>
      <c r="L26" s="826">
        <v>631667714.12</v>
      </c>
      <c r="M26" s="826">
        <v>1014849.1139999999</v>
      </c>
      <c r="N26" s="826"/>
      <c r="O26" s="826"/>
      <c r="P26" s="826">
        <v>865114351.61000001</v>
      </c>
      <c r="Q26" s="881">
        <v>1601505.3413</v>
      </c>
      <c r="R26" s="889">
        <v>865114351.61000001</v>
      </c>
      <c r="S26" s="889">
        <v>1601505.3413</v>
      </c>
    </row>
    <row r="27" spans="1:19" ht="22.5" x14ac:dyDescent="0.25">
      <c r="A27" s="880">
        <v>2025</v>
      </c>
      <c r="B27" s="816" t="s">
        <v>167</v>
      </c>
      <c r="C27" s="816" t="s">
        <v>1184</v>
      </c>
      <c r="D27" s="816" t="s">
        <v>8798</v>
      </c>
      <c r="E27" s="816" t="s">
        <v>1186</v>
      </c>
      <c r="F27" s="816">
        <v>14731176.84</v>
      </c>
      <c r="G27" s="816">
        <v>0</v>
      </c>
      <c r="H27" s="826">
        <v>1492543475.73</v>
      </c>
      <c r="I27" s="826">
        <v>0</v>
      </c>
      <c r="J27" s="826">
        <v>-1121.3097170000001</v>
      </c>
      <c r="K27" s="826">
        <v>0</v>
      </c>
      <c r="L27" s="826">
        <v>0</v>
      </c>
      <c r="M27" s="826">
        <v>0</v>
      </c>
      <c r="N27" s="826"/>
      <c r="O27" s="826"/>
      <c r="P27" s="826">
        <v>1492542354.42028</v>
      </c>
      <c r="Q27" s="881">
        <v>0</v>
      </c>
      <c r="R27" s="889">
        <v>1507273531.2602799</v>
      </c>
      <c r="S27" s="889">
        <v>0</v>
      </c>
    </row>
    <row r="28" spans="1:19" ht="22.5" x14ac:dyDescent="0.25">
      <c r="A28" s="880">
        <v>2025</v>
      </c>
      <c r="B28" s="816" t="s">
        <v>167</v>
      </c>
      <c r="C28" s="816" t="s">
        <v>1184</v>
      </c>
      <c r="D28" s="816" t="s">
        <v>8799</v>
      </c>
      <c r="E28" s="816" t="s">
        <v>1188</v>
      </c>
      <c r="F28" s="816">
        <v>4711541.88</v>
      </c>
      <c r="G28" s="816">
        <v>0</v>
      </c>
      <c r="H28" s="826">
        <v>420478852.85000002</v>
      </c>
      <c r="I28" s="826">
        <v>0</v>
      </c>
      <c r="J28" s="826">
        <v>0</v>
      </c>
      <c r="K28" s="826">
        <v>0</v>
      </c>
      <c r="L28" s="826">
        <v>0</v>
      </c>
      <c r="M28" s="826">
        <v>0</v>
      </c>
      <c r="N28" s="826"/>
      <c r="O28" s="826"/>
      <c r="P28" s="826">
        <v>420478852.85000002</v>
      </c>
      <c r="Q28" s="881">
        <v>0</v>
      </c>
      <c r="R28" s="889">
        <v>425190394.73000002</v>
      </c>
      <c r="S28" s="889">
        <v>0</v>
      </c>
    </row>
    <row r="29" spans="1:19" ht="22.5" x14ac:dyDescent="0.25">
      <c r="A29" s="880">
        <v>2025</v>
      </c>
      <c r="B29" s="816" t="s">
        <v>167</v>
      </c>
      <c r="C29" s="816" t="s">
        <v>1184</v>
      </c>
      <c r="D29" s="816" t="s">
        <v>8800</v>
      </c>
      <c r="E29" s="816" t="s">
        <v>1190</v>
      </c>
      <c r="F29" s="816">
        <v>21248908.719999999</v>
      </c>
      <c r="G29" s="816">
        <v>0</v>
      </c>
      <c r="H29" s="826">
        <v>1717401948.3800001</v>
      </c>
      <c r="I29" s="826">
        <v>0</v>
      </c>
      <c r="J29" s="826">
        <v>-631.55432129999997</v>
      </c>
      <c r="K29" s="826">
        <v>0</v>
      </c>
      <c r="L29" s="826">
        <v>0</v>
      </c>
      <c r="M29" s="826">
        <v>0</v>
      </c>
      <c r="N29" s="826"/>
      <c r="O29" s="826"/>
      <c r="P29" s="826">
        <v>1717401316.82568</v>
      </c>
      <c r="Q29" s="881">
        <v>0</v>
      </c>
      <c r="R29" s="889">
        <v>1738650225.54568</v>
      </c>
      <c r="S29" s="889">
        <v>0</v>
      </c>
    </row>
    <row r="30" spans="1:19" ht="22.5" x14ac:dyDescent="0.25">
      <c r="A30" s="880">
        <v>2025</v>
      </c>
      <c r="B30" s="816" t="s">
        <v>167</v>
      </c>
      <c r="C30" s="816" t="s">
        <v>1184</v>
      </c>
      <c r="D30" s="816" t="s">
        <v>1191</v>
      </c>
      <c r="E30" s="816" t="s">
        <v>1192</v>
      </c>
      <c r="F30" s="816">
        <v>15974475.35</v>
      </c>
      <c r="G30" s="816">
        <v>0</v>
      </c>
      <c r="H30" s="826">
        <v>1579386277.47</v>
      </c>
      <c r="I30" s="826">
        <v>0</v>
      </c>
      <c r="J30" s="826">
        <v>24.663629019999998</v>
      </c>
      <c r="K30" s="826">
        <v>0</v>
      </c>
      <c r="L30" s="826">
        <v>0</v>
      </c>
      <c r="M30" s="826">
        <v>0</v>
      </c>
      <c r="N30" s="826"/>
      <c r="O30" s="826"/>
      <c r="P30" s="826">
        <v>1579386302.13363</v>
      </c>
      <c r="Q30" s="881">
        <v>0</v>
      </c>
      <c r="R30" s="889">
        <v>1595360777.4836299</v>
      </c>
      <c r="S30" s="889">
        <v>0</v>
      </c>
    </row>
    <row r="31" spans="1:19" ht="22.5" x14ac:dyDescent="0.25">
      <c r="A31" s="880">
        <v>2025</v>
      </c>
      <c r="B31" s="816" t="s">
        <v>167</v>
      </c>
      <c r="C31" s="816" t="s">
        <v>1184</v>
      </c>
      <c r="D31" s="816" t="s">
        <v>8801</v>
      </c>
      <c r="E31" s="816" t="s">
        <v>8802</v>
      </c>
      <c r="F31" s="816">
        <v>21296387.280000001</v>
      </c>
      <c r="G31" s="816">
        <v>0</v>
      </c>
      <c r="H31" s="826">
        <v>3003836341.8000002</v>
      </c>
      <c r="I31" s="826">
        <v>0</v>
      </c>
      <c r="J31" s="826">
        <v>-242.8238163</v>
      </c>
      <c r="K31" s="826">
        <v>0</v>
      </c>
      <c r="L31" s="826">
        <v>0</v>
      </c>
      <c r="M31" s="826">
        <v>0</v>
      </c>
      <c r="N31" s="826"/>
      <c r="O31" s="826"/>
      <c r="P31" s="826">
        <v>3003836098.9761801</v>
      </c>
      <c r="Q31" s="881">
        <v>0</v>
      </c>
      <c r="R31" s="889">
        <v>3025132486.2561803</v>
      </c>
      <c r="S31" s="889">
        <v>0</v>
      </c>
    </row>
    <row r="32" spans="1:19" ht="22.5" x14ac:dyDescent="0.25">
      <c r="A32" s="880">
        <v>2025</v>
      </c>
      <c r="B32" s="816" t="s">
        <v>167</v>
      </c>
      <c r="C32" s="816" t="s">
        <v>1194</v>
      </c>
      <c r="D32" s="816" t="s">
        <v>8803</v>
      </c>
      <c r="E32" s="816" t="s">
        <v>1196</v>
      </c>
      <c r="F32" s="816">
        <v>0</v>
      </c>
      <c r="G32" s="816">
        <v>0</v>
      </c>
      <c r="H32" s="826">
        <v>10392</v>
      </c>
      <c r="I32" s="826">
        <v>28.94</v>
      </c>
      <c r="J32" s="826">
        <v>0</v>
      </c>
      <c r="K32" s="826">
        <v>0</v>
      </c>
      <c r="L32" s="826">
        <v>0</v>
      </c>
      <c r="M32" s="826">
        <v>0</v>
      </c>
      <c r="N32" s="826"/>
      <c r="O32" s="826"/>
      <c r="P32" s="826">
        <v>10392</v>
      </c>
      <c r="Q32" s="881">
        <v>28.94</v>
      </c>
      <c r="R32" s="889">
        <v>10392</v>
      </c>
      <c r="S32" s="889">
        <v>28.94</v>
      </c>
    </row>
    <row r="33" spans="1:19" ht="22.5" x14ac:dyDescent="0.25">
      <c r="A33" s="880">
        <v>2025</v>
      </c>
      <c r="B33" s="816" t="s">
        <v>167</v>
      </c>
      <c r="C33" s="816" t="s">
        <v>1194</v>
      </c>
      <c r="D33" s="816" t="s">
        <v>8804</v>
      </c>
      <c r="E33" s="816" t="s">
        <v>1198</v>
      </c>
      <c r="F33" s="816">
        <v>6840.7628839999998</v>
      </c>
      <c r="G33" s="816">
        <v>32.63762792</v>
      </c>
      <c r="H33" s="826">
        <v>230549.84839999999</v>
      </c>
      <c r="I33" s="826">
        <v>1100.6128859999999</v>
      </c>
      <c r="J33" s="826">
        <v>41804.266499999998</v>
      </c>
      <c r="K33" s="826">
        <v>199.56774960000001</v>
      </c>
      <c r="L33" s="826">
        <v>0</v>
      </c>
      <c r="M33" s="826">
        <v>0</v>
      </c>
      <c r="N33" s="826"/>
      <c r="O33" s="826"/>
      <c r="P33" s="826">
        <v>272354.11489999999</v>
      </c>
      <c r="Q33" s="881">
        <v>1300.1806356</v>
      </c>
      <c r="R33" s="889">
        <v>279194.87778400001</v>
      </c>
      <c r="S33" s="889">
        <v>1332.8182635200001</v>
      </c>
    </row>
    <row r="34" spans="1:19" ht="22.5" x14ac:dyDescent="0.25">
      <c r="A34" s="880">
        <v>2025</v>
      </c>
      <c r="B34" s="816" t="s">
        <v>167</v>
      </c>
      <c r="C34" s="816" t="s">
        <v>1194</v>
      </c>
      <c r="D34" s="816" t="s">
        <v>8805</v>
      </c>
      <c r="E34" s="816" t="s">
        <v>8806</v>
      </c>
      <c r="F34" s="816">
        <v>0</v>
      </c>
      <c r="G34" s="816">
        <v>0</v>
      </c>
      <c r="H34" s="826">
        <v>167307.88740000001</v>
      </c>
      <c r="I34" s="826">
        <v>454.38767899999999</v>
      </c>
      <c r="J34" s="826">
        <v>63186.85656</v>
      </c>
      <c r="K34" s="826">
        <v>171.6077439</v>
      </c>
      <c r="L34" s="826">
        <v>0</v>
      </c>
      <c r="M34" s="826">
        <v>0</v>
      </c>
      <c r="N34" s="826"/>
      <c r="O34" s="826"/>
      <c r="P34" s="826">
        <v>230494.74395999999</v>
      </c>
      <c r="Q34" s="881">
        <v>625.99542289999999</v>
      </c>
      <c r="R34" s="889">
        <v>230494.74395999999</v>
      </c>
      <c r="S34" s="889">
        <v>625.99542289999999</v>
      </c>
    </row>
    <row r="35" spans="1:19" ht="22.5" x14ac:dyDescent="0.25">
      <c r="A35" s="880">
        <v>2025</v>
      </c>
      <c r="B35" s="816" t="s">
        <v>167</v>
      </c>
      <c r="C35" s="816" t="s">
        <v>1200</v>
      </c>
      <c r="D35" s="816" t="s">
        <v>8807</v>
      </c>
      <c r="E35" s="816" t="s">
        <v>1202</v>
      </c>
      <c r="F35" s="816">
        <v>0</v>
      </c>
      <c r="G35" s="816">
        <v>0</v>
      </c>
      <c r="H35" s="826">
        <v>0</v>
      </c>
      <c r="I35" s="826">
        <v>0</v>
      </c>
      <c r="J35" s="826">
        <v>13498921.300000001</v>
      </c>
      <c r="K35" s="826">
        <v>36292.496229999997</v>
      </c>
      <c r="L35" s="826">
        <v>0</v>
      </c>
      <c r="M35" s="826">
        <v>0</v>
      </c>
      <c r="N35" s="826"/>
      <c r="O35" s="826"/>
      <c r="P35" s="826">
        <v>13498921.300000001</v>
      </c>
      <c r="Q35" s="881">
        <v>36292.496229999997</v>
      </c>
      <c r="R35" s="889">
        <v>13498921.300000001</v>
      </c>
      <c r="S35" s="889">
        <v>36292.496229999997</v>
      </c>
    </row>
    <row r="36" spans="1:19" ht="22.5" x14ac:dyDescent="0.25">
      <c r="A36" s="880">
        <v>2025</v>
      </c>
      <c r="B36" s="816" t="s">
        <v>167</v>
      </c>
      <c r="C36" s="816" t="s">
        <v>1200</v>
      </c>
      <c r="D36" s="816" t="s">
        <v>8808</v>
      </c>
      <c r="E36" s="816" t="s">
        <v>1204</v>
      </c>
      <c r="F36" s="816">
        <v>136327.54</v>
      </c>
      <c r="G36" s="816">
        <v>390.09</v>
      </c>
      <c r="H36" s="826">
        <v>0</v>
      </c>
      <c r="I36" s="826">
        <v>0</v>
      </c>
      <c r="J36" s="826">
        <v>3285335.86</v>
      </c>
      <c r="K36" s="826">
        <v>9151.0400000000009</v>
      </c>
      <c r="L36" s="826">
        <v>0</v>
      </c>
      <c r="M36" s="826">
        <v>0</v>
      </c>
      <c r="N36" s="826"/>
      <c r="O36" s="826"/>
      <c r="P36" s="826">
        <v>3285335.86</v>
      </c>
      <c r="Q36" s="881">
        <v>9151.0400000000009</v>
      </c>
      <c r="R36" s="889">
        <v>3421663.4</v>
      </c>
      <c r="S36" s="889">
        <v>9541.130000000001</v>
      </c>
    </row>
    <row r="37" spans="1:19" ht="22.5" x14ac:dyDescent="0.25">
      <c r="A37" s="880">
        <v>2025</v>
      </c>
      <c r="B37" s="816" t="s">
        <v>167</v>
      </c>
      <c r="C37" s="816" t="s">
        <v>1200</v>
      </c>
      <c r="D37" s="816" t="s">
        <v>8809</v>
      </c>
      <c r="E37" s="816" t="s">
        <v>1206</v>
      </c>
      <c r="F37" s="816">
        <v>0</v>
      </c>
      <c r="G37" s="816">
        <v>0</v>
      </c>
      <c r="H37" s="826">
        <v>226291.5912</v>
      </c>
      <c r="I37" s="826">
        <v>680.53278269999998</v>
      </c>
      <c r="J37" s="826">
        <v>16610758.75</v>
      </c>
      <c r="K37" s="826">
        <v>49953.981110000001</v>
      </c>
      <c r="L37" s="826">
        <v>0</v>
      </c>
      <c r="M37" s="826">
        <v>0</v>
      </c>
      <c r="N37" s="826"/>
      <c r="O37" s="826"/>
      <c r="P37" s="826">
        <v>16837050.341200002</v>
      </c>
      <c r="Q37" s="881">
        <v>50634.513892700001</v>
      </c>
      <c r="R37" s="889">
        <v>16837050.341200002</v>
      </c>
      <c r="S37" s="889">
        <v>50634.513892700001</v>
      </c>
    </row>
    <row r="38" spans="1:19" ht="22.5" x14ac:dyDescent="0.25">
      <c r="A38" s="880">
        <v>2025</v>
      </c>
      <c r="B38" s="816" t="s">
        <v>167</v>
      </c>
      <c r="C38" s="816" t="s">
        <v>1200</v>
      </c>
      <c r="D38" s="816" t="s">
        <v>1207</v>
      </c>
      <c r="E38" s="816" t="s">
        <v>1208</v>
      </c>
      <c r="F38" s="816">
        <v>0</v>
      </c>
      <c r="G38" s="816">
        <v>0</v>
      </c>
      <c r="H38" s="826">
        <v>0</v>
      </c>
      <c r="I38" s="826">
        <v>0</v>
      </c>
      <c r="J38" s="826">
        <v>19136672.760000002</v>
      </c>
      <c r="K38" s="826">
        <v>53847.374170000003</v>
      </c>
      <c r="L38" s="826">
        <v>0</v>
      </c>
      <c r="M38" s="826">
        <v>0</v>
      </c>
      <c r="N38" s="826"/>
      <c r="O38" s="826"/>
      <c r="P38" s="826">
        <v>19136672.760000002</v>
      </c>
      <c r="Q38" s="881">
        <v>53847.374170000003</v>
      </c>
      <c r="R38" s="889">
        <v>19136672.760000002</v>
      </c>
      <c r="S38" s="889">
        <v>53847.374170000003</v>
      </c>
    </row>
    <row r="39" spans="1:19" ht="22.5" x14ac:dyDescent="0.25">
      <c r="A39" s="880">
        <v>2025</v>
      </c>
      <c r="B39" s="816" t="s">
        <v>167</v>
      </c>
      <c r="C39" s="816" t="s">
        <v>1200</v>
      </c>
      <c r="D39" s="816" t="s">
        <v>8810</v>
      </c>
      <c r="E39" s="816" t="s">
        <v>8811</v>
      </c>
      <c r="F39" s="816">
        <v>298697.40340000001</v>
      </c>
      <c r="G39" s="816">
        <v>839.29088390000004</v>
      </c>
      <c r="H39" s="826">
        <v>595607.29249999998</v>
      </c>
      <c r="I39" s="826">
        <v>1671.4133059999999</v>
      </c>
      <c r="J39" s="826">
        <v>38910859.740000002</v>
      </c>
      <c r="K39" s="826">
        <v>109192.9691</v>
      </c>
      <c r="L39" s="826">
        <v>0</v>
      </c>
      <c r="M39" s="826">
        <v>0</v>
      </c>
      <c r="N39" s="826"/>
      <c r="O39" s="826"/>
      <c r="P39" s="826">
        <v>39506467.032499999</v>
      </c>
      <c r="Q39" s="881">
        <v>110864.382406</v>
      </c>
      <c r="R39" s="889">
        <v>39805164.435899995</v>
      </c>
      <c r="S39" s="889">
        <v>111703.67328990001</v>
      </c>
    </row>
    <row r="40" spans="1:19" ht="33.75" x14ac:dyDescent="0.25">
      <c r="A40" s="880">
        <v>2025</v>
      </c>
      <c r="B40" s="816" t="s">
        <v>167</v>
      </c>
      <c r="C40" s="816" t="s">
        <v>1210</v>
      </c>
      <c r="D40" s="816" t="s">
        <v>8812</v>
      </c>
      <c r="E40" s="816" t="s">
        <v>1212</v>
      </c>
      <c r="F40" s="816">
        <v>494511.94079999998</v>
      </c>
      <c r="G40" s="816">
        <v>0</v>
      </c>
      <c r="H40" s="826">
        <v>11555429.050000001</v>
      </c>
      <c r="I40" s="826">
        <v>0</v>
      </c>
      <c r="J40" s="826">
        <v>0</v>
      </c>
      <c r="K40" s="826">
        <v>0</v>
      </c>
      <c r="L40" s="826">
        <v>0</v>
      </c>
      <c r="M40" s="826">
        <v>0</v>
      </c>
      <c r="N40" s="826"/>
      <c r="O40" s="826"/>
      <c r="P40" s="826">
        <v>11555429.050000001</v>
      </c>
      <c r="Q40" s="881">
        <v>0</v>
      </c>
      <c r="R40" s="889">
        <v>12049940.990800001</v>
      </c>
      <c r="S40" s="889">
        <v>0</v>
      </c>
    </row>
    <row r="41" spans="1:19" ht="33.75" x14ac:dyDescent="0.25">
      <c r="A41" s="880">
        <v>2025</v>
      </c>
      <c r="B41" s="816" t="s">
        <v>167</v>
      </c>
      <c r="C41" s="816" t="s">
        <v>1210</v>
      </c>
      <c r="D41" s="816" t="s">
        <v>8813</v>
      </c>
      <c r="E41" s="816" t="s">
        <v>1214</v>
      </c>
      <c r="F41" s="816">
        <v>373863.538</v>
      </c>
      <c r="G41" s="816">
        <v>0</v>
      </c>
      <c r="H41" s="826">
        <v>1574135.46</v>
      </c>
      <c r="I41" s="826">
        <v>0</v>
      </c>
      <c r="J41" s="826">
        <v>0</v>
      </c>
      <c r="K41" s="826">
        <v>0</v>
      </c>
      <c r="L41" s="826">
        <v>0</v>
      </c>
      <c r="M41" s="826">
        <v>0</v>
      </c>
      <c r="N41" s="826"/>
      <c r="O41" s="826"/>
      <c r="P41" s="826">
        <v>1574135.46</v>
      </c>
      <c r="Q41" s="881">
        <v>0</v>
      </c>
      <c r="R41" s="889">
        <v>1947998.9979999999</v>
      </c>
      <c r="S41" s="889">
        <v>0</v>
      </c>
    </row>
    <row r="42" spans="1:19" ht="33.75" x14ac:dyDescent="0.25">
      <c r="A42" s="880">
        <v>2025</v>
      </c>
      <c r="B42" s="816" t="s">
        <v>167</v>
      </c>
      <c r="C42" s="816" t="s">
        <v>1210</v>
      </c>
      <c r="D42" s="816" t="s">
        <v>8814</v>
      </c>
      <c r="E42" s="816" t="s">
        <v>1216</v>
      </c>
      <c r="F42" s="816">
        <v>1411151.247</v>
      </c>
      <c r="G42" s="816">
        <v>0</v>
      </c>
      <c r="H42" s="826">
        <v>9716664.534</v>
      </c>
      <c r="I42" s="826">
        <v>0</v>
      </c>
      <c r="J42" s="826">
        <v>0</v>
      </c>
      <c r="K42" s="826">
        <v>0</v>
      </c>
      <c r="L42" s="826">
        <v>0</v>
      </c>
      <c r="M42" s="826">
        <v>0</v>
      </c>
      <c r="N42" s="826"/>
      <c r="O42" s="826"/>
      <c r="P42" s="826">
        <v>9716664.534</v>
      </c>
      <c r="Q42" s="881">
        <v>0</v>
      </c>
      <c r="R42" s="889">
        <v>11127815.780999999</v>
      </c>
      <c r="S42" s="889">
        <v>0</v>
      </c>
    </row>
    <row r="43" spans="1:19" ht="33.75" x14ac:dyDescent="0.25">
      <c r="A43" s="880">
        <v>2025</v>
      </c>
      <c r="B43" s="816" t="s">
        <v>167</v>
      </c>
      <c r="C43" s="816" t="s">
        <v>1210</v>
      </c>
      <c r="D43" s="816" t="s">
        <v>1217</v>
      </c>
      <c r="E43" s="816" t="s">
        <v>1218</v>
      </c>
      <c r="F43" s="816">
        <v>474161.0515</v>
      </c>
      <c r="G43" s="816">
        <v>0</v>
      </c>
      <c r="H43" s="826">
        <v>5689579.0470000003</v>
      </c>
      <c r="I43" s="826">
        <v>0</v>
      </c>
      <c r="J43" s="826">
        <v>0</v>
      </c>
      <c r="K43" s="826">
        <v>0</v>
      </c>
      <c r="L43" s="826">
        <v>0</v>
      </c>
      <c r="M43" s="826">
        <v>0</v>
      </c>
      <c r="N43" s="826"/>
      <c r="O43" s="826"/>
      <c r="P43" s="826">
        <v>5689579.0470000003</v>
      </c>
      <c r="Q43" s="881">
        <v>0</v>
      </c>
      <c r="R43" s="889">
        <v>6163740.0985000003</v>
      </c>
      <c r="S43" s="889">
        <v>0</v>
      </c>
    </row>
    <row r="44" spans="1:19" ht="33.75" x14ac:dyDescent="0.25">
      <c r="A44" s="880">
        <v>2025</v>
      </c>
      <c r="B44" s="816" t="s">
        <v>167</v>
      </c>
      <c r="C44" s="816" t="s">
        <v>1210</v>
      </c>
      <c r="D44" s="816" t="s">
        <v>8815</v>
      </c>
      <c r="E44" s="816" t="s">
        <v>8816</v>
      </c>
      <c r="F44" s="816">
        <v>83565.007639999996</v>
      </c>
      <c r="G44" s="816">
        <v>0</v>
      </c>
      <c r="H44" s="826">
        <v>15124169.59</v>
      </c>
      <c r="I44" s="826">
        <v>0</v>
      </c>
      <c r="J44" s="826">
        <v>0</v>
      </c>
      <c r="K44" s="826">
        <v>0</v>
      </c>
      <c r="L44" s="826">
        <v>0</v>
      </c>
      <c r="M44" s="826">
        <v>0</v>
      </c>
      <c r="N44" s="826"/>
      <c r="O44" s="826"/>
      <c r="P44" s="826">
        <v>15124169.59</v>
      </c>
      <c r="Q44" s="881">
        <v>0</v>
      </c>
      <c r="R44" s="889">
        <v>15207734.59764</v>
      </c>
      <c r="S44" s="889">
        <v>0</v>
      </c>
    </row>
    <row r="45" spans="1:19" ht="22.5" x14ac:dyDescent="0.25">
      <c r="A45" s="880">
        <v>2025</v>
      </c>
      <c r="B45" s="816" t="s">
        <v>171</v>
      </c>
      <c r="C45" s="816" t="s">
        <v>1143</v>
      </c>
      <c r="D45" s="816" t="s">
        <v>1220</v>
      </c>
      <c r="E45" s="816" t="s">
        <v>8817</v>
      </c>
      <c r="F45" s="816">
        <v>3888390.97</v>
      </c>
      <c r="G45" s="816">
        <v>0</v>
      </c>
      <c r="H45" s="826">
        <v>24612943.199999999</v>
      </c>
      <c r="I45" s="826"/>
      <c r="J45" s="826"/>
      <c r="K45" s="826"/>
      <c r="L45" s="826"/>
      <c r="M45" s="826"/>
      <c r="N45" s="826"/>
      <c r="O45" s="826"/>
      <c r="P45" s="826">
        <v>24612943.199999999</v>
      </c>
      <c r="Q45" s="881">
        <v>0</v>
      </c>
      <c r="R45" s="889">
        <v>28501334.169999998</v>
      </c>
      <c r="S45" s="889">
        <v>0</v>
      </c>
    </row>
    <row r="46" spans="1:19" ht="22.5" x14ac:dyDescent="0.25">
      <c r="A46" s="880">
        <v>2025</v>
      </c>
      <c r="B46" s="816" t="s">
        <v>171</v>
      </c>
      <c r="C46" s="816" t="s">
        <v>1155</v>
      </c>
      <c r="D46" s="816" t="s">
        <v>1221</v>
      </c>
      <c r="E46" s="816" t="s">
        <v>8818</v>
      </c>
      <c r="F46" s="816">
        <v>3290567.59</v>
      </c>
      <c r="G46" s="816">
        <v>9370.2800000000007</v>
      </c>
      <c r="H46" s="826">
        <v>4626836.3099999996</v>
      </c>
      <c r="I46" s="826">
        <v>15455.04</v>
      </c>
      <c r="J46" s="826">
        <v>131626218.34999999</v>
      </c>
      <c r="K46" s="826">
        <v>273476.53999999998</v>
      </c>
      <c r="L46" s="826"/>
      <c r="M46" s="826"/>
      <c r="N46" s="826"/>
      <c r="O46" s="826"/>
      <c r="P46" s="826">
        <v>136253054.66</v>
      </c>
      <c r="Q46" s="881">
        <v>288931.58</v>
      </c>
      <c r="R46" s="889">
        <v>139543622.25</v>
      </c>
      <c r="S46" s="889">
        <v>298301.86000000004</v>
      </c>
    </row>
    <row r="47" spans="1:19" ht="22.5" x14ac:dyDescent="0.25">
      <c r="A47" s="880">
        <v>2025</v>
      </c>
      <c r="B47" s="816" t="s">
        <v>171</v>
      </c>
      <c r="C47" s="816" t="s">
        <v>1184</v>
      </c>
      <c r="D47" s="816" t="s">
        <v>1222</v>
      </c>
      <c r="E47" s="816" t="s">
        <v>8819</v>
      </c>
      <c r="F47" s="816">
        <v>539141</v>
      </c>
      <c r="G47" s="816">
        <v>0</v>
      </c>
      <c r="H47" s="826">
        <v>96294453.420000002</v>
      </c>
      <c r="I47" s="826"/>
      <c r="J47" s="826"/>
      <c r="K47" s="826"/>
      <c r="L47" s="826"/>
      <c r="M47" s="826"/>
      <c r="N47" s="826"/>
      <c r="O47" s="826"/>
      <c r="P47" s="826">
        <v>96294453.420000002</v>
      </c>
      <c r="Q47" s="881">
        <v>0</v>
      </c>
      <c r="R47" s="889">
        <v>96833594.420000002</v>
      </c>
      <c r="S47" s="889">
        <v>0</v>
      </c>
    </row>
    <row r="48" spans="1:19" ht="22.5" x14ac:dyDescent="0.25">
      <c r="A48" s="880">
        <v>2025</v>
      </c>
      <c r="B48" s="816" t="s">
        <v>171</v>
      </c>
      <c r="C48" s="816" t="s">
        <v>1184</v>
      </c>
      <c r="D48" s="816" t="s">
        <v>1223</v>
      </c>
      <c r="E48" s="816" t="s">
        <v>8820</v>
      </c>
      <c r="F48" s="816">
        <v>39662.959999999999</v>
      </c>
      <c r="G48" s="816">
        <v>0</v>
      </c>
      <c r="H48" s="826">
        <v>6186616.2400000002</v>
      </c>
      <c r="I48" s="826"/>
      <c r="J48" s="826"/>
      <c r="K48" s="826"/>
      <c r="L48" s="826"/>
      <c r="M48" s="826"/>
      <c r="N48" s="826"/>
      <c r="O48" s="826"/>
      <c r="P48" s="826">
        <v>6186616.2400000002</v>
      </c>
      <c r="Q48" s="881">
        <v>0</v>
      </c>
      <c r="R48" s="889">
        <v>6226279.2000000002</v>
      </c>
      <c r="S48" s="889">
        <v>0</v>
      </c>
    </row>
    <row r="49" spans="1:19" ht="22.5" x14ac:dyDescent="0.25">
      <c r="A49" s="880">
        <v>2025</v>
      </c>
      <c r="B49" s="816" t="s">
        <v>171</v>
      </c>
      <c r="C49" s="816" t="s">
        <v>1200</v>
      </c>
      <c r="D49" s="816" t="s">
        <v>1224</v>
      </c>
      <c r="E49" s="816" t="s">
        <v>1225</v>
      </c>
      <c r="F49" s="816">
        <v>112565.4</v>
      </c>
      <c r="G49" s="816">
        <v>0</v>
      </c>
      <c r="H49" s="826">
        <v>0</v>
      </c>
      <c r="I49" s="826"/>
      <c r="J49" s="826">
        <v>386467.7</v>
      </c>
      <c r="K49" s="826">
        <v>1422</v>
      </c>
      <c r="L49" s="826"/>
      <c r="M49" s="826"/>
      <c r="N49" s="826"/>
      <c r="O49" s="826"/>
      <c r="P49" s="826">
        <v>386467.7</v>
      </c>
      <c r="Q49" s="881">
        <v>1422</v>
      </c>
      <c r="R49" s="889">
        <v>499033.1</v>
      </c>
      <c r="S49" s="889">
        <v>1422</v>
      </c>
    </row>
    <row r="50" spans="1:19" ht="22.5" x14ac:dyDescent="0.25">
      <c r="A50" s="880">
        <v>2025</v>
      </c>
      <c r="B50" s="816" t="s">
        <v>176</v>
      </c>
      <c r="C50" s="816" t="s">
        <v>1143</v>
      </c>
      <c r="D50" s="816" t="s">
        <v>1226</v>
      </c>
      <c r="E50" s="816" t="s">
        <v>1227</v>
      </c>
      <c r="F50" s="816">
        <v>94697.919999999998</v>
      </c>
      <c r="G50" s="816">
        <v>0</v>
      </c>
      <c r="H50" s="826">
        <v>4566300.97</v>
      </c>
      <c r="I50" s="465"/>
      <c r="J50" s="465"/>
      <c r="K50" s="465"/>
      <c r="L50" s="465"/>
      <c r="M50" s="465"/>
      <c r="N50" s="465"/>
      <c r="O50" s="465"/>
      <c r="P50" s="826">
        <v>4566300.97</v>
      </c>
      <c r="Q50" s="881">
        <v>0</v>
      </c>
      <c r="R50" s="889">
        <v>4660998.8899999997</v>
      </c>
      <c r="S50" s="889">
        <v>0</v>
      </c>
    </row>
    <row r="51" spans="1:19" ht="22.5" x14ac:dyDescent="0.25">
      <c r="A51" s="880">
        <v>2025</v>
      </c>
      <c r="B51" s="816" t="s">
        <v>176</v>
      </c>
      <c r="C51" s="816" t="s">
        <v>1155</v>
      </c>
      <c r="D51" s="816" t="s">
        <v>1228</v>
      </c>
      <c r="E51" s="816" t="s">
        <v>1229</v>
      </c>
      <c r="F51" s="816">
        <v>1014403.6</v>
      </c>
      <c r="G51" s="816">
        <v>2078.5700000000002</v>
      </c>
      <c r="H51" s="826">
        <v>0</v>
      </c>
      <c r="I51" s="465"/>
      <c r="J51" s="826">
        <v>14067499.960000001</v>
      </c>
      <c r="K51" s="826">
        <v>43188.61</v>
      </c>
      <c r="L51" s="465"/>
      <c r="M51" s="465"/>
      <c r="N51" s="465"/>
      <c r="O51" s="465"/>
      <c r="P51" s="826">
        <v>14067499.960000001</v>
      </c>
      <c r="Q51" s="881">
        <v>43188.61</v>
      </c>
      <c r="R51" s="889">
        <v>15081903.560000001</v>
      </c>
      <c r="S51" s="889">
        <v>45267.18</v>
      </c>
    </row>
    <row r="52" spans="1:19" ht="22.5" x14ac:dyDescent="0.25">
      <c r="A52" s="880">
        <v>2025</v>
      </c>
      <c r="B52" s="816" t="s">
        <v>176</v>
      </c>
      <c r="C52" s="816" t="s">
        <v>1184</v>
      </c>
      <c r="D52" s="816" t="s">
        <v>1184</v>
      </c>
      <c r="E52" s="816" t="s">
        <v>1230</v>
      </c>
      <c r="F52" s="816">
        <v>88496</v>
      </c>
      <c r="G52" s="816">
        <v>0</v>
      </c>
      <c r="H52" s="826">
        <v>8691360.7200000007</v>
      </c>
      <c r="I52" s="465"/>
      <c r="J52" s="465"/>
      <c r="K52" s="465"/>
      <c r="L52" s="465"/>
      <c r="M52" s="465"/>
      <c r="N52" s="465"/>
      <c r="O52" s="465"/>
      <c r="P52" s="826">
        <v>8691360.7200000007</v>
      </c>
      <c r="Q52" s="881">
        <v>0</v>
      </c>
      <c r="R52" s="889">
        <v>8779856.7200000007</v>
      </c>
      <c r="S52" s="889">
        <v>0</v>
      </c>
    </row>
    <row r="53" spans="1:19" ht="22.5" x14ac:dyDescent="0.25">
      <c r="A53" s="880">
        <v>2025</v>
      </c>
      <c r="B53" s="816" t="s">
        <v>176</v>
      </c>
      <c r="C53" s="816" t="s">
        <v>1200</v>
      </c>
      <c r="D53" s="816" t="s">
        <v>1224</v>
      </c>
      <c r="E53" s="816" t="s">
        <v>1231</v>
      </c>
      <c r="F53" s="816">
        <v>112565.4</v>
      </c>
      <c r="G53" s="816">
        <v>0</v>
      </c>
      <c r="H53" s="826">
        <v>0</v>
      </c>
      <c r="I53" s="465"/>
      <c r="J53" s="826">
        <v>355072.89</v>
      </c>
      <c r="K53" s="826">
        <v>1057.68</v>
      </c>
      <c r="L53" s="465"/>
      <c r="M53" s="465"/>
      <c r="N53" s="465"/>
      <c r="O53" s="465"/>
      <c r="P53" s="826">
        <v>355072.89</v>
      </c>
      <c r="Q53" s="881">
        <v>1057.68</v>
      </c>
      <c r="R53" s="889">
        <v>467638.29000000004</v>
      </c>
      <c r="S53" s="889">
        <v>1057.68</v>
      </c>
    </row>
    <row r="54" spans="1:19" ht="22.5" x14ac:dyDescent="0.25">
      <c r="A54" s="880">
        <v>2025</v>
      </c>
      <c r="B54" s="816" t="s">
        <v>181</v>
      </c>
      <c r="C54" s="816" t="s">
        <v>1143</v>
      </c>
      <c r="D54" s="816" t="s">
        <v>1226</v>
      </c>
      <c r="E54" s="816" t="s">
        <v>1232</v>
      </c>
      <c r="F54" s="816">
        <v>94697.919999999998</v>
      </c>
      <c r="G54" s="816">
        <v>0</v>
      </c>
      <c r="H54" s="826">
        <v>86150360</v>
      </c>
      <c r="I54" s="465"/>
      <c r="J54" s="826">
        <v>38455</v>
      </c>
      <c r="K54" s="465"/>
      <c r="L54" s="465"/>
      <c r="M54" s="465"/>
      <c r="N54" s="465"/>
      <c r="O54" s="465"/>
      <c r="P54" s="826">
        <v>86188815</v>
      </c>
      <c r="Q54" s="881">
        <v>0</v>
      </c>
      <c r="R54" s="889">
        <v>86283512.920000002</v>
      </c>
      <c r="S54" s="889">
        <v>0</v>
      </c>
    </row>
    <row r="55" spans="1:19" ht="22.5" x14ac:dyDescent="0.25">
      <c r="A55" s="880">
        <v>2025</v>
      </c>
      <c r="B55" s="816" t="s">
        <v>181</v>
      </c>
      <c r="C55" s="816" t="s">
        <v>1155</v>
      </c>
      <c r="D55" s="816" t="s">
        <v>1233</v>
      </c>
      <c r="E55" s="816" t="s">
        <v>1234</v>
      </c>
      <c r="F55" s="816">
        <v>0</v>
      </c>
      <c r="G55" s="816">
        <v>0</v>
      </c>
      <c r="H55" s="826">
        <v>0</v>
      </c>
      <c r="I55" s="465"/>
      <c r="J55" s="826">
        <v>97588738</v>
      </c>
      <c r="K55" s="826">
        <v>183948</v>
      </c>
      <c r="L55" s="465"/>
      <c r="M55" s="465"/>
      <c r="N55" s="465"/>
      <c r="O55" s="465"/>
      <c r="P55" s="826">
        <v>97588738</v>
      </c>
      <c r="Q55" s="881">
        <v>183948</v>
      </c>
      <c r="R55" s="889">
        <v>97588738</v>
      </c>
      <c r="S55" s="889">
        <v>183948</v>
      </c>
    </row>
    <row r="56" spans="1:19" ht="22.5" x14ac:dyDescent="0.25">
      <c r="A56" s="880">
        <v>2025</v>
      </c>
      <c r="B56" s="816" t="s">
        <v>181</v>
      </c>
      <c r="C56" s="816" t="s">
        <v>1155</v>
      </c>
      <c r="D56" s="816" t="s">
        <v>1235</v>
      </c>
      <c r="E56" s="816" t="s">
        <v>1236</v>
      </c>
      <c r="F56" s="816">
        <v>57477609</v>
      </c>
      <c r="G56" s="816">
        <v>172041</v>
      </c>
      <c r="H56" s="826">
        <v>31044832</v>
      </c>
      <c r="I56" s="826">
        <v>104255</v>
      </c>
      <c r="J56" s="826">
        <v>116652972</v>
      </c>
      <c r="K56" s="826">
        <v>297837</v>
      </c>
      <c r="L56" s="826">
        <v>3594914</v>
      </c>
      <c r="M56" s="826">
        <v>6661</v>
      </c>
      <c r="N56" s="826"/>
      <c r="O56" s="826"/>
      <c r="P56" s="826">
        <v>151292718</v>
      </c>
      <c r="Q56" s="881">
        <v>408753</v>
      </c>
      <c r="R56" s="889">
        <v>208770327</v>
      </c>
      <c r="S56" s="889">
        <v>580794</v>
      </c>
    </row>
    <row r="57" spans="1:19" ht="22.5" x14ac:dyDescent="0.25">
      <c r="A57" s="880">
        <v>2025</v>
      </c>
      <c r="B57" s="816" t="s">
        <v>181</v>
      </c>
      <c r="C57" s="816" t="s">
        <v>1173</v>
      </c>
      <c r="D57" s="816" t="s">
        <v>1237</v>
      </c>
      <c r="E57" s="816" t="s">
        <v>1238</v>
      </c>
      <c r="F57" s="816">
        <v>0</v>
      </c>
      <c r="G57" s="816">
        <v>0</v>
      </c>
      <c r="H57" s="826">
        <v>0</v>
      </c>
      <c r="I57" s="465"/>
      <c r="J57" s="826">
        <v>159328855</v>
      </c>
      <c r="K57" s="826">
        <v>284151</v>
      </c>
      <c r="L57" s="826">
        <v>115013489</v>
      </c>
      <c r="M57" s="826">
        <v>186406</v>
      </c>
      <c r="N57" s="826"/>
      <c r="O57" s="826"/>
      <c r="P57" s="826">
        <v>274342344</v>
      </c>
      <c r="Q57" s="881">
        <v>470557</v>
      </c>
      <c r="R57" s="889">
        <v>274342344</v>
      </c>
      <c r="S57" s="889">
        <v>470557</v>
      </c>
    </row>
    <row r="58" spans="1:19" ht="22.5" x14ac:dyDescent="0.25">
      <c r="A58" s="880">
        <v>2025</v>
      </c>
      <c r="B58" s="816" t="s">
        <v>181</v>
      </c>
      <c r="C58" s="816" t="s">
        <v>1184</v>
      </c>
      <c r="D58" s="816" t="s">
        <v>1184</v>
      </c>
      <c r="E58" s="816" t="s">
        <v>1239</v>
      </c>
      <c r="F58" s="816">
        <v>88496</v>
      </c>
      <c r="G58" s="816">
        <v>0</v>
      </c>
      <c r="H58" s="826">
        <v>264358732</v>
      </c>
      <c r="I58" s="465"/>
      <c r="J58" s="465"/>
      <c r="K58" s="465"/>
      <c r="L58" s="465"/>
      <c r="M58" s="465"/>
      <c r="N58" s="465"/>
      <c r="O58" s="465"/>
      <c r="P58" s="826">
        <v>264358732</v>
      </c>
      <c r="Q58" s="881">
        <v>0</v>
      </c>
      <c r="R58" s="889">
        <v>264447228</v>
      </c>
      <c r="S58" s="889">
        <v>0</v>
      </c>
    </row>
    <row r="59" spans="1:19" ht="22.5" x14ac:dyDescent="0.25">
      <c r="A59" s="880">
        <v>2025</v>
      </c>
      <c r="B59" s="816" t="s">
        <v>181</v>
      </c>
      <c r="C59" s="816" t="s">
        <v>1194</v>
      </c>
      <c r="D59" s="816" t="s">
        <v>1240</v>
      </c>
      <c r="E59" s="816" t="s">
        <v>1241</v>
      </c>
      <c r="F59" s="816">
        <v>37145</v>
      </c>
      <c r="G59" s="816">
        <v>102</v>
      </c>
      <c r="H59" s="826">
        <v>0</v>
      </c>
      <c r="I59" s="826"/>
      <c r="J59" s="465">
        <v>3039838</v>
      </c>
      <c r="K59" s="465">
        <v>8471</v>
      </c>
      <c r="L59" s="465"/>
      <c r="M59" s="465"/>
      <c r="N59" s="465"/>
      <c r="O59" s="465"/>
      <c r="P59" s="826">
        <v>3039838</v>
      </c>
      <c r="Q59" s="881">
        <v>8471</v>
      </c>
      <c r="R59" s="889">
        <v>3076983</v>
      </c>
      <c r="S59" s="889">
        <v>8573</v>
      </c>
    </row>
    <row r="60" spans="1:19" ht="22.5" x14ac:dyDescent="0.25">
      <c r="A60" s="880">
        <v>2025</v>
      </c>
      <c r="B60" s="816" t="s">
        <v>181</v>
      </c>
      <c r="C60" s="816" t="s">
        <v>1200</v>
      </c>
      <c r="D60" s="816" t="s">
        <v>1224</v>
      </c>
      <c r="E60" s="816" t="s">
        <v>1242</v>
      </c>
      <c r="F60" s="816">
        <v>112565.4</v>
      </c>
      <c r="G60" s="816">
        <v>0</v>
      </c>
      <c r="H60" s="826">
        <v>367029</v>
      </c>
      <c r="I60" s="465">
        <v>1002</v>
      </c>
      <c r="J60" s="826"/>
      <c r="K60" s="826"/>
      <c r="L60" s="465"/>
      <c r="M60" s="465"/>
      <c r="N60" s="465"/>
      <c r="O60" s="465"/>
      <c r="P60" s="826">
        <v>367029</v>
      </c>
      <c r="Q60" s="881">
        <v>1002</v>
      </c>
      <c r="R60" s="889">
        <v>479594.4</v>
      </c>
      <c r="S60" s="889">
        <v>1002</v>
      </c>
    </row>
    <row r="61" spans="1:19" ht="33.75" x14ac:dyDescent="0.25">
      <c r="A61" s="880">
        <v>2025</v>
      </c>
      <c r="B61" s="816" t="s">
        <v>181</v>
      </c>
      <c r="C61" s="816" t="s">
        <v>1210</v>
      </c>
      <c r="D61" s="816" t="s">
        <v>1243</v>
      </c>
      <c r="E61" s="816" t="s">
        <v>1244</v>
      </c>
      <c r="F61" s="816">
        <v>333951</v>
      </c>
      <c r="G61" s="816">
        <v>0</v>
      </c>
      <c r="H61" s="826">
        <v>1860408</v>
      </c>
      <c r="I61" s="465"/>
      <c r="J61" s="465"/>
      <c r="K61" s="465"/>
      <c r="L61" s="465"/>
      <c r="M61" s="465"/>
      <c r="N61" s="465"/>
      <c r="O61" s="465"/>
      <c r="P61" s="826">
        <v>1860408</v>
      </c>
      <c r="Q61" s="881">
        <v>0</v>
      </c>
      <c r="R61" s="889">
        <v>2194359</v>
      </c>
      <c r="S61" s="889">
        <v>0</v>
      </c>
    </row>
    <row r="62" spans="1:19" ht="22.5" x14ac:dyDescent="0.25">
      <c r="A62" s="880">
        <v>2025</v>
      </c>
      <c r="B62" s="816" t="s">
        <v>191</v>
      </c>
      <c r="C62" s="816" t="s">
        <v>1143</v>
      </c>
      <c r="D62" s="816" t="s">
        <v>1226</v>
      </c>
      <c r="E62" s="816" t="s">
        <v>1245</v>
      </c>
      <c r="F62" s="816">
        <v>94697.919999999998</v>
      </c>
      <c r="G62" s="816">
        <v>0</v>
      </c>
      <c r="H62" s="826">
        <v>151418281</v>
      </c>
      <c r="I62" s="465"/>
      <c r="J62" s="826"/>
      <c r="K62" s="465"/>
      <c r="L62" s="465"/>
      <c r="M62" s="465"/>
      <c r="N62" s="465"/>
      <c r="O62" s="465"/>
      <c r="P62" s="826">
        <v>151418281</v>
      </c>
      <c r="Q62" s="881">
        <v>0</v>
      </c>
      <c r="R62" s="889">
        <v>151512978.91999999</v>
      </c>
      <c r="S62" s="889">
        <v>0</v>
      </c>
    </row>
    <row r="63" spans="1:19" ht="22.5" x14ac:dyDescent="0.25">
      <c r="A63" s="880">
        <v>2025</v>
      </c>
      <c r="B63" s="816" t="s">
        <v>191</v>
      </c>
      <c r="C63" s="816" t="s">
        <v>1155</v>
      </c>
      <c r="D63" s="816" t="s">
        <v>1228</v>
      </c>
      <c r="E63" s="816" t="s">
        <v>1246</v>
      </c>
      <c r="F63" s="816">
        <v>1014403.6</v>
      </c>
      <c r="G63" s="816">
        <v>2078.5700000000002</v>
      </c>
      <c r="H63" s="826">
        <v>88092309</v>
      </c>
      <c r="I63" s="826">
        <v>282756</v>
      </c>
      <c r="J63" s="826">
        <v>585220207</v>
      </c>
      <c r="K63" s="826">
        <v>1533105</v>
      </c>
      <c r="L63" s="465"/>
      <c r="M63" s="465"/>
      <c r="N63" s="465"/>
      <c r="O63" s="465"/>
      <c r="P63" s="826">
        <v>673312516</v>
      </c>
      <c r="Q63" s="881">
        <v>1815861</v>
      </c>
      <c r="R63" s="889">
        <v>674326919.60000002</v>
      </c>
      <c r="S63" s="889">
        <v>1817939.57</v>
      </c>
    </row>
    <row r="64" spans="1:19" ht="22.5" x14ac:dyDescent="0.25">
      <c r="A64" s="880">
        <v>2025</v>
      </c>
      <c r="B64" s="816" t="s">
        <v>191</v>
      </c>
      <c r="C64" s="816" t="s">
        <v>1184</v>
      </c>
      <c r="D64" s="816" t="s">
        <v>1184</v>
      </c>
      <c r="E64" s="816" t="s">
        <v>1247</v>
      </c>
      <c r="F64" s="816">
        <v>88496</v>
      </c>
      <c r="G64" s="816">
        <v>0</v>
      </c>
      <c r="H64" s="826">
        <v>534678385</v>
      </c>
      <c r="I64" s="465"/>
      <c r="J64" s="465"/>
      <c r="K64" s="465"/>
      <c r="L64" s="465"/>
      <c r="M64" s="465"/>
      <c r="N64" s="465"/>
      <c r="O64" s="465"/>
      <c r="P64" s="826">
        <v>534678385</v>
      </c>
      <c r="Q64" s="881">
        <v>0</v>
      </c>
      <c r="R64" s="889">
        <v>534766881</v>
      </c>
      <c r="S64" s="889">
        <v>0</v>
      </c>
    </row>
    <row r="65" spans="1:19" ht="22.5" x14ac:dyDescent="0.25">
      <c r="A65" s="880">
        <v>2025</v>
      </c>
      <c r="B65" s="816" t="s">
        <v>191</v>
      </c>
      <c r="C65" s="816" t="s">
        <v>1200</v>
      </c>
      <c r="D65" s="816" t="s">
        <v>1224</v>
      </c>
      <c r="E65" s="816" t="s">
        <v>1248</v>
      </c>
      <c r="F65" s="816">
        <v>112565.4</v>
      </c>
      <c r="G65" s="816">
        <v>0</v>
      </c>
      <c r="H65" s="826">
        <v>47121</v>
      </c>
      <c r="I65" s="826">
        <v>131</v>
      </c>
      <c r="J65" s="826">
        <v>5548488</v>
      </c>
      <c r="K65" s="826">
        <v>15432</v>
      </c>
      <c r="L65" s="465"/>
      <c r="M65" s="465"/>
      <c r="N65" s="465"/>
      <c r="O65" s="465"/>
      <c r="P65" s="826">
        <v>5595609</v>
      </c>
      <c r="Q65" s="881">
        <v>15563</v>
      </c>
      <c r="R65" s="889">
        <v>5708174.4000000004</v>
      </c>
      <c r="S65" s="889">
        <v>15563</v>
      </c>
    </row>
    <row r="66" spans="1:19" ht="33.75" x14ac:dyDescent="0.25">
      <c r="A66" s="880">
        <v>2025</v>
      </c>
      <c r="B66" s="816" t="s">
        <v>191</v>
      </c>
      <c r="C66" s="816" t="s">
        <v>1210</v>
      </c>
      <c r="D66" s="816" t="s">
        <v>1243</v>
      </c>
      <c r="E66" s="816" t="s">
        <v>1249</v>
      </c>
      <c r="F66" s="816">
        <v>333951</v>
      </c>
      <c r="G66" s="816">
        <v>0</v>
      </c>
      <c r="H66" s="826">
        <v>3279899</v>
      </c>
      <c r="I66" s="465"/>
      <c r="J66" s="465"/>
      <c r="K66" s="465"/>
      <c r="L66" s="465"/>
      <c r="M66" s="465"/>
      <c r="N66" s="465"/>
      <c r="O66" s="465"/>
      <c r="P66" s="826">
        <v>3279899</v>
      </c>
      <c r="Q66" s="881">
        <v>0</v>
      </c>
      <c r="R66" s="889">
        <v>3613850</v>
      </c>
      <c r="S66" s="889">
        <v>0</v>
      </c>
    </row>
    <row r="67" spans="1:19" ht="22.5" x14ac:dyDescent="0.25">
      <c r="A67" s="880">
        <v>2025</v>
      </c>
      <c r="B67" s="816" t="s">
        <v>196</v>
      </c>
      <c r="C67" s="816" t="s">
        <v>1140</v>
      </c>
      <c r="D67" s="816" t="s">
        <v>1250</v>
      </c>
      <c r="E67" s="816" t="s">
        <v>1251</v>
      </c>
      <c r="F67" s="816">
        <v>0</v>
      </c>
      <c r="G67" s="816">
        <v>0</v>
      </c>
      <c r="H67" s="826">
        <v>0</v>
      </c>
      <c r="I67" s="465"/>
      <c r="J67" s="826">
        <v>5640447.3899999997</v>
      </c>
      <c r="K67" s="826">
        <v>15142.87</v>
      </c>
      <c r="L67" s="465"/>
      <c r="M67" s="465"/>
      <c r="N67" s="465"/>
      <c r="O67" s="465"/>
      <c r="P67" s="826">
        <v>5640447.3899999997</v>
      </c>
      <c r="Q67" s="881">
        <v>15142.87</v>
      </c>
      <c r="R67" s="889">
        <v>5640447.3899999997</v>
      </c>
      <c r="S67" s="889">
        <v>15142.87</v>
      </c>
    </row>
    <row r="68" spans="1:19" ht="22.5" x14ac:dyDescent="0.25">
      <c r="A68" s="880">
        <v>2025</v>
      </c>
      <c r="B68" s="816" t="s">
        <v>196</v>
      </c>
      <c r="C68" s="816" t="s">
        <v>1143</v>
      </c>
      <c r="D68" s="816" t="s">
        <v>1226</v>
      </c>
      <c r="E68" s="816" t="s">
        <v>1252</v>
      </c>
      <c r="F68" s="816">
        <v>94697.919999999998</v>
      </c>
      <c r="G68" s="816">
        <v>0</v>
      </c>
      <c r="H68" s="826">
        <v>54778663.219999999</v>
      </c>
      <c r="I68" s="826"/>
      <c r="J68" s="826"/>
      <c r="K68" s="826"/>
      <c r="L68" s="826"/>
      <c r="M68" s="826"/>
      <c r="N68" s="826"/>
      <c r="O68" s="826"/>
      <c r="P68" s="826">
        <v>54778663.219999999</v>
      </c>
      <c r="Q68" s="881">
        <v>0</v>
      </c>
      <c r="R68" s="889">
        <v>54873361.140000001</v>
      </c>
      <c r="S68" s="889">
        <v>0</v>
      </c>
    </row>
    <row r="69" spans="1:19" ht="22.5" x14ac:dyDescent="0.25">
      <c r="A69" s="880">
        <v>2025</v>
      </c>
      <c r="B69" s="816" t="s">
        <v>196</v>
      </c>
      <c r="C69" s="816" t="s">
        <v>1155</v>
      </c>
      <c r="D69" s="816" t="s">
        <v>1253</v>
      </c>
      <c r="E69" s="816" t="s">
        <v>1254</v>
      </c>
      <c r="F69" s="816">
        <v>1014403.6</v>
      </c>
      <c r="G69" s="816">
        <v>2078.5700000000002</v>
      </c>
      <c r="H69" s="826">
        <v>16960551.600000001</v>
      </c>
      <c r="I69" s="826">
        <v>53229.42</v>
      </c>
      <c r="J69" s="826">
        <v>145529032.38</v>
      </c>
      <c r="K69" s="826">
        <v>459827.4</v>
      </c>
      <c r="L69" s="826"/>
      <c r="M69" s="826"/>
      <c r="N69" s="826"/>
      <c r="O69" s="826"/>
      <c r="P69" s="826">
        <v>162489583.97999999</v>
      </c>
      <c r="Q69" s="881">
        <v>513056.82</v>
      </c>
      <c r="R69" s="889">
        <v>163503987.57999998</v>
      </c>
      <c r="S69" s="889">
        <v>515135.39</v>
      </c>
    </row>
    <row r="70" spans="1:19" ht="22.5" x14ac:dyDescent="0.25">
      <c r="A70" s="880">
        <v>2025</v>
      </c>
      <c r="B70" s="816" t="s">
        <v>196</v>
      </c>
      <c r="C70" s="816" t="s">
        <v>1184</v>
      </c>
      <c r="D70" s="816" t="s">
        <v>1184</v>
      </c>
      <c r="E70" s="816" t="s">
        <v>1255</v>
      </c>
      <c r="F70" s="816">
        <v>88496</v>
      </c>
      <c r="G70" s="816">
        <v>0</v>
      </c>
      <c r="H70" s="826">
        <v>226157222.19</v>
      </c>
      <c r="I70" s="826"/>
      <c r="J70" s="826"/>
      <c r="K70" s="826"/>
      <c r="L70" s="826"/>
      <c r="M70" s="826"/>
      <c r="N70" s="826"/>
      <c r="O70" s="826"/>
      <c r="P70" s="826">
        <v>226157222.19</v>
      </c>
      <c r="Q70" s="881">
        <v>0</v>
      </c>
      <c r="R70" s="889">
        <v>226245718.19</v>
      </c>
      <c r="S70" s="889">
        <v>0</v>
      </c>
    </row>
    <row r="71" spans="1:19" ht="22.5" x14ac:dyDescent="0.25">
      <c r="A71" s="880">
        <v>2025</v>
      </c>
      <c r="B71" s="816" t="s">
        <v>196</v>
      </c>
      <c r="C71" s="816" t="s">
        <v>1194</v>
      </c>
      <c r="D71" s="816" t="s">
        <v>1240</v>
      </c>
      <c r="E71" s="816" t="s">
        <v>1256</v>
      </c>
      <c r="F71" s="816">
        <v>37145</v>
      </c>
      <c r="G71" s="816">
        <v>102</v>
      </c>
      <c r="H71" s="826">
        <v>450678.16</v>
      </c>
      <c r="I71" s="826">
        <v>1477.68</v>
      </c>
      <c r="J71" s="465"/>
      <c r="K71" s="465"/>
      <c r="L71" s="465"/>
      <c r="M71" s="465"/>
      <c r="N71" s="465"/>
      <c r="O71" s="465"/>
      <c r="P71" s="826">
        <v>450678.16</v>
      </c>
      <c r="Q71" s="881">
        <v>1477.68</v>
      </c>
      <c r="R71" s="889">
        <v>487823.16</v>
      </c>
      <c r="S71" s="889">
        <v>1579.68</v>
      </c>
    </row>
    <row r="72" spans="1:19" ht="22.5" x14ac:dyDescent="0.25">
      <c r="A72" s="880">
        <v>2025</v>
      </c>
      <c r="B72" s="816" t="s">
        <v>196</v>
      </c>
      <c r="C72" s="816" t="s">
        <v>1200</v>
      </c>
      <c r="D72" s="816" t="s">
        <v>1224</v>
      </c>
      <c r="E72" s="816" t="s">
        <v>1257</v>
      </c>
      <c r="F72" s="816">
        <v>112565.4</v>
      </c>
      <c r="G72" s="816">
        <v>0</v>
      </c>
      <c r="H72" s="826">
        <v>78813.25</v>
      </c>
      <c r="I72" s="826">
        <v>259.22000000000003</v>
      </c>
      <c r="J72" s="826">
        <v>1378183.12</v>
      </c>
      <c r="K72" s="826">
        <v>4182.92</v>
      </c>
      <c r="L72" s="465"/>
      <c r="M72" s="465"/>
      <c r="N72" s="465"/>
      <c r="O72" s="465"/>
      <c r="P72" s="826">
        <v>1456996.37</v>
      </c>
      <c r="Q72" s="881">
        <v>4442.1400000000003</v>
      </c>
      <c r="R72" s="889">
        <v>1569561.77</v>
      </c>
      <c r="S72" s="889">
        <v>4442.1400000000003</v>
      </c>
    </row>
    <row r="73" spans="1:19" ht="33.75" x14ac:dyDescent="0.25">
      <c r="A73" s="880">
        <v>2025</v>
      </c>
      <c r="B73" s="816" t="s">
        <v>196</v>
      </c>
      <c r="C73" s="816" t="s">
        <v>1210</v>
      </c>
      <c r="D73" s="816" t="s">
        <v>1243</v>
      </c>
      <c r="E73" s="816" t="s">
        <v>1258</v>
      </c>
      <c r="F73" s="816">
        <v>333951</v>
      </c>
      <c r="G73" s="816">
        <v>0</v>
      </c>
      <c r="H73" s="826">
        <v>400454.87</v>
      </c>
      <c r="I73" s="465"/>
      <c r="J73" s="465"/>
      <c r="K73" s="465"/>
      <c r="L73" s="465"/>
      <c r="M73" s="465"/>
      <c r="N73" s="465"/>
      <c r="O73" s="465"/>
      <c r="P73" s="826">
        <v>400454.87</v>
      </c>
      <c r="Q73" s="881">
        <v>0</v>
      </c>
      <c r="R73" s="889">
        <v>734405.87</v>
      </c>
      <c r="S73" s="889">
        <v>0</v>
      </c>
    </row>
    <row r="74" spans="1:19" ht="22.5" x14ac:dyDescent="0.25">
      <c r="A74" s="880">
        <v>2025</v>
      </c>
      <c r="B74" s="816" t="s">
        <v>200</v>
      </c>
      <c r="C74" s="816" t="s">
        <v>1143</v>
      </c>
      <c r="D74" s="816" t="s">
        <v>1226</v>
      </c>
      <c r="E74" s="816" t="s">
        <v>1259</v>
      </c>
      <c r="F74" s="816">
        <v>94697.919999999998</v>
      </c>
      <c r="G74" s="816">
        <v>0</v>
      </c>
      <c r="H74" s="826">
        <v>19555593.800000001</v>
      </c>
      <c r="I74" s="465"/>
      <c r="J74" s="465"/>
      <c r="K74" s="465"/>
      <c r="L74" s="465"/>
      <c r="M74" s="465"/>
      <c r="N74" s="465"/>
      <c r="O74" s="465"/>
      <c r="P74" s="826">
        <v>19555593.800000001</v>
      </c>
      <c r="Q74" s="881">
        <v>0</v>
      </c>
      <c r="R74" s="889">
        <v>19650291.720000003</v>
      </c>
      <c r="S74" s="889">
        <v>0</v>
      </c>
    </row>
    <row r="75" spans="1:19" ht="22.5" x14ac:dyDescent="0.25">
      <c r="A75" s="880">
        <v>2025</v>
      </c>
      <c r="B75" s="816" t="s">
        <v>200</v>
      </c>
      <c r="C75" s="816" t="s">
        <v>1155</v>
      </c>
      <c r="D75" s="816" t="s">
        <v>1228</v>
      </c>
      <c r="E75" s="816" t="s">
        <v>8821</v>
      </c>
      <c r="F75" s="816">
        <v>1014403.6</v>
      </c>
      <c r="G75" s="816">
        <v>2078.5700000000002</v>
      </c>
      <c r="H75" s="826">
        <v>3990824</v>
      </c>
      <c r="I75" s="465">
        <v>14543.32</v>
      </c>
      <c r="J75" s="826">
        <v>28194201.32</v>
      </c>
      <c r="K75" s="826">
        <v>81891.37</v>
      </c>
      <c r="L75" s="465">
        <v>2369735.88</v>
      </c>
      <c r="M75" s="465">
        <v>4620.6000000000004</v>
      </c>
      <c r="N75" s="465"/>
      <c r="O75" s="465"/>
      <c r="P75" s="826">
        <v>34554761.200000003</v>
      </c>
      <c r="Q75" s="881">
        <v>101055.29</v>
      </c>
      <c r="R75" s="889">
        <v>35569164.800000004</v>
      </c>
      <c r="S75" s="889">
        <v>103133.86</v>
      </c>
    </row>
    <row r="76" spans="1:19" ht="22.5" x14ac:dyDescent="0.25">
      <c r="A76" s="880">
        <v>2025</v>
      </c>
      <c r="B76" s="816" t="s">
        <v>200</v>
      </c>
      <c r="C76" s="816" t="s">
        <v>1184</v>
      </c>
      <c r="D76" s="816" t="s">
        <v>1184</v>
      </c>
      <c r="E76" s="816" t="s">
        <v>1262</v>
      </c>
      <c r="F76" s="816">
        <v>88496</v>
      </c>
      <c r="G76" s="816">
        <v>0</v>
      </c>
      <c r="H76" s="826">
        <v>50342961</v>
      </c>
      <c r="I76" s="826"/>
      <c r="J76" s="826"/>
      <c r="K76" s="826"/>
      <c r="L76" s="826"/>
      <c r="M76" s="826"/>
      <c r="N76" s="826"/>
      <c r="O76" s="826"/>
      <c r="P76" s="826">
        <v>50342961</v>
      </c>
      <c r="Q76" s="881">
        <v>0</v>
      </c>
      <c r="R76" s="889">
        <v>50431457</v>
      </c>
      <c r="S76" s="889">
        <v>0</v>
      </c>
    </row>
    <row r="77" spans="1:19" ht="22.5" x14ac:dyDescent="0.25">
      <c r="A77" s="880">
        <v>2025</v>
      </c>
      <c r="B77" s="816" t="s">
        <v>200</v>
      </c>
      <c r="C77" s="816" t="s">
        <v>1194</v>
      </c>
      <c r="D77" s="816" t="s">
        <v>1240</v>
      </c>
      <c r="E77" s="816" t="s">
        <v>1263</v>
      </c>
      <c r="F77" s="816">
        <v>37145</v>
      </c>
      <c r="G77" s="816">
        <v>102</v>
      </c>
      <c r="H77" s="826">
        <v>22574.48</v>
      </c>
      <c r="I77" s="465">
        <v>62.7</v>
      </c>
      <c r="J77" s="465"/>
      <c r="K77" s="465"/>
      <c r="L77" s="465"/>
      <c r="M77" s="465"/>
      <c r="N77" s="465"/>
      <c r="O77" s="465"/>
      <c r="P77" s="826">
        <v>22574.48</v>
      </c>
      <c r="Q77" s="881">
        <v>62.7</v>
      </c>
      <c r="R77" s="889">
        <v>59719.479999999996</v>
      </c>
      <c r="S77" s="889">
        <v>164.7</v>
      </c>
    </row>
    <row r="78" spans="1:19" ht="22.5" x14ac:dyDescent="0.25">
      <c r="A78" s="880">
        <v>2025</v>
      </c>
      <c r="B78" s="816" t="s">
        <v>200</v>
      </c>
      <c r="C78" s="816" t="s">
        <v>1200</v>
      </c>
      <c r="D78" s="816" t="s">
        <v>1224</v>
      </c>
      <c r="E78" s="816" t="s">
        <v>1264</v>
      </c>
      <c r="F78" s="816">
        <v>112565.4</v>
      </c>
      <c r="G78" s="816">
        <v>0</v>
      </c>
      <c r="H78" s="826">
        <v>0</v>
      </c>
      <c r="I78" s="826"/>
      <c r="J78" s="465">
        <v>548320.88</v>
      </c>
      <c r="K78" s="465">
        <v>1507.31</v>
      </c>
      <c r="L78" s="465"/>
      <c r="M78" s="465"/>
      <c r="N78" s="465"/>
      <c r="O78" s="465"/>
      <c r="P78" s="826">
        <v>548320.88</v>
      </c>
      <c r="Q78" s="881">
        <v>1507.31</v>
      </c>
      <c r="R78" s="889">
        <v>660886.28</v>
      </c>
      <c r="S78" s="889">
        <v>1507.31</v>
      </c>
    </row>
    <row r="79" spans="1:19" ht="33.75" x14ac:dyDescent="0.25">
      <c r="A79" s="880">
        <v>2025</v>
      </c>
      <c r="B79" s="816" t="s">
        <v>200</v>
      </c>
      <c r="C79" s="816" t="s">
        <v>1210</v>
      </c>
      <c r="D79" s="816" t="s">
        <v>1243</v>
      </c>
      <c r="E79" s="816" t="s">
        <v>1265</v>
      </c>
      <c r="F79" s="816">
        <v>333951</v>
      </c>
      <c r="G79" s="816">
        <v>0</v>
      </c>
      <c r="H79" s="826">
        <v>516406.21</v>
      </c>
      <c r="I79" s="465"/>
      <c r="J79" s="826"/>
      <c r="K79" s="826"/>
      <c r="L79" s="465"/>
      <c r="M79" s="465"/>
      <c r="N79" s="465"/>
      <c r="O79" s="465"/>
      <c r="P79" s="826">
        <v>516406.21</v>
      </c>
      <c r="Q79" s="881">
        <v>0</v>
      </c>
      <c r="R79" s="889">
        <v>850357.21</v>
      </c>
      <c r="S79" s="889">
        <v>0</v>
      </c>
    </row>
    <row r="80" spans="1:19" ht="22.5" x14ac:dyDescent="0.25">
      <c r="A80" s="880">
        <v>2025</v>
      </c>
      <c r="B80" s="816" t="s">
        <v>209</v>
      </c>
      <c r="C80" s="816" t="s">
        <v>1143</v>
      </c>
      <c r="D80" s="816" t="s">
        <v>1226</v>
      </c>
      <c r="E80" s="816" t="s">
        <v>1266</v>
      </c>
      <c r="F80" s="816">
        <v>94697.919999999998</v>
      </c>
      <c r="G80" s="816">
        <v>0</v>
      </c>
      <c r="H80" s="826">
        <v>3636797</v>
      </c>
      <c r="I80" s="465">
        <v>0</v>
      </c>
      <c r="J80" s="465">
        <v>0</v>
      </c>
      <c r="K80" s="465">
        <v>0</v>
      </c>
      <c r="L80" s="465">
        <v>0</v>
      </c>
      <c r="M80" s="465">
        <v>0</v>
      </c>
      <c r="N80" s="465"/>
      <c r="O80" s="465"/>
      <c r="P80" s="826">
        <v>3636797</v>
      </c>
      <c r="Q80" s="881">
        <v>0</v>
      </c>
      <c r="R80" s="889">
        <v>3731494.92</v>
      </c>
      <c r="S80" s="889">
        <v>0</v>
      </c>
    </row>
    <row r="81" spans="1:19" ht="22.5" x14ac:dyDescent="0.25">
      <c r="A81" s="880">
        <v>2025</v>
      </c>
      <c r="B81" s="816" t="s">
        <v>209</v>
      </c>
      <c r="C81" s="816" t="s">
        <v>1155</v>
      </c>
      <c r="D81" s="816" t="s">
        <v>1228</v>
      </c>
      <c r="E81" s="816" t="s">
        <v>1267</v>
      </c>
      <c r="F81" s="816">
        <v>1014403.6</v>
      </c>
      <c r="G81" s="816">
        <v>2078.5700000000002</v>
      </c>
      <c r="H81" s="826">
        <v>367800</v>
      </c>
      <c r="I81" s="465">
        <v>0</v>
      </c>
      <c r="J81" s="465">
        <v>3811423</v>
      </c>
      <c r="K81" s="465">
        <v>10248</v>
      </c>
      <c r="L81" s="465">
        <v>0</v>
      </c>
      <c r="M81" s="465">
        <v>0</v>
      </c>
      <c r="N81" s="465"/>
      <c r="O81" s="465"/>
      <c r="P81" s="826">
        <v>4179223</v>
      </c>
      <c r="Q81" s="881">
        <v>10248</v>
      </c>
      <c r="R81" s="889">
        <v>5193626.5999999996</v>
      </c>
      <c r="S81" s="889">
        <v>12326.57</v>
      </c>
    </row>
    <row r="82" spans="1:19" ht="22.5" x14ac:dyDescent="0.25">
      <c r="A82" s="880">
        <v>2025</v>
      </c>
      <c r="B82" s="816" t="s">
        <v>209</v>
      </c>
      <c r="C82" s="816" t="s">
        <v>1184</v>
      </c>
      <c r="D82" s="816" t="s">
        <v>1184</v>
      </c>
      <c r="E82" s="816" t="s">
        <v>1268</v>
      </c>
      <c r="F82" s="816">
        <v>88496</v>
      </c>
      <c r="G82" s="816">
        <v>0</v>
      </c>
      <c r="H82" s="826">
        <v>22438449</v>
      </c>
      <c r="I82" s="465">
        <v>0</v>
      </c>
      <c r="J82" s="826">
        <v>0</v>
      </c>
      <c r="K82" s="465">
        <v>0</v>
      </c>
      <c r="L82" s="465">
        <v>0</v>
      </c>
      <c r="M82" s="465">
        <v>0</v>
      </c>
      <c r="N82" s="465"/>
      <c r="O82" s="465"/>
      <c r="P82" s="826">
        <v>22438449</v>
      </c>
      <c r="Q82" s="881">
        <v>0</v>
      </c>
      <c r="R82" s="889">
        <v>22526945</v>
      </c>
      <c r="S82" s="889">
        <v>0</v>
      </c>
    </row>
    <row r="83" spans="1:19" ht="22.5" x14ac:dyDescent="0.25">
      <c r="A83" s="880">
        <v>2025</v>
      </c>
      <c r="B83" s="816" t="s">
        <v>209</v>
      </c>
      <c r="C83" s="816" t="s">
        <v>1200</v>
      </c>
      <c r="D83" s="816" t="s">
        <v>1224</v>
      </c>
      <c r="E83" s="816" t="s">
        <v>1269</v>
      </c>
      <c r="F83" s="816">
        <v>112565.4</v>
      </c>
      <c r="G83" s="816">
        <v>0</v>
      </c>
      <c r="H83" s="826">
        <v>0</v>
      </c>
      <c r="I83" s="465">
        <v>0</v>
      </c>
      <c r="J83" s="465">
        <v>218679</v>
      </c>
      <c r="K83" s="465">
        <v>608.4</v>
      </c>
      <c r="L83" s="465">
        <v>0</v>
      </c>
      <c r="M83" s="465">
        <v>0</v>
      </c>
      <c r="N83" s="465"/>
      <c r="O83" s="465"/>
      <c r="P83" s="826">
        <v>218679</v>
      </c>
      <c r="Q83" s="881">
        <v>608.4</v>
      </c>
      <c r="R83" s="889">
        <v>331244.40000000002</v>
      </c>
      <c r="S83" s="889">
        <v>608.4</v>
      </c>
    </row>
    <row r="84" spans="1:19" ht="33.75" x14ac:dyDescent="0.25">
      <c r="A84" s="880">
        <v>2025</v>
      </c>
      <c r="B84" s="816" t="s">
        <v>209</v>
      </c>
      <c r="C84" s="816" t="s">
        <v>1210</v>
      </c>
      <c r="D84" s="816" t="s">
        <v>1243</v>
      </c>
      <c r="E84" s="816" t="s">
        <v>1270</v>
      </c>
      <c r="F84" s="816">
        <v>333951</v>
      </c>
      <c r="G84" s="816">
        <v>0</v>
      </c>
      <c r="H84" s="826">
        <v>93084</v>
      </c>
      <c r="I84" s="826">
        <v>0</v>
      </c>
      <c r="J84" s="465">
        <v>0</v>
      </c>
      <c r="K84" s="465">
        <v>0</v>
      </c>
      <c r="L84" s="465">
        <v>0</v>
      </c>
      <c r="M84" s="465">
        <v>0</v>
      </c>
      <c r="N84" s="465"/>
      <c r="O84" s="465"/>
      <c r="P84" s="826">
        <v>93084</v>
      </c>
      <c r="Q84" s="881">
        <v>0</v>
      </c>
      <c r="R84" s="889">
        <v>427035</v>
      </c>
      <c r="S84" s="889">
        <v>0</v>
      </c>
    </row>
    <row r="85" spans="1:19" ht="22.5" x14ac:dyDescent="0.25">
      <c r="A85" s="880">
        <v>2025</v>
      </c>
      <c r="B85" s="816" t="s">
        <v>212</v>
      </c>
      <c r="C85" s="816" t="s">
        <v>1140</v>
      </c>
      <c r="D85" s="816" t="s">
        <v>1250</v>
      </c>
      <c r="E85" s="816" t="s">
        <v>1271</v>
      </c>
      <c r="F85" s="816">
        <v>0</v>
      </c>
      <c r="G85" s="816">
        <v>0</v>
      </c>
      <c r="H85" s="826">
        <v>0</v>
      </c>
      <c r="I85" s="826"/>
      <c r="J85" s="465">
        <v>54571051</v>
      </c>
      <c r="K85" s="465">
        <v>125912</v>
      </c>
      <c r="L85" s="465"/>
      <c r="M85" s="465"/>
      <c r="N85" s="465"/>
      <c r="O85" s="465"/>
      <c r="P85" s="826">
        <v>54571051</v>
      </c>
      <c r="Q85" s="881">
        <v>125912</v>
      </c>
      <c r="R85" s="889">
        <v>54571051</v>
      </c>
      <c r="S85" s="889">
        <v>125912</v>
      </c>
    </row>
    <row r="86" spans="1:19" ht="22.5" x14ac:dyDescent="0.25">
      <c r="A86" s="880">
        <v>2025</v>
      </c>
      <c r="B86" s="816" t="s">
        <v>212</v>
      </c>
      <c r="C86" s="816" t="s">
        <v>1143</v>
      </c>
      <c r="D86" s="816" t="s">
        <v>1226</v>
      </c>
      <c r="E86" s="816" t="s">
        <v>1272</v>
      </c>
      <c r="F86" s="816">
        <v>94697.919999999998</v>
      </c>
      <c r="G86" s="816">
        <v>0</v>
      </c>
      <c r="H86" s="826">
        <v>21933542</v>
      </c>
      <c r="I86" s="465"/>
      <c r="J86" s="465">
        <v>3277426</v>
      </c>
      <c r="K86" s="465"/>
      <c r="L86" s="465"/>
      <c r="M86" s="465"/>
      <c r="N86" s="465"/>
      <c r="O86" s="465"/>
      <c r="P86" s="826">
        <v>25210968</v>
      </c>
      <c r="Q86" s="881">
        <v>0</v>
      </c>
      <c r="R86" s="889">
        <v>25305665.920000002</v>
      </c>
      <c r="S86" s="889">
        <v>0</v>
      </c>
    </row>
    <row r="87" spans="1:19" ht="22.5" x14ac:dyDescent="0.25">
      <c r="A87" s="880">
        <v>2025</v>
      </c>
      <c r="B87" s="816" t="s">
        <v>212</v>
      </c>
      <c r="C87" s="816" t="s">
        <v>1155</v>
      </c>
      <c r="D87" s="816" t="s">
        <v>1228</v>
      </c>
      <c r="E87" s="816" t="s">
        <v>1273</v>
      </c>
      <c r="F87" s="816">
        <v>1014403.6</v>
      </c>
      <c r="G87" s="816">
        <v>2078.5700000000002</v>
      </c>
      <c r="H87" s="826">
        <v>19792364</v>
      </c>
      <c r="I87" s="826">
        <v>67630</v>
      </c>
      <c r="J87" s="826">
        <v>19627753</v>
      </c>
      <c r="K87" s="826">
        <v>135075</v>
      </c>
      <c r="L87" s="826">
        <v>2406636</v>
      </c>
      <c r="M87" s="826">
        <v>4103.6899999999996</v>
      </c>
      <c r="N87" s="826"/>
      <c r="O87" s="826"/>
      <c r="P87" s="826">
        <v>41826753</v>
      </c>
      <c r="Q87" s="881">
        <v>206808.69</v>
      </c>
      <c r="R87" s="889">
        <v>42841156.600000001</v>
      </c>
      <c r="S87" s="889">
        <v>208887.26</v>
      </c>
    </row>
    <row r="88" spans="1:19" x14ac:dyDescent="0.25">
      <c r="A88" s="880">
        <v>2025</v>
      </c>
      <c r="B88" s="816" t="s">
        <v>212</v>
      </c>
      <c r="C88" s="816" t="s">
        <v>1184</v>
      </c>
      <c r="D88" s="816" t="s">
        <v>1184</v>
      </c>
      <c r="E88" s="816" t="s">
        <v>1274</v>
      </c>
      <c r="F88" s="816">
        <v>88496</v>
      </c>
      <c r="G88" s="816">
        <v>0</v>
      </c>
      <c r="H88" s="826">
        <v>102812385</v>
      </c>
      <c r="I88" s="826"/>
      <c r="J88" s="826">
        <v>2098212</v>
      </c>
      <c r="K88" s="826"/>
      <c r="L88" s="826"/>
      <c r="M88" s="826"/>
      <c r="N88" s="826"/>
      <c r="O88" s="826"/>
      <c r="P88" s="826">
        <v>104910597</v>
      </c>
      <c r="Q88" s="881">
        <v>0</v>
      </c>
      <c r="R88" s="889">
        <v>104999093</v>
      </c>
      <c r="S88" s="889">
        <v>0</v>
      </c>
    </row>
    <row r="89" spans="1:19" ht="22.5" x14ac:dyDescent="0.25">
      <c r="A89" s="880">
        <v>2025</v>
      </c>
      <c r="B89" s="816" t="s">
        <v>212</v>
      </c>
      <c r="C89" s="816" t="s">
        <v>1194</v>
      </c>
      <c r="D89" s="816" t="s">
        <v>1240</v>
      </c>
      <c r="E89" s="816" t="s">
        <v>1275</v>
      </c>
      <c r="F89" s="816">
        <v>37145</v>
      </c>
      <c r="G89" s="816">
        <v>102</v>
      </c>
      <c r="H89" s="826">
        <v>88045</v>
      </c>
      <c r="I89" s="826"/>
      <c r="J89" s="826">
        <v>43365</v>
      </c>
      <c r="K89" s="826"/>
      <c r="L89" s="826"/>
      <c r="M89" s="826"/>
      <c r="N89" s="826"/>
      <c r="O89" s="826"/>
      <c r="P89" s="826">
        <v>131410</v>
      </c>
      <c r="Q89" s="881">
        <v>0</v>
      </c>
      <c r="R89" s="889">
        <v>168555</v>
      </c>
      <c r="S89" s="889">
        <v>102</v>
      </c>
    </row>
    <row r="90" spans="1:19" ht="22.5" x14ac:dyDescent="0.25">
      <c r="A90" s="880">
        <v>2025</v>
      </c>
      <c r="B90" s="816" t="s">
        <v>212</v>
      </c>
      <c r="C90" s="816" t="s">
        <v>1200</v>
      </c>
      <c r="D90" s="816" t="s">
        <v>1224</v>
      </c>
      <c r="E90" s="816" t="s">
        <v>1276</v>
      </c>
      <c r="F90" s="816">
        <v>112565.4</v>
      </c>
      <c r="G90" s="816">
        <v>0</v>
      </c>
      <c r="H90" s="826">
        <v>0</v>
      </c>
      <c r="I90" s="826"/>
      <c r="J90" s="826"/>
      <c r="K90" s="826"/>
      <c r="L90" s="826"/>
      <c r="M90" s="826"/>
      <c r="N90" s="826"/>
      <c r="O90" s="826"/>
      <c r="P90" s="826">
        <v>0</v>
      </c>
      <c r="Q90" s="881">
        <v>0</v>
      </c>
      <c r="R90" s="889">
        <v>112565.4</v>
      </c>
      <c r="S90" s="889">
        <v>0</v>
      </c>
    </row>
    <row r="91" spans="1:19" ht="33.75" x14ac:dyDescent="0.25">
      <c r="A91" s="880">
        <v>2025</v>
      </c>
      <c r="B91" s="816" t="s">
        <v>212</v>
      </c>
      <c r="C91" s="816" t="s">
        <v>1210</v>
      </c>
      <c r="D91" s="816" t="s">
        <v>1243</v>
      </c>
      <c r="E91" s="816" t="s">
        <v>1277</v>
      </c>
      <c r="F91" s="816">
        <v>333951</v>
      </c>
      <c r="G91" s="816">
        <v>0</v>
      </c>
      <c r="H91" s="826">
        <v>148009</v>
      </c>
      <c r="I91" s="826"/>
      <c r="J91" s="826">
        <v>102854</v>
      </c>
      <c r="K91" s="826"/>
      <c r="L91" s="826"/>
      <c r="M91" s="826"/>
      <c r="N91" s="826"/>
      <c r="O91" s="826"/>
      <c r="P91" s="826">
        <v>250863</v>
      </c>
      <c r="Q91" s="881">
        <v>0</v>
      </c>
      <c r="R91" s="889">
        <v>584814</v>
      </c>
      <c r="S91" s="889">
        <v>0</v>
      </c>
    </row>
    <row r="92" spans="1:19" ht="22.5" x14ac:dyDescent="0.25">
      <c r="A92" s="880">
        <v>2025</v>
      </c>
      <c r="B92" s="816" t="s">
        <v>222</v>
      </c>
      <c r="C92" s="816" t="s">
        <v>1143</v>
      </c>
      <c r="D92" s="816" t="s">
        <v>1226</v>
      </c>
      <c r="E92" s="816" t="s">
        <v>1278</v>
      </c>
      <c r="F92" s="816">
        <v>94697.919999999998</v>
      </c>
      <c r="G92" s="816">
        <v>0</v>
      </c>
      <c r="H92" s="826">
        <v>226333056.00999999</v>
      </c>
      <c r="I92" s="465"/>
      <c r="J92" s="826"/>
      <c r="K92" s="826"/>
      <c r="L92" s="465"/>
      <c r="M92" s="465"/>
      <c r="N92" s="465"/>
      <c r="O92" s="465"/>
      <c r="P92" s="826">
        <v>226333056.00999999</v>
      </c>
      <c r="Q92" s="881">
        <v>0</v>
      </c>
      <c r="R92" s="889">
        <v>226427753.92999998</v>
      </c>
      <c r="S92" s="889">
        <v>0</v>
      </c>
    </row>
    <row r="93" spans="1:19" ht="22.5" x14ac:dyDescent="0.25">
      <c r="A93" s="880">
        <v>2025</v>
      </c>
      <c r="B93" s="816" t="s">
        <v>222</v>
      </c>
      <c r="C93" s="816" t="s">
        <v>1155</v>
      </c>
      <c r="D93" s="816" t="s">
        <v>1228</v>
      </c>
      <c r="E93" s="816" t="s">
        <v>1279</v>
      </c>
      <c r="F93" s="816">
        <v>1014403.6</v>
      </c>
      <c r="G93" s="816">
        <v>2078.5700000000002</v>
      </c>
      <c r="H93" s="826">
        <v>115969810.68000001</v>
      </c>
      <c r="I93" s="465">
        <v>289830.78000000003</v>
      </c>
      <c r="J93" s="826">
        <v>625104994.29999995</v>
      </c>
      <c r="K93" s="826">
        <v>1583215.73</v>
      </c>
      <c r="L93" s="465">
        <v>8996004.3300000001</v>
      </c>
      <c r="M93" s="465">
        <v>17378.61</v>
      </c>
      <c r="N93" s="465"/>
      <c r="O93" s="465"/>
      <c r="P93" s="826">
        <v>750070809.30999994</v>
      </c>
      <c r="Q93" s="881">
        <v>1890425.12</v>
      </c>
      <c r="R93" s="889">
        <v>751085212.90999997</v>
      </c>
      <c r="S93" s="889">
        <v>1892503.6900000002</v>
      </c>
    </row>
    <row r="94" spans="1:19" ht="22.5" x14ac:dyDescent="0.25">
      <c r="A94" s="880">
        <v>2025</v>
      </c>
      <c r="B94" s="816" t="s">
        <v>222</v>
      </c>
      <c r="C94" s="816" t="s">
        <v>1173</v>
      </c>
      <c r="D94" s="816" t="s">
        <v>1280</v>
      </c>
      <c r="E94" s="816" t="s">
        <v>1281</v>
      </c>
      <c r="F94" s="816">
        <v>0</v>
      </c>
      <c r="G94" s="816">
        <v>0</v>
      </c>
      <c r="H94" s="826">
        <v>0</v>
      </c>
      <c r="I94" s="826"/>
      <c r="J94" s="826">
        <v>133900065</v>
      </c>
      <c r="K94" s="465">
        <v>246225.15</v>
      </c>
      <c r="L94" s="826">
        <v>81205726</v>
      </c>
      <c r="M94" s="826">
        <v>135381.81</v>
      </c>
      <c r="N94" s="826"/>
      <c r="O94" s="826"/>
      <c r="P94" s="826">
        <v>215105791</v>
      </c>
      <c r="Q94" s="881">
        <v>381606.96</v>
      </c>
      <c r="R94" s="889">
        <v>215105791</v>
      </c>
      <c r="S94" s="889">
        <v>381606.96</v>
      </c>
    </row>
    <row r="95" spans="1:19" ht="22.5" x14ac:dyDescent="0.25">
      <c r="A95" s="880">
        <v>2025</v>
      </c>
      <c r="B95" s="816" t="s">
        <v>222</v>
      </c>
      <c r="C95" s="816" t="s">
        <v>1173</v>
      </c>
      <c r="D95" s="816" t="s">
        <v>1282</v>
      </c>
      <c r="E95" s="816" t="s">
        <v>1283</v>
      </c>
      <c r="F95" s="816">
        <v>0</v>
      </c>
      <c r="G95" s="816">
        <v>0</v>
      </c>
      <c r="H95" s="826">
        <v>0</v>
      </c>
      <c r="I95" s="465"/>
      <c r="J95" s="826">
        <v>96788764.5</v>
      </c>
      <c r="K95" s="465">
        <v>190648.69</v>
      </c>
      <c r="L95" s="465">
        <v>100756683</v>
      </c>
      <c r="M95" s="465">
        <v>180360.73</v>
      </c>
      <c r="N95" s="465"/>
      <c r="O95" s="465"/>
      <c r="P95" s="826">
        <v>197545447.5</v>
      </c>
      <c r="Q95" s="881">
        <v>371009.42</v>
      </c>
      <c r="R95" s="889">
        <v>197545447.5</v>
      </c>
      <c r="S95" s="889">
        <v>371009.42</v>
      </c>
    </row>
    <row r="96" spans="1:19" ht="22.5" x14ac:dyDescent="0.25">
      <c r="A96" s="880">
        <v>2025</v>
      </c>
      <c r="B96" s="816" t="s">
        <v>222</v>
      </c>
      <c r="C96" s="816" t="s">
        <v>1184</v>
      </c>
      <c r="D96" s="816" t="s">
        <v>1184</v>
      </c>
      <c r="E96" s="816" t="s">
        <v>1284</v>
      </c>
      <c r="F96" s="816">
        <v>88496</v>
      </c>
      <c r="G96" s="816">
        <v>0</v>
      </c>
      <c r="H96" s="826">
        <v>643203920.63999999</v>
      </c>
      <c r="I96" s="465"/>
      <c r="J96" s="826"/>
      <c r="K96" s="826"/>
      <c r="L96" s="465"/>
      <c r="M96" s="465"/>
      <c r="N96" s="465"/>
      <c r="O96" s="465"/>
      <c r="P96" s="826">
        <v>643203920.63999999</v>
      </c>
      <c r="Q96" s="881">
        <v>0</v>
      </c>
      <c r="R96" s="889">
        <v>643292416.63999999</v>
      </c>
      <c r="S96" s="889">
        <v>0</v>
      </c>
    </row>
    <row r="97" spans="1:19" ht="22.5" x14ac:dyDescent="0.25">
      <c r="A97" s="880">
        <v>2025</v>
      </c>
      <c r="B97" s="816" t="s">
        <v>222</v>
      </c>
      <c r="C97" s="816" t="s">
        <v>1194</v>
      </c>
      <c r="D97" s="816" t="s">
        <v>1240</v>
      </c>
      <c r="E97" s="816" t="s">
        <v>1285</v>
      </c>
      <c r="F97" s="816">
        <v>37145</v>
      </c>
      <c r="G97" s="816">
        <v>102</v>
      </c>
      <c r="H97" s="826">
        <v>635974.06000000006</v>
      </c>
      <c r="I97" s="465">
        <v>1770.53</v>
      </c>
      <c r="J97" s="826"/>
      <c r="K97" s="826"/>
      <c r="L97" s="465"/>
      <c r="M97" s="465"/>
      <c r="N97" s="465"/>
      <c r="O97" s="465"/>
      <c r="P97" s="826">
        <v>635974.06000000006</v>
      </c>
      <c r="Q97" s="881">
        <v>1770.53</v>
      </c>
      <c r="R97" s="889">
        <v>673119.06</v>
      </c>
      <c r="S97" s="889">
        <v>1872.53</v>
      </c>
    </row>
    <row r="98" spans="1:19" ht="22.5" x14ac:dyDescent="0.25">
      <c r="A98" s="880">
        <v>2025</v>
      </c>
      <c r="B98" s="816" t="s">
        <v>222</v>
      </c>
      <c r="C98" s="816" t="s">
        <v>1200</v>
      </c>
      <c r="D98" s="816" t="s">
        <v>1224</v>
      </c>
      <c r="E98" s="816" t="s">
        <v>1286</v>
      </c>
      <c r="F98" s="816">
        <v>112565.4</v>
      </c>
      <c r="G98" s="816">
        <v>0</v>
      </c>
      <c r="H98" s="826">
        <v>18527.03</v>
      </c>
      <c r="I98" s="465">
        <v>53.04</v>
      </c>
      <c r="J98" s="826">
        <v>6680226.4400000004</v>
      </c>
      <c r="K98" s="465">
        <v>19103.080000000002</v>
      </c>
      <c r="L98" s="465"/>
      <c r="M98" s="465"/>
      <c r="N98" s="465"/>
      <c r="O98" s="465"/>
      <c r="P98" s="826">
        <v>6698753.4699999997</v>
      </c>
      <c r="Q98" s="881">
        <v>19156.12</v>
      </c>
      <c r="R98" s="889">
        <v>6811318.8700000001</v>
      </c>
      <c r="S98" s="889">
        <v>19156.12</v>
      </c>
    </row>
    <row r="99" spans="1:19" ht="33.75" x14ac:dyDescent="0.25">
      <c r="A99" s="880">
        <v>2025</v>
      </c>
      <c r="B99" s="816" t="s">
        <v>222</v>
      </c>
      <c r="C99" s="816" t="s">
        <v>1210</v>
      </c>
      <c r="D99" s="816" t="s">
        <v>1243</v>
      </c>
      <c r="E99" s="816" t="s">
        <v>1287</v>
      </c>
      <c r="F99" s="816">
        <v>333951</v>
      </c>
      <c r="G99" s="816">
        <v>0</v>
      </c>
      <c r="H99" s="826">
        <v>134063.72</v>
      </c>
      <c r="I99" s="465"/>
      <c r="J99" s="465">
        <v>2172201.75</v>
      </c>
      <c r="K99" s="465"/>
      <c r="L99" s="465"/>
      <c r="M99" s="465"/>
      <c r="N99" s="465"/>
      <c r="O99" s="465"/>
      <c r="P99" s="826">
        <v>2306265.4700000002</v>
      </c>
      <c r="Q99" s="881">
        <v>0</v>
      </c>
      <c r="R99" s="889">
        <v>2640216.4700000002</v>
      </c>
      <c r="S99" s="889">
        <v>0</v>
      </c>
    </row>
    <row r="100" spans="1:19" ht="22.5" x14ac:dyDescent="0.25">
      <c r="A100" s="880">
        <v>2025</v>
      </c>
      <c r="B100" s="816" t="s">
        <v>224</v>
      </c>
      <c r="C100" s="816" t="s">
        <v>1143</v>
      </c>
      <c r="D100" s="816" t="s">
        <v>1226</v>
      </c>
      <c r="E100" s="816" t="s">
        <v>1288</v>
      </c>
      <c r="F100" s="816">
        <v>94697.919999999998</v>
      </c>
      <c r="G100" s="816">
        <v>0</v>
      </c>
      <c r="H100" s="826">
        <v>40293979.25</v>
      </c>
      <c r="I100" s="826"/>
      <c r="J100" s="826">
        <v>256634.03</v>
      </c>
      <c r="K100" s="826"/>
      <c r="L100" s="826"/>
      <c r="M100" s="826"/>
      <c r="N100" s="826"/>
      <c r="O100" s="826"/>
      <c r="P100" s="826">
        <v>40550613.280000001</v>
      </c>
      <c r="Q100" s="881">
        <v>0</v>
      </c>
      <c r="R100" s="889">
        <v>40645311.200000003</v>
      </c>
      <c r="S100" s="889">
        <v>0</v>
      </c>
    </row>
    <row r="101" spans="1:19" ht="22.5" x14ac:dyDescent="0.25">
      <c r="A101" s="880">
        <v>2025</v>
      </c>
      <c r="B101" s="816" t="s">
        <v>224</v>
      </c>
      <c r="C101" s="816" t="s">
        <v>1155</v>
      </c>
      <c r="D101" s="816" t="s">
        <v>1228</v>
      </c>
      <c r="E101" s="816" t="s">
        <v>1289</v>
      </c>
      <c r="F101" s="816">
        <v>1014403.6</v>
      </c>
      <c r="G101" s="816">
        <v>2078.5700000000002</v>
      </c>
      <c r="H101" s="826">
        <v>14508397.380000001</v>
      </c>
      <c r="I101" s="465">
        <v>48488.58</v>
      </c>
      <c r="J101" s="826">
        <v>87247856.519999996</v>
      </c>
      <c r="K101" s="826">
        <v>211358.06</v>
      </c>
      <c r="L101" s="826">
        <v>2093776.2</v>
      </c>
      <c r="M101" s="826">
        <v>4296.57</v>
      </c>
      <c r="N101" s="826"/>
      <c r="O101" s="826"/>
      <c r="P101" s="826">
        <v>103850030.09999999</v>
      </c>
      <c r="Q101" s="881">
        <v>264143.21000000002</v>
      </c>
      <c r="R101" s="889">
        <v>104864433.69999999</v>
      </c>
      <c r="S101" s="889">
        <v>266221.78000000003</v>
      </c>
    </row>
    <row r="102" spans="1:19" ht="22.5" x14ac:dyDescent="0.25">
      <c r="A102" s="880">
        <v>2025</v>
      </c>
      <c r="B102" s="816" t="s">
        <v>224</v>
      </c>
      <c r="C102" s="816" t="s">
        <v>1184</v>
      </c>
      <c r="D102" s="816" t="s">
        <v>1184</v>
      </c>
      <c r="E102" s="816" t="s">
        <v>1290</v>
      </c>
      <c r="F102" s="816">
        <v>88496</v>
      </c>
      <c r="G102" s="816">
        <v>0</v>
      </c>
      <c r="H102" s="826">
        <v>135818260.94999999</v>
      </c>
      <c r="I102" s="465"/>
      <c r="J102" s="826"/>
      <c r="K102" s="826"/>
      <c r="L102" s="826"/>
      <c r="M102" s="826"/>
      <c r="N102" s="826"/>
      <c r="O102" s="826"/>
      <c r="P102" s="826">
        <v>135818260.94999999</v>
      </c>
      <c r="Q102" s="881">
        <v>0</v>
      </c>
      <c r="R102" s="889">
        <v>135906756.94999999</v>
      </c>
      <c r="S102" s="889">
        <v>0</v>
      </c>
    </row>
    <row r="103" spans="1:19" ht="22.5" x14ac:dyDescent="0.25">
      <c r="A103" s="880">
        <v>2025</v>
      </c>
      <c r="B103" s="816" t="s">
        <v>224</v>
      </c>
      <c r="C103" s="816" t="s">
        <v>1200</v>
      </c>
      <c r="D103" s="816" t="s">
        <v>1224</v>
      </c>
      <c r="E103" s="816" t="s">
        <v>1291</v>
      </c>
      <c r="F103" s="816">
        <v>112565.4</v>
      </c>
      <c r="G103" s="816">
        <v>0</v>
      </c>
      <c r="H103" s="826">
        <v>0</v>
      </c>
      <c r="I103" s="465"/>
      <c r="J103" s="465">
        <v>1158718.02</v>
      </c>
      <c r="K103" s="465">
        <v>3239.46</v>
      </c>
      <c r="L103" s="465"/>
      <c r="M103" s="465"/>
      <c r="N103" s="465"/>
      <c r="O103" s="465"/>
      <c r="P103" s="826">
        <v>1158718.02</v>
      </c>
      <c r="Q103" s="881">
        <v>3239.46</v>
      </c>
      <c r="R103" s="889">
        <v>1271283.42</v>
      </c>
      <c r="S103" s="889">
        <v>3239.46</v>
      </c>
    </row>
    <row r="104" spans="1:19" ht="33.75" x14ac:dyDescent="0.25">
      <c r="A104" s="880">
        <v>2025</v>
      </c>
      <c r="B104" s="816" t="s">
        <v>224</v>
      </c>
      <c r="C104" s="816" t="s">
        <v>1210</v>
      </c>
      <c r="D104" s="816" t="s">
        <v>1243</v>
      </c>
      <c r="E104" s="816" t="s">
        <v>1292</v>
      </c>
      <c r="F104" s="816">
        <v>333951</v>
      </c>
      <c r="G104" s="816">
        <v>0</v>
      </c>
      <c r="H104" s="826">
        <v>372950.41</v>
      </c>
      <c r="I104" s="826"/>
      <c r="J104" s="465"/>
      <c r="K104" s="465"/>
      <c r="L104" s="465"/>
      <c r="M104" s="465"/>
      <c r="N104" s="465"/>
      <c r="O104" s="465"/>
      <c r="P104" s="826">
        <v>372950.41</v>
      </c>
      <c r="Q104" s="881">
        <v>0</v>
      </c>
      <c r="R104" s="889">
        <v>706901.40999999992</v>
      </c>
      <c r="S104" s="889">
        <v>0</v>
      </c>
    </row>
    <row r="105" spans="1:19" ht="22.5" x14ac:dyDescent="0.25">
      <c r="A105" s="880">
        <v>2025</v>
      </c>
      <c r="B105" s="816" t="s">
        <v>227</v>
      </c>
      <c r="C105" s="816" t="s">
        <v>1140</v>
      </c>
      <c r="D105" s="816" t="s">
        <v>1293</v>
      </c>
      <c r="E105" s="816" t="s">
        <v>1294</v>
      </c>
      <c r="F105" s="816">
        <v>0</v>
      </c>
      <c r="G105" s="816">
        <v>0</v>
      </c>
      <c r="H105" s="826">
        <v>0</v>
      </c>
      <c r="I105" s="826"/>
      <c r="J105" s="826">
        <v>21147363.48</v>
      </c>
      <c r="K105" s="826">
        <v>44346.89</v>
      </c>
      <c r="L105" s="465"/>
      <c r="M105" s="465"/>
      <c r="N105" s="465"/>
      <c r="O105" s="465"/>
      <c r="P105" s="826">
        <v>21147363.48</v>
      </c>
      <c r="Q105" s="881">
        <v>44346.89</v>
      </c>
      <c r="R105" s="889">
        <v>21147363.48</v>
      </c>
      <c r="S105" s="889">
        <v>44346.89</v>
      </c>
    </row>
    <row r="106" spans="1:19" ht="33.75" x14ac:dyDescent="0.25">
      <c r="A106" s="880">
        <v>2025</v>
      </c>
      <c r="B106" s="816" t="s">
        <v>227</v>
      </c>
      <c r="C106" s="816" t="s">
        <v>1143</v>
      </c>
      <c r="D106" s="816" t="s">
        <v>1295</v>
      </c>
      <c r="E106" s="816" t="s">
        <v>1296</v>
      </c>
      <c r="F106" s="816">
        <v>2275949.54</v>
      </c>
      <c r="G106" s="816">
        <v>0</v>
      </c>
      <c r="H106" s="826">
        <v>11258482.710000001</v>
      </c>
      <c r="I106" s="465"/>
      <c r="J106" s="826">
        <v>0</v>
      </c>
      <c r="K106" s="465">
        <v>0</v>
      </c>
      <c r="L106" s="465"/>
      <c r="M106" s="465"/>
      <c r="N106" s="465"/>
      <c r="O106" s="465"/>
      <c r="P106" s="826">
        <v>11258482.710000001</v>
      </c>
      <c r="Q106" s="881">
        <v>0</v>
      </c>
      <c r="R106" s="889">
        <v>13534432.25</v>
      </c>
      <c r="S106" s="889">
        <v>0</v>
      </c>
    </row>
    <row r="107" spans="1:19" ht="22.5" x14ac:dyDescent="0.25">
      <c r="A107" s="880">
        <v>2025</v>
      </c>
      <c r="B107" s="816" t="s">
        <v>227</v>
      </c>
      <c r="C107" s="816" t="s">
        <v>1143</v>
      </c>
      <c r="D107" s="816" t="s">
        <v>1297</v>
      </c>
      <c r="E107" s="816" t="s">
        <v>1298</v>
      </c>
      <c r="F107" s="816">
        <v>19570515</v>
      </c>
      <c r="G107" s="816">
        <v>0</v>
      </c>
      <c r="H107" s="826">
        <v>43897895.229999997</v>
      </c>
      <c r="I107" s="465"/>
      <c r="J107" s="826">
        <v>0</v>
      </c>
      <c r="K107" s="465">
        <v>0</v>
      </c>
      <c r="L107" s="465"/>
      <c r="M107" s="465"/>
      <c r="N107" s="465"/>
      <c r="O107" s="465"/>
      <c r="P107" s="826">
        <v>43897895.229999997</v>
      </c>
      <c r="Q107" s="881">
        <v>0</v>
      </c>
      <c r="R107" s="889">
        <v>63468410.229999997</v>
      </c>
      <c r="S107" s="889">
        <v>0</v>
      </c>
    </row>
    <row r="108" spans="1:19" ht="22.5" x14ac:dyDescent="0.25">
      <c r="A108" s="880">
        <v>2025</v>
      </c>
      <c r="B108" s="816" t="s">
        <v>227</v>
      </c>
      <c r="C108" s="816" t="s">
        <v>1155</v>
      </c>
      <c r="D108" s="816" t="s">
        <v>1299</v>
      </c>
      <c r="E108" s="816" t="s">
        <v>1300</v>
      </c>
      <c r="F108" s="816">
        <v>7186290.25</v>
      </c>
      <c r="G108" s="816">
        <v>16702.71</v>
      </c>
      <c r="H108" s="826">
        <v>0</v>
      </c>
      <c r="I108" s="826"/>
      <c r="J108" s="826">
        <v>77807489.129999995</v>
      </c>
      <c r="K108" s="826">
        <v>169918.27</v>
      </c>
      <c r="L108" s="826"/>
      <c r="M108" s="826"/>
      <c r="N108" s="826"/>
      <c r="O108" s="826"/>
      <c r="P108" s="826">
        <v>77807489.129999995</v>
      </c>
      <c r="Q108" s="881">
        <v>169918.27</v>
      </c>
      <c r="R108" s="889">
        <v>84993779.379999995</v>
      </c>
      <c r="S108" s="889">
        <v>186620.97999999998</v>
      </c>
    </row>
    <row r="109" spans="1:19" ht="33.75" x14ac:dyDescent="0.25">
      <c r="A109" s="880">
        <v>2025</v>
      </c>
      <c r="B109" s="816" t="s">
        <v>227</v>
      </c>
      <c r="C109" s="816" t="s">
        <v>1155</v>
      </c>
      <c r="D109" s="816" t="s">
        <v>1301</v>
      </c>
      <c r="E109" s="816" t="s">
        <v>1302</v>
      </c>
      <c r="F109" s="816">
        <v>4383896.0999999996</v>
      </c>
      <c r="G109" s="816">
        <v>10565.47</v>
      </c>
      <c r="H109" s="826">
        <v>1854009.04</v>
      </c>
      <c r="I109" s="465">
        <v>5385.33</v>
      </c>
      <c r="J109" s="465">
        <v>11411205.449999999</v>
      </c>
      <c r="K109" s="465">
        <v>32463.45</v>
      </c>
      <c r="L109" s="465"/>
      <c r="M109" s="465"/>
      <c r="N109" s="465"/>
      <c r="O109" s="465"/>
      <c r="P109" s="826">
        <v>13265214.49</v>
      </c>
      <c r="Q109" s="881">
        <v>37848.78</v>
      </c>
      <c r="R109" s="889">
        <v>17649110.59</v>
      </c>
      <c r="S109" s="889">
        <v>48414.25</v>
      </c>
    </row>
    <row r="110" spans="1:19" ht="22.5" x14ac:dyDescent="0.25">
      <c r="A110" s="880">
        <v>2025</v>
      </c>
      <c r="B110" s="816" t="s">
        <v>227</v>
      </c>
      <c r="C110" s="816" t="s">
        <v>1155</v>
      </c>
      <c r="D110" s="816" t="s">
        <v>1303</v>
      </c>
      <c r="E110" s="816" t="s">
        <v>1304</v>
      </c>
      <c r="F110" s="816">
        <v>19832747.82</v>
      </c>
      <c r="G110" s="816">
        <v>62264.56</v>
      </c>
      <c r="H110" s="826">
        <v>7587839.3899999997</v>
      </c>
      <c r="I110" s="465">
        <v>30216.95</v>
      </c>
      <c r="J110" s="826">
        <v>46275587.130000003</v>
      </c>
      <c r="K110" s="826">
        <v>130003.274</v>
      </c>
      <c r="L110" s="465"/>
      <c r="M110" s="465"/>
      <c r="N110" s="465"/>
      <c r="O110" s="465"/>
      <c r="P110" s="826">
        <v>53863426.520000003</v>
      </c>
      <c r="Q110" s="881">
        <v>160220.22399999999</v>
      </c>
      <c r="R110" s="889">
        <v>73696174.340000004</v>
      </c>
      <c r="S110" s="889">
        <v>222484.78399999999</v>
      </c>
    </row>
    <row r="111" spans="1:19" ht="33.75" x14ac:dyDescent="0.25">
      <c r="A111" s="880">
        <v>2025</v>
      </c>
      <c r="B111" s="816" t="s">
        <v>227</v>
      </c>
      <c r="C111" s="816" t="s">
        <v>1155</v>
      </c>
      <c r="D111" s="816" t="s">
        <v>1305</v>
      </c>
      <c r="E111" s="816" t="s">
        <v>1306</v>
      </c>
      <c r="F111" s="816">
        <v>8701441.8399999999</v>
      </c>
      <c r="G111" s="816">
        <v>16429.32</v>
      </c>
      <c r="H111" s="826">
        <v>0</v>
      </c>
      <c r="I111" s="465"/>
      <c r="J111" s="465">
        <v>15969388.42</v>
      </c>
      <c r="K111" s="465">
        <v>41282.699999999997</v>
      </c>
      <c r="L111" s="465">
        <v>1484844.52</v>
      </c>
      <c r="M111" s="465">
        <v>15767.66</v>
      </c>
      <c r="N111" s="465"/>
      <c r="O111" s="465"/>
      <c r="P111" s="826">
        <v>17454232.940000001</v>
      </c>
      <c r="Q111" s="881">
        <v>57050.36</v>
      </c>
      <c r="R111" s="889">
        <v>26155674.780000001</v>
      </c>
      <c r="S111" s="889">
        <v>73479.679999999993</v>
      </c>
    </row>
    <row r="112" spans="1:19" ht="22.5" x14ac:dyDescent="0.25">
      <c r="A112" s="880">
        <v>2025</v>
      </c>
      <c r="B112" s="816" t="s">
        <v>227</v>
      </c>
      <c r="C112" s="816" t="s">
        <v>1173</v>
      </c>
      <c r="D112" s="816" t="s">
        <v>1307</v>
      </c>
      <c r="E112" s="816" t="s">
        <v>1308</v>
      </c>
      <c r="F112" s="816">
        <v>0</v>
      </c>
      <c r="G112" s="816">
        <v>0</v>
      </c>
      <c r="H112" s="826">
        <v>0</v>
      </c>
      <c r="I112" s="826"/>
      <c r="J112" s="826">
        <v>0</v>
      </c>
      <c r="K112" s="826">
        <v>0</v>
      </c>
      <c r="L112" s="465">
        <v>57159245.450000003</v>
      </c>
      <c r="M112" s="465">
        <v>176922.99</v>
      </c>
      <c r="N112" s="465"/>
      <c r="O112" s="465"/>
      <c r="P112" s="826">
        <v>57159245.450000003</v>
      </c>
      <c r="Q112" s="881">
        <v>176922.99</v>
      </c>
      <c r="R112" s="889">
        <v>57159245.450000003</v>
      </c>
      <c r="S112" s="889">
        <v>176922.99</v>
      </c>
    </row>
    <row r="113" spans="1:19" ht="22.5" x14ac:dyDescent="0.25">
      <c r="A113" s="880">
        <v>2025</v>
      </c>
      <c r="B113" s="816" t="s">
        <v>227</v>
      </c>
      <c r="C113" s="816" t="s">
        <v>1173</v>
      </c>
      <c r="D113" s="816" t="s">
        <v>1309</v>
      </c>
      <c r="E113" s="816" t="s">
        <v>8822</v>
      </c>
      <c r="F113" s="816">
        <v>0</v>
      </c>
      <c r="G113" s="816">
        <v>0</v>
      </c>
      <c r="H113" s="826">
        <v>0</v>
      </c>
      <c r="I113" s="826"/>
      <c r="J113" s="826">
        <v>95953405.469999999</v>
      </c>
      <c r="K113" s="826">
        <v>184856.17</v>
      </c>
      <c r="L113" s="465"/>
      <c r="M113" s="465"/>
      <c r="N113" s="465"/>
      <c r="O113" s="465"/>
      <c r="P113" s="826">
        <v>95953405.469999999</v>
      </c>
      <c r="Q113" s="881">
        <v>184856.17</v>
      </c>
      <c r="R113" s="889">
        <v>95953405.469999999</v>
      </c>
      <c r="S113" s="889">
        <v>184856.17</v>
      </c>
    </row>
    <row r="114" spans="1:19" ht="22.5" x14ac:dyDescent="0.25">
      <c r="A114" s="880">
        <v>2025</v>
      </c>
      <c r="B114" s="816" t="s">
        <v>227</v>
      </c>
      <c r="C114" s="816" t="s">
        <v>1184</v>
      </c>
      <c r="D114" s="816" t="s">
        <v>1310</v>
      </c>
      <c r="E114" s="816" t="s">
        <v>1311</v>
      </c>
      <c r="F114" s="816">
        <v>339999.1</v>
      </c>
      <c r="G114" s="816">
        <v>0</v>
      </c>
      <c r="H114" s="826">
        <v>26594003.890000001</v>
      </c>
      <c r="I114" s="826"/>
      <c r="J114" s="826">
        <v>0</v>
      </c>
      <c r="K114" s="826">
        <v>0</v>
      </c>
      <c r="L114" s="465"/>
      <c r="M114" s="465"/>
      <c r="N114" s="465"/>
      <c r="O114" s="465"/>
      <c r="P114" s="826">
        <v>26594003.890000001</v>
      </c>
      <c r="Q114" s="881">
        <v>0</v>
      </c>
      <c r="R114" s="889">
        <v>26934002.990000002</v>
      </c>
      <c r="S114" s="889">
        <v>0</v>
      </c>
    </row>
    <row r="115" spans="1:19" ht="22.5" x14ac:dyDescent="0.25">
      <c r="A115" s="880">
        <v>2025</v>
      </c>
      <c r="B115" s="816" t="s">
        <v>227</v>
      </c>
      <c r="C115" s="816" t="s">
        <v>1184</v>
      </c>
      <c r="D115" s="816" t="s">
        <v>1312</v>
      </c>
      <c r="E115" s="816" t="s">
        <v>1313</v>
      </c>
      <c r="F115" s="816">
        <v>5014203</v>
      </c>
      <c r="G115" s="816">
        <v>0</v>
      </c>
      <c r="H115" s="826">
        <v>156155420.30000001</v>
      </c>
      <c r="I115" s="826"/>
      <c r="J115" s="826">
        <v>0</v>
      </c>
      <c r="K115" s="826">
        <v>0</v>
      </c>
      <c r="L115" s="465"/>
      <c r="M115" s="465"/>
      <c r="N115" s="465"/>
      <c r="O115" s="465"/>
      <c r="P115" s="826">
        <v>156155420.30000001</v>
      </c>
      <c r="Q115" s="881">
        <v>0</v>
      </c>
      <c r="R115" s="889">
        <v>161169623.30000001</v>
      </c>
      <c r="S115" s="889">
        <v>0</v>
      </c>
    </row>
    <row r="116" spans="1:19" ht="22.5" x14ac:dyDescent="0.25">
      <c r="A116" s="880">
        <v>2025</v>
      </c>
      <c r="B116" s="816" t="s">
        <v>227</v>
      </c>
      <c r="C116" s="816" t="s">
        <v>1194</v>
      </c>
      <c r="D116" s="816" t="s">
        <v>1314</v>
      </c>
      <c r="E116" s="816" t="s">
        <v>1315</v>
      </c>
      <c r="F116" s="816">
        <v>0</v>
      </c>
      <c r="G116" s="816">
        <v>0</v>
      </c>
      <c r="H116" s="826">
        <v>1900.8</v>
      </c>
      <c r="I116" s="826">
        <v>5.28</v>
      </c>
      <c r="J116" s="826">
        <v>0</v>
      </c>
      <c r="K116" s="826">
        <v>0</v>
      </c>
      <c r="L116" s="465"/>
      <c r="M116" s="465"/>
      <c r="N116" s="465"/>
      <c r="O116" s="465"/>
      <c r="P116" s="826">
        <v>1900.8</v>
      </c>
      <c r="Q116" s="881">
        <v>5.28</v>
      </c>
      <c r="R116" s="889">
        <v>1900.8</v>
      </c>
      <c r="S116" s="889">
        <v>5.28</v>
      </c>
    </row>
    <row r="117" spans="1:19" ht="22.5" x14ac:dyDescent="0.25">
      <c r="A117" s="880">
        <v>2025</v>
      </c>
      <c r="B117" s="816" t="s">
        <v>227</v>
      </c>
      <c r="C117" s="816" t="s">
        <v>1194</v>
      </c>
      <c r="D117" s="816" t="s">
        <v>1316</v>
      </c>
      <c r="E117" s="816" t="s">
        <v>1317</v>
      </c>
      <c r="F117" s="816">
        <v>39360</v>
      </c>
      <c r="G117" s="816">
        <v>113</v>
      </c>
      <c r="H117" s="826">
        <v>189231.18</v>
      </c>
      <c r="I117" s="826"/>
      <c r="J117" s="826">
        <v>0</v>
      </c>
      <c r="K117" s="826">
        <v>0</v>
      </c>
      <c r="L117" s="465"/>
      <c r="M117" s="465"/>
      <c r="N117" s="465"/>
      <c r="O117" s="465"/>
      <c r="P117" s="826">
        <v>189231.18</v>
      </c>
      <c r="Q117" s="881">
        <v>0</v>
      </c>
      <c r="R117" s="889">
        <v>228591.18</v>
      </c>
      <c r="S117" s="889">
        <v>113</v>
      </c>
    </row>
    <row r="118" spans="1:19" ht="22.5" x14ac:dyDescent="0.25">
      <c r="A118" s="880">
        <v>2025</v>
      </c>
      <c r="B118" s="816" t="s">
        <v>227</v>
      </c>
      <c r="C118" s="816" t="s">
        <v>1200</v>
      </c>
      <c r="D118" s="816" t="s">
        <v>1318</v>
      </c>
      <c r="E118" s="816" t="s">
        <v>1319</v>
      </c>
      <c r="F118" s="816">
        <v>344412.46</v>
      </c>
      <c r="G118" s="816">
        <v>873.38</v>
      </c>
      <c r="H118" s="826">
        <v>70251.38</v>
      </c>
      <c r="I118" s="826">
        <v>7.8</v>
      </c>
      <c r="J118" s="826">
        <v>0</v>
      </c>
      <c r="K118" s="826">
        <v>0</v>
      </c>
      <c r="L118" s="826"/>
      <c r="M118" s="826"/>
      <c r="N118" s="826"/>
      <c r="O118" s="826"/>
      <c r="P118" s="826">
        <v>70251.38</v>
      </c>
      <c r="Q118" s="881">
        <v>7.8</v>
      </c>
      <c r="R118" s="889">
        <v>414663.84</v>
      </c>
      <c r="S118" s="889">
        <v>881.18</v>
      </c>
    </row>
    <row r="119" spans="1:19" ht="22.5" x14ac:dyDescent="0.25">
      <c r="A119" s="880">
        <v>2025</v>
      </c>
      <c r="B119" s="816" t="s">
        <v>227</v>
      </c>
      <c r="C119" s="816" t="s">
        <v>1200</v>
      </c>
      <c r="D119" s="816" t="s">
        <v>1320</v>
      </c>
      <c r="E119" s="816" t="s">
        <v>1321</v>
      </c>
      <c r="F119" s="816">
        <v>38781</v>
      </c>
      <c r="G119" s="816">
        <v>118</v>
      </c>
      <c r="H119" s="826">
        <v>745465.31</v>
      </c>
      <c r="I119" s="826">
        <v>2024.02</v>
      </c>
      <c r="J119" s="826">
        <v>879429.16</v>
      </c>
      <c r="K119" s="826">
        <v>2375.9299999999998</v>
      </c>
      <c r="L119" s="826"/>
      <c r="M119" s="826"/>
      <c r="N119" s="826"/>
      <c r="O119" s="826"/>
      <c r="P119" s="826">
        <v>1624894.47</v>
      </c>
      <c r="Q119" s="881">
        <v>4399.95</v>
      </c>
      <c r="R119" s="889">
        <v>1663675.47</v>
      </c>
      <c r="S119" s="889">
        <v>4517.95</v>
      </c>
    </row>
    <row r="120" spans="1:19" ht="33.75" x14ac:dyDescent="0.25">
      <c r="A120" s="880">
        <v>2025</v>
      </c>
      <c r="B120" s="816" t="s">
        <v>227</v>
      </c>
      <c r="C120" s="816" t="s">
        <v>1210</v>
      </c>
      <c r="D120" s="816" t="s">
        <v>1322</v>
      </c>
      <c r="E120" s="816" t="s">
        <v>1323</v>
      </c>
      <c r="F120" s="816">
        <v>0</v>
      </c>
      <c r="G120" s="816">
        <v>0</v>
      </c>
      <c r="H120" s="826">
        <v>83100</v>
      </c>
      <c r="I120" s="826"/>
      <c r="J120" s="826">
        <v>0</v>
      </c>
      <c r="K120" s="826">
        <v>0</v>
      </c>
      <c r="L120" s="465"/>
      <c r="M120" s="465"/>
      <c r="N120" s="465"/>
      <c r="O120" s="465"/>
      <c r="P120" s="826">
        <v>83100</v>
      </c>
      <c r="Q120" s="881">
        <v>0</v>
      </c>
      <c r="R120" s="889">
        <v>83100</v>
      </c>
      <c r="S120" s="889">
        <v>0</v>
      </c>
    </row>
    <row r="121" spans="1:19" ht="33.75" x14ac:dyDescent="0.25">
      <c r="A121" s="880">
        <v>2025</v>
      </c>
      <c r="B121" s="816" t="s">
        <v>227</v>
      </c>
      <c r="C121" s="816" t="s">
        <v>1210</v>
      </c>
      <c r="D121" s="816" t="s">
        <v>1324</v>
      </c>
      <c r="E121" s="816" t="s">
        <v>1325</v>
      </c>
      <c r="F121" s="816">
        <v>709857</v>
      </c>
      <c r="G121" s="816">
        <v>0</v>
      </c>
      <c r="H121" s="826">
        <v>325195.24</v>
      </c>
      <c r="I121" s="826"/>
      <c r="J121" s="826">
        <v>0</v>
      </c>
      <c r="K121" s="826">
        <v>0</v>
      </c>
      <c r="L121" s="465"/>
      <c r="M121" s="465"/>
      <c r="N121" s="465"/>
      <c r="O121" s="465"/>
      <c r="P121" s="826">
        <v>325195.24</v>
      </c>
      <c r="Q121" s="881">
        <v>0</v>
      </c>
      <c r="R121" s="889">
        <v>1035052.24</v>
      </c>
      <c r="S121" s="889">
        <v>0</v>
      </c>
    </row>
    <row r="122" spans="1:19" ht="22.5" x14ac:dyDescent="0.25">
      <c r="A122" s="880">
        <v>2025</v>
      </c>
      <c r="B122" s="816" t="s">
        <v>214</v>
      </c>
      <c r="C122" s="816" t="s">
        <v>1143</v>
      </c>
      <c r="D122" s="816" t="s">
        <v>8823</v>
      </c>
      <c r="E122" s="816" t="s">
        <v>1327</v>
      </c>
      <c r="F122" s="816">
        <v>46500332</v>
      </c>
      <c r="G122" s="816">
        <v>0</v>
      </c>
      <c r="H122" s="826">
        <v>247383972</v>
      </c>
      <c r="I122" s="826"/>
      <c r="J122" s="826">
        <v>319819</v>
      </c>
      <c r="K122" s="826"/>
      <c r="L122" s="465"/>
      <c r="M122" s="465"/>
      <c r="N122" s="465"/>
      <c r="O122" s="465"/>
      <c r="P122" s="826">
        <v>247703791</v>
      </c>
      <c r="Q122" s="881">
        <v>0</v>
      </c>
      <c r="R122" s="889">
        <v>294204123</v>
      </c>
      <c r="S122" s="889">
        <v>0</v>
      </c>
    </row>
    <row r="123" spans="1:19" ht="22.5" x14ac:dyDescent="0.25">
      <c r="A123" s="880">
        <v>2025</v>
      </c>
      <c r="B123" s="816" t="s">
        <v>214</v>
      </c>
      <c r="C123" s="816" t="s">
        <v>1143</v>
      </c>
      <c r="D123" s="816" t="s">
        <v>8824</v>
      </c>
      <c r="E123" s="816" t="s">
        <v>1329</v>
      </c>
      <c r="F123" s="816">
        <v>11659732</v>
      </c>
      <c r="G123" s="816">
        <v>0</v>
      </c>
      <c r="H123" s="826">
        <v>80281021</v>
      </c>
      <c r="I123" s="826"/>
      <c r="J123" s="826"/>
      <c r="K123" s="826"/>
      <c r="L123" s="465"/>
      <c r="M123" s="465"/>
      <c r="N123" s="465"/>
      <c r="O123" s="465"/>
      <c r="P123" s="826">
        <v>80281021</v>
      </c>
      <c r="Q123" s="881">
        <v>0</v>
      </c>
      <c r="R123" s="889">
        <v>91940753</v>
      </c>
      <c r="S123" s="889">
        <v>0</v>
      </c>
    </row>
    <row r="124" spans="1:19" ht="22.5" x14ac:dyDescent="0.25">
      <c r="A124" s="880">
        <v>2025</v>
      </c>
      <c r="B124" s="816" t="s">
        <v>214</v>
      </c>
      <c r="C124" s="816" t="s">
        <v>1155</v>
      </c>
      <c r="D124" s="816" t="s">
        <v>8825</v>
      </c>
      <c r="E124" s="816" t="s">
        <v>1331</v>
      </c>
      <c r="F124" s="816">
        <v>815352</v>
      </c>
      <c r="G124" s="816">
        <v>2786</v>
      </c>
      <c r="H124" s="826">
        <v>0</v>
      </c>
      <c r="I124" s="826"/>
      <c r="J124" s="826">
        <v>90680973</v>
      </c>
      <c r="K124" s="826">
        <v>207935</v>
      </c>
      <c r="L124" s="465"/>
      <c r="M124" s="465"/>
      <c r="N124" s="465"/>
      <c r="O124" s="465"/>
      <c r="P124" s="826">
        <v>90680973</v>
      </c>
      <c r="Q124" s="881">
        <v>207935</v>
      </c>
      <c r="R124" s="889">
        <v>91496325</v>
      </c>
      <c r="S124" s="889">
        <v>210721</v>
      </c>
    </row>
    <row r="125" spans="1:19" ht="22.5" x14ac:dyDescent="0.25">
      <c r="A125" s="880">
        <v>2025</v>
      </c>
      <c r="B125" s="816" t="s">
        <v>214</v>
      </c>
      <c r="C125" s="816" t="s">
        <v>1155</v>
      </c>
      <c r="D125" s="816" t="s">
        <v>8826</v>
      </c>
      <c r="E125" s="816" t="s">
        <v>1333</v>
      </c>
      <c r="F125" s="816">
        <v>108338780</v>
      </c>
      <c r="G125" s="816">
        <v>279295</v>
      </c>
      <c r="H125" s="826">
        <v>93100440</v>
      </c>
      <c r="I125" s="826">
        <v>228564</v>
      </c>
      <c r="J125" s="826">
        <v>714086769</v>
      </c>
      <c r="K125" s="826">
        <v>1624320</v>
      </c>
      <c r="L125" s="465">
        <v>32284456</v>
      </c>
      <c r="M125" s="465">
        <v>64299</v>
      </c>
      <c r="N125" s="465"/>
      <c r="O125" s="465"/>
      <c r="P125" s="826">
        <v>839471665</v>
      </c>
      <c r="Q125" s="881">
        <v>1917183</v>
      </c>
      <c r="R125" s="889">
        <v>947810445</v>
      </c>
      <c r="S125" s="889">
        <v>2196478</v>
      </c>
    </row>
    <row r="126" spans="1:19" ht="22.5" x14ac:dyDescent="0.25">
      <c r="A126" s="880">
        <v>2025</v>
      </c>
      <c r="B126" s="816" t="s">
        <v>214</v>
      </c>
      <c r="C126" s="816" t="s">
        <v>1155</v>
      </c>
      <c r="D126" s="816" t="s">
        <v>8827</v>
      </c>
      <c r="E126" s="816" t="s">
        <v>1335</v>
      </c>
      <c r="F126" s="816">
        <v>83641059</v>
      </c>
      <c r="G126" s="816">
        <v>198943</v>
      </c>
      <c r="H126" s="826">
        <v>41832034</v>
      </c>
      <c r="I126" s="826">
        <v>101322</v>
      </c>
      <c r="J126" s="826">
        <v>275650179</v>
      </c>
      <c r="K126" s="826">
        <v>626813</v>
      </c>
      <c r="L126" s="465">
        <v>3621558</v>
      </c>
      <c r="M126" s="465">
        <v>6633</v>
      </c>
      <c r="N126" s="465"/>
      <c r="O126" s="465"/>
      <c r="P126" s="826">
        <v>321103771</v>
      </c>
      <c r="Q126" s="881">
        <v>734768</v>
      </c>
      <c r="R126" s="889">
        <v>404744830</v>
      </c>
      <c r="S126" s="889">
        <v>933711</v>
      </c>
    </row>
    <row r="127" spans="1:19" ht="22.5" x14ac:dyDescent="0.25">
      <c r="A127" s="880">
        <v>2025</v>
      </c>
      <c r="B127" s="816" t="s">
        <v>214</v>
      </c>
      <c r="C127" s="816" t="s">
        <v>1173</v>
      </c>
      <c r="D127" s="816" t="s">
        <v>8828</v>
      </c>
      <c r="E127" s="816" t="s">
        <v>1337</v>
      </c>
      <c r="F127" s="816">
        <v>0</v>
      </c>
      <c r="G127" s="816">
        <v>0</v>
      </c>
      <c r="H127" s="826">
        <v>0</v>
      </c>
      <c r="I127" s="826"/>
      <c r="J127" s="826">
        <v>189106791</v>
      </c>
      <c r="K127" s="826">
        <v>313135</v>
      </c>
      <c r="L127" s="465">
        <v>131031148</v>
      </c>
      <c r="M127" s="465">
        <v>217483</v>
      </c>
      <c r="N127" s="465"/>
      <c r="O127" s="465"/>
      <c r="P127" s="826">
        <v>320137939</v>
      </c>
      <c r="Q127" s="881">
        <v>530618</v>
      </c>
      <c r="R127" s="889">
        <v>320137939</v>
      </c>
      <c r="S127" s="889">
        <v>530618</v>
      </c>
    </row>
    <row r="128" spans="1:19" ht="22.5" x14ac:dyDescent="0.25">
      <c r="A128" s="880">
        <v>2025</v>
      </c>
      <c r="B128" s="816" t="s">
        <v>214</v>
      </c>
      <c r="C128" s="816" t="s">
        <v>1184</v>
      </c>
      <c r="D128" s="816" t="s">
        <v>8829</v>
      </c>
      <c r="E128" s="816" t="s">
        <v>1339</v>
      </c>
      <c r="F128" s="816">
        <v>13556791</v>
      </c>
      <c r="G128" s="816">
        <v>0</v>
      </c>
      <c r="H128" s="826">
        <v>1017689339</v>
      </c>
      <c r="I128" s="826"/>
      <c r="J128" s="826"/>
      <c r="K128" s="826"/>
      <c r="L128" s="465"/>
      <c r="M128" s="465"/>
      <c r="N128" s="465"/>
      <c r="O128" s="465"/>
      <c r="P128" s="826">
        <v>1017689339</v>
      </c>
      <c r="Q128" s="881">
        <v>0</v>
      </c>
      <c r="R128" s="889">
        <v>1031246130</v>
      </c>
      <c r="S128" s="889">
        <v>0</v>
      </c>
    </row>
    <row r="129" spans="1:19" ht="22.5" x14ac:dyDescent="0.25">
      <c r="A129" s="880">
        <v>2025</v>
      </c>
      <c r="B129" s="816" t="s">
        <v>214</v>
      </c>
      <c r="C129" s="816" t="s">
        <v>1184</v>
      </c>
      <c r="D129" s="816" t="s">
        <v>8830</v>
      </c>
      <c r="E129" s="816" t="s">
        <v>1341</v>
      </c>
      <c r="F129" s="816">
        <v>2744552</v>
      </c>
      <c r="G129" s="816">
        <v>0</v>
      </c>
      <c r="H129" s="826">
        <v>407733565</v>
      </c>
      <c r="I129" s="465"/>
      <c r="J129" s="826"/>
      <c r="K129" s="465"/>
      <c r="L129" s="465"/>
      <c r="M129" s="465"/>
      <c r="N129" s="465"/>
      <c r="O129" s="465"/>
      <c r="P129" s="826">
        <v>407733565</v>
      </c>
      <c r="Q129" s="881">
        <v>0</v>
      </c>
      <c r="R129" s="889">
        <v>410478117</v>
      </c>
      <c r="S129" s="889">
        <v>0</v>
      </c>
    </row>
    <row r="130" spans="1:19" ht="22.5" x14ac:dyDescent="0.25">
      <c r="A130" s="880">
        <v>2025</v>
      </c>
      <c r="B130" s="816" t="s">
        <v>214</v>
      </c>
      <c r="C130" s="816" t="s">
        <v>1184</v>
      </c>
      <c r="D130" s="816" t="s">
        <v>8831</v>
      </c>
      <c r="E130" s="816" t="s">
        <v>1342</v>
      </c>
      <c r="F130" s="816">
        <v>23434</v>
      </c>
      <c r="G130" s="816">
        <v>0</v>
      </c>
      <c r="H130" s="826">
        <v>12230714</v>
      </c>
      <c r="I130" s="465"/>
      <c r="J130" s="465"/>
      <c r="K130" s="465"/>
      <c r="L130" s="465"/>
      <c r="M130" s="465"/>
      <c r="N130" s="465"/>
      <c r="O130" s="465"/>
      <c r="P130" s="826">
        <v>12230714</v>
      </c>
      <c r="Q130" s="881">
        <v>0</v>
      </c>
      <c r="R130" s="889">
        <v>12254148</v>
      </c>
      <c r="S130" s="889">
        <v>0</v>
      </c>
    </row>
    <row r="131" spans="1:19" ht="22.5" x14ac:dyDescent="0.25">
      <c r="A131" s="880">
        <v>2025</v>
      </c>
      <c r="B131" s="816" t="s">
        <v>214</v>
      </c>
      <c r="C131" s="816" t="s">
        <v>1194</v>
      </c>
      <c r="D131" s="816" t="s">
        <v>8832</v>
      </c>
      <c r="E131" s="816" t="s">
        <v>1344</v>
      </c>
      <c r="F131" s="816">
        <v>66254</v>
      </c>
      <c r="G131" s="816">
        <v>0</v>
      </c>
      <c r="H131" s="826">
        <v>150471</v>
      </c>
      <c r="I131" s="465">
        <v>602</v>
      </c>
      <c r="J131" s="826"/>
      <c r="K131" s="826"/>
      <c r="L131" s="465"/>
      <c r="M131" s="465"/>
      <c r="N131" s="465"/>
      <c r="O131" s="465"/>
      <c r="P131" s="826">
        <v>150471</v>
      </c>
      <c r="Q131" s="881">
        <v>602</v>
      </c>
      <c r="R131" s="889">
        <v>216725</v>
      </c>
      <c r="S131" s="889">
        <v>602</v>
      </c>
    </row>
    <row r="132" spans="1:19" ht="22.5" x14ac:dyDescent="0.25">
      <c r="A132" s="880">
        <v>2025</v>
      </c>
      <c r="B132" s="816" t="s">
        <v>214</v>
      </c>
      <c r="C132" s="816" t="s">
        <v>1194</v>
      </c>
      <c r="D132" s="816" t="s">
        <v>8833</v>
      </c>
      <c r="E132" s="816" t="s">
        <v>1346</v>
      </c>
      <c r="F132" s="816">
        <v>3076</v>
      </c>
      <c r="G132" s="816">
        <v>0</v>
      </c>
      <c r="H132" s="826">
        <v>0</v>
      </c>
      <c r="I132" s="826"/>
      <c r="J132" s="826">
        <v>29866</v>
      </c>
      <c r="K132" s="826">
        <v>83</v>
      </c>
      <c r="L132" s="826"/>
      <c r="M132" s="826"/>
      <c r="N132" s="826"/>
      <c r="O132" s="826"/>
      <c r="P132" s="826">
        <v>29866</v>
      </c>
      <c r="Q132" s="881">
        <v>83</v>
      </c>
      <c r="R132" s="889">
        <v>32942</v>
      </c>
      <c r="S132" s="889">
        <v>83</v>
      </c>
    </row>
    <row r="133" spans="1:19" ht="22.5" x14ac:dyDescent="0.25">
      <c r="A133" s="880">
        <v>2025</v>
      </c>
      <c r="B133" s="816" t="s">
        <v>214</v>
      </c>
      <c r="C133" s="816" t="s">
        <v>1200</v>
      </c>
      <c r="D133" s="816" t="s">
        <v>8834</v>
      </c>
      <c r="E133" s="816" t="s">
        <v>1348</v>
      </c>
      <c r="F133" s="816">
        <v>2861152</v>
      </c>
      <c r="G133" s="816">
        <v>7973</v>
      </c>
      <c r="H133" s="826">
        <v>0</v>
      </c>
      <c r="I133" s="826"/>
      <c r="J133" s="826">
        <v>8721396</v>
      </c>
      <c r="K133" s="826">
        <v>24196</v>
      </c>
      <c r="L133" s="826"/>
      <c r="M133" s="826"/>
      <c r="N133" s="826"/>
      <c r="O133" s="826"/>
      <c r="P133" s="826">
        <v>8721396</v>
      </c>
      <c r="Q133" s="881">
        <v>24196</v>
      </c>
      <c r="R133" s="889">
        <v>11582548</v>
      </c>
      <c r="S133" s="889">
        <v>32169</v>
      </c>
    </row>
    <row r="134" spans="1:19" ht="22.5" x14ac:dyDescent="0.25">
      <c r="A134" s="880">
        <v>2025</v>
      </c>
      <c r="B134" s="816" t="s">
        <v>214</v>
      </c>
      <c r="C134" s="816" t="s">
        <v>1200</v>
      </c>
      <c r="D134" s="816" t="s">
        <v>8835</v>
      </c>
      <c r="E134" s="816" t="s">
        <v>1350</v>
      </c>
      <c r="F134" s="816">
        <v>0</v>
      </c>
      <c r="G134" s="816">
        <v>0</v>
      </c>
      <c r="H134" s="826">
        <v>0</v>
      </c>
      <c r="I134" s="465"/>
      <c r="J134" s="826">
        <v>3476466</v>
      </c>
      <c r="K134" s="826">
        <v>9823</v>
      </c>
      <c r="L134" s="465"/>
      <c r="M134" s="465"/>
      <c r="N134" s="465"/>
      <c r="O134" s="465"/>
      <c r="P134" s="826">
        <v>3476466</v>
      </c>
      <c r="Q134" s="881">
        <v>9823</v>
      </c>
      <c r="R134" s="889">
        <v>3476466</v>
      </c>
      <c r="S134" s="889">
        <v>9823</v>
      </c>
    </row>
    <row r="135" spans="1:19" ht="33.75" x14ac:dyDescent="0.25">
      <c r="A135" s="880">
        <v>2025</v>
      </c>
      <c r="B135" s="816" t="s">
        <v>214</v>
      </c>
      <c r="C135" s="816" t="s">
        <v>1210</v>
      </c>
      <c r="D135" s="816" t="s">
        <v>8836</v>
      </c>
      <c r="E135" s="816" t="s">
        <v>1352</v>
      </c>
      <c r="F135" s="816">
        <v>226032</v>
      </c>
      <c r="G135" s="816">
        <v>0</v>
      </c>
      <c r="H135" s="826">
        <v>4316057</v>
      </c>
      <c r="I135" s="465"/>
      <c r="J135" s="465"/>
      <c r="K135" s="465"/>
      <c r="L135" s="465"/>
      <c r="M135" s="465"/>
      <c r="N135" s="465"/>
      <c r="O135" s="465"/>
      <c r="P135" s="826">
        <v>4316057</v>
      </c>
      <c r="Q135" s="881">
        <v>0</v>
      </c>
      <c r="R135" s="889">
        <v>4542089</v>
      </c>
      <c r="S135" s="889">
        <v>0</v>
      </c>
    </row>
    <row r="136" spans="1:19" ht="33.75" x14ac:dyDescent="0.25">
      <c r="A136" s="880">
        <v>2025</v>
      </c>
      <c r="B136" s="816" t="s">
        <v>214</v>
      </c>
      <c r="C136" s="816" t="s">
        <v>1210</v>
      </c>
      <c r="D136" s="816" t="s">
        <v>8837</v>
      </c>
      <c r="E136" s="816" t="s">
        <v>1354</v>
      </c>
      <c r="F136" s="816">
        <v>0</v>
      </c>
      <c r="G136" s="816">
        <v>0</v>
      </c>
      <c r="H136" s="826">
        <v>1872670</v>
      </c>
      <c r="I136" s="465"/>
      <c r="J136" s="465"/>
      <c r="K136" s="465"/>
      <c r="L136" s="465"/>
      <c r="M136" s="465"/>
      <c r="N136" s="465"/>
      <c r="O136" s="465"/>
      <c r="P136" s="826">
        <v>1872670</v>
      </c>
      <c r="Q136" s="881">
        <v>0</v>
      </c>
      <c r="R136" s="889">
        <v>1872670</v>
      </c>
      <c r="S136" s="889">
        <v>0</v>
      </c>
    </row>
    <row r="137" spans="1:19" ht="22.5" x14ac:dyDescent="0.25">
      <c r="A137" s="880">
        <v>2025</v>
      </c>
      <c r="B137" s="816" t="s">
        <v>217</v>
      </c>
      <c r="C137" s="816" t="s">
        <v>1140</v>
      </c>
      <c r="D137" s="816" t="s">
        <v>8838</v>
      </c>
      <c r="E137" s="816" t="s">
        <v>8839</v>
      </c>
      <c r="F137" s="816">
        <v>0</v>
      </c>
      <c r="G137" s="816">
        <v>0</v>
      </c>
      <c r="H137" s="826">
        <v>0</v>
      </c>
      <c r="I137" s="465">
        <v>0</v>
      </c>
      <c r="J137" s="465">
        <v>0</v>
      </c>
      <c r="K137" s="465">
        <v>0</v>
      </c>
      <c r="L137" s="465">
        <v>22360256.489999998</v>
      </c>
      <c r="M137" s="465">
        <v>51810.370999999999</v>
      </c>
      <c r="N137" s="465"/>
      <c r="O137" s="465"/>
      <c r="P137" s="826">
        <v>22360256.489999998</v>
      </c>
      <c r="Q137" s="881">
        <v>51810.370999999999</v>
      </c>
      <c r="R137" s="889">
        <v>22360256.489999998</v>
      </c>
      <c r="S137" s="889">
        <v>51810.370999999999</v>
      </c>
    </row>
    <row r="138" spans="1:19" ht="22.5" x14ac:dyDescent="0.25">
      <c r="A138" s="880">
        <v>2025</v>
      </c>
      <c r="B138" s="816" t="s">
        <v>217</v>
      </c>
      <c r="C138" s="816" t="s">
        <v>1140</v>
      </c>
      <c r="D138" s="816" t="s">
        <v>8840</v>
      </c>
      <c r="E138" s="816" t="s">
        <v>1357</v>
      </c>
      <c r="F138" s="816">
        <v>0</v>
      </c>
      <c r="G138" s="816">
        <v>0</v>
      </c>
      <c r="H138" s="826">
        <v>0</v>
      </c>
      <c r="I138" s="826">
        <v>0</v>
      </c>
      <c r="J138" s="465">
        <v>48071937.200000003</v>
      </c>
      <c r="K138" s="465">
        <v>99096.782399999996</v>
      </c>
      <c r="L138" s="465">
        <v>0</v>
      </c>
      <c r="M138" s="465">
        <v>0</v>
      </c>
      <c r="N138" s="465"/>
      <c r="O138" s="465"/>
      <c r="P138" s="826">
        <v>48071937.200000003</v>
      </c>
      <c r="Q138" s="881">
        <v>99096.782399999996</v>
      </c>
      <c r="R138" s="889">
        <v>48071937.200000003</v>
      </c>
      <c r="S138" s="889">
        <v>99096.782399999996</v>
      </c>
    </row>
    <row r="139" spans="1:19" ht="33.75" x14ac:dyDescent="0.25">
      <c r="A139" s="880">
        <v>2025</v>
      </c>
      <c r="B139" s="816" t="s">
        <v>217</v>
      </c>
      <c r="C139" s="816" t="s">
        <v>1143</v>
      </c>
      <c r="D139" s="816" t="s">
        <v>8841</v>
      </c>
      <c r="E139" s="816" t="s">
        <v>8842</v>
      </c>
      <c r="F139" s="816">
        <v>27327820.300000001</v>
      </c>
      <c r="G139" s="816">
        <v>0</v>
      </c>
      <c r="H139" s="826">
        <v>204970399.5</v>
      </c>
      <c r="I139" s="826">
        <v>0</v>
      </c>
      <c r="J139" s="465">
        <v>0</v>
      </c>
      <c r="K139" s="465">
        <v>0</v>
      </c>
      <c r="L139" s="465">
        <v>0</v>
      </c>
      <c r="M139" s="465">
        <v>0</v>
      </c>
      <c r="N139" s="465"/>
      <c r="O139" s="465"/>
      <c r="P139" s="826">
        <v>204970399.5</v>
      </c>
      <c r="Q139" s="881">
        <v>0</v>
      </c>
      <c r="R139" s="889">
        <v>232298219.80000001</v>
      </c>
      <c r="S139" s="889">
        <v>0</v>
      </c>
    </row>
    <row r="140" spans="1:19" ht="33.75" x14ac:dyDescent="0.25">
      <c r="A140" s="880">
        <v>2025</v>
      </c>
      <c r="B140" s="816" t="s">
        <v>217</v>
      </c>
      <c r="C140" s="816" t="s">
        <v>1143</v>
      </c>
      <c r="D140" s="816" t="s">
        <v>8843</v>
      </c>
      <c r="E140" s="816" t="s">
        <v>8844</v>
      </c>
      <c r="F140" s="816">
        <v>33568154.890000001</v>
      </c>
      <c r="G140" s="816">
        <v>0</v>
      </c>
      <c r="H140" s="826">
        <v>184210685.40000001</v>
      </c>
      <c r="I140" s="465">
        <v>0</v>
      </c>
      <c r="J140" s="826">
        <v>536743.01859999995</v>
      </c>
      <c r="K140" s="826">
        <v>0</v>
      </c>
      <c r="L140" s="465">
        <v>0</v>
      </c>
      <c r="M140" s="465">
        <v>0</v>
      </c>
      <c r="N140" s="465"/>
      <c r="O140" s="465"/>
      <c r="P140" s="826">
        <v>184747428.41859999</v>
      </c>
      <c r="Q140" s="881">
        <v>0</v>
      </c>
      <c r="R140" s="889">
        <v>218315583.30860001</v>
      </c>
      <c r="S140" s="889">
        <v>0</v>
      </c>
    </row>
    <row r="141" spans="1:19" ht="33.75" x14ac:dyDescent="0.25">
      <c r="A141" s="880">
        <v>2025</v>
      </c>
      <c r="B141" s="816" t="s">
        <v>217</v>
      </c>
      <c r="C141" s="816" t="s">
        <v>1155</v>
      </c>
      <c r="D141" s="816" t="s">
        <v>8845</v>
      </c>
      <c r="E141" s="816" t="s">
        <v>8846</v>
      </c>
      <c r="F141" s="816">
        <v>107362935.8</v>
      </c>
      <c r="G141" s="816">
        <v>304091.54869999998</v>
      </c>
      <c r="H141" s="826">
        <v>131542840.8</v>
      </c>
      <c r="I141" s="465">
        <v>343915.62079999998</v>
      </c>
      <c r="J141" s="826">
        <v>607896366.89999998</v>
      </c>
      <c r="K141" s="826">
        <v>1548037.3119999999</v>
      </c>
      <c r="L141" s="465">
        <v>13201626.439999999</v>
      </c>
      <c r="M141" s="465">
        <v>26248.423299999999</v>
      </c>
      <c r="N141" s="465"/>
      <c r="O141" s="465"/>
      <c r="P141" s="826">
        <v>752640834.13999999</v>
      </c>
      <c r="Q141" s="881">
        <v>1918201.3561</v>
      </c>
      <c r="R141" s="889">
        <v>860003769.93999994</v>
      </c>
      <c r="S141" s="889">
        <v>2222292.9048000001</v>
      </c>
    </row>
    <row r="142" spans="1:19" ht="33.75" x14ac:dyDescent="0.25">
      <c r="A142" s="880">
        <v>2025</v>
      </c>
      <c r="B142" s="816" t="s">
        <v>217</v>
      </c>
      <c r="C142" s="816" t="s">
        <v>1155</v>
      </c>
      <c r="D142" s="816" t="s">
        <v>8847</v>
      </c>
      <c r="E142" s="816" t="s">
        <v>8848</v>
      </c>
      <c r="F142" s="816">
        <v>89574158.810000002</v>
      </c>
      <c r="G142" s="816">
        <v>265938.58750000002</v>
      </c>
      <c r="H142" s="826">
        <v>84162888.950000003</v>
      </c>
      <c r="I142" s="826">
        <v>211250.97150000001</v>
      </c>
      <c r="J142" s="465">
        <v>482499136.69999999</v>
      </c>
      <c r="K142" s="465">
        <v>1244021.3019999999</v>
      </c>
      <c r="L142" s="465">
        <v>7672727.4900000002</v>
      </c>
      <c r="M142" s="465">
        <v>17063.684000000001</v>
      </c>
      <c r="N142" s="465"/>
      <c r="O142" s="465"/>
      <c r="P142" s="826">
        <v>574334753.13999999</v>
      </c>
      <c r="Q142" s="881">
        <v>1472335.9575</v>
      </c>
      <c r="R142" s="889">
        <v>663908911.95000005</v>
      </c>
      <c r="S142" s="889">
        <v>1738274.5449999999</v>
      </c>
    </row>
    <row r="143" spans="1:19" ht="22.5" x14ac:dyDescent="0.25">
      <c r="A143" s="880">
        <v>2025</v>
      </c>
      <c r="B143" s="816" t="s">
        <v>217</v>
      </c>
      <c r="C143" s="816" t="s">
        <v>1173</v>
      </c>
      <c r="D143" s="816" t="s">
        <v>8849</v>
      </c>
      <c r="E143" s="816" t="s">
        <v>1363</v>
      </c>
      <c r="F143" s="816">
        <v>0</v>
      </c>
      <c r="G143" s="816">
        <v>0</v>
      </c>
      <c r="H143" s="826">
        <v>0</v>
      </c>
      <c r="I143" s="465">
        <v>0</v>
      </c>
      <c r="J143" s="465">
        <v>0</v>
      </c>
      <c r="K143" s="465">
        <v>0</v>
      </c>
      <c r="L143" s="465">
        <v>0</v>
      </c>
      <c r="M143" s="465">
        <v>0</v>
      </c>
      <c r="N143" s="465"/>
      <c r="O143" s="465"/>
      <c r="P143" s="826">
        <v>0</v>
      </c>
      <c r="Q143" s="881">
        <v>0</v>
      </c>
      <c r="R143" s="889">
        <v>0</v>
      </c>
      <c r="S143" s="889">
        <v>0</v>
      </c>
    </row>
    <row r="144" spans="1:19" ht="22.5" x14ac:dyDescent="0.25">
      <c r="A144" s="880">
        <v>2025</v>
      </c>
      <c r="B144" s="816" t="s">
        <v>217</v>
      </c>
      <c r="C144" s="816" t="s">
        <v>1173</v>
      </c>
      <c r="D144" s="816" t="s">
        <v>8850</v>
      </c>
      <c r="E144" s="816" t="s">
        <v>1365</v>
      </c>
      <c r="F144" s="816">
        <v>0</v>
      </c>
      <c r="G144" s="816">
        <v>0</v>
      </c>
      <c r="H144" s="826">
        <v>0</v>
      </c>
      <c r="I144" s="826">
        <v>0</v>
      </c>
      <c r="J144" s="826">
        <v>94627237.680000007</v>
      </c>
      <c r="K144" s="826">
        <v>167512.91039999999</v>
      </c>
      <c r="L144" s="826">
        <v>0</v>
      </c>
      <c r="M144" s="826">
        <v>0</v>
      </c>
      <c r="N144" s="826"/>
      <c r="O144" s="826"/>
      <c r="P144" s="826">
        <v>94627237.680000007</v>
      </c>
      <c r="Q144" s="881">
        <v>167512.91039999999</v>
      </c>
      <c r="R144" s="889">
        <v>94627237.680000007</v>
      </c>
      <c r="S144" s="889">
        <v>167512.91039999999</v>
      </c>
    </row>
    <row r="145" spans="1:19" ht="22.5" x14ac:dyDescent="0.25">
      <c r="A145" s="880">
        <v>2025</v>
      </c>
      <c r="B145" s="816" t="s">
        <v>217</v>
      </c>
      <c r="C145" s="816" t="s">
        <v>1184</v>
      </c>
      <c r="D145" s="816" t="s">
        <v>8851</v>
      </c>
      <c r="E145" s="816" t="s">
        <v>1367</v>
      </c>
      <c r="F145" s="816">
        <v>5379379.6109999996</v>
      </c>
      <c r="G145" s="816">
        <v>0</v>
      </c>
      <c r="H145" s="826">
        <v>730914202.5</v>
      </c>
      <c r="I145" s="826">
        <v>0</v>
      </c>
      <c r="J145" s="826">
        <v>0</v>
      </c>
      <c r="K145" s="826">
        <v>0</v>
      </c>
      <c r="L145" s="826">
        <v>0</v>
      </c>
      <c r="M145" s="826">
        <v>0</v>
      </c>
      <c r="N145" s="826"/>
      <c r="O145" s="826"/>
      <c r="P145" s="826">
        <v>730914202.5</v>
      </c>
      <c r="Q145" s="881">
        <v>0</v>
      </c>
      <c r="R145" s="889">
        <v>736293582.11099994</v>
      </c>
      <c r="S145" s="889">
        <v>0</v>
      </c>
    </row>
    <row r="146" spans="1:19" ht="22.5" x14ac:dyDescent="0.25">
      <c r="A146" s="880">
        <v>2025</v>
      </c>
      <c r="B146" s="816" t="s">
        <v>217</v>
      </c>
      <c r="C146" s="816" t="s">
        <v>1184</v>
      </c>
      <c r="D146" s="816" t="s">
        <v>8852</v>
      </c>
      <c r="E146" s="816" t="s">
        <v>1369</v>
      </c>
      <c r="F146" s="816">
        <v>3723077.0830000001</v>
      </c>
      <c r="G146" s="816">
        <v>0</v>
      </c>
      <c r="H146" s="826">
        <v>438128325.30000001</v>
      </c>
      <c r="I146" s="826">
        <v>0</v>
      </c>
      <c r="J146" s="826">
        <v>0</v>
      </c>
      <c r="K146" s="826">
        <v>0</v>
      </c>
      <c r="L146" s="826">
        <v>0</v>
      </c>
      <c r="M146" s="826">
        <v>0</v>
      </c>
      <c r="N146" s="826"/>
      <c r="O146" s="826"/>
      <c r="P146" s="826">
        <v>438128325.30000001</v>
      </c>
      <c r="Q146" s="881">
        <v>0</v>
      </c>
      <c r="R146" s="889">
        <v>441851402.38300002</v>
      </c>
      <c r="S146" s="889">
        <v>0</v>
      </c>
    </row>
    <row r="147" spans="1:19" ht="22.5" x14ac:dyDescent="0.25">
      <c r="A147" s="880">
        <v>2025</v>
      </c>
      <c r="B147" s="816" t="s">
        <v>217</v>
      </c>
      <c r="C147" s="816" t="s">
        <v>1200</v>
      </c>
      <c r="D147" s="816" t="s">
        <v>8853</v>
      </c>
      <c r="E147" s="816" t="s">
        <v>1371</v>
      </c>
      <c r="F147" s="816">
        <v>0</v>
      </c>
      <c r="G147" s="816">
        <v>0</v>
      </c>
      <c r="H147" s="826">
        <v>488881.76799999998</v>
      </c>
      <c r="I147" s="826">
        <v>1355.796</v>
      </c>
      <c r="J147" s="826">
        <v>6774303.1880000001</v>
      </c>
      <c r="K147" s="826">
        <v>18783.403999999999</v>
      </c>
      <c r="L147" s="826">
        <v>0</v>
      </c>
      <c r="M147" s="826">
        <v>0</v>
      </c>
      <c r="N147" s="826"/>
      <c r="O147" s="826"/>
      <c r="P147" s="826">
        <v>7263184.9560000002</v>
      </c>
      <c r="Q147" s="881">
        <v>20139.2</v>
      </c>
      <c r="R147" s="889">
        <v>7263184.9560000002</v>
      </c>
      <c r="S147" s="889">
        <v>20139.2</v>
      </c>
    </row>
    <row r="148" spans="1:19" ht="22.5" x14ac:dyDescent="0.25">
      <c r="A148" s="880">
        <v>2025</v>
      </c>
      <c r="B148" s="816" t="s">
        <v>217</v>
      </c>
      <c r="C148" s="816" t="s">
        <v>1200</v>
      </c>
      <c r="D148" s="816" t="s">
        <v>8854</v>
      </c>
      <c r="E148" s="816" t="s">
        <v>1373</v>
      </c>
      <c r="F148" s="816">
        <v>0</v>
      </c>
      <c r="G148" s="816">
        <v>0</v>
      </c>
      <c r="H148" s="826">
        <v>0</v>
      </c>
      <c r="I148" s="826">
        <v>0</v>
      </c>
      <c r="J148" s="826">
        <v>3553407.93</v>
      </c>
      <c r="K148" s="826">
        <v>9947.33</v>
      </c>
      <c r="L148" s="826">
        <v>0</v>
      </c>
      <c r="M148" s="826">
        <v>0</v>
      </c>
      <c r="N148" s="826"/>
      <c r="O148" s="826"/>
      <c r="P148" s="826">
        <v>3553407.93</v>
      </c>
      <c r="Q148" s="881">
        <v>9947.33</v>
      </c>
      <c r="R148" s="889">
        <v>3553407.93</v>
      </c>
      <c r="S148" s="889">
        <v>9947.33</v>
      </c>
    </row>
    <row r="149" spans="1:19" ht="33.75" x14ac:dyDescent="0.25">
      <c r="A149" s="880">
        <v>2025</v>
      </c>
      <c r="B149" s="816" t="s">
        <v>217</v>
      </c>
      <c r="C149" s="816" t="s">
        <v>1210</v>
      </c>
      <c r="D149" s="816" t="s">
        <v>8855</v>
      </c>
      <c r="E149" s="816" t="s">
        <v>1375</v>
      </c>
      <c r="F149" s="816">
        <v>0</v>
      </c>
      <c r="G149" s="816">
        <v>0</v>
      </c>
      <c r="H149" s="826">
        <v>3984876.24</v>
      </c>
      <c r="I149" s="826">
        <v>0</v>
      </c>
      <c r="J149" s="826">
        <v>0</v>
      </c>
      <c r="K149" s="826">
        <v>0</v>
      </c>
      <c r="L149" s="826">
        <v>0</v>
      </c>
      <c r="M149" s="826">
        <v>0</v>
      </c>
      <c r="N149" s="826"/>
      <c r="O149" s="826"/>
      <c r="P149" s="826">
        <v>3984876.24</v>
      </c>
      <c r="Q149" s="881">
        <v>0</v>
      </c>
      <c r="R149" s="889">
        <v>3984876.24</v>
      </c>
      <c r="S149" s="889">
        <v>0</v>
      </c>
    </row>
    <row r="150" spans="1:19" ht="33.75" x14ac:dyDescent="0.25">
      <c r="A150" s="880">
        <v>2025</v>
      </c>
      <c r="B150" s="816" t="s">
        <v>217</v>
      </c>
      <c r="C150" s="816" t="s">
        <v>1210</v>
      </c>
      <c r="D150" s="816" t="s">
        <v>8856</v>
      </c>
      <c r="E150" s="816" t="s">
        <v>1377</v>
      </c>
      <c r="F150" s="816">
        <v>0</v>
      </c>
      <c r="G150" s="816">
        <v>0</v>
      </c>
      <c r="H150" s="826">
        <v>3527315.8620000002</v>
      </c>
      <c r="I150" s="826">
        <v>0</v>
      </c>
      <c r="J150" s="826">
        <v>0</v>
      </c>
      <c r="K150" s="826">
        <v>0</v>
      </c>
      <c r="L150" s="826">
        <v>0</v>
      </c>
      <c r="M150" s="826">
        <v>0</v>
      </c>
      <c r="N150" s="826"/>
      <c r="O150" s="826"/>
      <c r="P150" s="826">
        <v>3527315.8620000002</v>
      </c>
      <c r="Q150" s="881">
        <v>0</v>
      </c>
      <c r="R150" s="889">
        <v>3527315.8620000002</v>
      </c>
      <c r="S150" s="889">
        <v>0</v>
      </c>
    </row>
    <row r="151" spans="1:19" ht="22.5" x14ac:dyDescent="0.25">
      <c r="A151" s="880">
        <v>2025</v>
      </c>
      <c r="B151" s="816" t="s">
        <v>220</v>
      </c>
      <c r="C151" s="816" t="s">
        <v>1140</v>
      </c>
      <c r="D151" s="816" t="s">
        <v>1293</v>
      </c>
      <c r="E151" s="816" t="s">
        <v>1378</v>
      </c>
      <c r="F151" s="816">
        <v>0</v>
      </c>
      <c r="G151" s="816">
        <v>0</v>
      </c>
      <c r="H151" s="826">
        <v>0</v>
      </c>
      <c r="I151" s="826"/>
      <c r="J151" s="826">
        <v>0.01</v>
      </c>
      <c r="K151" s="826">
        <v>0.01</v>
      </c>
      <c r="L151" s="826"/>
      <c r="M151" s="826"/>
      <c r="N151" s="826"/>
      <c r="O151" s="826"/>
      <c r="P151" s="826">
        <v>0.01</v>
      </c>
      <c r="Q151" s="881">
        <v>0.01</v>
      </c>
      <c r="R151" s="889">
        <v>0.01</v>
      </c>
      <c r="S151" s="889">
        <v>0.01</v>
      </c>
    </row>
    <row r="152" spans="1:19" ht="33.75" x14ac:dyDescent="0.25">
      <c r="A152" s="880">
        <v>2025</v>
      </c>
      <c r="B152" s="816" t="s">
        <v>220</v>
      </c>
      <c r="C152" s="816" t="s">
        <v>1143</v>
      </c>
      <c r="D152" s="816" t="s">
        <v>1297</v>
      </c>
      <c r="E152" s="816" t="s">
        <v>1379</v>
      </c>
      <c r="F152" s="816">
        <v>19570515</v>
      </c>
      <c r="G152" s="816">
        <v>0</v>
      </c>
      <c r="H152" s="826">
        <v>100171609</v>
      </c>
      <c r="I152" s="826"/>
      <c r="J152" s="826"/>
      <c r="K152" s="826"/>
      <c r="L152" s="826"/>
      <c r="M152" s="826"/>
      <c r="N152" s="826"/>
      <c r="O152" s="826"/>
      <c r="P152" s="826">
        <v>100171609</v>
      </c>
      <c r="Q152" s="881">
        <v>0</v>
      </c>
      <c r="R152" s="889">
        <v>119742124</v>
      </c>
      <c r="S152" s="889">
        <v>0</v>
      </c>
    </row>
    <row r="153" spans="1:19" ht="33.75" x14ac:dyDescent="0.25">
      <c r="A153" s="880">
        <v>2025</v>
      </c>
      <c r="B153" s="816" t="s">
        <v>220</v>
      </c>
      <c r="C153" s="816" t="s">
        <v>1143</v>
      </c>
      <c r="D153" s="816" t="s">
        <v>1380</v>
      </c>
      <c r="E153" s="816" t="s">
        <v>1381</v>
      </c>
      <c r="F153" s="816">
        <v>5109030</v>
      </c>
      <c r="G153" s="816">
        <v>0</v>
      </c>
      <c r="H153" s="826">
        <v>40801900</v>
      </c>
      <c r="I153" s="826"/>
      <c r="J153" s="826"/>
      <c r="K153" s="826"/>
      <c r="L153" s="826"/>
      <c r="M153" s="826"/>
      <c r="N153" s="826"/>
      <c r="O153" s="826"/>
      <c r="P153" s="826">
        <v>40801900</v>
      </c>
      <c r="Q153" s="881">
        <v>0</v>
      </c>
      <c r="R153" s="889">
        <v>45910930</v>
      </c>
      <c r="S153" s="889">
        <v>0</v>
      </c>
    </row>
    <row r="154" spans="1:19" ht="33.75" x14ac:dyDescent="0.25">
      <c r="A154" s="880">
        <v>2025</v>
      </c>
      <c r="B154" s="816" t="s">
        <v>220</v>
      </c>
      <c r="C154" s="816" t="s">
        <v>1155</v>
      </c>
      <c r="D154" s="816" t="s">
        <v>1382</v>
      </c>
      <c r="E154" s="816" t="s">
        <v>1383</v>
      </c>
      <c r="F154" s="816">
        <v>107155879</v>
      </c>
      <c r="G154" s="816">
        <v>286774</v>
      </c>
      <c r="H154" s="826">
        <v>24649154</v>
      </c>
      <c r="I154" s="826">
        <v>124543</v>
      </c>
      <c r="J154" s="826">
        <v>279626949</v>
      </c>
      <c r="K154" s="826">
        <v>694299</v>
      </c>
      <c r="L154" s="826">
        <v>3059041</v>
      </c>
      <c r="M154" s="826">
        <v>6057</v>
      </c>
      <c r="N154" s="826"/>
      <c r="O154" s="826"/>
      <c r="P154" s="826">
        <v>307335144</v>
      </c>
      <c r="Q154" s="881">
        <v>824899</v>
      </c>
      <c r="R154" s="889">
        <v>414491023</v>
      </c>
      <c r="S154" s="889">
        <v>1111673</v>
      </c>
    </row>
    <row r="155" spans="1:19" ht="33.75" x14ac:dyDescent="0.25">
      <c r="A155" s="880">
        <v>2025</v>
      </c>
      <c r="B155" s="816" t="s">
        <v>220</v>
      </c>
      <c r="C155" s="816" t="s">
        <v>1155</v>
      </c>
      <c r="D155" s="816" t="s">
        <v>1384</v>
      </c>
      <c r="E155" s="816" t="s">
        <v>1385</v>
      </c>
      <c r="F155" s="816">
        <v>17273649</v>
      </c>
      <c r="G155" s="816">
        <v>40377</v>
      </c>
      <c r="H155" s="826">
        <v>8283295</v>
      </c>
      <c r="I155" s="826">
        <v>27167</v>
      </c>
      <c r="J155" s="826">
        <v>82682634</v>
      </c>
      <c r="K155" s="826">
        <v>233463</v>
      </c>
      <c r="L155" s="826">
        <v>3031128</v>
      </c>
      <c r="M155" s="826">
        <v>5876</v>
      </c>
      <c r="N155" s="826"/>
      <c r="O155" s="826"/>
      <c r="P155" s="826">
        <v>93997057</v>
      </c>
      <c r="Q155" s="881">
        <v>266506</v>
      </c>
      <c r="R155" s="889">
        <v>111270706</v>
      </c>
      <c r="S155" s="889">
        <v>306883</v>
      </c>
    </row>
    <row r="156" spans="1:19" ht="22.5" x14ac:dyDescent="0.25">
      <c r="A156" s="880">
        <v>2025</v>
      </c>
      <c r="B156" s="816" t="s">
        <v>220</v>
      </c>
      <c r="C156" s="816" t="s">
        <v>1173</v>
      </c>
      <c r="D156" s="816" t="s">
        <v>1386</v>
      </c>
      <c r="E156" s="816" t="s">
        <v>1387</v>
      </c>
      <c r="F156" s="816">
        <v>0</v>
      </c>
      <c r="G156" s="816">
        <v>0</v>
      </c>
      <c r="H156" s="826">
        <v>0</v>
      </c>
      <c r="I156" s="826"/>
      <c r="J156" s="826">
        <v>108051127</v>
      </c>
      <c r="K156" s="826">
        <v>256332</v>
      </c>
      <c r="L156" s="826"/>
      <c r="M156" s="826"/>
      <c r="N156" s="826"/>
      <c r="O156" s="826"/>
      <c r="P156" s="826">
        <v>108051127</v>
      </c>
      <c r="Q156" s="881">
        <v>256332</v>
      </c>
      <c r="R156" s="889">
        <v>108051127</v>
      </c>
      <c r="S156" s="889">
        <v>256332</v>
      </c>
    </row>
    <row r="157" spans="1:19" ht="22.5" x14ac:dyDescent="0.25">
      <c r="A157" s="880">
        <v>2025</v>
      </c>
      <c r="B157" s="816" t="s">
        <v>220</v>
      </c>
      <c r="C157" s="816" t="s">
        <v>1184</v>
      </c>
      <c r="D157" s="816" t="s">
        <v>1312</v>
      </c>
      <c r="E157" s="816" t="s">
        <v>1388</v>
      </c>
      <c r="F157" s="816">
        <v>5014203</v>
      </c>
      <c r="G157" s="816">
        <v>0</v>
      </c>
      <c r="H157" s="826">
        <v>309808957</v>
      </c>
      <c r="I157" s="826"/>
      <c r="J157" s="826"/>
      <c r="K157" s="826"/>
      <c r="L157" s="826"/>
      <c r="M157" s="826"/>
      <c r="N157" s="826"/>
      <c r="O157" s="826"/>
      <c r="P157" s="826">
        <v>309808957</v>
      </c>
      <c r="Q157" s="881">
        <v>0</v>
      </c>
      <c r="R157" s="889">
        <v>314823160</v>
      </c>
      <c r="S157" s="889">
        <v>0</v>
      </c>
    </row>
    <row r="158" spans="1:19" ht="22.5" x14ac:dyDescent="0.25">
      <c r="A158" s="880">
        <v>2025</v>
      </c>
      <c r="B158" s="816" t="s">
        <v>220</v>
      </c>
      <c r="C158" s="816" t="s">
        <v>1184</v>
      </c>
      <c r="D158" s="816" t="s">
        <v>1389</v>
      </c>
      <c r="E158" s="816" t="s">
        <v>1390</v>
      </c>
      <c r="F158" s="816">
        <v>4323075</v>
      </c>
      <c r="G158" s="816">
        <v>0</v>
      </c>
      <c r="H158" s="826">
        <v>133689274</v>
      </c>
      <c r="I158" s="465"/>
      <c r="J158" s="826"/>
      <c r="K158" s="826"/>
      <c r="L158" s="465"/>
      <c r="M158" s="465"/>
      <c r="N158" s="465"/>
      <c r="O158" s="465"/>
      <c r="P158" s="826">
        <v>133689274</v>
      </c>
      <c r="Q158" s="881">
        <v>0</v>
      </c>
      <c r="R158" s="889">
        <v>138012349</v>
      </c>
      <c r="S158" s="889">
        <v>0</v>
      </c>
    </row>
    <row r="159" spans="1:19" ht="22.5" x14ac:dyDescent="0.25">
      <c r="A159" s="880">
        <v>2025</v>
      </c>
      <c r="B159" s="816" t="s">
        <v>220</v>
      </c>
      <c r="C159" s="816" t="s">
        <v>1194</v>
      </c>
      <c r="D159" s="816" t="s">
        <v>1316</v>
      </c>
      <c r="E159" s="816" t="s">
        <v>1391</v>
      </c>
      <c r="F159" s="816">
        <v>39360</v>
      </c>
      <c r="G159" s="816">
        <v>113</v>
      </c>
      <c r="H159" s="826">
        <v>210087</v>
      </c>
      <c r="I159" s="465">
        <v>584</v>
      </c>
      <c r="J159" s="465">
        <v>55163</v>
      </c>
      <c r="K159" s="465">
        <v>153</v>
      </c>
      <c r="L159" s="465"/>
      <c r="M159" s="465"/>
      <c r="N159" s="465"/>
      <c r="O159" s="465"/>
      <c r="P159" s="826">
        <v>265250</v>
      </c>
      <c r="Q159" s="881">
        <v>737</v>
      </c>
      <c r="R159" s="889">
        <v>304610</v>
      </c>
      <c r="S159" s="889">
        <v>850</v>
      </c>
    </row>
    <row r="160" spans="1:19" ht="33.75" x14ac:dyDescent="0.25">
      <c r="A160" s="880">
        <v>2025</v>
      </c>
      <c r="B160" s="816" t="s">
        <v>220</v>
      </c>
      <c r="C160" s="816" t="s">
        <v>1194</v>
      </c>
      <c r="D160" s="816" t="s">
        <v>1392</v>
      </c>
      <c r="E160" s="816" t="s">
        <v>1393</v>
      </c>
      <c r="F160" s="816">
        <v>2074</v>
      </c>
      <c r="G160" s="816">
        <v>6</v>
      </c>
      <c r="H160" s="826">
        <v>51481</v>
      </c>
      <c r="I160" s="465"/>
      <c r="J160" s="465"/>
      <c r="K160" s="465"/>
      <c r="L160" s="465"/>
      <c r="M160" s="465"/>
      <c r="N160" s="465"/>
      <c r="O160" s="465"/>
      <c r="P160" s="826">
        <v>51481</v>
      </c>
      <c r="Q160" s="881">
        <v>0</v>
      </c>
      <c r="R160" s="889">
        <v>53555</v>
      </c>
      <c r="S160" s="889">
        <v>6</v>
      </c>
    </row>
    <row r="161" spans="1:19" ht="22.5" x14ac:dyDescent="0.25">
      <c r="A161" s="880">
        <v>2025</v>
      </c>
      <c r="B161" s="816" t="s">
        <v>220</v>
      </c>
      <c r="C161" s="816" t="s">
        <v>1200</v>
      </c>
      <c r="D161" s="816" t="s">
        <v>1320</v>
      </c>
      <c r="E161" s="816" t="s">
        <v>1394</v>
      </c>
      <c r="F161" s="816">
        <v>38781</v>
      </c>
      <c r="G161" s="816">
        <v>118</v>
      </c>
      <c r="H161" s="826">
        <v>0</v>
      </c>
      <c r="I161" s="826"/>
      <c r="J161" s="826">
        <v>3549837</v>
      </c>
      <c r="K161" s="826">
        <v>10469</v>
      </c>
      <c r="L161" s="826"/>
      <c r="M161" s="826"/>
      <c r="N161" s="826"/>
      <c r="O161" s="826"/>
      <c r="P161" s="826">
        <v>3549837</v>
      </c>
      <c r="Q161" s="881">
        <v>10469</v>
      </c>
      <c r="R161" s="889">
        <v>3588618</v>
      </c>
      <c r="S161" s="889">
        <v>10587</v>
      </c>
    </row>
    <row r="162" spans="1:19" ht="33.75" x14ac:dyDescent="0.25">
      <c r="A162" s="880">
        <v>2025</v>
      </c>
      <c r="B162" s="816" t="s">
        <v>220</v>
      </c>
      <c r="C162" s="816" t="s">
        <v>1200</v>
      </c>
      <c r="D162" s="816" t="s">
        <v>1395</v>
      </c>
      <c r="E162" s="816" t="s">
        <v>1396</v>
      </c>
      <c r="F162" s="816">
        <v>0</v>
      </c>
      <c r="G162" s="816">
        <v>0</v>
      </c>
      <c r="H162" s="826">
        <v>0</v>
      </c>
      <c r="I162" s="826"/>
      <c r="J162" s="826">
        <v>1772655</v>
      </c>
      <c r="K162" s="826">
        <v>4945</v>
      </c>
      <c r="L162" s="826"/>
      <c r="M162" s="826"/>
      <c r="N162" s="826"/>
      <c r="O162" s="826"/>
      <c r="P162" s="826">
        <v>1772655</v>
      </c>
      <c r="Q162" s="881">
        <v>4945</v>
      </c>
      <c r="R162" s="889">
        <v>1772655</v>
      </c>
      <c r="S162" s="889">
        <v>4945</v>
      </c>
    </row>
    <row r="163" spans="1:19" ht="33.75" x14ac:dyDescent="0.25">
      <c r="A163" s="880">
        <v>2025</v>
      </c>
      <c r="B163" s="816" t="s">
        <v>220</v>
      </c>
      <c r="C163" s="816" t="s">
        <v>1210</v>
      </c>
      <c r="D163" s="816" t="s">
        <v>1324</v>
      </c>
      <c r="E163" s="816" t="s">
        <v>1397</v>
      </c>
      <c r="F163" s="816">
        <v>709857</v>
      </c>
      <c r="G163" s="816">
        <v>0</v>
      </c>
      <c r="H163" s="826">
        <v>528666</v>
      </c>
      <c r="I163" s="465"/>
      <c r="J163" s="826"/>
      <c r="K163" s="826"/>
      <c r="L163" s="465"/>
      <c r="M163" s="465"/>
      <c r="N163" s="465"/>
      <c r="O163" s="465"/>
      <c r="P163" s="826">
        <v>528666</v>
      </c>
      <c r="Q163" s="881">
        <v>0</v>
      </c>
      <c r="R163" s="889">
        <v>1238523</v>
      </c>
      <c r="S163" s="889">
        <v>0</v>
      </c>
    </row>
    <row r="164" spans="1:19" ht="22.5" x14ac:dyDescent="0.25">
      <c r="A164" s="880">
        <v>2025</v>
      </c>
      <c r="B164" s="816" t="s">
        <v>232</v>
      </c>
      <c r="C164" s="816" t="s">
        <v>1140</v>
      </c>
      <c r="D164" s="816" t="s">
        <v>1250</v>
      </c>
      <c r="E164" s="816" t="s">
        <v>1398</v>
      </c>
      <c r="F164" s="816">
        <v>0</v>
      </c>
      <c r="G164" s="816">
        <v>0</v>
      </c>
      <c r="H164" s="826">
        <v>0</v>
      </c>
      <c r="I164" s="465"/>
      <c r="J164" s="465">
        <v>34024723</v>
      </c>
      <c r="K164" s="465">
        <v>99163</v>
      </c>
      <c r="L164" s="465"/>
      <c r="M164" s="465"/>
      <c r="N164" s="465"/>
      <c r="O164" s="465"/>
      <c r="P164" s="826">
        <v>34024723</v>
      </c>
      <c r="Q164" s="881">
        <v>99163</v>
      </c>
      <c r="R164" s="889">
        <v>34024723</v>
      </c>
      <c r="S164" s="889">
        <v>99163</v>
      </c>
    </row>
    <row r="165" spans="1:19" ht="22.5" x14ac:dyDescent="0.25">
      <c r="A165" s="880">
        <v>2025</v>
      </c>
      <c r="B165" s="816" t="s">
        <v>232</v>
      </c>
      <c r="C165" s="816" t="s">
        <v>1143</v>
      </c>
      <c r="D165" s="816" t="s">
        <v>1226</v>
      </c>
      <c r="E165" s="816" t="s">
        <v>1399</v>
      </c>
      <c r="F165" s="816">
        <v>94697.919999999998</v>
      </c>
      <c r="G165" s="816">
        <v>0</v>
      </c>
      <c r="H165" s="826">
        <v>53383039</v>
      </c>
      <c r="I165" s="465"/>
      <c r="J165" s="465">
        <v>705286</v>
      </c>
      <c r="K165" s="465"/>
      <c r="L165" s="465"/>
      <c r="M165" s="465"/>
      <c r="N165" s="465"/>
      <c r="O165" s="465"/>
      <c r="P165" s="826">
        <v>54088325</v>
      </c>
      <c r="Q165" s="881">
        <v>0</v>
      </c>
      <c r="R165" s="889">
        <v>54183022.920000002</v>
      </c>
      <c r="S165" s="889">
        <v>0</v>
      </c>
    </row>
    <row r="166" spans="1:19" ht="22.5" x14ac:dyDescent="0.25">
      <c r="A166" s="880">
        <v>2025</v>
      </c>
      <c r="B166" s="816" t="s">
        <v>232</v>
      </c>
      <c r="C166" s="816" t="s">
        <v>1155</v>
      </c>
      <c r="D166" s="816" t="s">
        <v>1228</v>
      </c>
      <c r="E166" s="816" t="s">
        <v>1400</v>
      </c>
      <c r="F166" s="816">
        <v>1014403.6</v>
      </c>
      <c r="G166" s="816">
        <v>2078.5700000000002</v>
      </c>
      <c r="H166" s="826">
        <v>27267553</v>
      </c>
      <c r="I166" s="826">
        <v>83662</v>
      </c>
      <c r="J166" s="826">
        <v>119251204</v>
      </c>
      <c r="K166" s="826">
        <v>431930</v>
      </c>
      <c r="L166" s="465">
        <v>8850919</v>
      </c>
      <c r="M166" s="465">
        <v>15933</v>
      </c>
      <c r="N166" s="465"/>
      <c r="O166" s="465"/>
      <c r="P166" s="826">
        <v>155369676</v>
      </c>
      <c r="Q166" s="881">
        <v>531525</v>
      </c>
      <c r="R166" s="889">
        <v>156384079.59999999</v>
      </c>
      <c r="S166" s="889">
        <v>533603.56999999995</v>
      </c>
    </row>
    <row r="167" spans="1:19" ht="22.5" x14ac:dyDescent="0.25">
      <c r="A167" s="880">
        <v>2025</v>
      </c>
      <c r="B167" s="816" t="s">
        <v>232</v>
      </c>
      <c r="C167" s="816" t="s">
        <v>1184</v>
      </c>
      <c r="D167" s="816" t="s">
        <v>1184</v>
      </c>
      <c r="E167" s="816" t="s">
        <v>1401</v>
      </c>
      <c r="F167" s="816">
        <v>88496</v>
      </c>
      <c r="G167" s="816">
        <v>0</v>
      </c>
      <c r="H167" s="826">
        <v>271022618</v>
      </c>
      <c r="I167" s="465"/>
      <c r="J167" s="465">
        <v>77314</v>
      </c>
      <c r="K167" s="465"/>
      <c r="L167" s="465"/>
      <c r="M167" s="465"/>
      <c r="N167" s="465"/>
      <c r="O167" s="465"/>
      <c r="P167" s="826">
        <v>271099932</v>
      </c>
      <c r="Q167" s="881">
        <v>0</v>
      </c>
      <c r="R167" s="889">
        <v>271188428</v>
      </c>
      <c r="S167" s="889">
        <v>0</v>
      </c>
    </row>
    <row r="168" spans="1:19" ht="22.5" x14ac:dyDescent="0.25">
      <c r="A168" s="880">
        <v>2025</v>
      </c>
      <c r="B168" s="816" t="s">
        <v>232</v>
      </c>
      <c r="C168" s="816" t="s">
        <v>1194</v>
      </c>
      <c r="D168" s="816" t="s">
        <v>1240</v>
      </c>
      <c r="E168" s="816" t="s">
        <v>1402</v>
      </c>
      <c r="F168" s="816">
        <v>37145</v>
      </c>
      <c r="G168" s="816">
        <v>102</v>
      </c>
      <c r="H168" s="826">
        <v>239873</v>
      </c>
      <c r="I168" s="465">
        <v>721</v>
      </c>
      <c r="J168" s="826"/>
      <c r="K168" s="826"/>
      <c r="L168" s="465"/>
      <c r="M168" s="465"/>
      <c r="N168" s="465"/>
      <c r="O168" s="465"/>
      <c r="P168" s="826">
        <v>239873</v>
      </c>
      <c r="Q168" s="881">
        <v>721</v>
      </c>
      <c r="R168" s="889">
        <v>277018</v>
      </c>
      <c r="S168" s="889">
        <v>823</v>
      </c>
    </row>
    <row r="169" spans="1:19" ht="22.5" x14ac:dyDescent="0.25">
      <c r="A169" s="880">
        <v>2025</v>
      </c>
      <c r="B169" s="816" t="s">
        <v>232</v>
      </c>
      <c r="C169" s="816" t="s">
        <v>1200</v>
      </c>
      <c r="D169" s="816" t="s">
        <v>1224</v>
      </c>
      <c r="E169" s="816" t="s">
        <v>1403</v>
      </c>
      <c r="F169" s="816">
        <v>112565.4</v>
      </c>
      <c r="G169" s="816">
        <v>0</v>
      </c>
      <c r="H169" s="826">
        <v>0</v>
      </c>
      <c r="I169" s="465"/>
      <c r="J169" s="826">
        <v>912863</v>
      </c>
      <c r="K169" s="826">
        <v>2767</v>
      </c>
      <c r="L169" s="465"/>
      <c r="M169" s="465"/>
      <c r="N169" s="465"/>
      <c r="O169" s="465"/>
      <c r="P169" s="826">
        <v>912863</v>
      </c>
      <c r="Q169" s="881">
        <v>2767</v>
      </c>
      <c r="R169" s="889">
        <v>1025428.4</v>
      </c>
      <c r="S169" s="889">
        <v>2767</v>
      </c>
    </row>
    <row r="170" spans="1:19" ht="33.75" x14ac:dyDescent="0.25">
      <c r="A170" s="880">
        <v>2025</v>
      </c>
      <c r="B170" s="816" t="s">
        <v>232</v>
      </c>
      <c r="C170" s="816" t="s">
        <v>1210</v>
      </c>
      <c r="D170" s="816" t="s">
        <v>1243</v>
      </c>
      <c r="E170" s="816" t="s">
        <v>1404</v>
      </c>
      <c r="F170" s="816">
        <v>333951</v>
      </c>
      <c r="G170" s="816">
        <v>0</v>
      </c>
      <c r="H170" s="826">
        <v>940116</v>
      </c>
      <c r="I170" s="465"/>
      <c r="J170" s="465">
        <v>49968</v>
      </c>
      <c r="K170" s="465"/>
      <c r="L170" s="465"/>
      <c r="M170" s="465"/>
      <c r="N170" s="465"/>
      <c r="O170" s="465"/>
      <c r="P170" s="826">
        <v>990084</v>
      </c>
      <c r="Q170" s="881">
        <v>0</v>
      </c>
      <c r="R170" s="889">
        <v>1324035</v>
      </c>
      <c r="S170" s="889">
        <v>0</v>
      </c>
    </row>
    <row r="171" spans="1:19" ht="22.5" x14ac:dyDescent="0.25">
      <c r="A171" s="880">
        <v>2025</v>
      </c>
      <c r="B171" s="816" t="s">
        <v>234</v>
      </c>
      <c r="C171" s="816" t="s">
        <v>1143</v>
      </c>
      <c r="D171" s="816" t="s">
        <v>1226</v>
      </c>
      <c r="E171" s="816" t="s">
        <v>1405</v>
      </c>
      <c r="F171" s="816">
        <v>94697.919999999998</v>
      </c>
      <c r="G171" s="816">
        <v>0</v>
      </c>
      <c r="H171" s="826">
        <v>47547196.310000002</v>
      </c>
      <c r="I171" s="465"/>
      <c r="J171" s="826"/>
      <c r="K171" s="826"/>
      <c r="L171" s="465">
        <v>0</v>
      </c>
      <c r="M171" s="465"/>
      <c r="N171" s="465"/>
      <c r="O171" s="465"/>
      <c r="P171" s="826">
        <v>47547196.310000002</v>
      </c>
      <c r="Q171" s="881">
        <v>0</v>
      </c>
      <c r="R171" s="889">
        <v>47641894.230000004</v>
      </c>
      <c r="S171" s="889">
        <v>0</v>
      </c>
    </row>
    <row r="172" spans="1:19" ht="22.5" x14ac:dyDescent="0.25">
      <c r="A172" s="880">
        <v>2025</v>
      </c>
      <c r="B172" s="816" t="s">
        <v>234</v>
      </c>
      <c r="C172" s="816" t="s">
        <v>1155</v>
      </c>
      <c r="D172" s="816" t="s">
        <v>1228</v>
      </c>
      <c r="E172" s="816" t="s">
        <v>1406</v>
      </c>
      <c r="F172" s="816">
        <v>1014403.6</v>
      </c>
      <c r="G172" s="816">
        <v>2078.5700000000002</v>
      </c>
      <c r="H172" s="826">
        <v>10160752.189999999</v>
      </c>
      <c r="I172" s="465">
        <v>27644.36</v>
      </c>
      <c r="J172" s="826">
        <v>289058774.73000002</v>
      </c>
      <c r="K172" s="826">
        <v>685108.49</v>
      </c>
      <c r="L172" s="465">
        <v>2968539</v>
      </c>
      <c r="M172" s="465">
        <v>5934.66</v>
      </c>
      <c r="N172" s="465"/>
      <c r="O172" s="465"/>
      <c r="P172" s="826">
        <v>302188065.92000002</v>
      </c>
      <c r="Q172" s="881">
        <v>718687.51</v>
      </c>
      <c r="R172" s="889">
        <v>303202469.52000004</v>
      </c>
      <c r="S172" s="889">
        <v>720766.08</v>
      </c>
    </row>
    <row r="173" spans="1:19" x14ac:dyDescent="0.25">
      <c r="A173" s="880">
        <v>2025</v>
      </c>
      <c r="B173" s="816" t="s">
        <v>234</v>
      </c>
      <c r="C173" s="816" t="s">
        <v>1173</v>
      </c>
      <c r="D173" s="816" t="s">
        <v>1237</v>
      </c>
      <c r="E173" s="816" t="s">
        <v>1407</v>
      </c>
      <c r="F173" s="816">
        <v>0</v>
      </c>
      <c r="G173" s="816">
        <v>0</v>
      </c>
      <c r="H173" s="826">
        <v>0</v>
      </c>
      <c r="I173" s="826"/>
      <c r="J173" s="826">
        <v>29733622.32</v>
      </c>
      <c r="K173" s="826">
        <v>45334.62</v>
      </c>
      <c r="L173" s="826"/>
      <c r="M173" s="826"/>
      <c r="N173" s="826"/>
      <c r="O173" s="826"/>
      <c r="P173" s="826">
        <v>29733622.32</v>
      </c>
      <c r="Q173" s="881">
        <v>45334.62</v>
      </c>
      <c r="R173" s="889">
        <v>29733622.32</v>
      </c>
      <c r="S173" s="889">
        <v>45334.62</v>
      </c>
    </row>
    <row r="174" spans="1:19" ht="22.5" x14ac:dyDescent="0.25">
      <c r="A174" s="880">
        <v>2025</v>
      </c>
      <c r="B174" s="816" t="s">
        <v>234</v>
      </c>
      <c r="C174" s="816" t="s">
        <v>1184</v>
      </c>
      <c r="D174" s="816" t="s">
        <v>1184</v>
      </c>
      <c r="E174" s="816" t="s">
        <v>1408</v>
      </c>
      <c r="F174" s="816">
        <v>88496</v>
      </c>
      <c r="G174" s="816">
        <v>0</v>
      </c>
      <c r="H174" s="826">
        <v>150573968.41</v>
      </c>
      <c r="I174" s="465"/>
      <c r="J174" s="826"/>
      <c r="K174" s="826"/>
      <c r="L174" s="465"/>
      <c r="M174" s="465"/>
      <c r="N174" s="465"/>
      <c r="O174" s="465"/>
      <c r="P174" s="826">
        <v>150573968.41</v>
      </c>
      <c r="Q174" s="881">
        <v>0</v>
      </c>
      <c r="R174" s="889">
        <v>150662464.41</v>
      </c>
      <c r="S174" s="889">
        <v>0</v>
      </c>
    </row>
    <row r="175" spans="1:19" ht="22.5" x14ac:dyDescent="0.25">
      <c r="A175" s="880">
        <v>2025</v>
      </c>
      <c r="B175" s="816" t="s">
        <v>234</v>
      </c>
      <c r="C175" s="816" t="s">
        <v>1194</v>
      </c>
      <c r="D175" s="816" t="s">
        <v>1240</v>
      </c>
      <c r="E175" s="816" t="s">
        <v>1409</v>
      </c>
      <c r="F175" s="816">
        <v>37145</v>
      </c>
      <c r="G175" s="816">
        <v>102</v>
      </c>
      <c r="H175" s="826">
        <v>94805.15</v>
      </c>
      <c r="I175" s="826"/>
      <c r="J175" s="826"/>
      <c r="K175" s="826"/>
      <c r="L175" s="465"/>
      <c r="M175" s="465"/>
      <c r="N175" s="465"/>
      <c r="O175" s="465"/>
      <c r="P175" s="826">
        <v>94805.15</v>
      </c>
      <c r="Q175" s="881">
        <v>0</v>
      </c>
      <c r="R175" s="889">
        <v>131950.15</v>
      </c>
      <c r="S175" s="889">
        <v>102</v>
      </c>
    </row>
    <row r="176" spans="1:19" ht="22.5" x14ac:dyDescent="0.25">
      <c r="A176" s="880">
        <v>2025</v>
      </c>
      <c r="B176" s="816" t="s">
        <v>234</v>
      </c>
      <c r="C176" s="816" t="s">
        <v>1200</v>
      </c>
      <c r="D176" s="816" t="s">
        <v>1224</v>
      </c>
      <c r="E176" s="816" t="s">
        <v>1410</v>
      </c>
      <c r="F176" s="816">
        <v>112565.4</v>
      </c>
      <c r="G176" s="816">
        <v>0</v>
      </c>
      <c r="H176" s="826">
        <v>0</v>
      </c>
      <c r="I176" s="465"/>
      <c r="J176" s="826">
        <v>8469</v>
      </c>
      <c r="K176" s="826">
        <v>37.380000000000003</v>
      </c>
      <c r="L176" s="465"/>
      <c r="M176" s="465"/>
      <c r="N176" s="465"/>
      <c r="O176" s="465"/>
      <c r="P176" s="826">
        <v>8469</v>
      </c>
      <c r="Q176" s="881">
        <v>37.380000000000003</v>
      </c>
      <c r="R176" s="889">
        <v>121034.4</v>
      </c>
      <c r="S176" s="889">
        <v>37.380000000000003</v>
      </c>
    </row>
    <row r="177" spans="1:19" ht="33.75" x14ac:dyDescent="0.25">
      <c r="A177" s="880">
        <v>2025</v>
      </c>
      <c r="B177" s="816" t="s">
        <v>234</v>
      </c>
      <c r="C177" s="816" t="s">
        <v>1210</v>
      </c>
      <c r="D177" s="816" t="s">
        <v>1243</v>
      </c>
      <c r="E177" s="816" t="s">
        <v>1411</v>
      </c>
      <c r="F177" s="816">
        <v>333951</v>
      </c>
      <c r="G177" s="816">
        <v>0</v>
      </c>
      <c r="H177" s="826">
        <v>214030.25</v>
      </c>
      <c r="I177" s="465"/>
      <c r="J177" s="826">
        <v>379851.59</v>
      </c>
      <c r="K177" s="826"/>
      <c r="L177" s="465"/>
      <c r="M177" s="465"/>
      <c r="N177" s="465"/>
      <c r="O177" s="465"/>
      <c r="P177" s="826">
        <v>593881.84</v>
      </c>
      <c r="Q177" s="881">
        <v>0</v>
      </c>
      <c r="R177" s="889">
        <v>927832.84</v>
      </c>
      <c r="S177" s="889">
        <v>0</v>
      </c>
    </row>
    <row r="178" spans="1:19" ht="22.5" x14ac:dyDescent="0.25">
      <c r="A178" s="880">
        <v>2025</v>
      </c>
      <c r="B178" s="816" t="s">
        <v>237</v>
      </c>
      <c r="C178" s="816" t="s">
        <v>1143</v>
      </c>
      <c r="D178" s="816" t="s">
        <v>1226</v>
      </c>
      <c r="E178" s="816" t="s">
        <v>1412</v>
      </c>
      <c r="F178" s="816">
        <v>94697.919999999998</v>
      </c>
      <c r="G178" s="816">
        <v>0</v>
      </c>
      <c r="H178" s="826">
        <v>14053698</v>
      </c>
      <c r="I178" s="465"/>
      <c r="J178" s="465"/>
      <c r="K178" s="465"/>
      <c r="L178" s="465"/>
      <c r="M178" s="465"/>
      <c r="N178" s="465"/>
      <c r="O178" s="465"/>
      <c r="P178" s="826">
        <v>14053698</v>
      </c>
      <c r="Q178" s="881">
        <v>0</v>
      </c>
      <c r="R178" s="889">
        <v>14148395.92</v>
      </c>
      <c r="S178" s="889">
        <v>0</v>
      </c>
    </row>
    <row r="179" spans="1:19" ht="22.5" x14ac:dyDescent="0.25">
      <c r="A179" s="880">
        <v>2025</v>
      </c>
      <c r="B179" s="816" t="s">
        <v>237</v>
      </c>
      <c r="C179" s="816" t="s">
        <v>1155</v>
      </c>
      <c r="D179" s="816" t="s">
        <v>1228</v>
      </c>
      <c r="E179" s="816" t="s">
        <v>1413</v>
      </c>
      <c r="F179" s="816">
        <v>1014403.6</v>
      </c>
      <c r="G179" s="816">
        <v>2078.5700000000002</v>
      </c>
      <c r="H179" s="826">
        <v>3919260</v>
      </c>
      <c r="I179" s="826"/>
      <c r="J179" s="826">
        <v>15679942</v>
      </c>
      <c r="K179" s="826">
        <v>47221</v>
      </c>
      <c r="L179" s="826"/>
      <c r="M179" s="826"/>
      <c r="N179" s="826"/>
      <c r="O179" s="826"/>
      <c r="P179" s="826">
        <v>19599202</v>
      </c>
      <c r="Q179" s="881">
        <v>47221</v>
      </c>
      <c r="R179" s="889">
        <v>20613605.600000001</v>
      </c>
      <c r="S179" s="889">
        <v>49299.57</v>
      </c>
    </row>
    <row r="180" spans="1:19" ht="22.5" x14ac:dyDescent="0.25">
      <c r="A180" s="880">
        <v>2025</v>
      </c>
      <c r="B180" s="816" t="s">
        <v>237</v>
      </c>
      <c r="C180" s="816" t="s">
        <v>1184</v>
      </c>
      <c r="D180" s="816" t="s">
        <v>1184</v>
      </c>
      <c r="E180" s="816" t="s">
        <v>1414</v>
      </c>
      <c r="F180" s="816">
        <v>88496</v>
      </c>
      <c r="G180" s="816">
        <v>0</v>
      </c>
      <c r="H180" s="826">
        <v>35093945</v>
      </c>
      <c r="I180" s="465"/>
      <c r="J180" s="826"/>
      <c r="K180" s="826"/>
      <c r="L180" s="826"/>
      <c r="M180" s="826"/>
      <c r="N180" s="826"/>
      <c r="O180" s="826"/>
      <c r="P180" s="826">
        <v>35093945</v>
      </c>
      <c r="Q180" s="881">
        <v>0</v>
      </c>
      <c r="R180" s="889">
        <v>35182441</v>
      </c>
      <c r="S180" s="889">
        <v>0</v>
      </c>
    </row>
    <row r="181" spans="1:19" ht="22.5" x14ac:dyDescent="0.25">
      <c r="A181" s="880">
        <v>2025</v>
      </c>
      <c r="B181" s="816" t="s">
        <v>237</v>
      </c>
      <c r="C181" s="816" t="s">
        <v>1200</v>
      </c>
      <c r="D181" s="816" t="s">
        <v>1224</v>
      </c>
      <c r="E181" s="816" t="s">
        <v>1415</v>
      </c>
      <c r="F181" s="816">
        <v>112565.4</v>
      </c>
      <c r="G181" s="816">
        <v>0</v>
      </c>
      <c r="H181" s="826">
        <v>0</v>
      </c>
      <c r="I181" s="465"/>
      <c r="J181" s="465">
        <v>412975</v>
      </c>
      <c r="K181" s="465">
        <v>1153</v>
      </c>
      <c r="L181" s="465"/>
      <c r="M181" s="465"/>
      <c r="N181" s="465"/>
      <c r="O181" s="465"/>
      <c r="P181" s="826">
        <v>412975</v>
      </c>
      <c r="Q181" s="881">
        <v>1153</v>
      </c>
      <c r="R181" s="889">
        <v>525540.4</v>
      </c>
      <c r="S181" s="889">
        <v>1153</v>
      </c>
    </row>
    <row r="182" spans="1:19" ht="33.75" x14ac:dyDescent="0.25">
      <c r="A182" s="880">
        <v>2025</v>
      </c>
      <c r="B182" s="816" t="s">
        <v>237</v>
      </c>
      <c r="C182" s="816" t="s">
        <v>1210</v>
      </c>
      <c r="D182" s="816" t="s">
        <v>1243</v>
      </c>
      <c r="E182" s="816" t="s">
        <v>1416</v>
      </c>
      <c r="F182" s="816">
        <v>333951</v>
      </c>
      <c r="G182" s="816">
        <v>0</v>
      </c>
      <c r="H182" s="826">
        <v>62628</v>
      </c>
      <c r="I182" s="826"/>
      <c r="J182" s="465"/>
      <c r="K182" s="465"/>
      <c r="L182" s="465"/>
      <c r="M182" s="465"/>
      <c r="N182" s="465"/>
      <c r="O182" s="465"/>
      <c r="P182" s="826">
        <v>62628</v>
      </c>
      <c r="Q182" s="881">
        <v>0</v>
      </c>
      <c r="R182" s="889">
        <v>396579</v>
      </c>
      <c r="S182" s="889">
        <v>0</v>
      </c>
    </row>
    <row r="183" spans="1:19" ht="33.75" x14ac:dyDescent="0.25">
      <c r="A183" s="880">
        <v>2025</v>
      </c>
      <c r="B183" s="816" t="s">
        <v>186</v>
      </c>
      <c r="C183" s="816" t="s">
        <v>1140</v>
      </c>
      <c r="D183" s="816" t="s">
        <v>1417</v>
      </c>
      <c r="E183" s="816" t="s">
        <v>9008</v>
      </c>
      <c r="F183" s="816">
        <v>0</v>
      </c>
      <c r="G183" s="816">
        <v>0</v>
      </c>
      <c r="H183" s="826">
        <v>0</v>
      </c>
      <c r="I183" s="826">
        <v>0</v>
      </c>
      <c r="J183" s="465">
        <v>358800.09</v>
      </c>
      <c r="K183" s="465">
        <v>1189.49</v>
      </c>
      <c r="L183" s="465">
        <v>0</v>
      </c>
      <c r="M183" s="465">
        <v>0</v>
      </c>
      <c r="N183" s="465"/>
      <c r="O183" s="465"/>
      <c r="P183" s="826">
        <v>358800.09</v>
      </c>
      <c r="Q183" s="881">
        <v>1189.49</v>
      </c>
      <c r="R183" s="889">
        <v>358800.09</v>
      </c>
      <c r="S183" s="889">
        <v>1189.49</v>
      </c>
    </row>
    <row r="184" spans="1:19" ht="33.75" x14ac:dyDescent="0.25">
      <c r="A184" s="880">
        <v>2025</v>
      </c>
      <c r="B184" s="816" t="s">
        <v>186</v>
      </c>
      <c r="C184" s="816" t="s">
        <v>1140</v>
      </c>
      <c r="D184" s="816" t="s">
        <v>1418</v>
      </c>
      <c r="E184" s="816" t="s">
        <v>9009</v>
      </c>
      <c r="F184" s="816">
        <v>0</v>
      </c>
      <c r="G184" s="816">
        <v>0</v>
      </c>
      <c r="H184" s="826">
        <v>0</v>
      </c>
      <c r="I184" s="465">
        <v>0</v>
      </c>
      <c r="J184" s="826">
        <v>9726052.9800000004</v>
      </c>
      <c r="K184" s="465">
        <v>20298.8</v>
      </c>
      <c r="L184" s="465">
        <v>0</v>
      </c>
      <c r="M184" s="465">
        <v>0</v>
      </c>
      <c r="N184" s="465"/>
      <c r="O184" s="465"/>
      <c r="P184" s="826">
        <v>9726052.9800000004</v>
      </c>
      <c r="Q184" s="881">
        <v>20298.8</v>
      </c>
      <c r="R184" s="889">
        <v>9726052.9800000004</v>
      </c>
      <c r="S184" s="889">
        <v>20298.8</v>
      </c>
    </row>
    <row r="185" spans="1:19" ht="33.75" x14ac:dyDescent="0.25">
      <c r="A185" s="880">
        <v>2025</v>
      </c>
      <c r="B185" s="816" t="s">
        <v>186</v>
      </c>
      <c r="C185" s="816" t="s">
        <v>1140</v>
      </c>
      <c r="D185" s="816" t="s">
        <v>1419</v>
      </c>
      <c r="E185" s="816" t="s">
        <v>9010</v>
      </c>
      <c r="F185" s="816">
        <v>0</v>
      </c>
      <c r="G185" s="816">
        <v>0</v>
      </c>
      <c r="H185" s="826">
        <v>0</v>
      </c>
      <c r="I185" s="465">
        <v>0</v>
      </c>
      <c r="J185" s="465">
        <v>69913317.739999995</v>
      </c>
      <c r="K185" s="465">
        <v>169835.46</v>
      </c>
      <c r="L185" s="465">
        <v>0</v>
      </c>
      <c r="M185" s="465">
        <v>0</v>
      </c>
      <c r="N185" s="465"/>
      <c r="O185" s="465"/>
      <c r="P185" s="826">
        <v>69913317.739999995</v>
      </c>
      <c r="Q185" s="881">
        <v>169835.46</v>
      </c>
      <c r="R185" s="889">
        <v>69913317.739999995</v>
      </c>
      <c r="S185" s="889">
        <v>169835.46</v>
      </c>
    </row>
    <row r="186" spans="1:19" ht="33.75" x14ac:dyDescent="0.25">
      <c r="A186" s="880">
        <v>2025</v>
      </c>
      <c r="B186" s="816" t="s">
        <v>186</v>
      </c>
      <c r="C186" s="816" t="s">
        <v>1140</v>
      </c>
      <c r="D186" s="816" t="s">
        <v>1420</v>
      </c>
      <c r="E186" s="816" t="s">
        <v>9011</v>
      </c>
      <c r="F186" s="816">
        <v>0</v>
      </c>
      <c r="G186" s="816">
        <v>0</v>
      </c>
      <c r="H186" s="826">
        <v>0</v>
      </c>
      <c r="I186" s="465">
        <v>0</v>
      </c>
      <c r="J186" s="826">
        <v>13702265.220000001</v>
      </c>
      <c r="K186" s="465">
        <v>28597.62</v>
      </c>
      <c r="L186" s="465">
        <v>0</v>
      </c>
      <c r="M186" s="465">
        <v>0</v>
      </c>
      <c r="N186" s="465"/>
      <c r="O186" s="465"/>
      <c r="P186" s="826">
        <v>13702265.220000001</v>
      </c>
      <c r="Q186" s="881">
        <v>28597.62</v>
      </c>
      <c r="R186" s="889">
        <v>13702265.220000001</v>
      </c>
      <c r="S186" s="889">
        <v>28597.62</v>
      </c>
    </row>
    <row r="187" spans="1:19" ht="33.75" x14ac:dyDescent="0.25">
      <c r="A187" s="880">
        <v>2025</v>
      </c>
      <c r="B187" s="816" t="s">
        <v>186</v>
      </c>
      <c r="C187" s="816" t="s">
        <v>1140</v>
      </c>
      <c r="D187" s="816" t="s">
        <v>8857</v>
      </c>
      <c r="E187" s="816" t="s">
        <v>9012</v>
      </c>
      <c r="F187" s="816">
        <v>0</v>
      </c>
      <c r="G187" s="816">
        <v>0</v>
      </c>
      <c r="H187" s="826">
        <v>0</v>
      </c>
      <c r="I187" s="465">
        <v>0</v>
      </c>
      <c r="J187" s="465">
        <v>0</v>
      </c>
      <c r="K187" s="465">
        <v>0</v>
      </c>
      <c r="L187" s="465">
        <v>74715097.890000001</v>
      </c>
      <c r="M187" s="465">
        <v>140797.1</v>
      </c>
      <c r="N187" s="465"/>
      <c r="O187" s="465"/>
      <c r="P187" s="826">
        <v>74715097.890000001</v>
      </c>
      <c r="Q187" s="881">
        <v>140797.1</v>
      </c>
      <c r="R187" s="889">
        <v>74715097.890000001</v>
      </c>
      <c r="S187" s="889">
        <v>140797.1</v>
      </c>
    </row>
    <row r="188" spans="1:19" ht="22.5" x14ac:dyDescent="0.25">
      <c r="A188" s="880">
        <v>2025</v>
      </c>
      <c r="B188" s="816" t="s">
        <v>186</v>
      </c>
      <c r="C188" s="816" t="s">
        <v>1140</v>
      </c>
      <c r="D188" s="816" t="s">
        <v>1422</v>
      </c>
      <c r="E188" s="816" t="s">
        <v>1423</v>
      </c>
      <c r="F188" s="816">
        <v>0</v>
      </c>
      <c r="G188" s="816">
        <v>0</v>
      </c>
      <c r="H188" s="826">
        <v>0</v>
      </c>
      <c r="I188" s="465">
        <v>0</v>
      </c>
      <c r="J188" s="826">
        <v>0</v>
      </c>
      <c r="K188" s="826">
        <v>0</v>
      </c>
      <c r="L188" s="465">
        <v>12763715.43</v>
      </c>
      <c r="M188" s="465">
        <v>38105.089999999997</v>
      </c>
      <c r="N188" s="465"/>
      <c r="O188" s="465"/>
      <c r="P188" s="826">
        <v>12763715.43</v>
      </c>
      <c r="Q188" s="881">
        <v>38105.089999999997</v>
      </c>
      <c r="R188" s="889">
        <v>12763715.43</v>
      </c>
      <c r="S188" s="889">
        <v>38105.089999999997</v>
      </c>
    </row>
    <row r="189" spans="1:19" ht="33.75" x14ac:dyDescent="0.25">
      <c r="A189" s="880">
        <v>2025</v>
      </c>
      <c r="B189" s="816" t="s">
        <v>186</v>
      </c>
      <c r="C189" s="816" t="s">
        <v>1143</v>
      </c>
      <c r="D189" s="816" t="s">
        <v>1424</v>
      </c>
      <c r="E189" s="816" t="s">
        <v>8858</v>
      </c>
      <c r="F189" s="816">
        <v>15511947.119999999</v>
      </c>
      <c r="G189" s="816">
        <v>0</v>
      </c>
      <c r="H189" s="826">
        <v>88411265.75</v>
      </c>
      <c r="I189" s="465">
        <v>27372.29</v>
      </c>
      <c r="J189" s="465">
        <v>61554.35</v>
      </c>
      <c r="K189" s="465">
        <v>6713.8</v>
      </c>
      <c r="L189" s="465">
        <v>0</v>
      </c>
      <c r="M189" s="465">
        <v>0</v>
      </c>
      <c r="N189" s="465"/>
      <c r="O189" s="465"/>
      <c r="P189" s="826">
        <v>88472820.099999994</v>
      </c>
      <c r="Q189" s="881">
        <v>34086.089999999997</v>
      </c>
      <c r="R189" s="889">
        <v>103984767.22</v>
      </c>
      <c r="S189" s="889">
        <v>34086.089999999997</v>
      </c>
    </row>
    <row r="190" spans="1:19" ht="33.75" x14ac:dyDescent="0.25">
      <c r="A190" s="880">
        <v>2025</v>
      </c>
      <c r="B190" s="816" t="s">
        <v>186</v>
      </c>
      <c r="C190" s="816" t="s">
        <v>1143</v>
      </c>
      <c r="D190" s="816" t="s">
        <v>1425</v>
      </c>
      <c r="E190" s="816" t="s">
        <v>8859</v>
      </c>
      <c r="F190" s="816">
        <v>27721272.829999998</v>
      </c>
      <c r="G190" s="816">
        <v>0</v>
      </c>
      <c r="H190" s="826">
        <v>191106421.80000001</v>
      </c>
      <c r="I190" s="826">
        <v>0</v>
      </c>
      <c r="J190" s="826">
        <v>0</v>
      </c>
      <c r="K190" s="826">
        <v>3759.09</v>
      </c>
      <c r="L190" s="826">
        <v>0</v>
      </c>
      <c r="M190" s="826">
        <v>0</v>
      </c>
      <c r="N190" s="826"/>
      <c r="O190" s="826"/>
      <c r="P190" s="826">
        <v>191106421.80000001</v>
      </c>
      <c r="Q190" s="881">
        <v>3759.09</v>
      </c>
      <c r="R190" s="889">
        <v>218827694.63</v>
      </c>
      <c r="S190" s="889">
        <v>3759.09</v>
      </c>
    </row>
    <row r="191" spans="1:19" ht="33.75" x14ac:dyDescent="0.25">
      <c r="A191" s="880">
        <v>2025</v>
      </c>
      <c r="B191" s="816" t="s">
        <v>186</v>
      </c>
      <c r="C191" s="816" t="s">
        <v>1155</v>
      </c>
      <c r="D191" s="816" t="s">
        <v>9005</v>
      </c>
      <c r="E191" s="816" t="s">
        <v>9006</v>
      </c>
      <c r="F191" s="816">
        <v>0</v>
      </c>
      <c r="G191" s="816">
        <v>0</v>
      </c>
      <c r="H191" s="826">
        <v>0</v>
      </c>
      <c r="I191" s="826">
        <v>0</v>
      </c>
      <c r="J191" s="826">
        <v>161898143.40000001</v>
      </c>
      <c r="K191" s="826">
        <v>412709.26</v>
      </c>
      <c r="L191" s="826">
        <v>25361568.629999999</v>
      </c>
      <c r="M191" s="826">
        <v>43811.38</v>
      </c>
      <c r="N191" s="826"/>
      <c r="O191" s="826"/>
      <c r="P191" s="826">
        <v>187259712.03</v>
      </c>
      <c r="Q191" s="881">
        <v>456520.64</v>
      </c>
      <c r="R191" s="889">
        <v>187259712.03</v>
      </c>
      <c r="S191" s="889">
        <v>456520.64</v>
      </c>
    </row>
    <row r="192" spans="1:19" ht="33.75" x14ac:dyDescent="0.25">
      <c r="A192" s="880">
        <v>2025</v>
      </c>
      <c r="B192" s="816" t="s">
        <v>186</v>
      </c>
      <c r="C192" s="816" t="s">
        <v>1155</v>
      </c>
      <c r="D192" s="816" t="s">
        <v>1426</v>
      </c>
      <c r="E192" s="816" t="s">
        <v>9014</v>
      </c>
      <c r="F192" s="816">
        <v>110357358</v>
      </c>
      <c r="G192" s="816">
        <v>283807.71999999997</v>
      </c>
      <c r="H192" s="826">
        <v>22910151.449999999</v>
      </c>
      <c r="I192" s="826">
        <v>53103.22</v>
      </c>
      <c r="J192" s="826">
        <v>469410006.19999999</v>
      </c>
      <c r="K192" s="826">
        <v>1176297.6200000001</v>
      </c>
      <c r="L192" s="826">
        <v>13992628.119999999</v>
      </c>
      <c r="M192" s="826">
        <v>29838.1</v>
      </c>
      <c r="N192" s="826"/>
      <c r="O192" s="826"/>
      <c r="P192" s="826">
        <v>506312785.76999998</v>
      </c>
      <c r="Q192" s="881">
        <v>1259238.94</v>
      </c>
      <c r="R192" s="889">
        <v>616670143.76999998</v>
      </c>
      <c r="S192" s="889">
        <v>1543046.66</v>
      </c>
    </row>
    <row r="193" spans="1:19" ht="33.75" x14ac:dyDescent="0.25">
      <c r="A193" s="880">
        <v>2025</v>
      </c>
      <c r="B193" s="816" t="s">
        <v>186</v>
      </c>
      <c r="C193" s="816" t="s">
        <v>1155</v>
      </c>
      <c r="D193" s="816" t="s">
        <v>1427</v>
      </c>
      <c r="E193" s="816" t="s">
        <v>8860</v>
      </c>
      <c r="F193" s="816">
        <v>178544107.77000001</v>
      </c>
      <c r="G193" s="816">
        <v>506772.54</v>
      </c>
      <c r="H193" s="826">
        <v>45345760.460000001</v>
      </c>
      <c r="I193" s="826">
        <v>152402.87</v>
      </c>
      <c r="J193" s="826">
        <v>331067890.30000001</v>
      </c>
      <c r="K193" s="826">
        <v>1016596.98</v>
      </c>
      <c r="L193" s="826">
        <v>7937842.8200000003</v>
      </c>
      <c r="M193" s="826">
        <v>15724.72</v>
      </c>
      <c r="N193" s="826"/>
      <c r="O193" s="826"/>
      <c r="P193" s="826">
        <v>384351493.57999998</v>
      </c>
      <c r="Q193" s="881">
        <v>1184724.57</v>
      </c>
      <c r="R193" s="889">
        <v>562895601.35000002</v>
      </c>
      <c r="S193" s="889">
        <v>1691497.11</v>
      </c>
    </row>
    <row r="194" spans="1:19" ht="22.5" x14ac:dyDescent="0.25">
      <c r="A194" s="880">
        <v>2025</v>
      </c>
      <c r="B194" s="816" t="s">
        <v>186</v>
      </c>
      <c r="C194" s="816" t="s">
        <v>1173</v>
      </c>
      <c r="D194" s="816" t="s">
        <v>1428</v>
      </c>
      <c r="E194" s="816" t="s">
        <v>8861</v>
      </c>
      <c r="F194" s="816">
        <v>0</v>
      </c>
      <c r="G194" s="816">
        <v>0</v>
      </c>
      <c r="H194" s="826">
        <v>0</v>
      </c>
      <c r="I194" s="826">
        <v>0</v>
      </c>
      <c r="J194" s="826">
        <v>159015613.40000001</v>
      </c>
      <c r="K194" s="826">
        <v>328260.69</v>
      </c>
      <c r="L194" s="826">
        <v>0</v>
      </c>
      <c r="M194" s="826">
        <v>0</v>
      </c>
      <c r="N194" s="826"/>
      <c r="O194" s="826"/>
      <c r="P194" s="826">
        <v>159015613.40000001</v>
      </c>
      <c r="Q194" s="881">
        <v>328260.69</v>
      </c>
      <c r="R194" s="889">
        <v>159015613.40000001</v>
      </c>
      <c r="S194" s="889">
        <v>328260.69</v>
      </c>
    </row>
    <row r="195" spans="1:19" ht="22.5" x14ac:dyDescent="0.25">
      <c r="A195" s="880">
        <v>2025</v>
      </c>
      <c r="B195" s="816" t="s">
        <v>186</v>
      </c>
      <c r="C195" s="816" t="s">
        <v>1184</v>
      </c>
      <c r="D195" s="816" t="s">
        <v>1430</v>
      </c>
      <c r="E195" s="816" t="s">
        <v>1431</v>
      </c>
      <c r="F195" s="816">
        <v>4185578</v>
      </c>
      <c r="G195" s="816">
        <v>0</v>
      </c>
      <c r="H195" s="826">
        <v>318674915.39999998</v>
      </c>
      <c r="I195" s="826">
        <v>0</v>
      </c>
      <c r="J195" s="826">
        <v>0</v>
      </c>
      <c r="K195" s="826">
        <v>0</v>
      </c>
      <c r="L195" s="826">
        <v>0</v>
      </c>
      <c r="M195" s="826">
        <v>0</v>
      </c>
      <c r="N195" s="826"/>
      <c r="O195" s="826"/>
      <c r="P195" s="826">
        <v>318674915.39999998</v>
      </c>
      <c r="Q195" s="881">
        <v>0</v>
      </c>
      <c r="R195" s="889">
        <v>322860493.39999998</v>
      </c>
      <c r="S195" s="889">
        <v>0</v>
      </c>
    </row>
    <row r="196" spans="1:19" ht="22.5" x14ac:dyDescent="0.25">
      <c r="A196" s="880">
        <v>2025</v>
      </c>
      <c r="B196" s="816" t="s">
        <v>186</v>
      </c>
      <c r="C196" s="816" t="s">
        <v>1184</v>
      </c>
      <c r="D196" s="816" t="s">
        <v>1432</v>
      </c>
      <c r="E196" s="816" t="s">
        <v>1429</v>
      </c>
      <c r="F196" s="816">
        <v>4681450.3600000003</v>
      </c>
      <c r="G196" s="816">
        <v>0</v>
      </c>
      <c r="H196" s="826">
        <v>538028036.70000005</v>
      </c>
      <c r="I196" s="826">
        <v>0</v>
      </c>
      <c r="J196" s="826">
        <v>0</v>
      </c>
      <c r="K196" s="826">
        <v>0</v>
      </c>
      <c r="L196" s="826">
        <v>0</v>
      </c>
      <c r="M196" s="826">
        <v>0</v>
      </c>
      <c r="N196" s="826"/>
      <c r="O196" s="826"/>
      <c r="P196" s="826">
        <v>538028036.70000005</v>
      </c>
      <c r="Q196" s="881">
        <v>0</v>
      </c>
      <c r="R196" s="889">
        <v>542709487.06000006</v>
      </c>
      <c r="S196" s="889">
        <v>0</v>
      </c>
    </row>
    <row r="197" spans="1:19" ht="22.5" x14ac:dyDescent="0.25">
      <c r="A197" s="880">
        <v>2025</v>
      </c>
      <c r="B197" s="816" t="s">
        <v>186</v>
      </c>
      <c r="C197" s="816" t="s">
        <v>1194</v>
      </c>
      <c r="D197" s="816" t="s">
        <v>1433</v>
      </c>
      <c r="E197" s="816" t="s">
        <v>1434</v>
      </c>
      <c r="F197" s="816">
        <v>6246</v>
      </c>
      <c r="G197" s="816">
        <v>0</v>
      </c>
      <c r="H197" s="826">
        <v>180786.7</v>
      </c>
      <c r="I197" s="826">
        <v>0</v>
      </c>
      <c r="J197" s="826">
        <v>0</v>
      </c>
      <c r="K197" s="826">
        <v>537.83000000000004</v>
      </c>
      <c r="L197" s="826">
        <v>0</v>
      </c>
      <c r="M197" s="826">
        <v>0</v>
      </c>
      <c r="N197" s="826"/>
      <c r="O197" s="826"/>
      <c r="P197" s="826">
        <v>180786.7</v>
      </c>
      <c r="Q197" s="881">
        <v>537.83000000000004</v>
      </c>
      <c r="R197" s="889">
        <v>187032.7</v>
      </c>
      <c r="S197" s="889">
        <v>537.83000000000004</v>
      </c>
    </row>
    <row r="198" spans="1:19" ht="22.5" x14ac:dyDescent="0.25">
      <c r="A198" s="880">
        <v>2025</v>
      </c>
      <c r="B198" s="816" t="s">
        <v>186</v>
      </c>
      <c r="C198" s="816" t="s">
        <v>1194</v>
      </c>
      <c r="D198" s="816" t="s">
        <v>1435</v>
      </c>
      <c r="E198" s="816" t="s">
        <v>9007</v>
      </c>
      <c r="F198" s="816">
        <v>8916.7999999999993</v>
      </c>
      <c r="G198" s="816">
        <v>0</v>
      </c>
      <c r="H198" s="826">
        <v>57565.31</v>
      </c>
      <c r="I198" s="826">
        <v>263.04000000000002</v>
      </c>
      <c r="J198" s="826">
        <v>0</v>
      </c>
      <c r="K198" s="826">
        <v>191.79</v>
      </c>
      <c r="L198" s="826">
        <v>0</v>
      </c>
      <c r="M198" s="826">
        <v>0</v>
      </c>
      <c r="N198" s="826"/>
      <c r="O198" s="826"/>
      <c r="P198" s="826">
        <v>57565.31</v>
      </c>
      <c r="Q198" s="881">
        <v>454.83</v>
      </c>
      <c r="R198" s="889">
        <v>66482.11</v>
      </c>
      <c r="S198" s="889">
        <v>454.83</v>
      </c>
    </row>
    <row r="199" spans="1:19" ht="22.5" x14ac:dyDescent="0.25">
      <c r="A199" s="880">
        <v>2025</v>
      </c>
      <c r="B199" s="816" t="s">
        <v>186</v>
      </c>
      <c r="C199" s="816" t="s">
        <v>1200</v>
      </c>
      <c r="D199" s="816" t="s">
        <v>1436</v>
      </c>
      <c r="E199" s="816" t="s">
        <v>1437</v>
      </c>
      <c r="F199" s="816">
        <v>777997</v>
      </c>
      <c r="G199" s="816">
        <v>2166.4499999999998</v>
      </c>
      <c r="H199" s="826">
        <v>457858.07</v>
      </c>
      <c r="I199" s="826">
        <v>1275.1199999999999</v>
      </c>
      <c r="J199" s="826">
        <v>4824437.45</v>
      </c>
      <c r="K199" s="826">
        <v>13436.28</v>
      </c>
      <c r="L199" s="826">
        <v>0</v>
      </c>
      <c r="M199" s="826">
        <v>0</v>
      </c>
      <c r="N199" s="826"/>
      <c r="O199" s="826"/>
      <c r="P199" s="826">
        <v>5282295.5199999996</v>
      </c>
      <c r="Q199" s="881">
        <v>14711.4</v>
      </c>
      <c r="R199" s="889">
        <v>6060292.5199999996</v>
      </c>
      <c r="S199" s="889">
        <v>16877.849999999999</v>
      </c>
    </row>
    <row r="200" spans="1:19" ht="22.5" x14ac:dyDescent="0.25">
      <c r="A200" s="880">
        <v>2025</v>
      </c>
      <c r="B200" s="816" t="s">
        <v>186</v>
      </c>
      <c r="C200" s="816" t="s">
        <v>1200</v>
      </c>
      <c r="D200" s="816" t="s">
        <v>1438</v>
      </c>
      <c r="E200" s="816" t="s">
        <v>9015</v>
      </c>
      <c r="F200" s="816">
        <v>0</v>
      </c>
      <c r="G200" s="816">
        <v>0</v>
      </c>
      <c r="H200" s="826">
        <v>0</v>
      </c>
      <c r="I200" s="826">
        <v>0</v>
      </c>
      <c r="J200" s="826">
        <v>3994511.59</v>
      </c>
      <c r="K200" s="826">
        <v>11140.31</v>
      </c>
      <c r="L200" s="826">
        <v>0</v>
      </c>
      <c r="M200" s="826">
        <v>0</v>
      </c>
      <c r="N200" s="826"/>
      <c r="O200" s="826"/>
      <c r="P200" s="826">
        <v>3994511.59</v>
      </c>
      <c r="Q200" s="881">
        <v>11140.31</v>
      </c>
      <c r="R200" s="889">
        <v>3994511.59</v>
      </c>
      <c r="S200" s="889">
        <v>11140.31</v>
      </c>
    </row>
    <row r="201" spans="1:19" ht="33.75" x14ac:dyDescent="0.25">
      <c r="A201" s="880">
        <v>2025</v>
      </c>
      <c r="B201" s="816" t="s">
        <v>186</v>
      </c>
      <c r="C201" s="816" t="s">
        <v>1210</v>
      </c>
      <c r="D201" s="816" t="s">
        <v>1439</v>
      </c>
      <c r="E201" s="816" t="s">
        <v>1440</v>
      </c>
      <c r="F201" s="816">
        <v>0</v>
      </c>
      <c r="G201" s="816">
        <v>0</v>
      </c>
      <c r="H201" s="826">
        <v>1541197</v>
      </c>
      <c r="I201" s="826">
        <v>0</v>
      </c>
      <c r="J201" s="826">
        <v>0</v>
      </c>
      <c r="K201" s="826">
        <v>0</v>
      </c>
      <c r="L201" s="826">
        <v>0</v>
      </c>
      <c r="M201" s="826">
        <v>0</v>
      </c>
      <c r="N201" s="826"/>
      <c r="O201" s="826"/>
      <c r="P201" s="826">
        <v>1541197</v>
      </c>
      <c r="Q201" s="881">
        <v>0</v>
      </c>
      <c r="R201" s="889">
        <v>1541197</v>
      </c>
      <c r="S201" s="889">
        <v>0</v>
      </c>
    </row>
    <row r="202" spans="1:19" ht="33.75" x14ac:dyDescent="0.25">
      <c r="A202" s="880">
        <v>2025</v>
      </c>
      <c r="B202" s="816" t="s">
        <v>186</v>
      </c>
      <c r="C202" s="816" t="s">
        <v>1210</v>
      </c>
      <c r="D202" s="816" t="s">
        <v>1441</v>
      </c>
      <c r="E202" s="816" t="s">
        <v>1442</v>
      </c>
      <c r="F202" s="816">
        <v>209748</v>
      </c>
      <c r="G202" s="816">
        <v>0</v>
      </c>
      <c r="H202" s="826">
        <v>1954924.56</v>
      </c>
      <c r="I202" s="826">
        <v>0</v>
      </c>
      <c r="J202" s="826">
        <v>0</v>
      </c>
      <c r="K202" s="826">
        <v>0</v>
      </c>
      <c r="L202" s="826">
        <v>0</v>
      </c>
      <c r="M202" s="826">
        <v>0</v>
      </c>
      <c r="N202" s="826"/>
      <c r="O202" s="826"/>
      <c r="P202" s="826">
        <v>1954924.56</v>
      </c>
      <c r="Q202" s="881">
        <v>0</v>
      </c>
      <c r="R202" s="889">
        <v>2164672.56</v>
      </c>
      <c r="S202" s="889">
        <v>0</v>
      </c>
    </row>
    <row r="203" spans="1:19" ht="22.5" x14ac:dyDescent="0.25">
      <c r="A203" s="880">
        <v>2025</v>
      </c>
      <c r="B203" s="816" t="s">
        <v>240</v>
      </c>
      <c r="C203" s="816" t="s">
        <v>1143</v>
      </c>
      <c r="D203" s="816" t="s">
        <v>1226</v>
      </c>
      <c r="E203" s="816" t="s">
        <v>1443</v>
      </c>
      <c r="F203" s="816">
        <v>94697.919999999998</v>
      </c>
      <c r="G203" s="816">
        <v>0</v>
      </c>
      <c r="H203" s="826">
        <v>114123839.81</v>
      </c>
      <c r="I203" s="826"/>
      <c r="J203" s="826">
        <v>740403.41</v>
      </c>
      <c r="K203" s="826"/>
      <c r="L203" s="826"/>
      <c r="M203" s="826"/>
      <c r="N203" s="826"/>
      <c r="O203" s="826"/>
      <c r="P203" s="826">
        <v>114864243.22</v>
      </c>
      <c r="Q203" s="881">
        <v>0</v>
      </c>
      <c r="R203" s="889">
        <v>114958941.14</v>
      </c>
      <c r="S203" s="889">
        <v>0</v>
      </c>
    </row>
    <row r="204" spans="1:19" ht="22.5" x14ac:dyDescent="0.25">
      <c r="A204" s="880">
        <v>2025</v>
      </c>
      <c r="B204" s="816" t="s">
        <v>240</v>
      </c>
      <c r="C204" s="816" t="s">
        <v>1155</v>
      </c>
      <c r="D204" s="816" t="s">
        <v>1228</v>
      </c>
      <c r="E204" s="816" t="s">
        <v>1444</v>
      </c>
      <c r="F204" s="816">
        <v>1014403.6</v>
      </c>
      <c r="G204" s="816">
        <v>2078.5700000000002</v>
      </c>
      <c r="H204" s="826">
        <v>47920344.359999999</v>
      </c>
      <c r="I204" s="826">
        <v>140221.69</v>
      </c>
      <c r="J204" s="826">
        <v>214338022.75</v>
      </c>
      <c r="K204" s="826">
        <v>494932.47</v>
      </c>
      <c r="L204" s="826">
        <v>2995323.52</v>
      </c>
      <c r="M204" s="826">
        <v>5601.93</v>
      </c>
      <c r="N204" s="826"/>
      <c r="O204" s="826"/>
      <c r="P204" s="826">
        <v>265253690.63</v>
      </c>
      <c r="Q204" s="881">
        <v>640756.09</v>
      </c>
      <c r="R204" s="889">
        <v>266268094.22999999</v>
      </c>
      <c r="S204" s="889">
        <v>642834.65999999992</v>
      </c>
    </row>
    <row r="205" spans="1:19" ht="22.5" x14ac:dyDescent="0.25">
      <c r="A205" s="880">
        <v>2025</v>
      </c>
      <c r="B205" s="816" t="s">
        <v>240</v>
      </c>
      <c r="C205" s="816" t="s">
        <v>1184</v>
      </c>
      <c r="D205" s="816" t="s">
        <v>1184</v>
      </c>
      <c r="E205" s="816" t="s">
        <v>1445</v>
      </c>
      <c r="F205" s="816">
        <v>88496</v>
      </c>
      <c r="G205" s="816">
        <v>0</v>
      </c>
      <c r="H205" s="826">
        <v>368000813.27999997</v>
      </c>
      <c r="I205" s="826"/>
      <c r="J205" s="826"/>
      <c r="K205" s="826"/>
      <c r="L205" s="826"/>
      <c r="M205" s="826"/>
      <c r="N205" s="826"/>
      <c r="O205" s="826"/>
      <c r="P205" s="826">
        <v>368000813.27999997</v>
      </c>
      <c r="Q205" s="881">
        <v>0</v>
      </c>
      <c r="R205" s="889">
        <v>368089309.27999997</v>
      </c>
      <c r="S205" s="889">
        <v>0</v>
      </c>
    </row>
    <row r="206" spans="1:19" ht="22.5" x14ac:dyDescent="0.25">
      <c r="A206" s="880">
        <v>2025</v>
      </c>
      <c r="B206" s="816" t="s">
        <v>240</v>
      </c>
      <c r="C206" s="816" t="s">
        <v>1194</v>
      </c>
      <c r="D206" s="816" t="s">
        <v>1240</v>
      </c>
      <c r="E206" s="816" t="s">
        <v>1446</v>
      </c>
      <c r="F206" s="816">
        <v>37145</v>
      </c>
      <c r="G206" s="816">
        <v>102</v>
      </c>
      <c r="H206" s="826">
        <v>300860.58</v>
      </c>
      <c r="I206" s="826">
        <v>827.68</v>
      </c>
      <c r="J206" s="826"/>
      <c r="K206" s="826"/>
      <c r="L206" s="826"/>
      <c r="M206" s="826"/>
      <c r="N206" s="826"/>
      <c r="O206" s="826"/>
      <c r="P206" s="826">
        <v>300860.58</v>
      </c>
      <c r="Q206" s="881">
        <v>827.68</v>
      </c>
      <c r="R206" s="889">
        <v>338005.58</v>
      </c>
      <c r="S206" s="889">
        <v>929.68</v>
      </c>
    </row>
    <row r="207" spans="1:19" ht="22.5" x14ac:dyDescent="0.25">
      <c r="A207" s="880">
        <v>2025</v>
      </c>
      <c r="B207" s="816" t="s">
        <v>240</v>
      </c>
      <c r="C207" s="816" t="s">
        <v>1200</v>
      </c>
      <c r="D207" s="816" t="s">
        <v>1224</v>
      </c>
      <c r="E207" s="816" t="s">
        <v>1447</v>
      </c>
      <c r="F207" s="816">
        <v>112565.4</v>
      </c>
      <c r="G207" s="816">
        <v>0</v>
      </c>
      <c r="H207" s="826">
        <v>0</v>
      </c>
      <c r="I207" s="826"/>
      <c r="J207" s="826">
        <v>3658923.64</v>
      </c>
      <c r="K207" s="826">
        <v>10190.799999999999</v>
      </c>
      <c r="L207" s="826"/>
      <c r="M207" s="826"/>
      <c r="N207" s="826"/>
      <c r="O207" s="826"/>
      <c r="P207" s="826">
        <v>3658923.64</v>
      </c>
      <c r="Q207" s="881">
        <v>10190.799999999999</v>
      </c>
      <c r="R207" s="889">
        <v>3771489.04</v>
      </c>
      <c r="S207" s="889">
        <v>10190.799999999999</v>
      </c>
    </row>
    <row r="208" spans="1:19" ht="33.75" x14ac:dyDescent="0.25">
      <c r="A208" s="880">
        <v>2025</v>
      </c>
      <c r="B208" s="816" t="s">
        <v>240</v>
      </c>
      <c r="C208" s="816" t="s">
        <v>1210</v>
      </c>
      <c r="D208" s="816" t="s">
        <v>1243</v>
      </c>
      <c r="E208" s="816" t="s">
        <v>1448</v>
      </c>
      <c r="F208" s="816">
        <v>333951</v>
      </c>
      <c r="G208" s="816">
        <v>0</v>
      </c>
      <c r="H208" s="826">
        <v>900337.59</v>
      </c>
      <c r="I208" s="826"/>
      <c r="J208" s="826"/>
      <c r="K208" s="826"/>
      <c r="L208" s="826"/>
      <c r="M208" s="826"/>
      <c r="N208" s="826"/>
      <c r="O208" s="826"/>
      <c r="P208" s="826">
        <v>900337.59</v>
      </c>
      <c r="Q208" s="881">
        <v>0</v>
      </c>
      <c r="R208" s="889">
        <v>1234288.5899999999</v>
      </c>
      <c r="S208" s="889">
        <v>0</v>
      </c>
    </row>
    <row r="209" spans="1:19" ht="22.5" x14ac:dyDescent="0.25">
      <c r="A209" s="880">
        <v>2025</v>
      </c>
      <c r="B209" s="816" t="s">
        <v>244</v>
      </c>
      <c r="C209" s="816" t="s">
        <v>1140</v>
      </c>
      <c r="D209" s="816" t="s">
        <v>1250</v>
      </c>
      <c r="E209" s="816" t="s">
        <v>1449</v>
      </c>
      <c r="F209" s="816">
        <v>0</v>
      </c>
      <c r="G209" s="816">
        <v>0</v>
      </c>
      <c r="H209" s="826">
        <v>0</v>
      </c>
      <c r="I209" s="826"/>
      <c r="J209" s="826">
        <v>70393832.170000002</v>
      </c>
      <c r="K209" s="826">
        <v>184947.34529999999</v>
      </c>
      <c r="L209" s="826"/>
      <c r="M209" s="826"/>
      <c r="N209" s="826"/>
      <c r="O209" s="826"/>
      <c r="P209" s="826">
        <v>70393832.170000002</v>
      </c>
      <c r="Q209" s="881">
        <v>184947.34529999999</v>
      </c>
      <c r="R209" s="889">
        <v>70393832.170000002</v>
      </c>
      <c r="S209" s="889">
        <v>184947.34529999999</v>
      </c>
    </row>
    <row r="210" spans="1:19" ht="22.5" x14ac:dyDescent="0.25">
      <c r="A210" s="880">
        <v>2025</v>
      </c>
      <c r="B210" s="816" t="s">
        <v>244</v>
      </c>
      <c r="C210" s="816" t="s">
        <v>1143</v>
      </c>
      <c r="D210" s="816" t="s">
        <v>1226</v>
      </c>
      <c r="E210" s="816" t="s">
        <v>1450</v>
      </c>
      <c r="F210" s="816">
        <v>94697.919999999998</v>
      </c>
      <c r="G210" s="816">
        <v>0</v>
      </c>
      <c r="H210" s="826">
        <v>16056518.550000001</v>
      </c>
      <c r="I210" s="465"/>
      <c r="J210" s="826"/>
      <c r="K210" s="465"/>
      <c r="L210" s="465"/>
      <c r="M210" s="465"/>
      <c r="N210" s="465"/>
      <c r="O210" s="465"/>
      <c r="P210" s="826">
        <v>16056518.550000001</v>
      </c>
      <c r="Q210" s="881">
        <v>0</v>
      </c>
      <c r="R210" s="889">
        <v>16151216.470000001</v>
      </c>
      <c r="S210" s="889">
        <v>0</v>
      </c>
    </row>
    <row r="211" spans="1:19" ht="22.5" x14ac:dyDescent="0.25">
      <c r="A211" s="880">
        <v>2025</v>
      </c>
      <c r="B211" s="816" t="s">
        <v>244</v>
      </c>
      <c r="C211" s="816" t="s">
        <v>1155</v>
      </c>
      <c r="D211" s="816" t="s">
        <v>1228</v>
      </c>
      <c r="E211" s="816" t="s">
        <v>1451</v>
      </c>
      <c r="F211" s="816">
        <v>1014403.6</v>
      </c>
      <c r="G211" s="816">
        <v>2078.5700000000002</v>
      </c>
      <c r="H211" s="826">
        <v>4236749.7</v>
      </c>
      <c r="I211" s="826">
        <v>14396.617</v>
      </c>
      <c r="J211" s="826">
        <v>47797761.109999999</v>
      </c>
      <c r="K211" s="826">
        <v>130098.5269</v>
      </c>
      <c r="L211" s="826">
        <v>3133971.38</v>
      </c>
      <c r="M211" s="826">
        <v>6199.7049999999999</v>
      </c>
      <c r="N211" s="826"/>
      <c r="O211" s="826"/>
      <c r="P211" s="826">
        <v>55168482.189999998</v>
      </c>
      <c r="Q211" s="881">
        <v>150694.84890000001</v>
      </c>
      <c r="R211" s="889">
        <v>56182885.789999999</v>
      </c>
      <c r="S211" s="889">
        <v>152773.41890000002</v>
      </c>
    </row>
    <row r="212" spans="1:19" ht="22.5" x14ac:dyDescent="0.25">
      <c r="A212" s="880">
        <v>2025</v>
      </c>
      <c r="B212" s="816" t="s">
        <v>244</v>
      </c>
      <c r="C212" s="816" t="s">
        <v>1184</v>
      </c>
      <c r="D212" s="816" t="s">
        <v>1184</v>
      </c>
      <c r="E212" s="816" t="s">
        <v>1452</v>
      </c>
      <c r="F212" s="816">
        <v>88496</v>
      </c>
      <c r="G212" s="816">
        <v>0</v>
      </c>
      <c r="H212" s="826">
        <v>99998795.989999995</v>
      </c>
      <c r="I212" s="465"/>
      <c r="J212" s="465"/>
      <c r="K212" s="465"/>
      <c r="L212" s="465"/>
      <c r="M212" s="465"/>
      <c r="N212" s="465"/>
      <c r="O212" s="465"/>
      <c r="P212" s="826">
        <v>99998795.989999995</v>
      </c>
      <c r="Q212" s="881">
        <v>0</v>
      </c>
      <c r="R212" s="889">
        <v>100087291.98999999</v>
      </c>
      <c r="S212" s="889">
        <v>0</v>
      </c>
    </row>
    <row r="213" spans="1:19" ht="22.5" x14ac:dyDescent="0.25">
      <c r="A213" s="880">
        <v>2025</v>
      </c>
      <c r="B213" s="816" t="s">
        <v>244</v>
      </c>
      <c r="C213" s="816" t="s">
        <v>1200</v>
      </c>
      <c r="D213" s="816" t="s">
        <v>1224</v>
      </c>
      <c r="E213" s="816" t="s">
        <v>1453</v>
      </c>
      <c r="F213" s="816">
        <v>112565.4</v>
      </c>
      <c r="G213" s="816">
        <v>0</v>
      </c>
      <c r="H213" s="826">
        <v>0</v>
      </c>
      <c r="I213" s="826"/>
      <c r="J213" s="465">
        <v>5356.193499</v>
      </c>
      <c r="K213" s="465">
        <v>14.88</v>
      </c>
      <c r="L213" s="465"/>
      <c r="M213" s="465"/>
      <c r="N213" s="465"/>
      <c r="O213" s="465"/>
      <c r="P213" s="826">
        <v>5356.193499</v>
      </c>
      <c r="Q213" s="881">
        <v>14.88</v>
      </c>
      <c r="R213" s="889">
        <v>117921.593499</v>
      </c>
      <c r="S213" s="889">
        <v>14.88</v>
      </c>
    </row>
    <row r="214" spans="1:19" ht="33.75" x14ac:dyDescent="0.25">
      <c r="A214" s="880">
        <v>2025</v>
      </c>
      <c r="B214" s="816" t="s">
        <v>244</v>
      </c>
      <c r="C214" s="816" t="s">
        <v>1210</v>
      </c>
      <c r="D214" s="816" t="s">
        <v>1243</v>
      </c>
      <c r="E214" s="816" t="s">
        <v>1454</v>
      </c>
      <c r="F214" s="816">
        <v>333951</v>
      </c>
      <c r="G214" s="816">
        <v>0</v>
      </c>
      <c r="H214" s="826">
        <v>328325.56670000002</v>
      </c>
      <c r="I214" s="465"/>
      <c r="J214" s="826"/>
      <c r="K214" s="826"/>
      <c r="L214" s="465"/>
      <c r="M214" s="465"/>
      <c r="N214" s="465"/>
      <c r="O214" s="465"/>
      <c r="P214" s="826">
        <v>328325.56670000002</v>
      </c>
      <c r="Q214" s="881">
        <v>0</v>
      </c>
      <c r="R214" s="889">
        <v>662276.56670000008</v>
      </c>
      <c r="S214" s="889">
        <v>0</v>
      </c>
    </row>
    <row r="215" spans="1:19" ht="22.5" x14ac:dyDescent="0.25">
      <c r="A215" s="880">
        <v>2025</v>
      </c>
      <c r="B215" s="816" t="s">
        <v>248</v>
      </c>
      <c r="C215" s="816" t="s">
        <v>1143</v>
      </c>
      <c r="D215" s="816" t="s">
        <v>1226</v>
      </c>
      <c r="E215" s="816" t="s">
        <v>1455</v>
      </c>
      <c r="F215" s="816">
        <v>94697.919999999998</v>
      </c>
      <c r="G215" s="816">
        <v>0</v>
      </c>
      <c r="H215" s="826">
        <v>43477091</v>
      </c>
      <c r="I215" s="465">
        <v>0</v>
      </c>
      <c r="J215" s="465">
        <v>0</v>
      </c>
      <c r="K215" s="465">
        <v>0</v>
      </c>
      <c r="L215" s="465">
        <v>0</v>
      </c>
      <c r="M215" s="465">
        <v>0</v>
      </c>
      <c r="N215" s="465"/>
      <c r="O215" s="465"/>
      <c r="P215" s="826">
        <v>43477091</v>
      </c>
      <c r="Q215" s="881">
        <v>0</v>
      </c>
      <c r="R215" s="889">
        <v>43571788.920000002</v>
      </c>
      <c r="S215" s="889">
        <v>0</v>
      </c>
    </row>
    <row r="216" spans="1:19" ht="22.5" x14ac:dyDescent="0.25">
      <c r="A216" s="880">
        <v>2025</v>
      </c>
      <c r="B216" s="816" t="s">
        <v>248</v>
      </c>
      <c r="C216" s="816" t="s">
        <v>1155</v>
      </c>
      <c r="D216" s="816" t="s">
        <v>1233</v>
      </c>
      <c r="E216" s="816" t="s">
        <v>1456</v>
      </c>
      <c r="F216" s="816">
        <v>0</v>
      </c>
      <c r="G216" s="816">
        <v>0</v>
      </c>
      <c r="H216" s="826">
        <v>0</v>
      </c>
      <c r="I216" s="465">
        <v>0</v>
      </c>
      <c r="J216" s="826">
        <v>74996436</v>
      </c>
      <c r="K216" s="826">
        <v>199215</v>
      </c>
      <c r="L216" s="465">
        <v>0</v>
      </c>
      <c r="M216" s="465">
        <v>0</v>
      </c>
      <c r="N216" s="465"/>
      <c r="O216" s="465"/>
      <c r="P216" s="826">
        <v>74996436</v>
      </c>
      <c r="Q216" s="881">
        <v>199215</v>
      </c>
      <c r="R216" s="889">
        <v>74996436</v>
      </c>
      <c r="S216" s="889">
        <v>199215</v>
      </c>
    </row>
    <row r="217" spans="1:19" ht="22.5" x14ac:dyDescent="0.25">
      <c r="A217" s="880">
        <v>2025</v>
      </c>
      <c r="B217" s="816" t="s">
        <v>248</v>
      </c>
      <c r="C217" s="816" t="s">
        <v>1155</v>
      </c>
      <c r="D217" s="816" t="s">
        <v>1235</v>
      </c>
      <c r="E217" s="816" t="s">
        <v>1457</v>
      </c>
      <c r="F217" s="816">
        <v>57477609</v>
      </c>
      <c r="G217" s="816">
        <v>172041</v>
      </c>
      <c r="H217" s="826">
        <v>10224911</v>
      </c>
      <c r="I217" s="465">
        <v>30800</v>
      </c>
      <c r="J217" s="465">
        <v>119136100</v>
      </c>
      <c r="K217" s="465">
        <v>345709</v>
      </c>
      <c r="L217" s="465">
        <v>3254743</v>
      </c>
      <c r="M217" s="465">
        <v>6889</v>
      </c>
      <c r="N217" s="465"/>
      <c r="O217" s="465"/>
      <c r="P217" s="826">
        <v>132615754</v>
      </c>
      <c r="Q217" s="881">
        <v>383398</v>
      </c>
      <c r="R217" s="889">
        <v>190093363</v>
      </c>
      <c r="S217" s="889">
        <v>555439</v>
      </c>
    </row>
    <row r="218" spans="1:19" ht="22.5" x14ac:dyDescent="0.25">
      <c r="A218" s="880">
        <v>2025</v>
      </c>
      <c r="B218" s="816" t="s">
        <v>248</v>
      </c>
      <c r="C218" s="816" t="s">
        <v>1184</v>
      </c>
      <c r="D218" s="816" t="s">
        <v>1184</v>
      </c>
      <c r="E218" s="816" t="s">
        <v>1458</v>
      </c>
      <c r="F218" s="816">
        <v>88496</v>
      </c>
      <c r="G218" s="816">
        <v>0</v>
      </c>
      <c r="H218" s="826">
        <v>214870463</v>
      </c>
      <c r="I218" s="826">
        <v>0</v>
      </c>
      <c r="J218" s="826">
        <v>0</v>
      </c>
      <c r="K218" s="826">
        <v>0</v>
      </c>
      <c r="L218" s="826">
        <v>0</v>
      </c>
      <c r="M218" s="826">
        <v>0</v>
      </c>
      <c r="N218" s="826"/>
      <c r="O218" s="826"/>
      <c r="P218" s="826">
        <v>214870463</v>
      </c>
      <c r="Q218" s="881">
        <v>0</v>
      </c>
      <c r="R218" s="889">
        <v>214958959</v>
      </c>
      <c r="S218" s="889">
        <v>0</v>
      </c>
    </row>
    <row r="219" spans="1:19" ht="22.5" x14ac:dyDescent="0.25">
      <c r="A219" s="880">
        <v>2025</v>
      </c>
      <c r="B219" s="816" t="s">
        <v>248</v>
      </c>
      <c r="C219" s="816" t="s">
        <v>1194</v>
      </c>
      <c r="D219" s="816" t="s">
        <v>1240</v>
      </c>
      <c r="E219" s="816" t="s">
        <v>1459</v>
      </c>
      <c r="F219" s="816">
        <v>37145</v>
      </c>
      <c r="G219" s="816">
        <v>102</v>
      </c>
      <c r="H219" s="826">
        <v>214952</v>
      </c>
      <c r="I219" s="465">
        <v>582</v>
      </c>
      <c r="J219" s="465">
        <v>0</v>
      </c>
      <c r="K219" s="465">
        <v>0</v>
      </c>
      <c r="L219" s="465">
        <v>0</v>
      </c>
      <c r="M219" s="465">
        <v>0</v>
      </c>
      <c r="N219" s="465"/>
      <c r="O219" s="465"/>
      <c r="P219" s="826">
        <v>214952</v>
      </c>
      <c r="Q219" s="881">
        <v>582</v>
      </c>
      <c r="R219" s="889">
        <v>252097</v>
      </c>
      <c r="S219" s="889">
        <v>684</v>
      </c>
    </row>
    <row r="220" spans="1:19" ht="22.5" x14ac:dyDescent="0.25">
      <c r="A220" s="880">
        <v>2025</v>
      </c>
      <c r="B220" s="816" t="s">
        <v>248</v>
      </c>
      <c r="C220" s="816" t="s">
        <v>1200</v>
      </c>
      <c r="D220" s="816" t="s">
        <v>1224</v>
      </c>
      <c r="E220" s="816" t="s">
        <v>1460</v>
      </c>
      <c r="F220" s="816">
        <v>112565.4</v>
      </c>
      <c r="G220" s="816">
        <v>0</v>
      </c>
      <c r="H220" s="826">
        <v>0</v>
      </c>
      <c r="I220" s="465">
        <v>0</v>
      </c>
      <c r="J220" s="826">
        <v>1180901</v>
      </c>
      <c r="K220" s="826">
        <v>3285</v>
      </c>
      <c r="L220" s="465">
        <v>0</v>
      </c>
      <c r="M220" s="465">
        <v>0</v>
      </c>
      <c r="N220" s="465"/>
      <c r="O220" s="465"/>
      <c r="P220" s="826">
        <v>1180901</v>
      </c>
      <c r="Q220" s="881">
        <v>3285</v>
      </c>
      <c r="R220" s="889">
        <v>1293466.3999999999</v>
      </c>
      <c r="S220" s="889">
        <v>3285</v>
      </c>
    </row>
    <row r="221" spans="1:19" ht="33.75" x14ac:dyDescent="0.25">
      <c r="A221" s="880">
        <v>2025</v>
      </c>
      <c r="B221" s="816" t="s">
        <v>248</v>
      </c>
      <c r="C221" s="816" t="s">
        <v>1210</v>
      </c>
      <c r="D221" s="816" t="s">
        <v>1243</v>
      </c>
      <c r="E221" s="816" t="s">
        <v>1461</v>
      </c>
      <c r="F221" s="816">
        <v>333951</v>
      </c>
      <c r="G221" s="816">
        <v>0</v>
      </c>
      <c r="H221" s="826">
        <v>950324</v>
      </c>
      <c r="I221" s="465">
        <v>0</v>
      </c>
      <c r="J221" s="465">
        <v>0</v>
      </c>
      <c r="K221" s="465">
        <v>0</v>
      </c>
      <c r="L221" s="465">
        <v>0</v>
      </c>
      <c r="M221" s="465">
        <v>0</v>
      </c>
      <c r="N221" s="465"/>
      <c r="O221" s="465"/>
      <c r="P221" s="826">
        <v>950324</v>
      </c>
      <c r="Q221" s="881">
        <v>0</v>
      </c>
      <c r="R221" s="889">
        <v>1284275</v>
      </c>
      <c r="S221" s="889">
        <v>0</v>
      </c>
    </row>
    <row r="222" spans="1:19" ht="22.5" x14ac:dyDescent="0.25">
      <c r="A222" s="880">
        <v>2025</v>
      </c>
      <c r="B222" s="816" t="s">
        <v>252</v>
      </c>
      <c r="C222" s="816" t="s">
        <v>1143</v>
      </c>
      <c r="D222" s="816" t="s">
        <v>1226</v>
      </c>
      <c r="E222" s="816" t="s">
        <v>1462</v>
      </c>
      <c r="F222" s="816">
        <v>94697.919999999998</v>
      </c>
      <c r="G222" s="816">
        <v>0</v>
      </c>
      <c r="H222" s="826">
        <v>9436865</v>
      </c>
      <c r="I222" s="465">
        <v>0</v>
      </c>
      <c r="J222" s="465">
        <v>39</v>
      </c>
      <c r="K222" s="465">
        <v>0</v>
      </c>
      <c r="L222" s="465">
        <v>0</v>
      </c>
      <c r="M222" s="465">
        <v>0</v>
      </c>
      <c r="N222" s="465"/>
      <c r="O222" s="465"/>
      <c r="P222" s="826">
        <v>9436904</v>
      </c>
      <c r="Q222" s="881">
        <v>0</v>
      </c>
      <c r="R222" s="889">
        <v>9531601.9199999999</v>
      </c>
      <c r="S222" s="889">
        <v>0</v>
      </c>
    </row>
    <row r="223" spans="1:19" ht="22.5" x14ac:dyDescent="0.25">
      <c r="A223" s="880">
        <v>2025</v>
      </c>
      <c r="B223" s="816" t="s">
        <v>252</v>
      </c>
      <c r="C223" s="816" t="s">
        <v>1155</v>
      </c>
      <c r="D223" s="816" t="s">
        <v>1463</v>
      </c>
      <c r="E223" s="816" t="s">
        <v>1464</v>
      </c>
      <c r="F223" s="816">
        <v>1886095.71</v>
      </c>
      <c r="G223" s="816">
        <v>7271.84</v>
      </c>
      <c r="H223" s="826">
        <v>2230830</v>
      </c>
      <c r="I223" s="465">
        <v>8256</v>
      </c>
      <c r="J223" s="826">
        <v>17993178</v>
      </c>
      <c r="K223" s="826">
        <v>47025</v>
      </c>
      <c r="L223" s="465">
        <v>0</v>
      </c>
      <c r="M223" s="465">
        <v>0</v>
      </c>
      <c r="N223" s="465"/>
      <c r="O223" s="465"/>
      <c r="P223" s="826">
        <v>20224008</v>
      </c>
      <c r="Q223" s="881">
        <v>55281</v>
      </c>
      <c r="R223" s="889">
        <v>22110103.710000001</v>
      </c>
      <c r="S223" s="889">
        <v>62552.84</v>
      </c>
    </row>
    <row r="224" spans="1:19" ht="22.5" x14ac:dyDescent="0.25">
      <c r="A224" s="880">
        <v>2025</v>
      </c>
      <c r="B224" s="816" t="s">
        <v>252</v>
      </c>
      <c r="C224" s="816" t="s">
        <v>1155</v>
      </c>
      <c r="D224" s="816" t="s">
        <v>1465</v>
      </c>
      <c r="E224" s="816" t="s">
        <v>1466</v>
      </c>
      <c r="F224" s="816">
        <v>0</v>
      </c>
      <c r="G224" s="816">
        <v>0</v>
      </c>
      <c r="H224" s="826">
        <v>0</v>
      </c>
      <c r="I224" s="826">
        <v>0</v>
      </c>
      <c r="J224" s="826">
        <v>19716698</v>
      </c>
      <c r="K224" s="465">
        <v>59883</v>
      </c>
      <c r="L224" s="826">
        <v>0</v>
      </c>
      <c r="M224" s="826">
        <v>0</v>
      </c>
      <c r="N224" s="826"/>
      <c r="O224" s="826"/>
      <c r="P224" s="826">
        <v>19716698</v>
      </c>
      <c r="Q224" s="881">
        <v>59883</v>
      </c>
      <c r="R224" s="889">
        <v>19716698</v>
      </c>
      <c r="S224" s="889">
        <v>59883</v>
      </c>
    </row>
    <row r="225" spans="1:19" ht="22.5" x14ac:dyDescent="0.25">
      <c r="A225" s="880">
        <v>2025</v>
      </c>
      <c r="B225" s="816" t="s">
        <v>252</v>
      </c>
      <c r="C225" s="816" t="s">
        <v>1184</v>
      </c>
      <c r="D225" s="816" t="s">
        <v>1184</v>
      </c>
      <c r="E225" s="816" t="s">
        <v>1467</v>
      </c>
      <c r="F225" s="816">
        <v>88496</v>
      </c>
      <c r="G225" s="816">
        <v>0</v>
      </c>
      <c r="H225" s="826">
        <v>21478402</v>
      </c>
      <c r="I225" s="465">
        <v>0</v>
      </c>
      <c r="J225" s="465">
        <v>0</v>
      </c>
      <c r="K225" s="465">
        <v>0</v>
      </c>
      <c r="L225" s="465">
        <v>0</v>
      </c>
      <c r="M225" s="465">
        <v>0</v>
      </c>
      <c r="N225" s="465"/>
      <c r="O225" s="465"/>
      <c r="P225" s="826">
        <v>21478402</v>
      </c>
      <c r="Q225" s="881">
        <v>0</v>
      </c>
      <c r="R225" s="889">
        <v>21566898</v>
      </c>
      <c r="S225" s="889">
        <v>0</v>
      </c>
    </row>
    <row r="226" spans="1:19" ht="22.5" x14ac:dyDescent="0.25">
      <c r="A226" s="880">
        <v>2025</v>
      </c>
      <c r="B226" s="816" t="s">
        <v>252</v>
      </c>
      <c r="C226" s="816" t="s">
        <v>1194</v>
      </c>
      <c r="D226" s="816" t="s">
        <v>1240</v>
      </c>
      <c r="E226" s="816" t="s">
        <v>1468</v>
      </c>
      <c r="F226" s="816">
        <v>37145</v>
      </c>
      <c r="G226" s="816">
        <v>102</v>
      </c>
      <c r="H226" s="826">
        <v>9452</v>
      </c>
      <c r="I226" s="826">
        <v>35</v>
      </c>
      <c r="J226" s="465">
        <v>0</v>
      </c>
      <c r="K226" s="465">
        <v>0</v>
      </c>
      <c r="L226" s="465">
        <v>0</v>
      </c>
      <c r="M226" s="465">
        <v>0</v>
      </c>
      <c r="N226" s="465"/>
      <c r="O226" s="465"/>
      <c r="P226" s="826">
        <v>9452</v>
      </c>
      <c r="Q226" s="881">
        <v>35</v>
      </c>
      <c r="R226" s="889">
        <v>46597</v>
      </c>
      <c r="S226" s="889">
        <v>137</v>
      </c>
    </row>
    <row r="227" spans="1:19" ht="22.5" x14ac:dyDescent="0.25">
      <c r="A227" s="880">
        <v>2025</v>
      </c>
      <c r="B227" s="816" t="s">
        <v>252</v>
      </c>
      <c r="C227" s="816" t="s">
        <v>1200</v>
      </c>
      <c r="D227" s="816" t="s">
        <v>1224</v>
      </c>
      <c r="E227" s="816" t="s">
        <v>1469</v>
      </c>
      <c r="F227" s="816">
        <v>112565.4</v>
      </c>
      <c r="G227" s="816">
        <v>0</v>
      </c>
      <c r="H227" s="826">
        <v>0</v>
      </c>
      <c r="I227" s="465">
        <v>0</v>
      </c>
      <c r="J227" s="826">
        <v>14612</v>
      </c>
      <c r="K227" s="826">
        <v>20</v>
      </c>
      <c r="L227" s="465">
        <v>0</v>
      </c>
      <c r="M227" s="465">
        <v>0</v>
      </c>
      <c r="N227" s="465"/>
      <c r="O227" s="465"/>
      <c r="P227" s="826">
        <v>14612</v>
      </c>
      <c r="Q227" s="881">
        <v>20</v>
      </c>
      <c r="R227" s="889">
        <v>127177.4</v>
      </c>
      <c r="S227" s="889">
        <v>20</v>
      </c>
    </row>
    <row r="228" spans="1:19" ht="22.5" x14ac:dyDescent="0.25">
      <c r="A228" s="880">
        <v>2025</v>
      </c>
      <c r="B228" s="816" t="s">
        <v>255</v>
      </c>
      <c r="C228" s="816" t="s">
        <v>1143</v>
      </c>
      <c r="D228" s="816" t="s">
        <v>1226</v>
      </c>
      <c r="E228" s="816" t="s">
        <v>1470</v>
      </c>
      <c r="F228" s="816">
        <v>94697.919999999998</v>
      </c>
      <c r="G228" s="816">
        <v>0</v>
      </c>
      <c r="H228" s="826">
        <v>2837946</v>
      </c>
      <c r="I228" s="465"/>
      <c r="J228" s="465"/>
      <c r="K228" s="465"/>
      <c r="L228" s="465"/>
      <c r="M228" s="465"/>
      <c r="N228" s="465"/>
      <c r="O228" s="465"/>
      <c r="P228" s="826">
        <v>2837946</v>
      </c>
      <c r="Q228" s="881">
        <v>0</v>
      </c>
      <c r="R228" s="889">
        <v>2932643.92</v>
      </c>
      <c r="S228" s="889">
        <v>0</v>
      </c>
    </row>
    <row r="229" spans="1:19" ht="22.5" x14ac:dyDescent="0.25">
      <c r="A229" s="880">
        <v>2025</v>
      </c>
      <c r="B229" s="816" t="s">
        <v>255</v>
      </c>
      <c r="C229" s="816" t="s">
        <v>1155</v>
      </c>
      <c r="D229" s="816" t="s">
        <v>1228</v>
      </c>
      <c r="E229" s="816" t="s">
        <v>1471</v>
      </c>
      <c r="F229" s="816">
        <v>1014403.6</v>
      </c>
      <c r="G229" s="816">
        <v>2078.5700000000002</v>
      </c>
      <c r="H229" s="826">
        <v>0</v>
      </c>
      <c r="I229" s="465"/>
      <c r="J229" s="826">
        <v>2760859</v>
      </c>
      <c r="K229" s="465">
        <v>8507</v>
      </c>
      <c r="L229" s="465"/>
      <c r="M229" s="465"/>
      <c r="N229" s="465"/>
      <c r="O229" s="465"/>
      <c r="P229" s="826">
        <v>2760859</v>
      </c>
      <c r="Q229" s="881">
        <v>8507</v>
      </c>
      <c r="R229" s="889">
        <v>3775262.6</v>
      </c>
      <c r="S229" s="889">
        <v>10585.57</v>
      </c>
    </row>
    <row r="230" spans="1:19" x14ac:dyDescent="0.25">
      <c r="A230" s="880">
        <v>2025</v>
      </c>
      <c r="B230" s="816" t="s">
        <v>255</v>
      </c>
      <c r="C230" s="816" t="s">
        <v>1184</v>
      </c>
      <c r="D230" s="816" t="s">
        <v>1184</v>
      </c>
      <c r="E230" s="816" t="s">
        <v>1472</v>
      </c>
      <c r="F230" s="816">
        <v>88496</v>
      </c>
      <c r="G230" s="816">
        <v>0</v>
      </c>
      <c r="H230" s="826">
        <v>12214884</v>
      </c>
      <c r="I230" s="826"/>
      <c r="J230" s="826"/>
      <c r="K230" s="826"/>
      <c r="L230" s="465"/>
      <c r="M230" s="465"/>
      <c r="N230" s="465"/>
      <c r="O230" s="465"/>
      <c r="P230" s="826">
        <v>12214884</v>
      </c>
      <c r="Q230" s="881">
        <v>0</v>
      </c>
      <c r="R230" s="889">
        <v>12303380</v>
      </c>
      <c r="S230" s="889">
        <v>0</v>
      </c>
    </row>
    <row r="231" spans="1:19" ht="22.5" x14ac:dyDescent="0.25">
      <c r="A231" s="880">
        <v>2025</v>
      </c>
      <c r="B231" s="816" t="s">
        <v>255</v>
      </c>
      <c r="C231" s="816" t="s">
        <v>1200</v>
      </c>
      <c r="D231" s="816" t="s">
        <v>1224</v>
      </c>
      <c r="E231" s="816" t="s">
        <v>1473</v>
      </c>
      <c r="F231" s="816">
        <v>112565.4</v>
      </c>
      <c r="G231" s="816">
        <v>0</v>
      </c>
      <c r="H231" s="826">
        <v>0</v>
      </c>
      <c r="I231" s="465"/>
      <c r="J231" s="826">
        <v>152559</v>
      </c>
      <c r="K231" s="826">
        <v>424.8</v>
      </c>
      <c r="L231" s="465"/>
      <c r="M231" s="465"/>
      <c r="N231" s="465"/>
      <c r="O231" s="465"/>
      <c r="P231" s="826">
        <v>152559</v>
      </c>
      <c r="Q231" s="881">
        <v>424.8</v>
      </c>
      <c r="R231" s="889">
        <v>265124.40000000002</v>
      </c>
      <c r="S231" s="889">
        <v>424.8</v>
      </c>
    </row>
    <row r="232" spans="1:19" ht="33.75" x14ac:dyDescent="0.25">
      <c r="A232" s="880">
        <v>2025</v>
      </c>
      <c r="B232" s="816" t="s">
        <v>255</v>
      </c>
      <c r="C232" s="816" t="s">
        <v>1210</v>
      </c>
      <c r="D232" s="816" t="s">
        <v>1243</v>
      </c>
      <c r="E232" s="816" t="s">
        <v>1474</v>
      </c>
      <c r="F232" s="816">
        <v>333951</v>
      </c>
      <c r="G232" s="816">
        <v>0</v>
      </c>
      <c r="H232" s="826">
        <v>9316</v>
      </c>
      <c r="I232" s="465"/>
      <c r="J232" s="465"/>
      <c r="K232" s="465"/>
      <c r="L232" s="465"/>
      <c r="M232" s="465"/>
      <c r="N232" s="465"/>
      <c r="O232" s="465"/>
      <c r="P232" s="826">
        <v>9316</v>
      </c>
      <c r="Q232" s="881">
        <v>0</v>
      </c>
      <c r="R232" s="889">
        <v>343267</v>
      </c>
      <c r="S232" s="889">
        <v>0</v>
      </c>
    </row>
    <row r="233" spans="1:19" ht="22.5" x14ac:dyDescent="0.25">
      <c r="A233" s="880">
        <v>2025</v>
      </c>
      <c r="B233" s="816" t="s">
        <v>259</v>
      </c>
      <c r="C233" s="816" t="s">
        <v>1143</v>
      </c>
      <c r="D233" s="816" t="s">
        <v>1226</v>
      </c>
      <c r="E233" s="816" t="s">
        <v>1475</v>
      </c>
      <c r="F233" s="816">
        <v>94697.919999999998</v>
      </c>
      <c r="G233" s="816">
        <v>0</v>
      </c>
      <c r="H233" s="826">
        <v>12220538</v>
      </c>
      <c r="I233" s="826">
        <v>0</v>
      </c>
      <c r="J233" s="465">
        <v>0</v>
      </c>
      <c r="K233" s="465">
        <v>0</v>
      </c>
      <c r="L233" s="465">
        <v>0</v>
      </c>
      <c r="M233" s="465">
        <v>0</v>
      </c>
      <c r="N233" s="465"/>
      <c r="O233" s="465"/>
      <c r="P233" s="826">
        <v>12220538</v>
      </c>
      <c r="Q233" s="881">
        <v>0</v>
      </c>
      <c r="R233" s="889">
        <v>12315235.92</v>
      </c>
      <c r="S233" s="889">
        <v>0</v>
      </c>
    </row>
    <row r="234" spans="1:19" ht="22.5" x14ac:dyDescent="0.25">
      <c r="A234" s="880">
        <v>2025</v>
      </c>
      <c r="B234" s="816" t="s">
        <v>259</v>
      </c>
      <c r="C234" s="816" t="s">
        <v>1155</v>
      </c>
      <c r="D234" s="816" t="s">
        <v>1228</v>
      </c>
      <c r="E234" s="816" t="s">
        <v>1476</v>
      </c>
      <c r="F234" s="816">
        <v>1014403.6</v>
      </c>
      <c r="G234" s="816">
        <v>2078.5700000000002</v>
      </c>
      <c r="H234" s="826">
        <v>0</v>
      </c>
      <c r="I234" s="465">
        <v>0</v>
      </c>
      <c r="J234" s="826">
        <v>56561066.780000001</v>
      </c>
      <c r="K234" s="826">
        <v>149391.89000000001</v>
      </c>
      <c r="L234" s="465">
        <v>0</v>
      </c>
      <c r="M234" s="465">
        <v>0</v>
      </c>
      <c r="N234" s="465"/>
      <c r="O234" s="465"/>
      <c r="P234" s="826">
        <v>56561066.780000001</v>
      </c>
      <c r="Q234" s="881">
        <v>149391.89000000001</v>
      </c>
      <c r="R234" s="889">
        <v>57575470.380000003</v>
      </c>
      <c r="S234" s="889">
        <v>151470.46000000002</v>
      </c>
    </row>
    <row r="235" spans="1:19" ht="22.5" x14ac:dyDescent="0.25">
      <c r="A235" s="880">
        <v>2025</v>
      </c>
      <c r="B235" s="816" t="s">
        <v>259</v>
      </c>
      <c r="C235" s="816" t="s">
        <v>1184</v>
      </c>
      <c r="D235" s="816" t="s">
        <v>1184</v>
      </c>
      <c r="E235" s="816" t="s">
        <v>1477</v>
      </c>
      <c r="F235" s="816">
        <v>88496</v>
      </c>
      <c r="G235" s="816">
        <v>0</v>
      </c>
      <c r="H235" s="826">
        <v>48417396</v>
      </c>
      <c r="I235" s="465">
        <v>0</v>
      </c>
      <c r="J235" s="465">
        <v>0</v>
      </c>
      <c r="K235" s="465">
        <v>0</v>
      </c>
      <c r="L235" s="465">
        <v>0</v>
      </c>
      <c r="M235" s="465">
        <v>0</v>
      </c>
      <c r="N235" s="465"/>
      <c r="O235" s="465"/>
      <c r="P235" s="826">
        <v>48417396</v>
      </c>
      <c r="Q235" s="881">
        <v>0</v>
      </c>
      <c r="R235" s="889">
        <v>48505892</v>
      </c>
      <c r="S235" s="889">
        <v>0</v>
      </c>
    </row>
    <row r="236" spans="1:19" ht="22.5" x14ac:dyDescent="0.25">
      <c r="A236" s="880">
        <v>2025</v>
      </c>
      <c r="B236" s="816" t="s">
        <v>259</v>
      </c>
      <c r="C236" s="816" t="s">
        <v>1194</v>
      </c>
      <c r="D236" s="816" t="s">
        <v>1240</v>
      </c>
      <c r="E236" s="816" t="s">
        <v>1478</v>
      </c>
      <c r="F236" s="816">
        <v>37145</v>
      </c>
      <c r="G236" s="816">
        <v>102</v>
      </c>
      <c r="H236" s="826">
        <v>28942.2</v>
      </c>
      <c r="I236" s="465">
        <v>106.6</v>
      </c>
      <c r="J236" s="826">
        <v>0</v>
      </c>
      <c r="K236" s="826">
        <v>0</v>
      </c>
      <c r="L236" s="465">
        <v>0</v>
      </c>
      <c r="M236" s="465">
        <v>0</v>
      </c>
      <c r="N236" s="465"/>
      <c r="O236" s="465"/>
      <c r="P236" s="826">
        <v>28942.2</v>
      </c>
      <c r="Q236" s="881">
        <v>106.6</v>
      </c>
      <c r="R236" s="889">
        <v>66087.199999999997</v>
      </c>
      <c r="S236" s="889">
        <v>208.6</v>
      </c>
    </row>
    <row r="237" spans="1:19" ht="22.5" x14ac:dyDescent="0.25">
      <c r="A237" s="880">
        <v>2025</v>
      </c>
      <c r="B237" s="816" t="s">
        <v>259</v>
      </c>
      <c r="C237" s="816" t="s">
        <v>1200</v>
      </c>
      <c r="D237" s="816" t="s">
        <v>1224</v>
      </c>
      <c r="E237" s="816" t="s">
        <v>1479</v>
      </c>
      <c r="F237" s="816">
        <v>112565.4</v>
      </c>
      <c r="G237" s="816">
        <v>0</v>
      </c>
      <c r="H237" s="826">
        <v>0</v>
      </c>
      <c r="I237" s="465">
        <v>0</v>
      </c>
      <c r="J237" s="465">
        <v>0</v>
      </c>
      <c r="K237" s="465">
        <v>0</v>
      </c>
      <c r="L237" s="465">
        <v>0</v>
      </c>
      <c r="M237" s="465">
        <v>0</v>
      </c>
      <c r="N237" s="465"/>
      <c r="O237" s="465"/>
      <c r="P237" s="826">
        <v>0</v>
      </c>
      <c r="Q237" s="881">
        <v>0</v>
      </c>
      <c r="R237" s="889">
        <v>112565.4</v>
      </c>
      <c r="S237" s="889">
        <v>0</v>
      </c>
    </row>
    <row r="238" spans="1:19" ht="33.75" x14ac:dyDescent="0.25">
      <c r="A238" s="880">
        <v>2025</v>
      </c>
      <c r="B238" s="816" t="s">
        <v>259</v>
      </c>
      <c r="C238" s="816" t="s">
        <v>1210</v>
      </c>
      <c r="D238" s="816" t="s">
        <v>1243</v>
      </c>
      <c r="E238" s="816" t="s">
        <v>1480</v>
      </c>
      <c r="F238" s="816">
        <v>333951</v>
      </c>
      <c r="G238" s="816">
        <v>0</v>
      </c>
      <c r="H238" s="826">
        <v>131568</v>
      </c>
      <c r="I238" s="465">
        <v>0</v>
      </c>
      <c r="J238" s="826">
        <v>0</v>
      </c>
      <c r="K238" s="826">
        <v>0</v>
      </c>
      <c r="L238" s="465">
        <v>0</v>
      </c>
      <c r="M238" s="465">
        <v>0</v>
      </c>
      <c r="N238" s="465"/>
      <c r="O238" s="465"/>
      <c r="P238" s="826">
        <v>131568</v>
      </c>
      <c r="Q238" s="881">
        <v>0</v>
      </c>
      <c r="R238" s="889">
        <v>465519</v>
      </c>
      <c r="S238" s="889">
        <v>0</v>
      </c>
    </row>
    <row r="239" spans="1:19" ht="33.75" x14ac:dyDescent="0.25">
      <c r="A239" s="880">
        <v>2025</v>
      </c>
      <c r="B239" s="816" t="s">
        <v>262</v>
      </c>
      <c r="C239" s="816" t="s">
        <v>1140</v>
      </c>
      <c r="D239" s="816" t="s">
        <v>1481</v>
      </c>
      <c r="E239" s="816" t="s">
        <v>8862</v>
      </c>
      <c r="F239" s="816">
        <v>0</v>
      </c>
      <c r="G239" s="816">
        <v>0</v>
      </c>
      <c r="H239" s="826">
        <v>0</v>
      </c>
      <c r="I239" s="465">
        <v>0</v>
      </c>
      <c r="J239" s="465">
        <v>0</v>
      </c>
      <c r="K239" s="465">
        <v>0</v>
      </c>
      <c r="L239" s="465">
        <v>0</v>
      </c>
      <c r="M239" s="465">
        <v>0</v>
      </c>
      <c r="N239" s="465"/>
      <c r="O239" s="465"/>
      <c r="P239" s="826">
        <v>0</v>
      </c>
      <c r="Q239" s="881">
        <v>0</v>
      </c>
      <c r="R239" s="889">
        <v>0</v>
      </c>
      <c r="S239" s="889">
        <v>0</v>
      </c>
    </row>
    <row r="240" spans="1:19" ht="22.5" x14ac:dyDescent="0.25">
      <c r="A240" s="880">
        <v>2025</v>
      </c>
      <c r="B240" s="816" t="s">
        <v>262</v>
      </c>
      <c r="C240" s="816" t="s">
        <v>1140</v>
      </c>
      <c r="D240" s="816" t="s">
        <v>1482</v>
      </c>
      <c r="E240" s="816" t="s">
        <v>8863</v>
      </c>
      <c r="F240" s="816">
        <v>0</v>
      </c>
      <c r="G240" s="816">
        <v>0</v>
      </c>
      <c r="H240" s="826">
        <v>0</v>
      </c>
      <c r="I240" s="465">
        <v>0</v>
      </c>
      <c r="J240" s="826">
        <v>0</v>
      </c>
      <c r="K240" s="826">
        <v>0</v>
      </c>
      <c r="L240" s="826">
        <v>0</v>
      </c>
      <c r="M240" s="826">
        <v>0</v>
      </c>
      <c r="N240" s="826"/>
      <c r="O240" s="826"/>
      <c r="P240" s="826">
        <v>0</v>
      </c>
      <c r="Q240" s="881">
        <v>0</v>
      </c>
      <c r="R240" s="889">
        <v>0</v>
      </c>
      <c r="S240" s="889">
        <v>0</v>
      </c>
    </row>
    <row r="241" spans="1:19" ht="33.75" x14ac:dyDescent="0.25">
      <c r="A241" s="880">
        <v>2025</v>
      </c>
      <c r="B241" s="816" t="s">
        <v>262</v>
      </c>
      <c r="C241" s="816" t="s">
        <v>1140</v>
      </c>
      <c r="D241" s="816" t="s">
        <v>1483</v>
      </c>
      <c r="E241" s="816" t="s">
        <v>8864</v>
      </c>
      <c r="F241" s="816">
        <v>0</v>
      </c>
      <c r="G241" s="816">
        <v>0</v>
      </c>
      <c r="H241" s="826">
        <v>0</v>
      </c>
      <c r="I241" s="465">
        <v>0</v>
      </c>
      <c r="J241" s="826">
        <v>1322738249.9000001</v>
      </c>
      <c r="K241" s="826">
        <v>4294854.6399999997</v>
      </c>
      <c r="L241" s="826">
        <v>8504666884.1700001</v>
      </c>
      <c r="M241" s="826">
        <v>15906889.279999999</v>
      </c>
      <c r="N241" s="826"/>
      <c r="O241" s="826"/>
      <c r="P241" s="826">
        <v>9827405134.0699997</v>
      </c>
      <c r="Q241" s="881">
        <v>20201743.920000002</v>
      </c>
      <c r="R241" s="889">
        <v>9827405134.0699997</v>
      </c>
      <c r="S241" s="889">
        <v>20201743.920000002</v>
      </c>
    </row>
    <row r="242" spans="1:19" ht="33.75" x14ac:dyDescent="0.25">
      <c r="A242" s="880">
        <v>2025</v>
      </c>
      <c r="B242" s="816" t="s">
        <v>262</v>
      </c>
      <c r="C242" s="816" t="s">
        <v>1143</v>
      </c>
      <c r="D242" s="816" t="s">
        <v>1484</v>
      </c>
      <c r="E242" s="816" t="s">
        <v>8865</v>
      </c>
      <c r="F242" s="816">
        <v>472363773.89999998</v>
      </c>
      <c r="G242" s="816">
        <v>0</v>
      </c>
      <c r="H242" s="826">
        <v>1991305293</v>
      </c>
      <c r="I242" s="465">
        <v>0</v>
      </c>
      <c r="J242" s="826">
        <v>47716065.880000003</v>
      </c>
      <c r="K242" s="826">
        <v>0</v>
      </c>
      <c r="L242" s="826">
        <v>0</v>
      </c>
      <c r="M242" s="826">
        <v>0</v>
      </c>
      <c r="N242" s="826"/>
      <c r="O242" s="826"/>
      <c r="P242" s="826">
        <v>2039021358.8800001</v>
      </c>
      <c r="Q242" s="881">
        <v>0</v>
      </c>
      <c r="R242" s="889">
        <v>2511385132.7800002</v>
      </c>
      <c r="S242" s="889">
        <v>0</v>
      </c>
    </row>
    <row r="243" spans="1:19" ht="33.75" x14ac:dyDescent="0.25">
      <c r="A243" s="880">
        <v>2025</v>
      </c>
      <c r="B243" s="816" t="s">
        <v>262</v>
      </c>
      <c r="C243" s="816" t="s">
        <v>1143</v>
      </c>
      <c r="D243" s="816" t="s">
        <v>1485</v>
      </c>
      <c r="E243" s="816" t="s">
        <v>8866</v>
      </c>
      <c r="F243" s="816">
        <v>13614975.949999999</v>
      </c>
      <c r="G243" s="816">
        <v>0</v>
      </c>
      <c r="H243" s="826">
        <v>47068942.789999999</v>
      </c>
      <c r="I243" s="465">
        <v>0</v>
      </c>
      <c r="J243" s="826">
        <v>452775.51260000002</v>
      </c>
      <c r="K243" s="826">
        <v>0</v>
      </c>
      <c r="L243" s="826">
        <v>0</v>
      </c>
      <c r="M243" s="826">
        <v>0</v>
      </c>
      <c r="N243" s="826"/>
      <c r="O243" s="826"/>
      <c r="P243" s="826">
        <v>47521718.302599996</v>
      </c>
      <c r="Q243" s="881">
        <v>0</v>
      </c>
      <c r="R243" s="889">
        <v>61136694.252599999</v>
      </c>
      <c r="S243" s="889">
        <v>0</v>
      </c>
    </row>
    <row r="244" spans="1:19" ht="22.5" x14ac:dyDescent="0.25">
      <c r="A244" s="880">
        <v>2025</v>
      </c>
      <c r="B244" s="816" t="s">
        <v>262</v>
      </c>
      <c r="C244" s="816" t="s">
        <v>1143</v>
      </c>
      <c r="D244" s="816" t="s">
        <v>1486</v>
      </c>
      <c r="E244" s="816" t="s">
        <v>8867</v>
      </c>
      <c r="F244" s="816">
        <v>13946837.619999999</v>
      </c>
      <c r="G244" s="816">
        <v>0</v>
      </c>
      <c r="H244" s="826">
        <v>41448796.469999999</v>
      </c>
      <c r="I244" s="465">
        <v>0</v>
      </c>
      <c r="J244" s="826">
        <v>573966.71369999996</v>
      </c>
      <c r="K244" s="826">
        <v>0</v>
      </c>
      <c r="L244" s="826">
        <v>0</v>
      </c>
      <c r="M244" s="826">
        <v>0</v>
      </c>
      <c r="N244" s="826"/>
      <c r="O244" s="826"/>
      <c r="P244" s="826">
        <v>42022763.183700003</v>
      </c>
      <c r="Q244" s="881">
        <v>0</v>
      </c>
      <c r="R244" s="889">
        <v>55969600.8037</v>
      </c>
      <c r="S244" s="889">
        <v>0</v>
      </c>
    </row>
    <row r="245" spans="1:19" ht="22.5" x14ac:dyDescent="0.25">
      <c r="A245" s="880">
        <v>2025</v>
      </c>
      <c r="B245" s="816" t="s">
        <v>262</v>
      </c>
      <c r="C245" s="816" t="s">
        <v>1143</v>
      </c>
      <c r="D245" s="816" t="s">
        <v>1487</v>
      </c>
      <c r="E245" s="816" t="s">
        <v>8868</v>
      </c>
      <c r="F245" s="816">
        <v>9511340.1050000004</v>
      </c>
      <c r="G245" s="816">
        <v>0</v>
      </c>
      <c r="H245" s="826">
        <v>39017621.869999997</v>
      </c>
      <c r="I245" s="826">
        <v>0</v>
      </c>
      <c r="J245" s="826">
        <v>515958.17700000003</v>
      </c>
      <c r="K245" s="826">
        <v>0</v>
      </c>
      <c r="L245" s="826">
        <v>0</v>
      </c>
      <c r="M245" s="826">
        <v>0</v>
      </c>
      <c r="N245" s="826"/>
      <c r="O245" s="826"/>
      <c r="P245" s="826">
        <v>39533580.046999998</v>
      </c>
      <c r="Q245" s="881">
        <v>0</v>
      </c>
      <c r="R245" s="889">
        <v>49044920.151999995</v>
      </c>
      <c r="S245" s="889">
        <v>0</v>
      </c>
    </row>
    <row r="246" spans="1:19" ht="22.5" x14ac:dyDescent="0.25">
      <c r="A246" s="880">
        <v>2025</v>
      </c>
      <c r="B246" s="816" t="s">
        <v>262</v>
      </c>
      <c r="C246" s="816" t="s">
        <v>1143</v>
      </c>
      <c r="D246" s="816" t="s">
        <v>1488</v>
      </c>
      <c r="E246" s="816" t="s">
        <v>8869</v>
      </c>
      <c r="F246" s="816">
        <v>16210673.779999999</v>
      </c>
      <c r="G246" s="816">
        <v>0</v>
      </c>
      <c r="H246" s="826">
        <v>95318033.430000007</v>
      </c>
      <c r="I246" s="465">
        <v>0</v>
      </c>
      <c r="J246" s="465">
        <v>641499.21270000003</v>
      </c>
      <c r="K246" s="465">
        <v>0</v>
      </c>
      <c r="L246" s="465">
        <v>0</v>
      </c>
      <c r="M246" s="465">
        <v>0</v>
      </c>
      <c r="N246" s="465"/>
      <c r="O246" s="465"/>
      <c r="P246" s="826">
        <v>95959532.642700002</v>
      </c>
      <c r="Q246" s="881">
        <v>0</v>
      </c>
      <c r="R246" s="889">
        <v>112170206.4227</v>
      </c>
      <c r="S246" s="889">
        <v>0</v>
      </c>
    </row>
    <row r="247" spans="1:19" ht="33.75" x14ac:dyDescent="0.25">
      <c r="A247" s="880">
        <v>2025</v>
      </c>
      <c r="B247" s="816" t="s">
        <v>262</v>
      </c>
      <c r="C247" s="816" t="s">
        <v>1143</v>
      </c>
      <c r="D247" s="816" t="s">
        <v>1489</v>
      </c>
      <c r="E247" s="816" t="s">
        <v>8870</v>
      </c>
      <c r="F247" s="816">
        <v>8074823.3909999998</v>
      </c>
      <c r="G247" s="816">
        <v>0</v>
      </c>
      <c r="H247" s="826">
        <v>38885149.240000002</v>
      </c>
      <c r="I247" s="465">
        <v>0</v>
      </c>
      <c r="J247" s="465">
        <v>3775515.392</v>
      </c>
      <c r="K247" s="465">
        <v>0</v>
      </c>
      <c r="L247" s="465">
        <v>0</v>
      </c>
      <c r="M247" s="465">
        <v>0</v>
      </c>
      <c r="N247" s="465"/>
      <c r="O247" s="465"/>
      <c r="P247" s="826">
        <v>42660664.631999999</v>
      </c>
      <c r="Q247" s="881">
        <v>0</v>
      </c>
      <c r="R247" s="889">
        <v>50735488.023000002</v>
      </c>
      <c r="S247" s="889">
        <v>0</v>
      </c>
    </row>
    <row r="248" spans="1:19" ht="22.5" x14ac:dyDescent="0.25">
      <c r="A248" s="880">
        <v>2025</v>
      </c>
      <c r="B248" s="816" t="s">
        <v>262</v>
      </c>
      <c r="C248" s="816" t="s">
        <v>1143</v>
      </c>
      <c r="D248" s="816" t="s">
        <v>7733</v>
      </c>
      <c r="E248" s="816" t="s">
        <v>8871</v>
      </c>
      <c r="F248" s="816">
        <v>215487.49350000001</v>
      </c>
      <c r="G248" s="816">
        <v>0</v>
      </c>
      <c r="H248" s="826">
        <v>1302101.5430000001</v>
      </c>
      <c r="I248" s="465">
        <v>0</v>
      </c>
      <c r="J248" s="465">
        <v>51457.527000000002</v>
      </c>
      <c r="K248" s="465">
        <v>0</v>
      </c>
      <c r="L248" s="465">
        <v>0</v>
      </c>
      <c r="M248" s="465">
        <v>0</v>
      </c>
      <c r="N248" s="465"/>
      <c r="O248" s="465"/>
      <c r="P248" s="826">
        <v>1353559.07</v>
      </c>
      <c r="Q248" s="881">
        <v>0</v>
      </c>
      <c r="R248" s="889">
        <v>1569046.5635000002</v>
      </c>
      <c r="S248" s="889">
        <v>0</v>
      </c>
    </row>
    <row r="249" spans="1:19" ht="33.75" x14ac:dyDescent="0.25">
      <c r="A249" s="880">
        <v>2025</v>
      </c>
      <c r="B249" s="816" t="s">
        <v>262</v>
      </c>
      <c r="C249" s="816" t="s">
        <v>1143</v>
      </c>
      <c r="D249" s="816" t="s">
        <v>1490</v>
      </c>
      <c r="E249" s="816" t="s">
        <v>8872</v>
      </c>
      <c r="F249" s="816">
        <v>126137628</v>
      </c>
      <c r="G249" s="816">
        <v>0</v>
      </c>
      <c r="H249" s="826">
        <v>526332731.89999998</v>
      </c>
      <c r="I249" s="826">
        <v>0</v>
      </c>
      <c r="J249" s="826">
        <v>15199165.199999999</v>
      </c>
      <c r="K249" s="465">
        <v>0</v>
      </c>
      <c r="L249" s="465">
        <v>0</v>
      </c>
      <c r="M249" s="465">
        <v>0</v>
      </c>
      <c r="N249" s="465"/>
      <c r="O249" s="465"/>
      <c r="P249" s="826">
        <v>541531897.10000002</v>
      </c>
      <c r="Q249" s="881">
        <v>0</v>
      </c>
      <c r="R249" s="889">
        <v>667669525.10000002</v>
      </c>
      <c r="S249" s="889">
        <v>0</v>
      </c>
    </row>
    <row r="250" spans="1:19" ht="33.75" x14ac:dyDescent="0.25">
      <c r="A250" s="880">
        <v>2025</v>
      </c>
      <c r="B250" s="816" t="s">
        <v>262</v>
      </c>
      <c r="C250" s="816" t="s">
        <v>1155</v>
      </c>
      <c r="D250" s="816" t="s">
        <v>1491</v>
      </c>
      <c r="E250" s="816" t="s">
        <v>8873</v>
      </c>
      <c r="F250" s="816">
        <v>27189102.710000001</v>
      </c>
      <c r="G250" s="816">
        <v>76966.466</v>
      </c>
      <c r="H250" s="826">
        <v>5642609.3169999998</v>
      </c>
      <c r="I250" s="826">
        <v>14410.123</v>
      </c>
      <c r="J250" s="826">
        <v>42823271.189999998</v>
      </c>
      <c r="K250" s="465">
        <v>108980.72500000001</v>
      </c>
      <c r="L250" s="465">
        <v>2399908.2239999999</v>
      </c>
      <c r="M250" s="465">
        <v>4968.1869999999999</v>
      </c>
      <c r="N250" s="465"/>
      <c r="O250" s="465"/>
      <c r="P250" s="826">
        <v>50865788.730999999</v>
      </c>
      <c r="Q250" s="881">
        <v>128359.035</v>
      </c>
      <c r="R250" s="889">
        <v>78054891.441</v>
      </c>
      <c r="S250" s="889">
        <v>205325.50099999999</v>
      </c>
    </row>
    <row r="251" spans="1:19" ht="22.5" x14ac:dyDescent="0.25">
      <c r="A251" s="880">
        <v>2025</v>
      </c>
      <c r="B251" s="816" t="s">
        <v>262</v>
      </c>
      <c r="C251" s="816" t="s">
        <v>1155</v>
      </c>
      <c r="D251" s="816" t="s">
        <v>1492</v>
      </c>
      <c r="E251" s="816" t="s">
        <v>8874</v>
      </c>
      <c r="F251" s="816">
        <v>18015511.629999999</v>
      </c>
      <c r="G251" s="816">
        <v>48672.938000000002</v>
      </c>
      <c r="H251" s="826">
        <v>1714747.4210000001</v>
      </c>
      <c r="I251" s="826">
        <v>4851.3050000000003</v>
      </c>
      <c r="J251" s="826">
        <v>40625789.119999997</v>
      </c>
      <c r="K251" s="465">
        <v>107161.016</v>
      </c>
      <c r="L251" s="465">
        <v>0</v>
      </c>
      <c r="M251" s="465">
        <v>0</v>
      </c>
      <c r="N251" s="465"/>
      <c r="O251" s="465"/>
      <c r="P251" s="826">
        <v>42340536.541000001</v>
      </c>
      <c r="Q251" s="881">
        <v>112012.321</v>
      </c>
      <c r="R251" s="889">
        <v>60356048.171000004</v>
      </c>
      <c r="S251" s="889">
        <v>160685.25899999999</v>
      </c>
    </row>
    <row r="252" spans="1:19" ht="22.5" x14ac:dyDescent="0.25">
      <c r="A252" s="880">
        <v>2025</v>
      </c>
      <c r="B252" s="816" t="s">
        <v>262</v>
      </c>
      <c r="C252" s="816" t="s">
        <v>1155</v>
      </c>
      <c r="D252" s="816" t="s">
        <v>1493</v>
      </c>
      <c r="E252" s="816" t="s">
        <v>8875</v>
      </c>
      <c r="F252" s="816">
        <v>24880786.050000001</v>
      </c>
      <c r="G252" s="816">
        <v>53615.665000000001</v>
      </c>
      <c r="H252" s="826">
        <v>10967224.6</v>
      </c>
      <c r="I252" s="826">
        <v>28396.803</v>
      </c>
      <c r="J252" s="826">
        <v>118268682.59999999</v>
      </c>
      <c r="K252" s="465">
        <v>259118.573</v>
      </c>
      <c r="L252" s="465">
        <v>5221181.0250000004</v>
      </c>
      <c r="M252" s="465">
        <v>4917.7529999999997</v>
      </c>
      <c r="N252" s="465"/>
      <c r="O252" s="465"/>
      <c r="P252" s="826">
        <v>134457088.22499999</v>
      </c>
      <c r="Q252" s="881">
        <v>292433.12900000002</v>
      </c>
      <c r="R252" s="889">
        <v>159337874.27500001</v>
      </c>
      <c r="S252" s="889">
        <v>346048.79399999999</v>
      </c>
    </row>
    <row r="253" spans="1:19" ht="22.5" x14ac:dyDescent="0.25">
      <c r="A253" s="880">
        <v>2025</v>
      </c>
      <c r="B253" s="816" t="s">
        <v>262</v>
      </c>
      <c r="C253" s="816" t="s">
        <v>1155</v>
      </c>
      <c r="D253" s="816" t="s">
        <v>1494</v>
      </c>
      <c r="E253" s="816" t="s">
        <v>8876</v>
      </c>
      <c r="F253" s="816">
        <v>94207738.150000006</v>
      </c>
      <c r="G253" s="816">
        <v>192559.174</v>
      </c>
      <c r="H253" s="826">
        <v>43538947.289999999</v>
      </c>
      <c r="I253" s="826">
        <v>100146.36599999999</v>
      </c>
      <c r="J253" s="826">
        <v>215256796.40000001</v>
      </c>
      <c r="K253" s="465">
        <v>490267.853</v>
      </c>
      <c r="L253" s="465">
        <v>3007958.02</v>
      </c>
      <c r="M253" s="465">
        <v>5762.0720000000001</v>
      </c>
      <c r="N253" s="465"/>
      <c r="O253" s="465"/>
      <c r="P253" s="826">
        <v>261803701.71000001</v>
      </c>
      <c r="Q253" s="881">
        <v>596176.29099999997</v>
      </c>
      <c r="R253" s="889">
        <v>356011439.86000001</v>
      </c>
      <c r="S253" s="889">
        <v>788735.46499999997</v>
      </c>
    </row>
    <row r="254" spans="1:19" ht="22.5" x14ac:dyDescent="0.25">
      <c r="A254" s="880">
        <v>2025</v>
      </c>
      <c r="B254" s="816" t="s">
        <v>262</v>
      </c>
      <c r="C254" s="816" t="s">
        <v>1155</v>
      </c>
      <c r="D254" s="816" t="s">
        <v>7734</v>
      </c>
      <c r="E254" s="816" t="s">
        <v>8877</v>
      </c>
      <c r="F254" s="816">
        <v>214648.2801</v>
      </c>
      <c r="G254" s="816">
        <v>735.26199999999994</v>
      </c>
      <c r="H254" s="826">
        <v>0</v>
      </c>
      <c r="I254" s="826">
        <v>0</v>
      </c>
      <c r="J254" s="826">
        <v>1179824.7239999999</v>
      </c>
      <c r="K254" s="465">
        <v>3164.11</v>
      </c>
      <c r="L254" s="465">
        <v>0</v>
      </c>
      <c r="M254" s="465">
        <v>0</v>
      </c>
      <c r="N254" s="465"/>
      <c r="O254" s="465"/>
      <c r="P254" s="826">
        <v>1179824.7239999999</v>
      </c>
      <c r="Q254" s="881">
        <v>3164.11</v>
      </c>
      <c r="R254" s="889">
        <v>1394473.0041</v>
      </c>
      <c r="S254" s="889">
        <v>3899.3720000000003</v>
      </c>
    </row>
    <row r="255" spans="1:19" ht="33.75" x14ac:dyDescent="0.25">
      <c r="A255" s="880">
        <v>2025</v>
      </c>
      <c r="B255" s="816" t="s">
        <v>262</v>
      </c>
      <c r="C255" s="816" t="s">
        <v>1155</v>
      </c>
      <c r="D255" s="816" t="s">
        <v>1495</v>
      </c>
      <c r="E255" s="816" t="s">
        <v>8878</v>
      </c>
      <c r="F255" s="816">
        <v>25728576.640000001</v>
      </c>
      <c r="G255" s="816">
        <v>63517.36</v>
      </c>
      <c r="H255" s="826">
        <v>12395903.16</v>
      </c>
      <c r="I255" s="826">
        <v>29209.065999999999</v>
      </c>
      <c r="J255" s="826">
        <v>63664417.5</v>
      </c>
      <c r="K255" s="465">
        <v>182735.022</v>
      </c>
      <c r="L255" s="465">
        <v>2606977.7560000001</v>
      </c>
      <c r="M255" s="465">
        <v>4796.2579999999998</v>
      </c>
      <c r="N255" s="465"/>
      <c r="O255" s="465"/>
      <c r="P255" s="826">
        <v>78667298.415999994</v>
      </c>
      <c r="Q255" s="881">
        <v>216740.34599999999</v>
      </c>
      <c r="R255" s="889">
        <v>104395875.05599999</v>
      </c>
      <c r="S255" s="889">
        <v>280257.70600000001</v>
      </c>
    </row>
    <row r="256" spans="1:19" ht="33.75" x14ac:dyDescent="0.25">
      <c r="A256" s="880">
        <v>2025</v>
      </c>
      <c r="B256" s="816" t="s">
        <v>262</v>
      </c>
      <c r="C256" s="816" t="s">
        <v>1155</v>
      </c>
      <c r="D256" s="816" t="s">
        <v>1496</v>
      </c>
      <c r="E256" s="816" t="s">
        <v>8879</v>
      </c>
      <c r="F256" s="816">
        <v>559526422.5</v>
      </c>
      <c r="G256" s="816">
        <v>1709405.2579999999</v>
      </c>
      <c r="H256" s="826">
        <v>135686620.09999999</v>
      </c>
      <c r="I256" s="826">
        <v>511053.52299999999</v>
      </c>
      <c r="J256" s="826">
        <v>1657729633</v>
      </c>
      <c r="K256" s="826">
        <v>4748055.1279999996</v>
      </c>
      <c r="L256" s="826">
        <v>7570248.841</v>
      </c>
      <c r="M256" s="826">
        <v>20050.155999999999</v>
      </c>
      <c r="N256" s="826"/>
      <c r="O256" s="826"/>
      <c r="P256" s="826">
        <v>1800986501.941</v>
      </c>
      <c r="Q256" s="881">
        <v>5279158.807</v>
      </c>
      <c r="R256" s="889">
        <v>2360512924.441</v>
      </c>
      <c r="S256" s="889">
        <v>6988564.0649999995</v>
      </c>
    </row>
    <row r="257" spans="1:19" ht="33.75" x14ac:dyDescent="0.25">
      <c r="A257" s="880">
        <v>2025</v>
      </c>
      <c r="B257" s="816" t="s">
        <v>262</v>
      </c>
      <c r="C257" s="816" t="s">
        <v>1155</v>
      </c>
      <c r="D257" s="816" t="s">
        <v>1497</v>
      </c>
      <c r="E257" s="816" t="s">
        <v>8880</v>
      </c>
      <c r="F257" s="816">
        <v>0</v>
      </c>
      <c r="G257" s="816">
        <v>0</v>
      </c>
      <c r="H257" s="826">
        <v>0</v>
      </c>
      <c r="I257" s="826"/>
      <c r="J257" s="826"/>
      <c r="K257" s="826"/>
      <c r="L257" s="826"/>
      <c r="M257" s="826"/>
      <c r="N257" s="826"/>
      <c r="O257" s="826"/>
      <c r="P257" s="826">
        <v>0</v>
      </c>
      <c r="Q257" s="881">
        <v>0</v>
      </c>
      <c r="R257" s="889">
        <v>0</v>
      </c>
      <c r="S257" s="889">
        <v>0</v>
      </c>
    </row>
    <row r="258" spans="1:19" ht="33.75" x14ac:dyDescent="0.25">
      <c r="A258" s="880">
        <v>2025</v>
      </c>
      <c r="B258" s="816" t="s">
        <v>262</v>
      </c>
      <c r="C258" s="816" t="s">
        <v>1155</v>
      </c>
      <c r="D258" s="816" t="s">
        <v>1498</v>
      </c>
      <c r="E258" s="816" t="s">
        <v>8881</v>
      </c>
      <c r="F258" s="816">
        <v>173033395.5</v>
      </c>
      <c r="G258" s="816">
        <v>440575.57799999998</v>
      </c>
      <c r="H258" s="826">
        <v>108943811.2</v>
      </c>
      <c r="I258" s="826">
        <v>267751.21600000001</v>
      </c>
      <c r="J258" s="826">
        <v>675642788.70000005</v>
      </c>
      <c r="K258" s="826">
        <v>1698844.156</v>
      </c>
      <c r="L258" s="826">
        <v>3077363.01</v>
      </c>
      <c r="M258" s="826">
        <v>5509.31</v>
      </c>
      <c r="N258" s="826"/>
      <c r="O258" s="826"/>
      <c r="P258" s="826">
        <v>787663962.90999997</v>
      </c>
      <c r="Q258" s="881">
        <v>1972104.682</v>
      </c>
      <c r="R258" s="889">
        <v>960697358.40999997</v>
      </c>
      <c r="S258" s="889">
        <v>2412680.2599999998</v>
      </c>
    </row>
    <row r="259" spans="1:19" ht="22.5" x14ac:dyDescent="0.25">
      <c r="A259" s="880">
        <v>2025</v>
      </c>
      <c r="B259" s="816" t="s">
        <v>262</v>
      </c>
      <c r="C259" s="816" t="s">
        <v>1173</v>
      </c>
      <c r="D259" s="816" t="s">
        <v>1499</v>
      </c>
      <c r="E259" s="816" t="s">
        <v>8882</v>
      </c>
      <c r="F259" s="816">
        <v>0</v>
      </c>
      <c r="G259" s="816">
        <v>0</v>
      </c>
      <c r="H259" s="826">
        <v>0</v>
      </c>
      <c r="I259" s="826">
        <v>0</v>
      </c>
      <c r="J259" s="826">
        <v>0</v>
      </c>
      <c r="K259" s="826">
        <v>0</v>
      </c>
      <c r="L259" s="826">
        <v>0</v>
      </c>
      <c r="M259" s="826">
        <v>0</v>
      </c>
      <c r="N259" s="826"/>
      <c r="O259" s="826"/>
      <c r="P259" s="826">
        <v>0</v>
      </c>
      <c r="Q259" s="881">
        <v>0</v>
      </c>
      <c r="R259" s="889">
        <v>0</v>
      </c>
      <c r="S259" s="889">
        <v>0</v>
      </c>
    </row>
    <row r="260" spans="1:19" ht="22.5" x14ac:dyDescent="0.25">
      <c r="A260" s="880">
        <v>2025</v>
      </c>
      <c r="B260" s="816" t="s">
        <v>262</v>
      </c>
      <c r="C260" s="816" t="s">
        <v>1184</v>
      </c>
      <c r="D260" s="816" t="s">
        <v>1500</v>
      </c>
      <c r="E260" s="816" t="s">
        <v>8883</v>
      </c>
      <c r="F260" s="816">
        <v>5657802.6399999997</v>
      </c>
      <c r="G260" s="816">
        <v>0</v>
      </c>
      <c r="H260" s="826">
        <v>201121121.30000001</v>
      </c>
      <c r="I260" s="826">
        <v>0</v>
      </c>
      <c r="J260" s="826">
        <v>0</v>
      </c>
      <c r="K260" s="826">
        <v>0</v>
      </c>
      <c r="L260" s="826">
        <v>0</v>
      </c>
      <c r="M260" s="826">
        <v>0</v>
      </c>
      <c r="N260" s="826"/>
      <c r="O260" s="826"/>
      <c r="P260" s="826">
        <v>201121121.30000001</v>
      </c>
      <c r="Q260" s="881">
        <v>0</v>
      </c>
      <c r="R260" s="889">
        <v>206778923.94</v>
      </c>
      <c r="S260" s="889">
        <v>0</v>
      </c>
    </row>
    <row r="261" spans="1:19" ht="22.5" x14ac:dyDescent="0.25">
      <c r="A261" s="880">
        <v>2025</v>
      </c>
      <c r="B261" s="816" t="s">
        <v>262</v>
      </c>
      <c r="C261" s="816" t="s">
        <v>1184</v>
      </c>
      <c r="D261" s="816" t="s">
        <v>1501</v>
      </c>
      <c r="E261" s="816" t="s">
        <v>8884</v>
      </c>
      <c r="F261" s="816">
        <v>221076478.25999999</v>
      </c>
      <c r="G261" s="816">
        <v>0</v>
      </c>
      <c r="H261" s="826">
        <v>5429146845</v>
      </c>
      <c r="I261" s="826">
        <v>0</v>
      </c>
      <c r="J261" s="826">
        <v>1588295.453</v>
      </c>
      <c r="K261" s="826">
        <v>0</v>
      </c>
      <c r="L261" s="826">
        <v>0</v>
      </c>
      <c r="M261" s="826">
        <v>0</v>
      </c>
      <c r="N261" s="826"/>
      <c r="O261" s="826"/>
      <c r="P261" s="826">
        <v>5430735140.4530001</v>
      </c>
      <c r="Q261" s="881">
        <v>0</v>
      </c>
      <c r="R261" s="889">
        <v>5651811618.7130003</v>
      </c>
      <c r="S261" s="889">
        <v>0</v>
      </c>
    </row>
    <row r="262" spans="1:19" ht="33.75" x14ac:dyDescent="0.25">
      <c r="A262" s="880">
        <v>2025</v>
      </c>
      <c r="B262" s="816" t="s">
        <v>262</v>
      </c>
      <c r="C262" s="816" t="s">
        <v>1184</v>
      </c>
      <c r="D262" s="816" t="s">
        <v>1502</v>
      </c>
      <c r="E262" s="816" t="s">
        <v>8885</v>
      </c>
      <c r="F262" s="816">
        <v>67840296.159999996</v>
      </c>
      <c r="G262" s="816">
        <v>0</v>
      </c>
      <c r="H262" s="826">
        <v>5698550835</v>
      </c>
      <c r="I262" s="465">
        <v>0</v>
      </c>
      <c r="J262" s="465">
        <v>859972.78659999999</v>
      </c>
      <c r="K262" s="465">
        <v>0</v>
      </c>
      <c r="L262" s="465">
        <v>0</v>
      </c>
      <c r="M262" s="465">
        <v>0</v>
      </c>
      <c r="N262" s="465"/>
      <c r="O262" s="465"/>
      <c r="P262" s="826">
        <v>5699410807.7866001</v>
      </c>
      <c r="Q262" s="881">
        <v>0</v>
      </c>
      <c r="R262" s="889">
        <v>5767251103.9466</v>
      </c>
      <c r="S262" s="889">
        <v>0</v>
      </c>
    </row>
    <row r="263" spans="1:19" ht="22.5" x14ac:dyDescent="0.25">
      <c r="A263" s="880">
        <v>2025</v>
      </c>
      <c r="B263" s="816" t="s">
        <v>262</v>
      </c>
      <c r="C263" s="816" t="s">
        <v>1184</v>
      </c>
      <c r="D263" s="816" t="s">
        <v>1503</v>
      </c>
      <c r="E263" s="816" t="s">
        <v>8886</v>
      </c>
      <c r="F263" s="816">
        <v>3464200.78</v>
      </c>
      <c r="G263" s="816">
        <v>0</v>
      </c>
      <c r="H263" s="826">
        <v>158768354.40000001</v>
      </c>
      <c r="I263" s="826">
        <v>0</v>
      </c>
      <c r="J263" s="826">
        <v>0</v>
      </c>
      <c r="K263" s="826">
        <v>0</v>
      </c>
      <c r="L263" s="826">
        <v>0</v>
      </c>
      <c r="M263" s="826">
        <v>0</v>
      </c>
      <c r="N263" s="826"/>
      <c r="O263" s="826"/>
      <c r="P263" s="826">
        <v>158768354.40000001</v>
      </c>
      <c r="Q263" s="881">
        <v>0</v>
      </c>
      <c r="R263" s="889">
        <v>162232555.18000001</v>
      </c>
      <c r="S263" s="889">
        <v>0</v>
      </c>
    </row>
    <row r="264" spans="1:19" ht="22.5" x14ac:dyDescent="0.25">
      <c r="A264" s="880">
        <v>2025</v>
      </c>
      <c r="B264" s="816" t="s">
        <v>262</v>
      </c>
      <c r="C264" s="816" t="s">
        <v>1184</v>
      </c>
      <c r="D264" s="816" t="s">
        <v>1504</v>
      </c>
      <c r="E264" s="816" t="s">
        <v>8887</v>
      </c>
      <c r="F264" s="816">
        <v>1022836.4</v>
      </c>
      <c r="G264" s="816">
        <v>0</v>
      </c>
      <c r="H264" s="826">
        <v>111533103.90000001</v>
      </c>
      <c r="I264" s="465">
        <v>0</v>
      </c>
      <c r="J264" s="465">
        <v>0</v>
      </c>
      <c r="K264" s="465">
        <v>0</v>
      </c>
      <c r="L264" s="465">
        <v>0</v>
      </c>
      <c r="M264" s="465">
        <v>0</v>
      </c>
      <c r="N264" s="465"/>
      <c r="O264" s="465"/>
      <c r="P264" s="826">
        <v>111533103.90000001</v>
      </c>
      <c r="Q264" s="881">
        <v>0</v>
      </c>
      <c r="R264" s="889">
        <v>112555940.30000001</v>
      </c>
      <c r="S264" s="889">
        <v>0</v>
      </c>
    </row>
    <row r="265" spans="1:19" ht="33.75" x14ac:dyDescent="0.25">
      <c r="A265" s="880">
        <v>2025</v>
      </c>
      <c r="B265" s="816" t="s">
        <v>262</v>
      </c>
      <c r="C265" s="816" t="s">
        <v>1184</v>
      </c>
      <c r="D265" s="816" t="s">
        <v>1505</v>
      </c>
      <c r="E265" s="816" t="s">
        <v>8888</v>
      </c>
      <c r="F265" s="816">
        <v>2023921.94</v>
      </c>
      <c r="G265" s="816">
        <v>0</v>
      </c>
      <c r="H265" s="826">
        <v>294612963.19999999</v>
      </c>
      <c r="I265" s="826">
        <v>0</v>
      </c>
      <c r="J265" s="826">
        <v>0</v>
      </c>
      <c r="K265" s="465">
        <v>0</v>
      </c>
      <c r="L265" s="465">
        <v>0</v>
      </c>
      <c r="M265" s="465">
        <v>0</v>
      </c>
      <c r="N265" s="465"/>
      <c r="O265" s="465"/>
      <c r="P265" s="826">
        <v>294612963.19999999</v>
      </c>
      <c r="Q265" s="881">
        <v>0</v>
      </c>
      <c r="R265" s="889">
        <v>296636885.13999999</v>
      </c>
      <c r="S265" s="889">
        <v>0</v>
      </c>
    </row>
    <row r="266" spans="1:19" ht="22.5" x14ac:dyDescent="0.25">
      <c r="A266" s="880">
        <v>2025</v>
      </c>
      <c r="B266" s="816" t="s">
        <v>262</v>
      </c>
      <c r="C266" s="816" t="s">
        <v>1184</v>
      </c>
      <c r="D266" s="816" t="s">
        <v>1506</v>
      </c>
      <c r="E266" s="816" t="s">
        <v>8889</v>
      </c>
      <c r="F266" s="816">
        <v>0</v>
      </c>
      <c r="G266" s="816">
        <v>0</v>
      </c>
      <c r="H266" s="826">
        <v>0</v>
      </c>
      <c r="I266" s="826"/>
      <c r="J266" s="826"/>
      <c r="K266" s="465"/>
      <c r="L266" s="465"/>
      <c r="M266" s="465"/>
      <c r="N266" s="465"/>
      <c r="O266" s="465"/>
      <c r="P266" s="826">
        <v>0</v>
      </c>
      <c r="Q266" s="881">
        <v>0</v>
      </c>
      <c r="R266" s="889">
        <v>0</v>
      </c>
      <c r="S266" s="889">
        <v>0</v>
      </c>
    </row>
    <row r="267" spans="1:19" ht="22.5" x14ac:dyDescent="0.25">
      <c r="A267" s="880">
        <v>2025</v>
      </c>
      <c r="B267" s="816" t="s">
        <v>262</v>
      </c>
      <c r="C267" s="816" t="s">
        <v>1184</v>
      </c>
      <c r="D267" s="816" t="s">
        <v>1507</v>
      </c>
      <c r="E267" s="816" t="s">
        <v>8890</v>
      </c>
      <c r="F267" s="816">
        <v>29769371.550000001</v>
      </c>
      <c r="G267" s="816">
        <v>0</v>
      </c>
      <c r="H267" s="826">
        <v>2175653366</v>
      </c>
      <c r="I267" s="826">
        <v>0</v>
      </c>
      <c r="J267" s="826">
        <v>24875.07444</v>
      </c>
      <c r="K267" s="465">
        <v>0</v>
      </c>
      <c r="L267" s="465">
        <v>0</v>
      </c>
      <c r="M267" s="465">
        <v>0</v>
      </c>
      <c r="N267" s="465"/>
      <c r="O267" s="465"/>
      <c r="P267" s="826">
        <v>2175678241.07444</v>
      </c>
      <c r="Q267" s="881">
        <v>0</v>
      </c>
      <c r="R267" s="889">
        <v>2205447612.6244402</v>
      </c>
      <c r="S267" s="889">
        <v>0</v>
      </c>
    </row>
    <row r="268" spans="1:19" ht="22.5" x14ac:dyDescent="0.25">
      <c r="A268" s="880">
        <v>2025</v>
      </c>
      <c r="B268" s="816" t="s">
        <v>262</v>
      </c>
      <c r="C268" s="816" t="s">
        <v>1184</v>
      </c>
      <c r="D268" s="816" t="s">
        <v>1508</v>
      </c>
      <c r="E268" s="816" t="s">
        <v>8891</v>
      </c>
      <c r="F268" s="816">
        <v>1837528.76</v>
      </c>
      <c r="G268" s="816">
        <v>0</v>
      </c>
      <c r="H268" s="826">
        <v>123018212.7</v>
      </c>
      <c r="I268" s="826">
        <v>0</v>
      </c>
      <c r="J268" s="826">
        <v>0</v>
      </c>
      <c r="K268" s="465">
        <v>0</v>
      </c>
      <c r="L268" s="465">
        <v>0</v>
      </c>
      <c r="M268" s="465">
        <v>0</v>
      </c>
      <c r="N268" s="465"/>
      <c r="O268" s="465"/>
      <c r="P268" s="826">
        <v>123018212.7</v>
      </c>
      <c r="Q268" s="881">
        <v>0</v>
      </c>
      <c r="R268" s="889">
        <v>124855741.46000001</v>
      </c>
      <c r="S268" s="889">
        <v>0</v>
      </c>
    </row>
    <row r="269" spans="1:19" ht="22.5" x14ac:dyDescent="0.25">
      <c r="A269" s="880">
        <v>2025</v>
      </c>
      <c r="B269" s="816" t="s">
        <v>262</v>
      </c>
      <c r="C269" s="816" t="s">
        <v>1184</v>
      </c>
      <c r="D269" s="816" t="s">
        <v>7735</v>
      </c>
      <c r="E269" s="816" t="s">
        <v>8892</v>
      </c>
      <c r="F269" s="816">
        <v>16723.52</v>
      </c>
      <c r="G269" s="816">
        <v>0</v>
      </c>
      <c r="H269" s="826">
        <v>5034433.01</v>
      </c>
      <c r="I269" s="826">
        <v>0</v>
      </c>
      <c r="J269" s="826">
        <v>0</v>
      </c>
      <c r="K269" s="465">
        <v>0</v>
      </c>
      <c r="L269" s="465">
        <v>0</v>
      </c>
      <c r="M269" s="465">
        <v>0</v>
      </c>
      <c r="N269" s="465"/>
      <c r="O269" s="465"/>
      <c r="P269" s="826">
        <v>5034433.01</v>
      </c>
      <c r="Q269" s="881">
        <v>0</v>
      </c>
      <c r="R269" s="889">
        <v>5051156.5299999993</v>
      </c>
      <c r="S269" s="889">
        <v>0</v>
      </c>
    </row>
    <row r="270" spans="1:19" ht="22.5" x14ac:dyDescent="0.25">
      <c r="A270" s="880">
        <v>2025</v>
      </c>
      <c r="B270" s="816" t="s">
        <v>262</v>
      </c>
      <c r="C270" s="816" t="s">
        <v>1194</v>
      </c>
      <c r="D270" s="816" t="s">
        <v>1509</v>
      </c>
      <c r="E270" s="816" t="s">
        <v>8893</v>
      </c>
      <c r="F270" s="816">
        <v>26094.29895</v>
      </c>
      <c r="G270" s="816">
        <v>0</v>
      </c>
      <c r="H270" s="826">
        <v>106756.3214</v>
      </c>
      <c r="I270" s="826">
        <v>0</v>
      </c>
      <c r="J270" s="826">
        <v>0</v>
      </c>
      <c r="K270" s="465">
        <v>0</v>
      </c>
      <c r="L270" s="465">
        <v>0</v>
      </c>
      <c r="M270" s="465">
        <v>0</v>
      </c>
      <c r="N270" s="465"/>
      <c r="O270" s="465"/>
      <c r="P270" s="826">
        <v>106756.3214</v>
      </c>
      <c r="Q270" s="881">
        <v>0</v>
      </c>
      <c r="R270" s="889">
        <v>132850.62035000001</v>
      </c>
      <c r="S270" s="889">
        <v>0</v>
      </c>
    </row>
    <row r="271" spans="1:19" ht="22.5" x14ac:dyDescent="0.25">
      <c r="A271" s="880">
        <v>2025</v>
      </c>
      <c r="B271" s="816" t="s">
        <v>262</v>
      </c>
      <c r="C271" s="816" t="s">
        <v>1194</v>
      </c>
      <c r="D271" s="816" t="s">
        <v>1510</v>
      </c>
      <c r="E271" s="816" t="s">
        <v>8894</v>
      </c>
      <c r="F271" s="816">
        <v>533938.24</v>
      </c>
      <c r="G271" s="816">
        <v>0</v>
      </c>
      <c r="H271" s="826">
        <v>9122262.9110000003</v>
      </c>
      <c r="I271" s="465">
        <v>0</v>
      </c>
      <c r="J271" s="826">
        <v>248831.4958</v>
      </c>
      <c r="K271" s="465">
        <v>0</v>
      </c>
      <c r="L271" s="465">
        <v>0</v>
      </c>
      <c r="M271" s="465">
        <v>0</v>
      </c>
      <c r="N271" s="465"/>
      <c r="O271" s="465"/>
      <c r="P271" s="826">
        <v>9371094.4068</v>
      </c>
      <c r="Q271" s="881">
        <v>0</v>
      </c>
      <c r="R271" s="889">
        <v>9905032.6468000002</v>
      </c>
      <c r="S271" s="889">
        <v>0</v>
      </c>
    </row>
    <row r="272" spans="1:19" ht="22.5" x14ac:dyDescent="0.25">
      <c r="A272" s="880">
        <v>2025</v>
      </c>
      <c r="B272" s="816" t="s">
        <v>262</v>
      </c>
      <c r="C272" s="816" t="s">
        <v>1194</v>
      </c>
      <c r="D272" s="816" t="s">
        <v>1511</v>
      </c>
      <c r="E272" s="816" t="s">
        <v>8895</v>
      </c>
      <c r="F272" s="816">
        <v>2318.9613639999998</v>
      </c>
      <c r="G272" s="816">
        <v>0</v>
      </c>
      <c r="H272" s="826">
        <v>115625.8538</v>
      </c>
      <c r="I272" s="826">
        <v>0</v>
      </c>
      <c r="J272" s="826">
        <v>0</v>
      </c>
      <c r="K272" s="465">
        <v>0</v>
      </c>
      <c r="L272" s="465">
        <v>0</v>
      </c>
      <c r="M272" s="465">
        <v>0</v>
      </c>
      <c r="N272" s="465"/>
      <c r="O272" s="465"/>
      <c r="P272" s="826">
        <v>115625.8538</v>
      </c>
      <c r="Q272" s="881">
        <v>0</v>
      </c>
      <c r="R272" s="889">
        <v>117944.815164</v>
      </c>
      <c r="S272" s="889">
        <v>0</v>
      </c>
    </row>
    <row r="273" spans="1:19" ht="22.5" x14ac:dyDescent="0.25">
      <c r="A273" s="880">
        <v>2025</v>
      </c>
      <c r="B273" s="816" t="s">
        <v>262</v>
      </c>
      <c r="C273" s="816" t="s">
        <v>1194</v>
      </c>
      <c r="D273" s="816" t="s">
        <v>1512</v>
      </c>
      <c r="E273" s="816" t="s">
        <v>8896</v>
      </c>
      <c r="F273" s="816">
        <v>0</v>
      </c>
      <c r="G273" s="816">
        <v>0</v>
      </c>
      <c r="H273" s="826">
        <v>0</v>
      </c>
      <c r="I273" s="826">
        <v>0</v>
      </c>
      <c r="J273" s="826">
        <v>0</v>
      </c>
      <c r="K273" s="465">
        <v>0</v>
      </c>
      <c r="L273" s="465">
        <v>0</v>
      </c>
      <c r="M273" s="465">
        <v>0</v>
      </c>
      <c r="N273" s="465"/>
      <c r="O273" s="465"/>
      <c r="P273" s="826">
        <v>0</v>
      </c>
      <c r="Q273" s="881">
        <v>0</v>
      </c>
      <c r="R273" s="889">
        <v>0</v>
      </c>
      <c r="S273" s="889">
        <v>0</v>
      </c>
    </row>
    <row r="274" spans="1:19" ht="22.5" x14ac:dyDescent="0.25">
      <c r="A274" s="880">
        <v>2025</v>
      </c>
      <c r="B274" s="816" t="s">
        <v>262</v>
      </c>
      <c r="C274" s="816" t="s">
        <v>1194</v>
      </c>
      <c r="D274" s="816" t="s">
        <v>1513</v>
      </c>
      <c r="E274" s="816" t="s">
        <v>8897</v>
      </c>
      <c r="F274" s="816">
        <v>124212.97530000001</v>
      </c>
      <c r="G274" s="816">
        <v>348.113</v>
      </c>
      <c r="H274" s="826">
        <v>267024.70189999999</v>
      </c>
      <c r="I274" s="826">
        <v>772.22</v>
      </c>
      <c r="J274" s="826">
        <v>0</v>
      </c>
      <c r="K274" s="465">
        <v>0</v>
      </c>
      <c r="L274" s="465">
        <v>0</v>
      </c>
      <c r="M274" s="465">
        <v>0</v>
      </c>
      <c r="N274" s="465"/>
      <c r="O274" s="465"/>
      <c r="P274" s="826">
        <v>267024.70189999999</v>
      </c>
      <c r="Q274" s="881">
        <v>772.22</v>
      </c>
      <c r="R274" s="889">
        <v>391237.67719999998</v>
      </c>
      <c r="S274" s="889">
        <v>1120.3330000000001</v>
      </c>
    </row>
    <row r="275" spans="1:19" ht="22.5" x14ac:dyDescent="0.25">
      <c r="A275" s="880">
        <v>2025</v>
      </c>
      <c r="B275" s="816" t="s">
        <v>262</v>
      </c>
      <c r="C275" s="816" t="s">
        <v>1194</v>
      </c>
      <c r="D275" s="816" t="s">
        <v>7736</v>
      </c>
      <c r="E275" s="816" t="s">
        <v>8898</v>
      </c>
      <c r="F275" s="816">
        <v>1652.4779410000001</v>
      </c>
      <c r="G275" s="816">
        <v>0</v>
      </c>
      <c r="H275" s="826">
        <v>6058.5349260000003</v>
      </c>
      <c r="I275" s="826">
        <v>0</v>
      </c>
      <c r="J275" s="826">
        <v>0</v>
      </c>
      <c r="K275" s="465">
        <v>0</v>
      </c>
      <c r="L275" s="465">
        <v>0</v>
      </c>
      <c r="M275" s="465">
        <v>0</v>
      </c>
      <c r="N275" s="465"/>
      <c r="O275" s="465"/>
      <c r="P275" s="826">
        <v>6058.5349260000003</v>
      </c>
      <c r="Q275" s="881">
        <v>0</v>
      </c>
      <c r="R275" s="889">
        <v>7711.0128670000004</v>
      </c>
      <c r="S275" s="889">
        <v>0</v>
      </c>
    </row>
    <row r="276" spans="1:19" ht="22.5" x14ac:dyDescent="0.25">
      <c r="A276" s="880">
        <v>2025</v>
      </c>
      <c r="B276" s="816" t="s">
        <v>262</v>
      </c>
      <c r="C276" s="816" t="s">
        <v>1200</v>
      </c>
      <c r="D276" s="816" t="s">
        <v>1514</v>
      </c>
      <c r="E276" s="816" t="s">
        <v>8899</v>
      </c>
      <c r="F276" s="816">
        <v>1475760</v>
      </c>
      <c r="G276" s="816">
        <v>0</v>
      </c>
      <c r="H276" s="826">
        <v>3213.8017239999999</v>
      </c>
      <c r="I276" s="826">
        <v>0</v>
      </c>
      <c r="J276" s="826">
        <v>101695.8882</v>
      </c>
      <c r="K276" s="465">
        <v>0</v>
      </c>
      <c r="L276" s="465">
        <v>0</v>
      </c>
      <c r="M276" s="465">
        <v>0</v>
      </c>
      <c r="N276" s="465"/>
      <c r="O276" s="465"/>
      <c r="P276" s="826">
        <v>104909.68992400001</v>
      </c>
      <c r="Q276" s="881">
        <v>0</v>
      </c>
      <c r="R276" s="889">
        <v>1580669.6899240001</v>
      </c>
      <c r="S276" s="889">
        <v>0</v>
      </c>
    </row>
    <row r="277" spans="1:19" ht="22.5" x14ac:dyDescent="0.25">
      <c r="A277" s="880">
        <v>2025</v>
      </c>
      <c r="B277" s="816" t="s">
        <v>262</v>
      </c>
      <c r="C277" s="816" t="s">
        <v>1200</v>
      </c>
      <c r="D277" s="816" t="s">
        <v>1515</v>
      </c>
      <c r="E277" s="816" t="s">
        <v>8900</v>
      </c>
      <c r="F277" s="816">
        <v>21437931.920000002</v>
      </c>
      <c r="G277" s="816">
        <v>0</v>
      </c>
      <c r="H277" s="826">
        <v>38842236.759999998</v>
      </c>
      <c r="I277" s="826">
        <v>0</v>
      </c>
      <c r="J277" s="826">
        <v>13669430.09</v>
      </c>
      <c r="K277" s="465">
        <v>0</v>
      </c>
      <c r="L277" s="465">
        <v>0</v>
      </c>
      <c r="M277" s="465">
        <v>0</v>
      </c>
      <c r="N277" s="465"/>
      <c r="O277" s="465"/>
      <c r="P277" s="826">
        <v>52511666.850000001</v>
      </c>
      <c r="Q277" s="881">
        <v>0</v>
      </c>
      <c r="R277" s="889">
        <v>73949598.770000011</v>
      </c>
      <c r="S277" s="889">
        <v>0</v>
      </c>
    </row>
    <row r="278" spans="1:19" ht="22.5" x14ac:dyDescent="0.25">
      <c r="A278" s="880">
        <v>2025</v>
      </c>
      <c r="B278" s="816" t="s">
        <v>262</v>
      </c>
      <c r="C278" s="816" t="s">
        <v>1200</v>
      </c>
      <c r="D278" s="816" t="s">
        <v>1516</v>
      </c>
      <c r="E278" s="816" t="s">
        <v>1517</v>
      </c>
      <c r="F278" s="816">
        <v>0</v>
      </c>
      <c r="G278" s="816">
        <v>0</v>
      </c>
      <c r="H278" s="826">
        <v>32008.34706</v>
      </c>
      <c r="I278" s="826">
        <v>0</v>
      </c>
      <c r="J278" s="826">
        <v>1773178.7720000001</v>
      </c>
      <c r="K278" s="465">
        <v>0</v>
      </c>
      <c r="L278" s="465">
        <v>0</v>
      </c>
      <c r="M278" s="465">
        <v>0</v>
      </c>
      <c r="N278" s="465"/>
      <c r="O278" s="465"/>
      <c r="P278" s="826">
        <v>1805187.1190599999</v>
      </c>
      <c r="Q278" s="881">
        <v>0</v>
      </c>
      <c r="R278" s="889">
        <v>1805187.1190599999</v>
      </c>
      <c r="S278" s="889">
        <v>0</v>
      </c>
    </row>
    <row r="279" spans="1:19" ht="22.5" x14ac:dyDescent="0.25">
      <c r="A279" s="880">
        <v>2025</v>
      </c>
      <c r="B279" s="816" t="s">
        <v>262</v>
      </c>
      <c r="C279" s="816" t="s">
        <v>1200</v>
      </c>
      <c r="D279" s="816" t="s">
        <v>1518</v>
      </c>
      <c r="E279" s="816" t="s">
        <v>8901</v>
      </c>
      <c r="F279" s="816">
        <v>345673.69</v>
      </c>
      <c r="G279" s="816">
        <v>2881.4639999999999</v>
      </c>
      <c r="H279" s="826">
        <v>4804.9715910000004</v>
      </c>
      <c r="I279" s="826">
        <v>13.08</v>
      </c>
      <c r="J279" s="826">
        <v>17070.734530000002</v>
      </c>
      <c r="K279" s="826">
        <v>59</v>
      </c>
      <c r="L279" s="465">
        <v>0</v>
      </c>
      <c r="M279" s="465">
        <v>0</v>
      </c>
      <c r="N279" s="465"/>
      <c r="O279" s="465"/>
      <c r="P279" s="826">
        <v>21875.706120999999</v>
      </c>
      <c r="Q279" s="881">
        <v>72.08</v>
      </c>
      <c r="R279" s="889">
        <v>367549.396121</v>
      </c>
      <c r="S279" s="889">
        <v>2953.5439999999999</v>
      </c>
    </row>
    <row r="280" spans="1:19" ht="22.5" x14ac:dyDescent="0.25">
      <c r="A280" s="880">
        <v>2025</v>
      </c>
      <c r="B280" s="816" t="s">
        <v>262</v>
      </c>
      <c r="C280" s="816" t="s">
        <v>1200</v>
      </c>
      <c r="D280" s="816" t="s">
        <v>1519</v>
      </c>
      <c r="E280" s="816" t="s">
        <v>8902</v>
      </c>
      <c r="F280" s="816">
        <v>2906695.6800000002</v>
      </c>
      <c r="G280" s="816">
        <v>8622.1679999999997</v>
      </c>
      <c r="H280" s="826">
        <v>0</v>
      </c>
      <c r="I280" s="826">
        <v>0</v>
      </c>
      <c r="J280" s="826">
        <v>182014.08530000001</v>
      </c>
      <c r="K280" s="465">
        <v>594.58399999999995</v>
      </c>
      <c r="L280" s="465">
        <v>0</v>
      </c>
      <c r="M280" s="465">
        <v>0</v>
      </c>
      <c r="N280" s="465"/>
      <c r="O280" s="465"/>
      <c r="P280" s="826">
        <v>182014.08530000001</v>
      </c>
      <c r="Q280" s="881">
        <v>594.58399999999995</v>
      </c>
      <c r="R280" s="889">
        <v>3088709.7653000001</v>
      </c>
      <c r="S280" s="889">
        <v>9216.7520000000004</v>
      </c>
    </row>
    <row r="281" spans="1:19" ht="22.5" x14ac:dyDescent="0.25">
      <c r="A281" s="880">
        <v>2025</v>
      </c>
      <c r="B281" s="816" t="s">
        <v>262</v>
      </c>
      <c r="C281" s="816" t="s">
        <v>1200</v>
      </c>
      <c r="D281" s="816" t="s">
        <v>1520</v>
      </c>
      <c r="E281" s="816" t="s">
        <v>8903</v>
      </c>
      <c r="F281" s="816">
        <v>10065.1</v>
      </c>
      <c r="G281" s="816">
        <v>0</v>
      </c>
      <c r="H281" s="826">
        <v>54983.021269999997</v>
      </c>
      <c r="I281" s="826">
        <v>0</v>
      </c>
      <c r="J281" s="826">
        <v>2770681.1069999998</v>
      </c>
      <c r="K281" s="826">
        <v>0</v>
      </c>
      <c r="L281" s="465">
        <v>0</v>
      </c>
      <c r="M281" s="465">
        <v>0</v>
      </c>
      <c r="N281" s="465"/>
      <c r="O281" s="465"/>
      <c r="P281" s="826">
        <v>2825664.1282700002</v>
      </c>
      <c r="Q281" s="881">
        <v>0</v>
      </c>
      <c r="R281" s="889">
        <v>2835729.2282700003</v>
      </c>
      <c r="S281" s="889">
        <v>0</v>
      </c>
    </row>
    <row r="282" spans="1:19" ht="22.5" x14ac:dyDescent="0.25">
      <c r="A282" s="880">
        <v>2025</v>
      </c>
      <c r="B282" s="816" t="s">
        <v>262</v>
      </c>
      <c r="C282" s="816" t="s">
        <v>1200</v>
      </c>
      <c r="D282" s="816" t="s">
        <v>7737</v>
      </c>
      <c r="E282" s="816" t="s">
        <v>8904</v>
      </c>
      <c r="F282" s="816">
        <v>0</v>
      </c>
      <c r="G282" s="816">
        <v>0</v>
      </c>
      <c r="H282" s="826">
        <v>37927.80515</v>
      </c>
      <c r="I282" s="826">
        <v>0</v>
      </c>
      <c r="J282" s="826">
        <v>0</v>
      </c>
      <c r="K282" s="826">
        <v>0</v>
      </c>
      <c r="L282" s="465">
        <v>0</v>
      </c>
      <c r="M282" s="465">
        <v>0</v>
      </c>
      <c r="N282" s="465"/>
      <c r="O282" s="465"/>
      <c r="P282" s="826">
        <v>37927.80515</v>
      </c>
      <c r="Q282" s="881">
        <v>0</v>
      </c>
      <c r="R282" s="889">
        <v>37927.80515</v>
      </c>
      <c r="S282" s="889">
        <v>0</v>
      </c>
    </row>
    <row r="283" spans="1:19" ht="33.75" x14ac:dyDescent="0.25">
      <c r="A283" s="880">
        <v>2025</v>
      </c>
      <c r="B283" s="816" t="s">
        <v>262</v>
      </c>
      <c r="C283" s="816" t="s">
        <v>1521</v>
      </c>
      <c r="D283" s="816" t="s">
        <v>1522</v>
      </c>
      <c r="E283" s="816" t="s">
        <v>8905</v>
      </c>
      <c r="F283" s="816">
        <v>564781939.82000005</v>
      </c>
      <c r="G283" s="816">
        <v>1369848.56</v>
      </c>
      <c r="H283" s="826">
        <v>63095173.079999998</v>
      </c>
      <c r="I283" s="826">
        <v>101135.71</v>
      </c>
      <c r="J283" s="826">
        <v>5162954904.3999996</v>
      </c>
      <c r="K283" s="826">
        <v>12225904.789999999</v>
      </c>
      <c r="L283" s="465">
        <v>605850484.79999995</v>
      </c>
      <c r="M283" s="465">
        <v>1578628.7</v>
      </c>
      <c r="N283" s="465"/>
      <c r="O283" s="465"/>
      <c r="P283" s="826">
        <v>5831900562.2799997</v>
      </c>
      <c r="Q283" s="881">
        <v>13905669.199999999</v>
      </c>
      <c r="R283" s="889">
        <v>6396682502.0999994</v>
      </c>
      <c r="S283" s="889">
        <v>15275517.76</v>
      </c>
    </row>
    <row r="284" spans="1:19" ht="33.75" x14ac:dyDescent="0.25">
      <c r="A284" s="880">
        <v>2025</v>
      </c>
      <c r="B284" s="816" t="s">
        <v>262</v>
      </c>
      <c r="C284" s="816" t="s">
        <v>1210</v>
      </c>
      <c r="D284" s="816" t="s">
        <v>1523</v>
      </c>
      <c r="E284" s="816" t="s">
        <v>8906</v>
      </c>
      <c r="F284" s="816">
        <v>2230069.7609999999</v>
      </c>
      <c r="G284" s="816">
        <v>0</v>
      </c>
      <c r="H284" s="826">
        <v>30314869.420000002</v>
      </c>
      <c r="I284" s="826">
        <v>0</v>
      </c>
      <c r="J284" s="826">
        <v>47265.887390000004</v>
      </c>
      <c r="K284" s="826">
        <v>0</v>
      </c>
      <c r="L284" s="465">
        <v>0</v>
      </c>
      <c r="M284" s="465">
        <v>0</v>
      </c>
      <c r="N284" s="465"/>
      <c r="O284" s="465"/>
      <c r="P284" s="826">
        <v>30362135.307390001</v>
      </c>
      <c r="Q284" s="881">
        <v>0</v>
      </c>
      <c r="R284" s="889">
        <v>32592205.068390001</v>
      </c>
      <c r="S284" s="889">
        <v>0</v>
      </c>
    </row>
    <row r="285" spans="1:19" ht="33.75" x14ac:dyDescent="0.25">
      <c r="A285" s="880">
        <v>2025</v>
      </c>
      <c r="B285" s="816" t="s">
        <v>262</v>
      </c>
      <c r="C285" s="816" t="s">
        <v>1210</v>
      </c>
      <c r="D285" s="816" t="s">
        <v>1524</v>
      </c>
      <c r="E285" s="816" t="s">
        <v>8907</v>
      </c>
      <c r="F285" s="816">
        <v>56349.214419999997</v>
      </c>
      <c r="G285" s="816">
        <v>0</v>
      </c>
      <c r="H285" s="826">
        <v>273977.97979999997</v>
      </c>
      <c r="I285" s="826">
        <v>0</v>
      </c>
      <c r="J285" s="826">
        <v>0</v>
      </c>
      <c r="K285" s="826">
        <v>0</v>
      </c>
      <c r="L285" s="826">
        <v>0</v>
      </c>
      <c r="M285" s="826">
        <v>0</v>
      </c>
      <c r="N285" s="826"/>
      <c r="O285" s="826"/>
      <c r="P285" s="826">
        <v>273977.97979999997</v>
      </c>
      <c r="Q285" s="881">
        <v>0</v>
      </c>
      <c r="R285" s="889">
        <v>330327.19421999995</v>
      </c>
      <c r="S285" s="889">
        <v>0</v>
      </c>
    </row>
    <row r="286" spans="1:19" ht="33.75" x14ac:dyDescent="0.25">
      <c r="A286" s="880">
        <v>2025</v>
      </c>
      <c r="B286" s="816" t="s">
        <v>262</v>
      </c>
      <c r="C286" s="816" t="s">
        <v>1210</v>
      </c>
      <c r="D286" s="816" t="s">
        <v>1525</v>
      </c>
      <c r="E286" s="816" t="s">
        <v>8908</v>
      </c>
      <c r="F286" s="816">
        <v>99045.643060000002</v>
      </c>
      <c r="G286" s="816">
        <v>0</v>
      </c>
      <c r="H286" s="826">
        <v>368838.03950000001</v>
      </c>
      <c r="I286" s="826">
        <v>0</v>
      </c>
      <c r="J286" s="826">
        <v>0</v>
      </c>
      <c r="K286" s="465">
        <v>0</v>
      </c>
      <c r="L286" s="465">
        <v>0</v>
      </c>
      <c r="M286" s="465">
        <v>0</v>
      </c>
      <c r="N286" s="465"/>
      <c r="O286" s="465"/>
      <c r="P286" s="826">
        <v>368838.03950000001</v>
      </c>
      <c r="Q286" s="881">
        <v>0</v>
      </c>
      <c r="R286" s="889">
        <v>467883.68255999999</v>
      </c>
      <c r="S286" s="889">
        <v>0</v>
      </c>
    </row>
    <row r="287" spans="1:19" ht="33.75" x14ac:dyDescent="0.25">
      <c r="A287" s="880">
        <v>2025</v>
      </c>
      <c r="B287" s="816" t="s">
        <v>262</v>
      </c>
      <c r="C287" s="816" t="s">
        <v>1210</v>
      </c>
      <c r="D287" s="816" t="s">
        <v>1526</v>
      </c>
      <c r="E287" s="816" t="s">
        <v>8909</v>
      </c>
      <c r="F287" s="816">
        <v>8970.867424</v>
      </c>
      <c r="G287" s="816">
        <v>0</v>
      </c>
      <c r="H287" s="826">
        <v>637693.31039999996</v>
      </c>
      <c r="I287" s="826">
        <v>0</v>
      </c>
      <c r="J287" s="826">
        <v>0</v>
      </c>
      <c r="K287" s="465">
        <v>0</v>
      </c>
      <c r="L287" s="465">
        <v>0</v>
      </c>
      <c r="M287" s="465">
        <v>0</v>
      </c>
      <c r="N287" s="465"/>
      <c r="O287" s="465"/>
      <c r="P287" s="826">
        <v>637693.31039999996</v>
      </c>
      <c r="Q287" s="881">
        <v>0</v>
      </c>
      <c r="R287" s="889">
        <v>646664.17782400001</v>
      </c>
      <c r="S287" s="889">
        <v>0</v>
      </c>
    </row>
    <row r="288" spans="1:19" ht="33.75" x14ac:dyDescent="0.25">
      <c r="A288" s="880">
        <v>2025</v>
      </c>
      <c r="B288" s="816" t="s">
        <v>262</v>
      </c>
      <c r="C288" s="816" t="s">
        <v>1210</v>
      </c>
      <c r="D288" s="816" t="s">
        <v>1527</v>
      </c>
      <c r="E288" s="816" t="s">
        <v>8910</v>
      </c>
      <c r="F288" s="816">
        <v>1435345.906</v>
      </c>
      <c r="G288" s="816">
        <v>0</v>
      </c>
      <c r="H288" s="826">
        <v>79352.166500000007</v>
      </c>
      <c r="I288" s="826">
        <v>0</v>
      </c>
      <c r="J288" s="826">
        <v>0</v>
      </c>
      <c r="K288" s="465">
        <v>0</v>
      </c>
      <c r="L288" s="465">
        <v>0</v>
      </c>
      <c r="M288" s="465">
        <v>0</v>
      </c>
      <c r="N288" s="465"/>
      <c r="O288" s="465"/>
      <c r="P288" s="826">
        <v>79352.166500000007</v>
      </c>
      <c r="Q288" s="881">
        <v>0</v>
      </c>
      <c r="R288" s="889">
        <v>1514698.0725</v>
      </c>
      <c r="S288" s="889">
        <v>0</v>
      </c>
    </row>
    <row r="289" spans="1:19" ht="33.75" x14ac:dyDescent="0.25">
      <c r="A289" s="880">
        <v>2025</v>
      </c>
      <c r="B289" s="816" t="s">
        <v>262</v>
      </c>
      <c r="C289" s="816" t="s">
        <v>1210</v>
      </c>
      <c r="D289" s="816" t="s">
        <v>1528</v>
      </c>
      <c r="E289" s="816" t="s">
        <v>8911</v>
      </c>
      <c r="F289" s="816">
        <v>0</v>
      </c>
      <c r="G289" s="816">
        <v>0</v>
      </c>
      <c r="H289" s="826">
        <v>583554.64950000006</v>
      </c>
      <c r="I289" s="826">
        <v>0</v>
      </c>
      <c r="J289" s="826">
        <v>0</v>
      </c>
      <c r="K289" s="465">
        <v>0</v>
      </c>
      <c r="L289" s="465">
        <v>0</v>
      </c>
      <c r="M289" s="465">
        <v>0</v>
      </c>
      <c r="N289" s="465"/>
      <c r="O289" s="465"/>
      <c r="P289" s="826">
        <v>583554.64950000006</v>
      </c>
      <c r="Q289" s="881">
        <v>0</v>
      </c>
      <c r="R289" s="889">
        <v>583554.64950000006</v>
      </c>
      <c r="S289" s="889">
        <v>0</v>
      </c>
    </row>
    <row r="290" spans="1:19" ht="33.75" x14ac:dyDescent="0.25">
      <c r="A290" s="880">
        <v>2025</v>
      </c>
      <c r="B290" s="816" t="s">
        <v>262</v>
      </c>
      <c r="C290" s="816" t="s">
        <v>1210</v>
      </c>
      <c r="D290" s="816" t="s">
        <v>7738</v>
      </c>
      <c r="E290" s="816" t="s">
        <v>8912</v>
      </c>
      <c r="F290" s="816">
        <v>0</v>
      </c>
      <c r="G290" s="816">
        <v>0</v>
      </c>
      <c r="H290" s="826">
        <v>1204.238971</v>
      </c>
      <c r="I290" s="826">
        <v>0</v>
      </c>
      <c r="J290" s="826">
        <v>0</v>
      </c>
      <c r="K290" s="465">
        <v>0</v>
      </c>
      <c r="L290" s="465">
        <v>0</v>
      </c>
      <c r="M290" s="465">
        <v>0</v>
      </c>
      <c r="N290" s="465"/>
      <c r="O290" s="465"/>
      <c r="P290" s="826">
        <v>1204.238971</v>
      </c>
      <c r="Q290" s="881">
        <v>0</v>
      </c>
      <c r="R290" s="889">
        <v>1204.238971</v>
      </c>
      <c r="S290" s="889">
        <v>0</v>
      </c>
    </row>
    <row r="291" spans="1:19" ht="22.5" x14ac:dyDescent="0.25">
      <c r="A291" s="880">
        <v>2025</v>
      </c>
      <c r="B291" s="816" t="s">
        <v>265</v>
      </c>
      <c r="C291" s="816" t="s">
        <v>1143</v>
      </c>
      <c r="D291" s="816" t="s">
        <v>1226</v>
      </c>
      <c r="E291" s="816" t="s">
        <v>1539</v>
      </c>
      <c r="F291" s="816">
        <v>94697.919999999998</v>
      </c>
      <c r="G291" s="816">
        <v>0</v>
      </c>
      <c r="H291" s="826">
        <v>640333393</v>
      </c>
      <c r="I291" s="826"/>
      <c r="J291" s="826"/>
      <c r="K291" s="465"/>
      <c r="L291" s="465"/>
      <c r="M291" s="465"/>
      <c r="N291" s="465"/>
      <c r="O291" s="465"/>
      <c r="P291" s="826">
        <v>640333393</v>
      </c>
      <c r="Q291" s="881">
        <v>0</v>
      </c>
      <c r="R291" s="889">
        <v>640428090.91999996</v>
      </c>
      <c r="S291" s="889">
        <v>0</v>
      </c>
    </row>
    <row r="292" spans="1:19" ht="22.5" x14ac:dyDescent="0.25">
      <c r="A292" s="880">
        <v>2025</v>
      </c>
      <c r="B292" s="816" t="s">
        <v>265</v>
      </c>
      <c r="C292" s="816" t="s">
        <v>1155</v>
      </c>
      <c r="D292" s="816" t="s">
        <v>1540</v>
      </c>
      <c r="E292" s="816" t="s">
        <v>1541</v>
      </c>
      <c r="F292" s="816">
        <v>50757258</v>
      </c>
      <c r="G292" s="816">
        <v>90474</v>
      </c>
      <c r="H292" s="826">
        <v>0</v>
      </c>
      <c r="I292" s="465"/>
      <c r="J292" s="826">
        <v>672347915</v>
      </c>
      <c r="K292" s="465">
        <v>1453978</v>
      </c>
      <c r="L292" s="465"/>
      <c r="M292" s="465"/>
      <c r="N292" s="465"/>
      <c r="O292" s="465"/>
      <c r="P292" s="826">
        <v>672347915</v>
      </c>
      <c r="Q292" s="881">
        <v>1453978</v>
      </c>
      <c r="R292" s="889">
        <v>723105173</v>
      </c>
      <c r="S292" s="889">
        <v>1544452</v>
      </c>
    </row>
    <row r="293" spans="1:19" ht="22.5" x14ac:dyDescent="0.25">
      <c r="A293" s="880">
        <v>2025</v>
      </c>
      <c r="B293" s="816" t="s">
        <v>265</v>
      </c>
      <c r="C293" s="816" t="s">
        <v>1155</v>
      </c>
      <c r="D293" s="816" t="s">
        <v>1463</v>
      </c>
      <c r="E293" s="816" t="s">
        <v>1542</v>
      </c>
      <c r="F293" s="816">
        <v>1886095.71</v>
      </c>
      <c r="G293" s="816">
        <v>7271.84</v>
      </c>
      <c r="H293" s="826">
        <v>290467997</v>
      </c>
      <c r="I293" s="465">
        <v>660301</v>
      </c>
      <c r="J293" s="826">
        <v>2203927144</v>
      </c>
      <c r="K293" s="465">
        <v>5334447</v>
      </c>
      <c r="L293" s="465">
        <v>29143258</v>
      </c>
      <c r="M293" s="465">
        <v>59829</v>
      </c>
      <c r="N293" s="465"/>
      <c r="O293" s="465"/>
      <c r="P293" s="826">
        <v>2523538399</v>
      </c>
      <c r="Q293" s="881">
        <v>6054577</v>
      </c>
      <c r="R293" s="889">
        <v>2525424494.71</v>
      </c>
      <c r="S293" s="889">
        <v>6061848.8399999999</v>
      </c>
    </row>
    <row r="294" spans="1:19" ht="22.5" x14ac:dyDescent="0.25">
      <c r="A294" s="880">
        <v>2025</v>
      </c>
      <c r="B294" s="816" t="s">
        <v>265</v>
      </c>
      <c r="C294" s="816" t="s">
        <v>1173</v>
      </c>
      <c r="D294" s="816" t="s">
        <v>1237</v>
      </c>
      <c r="E294" s="816" t="s">
        <v>1543</v>
      </c>
      <c r="F294" s="816">
        <v>0</v>
      </c>
      <c r="G294" s="816">
        <v>0</v>
      </c>
      <c r="H294" s="826">
        <v>0</v>
      </c>
      <c r="I294" s="465"/>
      <c r="J294" s="826">
        <v>427077921</v>
      </c>
      <c r="K294" s="465">
        <v>802252</v>
      </c>
      <c r="L294" s="465"/>
      <c r="M294" s="465"/>
      <c r="N294" s="465"/>
      <c r="O294" s="465"/>
      <c r="P294" s="826">
        <v>427077921</v>
      </c>
      <c r="Q294" s="881">
        <v>802252</v>
      </c>
      <c r="R294" s="889">
        <v>427077921</v>
      </c>
      <c r="S294" s="889">
        <v>802252</v>
      </c>
    </row>
    <row r="295" spans="1:19" ht="22.5" x14ac:dyDescent="0.25">
      <c r="A295" s="880">
        <v>2025</v>
      </c>
      <c r="B295" s="816" t="s">
        <v>265</v>
      </c>
      <c r="C295" s="816" t="s">
        <v>1184</v>
      </c>
      <c r="D295" s="816" t="s">
        <v>1184</v>
      </c>
      <c r="E295" s="816" t="s">
        <v>1544</v>
      </c>
      <c r="F295" s="816">
        <v>88496</v>
      </c>
      <c r="G295" s="816">
        <v>0</v>
      </c>
      <c r="H295" s="826">
        <v>2487203870</v>
      </c>
      <c r="I295" s="465"/>
      <c r="J295" s="826"/>
      <c r="K295" s="465"/>
      <c r="L295" s="465"/>
      <c r="M295" s="465"/>
      <c r="N295" s="465"/>
      <c r="O295" s="465"/>
      <c r="P295" s="826">
        <v>2487203870</v>
      </c>
      <c r="Q295" s="881">
        <v>0</v>
      </c>
      <c r="R295" s="889">
        <v>2487292366</v>
      </c>
      <c r="S295" s="889">
        <v>0</v>
      </c>
    </row>
    <row r="296" spans="1:19" ht="22.5" x14ac:dyDescent="0.25">
      <c r="A296" s="880">
        <v>2025</v>
      </c>
      <c r="B296" s="816" t="s">
        <v>265</v>
      </c>
      <c r="C296" s="816" t="s">
        <v>1194</v>
      </c>
      <c r="D296" s="816" t="s">
        <v>1240</v>
      </c>
      <c r="E296" s="816" t="s">
        <v>1545</v>
      </c>
      <c r="F296" s="816">
        <v>37145</v>
      </c>
      <c r="G296" s="816">
        <v>102</v>
      </c>
      <c r="H296" s="826">
        <v>42468</v>
      </c>
      <c r="I296" s="465">
        <v>120</v>
      </c>
      <c r="J296" s="826"/>
      <c r="K296" s="465"/>
      <c r="L296" s="465"/>
      <c r="M296" s="465"/>
      <c r="N296" s="465"/>
      <c r="O296" s="465"/>
      <c r="P296" s="826">
        <v>42468</v>
      </c>
      <c r="Q296" s="881">
        <v>120</v>
      </c>
      <c r="R296" s="889">
        <v>79613</v>
      </c>
      <c r="S296" s="889">
        <v>222</v>
      </c>
    </row>
    <row r="297" spans="1:19" ht="22.5" x14ac:dyDescent="0.25">
      <c r="A297" s="880">
        <v>2025</v>
      </c>
      <c r="B297" s="816" t="s">
        <v>265</v>
      </c>
      <c r="C297" s="816" t="s">
        <v>1200</v>
      </c>
      <c r="D297" s="816" t="s">
        <v>1224</v>
      </c>
      <c r="E297" s="816" t="s">
        <v>1546</v>
      </c>
      <c r="F297" s="816">
        <v>112565.4</v>
      </c>
      <c r="G297" s="816">
        <v>0</v>
      </c>
      <c r="H297" s="826">
        <v>0</v>
      </c>
      <c r="I297" s="465"/>
      <c r="J297" s="826">
        <v>21668470</v>
      </c>
      <c r="K297" s="465">
        <v>60341</v>
      </c>
      <c r="L297" s="465"/>
      <c r="M297" s="465"/>
      <c r="N297" s="465"/>
      <c r="O297" s="465"/>
      <c r="P297" s="826">
        <v>21668470</v>
      </c>
      <c r="Q297" s="881">
        <v>60341</v>
      </c>
      <c r="R297" s="889">
        <v>21781035.399999999</v>
      </c>
      <c r="S297" s="889">
        <v>60341</v>
      </c>
    </row>
    <row r="298" spans="1:19" ht="33.75" x14ac:dyDescent="0.25">
      <c r="A298" s="880">
        <v>2025</v>
      </c>
      <c r="B298" s="816" t="s">
        <v>265</v>
      </c>
      <c r="C298" s="816" t="s">
        <v>1210</v>
      </c>
      <c r="D298" s="816" t="s">
        <v>1243</v>
      </c>
      <c r="E298" s="816" t="s">
        <v>1547</v>
      </c>
      <c r="F298" s="816">
        <v>333951</v>
      </c>
      <c r="G298" s="816">
        <v>0</v>
      </c>
      <c r="H298" s="826">
        <v>14249647</v>
      </c>
      <c r="I298" s="465"/>
      <c r="J298" s="826"/>
      <c r="K298" s="465"/>
      <c r="L298" s="465"/>
      <c r="M298" s="465"/>
      <c r="N298" s="465"/>
      <c r="O298" s="465"/>
      <c r="P298" s="826">
        <v>14249647</v>
      </c>
      <c r="Q298" s="881">
        <v>0</v>
      </c>
      <c r="R298" s="889">
        <v>14583598</v>
      </c>
      <c r="S298" s="889">
        <v>0</v>
      </c>
    </row>
    <row r="299" spans="1:19" ht="22.5" x14ac:dyDescent="0.25">
      <c r="A299" s="880">
        <v>2025</v>
      </c>
      <c r="B299" s="816" t="s">
        <v>267</v>
      </c>
      <c r="C299" s="816" t="s">
        <v>1140</v>
      </c>
      <c r="D299" s="816" t="s">
        <v>1250</v>
      </c>
      <c r="E299" s="816" t="s">
        <v>8913</v>
      </c>
      <c r="F299" s="816">
        <v>0</v>
      </c>
      <c r="G299" s="816">
        <v>0</v>
      </c>
      <c r="H299" s="826">
        <v>0</v>
      </c>
      <c r="I299" s="465"/>
      <c r="J299" s="826">
        <v>949807.8</v>
      </c>
      <c r="K299" s="465">
        <v>2328</v>
      </c>
      <c r="L299" s="465"/>
      <c r="M299" s="465"/>
      <c r="N299" s="465"/>
      <c r="O299" s="465"/>
      <c r="P299" s="826">
        <v>949807.8</v>
      </c>
      <c r="Q299" s="881">
        <v>2328</v>
      </c>
      <c r="R299" s="889">
        <v>949807.8</v>
      </c>
      <c r="S299" s="889">
        <v>2328</v>
      </c>
    </row>
    <row r="300" spans="1:19" ht="22.5" x14ac:dyDescent="0.25">
      <c r="A300" s="880">
        <v>2025</v>
      </c>
      <c r="B300" s="816" t="s">
        <v>267</v>
      </c>
      <c r="C300" s="816" t="s">
        <v>1143</v>
      </c>
      <c r="D300" s="816" t="s">
        <v>1226</v>
      </c>
      <c r="E300" s="816" t="s">
        <v>1548</v>
      </c>
      <c r="F300" s="816">
        <v>94697.919999999998</v>
      </c>
      <c r="G300" s="816">
        <v>0</v>
      </c>
      <c r="H300" s="826">
        <v>47391545.789999999</v>
      </c>
      <c r="I300" s="465"/>
      <c r="J300" s="826"/>
      <c r="K300" s="465"/>
      <c r="L300" s="465"/>
      <c r="M300" s="465"/>
      <c r="N300" s="465"/>
      <c r="O300" s="465"/>
      <c r="P300" s="826">
        <v>47391545.789999999</v>
      </c>
      <c r="Q300" s="881">
        <v>0</v>
      </c>
      <c r="R300" s="889">
        <v>47486243.710000001</v>
      </c>
      <c r="S300" s="889">
        <v>0</v>
      </c>
    </row>
    <row r="301" spans="1:19" ht="22.5" x14ac:dyDescent="0.25">
      <c r="A301" s="880">
        <v>2025</v>
      </c>
      <c r="B301" s="816" t="s">
        <v>267</v>
      </c>
      <c r="C301" s="816" t="s">
        <v>1155</v>
      </c>
      <c r="D301" s="816" t="s">
        <v>1228</v>
      </c>
      <c r="E301" s="816" t="s">
        <v>1549</v>
      </c>
      <c r="F301" s="816">
        <v>1014403.6</v>
      </c>
      <c r="G301" s="816">
        <v>2078.5700000000002</v>
      </c>
      <c r="H301" s="826">
        <v>2972352.41</v>
      </c>
      <c r="I301" s="465">
        <v>22408.14</v>
      </c>
      <c r="J301" s="826">
        <v>48955745.18</v>
      </c>
      <c r="K301" s="465">
        <v>121436.77</v>
      </c>
      <c r="L301" s="465"/>
      <c r="M301" s="465"/>
      <c r="N301" s="465"/>
      <c r="O301" s="465"/>
      <c r="P301" s="826">
        <v>51928097.590000004</v>
      </c>
      <c r="Q301" s="881">
        <v>143844.91</v>
      </c>
      <c r="R301" s="889">
        <v>52942501.190000005</v>
      </c>
      <c r="S301" s="889">
        <v>145923.48000000001</v>
      </c>
    </row>
    <row r="302" spans="1:19" ht="22.5" x14ac:dyDescent="0.25">
      <c r="A302" s="880">
        <v>2025</v>
      </c>
      <c r="B302" s="816" t="s">
        <v>267</v>
      </c>
      <c r="C302" s="816" t="s">
        <v>1184</v>
      </c>
      <c r="D302" s="816" t="s">
        <v>1184</v>
      </c>
      <c r="E302" s="816" t="s">
        <v>1550</v>
      </c>
      <c r="F302" s="816">
        <v>88496</v>
      </c>
      <c r="G302" s="816">
        <v>0</v>
      </c>
      <c r="H302" s="826">
        <v>196513706.06999999</v>
      </c>
      <c r="I302" s="465"/>
      <c r="J302" s="465"/>
      <c r="K302" s="465"/>
      <c r="L302" s="465"/>
      <c r="M302" s="465"/>
      <c r="N302" s="465"/>
      <c r="O302" s="465"/>
      <c r="P302" s="826">
        <v>196513706.06999999</v>
      </c>
      <c r="Q302" s="881">
        <v>0</v>
      </c>
      <c r="R302" s="889">
        <v>196602202.06999999</v>
      </c>
      <c r="S302" s="889">
        <v>0</v>
      </c>
    </row>
    <row r="303" spans="1:19" ht="22.5" x14ac:dyDescent="0.25">
      <c r="A303" s="880">
        <v>2025</v>
      </c>
      <c r="B303" s="816" t="s">
        <v>267</v>
      </c>
      <c r="C303" s="816" t="s">
        <v>1194</v>
      </c>
      <c r="D303" s="816" t="s">
        <v>1240</v>
      </c>
      <c r="E303" s="816" t="s">
        <v>1551</v>
      </c>
      <c r="F303" s="816">
        <v>37145</v>
      </c>
      <c r="G303" s="816">
        <v>102</v>
      </c>
      <c r="H303" s="826">
        <v>87522.48</v>
      </c>
      <c r="I303" s="826">
        <v>243.12</v>
      </c>
      <c r="J303" s="826"/>
      <c r="K303" s="826"/>
      <c r="L303" s="826"/>
      <c r="M303" s="826"/>
      <c r="N303" s="826"/>
      <c r="O303" s="826"/>
      <c r="P303" s="826">
        <v>87522.48</v>
      </c>
      <c r="Q303" s="881">
        <v>243.12</v>
      </c>
      <c r="R303" s="889">
        <v>124667.48</v>
      </c>
      <c r="S303" s="889">
        <v>345.12</v>
      </c>
    </row>
    <row r="304" spans="1:19" ht="22.5" x14ac:dyDescent="0.25">
      <c r="A304" s="880">
        <v>2025</v>
      </c>
      <c r="B304" s="816" t="s">
        <v>267</v>
      </c>
      <c r="C304" s="816" t="s">
        <v>1200</v>
      </c>
      <c r="D304" s="816" t="s">
        <v>1224</v>
      </c>
      <c r="E304" s="816" t="s">
        <v>1552</v>
      </c>
      <c r="F304" s="816">
        <v>112565.4</v>
      </c>
      <c r="G304" s="816">
        <v>0</v>
      </c>
      <c r="H304" s="826">
        <v>0</v>
      </c>
      <c r="I304" s="826"/>
      <c r="J304" s="826">
        <v>936034.81</v>
      </c>
      <c r="K304" s="826">
        <v>2837.68</v>
      </c>
      <c r="L304" s="826"/>
      <c r="M304" s="826"/>
      <c r="N304" s="826"/>
      <c r="O304" s="826"/>
      <c r="P304" s="826">
        <v>936034.81</v>
      </c>
      <c r="Q304" s="881">
        <v>2837.68</v>
      </c>
      <c r="R304" s="889">
        <v>1048600.21</v>
      </c>
      <c r="S304" s="889">
        <v>2837.68</v>
      </c>
    </row>
    <row r="305" spans="1:19" ht="33.75" x14ac:dyDescent="0.25">
      <c r="A305" s="880">
        <v>2025</v>
      </c>
      <c r="B305" s="816" t="s">
        <v>267</v>
      </c>
      <c r="C305" s="816" t="s">
        <v>1210</v>
      </c>
      <c r="D305" s="816" t="s">
        <v>1243</v>
      </c>
      <c r="E305" s="816" t="s">
        <v>1553</v>
      </c>
      <c r="F305" s="816">
        <v>333951</v>
      </c>
      <c r="G305" s="816">
        <v>0</v>
      </c>
      <c r="H305" s="826">
        <v>402486</v>
      </c>
      <c r="I305" s="465"/>
      <c r="J305" s="826"/>
      <c r="K305" s="826"/>
      <c r="L305" s="465"/>
      <c r="M305" s="465"/>
      <c r="N305" s="465"/>
      <c r="O305" s="465"/>
      <c r="P305" s="826">
        <v>402486</v>
      </c>
      <c r="Q305" s="881">
        <v>0</v>
      </c>
      <c r="R305" s="889">
        <v>736437</v>
      </c>
      <c r="S305" s="889">
        <v>0</v>
      </c>
    </row>
    <row r="306" spans="1:19" ht="22.5" x14ac:dyDescent="0.25">
      <c r="A306" s="880">
        <v>2025</v>
      </c>
      <c r="B306" s="816" t="s">
        <v>269</v>
      </c>
      <c r="C306" s="816" t="s">
        <v>1143</v>
      </c>
      <c r="D306" s="816" t="s">
        <v>1226</v>
      </c>
      <c r="E306" s="816" t="s">
        <v>1554</v>
      </c>
      <c r="F306" s="816">
        <v>94697.919999999998</v>
      </c>
      <c r="G306" s="816">
        <v>0</v>
      </c>
      <c r="H306" s="826">
        <v>68699138.180000007</v>
      </c>
      <c r="I306" s="465"/>
      <c r="J306" s="465">
        <v>435324.59</v>
      </c>
      <c r="K306" s="465"/>
      <c r="L306" s="465"/>
      <c r="M306" s="465"/>
      <c r="N306" s="465"/>
      <c r="O306" s="465"/>
      <c r="P306" s="826">
        <v>69134462.769999996</v>
      </c>
      <c r="Q306" s="881">
        <v>0</v>
      </c>
      <c r="R306" s="889">
        <v>69229160.689999998</v>
      </c>
      <c r="S306" s="889">
        <v>0</v>
      </c>
    </row>
    <row r="307" spans="1:19" ht="22.5" x14ac:dyDescent="0.25">
      <c r="A307" s="880">
        <v>2025</v>
      </c>
      <c r="B307" s="816" t="s">
        <v>269</v>
      </c>
      <c r="C307" s="816" t="s">
        <v>1155</v>
      </c>
      <c r="D307" s="816" t="s">
        <v>1228</v>
      </c>
      <c r="E307" s="816" t="s">
        <v>1555</v>
      </c>
      <c r="F307" s="816">
        <v>1014403.6</v>
      </c>
      <c r="G307" s="816">
        <v>2078.5700000000002</v>
      </c>
      <c r="H307" s="826">
        <v>38718518.469999999</v>
      </c>
      <c r="I307" s="826">
        <v>86293.39</v>
      </c>
      <c r="J307" s="465">
        <v>157679222.59999999</v>
      </c>
      <c r="K307" s="465">
        <v>414466.49</v>
      </c>
      <c r="L307" s="465">
        <v>3431728.5</v>
      </c>
      <c r="M307" s="465">
        <v>6656.74</v>
      </c>
      <c r="N307" s="465"/>
      <c r="O307" s="465"/>
      <c r="P307" s="826">
        <v>199829469.56999999</v>
      </c>
      <c r="Q307" s="881">
        <v>507416.62</v>
      </c>
      <c r="R307" s="889">
        <v>200843873.16999999</v>
      </c>
      <c r="S307" s="889">
        <v>509495.19</v>
      </c>
    </row>
    <row r="308" spans="1:19" ht="22.5" x14ac:dyDescent="0.25">
      <c r="A308" s="880">
        <v>2025</v>
      </c>
      <c r="B308" s="816" t="s">
        <v>269</v>
      </c>
      <c r="C308" s="816" t="s">
        <v>1173</v>
      </c>
      <c r="D308" s="816" t="s">
        <v>1237</v>
      </c>
      <c r="E308" s="816" t="s">
        <v>1556</v>
      </c>
      <c r="F308" s="816">
        <v>0</v>
      </c>
      <c r="G308" s="816">
        <v>0</v>
      </c>
      <c r="H308" s="826">
        <v>0</v>
      </c>
      <c r="I308" s="465"/>
      <c r="J308" s="826">
        <v>99675115.090000004</v>
      </c>
      <c r="K308" s="826">
        <v>185293.71</v>
      </c>
      <c r="L308" s="465"/>
      <c r="M308" s="465"/>
      <c r="N308" s="465"/>
      <c r="O308" s="465"/>
      <c r="P308" s="826">
        <v>99675115.090000004</v>
      </c>
      <c r="Q308" s="881">
        <v>185293.71</v>
      </c>
      <c r="R308" s="889">
        <v>99675115.090000004</v>
      </c>
      <c r="S308" s="889">
        <v>185293.71</v>
      </c>
    </row>
    <row r="309" spans="1:19" ht="22.5" x14ac:dyDescent="0.25">
      <c r="A309" s="880">
        <v>2025</v>
      </c>
      <c r="B309" s="816" t="s">
        <v>269</v>
      </c>
      <c r="C309" s="816" t="s">
        <v>1184</v>
      </c>
      <c r="D309" s="816" t="s">
        <v>1184</v>
      </c>
      <c r="E309" s="816" t="s">
        <v>1557</v>
      </c>
      <c r="F309" s="816">
        <v>88496</v>
      </c>
      <c r="G309" s="816">
        <v>0</v>
      </c>
      <c r="H309" s="826">
        <v>183790596.84999999</v>
      </c>
      <c r="I309" s="465"/>
      <c r="J309" s="465"/>
      <c r="K309" s="465"/>
      <c r="L309" s="465"/>
      <c r="M309" s="465"/>
      <c r="N309" s="465"/>
      <c r="O309" s="465"/>
      <c r="P309" s="826">
        <v>183790596.84999999</v>
      </c>
      <c r="Q309" s="881">
        <v>0</v>
      </c>
      <c r="R309" s="889">
        <v>183879092.84999999</v>
      </c>
      <c r="S309" s="889">
        <v>0</v>
      </c>
    </row>
    <row r="310" spans="1:19" ht="22.5" x14ac:dyDescent="0.25">
      <c r="A310" s="880">
        <v>2025</v>
      </c>
      <c r="B310" s="816" t="s">
        <v>269</v>
      </c>
      <c r="C310" s="816" t="s">
        <v>1200</v>
      </c>
      <c r="D310" s="816" t="s">
        <v>1224</v>
      </c>
      <c r="E310" s="816" t="s">
        <v>1558</v>
      </c>
      <c r="F310" s="816">
        <v>112565.4</v>
      </c>
      <c r="G310" s="816">
        <v>0</v>
      </c>
      <c r="H310" s="826">
        <v>0</v>
      </c>
      <c r="I310" s="465"/>
      <c r="J310" s="465">
        <v>2031925.98</v>
      </c>
      <c r="K310" s="465">
        <v>5664</v>
      </c>
      <c r="L310" s="465"/>
      <c r="M310" s="465"/>
      <c r="N310" s="465"/>
      <c r="O310" s="465"/>
      <c r="P310" s="826">
        <v>2031925.98</v>
      </c>
      <c r="Q310" s="881">
        <v>5664</v>
      </c>
      <c r="R310" s="889">
        <v>2144491.38</v>
      </c>
      <c r="S310" s="889">
        <v>5664</v>
      </c>
    </row>
    <row r="311" spans="1:19" ht="33.75" x14ac:dyDescent="0.25">
      <c r="A311" s="880">
        <v>2025</v>
      </c>
      <c r="B311" s="816" t="s">
        <v>269</v>
      </c>
      <c r="C311" s="816" t="s">
        <v>1210</v>
      </c>
      <c r="D311" s="816" t="s">
        <v>1243</v>
      </c>
      <c r="E311" s="816" t="s">
        <v>1559</v>
      </c>
      <c r="F311" s="816">
        <v>333951</v>
      </c>
      <c r="G311" s="816">
        <v>0</v>
      </c>
      <c r="H311" s="826">
        <v>0</v>
      </c>
      <c r="I311" s="826"/>
      <c r="J311" s="826">
        <v>1212576.93</v>
      </c>
      <c r="K311" s="826"/>
      <c r="L311" s="465"/>
      <c r="M311" s="465"/>
      <c r="N311" s="465"/>
      <c r="O311" s="465"/>
      <c r="P311" s="826">
        <v>1212576.93</v>
      </c>
      <c r="Q311" s="881">
        <v>0</v>
      </c>
      <c r="R311" s="889">
        <v>1546527.93</v>
      </c>
      <c r="S311" s="889">
        <v>0</v>
      </c>
    </row>
    <row r="312" spans="1:19" ht="22.5" x14ac:dyDescent="0.25">
      <c r="A312" s="880">
        <v>2025</v>
      </c>
      <c r="B312" s="816" t="s">
        <v>271</v>
      </c>
      <c r="C312" s="816" t="s">
        <v>1143</v>
      </c>
      <c r="D312" s="816" t="s">
        <v>1226</v>
      </c>
      <c r="E312" s="816" t="s">
        <v>1560</v>
      </c>
      <c r="F312" s="816">
        <v>94697.919999999998</v>
      </c>
      <c r="G312" s="816">
        <v>0</v>
      </c>
      <c r="H312" s="826">
        <v>29953831.579999998</v>
      </c>
      <c r="I312" s="465"/>
      <c r="J312" s="465"/>
      <c r="K312" s="465"/>
      <c r="L312" s="465"/>
      <c r="M312" s="465"/>
      <c r="N312" s="465"/>
      <c r="O312" s="465"/>
      <c r="P312" s="826">
        <v>29953831.579999998</v>
      </c>
      <c r="Q312" s="881">
        <v>0</v>
      </c>
      <c r="R312" s="889">
        <v>30048529.5</v>
      </c>
      <c r="S312" s="889">
        <v>0</v>
      </c>
    </row>
    <row r="313" spans="1:19" ht="22.5" x14ac:dyDescent="0.25">
      <c r="A313" s="880">
        <v>2025</v>
      </c>
      <c r="B313" s="816" t="s">
        <v>271</v>
      </c>
      <c r="C313" s="816" t="s">
        <v>1155</v>
      </c>
      <c r="D313" s="816" t="s">
        <v>1260</v>
      </c>
      <c r="E313" s="816" t="s">
        <v>1561</v>
      </c>
      <c r="F313" s="816">
        <v>0</v>
      </c>
      <c r="G313" s="816">
        <v>0</v>
      </c>
      <c r="H313" s="826">
        <v>0</v>
      </c>
      <c r="I313" s="826"/>
      <c r="J313" s="465">
        <v>10837551</v>
      </c>
      <c r="K313" s="465">
        <v>30853.5</v>
      </c>
      <c r="L313" s="465"/>
      <c r="M313" s="465"/>
      <c r="N313" s="465"/>
      <c r="O313" s="465"/>
      <c r="P313" s="826">
        <v>10837551</v>
      </c>
      <c r="Q313" s="881">
        <v>30853.5</v>
      </c>
      <c r="R313" s="889">
        <v>10837551</v>
      </c>
      <c r="S313" s="889">
        <v>30853.5</v>
      </c>
    </row>
    <row r="314" spans="1:19" ht="22.5" x14ac:dyDescent="0.25">
      <c r="A314" s="880">
        <v>2025</v>
      </c>
      <c r="B314" s="816" t="s">
        <v>271</v>
      </c>
      <c r="C314" s="816" t="s">
        <v>1155</v>
      </c>
      <c r="D314" s="816" t="s">
        <v>1261</v>
      </c>
      <c r="E314" s="816" t="s">
        <v>1562</v>
      </c>
      <c r="F314" s="816">
        <v>34075084.640000001</v>
      </c>
      <c r="G314" s="816">
        <v>87176.85</v>
      </c>
      <c r="H314" s="826">
        <v>5043656.5599999996</v>
      </c>
      <c r="I314" s="465">
        <v>11108.5</v>
      </c>
      <c r="J314" s="826">
        <v>67809976.689999998</v>
      </c>
      <c r="K314" s="826">
        <v>186814.94</v>
      </c>
      <c r="L314" s="465"/>
      <c r="M314" s="465"/>
      <c r="N314" s="465"/>
      <c r="O314" s="465"/>
      <c r="P314" s="826">
        <v>72853633.25</v>
      </c>
      <c r="Q314" s="881">
        <v>197923.44</v>
      </c>
      <c r="R314" s="889">
        <v>106928717.89</v>
      </c>
      <c r="S314" s="889">
        <v>285100.29000000004</v>
      </c>
    </row>
    <row r="315" spans="1:19" ht="22.5" x14ac:dyDescent="0.25">
      <c r="A315" s="880">
        <v>2025</v>
      </c>
      <c r="B315" s="816" t="s">
        <v>271</v>
      </c>
      <c r="C315" s="816" t="s">
        <v>1184</v>
      </c>
      <c r="D315" s="816" t="s">
        <v>1184</v>
      </c>
      <c r="E315" s="816" t="s">
        <v>1563</v>
      </c>
      <c r="F315" s="816">
        <v>88496</v>
      </c>
      <c r="G315" s="816">
        <v>0</v>
      </c>
      <c r="H315" s="826">
        <v>79033711.700000003</v>
      </c>
      <c r="I315" s="465"/>
      <c r="J315" s="465"/>
      <c r="K315" s="465"/>
      <c r="L315" s="465"/>
      <c r="M315" s="465"/>
      <c r="N315" s="465"/>
      <c r="O315" s="465"/>
      <c r="P315" s="826">
        <v>79033711.700000003</v>
      </c>
      <c r="Q315" s="881">
        <v>0</v>
      </c>
      <c r="R315" s="889">
        <v>79122207.700000003</v>
      </c>
      <c r="S315" s="889">
        <v>0</v>
      </c>
    </row>
    <row r="316" spans="1:19" ht="22.5" x14ac:dyDescent="0.25">
      <c r="A316" s="880">
        <v>2025</v>
      </c>
      <c r="B316" s="816" t="s">
        <v>271</v>
      </c>
      <c r="C316" s="816" t="s">
        <v>1194</v>
      </c>
      <c r="D316" s="816" t="s">
        <v>1240</v>
      </c>
      <c r="E316" s="816" t="s">
        <v>1564</v>
      </c>
      <c r="F316" s="816">
        <v>37145</v>
      </c>
      <c r="G316" s="816">
        <v>102</v>
      </c>
      <c r="H316" s="826">
        <v>38833.620000000003</v>
      </c>
      <c r="I316" s="465">
        <v>107.87</v>
      </c>
      <c r="J316" s="826"/>
      <c r="K316" s="465"/>
      <c r="L316" s="465"/>
      <c r="M316" s="465"/>
      <c r="N316" s="465"/>
      <c r="O316" s="465"/>
      <c r="P316" s="826">
        <v>38833.620000000003</v>
      </c>
      <c r="Q316" s="881">
        <v>107.87</v>
      </c>
      <c r="R316" s="889">
        <v>75978.62</v>
      </c>
      <c r="S316" s="889">
        <v>209.87</v>
      </c>
    </row>
    <row r="317" spans="1:19" ht="22.5" x14ac:dyDescent="0.25">
      <c r="A317" s="880">
        <v>2025</v>
      </c>
      <c r="B317" s="816" t="s">
        <v>271</v>
      </c>
      <c r="C317" s="816" t="s">
        <v>1200</v>
      </c>
      <c r="D317" s="816" t="s">
        <v>1224</v>
      </c>
      <c r="E317" s="816" t="s">
        <v>1565</v>
      </c>
      <c r="F317" s="816">
        <v>112565.4</v>
      </c>
      <c r="G317" s="816">
        <v>0</v>
      </c>
      <c r="H317" s="826">
        <v>0</v>
      </c>
      <c r="I317" s="826"/>
      <c r="J317" s="826">
        <v>967506.96</v>
      </c>
      <c r="K317" s="826">
        <v>2617.6799999999998</v>
      </c>
      <c r="L317" s="826"/>
      <c r="M317" s="826"/>
      <c r="N317" s="826"/>
      <c r="O317" s="826"/>
      <c r="P317" s="826">
        <v>967506.96</v>
      </c>
      <c r="Q317" s="881">
        <v>2617.6799999999998</v>
      </c>
      <c r="R317" s="889">
        <v>1080072.3599999999</v>
      </c>
      <c r="S317" s="889">
        <v>2617.6799999999998</v>
      </c>
    </row>
    <row r="318" spans="1:19" ht="33.75" x14ac:dyDescent="0.25">
      <c r="A318" s="880">
        <v>2025</v>
      </c>
      <c r="B318" s="816" t="s">
        <v>271</v>
      </c>
      <c r="C318" s="816" t="s">
        <v>1210</v>
      </c>
      <c r="D318" s="816" t="s">
        <v>1243</v>
      </c>
      <c r="E318" s="816" t="s">
        <v>1566</v>
      </c>
      <c r="F318" s="816">
        <v>333951</v>
      </c>
      <c r="G318" s="816">
        <v>0</v>
      </c>
      <c r="H318" s="826">
        <v>583846</v>
      </c>
      <c r="I318" s="465"/>
      <c r="J318" s="826"/>
      <c r="K318" s="826"/>
      <c r="L318" s="465"/>
      <c r="M318" s="465"/>
      <c r="N318" s="465"/>
      <c r="O318" s="465"/>
      <c r="P318" s="826">
        <v>583846</v>
      </c>
      <c r="Q318" s="881">
        <v>0</v>
      </c>
      <c r="R318" s="889">
        <v>917797</v>
      </c>
      <c r="S318" s="889">
        <v>0</v>
      </c>
    </row>
    <row r="319" spans="1:19" ht="22.5" x14ac:dyDescent="0.25">
      <c r="A319" s="880">
        <v>2025</v>
      </c>
      <c r="B319" s="816" t="s">
        <v>273</v>
      </c>
      <c r="C319" s="816" t="s">
        <v>1143</v>
      </c>
      <c r="D319" s="816" t="s">
        <v>1226</v>
      </c>
      <c r="E319" s="816" t="s">
        <v>1567</v>
      </c>
      <c r="F319" s="816">
        <v>94697.919999999998</v>
      </c>
      <c r="G319" s="816">
        <v>0</v>
      </c>
      <c r="H319" s="826">
        <v>50906882.350000001</v>
      </c>
      <c r="I319" s="465"/>
      <c r="J319" s="465"/>
      <c r="K319" s="465"/>
      <c r="L319" s="465"/>
      <c r="M319" s="465"/>
      <c r="N319" s="465"/>
      <c r="O319" s="465"/>
      <c r="P319" s="826">
        <v>50906882.350000001</v>
      </c>
      <c r="Q319" s="881">
        <v>0</v>
      </c>
      <c r="R319" s="889">
        <v>51001580.270000003</v>
      </c>
      <c r="S319" s="889">
        <v>0</v>
      </c>
    </row>
    <row r="320" spans="1:19" ht="22.5" x14ac:dyDescent="0.25">
      <c r="A320" s="880">
        <v>2025</v>
      </c>
      <c r="B320" s="816" t="s">
        <v>273</v>
      </c>
      <c r="C320" s="816" t="s">
        <v>1143</v>
      </c>
      <c r="D320" s="816" t="s">
        <v>8914</v>
      </c>
      <c r="E320" s="816" t="s">
        <v>1567</v>
      </c>
      <c r="F320" s="816">
        <v>0</v>
      </c>
      <c r="G320" s="816">
        <v>0</v>
      </c>
      <c r="H320" s="826">
        <v>0</v>
      </c>
      <c r="I320" s="465"/>
      <c r="J320" s="826"/>
      <c r="K320" s="826"/>
      <c r="L320" s="465"/>
      <c r="M320" s="465"/>
      <c r="N320" s="465"/>
      <c r="O320" s="465"/>
      <c r="P320" s="826">
        <v>0</v>
      </c>
      <c r="Q320" s="881">
        <v>0</v>
      </c>
      <c r="R320" s="889">
        <v>0</v>
      </c>
      <c r="S320" s="889">
        <v>0</v>
      </c>
    </row>
    <row r="321" spans="1:19" ht="22.5" x14ac:dyDescent="0.25">
      <c r="A321" s="880">
        <v>2025</v>
      </c>
      <c r="B321" s="816" t="s">
        <v>273</v>
      </c>
      <c r="C321" s="816" t="s">
        <v>1155</v>
      </c>
      <c r="D321" s="816" t="s">
        <v>1228</v>
      </c>
      <c r="E321" s="816" t="s">
        <v>1569</v>
      </c>
      <c r="F321" s="816">
        <v>1014403.6</v>
      </c>
      <c r="G321" s="816">
        <v>2078.5700000000002</v>
      </c>
      <c r="H321" s="826">
        <v>4538466.13</v>
      </c>
      <c r="I321" s="465">
        <v>12787.59</v>
      </c>
      <c r="J321" s="826">
        <v>97316336.329999998</v>
      </c>
      <c r="K321" s="465">
        <v>254552.77</v>
      </c>
      <c r="L321" s="465"/>
      <c r="M321" s="465"/>
      <c r="N321" s="465"/>
      <c r="O321" s="465"/>
      <c r="P321" s="826">
        <v>101854802.45999999</v>
      </c>
      <c r="Q321" s="881">
        <v>267340.36</v>
      </c>
      <c r="R321" s="889">
        <v>102869206.05999999</v>
      </c>
      <c r="S321" s="889">
        <v>269418.93</v>
      </c>
    </row>
    <row r="322" spans="1:19" ht="22.5" x14ac:dyDescent="0.25">
      <c r="A322" s="880">
        <v>2025</v>
      </c>
      <c r="B322" s="816" t="s">
        <v>273</v>
      </c>
      <c r="C322" s="816" t="s">
        <v>1155</v>
      </c>
      <c r="D322" s="816" t="s">
        <v>1228</v>
      </c>
      <c r="E322" s="816" t="s">
        <v>1569</v>
      </c>
      <c r="F322" s="816">
        <v>0</v>
      </c>
      <c r="G322" s="816">
        <v>0</v>
      </c>
      <c r="H322" s="826">
        <v>0</v>
      </c>
      <c r="I322" s="465"/>
      <c r="J322" s="465"/>
      <c r="K322" s="465"/>
      <c r="L322" s="465"/>
      <c r="M322" s="465"/>
      <c r="N322" s="465"/>
      <c r="O322" s="465"/>
      <c r="P322" s="826">
        <v>0</v>
      </c>
      <c r="Q322" s="881">
        <v>0</v>
      </c>
      <c r="R322" s="889">
        <v>0</v>
      </c>
      <c r="S322" s="889">
        <v>0</v>
      </c>
    </row>
    <row r="323" spans="1:19" ht="22.5" x14ac:dyDescent="0.25">
      <c r="A323" s="880">
        <v>2025</v>
      </c>
      <c r="B323" s="816" t="s">
        <v>273</v>
      </c>
      <c r="C323" s="816" t="s">
        <v>1184</v>
      </c>
      <c r="D323" s="816" t="s">
        <v>1184</v>
      </c>
      <c r="E323" s="816" t="s">
        <v>1571</v>
      </c>
      <c r="F323" s="816">
        <v>88496</v>
      </c>
      <c r="G323" s="816">
        <v>0</v>
      </c>
      <c r="H323" s="826">
        <v>113830564.18000001</v>
      </c>
      <c r="I323" s="465"/>
      <c r="J323" s="826"/>
      <c r="K323" s="826"/>
      <c r="L323" s="465"/>
      <c r="M323" s="465"/>
      <c r="N323" s="465"/>
      <c r="O323" s="465"/>
      <c r="P323" s="826">
        <v>113830564.18000001</v>
      </c>
      <c r="Q323" s="881">
        <v>0</v>
      </c>
      <c r="R323" s="889">
        <v>113919060.18000001</v>
      </c>
      <c r="S323" s="889">
        <v>0</v>
      </c>
    </row>
    <row r="324" spans="1:19" ht="22.5" x14ac:dyDescent="0.25">
      <c r="A324" s="880">
        <v>2025</v>
      </c>
      <c r="B324" s="816" t="s">
        <v>273</v>
      </c>
      <c r="C324" s="816" t="s">
        <v>1184</v>
      </c>
      <c r="D324" s="816" t="s">
        <v>1184</v>
      </c>
      <c r="E324" s="816" t="s">
        <v>1571</v>
      </c>
      <c r="F324" s="816">
        <v>0</v>
      </c>
      <c r="G324" s="816">
        <v>0</v>
      </c>
      <c r="H324" s="826">
        <v>0</v>
      </c>
      <c r="I324" s="826"/>
      <c r="J324" s="826"/>
      <c r="K324" s="826"/>
      <c r="L324" s="465"/>
      <c r="M324" s="465"/>
      <c r="N324" s="465"/>
      <c r="O324" s="465"/>
      <c r="P324" s="826">
        <v>0</v>
      </c>
      <c r="Q324" s="881">
        <v>0</v>
      </c>
      <c r="R324" s="889">
        <v>0</v>
      </c>
      <c r="S324" s="889">
        <v>0</v>
      </c>
    </row>
    <row r="325" spans="1:19" ht="22.5" x14ac:dyDescent="0.25">
      <c r="A325" s="880">
        <v>2025</v>
      </c>
      <c r="B325" s="816" t="s">
        <v>273</v>
      </c>
      <c r="C325" s="816" t="s">
        <v>1194</v>
      </c>
      <c r="D325" s="816" t="s">
        <v>1240</v>
      </c>
      <c r="E325" s="816" t="s">
        <v>1573</v>
      </c>
      <c r="F325" s="816">
        <v>37145</v>
      </c>
      <c r="G325" s="816">
        <v>102</v>
      </c>
      <c r="H325" s="826">
        <v>30873.24</v>
      </c>
      <c r="I325" s="465">
        <v>85.76</v>
      </c>
      <c r="J325" s="465"/>
      <c r="K325" s="465"/>
      <c r="L325" s="465"/>
      <c r="M325" s="465"/>
      <c r="N325" s="465"/>
      <c r="O325" s="465"/>
      <c r="P325" s="826">
        <v>30873.24</v>
      </c>
      <c r="Q325" s="881">
        <v>85.76</v>
      </c>
      <c r="R325" s="889">
        <v>68018.240000000005</v>
      </c>
      <c r="S325" s="889">
        <v>187.76</v>
      </c>
    </row>
    <row r="326" spans="1:19" ht="22.5" x14ac:dyDescent="0.25">
      <c r="A326" s="880">
        <v>2025</v>
      </c>
      <c r="B326" s="816" t="s">
        <v>273</v>
      </c>
      <c r="C326" s="816" t="s">
        <v>1194</v>
      </c>
      <c r="D326" s="816" t="s">
        <v>1240</v>
      </c>
      <c r="E326" s="816" t="s">
        <v>1573</v>
      </c>
      <c r="F326" s="816">
        <v>0</v>
      </c>
      <c r="G326" s="816">
        <v>0</v>
      </c>
      <c r="H326" s="826">
        <v>0</v>
      </c>
      <c r="I326" s="826"/>
      <c r="J326" s="465"/>
      <c r="K326" s="465"/>
      <c r="L326" s="465"/>
      <c r="M326" s="465"/>
      <c r="N326" s="465"/>
      <c r="O326" s="465"/>
      <c r="P326" s="826">
        <v>0</v>
      </c>
      <c r="Q326" s="881">
        <v>0</v>
      </c>
      <c r="R326" s="889">
        <v>0</v>
      </c>
      <c r="S326" s="889">
        <v>0</v>
      </c>
    </row>
    <row r="327" spans="1:19" ht="22.5" x14ac:dyDescent="0.25">
      <c r="A327" s="880">
        <v>2025</v>
      </c>
      <c r="B327" s="816" t="s">
        <v>273</v>
      </c>
      <c r="C327" s="816" t="s">
        <v>1200</v>
      </c>
      <c r="D327" s="816" t="s">
        <v>1224</v>
      </c>
      <c r="E327" s="816" t="s">
        <v>1575</v>
      </c>
      <c r="F327" s="816">
        <v>112565.4</v>
      </c>
      <c r="G327" s="816">
        <v>0</v>
      </c>
      <c r="H327" s="826">
        <v>103298.85</v>
      </c>
      <c r="I327" s="465">
        <v>258.87</v>
      </c>
      <c r="J327" s="826">
        <v>820611.01</v>
      </c>
      <c r="K327" s="826">
        <v>2450.25</v>
      </c>
      <c r="L327" s="465"/>
      <c r="M327" s="465"/>
      <c r="N327" s="465"/>
      <c r="O327" s="465"/>
      <c r="P327" s="826">
        <v>923909.86</v>
      </c>
      <c r="Q327" s="881">
        <v>2709.12</v>
      </c>
      <c r="R327" s="889">
        <v>1036475.26</v>
      </c>
      <c r="S327" s="889">
        <v>2709.12</v>
      </c>
    </row>
    <row r="328" spans="1:19" ht="22.5" x14ac:dyDescent="0.25">
      <c r="A328" s="880">
        <v>2025</v>
      </c>
      <c r="B328" s="816" t="s">
        <v>273</v>
      </c>
      <c r="C328" s="816" t="s">
        <v>1200</v>
      </c>
      <c r="D328" s="816" t="s">
        <v>1224</v>
      </c>
      <c r="E328" s="816" t="s">
        <v>1575</v>
      </c>
      <c r="F328" s="816">
        <v>0</v>
      </c>
      <c r="G328" s="816">
        <v>0</v>
      </c>
      <c r="H328" s="826">
        <v>0</v>
      </c>
      <c r="I328" s="465"/>
      <c r="J328" s="465"/>
      <c r="K328" s="465"/>
      <c r="L328" s="465"/>
      <c r="M328" s="465"/>
      <c r="N328" s="465"/>
      <c r="O328" s="465"/>
      <c r="P328" s="826">
        <v>0</v>
      </c>
      <c r="Q328" s="881">
        <v>0</v>
      </c>
      <c r="R328" s="889">
        <v>0</v>
      </c>
      <c r="S328" s="889">
        <v>0</v>
      </c>
    </row>
    <row r="329" spans="1:19" ht="33.75" x14ac:dyDescent="0.25">
      <c r="A329" s="880">
        <v>2025</v>
      </c>
      <c r="B329" s="816" t="s">
        <v>273</v>
      </c>
      <c r="C329" s="816" t="s">
        <v>1210</v>
      </c>
      <c r="D329" s="816" t="s">
        <v>1243</v>
      </c>
      <c r="E329" s="816" t="s">
        <v>1577</v>
      </c>
      <c r="F329" s="816">
        <v>333951</v>
      </c>
      <c r="G329" s="816">
        <v>0</v>
      </c>
      <c r="H329" s="826">
        <v>169056.94</v>
      </c>
      <c r="I329" s="465"/>
      <c r="J329" s="465"/>
      <c r="K329" s="465"/>
      <c r="L329" s="465"/>
      <c r="M329" s="465"/>
      <c r="N329" s="465"/>
      <c r="O329" s="465"/>
      <c r="P329" s="826">
        <v>169056.94</v>
      </c>
      <c r="Q329" s="881">
        <v>0</v>
      </c>
      <c r="R329" s="889">
        <v>503007.94</v>
      </c>
      <c r="S329" s="889">
        <v>0</v>
      </c>
    </row>
    <row r="330" spans="1:19" ht="33.75" x14ac:dyDescent="0.25">
      <c r="A330" s="880">
        <v>2025</v>
      </c>
      <c r="B330" s="816" t="s">
        <v>273</v>
      </c>
      <c r="C330" s="816" t="s">
        <v>1210</v>
      </c>
      <c r="D330" s="816" t="s">
        <v>1243</v>
      </c>
      <c r="E330" s="816" t="s">
        <v>1577</v>
      </c>
      <c r="F330" s="816">
        <v>0</v>
      </c>
      <c r="G330" s="816">
        <v>0</v>
      </c>
      <c r="H330" s="826">
        <v>0</v>
      </c>
      <c r="I330" s="465"/>
      <c r="J330" s="465"/>
      <c r="K330" s="465"/>
      <c r="L330" s="465"/>
      <c r="M330" s="465"/>
      <c r="N330" s="465"/>
      <c r="O330" s="465"/>
      <c r="P330" s="826">
        <v>0</v>
      </c>
      <c r="Q330" s="881">
        <v>0</v>
      </c>
      <c r="R330" s="889">
        <v>0</v>
      </c>
      <c r="S330" s="889">
        <v>0</v>
      </c>
    </row>
    <row r="331" spans="1:19" ht="22.5" x14ac:dyDescent="0.25">
      <c r="A331" s="880">
        <v>2025</v>
      </c>
      <c r="B331" s="816" t="s">
        <v>275</v>
      </c>
      <c r="C331" s="816" t="s">
        <v>1143</v>
      </c>
      <c r="D331" s="816" t="s">
        <v>1226</v>
      </c>
      <c r="E331" s="816" t="s">
        <v>1579</v>
      </c>
      <c r="F331" s="816">
        <v>94697.919999999998</v>
      </c>
      <c r="G331" s="816">
        <v>0</v>
      </c>
      <c r="H331" s="826">
        <v>346072185.55000001</v>
      </c>
      <c r="I331" s="826"/>
      <c r="J331" s="826">
        <v>6337134.3470000001</v>
      </c>
      <c r="K331" s="826"/>
      <c r="L331" s="465"/>
      <c r="M331" s="465"/>
      <c r="N331" s="465"/>
      <c r="O331" s="465"/>
      <c r="P331" s="826">
        <v>352409319.89700001</v>
      </c>
      <c r="Q331" s="881">
        <v>0</v>
      </c>
      <c r="R331" s="889">
        <v>352504017.81700003</v>
      </c>
      <c r="S331" s="889">
        <v>0</v>
      </c>
    </row>
    <row r="332" spans="1:19" ht="22.5" x14ac:dyDescent="0.25">
      <c r="A332" s="880">
        <v>2025</v>
      </c>
      <c r="B332" s="816" t="s">
        <v>275</v>
      </c>
      <c r="C332" s="816" t="s">
        <v>1155</v>
      </c>
      <c r="D332" s="816" t="s">
        <v>1228</v>
      </c>
      <c r="E332" s="816" t="s">
        <v>1580</v>
      </c>
      <c r="F332" s="816">
        <v>1014403.6</v>
      </c>
      <c r="G332" s="816">
        <v>2078.5700000000002</v>
      </c>
      <c r="H332" s="826">
        <v>171080593</v>
      </c>
      <c r="I332" s="465">
        <v>326274.05680000002</v>
      </c>
      <c r="J332" s="465">
        <v>1100765764.53</v>
      </c>
      <c r="K332" s="465">
        <v>2868632.4160000002</v>
      </c>
      <c r="L332" s="465">
        <v>13200055.84</v>
      </c>
      <c r="M332" s="465">
        <v>24847.764940000001</v>
      </c>
      <c r="N332" s="465"/>
      <c r="O332" s="465"/>
      <c r="P332" s="826">
        <v>1285046413.3699999</v>
      </c>
      <c r="Q332" s="881">
        <v>3219754.2377399998</v>
      </c>
      <c r="R332" s="889">
        <v>1286060816.9699998</v>
      </c>
      <c r="S332" s="889">
        <v>3221832.8077399996</v>
      </c>
    </row>
    <row r="333" spans="1:19" ht="22.5" x14ac:dyDescent="0.25">
      <c r="A333" s="880">
        <v>2025</v>
      </c>
      <c r="B333" s="816" t="s">
        <v>275</v>
      </c>
      <c r="C333" s="816" t="s">
        <v>1155</v>
      </c>
      <c r="D333" s="816" t="s">
        <v>1581</v>
      </c>
      <c r="E333" s="816" t="s">
        <v>1582</v>
      </c>
      <c r="F333" s="816">
        <v>0</v>
      </c>
      <c r="G333" s="816">
        <v>0</v>
      </c>
      <c r="H333" s="826">
        <v>0</v>
      </c>
      <c r="I333" s="465"/>
      <c r="J333" s="465">
        <v>33199295.27</v>
      </c>
      <c r="K333" s="465">
        <v>236914.12390000001</v>
      </c>
      <c r="L333" s="465">
        <v>1706091.398</v>
      </c>
      <c r="M333" s="465">
        <v>28921.8655</v>
      </c>
      <c r="N333" s="465"/>
      <c r="O333" s="465"/>
      <c r="P333" s="826">
        <v>34905386.667999998</v>
      </c>
      <c r="Q333" s="881">
        <v>265835.98940000002</v>
      </c>
      <c r="R333" s="889">
        <v>34905386.667999998</v>
      </c>
      <c r="S333" s="889">
        <v>265835.98940000002</v>
      </c>
    </row>
    <row r="334" spans="1:19" x14ac:dyDescent="0.25">
      <c r="A334" s="880">
        <v>2025</v>
      </c>
      <c r="B334" s="816" t="s">
        <v>275</v>
      </c>
      <c r="C334" s="816" t="s">
        <v>1173</v>
      </c>
      <c r="D334" s="816" t="s">
        <v>1237</v>
      </c>
      <c r="E334" s="816" t="s">
        <v>1583</v>
      </c>
      <c r="F334" s="816">
        <v>0</v>
      </c>
      <c r="G334" s="816">
        <v>0</v>
      </c>
      <c r="H334" s="826">
        <v>0</v>
      </c>
      <c r="I334" s="465"/>
      <c r="J334" s="465">
        <v>162789932.5</v>
      </c>
      <c r="K334" s="465">
        <v>311835.53999999998</v>
      </c>
      <c r="L334" s="465"/>
      <c r="M334" s="465"/>
      <c r="N334" s="465"/>
      <c r="O334" s="465"/>
      <c r="P334" s="826">
        <v>162789932.5</v>
      </c>
      <c r="Q334" s="881">
        <v>311835.53999999998</v>
      </c>
      <c r="R334" s="889">
        <v>162789932.5</v>
      </c>
      <c r="S334" s="889">
        <v>311835.53999999998</v>
      </c>
    </row>
    <row r="335" spans="1:19" ht="22.5" x14ac:dyDescent="0.25">
      <c r="A335" s="880">
        <v>2025</v>
      </c>
      <c r="B335" s="816" t="s">
        <v>275</v>
      </c>
      <c r="C335" s="816" t="s">
        <v>1184</v>
      </c>
      <c r="D335" s="816" t="s">
        <v>1184</v>
      </c>
      <c r="E335" s="816" t="s">
        <v>1584</v>
      </c>
      <c r="F335" s="816">
        <v>88496</v>
      </c>
      <c r="G335" s="816">
        <v>0</v>
      </c>
      <c r="H335" s="826">
        <v>1166266416.1600001</v>
      </c>
      <c r="I335" s="826"/>
      <c r="J335" s="465">
        <v>106999.7484</v>
      </c>
      <c r="K335" s="465"/>
      <c r="L335" s="465"/>
      <c r="M335" s="465"/>
      <c r="N335" s="465"/>
      <c r="O335" s="465"/>
      <c r="P335" s="826">
        <v>1166373415.9084001</v>
      </c>
      <c r="Q335" s="881">
        <v>0</v>
      </c>
      <c r="R335" s="889">
        <v>1166461911.9084001</v>
      </c>
      <c r="S335" s="889">
        <v>0</v>
      </c>
    </row>
    <row r="336" spans="1:19" ht="22.5" x14ac:dyDescent="0.25">
      <c r="A336" s="880">
        <v>2025</v>
      </c>
      <c r="B336" s="816" t="s">
        <v>275</v>
      </c>
      <c r="C336" s="816" t="s">
        <v>1194</v>
      </c>
      <c r="D336" s="816" t="s">
        <v>1240</v>
      </c>
      <c r="E336" s="816" t="s">
        <v>1585</v>
      </c>
      <c r="F336" s="816">
        <v>37145</v>
      </c>
      <c r="G336" s="816">
        <v>102</v>
      </c>
      <c r="H336" s="826">
        <v>512544.1102</v>
      </c>
      <c r="I336" s="465">
        <v>1384.6805859999999</v>
      </c>
      <c r="J336" s="465"/>
      <c r="K336" s="465"/>
      <c r="L336" s="465"/>
      <c r="M336" s="465"/>
      <c r="N336" s="465"/>
      <c r="O336" s="465"/>
      <c r="P336" s="826">
        <v>512544.1102</v>
      </c>
      <c r="Q336" s="881">
        <v>1384.6805859999999</v>
      </c>
      <c r="R336" s="889">
        <v>549689.1102</v>
      </c>
      <c r="S336" s="889">
        <v>1486.6805859999999</v>
      </c>
    </row>
    <row r="337" spans="1:19" ht="22.5" x14ac:dyDescent="0.25">
      <c r="A337" s="880">
        <v>2025</v>
      </c>
      <c r="B337" s="816" t="s">
        <v>275</v>
      </c>
      <c r="C337" s="816" t="s">
        <v>1200</v>
      </c>
      <c r="D337" s="816" t="s">
        <v>1224</v>
      </c>
      <c r="E337" s="816" t="s">
        <v>1586</v>
      </c>
      <c r="F337" s="816">
        <v>112565.4</v>
      </c>
      <c r="G337" s="816">
        <v>0</v>
      </c>
      <c r="H337" s="826">
        <v>0</v>
      </c>
      <c r="I337" s="826"/>
      <c r="J337" s="826">
        <v>17401184.109999999</v>
      </c>
      <c r="K337" s="826">
        <v>48655.009910000001</v>
      </c>
      <c r="L337" s="465"/>
      <c r="M337" s="465"/>
      <c r="N337" s="465"/>
      <c r="O337" s="465"/>
      <c r="P337" s="826">
        <v>17401184.109999999</v>
      </c>
      <c r="Q337" s="881">
        <v>48655.009910000001</v>
      </c>
      <c r="R337" s="889">
        <v>17513749.509999998</v>
      </c>
      <c r="S337" s="889">
        <v>48655.009910000001</v>
      </c>
    </row>
    <row r="338" spans="1:19" ht="33.75" x14ac:dyDescent="0.25">
      <c r="A338" s="880">
        <v>2025</v>
      </c>
      <c r="B338" s="816" t="s">
        <v>275</v>
      </c>
      <c r="C338" s="816" t="s">
        <v>1210</v>
      </c>
      <c r="D338" s="816" t="s">
        <v>1243</v>
      </c>
      <c r="E338" s="816" t="s">
        <v>1587</v>
      </c>
      <c r="F338" s="816">
        <v>333951</v>
      </c>
      <c r="G338" s="816">
        <v>0</v>
      </c>
      <c r="H338" s="826">
        <v>5424455.301</v>
      </c>
      <c r="I338" s="465"/>
      <c r="J338" s="465"/>
      <c r="K338" s="465"/>
      <c r="L338" s="465"/>
      <c r="M338" s="465"/>
      <c r="N338" s="465"/>
      <c r="O338" s="465"/>
      <c r="P338" s="826">
        <v>5424455.301</v>
      </c>
      <c r="Q338" s="881">
        <v>0</v>
      </c>
      <c r="R338" s="889">
        <v>5758406.301</v>
      </c>
      <c r="S338" s="889">
        <v>0</v>
      </c>
    </row>
    <row r="339" spans="1:19" ht="22.5" x14ac:dyDescent="0.25">
      <c r="A339" s="880">
        <v>2025</v>
      </c>
      <c r="B339" s="816" t="s">
        <v>277</v>
      </c>
      <c r="C339" s="816" t="s">
        <v>1143</v>
      </c>
      <c r="D339" s="816" t="s">
        <v>1226</v>
      </c>
      <c r="E339" s="816" t="s">
        <v>1588</v>
      </c>
      <c r="F339" s="816">
        <v>94697.919999999998</v>
      </c>
      <c r="G339" s="816">
        <v>0</v>
      </c>
      <c r="H339" s="826">
        <v>81280130.950000003</v>
      </c>
      <c r="I339" s="465"/>
      <c r="J339" s="465">
        <v>252965.2</v>
      </c>
      <c r="K339" s="465"/>
      <c r="L339" s="465"/>
      <c r="M339" s="465"/>
      <c r="N339" s="465"/>
      <c r="O339" s="465"/>
      <c r="P339" s="826">
        <v>81533096.150000006</v>
      </c>
      <c r="Q339" s="881">
        <v>0</v>
      </c>
      <c r="R339" s="889">
        <v>81627794.070000008</v>
      </c>
      <c r="S339" s="889">
        <v>0</v>
      </c>
    </row>
    <row r="340" spans="1:19" ht="22.5" x14ac:dyDescent="0.25">
      <c r="A340" s="880">
        <v>2025</v>
      </c>
      <c r="B340" s="816" t="s">
        <v>277</v>
      </c>
      <c r="C340" s="816" t="s">
        <v>1155</v>
      </c>
      <c r="D340" s="816" t="s">
        <v>1233</v>
      </c>
      <c r="E340" s="816" t="s">
        <v>1589</v>
      </c>
      <c r="F340" s="816">
        <v>0</v>
      </c>
      <c r="G340" s="816">
        <v>0</v>
      </c>
      <c r="H340" s="826">
        <v>0</v>
      </c>
      <c r="I340" s="465"/>
      <c r="J340" s="465">
        <v>102121525.63</v>
      </c>
      <c r="K340" s="465">
        <v>246488.45</v>
      </c>
      <c r="L340" s="465"/>
      <c r="M340" s="465"/>
      <c r="N340" s="465"/>
      <c r="O340" s="465"/>
      <c r="P340" s="826">
        <v>102121525.63</v>
      </c>
      <c r="Q340" s="881">
        <v>246488.45</v>
      </c>
      <c r="R340" s="889">
        <v>102121525.63</v>
      </c>
      <c r="S340" s="889">
        <v>246488.45</v>
      </c>
    </row>
    <row r="341" spans="1:19" ht="22.5" x14ac:dyDescent="0.25">
      <c r="A341" s="880">
        <v>2025</v>
      </c>
      <c r="B341" s="816" t="s">
        <v>277</v>
      </c>
      <c r="C341" s="816" t="s">
        <v>1155</v>
      </c>
      <c r="D341" s="816" t="s">
        <v>1235</v>
      </c>
      <c r="E341" s="816" t="s">
        <v>1590</v>
      </c>
      <c r="F341" s="816">
        <v>57477609</v>
      </c>
      <c r="G341" s="816">
        <v>172041</v>
      </c>
      <c r="H341" s="826">
        <v>30821399.399999999</v>
      </c>
      <c r="I341" s="465">
        <v>49410.73</v>
      </c>
      <c r="J341" s="826">
        <v>186002140.11000001</v>
      </c>
      <c r="K341" s="465">
        <v>602664.59</v>
      </c>
      <c r="L341" s="465">
        <v>3991539.7</v>
      </c>
      <c r="M341" s="465">
        <v>8121.87</v>
      </c>
      <c r="N341" s="465"/>
      <c r="O341" s="465"/>
      <c r="P341" s="826">
        <v>220815079.21000001</v>
      </c>
      <c r="Q341" s="881">
        <v>660197.18999999994</v>
      </c>
      <c r="R341" s="889">
        <v>278292688.21000004</v>
      </c>
      <c r="S341" s="889">
        <v>832238.19</v>
      </c>
    </row>
    <row r="342" spans="1:19" ht="22.5" x14ac:dyDescent="0.25">
      <c r="A342" s="880">
        <v>2025</v>
      </c>
      <c r="B342" s="816" t="s">
        <v>277</v>
      </c>
      <c r="C342" s="816" t="s">
        <v>1173</v>
      </c>
      <c r="D342" s="816" t="s">
        <v>1237</v>
      </c>
      <c r="E342" s="816" t="s">
        <v>1591</v>
      </c>
      <c r="F342" s="816">
        <v>0</v>
      </c>
      <c r="G342" s="816">
        <v>0</v>
      </c>
      <c r="H342" s="826">
        <v>0</v>
      </c>
      <c r="I342" s="826"/>
      <c r="J342" s="826">
        <v>128375726.5</v>
      </c>
      <c r="K342" s="826">
        <v>272582.58</v>
      </c>
      <c r="L342" s="826"/>
      <c r="M342" s="826"/>
      <c r="N342" s="826"/>
      <c r="O342" s="826"/>
      <c r="P342" s="826">
        <v>128375726.5</v>
      </c>
      <c r="Q342" s="881">
        <v>272582.58</v>
      </c>
      <c r="R342" s="889">
        <v>128375726.5</v>
      </c>
      <c r="S342" s="889">
        <v>272582.58</v>
      </c>
    </row>
    <row r="343" spans="1:19" ht="22.5" x14ac:dyDescent="0.25">
      <c r="A343" s="880">
        <v>2025</v>
      </c>
      <c r="B343" s="816" t="s">
        <v>277</v>
      </c>
      <c r="C343" s="816" t="s">
        <v>1184</v>
      </c>
      <c r="D343" s="816" t="s">
        <v>1184</v>
      </c>
      <c r="E343" s="816" t="s">
        <v>1592</v>
      </c>
      <c r="F343" s="816">
        <v>88496</v>
      </c>
      <c r="G343" s="816">
        <v>0</v>
      </c>
      <c r="H343" s="826">
        <v>374064366.52999997</v>
      </c>
      <c r="I343" s="465"/>
      <c r="J343" s="826">
        <v>16009.21</v>
      </c>
      <c r="K343" s="826"/>
      <c r="L343" s="826"/>
      <c r="M343" s="826"/>
      <c r="N343" s="826"/>
      <c r="O343" s="826"/>
      <c r="P343" s="826">
        <v>374080375.74000001</v>
      </c>
      <c r="Q343" s="881">
        <v>0</v>
      </c>
      <c r="R343" s="889">
        <v>374168871.74000001</v>
      </c>
      <c r="S343" s="889">
        <v>0</v>
      </c>
    </row>
    <row r="344" spans="1:19" ht="22.5" x14ac:dyDescent="0.25">
      <c r="A344" s="880">
        <v>2025</v>
      </c>
      <c r="B344" s="816" t="s">
        <v>277</v>
      </c>
      <c r="C344" s="816" t="s">
        <v>1194</v>
      </c>
      <c r="D344" s="816" t="s">
        <v>1240</v>
      </c>
      <c r="E344" s="816" t="s">
        <v>1593</v>
      </c>
      <c r="F344" s="816">
        <v>37145</v>
      </c>
      <c r="G344" s="816">
        <v>102</v>
      </c>
      <c r="H344" s="826">
        <v>141642.92000000001</v>
      </c>
      <c r="I344" s="465">
        <v>393.45</v>
      </c>
      <c r="J344" s="826">
        <v>0</v>
      </c>
      <c r="K344" s="826"/>
      <c r="L344" s="465"/>
      <c r="M344" s="465"/>
      <c r="N344" s="465"/>
      <c r="O344" s="465"/>
      <c r="P344" s="826">
        <v>141642.92000000001</v>
      </c>
      <c r="Q344" s="881">
        <v>393.45</v>
      </c>
      <c r="R344" s="889">
        <v>178787.92</v>
      </c>
      <c r="S344" s="889">
        <v>495.45</v>
      </c>
    </row>
    <row r="345" spans="1:19" ht="22.5" x14ac:dyDescent="0.25">
      <c r="A345" s="880">
        <v>2025</v>
      </c>
      <c r="B345" s="816" t="s">
        <v>277</v>
      </c>
      <c r="C345" s="816" t="s">
        <v>1200</v>
      </c>
      <c r="D345" s="816" t="s">
        <v>1224</v>
      </c>
      <c r="E345" s="816" t="s">
        <v>1594</v>
      </c>
      <c r="F345" s="816">
        <v>112565.4</v>
      </c>
      <c r="G345" s="816">
        <v>0</v>
      </c>
      <c r="H345" s="826">
        <v>0</v>
      </c>
      <c r="I345" s="465"/>
      <c r="J345" s="826">
        <v>4770164.71</v>
      </c>
      <c r="K345" s="465">
        <v>13451.84</v>
      </c>
      <c r="L345" s="465"/>
      <c r="M345" s="465"/>
      <c r="N345" s="465"/>
      <c r="O345" s="465"/>
      <c r="P345" s="826">
        <v>4770164.71</v>
      </c>
      <c r="Q345" s="881">
        <v>13451.84</v>
      </c>
      <c r="R345" s="889">
        <v>4882730.1100000003</v>
      </c>
      <c r="S345" s="889">
        <v>13451.84</v>
      </c>
    </row>
    <row r="346" spans="1:19" ht="33.75" x14ac:dyDescent="0.25">
      <c r="A346" s="880">
        <v>2025</v>
      </c>
      <c r="B346" s="816" t="s">
        <v>277</v>
      </c>
      <c r="C346" s="816" t="s">
        <v>1210</v>
      </c>
      <c r="D346" s="816" t="s">
        <v>1243</v>
      </c>
      <c r="E346" s="816" t="s">
        <v>1595</v>
      </c>
      <c r="F346" s="816">
        <v>333951</v>
      </c>
      <c r="G346" s="816">
        <v>0</v>
      </c>
      <c r="H346" s="826">
        <v>877632.08</v>
      </c>
      <c r="I346" s="826"/>
      <c r="J346" s="465">
        <v>0</v>
      </c>
      <c r="K346" s="465"/>
      <c r="L346" s="465"/>
      <c r="M346" s="465"/>
      <c r="N346" s="465"/>
      <c r="O346" s="465"/>
      <c r="P346" s="826">
        <v>877632.08</v>
      </c>
      <c r="Q346" s="881">
        <v>0</v>
      </c>
      <c r="R346" s="889">
        <v>1211583.08</v>
      </c>
      <c r="S346" s="889">
        <v>0</v>
      </c>
    </row>
    <row r="347" spans="1:19" ht="33.75" x14ac:dyDescent="0.25">
      <c r="A347" s="880">
        <v>2025</v>
      </c>
      <c r="B347" s="816" t="s">
        <v>279</v>
      </c>
      <c r="C347" s="816" t="s">
        <v>1143</v>
      </c>
      <c r="D347" s="816" t="s">
        <v>8915</v>
      </c>
      <c r="E347" s="816" t="s">
        <v>7726</v>
      </c>
      <c r="F347" s="816">
        <v>4927113.42</v>
      </c>
      <c r="G347" s="816">
        <v>0</v>
      </c>
      <c r="H347" s="826">
        <v>19345448.52</v>
      </c>
      <c r="I347" s="465"/>
      <c r="J347" s="826"/>
      <c r="K347" s="826"/>
      <c r="L347" s="465"/>
      <c r="M347" s="465"/>
      <c r="N347" s="465"/>
      <c r="O347" s="465"/>
      <c r="P347" s="826">
        <v>19345448.52</v>
      </c>
      <c r="Q347" s="881">
        <v>0</v>
      </c>
      <c r="R347" s="889">
        <v>24272561.939999998</v>
      </c>
      <c r="S347" s="889">
        <v>0</v>
      </c>
    </row>
    <row r="348" spans="1:19" ht="33.75" x14ac:dyDescent="0.25">
      <c r="A348" s="880">
        <v>2025</v>
      </c>
      <c r="B348" s="816" t="s">
        <v>279</v>
      </c>
      <c r="C348" s="816" t="s">
        <v>1143</v>
      </c>
      <c r="D348" s="816" t="s">
        <v>1597</v>
      </c>
      <c r="E348" s="816" t="s">
        <v>7720</v>
      </c>
      <c r="F348" s="816">
        <v>13919636.76</v>
      </c>
      <c r="G348" s="816">
        <v>0</v>
      </c>
      <c r="H348" s="826">
        <v>86849241.829999998</v>
      </c>
      <c r="I348" s="465"/>
      <c r="J348" s="465">
        <v>1982</v>
      </c>
      <c r="K348" s="465"/>
      <c r="L348" s="465"/>
      <c r="M348" s="465"/>
      <c r="N348" s="465"/>
      <c r="O348" s="465"/>
      <c r="P348" s="826">
        <v>86851223.829999998</v>
      </c>
      <c r="Q348" s="881">
        <v>0</v>
      </c>
      <c r="R348" s="889">
        <v>100770860.59</v>
      </c>
      <c r="S348" s="889">
        <v>0</v>
      </c>
    </row>
    <row r="349" spans="1:19" ht="33.75" x14ac:dyDescent="0.25">
      <c r="A349" s="880">
        <v>2025</v>
      </c>
      <c r="B349" s="816" t="s">
        <v>279</v>
      </c>
      <c r="C349" s="816" t="s">
        <v>1155</v>
      </c>
      <c r="D349" s="816" t="s">
        <v>1598</v>
      </c>
      <c r="E349" s="816" t="s">
        <v>7727</v>
      </c>
      <c r="F349" s="816">
        <v>27676863.050000001</v>
      </c>
      <c r="G349" s="816">
        <v>65406.21</v>
      </c>
      <c r="H349" s="826">
        <v>7581234.7400000002</v>
      </c>
      <c r="I349" s="465">
        <v>18547.439999999999</v>
      </c>
      <c r="J349" s="826">
        <v>64559977.890000001</v>
      </c>
      <c r="K349" s="465">
        <v>151176.07999999999</v>
      </c>
      <c r="L349" s="465">
        <v>3383556.82</v>
      </c>
      <c r="M349" s="465">
        <v>5231.07</v>
      </c>
      <c r="N349" s="465"/>
      <c r="O349" s="465"/>
      <c r="P349" s="826">
        <v>75524769.450000003</v>
      </c>
      <c r="Q349" s="881">
        <v>174954.59</v>
      </c>
      <c r="R349" s="889">
        <v>103201632.5</v>
      </c>
      <c r="S349" s="889">
        <v>240360.8</v>
      </c>
    </row>
    <row r="350" spans="1:19" ht="33.75" x14ac:dyDescent="0.25">
      <c r="A350" s="880">
        <v>2025</v>
      </c>
      <c r="B350" s="816" t="s">
        <v>279</v>
      </c>
      <c r="C350" s="816" t="s">
        <v>1155</v>
      </c>
      <c r="D350" s="816" t="s">
        <v>1599</v>
      </c>
      <c r="E350" s="816" t="s">
        <v>7721</v>
      </c>
      <c r="F350" s="816">
        <v>15579358.439999999</v>
      </c>
      <c r="G350" s="816">
        <v>39544.300000000003</v>
      </c>
      <c r="H350" s="826">
        <v>24832687.469999999</v>
      </c>
      <c r="I350" s="465">
        <v>60202.57</v>
      </c>
      <c r="J350" s="826">
        <v>215869267.37</v>
      </c>
      <c r="K350" s="826">
        <v>504066.46</v>
      </c>
      <c r="L350" s="465">
        <v>6654122.7400000002</v>
      </c>
      <c r="M350" s="465">
        <v>33275.26</v>
      </c>
      <c r="N350" s="465"/>
      <c r="O350" s="465"/>
      <c r="P350" s="826">
        <v>247356077.58000001</v>
      </c>
      <c r="Q350" s="881">
        <v>597544.29</v>
      </c>
      <c r="R350" s="889">
        <v>262935436.02000001</v>
      </c>
      <c r="S350" s="889">
        <v>637088.59000000008</v>
      </c>
    </row>
    <row r="351" spans="1:19" ht="22.5" x14ac:dyDescent="0.25">
      <c r="A351" s="880">
        <v>2025</v>
      </c>
      <c r="B351" s="816" t="s">
        <v>279</v>
      </c>
      <c r="C351" s="816" t="s">
        <v>1184</v>
      </c>
      <c r="D351" s="816" t="s">
        <v>8916</v>
      </c>
      <c r="E351" s="816" t="s">
        <v>7728</v>
      </c>
      <c r="F351" s="816">
        <v>1288304.55</v>
      </c>
      <c r="G351" s="816">
        <v>0</v>
      </c>
      <c r="H351" s="826">
        <v>50572433.719999999</v>
      </c>
      <c r="I351" s="826"/>
      <c r="J351" s="826"/>
      <c r="K351" s="826"/>
      <c r="L351" s="826"/>
      <c r="M351" s="826"/>
      <c r="N351" s="826"/>
      <c r="O351" s="826"/>
      <c r="P351" s="826">
        <v>50572433.719999999</v>
      </c>
      <c r="Q351" s="881">
        <v>0</v>
      </c>
      <c r="R351" s="889">
        <v>51860738.269999996</v>
      </c>
      <c r="S351" s="889">
        <v>0</v>
      </c>
    </row>
    <row r="352" spans="1:19" ht="33.75" x14ac:dyDescent="0.25">
      <c r="A352" s="880">
        <v>2025</v>
      </c>
      <c r="B352" s="816" t="s">
        <v>279</v>
      </c>
      <c r="C352" s="816" t="s">
        <v>1184</v>
      </c>
      <c r="D352" s="816" t="s">
        <v>1601</v>
      </c>
      <c r="E352" s="816" t="s">
        <v>7722</v>
      </c>
      <c r="F352" s="816">
        <v>2533087.9700000002</v>
      </c>
      <c r="G352" s="816">
        <v>0</v>
      </c>
      <c r="H352" s="826">
        <v>283542917.39999998</v>
      </c>
      <c r="I352" s="465"/>
      <c r="J352" s="826"/>
      <c r="K352" s="826"/>
      <c r="L352" s="465"/>
      <c r="M352" s="465"/>
      <c r="N352" s="465"/>
      <c r="O352" s="465"/>
      <c r="P352" s="826">
        <v>283542917.39999998</v>
      </c>
      <c r="Q352" s="881">
        <v>0</v>
      </c>
      <c r="R352" s="889">
        <v>286076005.37</v>
      </c>
      <c r="S352" s="889">
        <v>0</v>
      </c>
    </row>
    <row r="353" spans="1:19" ht="33.75" x14ac:dyDescent="0.25">
      <c r="A353" s="880">
        <v>2025</v>
      </c>
      <c r="B353" s="816" t="s">
        <v>279</v>
      </c>
      <c r="C353" s="816" t="s">
        <v>1194</v>
      </c>
      <c r="D353" s="816" t="s">
        <v>1602</v>
      </c>
      <c r="E353" s="816" t="s">
        <v>7723</v>
      </c>
      <c r="F353" s="816">
        <v>0</v>
      </c>
      <c r="G353" s="816">
        <v>0</v>
      </c>
      <c r="H353" s="826">
        <v>154671.04000000001</v>
      </c>
      <c r="I353" s="465">
        <v>413.79</v>
      </c>
      <c r="J353" s="826"/>
      <c r="K353" s="465"/>
      <c r="L353" s="465"/>
      <c r="M353" s="465"/>
      <c r="N353" s="465"/>
      <c r="O353" s="465"/>
      <c r="P353" s="826">
        <v>154671.04000000001</v>
      </c>
      <c r="Q353" s="881">
        <v>413.79</v>
      </c>
      <c r="R353" s="889">
        <v>154671.04000000001</v>
      </c>
      <c r="S353" s="889">
        <v>413.79</v>
      </c>
    </row>
    <row r="354" spans="1:19" ht="22.5" x14ac:dyDescent="0.25">
      <c r="A354" s="880">
        <v>2025</v>
      </c>
      <c r="B354" s="816" t="s">
        <v>279</v>
      </c>
      <c r="C354" s="816" t="s">
        <v>1200</v>
      </c>
      <c r="D354" s="816" t="s">
        <v>8917</v>
      </c>
      <c r="E354" s="816" t="s">
        <v>7729</v>
      </c>
      <c r="F354" s="816">
        <v>478393.5</v>
      </c>
      <c r="G354" s="816">
        <v>1324.56</v>
      </c>
      <c r="H354" s="826">
        <v>0</v>
      </c>
      <c r="I354" s="826"/>
      <c r="J354" s="465">
        <v>33459.21</v>
      </c>
      <c r="K354" s="465">
        <v>92.64</v>
      </c>
      <c r="L354" s="465"/>
      <c r="M354" s="465"/>
      <c r="N354" s="465"/>
      <c r="O354" s="465"/>
      <c r="P354" s="826">
        <v>33459.21</v>
      </c>
      <c r="Q354" s="881">
        <v>92.64</v>
      </c>
      <c r="R354" s="889">
        <v>511852.71</v>
      </c>
      <c r="S354" s="889">
        <v>1417.2</v>
      </c>
    </row>
    <row r="355" spans="1:19" ht="33.75" x14ac:dyDescent="0.25">
      <c r="A355" s="880">
        <v>2025</v>
      </c>
      <c r="B355" s="816" t="s">
        <v>279</v>
      </c>
      <c r="C355" s="816" t="s">
        <v>1200</v>
      </c>
      <c r="D355" s="816" t="s">
        <v>1604</v>
      </c>
      <c r="E355" s="816" t="s">
        <v>7724</v>
      </c>
      <c r="F355" s="816">
        <v>0</v>
      </c>
      <c r="G355" s="816">
        <v>0</v>
      </c>
      <c r="H355" s="826">
        <v>75318.070000000007</v>
      </c>
      <c r="I355" s="465">
        <v>214.61</v>
      </c>
      <c r="J355" s="826">
        <v>2467486.63</v>
      </c>
      <c r="K355" s="826">
        <v>6836.76</v>
      </c>
      <c r="L355" s="465"/>
      <c r="M355" s="465"/>
      <c r="N355" s="465"/>
      <c r="O355" s="465"/>
      <c r="P355" s="826">
        <v>2542804.7000000002</v>
      </c>
      <c r="Q355" s="881">
        <v>7051.37</v>
      </c>
      <c r="R355" s="889">
        <v>2542804.7000000002</v>
      </c>
      <c r="S355" s="889">
        <v>7051.37</v>
      </c>
    </row>
    <row r="356" spans="1:19" ht="33.75" x14ac:dyDescent="0.25">
      <c r="A356" s="880">
        <v>2025</v>
      </c>
      <c r="B356" s="816" t="s">
        <v>279</v>
      </c>
      <c r="C356" s="816" t="s">
        <v>1210</v>
      </c>
      <c r="D356" s="816" t="s">
        <v>1605</v>
      </c>
      <c r="E356" s="816" t="s">
        <v>7725</v>
      </c>
      <c r="F356" s="816">
        <v>0</v>
      </c>
      <c r="G356" s="816">
        <v>0</v>
      </c>
      <c r="H356" s="826">
        <v>263820</v>
      </c>
      <c r="I356" s="465"/>
      <c r="J356" s="465"/>
      <c r="K356" s="465"/>
      <c r="L356" s="465"/>
      <c r="M356" s="465"/>
      <c r="N356" s="465"/>
      <c r="O356" s="465"/>
      <c r="P356" s="826">
        <v>263820</v>
      </c>
      <c r="Q356" s="881">
        <v>0</v>
      </c>
      <c r="R356" s="889">
        <v>263820</v>
      </c>
      <c r="S356" s="889">
        <v>0</v>
      </c>
    </row>
    <row r="357" spans="1:19" ht="33.75" x14ac:dyDescent="0.25">
      <c r="A357" s="880">
        <v>2025</v>
      </c>
      <c r="B357" s="816" t="s">
        <v>279</v>
      </c>
      <c r="C357" s="816" t="s">
        <v>1210</v>
      </c>
      <c r="D357" s="816" t="s">
        <v>8918</v>
      </c>
      <c r="E357" s="816" t="s">
        <v>7730</v>
      </c>
      <c r="F357" s="816">
        <v>94368</v>
      </c>
      <c r="G357" s="816">
        <v>0</v>
      </c>
      <c r="H357" s="826">
        <v>327060</v>
      </c>
      <c r="I357" s="465"/>
      <c r="J357" s="465"/>
      <c r="K357" s="465"/>
      <c r="L357" s="465"/>
      <c r="M357" s="465"/>
      <c r="N357" s="465"/>
      <c r="O357" s="465"/>
      <c r="P357" s="826">
        <v>327060</v>
      </c>
      <c r="Q357" s="881">
        <v>0</v>
      </c>
      <c r="R357" s="889">
        <v>421428</v>
      </c>
      <c r="S357" s="889">
        <v>0</v>
      </c>
    </row>
    <row r="358" spans="1:19" ht="22.5" x14ac:dyDescent="0.25">
      <c r="A358" s="880">
        <v>2025</v>
      </c>
      <c r="B358" s="816" t="s">
        <v>282</v>
      </c>
      <c r="C358" s="816" t="s">
        <v>1140</v>
      </c>
      <c r="D358" s="816" t="s">
        <v>1250</v>
      </c>
      <c r="E358" s="816" t="s">
        <v>1607</v>
      </c>
      <c r="F358" s="816">
        <v>0</v>
      </c>
      <c r="G358" s="816">
        <v>0</v>
      </c>
      <c r="H358" s="826">
        <v>0</v>
      </c>
      <c r="I358" s="465"/>
      <c r="J358" s="826">
        <v>5862044.1399999997</v>
      </c>
      <c r="K358" s="465">
        <v>6746.56</v>
      </c>
      <c r="L358" s="465"/>
      <c r="M358" s="465"/>
      <c r="N358" s="465"/>
      <c r="O358" s="465"/>
      <c r="P358" s="826">
        <v>5862044.1399999997</v>
      </c>
      <c r="Q358" s="881">
        <v>6746.56</v>
      </c>
      <c r="R358" s="889">
        <v>5862044.1399999997</v>
      </c>
      <c r="S358" s="889">
        <v>6746.56</v>
      </c>
    </row>
    <row r="359" spans="1:19" ht="22.5" x14ac:dyDescent="0.25">
      <c r="A359" s="880">
        <v>2025</v>
      </c>
      <c r="B359" s="816" t="s">
        <v>282</v>
      </c>
      <c r="C359" s="816" t="s">
        <v>1143</v>
      </c>
      <c r="D359" s="816" t="s">
        <v>1226</v>
      </c>
      <c r="E359" s="816" t="s">
        <v>1608</v>
      </c>
      <c r="F359" s="816">
        <v>94697.919999999998</v>
      </c>
      <c r="G359" s="816">
        <v>0</v>
      </c>
      <c r="H359" s="826">
        <v>94446259.439999998</v>
      </c>
      <c r="I359" s="826"/>
      <c r="J359" s="826">
        <v>31080387.73</v>
      </c>
      <c r="K359" s="826"/>
      <c r="L359" s="826"/>
      <c r="M359" s="826"/>
      <c r="N359" s="826"/>
      <c r="O359" s="826"/>
      <c r="P359" s="826">
        <v>125526647.17</v>
      </c>
      <c r="Q359" s="881">
        <v>0</v>
      </c>
      <c r="R359" s="889">
        <v>125621345.09</v>
      </c>
      <c r="S359" s="889">
        <v>0</v>
      </c>
    </row>
    <row r="360" spans="1:19" ht="22.5" x14ac:dyDescent="0.25">
      <c r="A360" s="880">
        <v>2025</v>
      </c>
      <c r="B360" s="816" t="s">
        <v>282</v>
      </c>
      <c r="C360" s="816" t="s">
        <v>1155</v>
      </c>
      <c r="D360" s="816" t="s">
        <v>1228</v>
      </c>
      <c r="E360" s="816" t="s">
        <v>1609</v>
      </c>
      <c r="F360" s="816">
        <v>1014403.6</v>
      </c>
      <c r="G360" s="816">
        <v>2078.5700000000002</v>
      </c>
      <c r="H360" s="826">
        <v>0</v>
      </c>
      <c r="I360" s="826"/>
      <c r="J360" s="826">
        <v>586009063.45000005</v>
      </c>
      <c r="K360" s="826">
        <v>1491420.75</v>
      </c>
      <c r="L360" s="826">
        <v>2868007.25</v>
      </c>
      <c r="M360" s="826">
        <v>5619.32</v>
      </c>
      <c r="N360" s="826"/>
      <c r="O360" s="826"/>
      <c r="P360" s="826">
        <v>588877070.70000005</v>
      </c>
      <c r="Q360" s="881">
        <v>1497040.07</v>
      </c>
      <c r="R360" s="889">
        <v>589891474.30000007</v>
      </c>
      <c r="S360" s="889">
        <v>1499118.6400000001</v>
      </c>
    </row>
    <row r="361" spans="1:19" ht="22.5" x14ac:dyDescent="0.25">
      <c r="A361" s="880">
        <v>2025</v>
      </c>
      <c r="B361" s="816" t="s">
        <v>282</v>
      </c>
      <c r="C361" s="816" t="s">
        <v>1184</v>
      </c>
      <c r="D361" s="816" t="s">
        <v>1184</v>
      </c>
      <c r="E361" s="816" t="s">
        <v>1610</v>
      </c>
      <c r="F361" s="816">
        <v>88496</v>
      </c>
      <c r="G361" s="816">
        <v>0</v>
      </c>
      <c r="H361" s="826">
        <v>472592065.88</v>
      </c>
      <c r="I361" s="465"/>
      <c r="J361" s="465">
        <v>12845.02</v>
      </c>
      <c r="K361" s="465"/>
      <c r="L361" s="465"/>
      <c r="M361" s="465"/>
      <c r="N361" s="465"/>
      <c r="O361" s="465"/>
      <c r="P361" s="826">
        <v>472604910.89999998</v>
      </c>
      <c r="Q361" s="881">
        <v>0</v>
      </c>
      <c r="R361" s="889">
        <v>472693406.89999998</v>
      </c>
      <c r="S361" s="889">
        <v>0</v>
      </c>
    </row>
    <row r="362" spans="1:19" ht="22.5" x14ac:dyDescent="0.25">
      <c r="A362" s="880">
        <v>2025</v>
      </c>
      <c r="B362" s="816" t="s">
        <v>282</v>
      </c>
      <c r="C362" s="816" t="s">
        <v>1194</v>
      </c>
      <c r="D362" s="816" t="s">
        <v>1240</v>
      </c>
      <c r="E362" s="816" t="s">
        <v>1611</v>
      </c>
      <c r="F362" s="816">
        <v>37145</v>
      </c>
      <c r="G362" s="816">
        <v>102</v>
      </c>
      <c r="H362" s="826">
        <v>280394.75</v>
      </c>
      <c r="I362" s="465">
        <v>535.62</v>
      </c>
      <c r="J362" s="465"/>
      <c r="K362" s="465"/>
      <c r="L362" s="465"/>
      <c r="M362" s="465"/>
      <c r="N362" s="465"/>
      <c r="O362" s="465"/>
      <c r="P362" s="826">
        <v>280394.75</v>
      </c>
      <c r="Q362" s="881">
        <v>535.62</v>
      </c>
      <c r="R362" s="889">
        <v>317539.75</v>
      </c>
      <c r="S362" s="889">
        <v>637.62</v>
      </c>
    </row>
    <row r="363" spans="1:19" ht="22.5" x14ac:dyDescent="0.25">
      <c r="A363" s="880">
        <v>2025</v>
      </c>
      <c r="B363" s="816" t="s">
        <v>282</v>
      </c>
      <c r="C363" s="816" t="s">
        <v>1200</v>
      </c>
      <c r="D363" s="816" t="s">
        <v>1224</v>
      </c>
      <c r="E363" s="816" t="s">
        <v>1612</v>
      </c>
      <c r="F363" s="816">
        <v>112565.4</v>
      </c>
      <c r="G363" s="816">
        <v>0</v>
      </c>
      <c r="H363" s="826">
        <v>0</v>
      </c>
      <c r="I363" s="465"/>
      <c r="J363" s="465">
        <v>4332908.8</v>
      </c>
      <c r="K363" s="465">
        <v>12057.92</v>
      </c>
      <c r="L363" s="465"/>
      <c r="M363" s="465"/>
      <c r="N363" s="465"/>
      <c r="O363" s="465"/>
      <c r="P363" s="826">
        <v>4332908.8</v>
      </c>
      <c r="Q363" s="881">
        <v>12057.92</v>
      </c>
      <c r="R363" s="889">
        <v>4445474.2</v>
      </c>
      <c r="S363" s="889">
        <v>12057.92</v>
      </c>
    </row>
    <row r="364" spans="1:19" ht="33.75" x14ac:dyDescent="0.25">
      <c r="A364" s="880">
        <v>2025</v>
      </c>
      <c r="B364" s="816" t="s">
        <v>282</v>
      </c>
      <c r="C364" s="816" t="s">
        <v>1210</v>
      </c>
      <c r="D364" s="816" t="s">
        <v>1243</v>
      </c>
      <c r="E364" s="816" t="s">
        <v>1613</v>
      </c>
      <c r="F364" s="816">
        <v>333951</v>
      </c>
      <c r="G364" s="816">
        <v>0</v>
      </c>
      <c r="H364" s="826">
        <v>1504441.15</v>
      </c>
      <c r="I364" s="465"/>
      <c r="J364" s="826"/>
      <c r="K364" s="826"/>
      <c r="L364" s="465"/>
      <c r="M364" s="465"/>
      <c r="N364" s="465"/>
      <c r="O364" s="465"/>
      <c r="P364" s="826">
        <v>1504441.15</v>
      </c>
      <c r="Q364" s="881">
        <v>0</v>
      </c>
      <c r="R364" s="889">
        <v>1838392.15</v>
      </c>
      <c r="S364" s="889">
        <v>0</v>
      </c>
    </row>
    <row r="365" spans="1:19" ht="22.5" x14ac:dyDescent="0.25">
      <c r="A365" s="880">
        <v>2025</v>
      </c>
      <c r="B365" s="816" t="s">
        <v>285</v>
      </c>
      <c r="C365" s="816" t="s">
        <v>1143</v>
      </c>
      <c r="D365" s="816" t="s">
        <v>1226</v>
      </c>
      <c r="E365" s="816" t="s">
        <v>1614</v>
      </c>
      <c r="F365" s="816">
        <v>94697.919999999998</v>
      </c>
      <c r="G365" s="816">
        <v>0</v>
      </c>
      <c r="H365" s="826">
        <v>40593696.670000002</v>
      </c>
      <c r="I365" s="826">
        <v>0</v>
      </c>
      <c r="J365" s="826">
        <v>0</v>
      </c>
      <c r="K365" s="826">
        <v>0</v>
      </c>
      <c r="L365" s="465"/>
      <c r="M365" s="465"/>
      <c r="N365" s="465"/>
      <c r="O365" s="465"/>
      <c r="P365" s="826">
        <v>40593696.670000002</v>
      </c>
      <c r="Q365" s="881">
        <v>0</v>
      </c>
      <c r="R365" s="889">
        <v>40688394.590000004</v>
      </c>
      <c r="S365" s="889">
        <v>0</v>
      </c>
    </row>
    <row r="366" spans="1:19" ht="22.5" x14ac:dyDescent="0.25">
      <c r="A366" s="880">
        <v>2025</v>
      </c>
      <c r="B366" s="816" t="s">
        <v>285</v>
      </c>
      <c r="C366" s="816" t="s">
        <v>1155</v>
      </c>
      <c r="D366" s="816" t="s">
        <v>1228</v>
      </c>
      <c r="E366" s="816" t="s">
        <v>1615</v>
      </c>
      <c r="F366" s="816">
        <v>1014403.6</v>
      </c>
      <c r="G366" s="816">
        <v>2078.5700000000002</v>
      </c>
      <c r="H366" s="826">
        <v>4165479.66</v>
      </c>
      <c r="I366" s="465">
        <v>99519.2</v>
      </c>
      <c r="J366" s="465">
        <v>68354443.859999999</v>
      </c>
      <c r="K366" s="465">
        <v>92480.93</v>
      </c>
      <c r="L366" s="465"/>
      <c r="M366" s="465"/>
      <c r="N366" s="465"/>
      <c r="O366" s="465"/>
      <c r="P366" s="826">
        <v>72519923.519999996</v>
      </c>
      <c r="Q366" s="881">
        <v>192000.13</v>
      </c>
      <c r="R366" s="889">
        <v>73534327.11999999</v>
      </c>
      <c r="S366" s="889">
        <v>194078.7</v>
      </c>
    </row>
    <row r="367" spans="1:19" ht="22.5" x14ac:dyDescent="0.25">
      <c r="A367" s="880">
        <v>2025</v>
      </c>
      <c r="B367" s="816" t="s">
        <v>285</v>
      </c>
      <c r="C367" s="816" t="s">
        <v>1173</v>
      </c>
      <c r="D367" s="816" t="s">
        <v>1237</v>
      </c>
      <c r="E367" s="816" t="s">
        <v>1616</v>
      </c>
      <c r="F367" s="816">
        <v>0</v>
      </c>
      <c r="G367" s="816">
        <v>0</v>
      </c>
      <c r="H367" s="826">
        <v>0</v>
      </c>
      <c r="I367" s="465">
        <v>0</v>
      </c>
      <c r="J367" s="465">
        <v>74365314.379999995</v>
      </c>
      <c r="K367" s="465">
        <v>117801.60000000001</v>
      </c>
      <c r="L367" s="465"/>
      <c r="M367" s="465"/>
      <c r="N367" s="465"/>
      <c r="O367" s="465"/>
      <c r="P367" s="826">
        <v>74365314.379999995</v>
      </c>
      <c r="Q367" s="881">
        <v>117801.60000000001</v>
      </c>
      <c r="R367" s="889">
        <v>74365314.379999995</v>
      </c>
      <c r="S367" s="889">
        <v>117801.60000000001</v>
      </c>
    </row>
    <row r="368" spans="1:19" ht="22.5" x14ac:dyDescent="0.25">
      <c r="A368" s="880">
        <v>2025</v>
      </c>
      <c r="B368" s="816" t="s">
        <v>285</v>
      </c>
      <c r="C368" s="816" t="s">
        <v>1184</v>
      </c>
      <c r="D368" s="816" t="s">
        <v>1184</v>
      </c>
      <c r="E368" s="816" t="s">
        <v>1617</v>
      </c>
      <c r="F368" s="816">
        <v>88496</v>
      </c>
      <c r="G368" s="816">
        <v>0</v>
      </c>
      <c r="H368" s="826">
        <v>77745054.790000007</v>
      </c>
      <c r="I368" s="465">
        <v>0</v>
      </c>
      <c r="J368" s="826">
        <v>0</v>
      </c>
      <c r="K368" s="826">
        <v>0</v>
      </c>
      <c r="L368" s="465"/>
      <c r="M368" s="465"/>
      <c r="N368" s="465"/>
      <c r="O368" s="465"/>
      <c r="P368" s="826">
        <v>77745054.790000007</v>
      </c>
      <c r="Q368" s="881">
        <v>0</v>
      </c>
      <c r="R368" s="889">
        <v>77833550.790000007</v>
      </c>
      <c r="S368" s="889">
        <v>0</v>
      </c>
    </row>
    <row r="369" spans="1:19" ht="22.5" x14ac:dyDescent="0.25">
      <c r="A369" s="880">
        <v>2025</v>
      </c>
      <c r="B369" s="816" t="s">
        <v>285</v>
      </c>
      <c r="C369" s="816" t="s">
        <v>1200</v>
      </c>
      <c r="D369" s="816" t="s">
        <v>1224</v>
      </c>
      <c r="E369" s="816" t="s">
        <v>1618</v>
      </c>
      <c r="F369" s="816">
        <v>112565.4</v>
      </c>
      <c r="G369" s="816">
        <v>0</v>
      </c>
      <c r="H369" s="826">
        <v>71098.53</v>
      </c>
      <c r="I369" s="465">
        <v>198</v>
      </c>
      <c r="J369" s="826">
        <v>503550.76</v>
      </c>
      <c r="K369" s="465">
        <v>1401.6</v>
      </c>
      <c r="L369" s="465"/>
      <c r="M369" s="465"/>
      <c r="N369" s="465"/>
      <c r="O369" s="465"/>
      <c r="P369" s="826">
        <v>574649.29</v>
      </c>
      <c r="Q369" s="881">
        <v>1599.6</v>
      </c>
      <c r="R369" s="889">
        <v>687214.69000000006</v>
      </c>
      <c r="S369" s="889">
        <v>1599.6</v>
      </c>
    </row>
    <row r="370" spans="1:19" ht="33.75" x14ac:dyDescent="0.25">
      <c r="A370" s="880">
        <v>2025</v>
      </c>
      <c r="B370" s="816" t="s">
        <v>285</v>
      </c>
      <c r="C370" s="816" t="s">
        <v>1210</v>
      </c>
      <c r="D370" s="816" t="s">
        <v>1243</v>
      </c>
      <c r="E370" s="816" t="s">
        <v>1619</v>
      </c>
      <c r="F370" s="816">
        <v>333951</v>
      </c>
      <c r="G370" s="816">
        <v>0</v>
      </c>
      <c r="H370" s="826">
        <v>200002.94</v>
      </c>
      <c r="I370" s="465">
        <v>0</v>
      </c>
      <c r="J370" s="826">
        <v>0</v>
      </c>
      <c r="K370" s="826">
        <v>0</v>
      </c>
      <c r="L370" s="826"/>
      <c r="M370" s="826"/>
      <c r="N370" s="826"/>
      <c r="O370" s="826"/>
      <c r="P370" s="826">
        <v>200002.94</v>
      </c>
      <c r="Q370" s="881">
        <v>0</v>
      </c>
      <c r="R370" s="889">
        <v>533953.93999999994</v>
      </c>
      <c r="S370" s="889">
        <v>0</v>
      </c>
    </row>
    <row r="371" spans="1:19" ht="33.75" x14ac:dyDescent="0.25">
      <c r="A371" s="880">
        <v>2025</v>
      </c>
      <c r="B371" s="816" t="s">
        <v>287</v>
      </c>
      <c r="C371" s="816" t="s">
        <v>1143</v>
      </c>
      <c r="D371" s="816" t="s">
        <v>8919</v>
      </c>
      <c r="E371" s="816" t="s">
        <v>8920</v>
      </c>
      <c r="F371" s="816">
        <v>1274319.81</v>
      </c>
      <c r="G371" s="816">
        <v>0</v>
      </c>
      <c r="H371" s="826">
        <v>8218895.4199999999</v>
      </c>
      <c r="I371" s="465"/>
      <c r="J371" s="826"/>
      <c r="K371" s="465"/>
      <c r="L371" s="465"/>
      <c r="M371" s="465"/>
      <c r="N371" s="465"/>
      <c r="O371" s="465"/>
      <c r="P371" s="826">
        <v>8218895.4199999999</v>
      </c>
      <c r="Q371" s="881">
        <v>0</v>
      </c>
      <c r="R371" s="889">
        <v>9493215.2300000004</v>
      </c>
      <c r="S371" s="889">
        <v>0</v>
      </c>
    </row>
    <row r="372" spans="1:19" ht="33.75" x14ac:dyDescent="0.25">
      <c r="A372" s="880">
        <v>2025</v>
      </c>
      <c r="B372" s="816" t="s">
        <v>287</v>
      </c>
      <c r="C372" s="816" t="s">
        <v>1143</v>
      </c>
      <c r="D372" s="816" t="s">
        <v>1621</v>
      </c>
      <c r="E372" s="816" t="s">
        <v>8921</v>
      </c>
      <c r="F372" s="816">
        <v>11253348.68</v>
      </c>
      <c r="G372" s="816">
        <v>0</v>
      </c>
      <c r="H372" s="826">
        <v>64080969.07</v>
      </c>
      <c r="I372" s="826"/>
      <c r="J372" s="465">
        <v>308750.24</v>
      </c>
      <c r="K372" s="465"/>
      <c r="L372" s="465"/>
      <c r="M372" s="465"/>
      <c r="N372" s="465"/>
      <c r="O372" s="465"/>
      <c r="P372" s="826">
        <v>64389719.310000002</v>
      </c>
      <c r="Q372" s="881">
        <v>0</v>
      </c>
      <c r="R372" s="889">
        <v>75643067.99000001</v>
      </c>
      <c r="S372" s="889">
        <v>0</v>
      </c>
    </row>
    <row r="373" spans="1:19" ht="33.75" x14ac:dyDescent="0.25">
      <c r="A373" s="880">
        <v>2025</v>
      </c>
      <c r="B373" s="816" t="s">
        <v>287</v>
      </c>
      <c r="C373" s="816" t="s">
        <v>1155</v>
      </c>
      <c r="D373" s="816" t="s">
        <v>1622</v>
      </c>
      <c r="E373" s="816" t="s">
        <v>8922</v>
      </c>
      <c r="F373" s="816">
        <v>0</v>
      </c>
      <c r="G373" s="816">
        <v>0</v>
      </c>
      <c r="H373" s="826">
        <v>0</v>
      </c>
      <c r="I373" s="465"/>
      <c r="J373" s="826">
        <v>14856827.9</v>
      </c>
      <c r="K373" s="826">
        <v>30086.99</v>
      </c>
      <c r="L373" s="465"/>
      <c r="M373" s="465"/>
      <c r="N373" s="465"/>
      <c r="O373" s="465"/>
      <c r="P373" s="826">
        <v>14856827.9</v>
      </c>
      <c r="Q373" s="881">
        <v>30086.99</v>
      </c>
      <c r="R373" s="889">
        <v>14856827.9</v>
      </c>
      <c r="S373" s="889">
        <v>30086.99</v>
      </c>
    </row>
    <row r="374" spans="1:19" ht="33.75" x14ac:dyDescent="0.25">
      <c r="A374" s="880">
        <v>2025</v>
      </c>
      <c r="B374" s="816" t="s">
        <v>287</v>
      </c>
      <c r="C374" s="816" t="s">
        <v>1155</v>
      </c>
      <c r="D374" s="816" t="s">
        <v>1623</v>
      </c>
      <c r="E374" s="816" t="s">
        <v>8923</v>
      </c>
      <c r="F374" s="816">
        <v>28880207.57</v>
      </c>
      <c r="G374" s="816">
        <v>88278.6</v>
      </c>
      <c r="H374" s="826">
        <v>17120154.530000001</v>
      </c>
      <c r="I374" s="465">
        <v>64214.36</v>
      </c>
      <c r="J374" s="465">
        <v>143728762.09</v>
      </c>
      <c r="K374" s="465">
        <v>363868.36</v>
      </c>
      <c r="L374" s="465"/>
      <c r="M374" s="465"/>
      <c r="N374" s="465"/>
      <c r="O374" s="465"/>
      <c r="P374" s="826">
        <v>160848916.62</v>
      </c>
      <c r="Q374" s="881">
        <v>428082.72</v>
      </c>
      <c r="R374" s="889">
        <v>189729124.19</v>
      </c>
      <c r="S374" s="889">
        <v>516361.31999999995</v>
      </c>
    </row>
    <row r="375" spans="1:19" ht="33.75" x14ac:dyDescent="0.25">
      <c r="A375" s="880">
        <v>2025</v>
      </c>
      <c r="B375" s="816" t="s">
        <v>287</v>
      </c>
      <c r="C375" s="816" t="s">
        <v>1155</v>
      </c>
      <c r="D375" s="816" t="s">
        <v>8924</v>
      </c>
      <c r="E375" s="816" t="s">
        <v>8925</v>
      </c>
      <c r="F375" s="816">
        <v>4934670.5</v>
      </c>
      <c r="G375" s="816">
        <v>11396.48</v>
      </c>
      <c r="H375" s="826">
        <v>1306059.0900000001</v>
      </c>
      <c r="I375" s="826">
        <v>3900.87</v>
      </c>
      <c r="J375" s="826">
        <v>7610015.71</v>
      </c>
      <c r="K375" s="826">
        <v>19131.5</v>
      </c>
      <c r="L375" s="826"/>
      <c r="M375" s="826"/>
      <c r="N375" s="826"/>
      <c r="O375" s="826"/>
      <c r="P375" s="826">
        <v>8916074.8000000007</v>
      </c>
      <c r="Q375" s="881">
        <v>23032.37</v>
      </c>
      <c r="R375" s="889">
        <v>13850745.300000001</v>
      </c>
      <c r="S375" s="889">
        <v>34428.85</v>
      </c>
    </row>
    <row r="376" spans="1:19" ht="22.5" x14ac:dyDescent="0.25">
      <c r="A376" s="880">
        <v>2025</v>
      </c>
      <c r="B376" s="816" t="s">
        <v>287</v>
      </c>
      <c r="C376" s="816" t="s">
        <v>1184</v>
      </c>
      <c r="D376" s="816" t="s">
        <v>8926</v>
      </c>
      <c r="E376" s="816" t="s">
        <v>1626</v>
      </c>
      <c r="F376" s="816">
        <v>281434.95</v>
      </c>
      <c r="G376" s="816">
        <v>0</v>
      </c>
      <c r="H376" s="826">
        <v>30253743.899999999</v>
      </c>
      <c r="I376" s="826"/>
      <c r="J376" s="826"/>
      <c r="K376" s="826"/>
      <c r="L376" s="826"/>
      <c r="M376" s="826"/>
      <c r="N376" s="826"/>
      <c r="O376" s="826"/>
      <c r="P376" s="826">
        <v>30253743.899999999</v>
      </c>
      <c r="Q376" s="881">
        <v>0</v>
      </c>
      <c r="R376" s="889">
        <v>30535178.849999998</v>
      </c>
      <c r="S376" s="889">
        <v>0</v>
      </c>
    </row>
    <row r="377" spans="1:19" ht="22.5" x14ac:dyDescent="0.25">
      <c r="A377" s="880">
        <v>2025</v>
      </c>
      <c r="B377" s="816" t="s">
        <v>287</v>
      </c>
      <c r="C377" s="816" t="s">
        <v>1184</v>
      </c>
      <c r="D377" s="816" t="s">
        <v>1627</v>
      </c>
      <c r="E377" s="816" t="s">
        <v>1628</v>
      </c>
      <c r="F377" s="816">
        <v>2851555.98</v>
      </c>
      <c r="G377" s="816">
        <v>0</v>
      </c>
      <c r="H377" s="826">
        <v>197326132.44999999</v>
      </c>
      <c r="I377" s="826"/>
      <c r="J377" s="826"/>
      <c r="K377" s="826"/>
      <c r="L377" s="826"/>
      <c r="M377" s="826"/>
      <c r="N377" s="826"/>
      <c r="O377" s="826"/>
      <c r="P377" s="826">
        <v>197326132.44999999</v>
      </c>
      <c r="Q377" s="881">
        <v>0</v>
      </c>
      <c r="R377" s="889">
        <v>200177688.42999998</v>
      </c>
      <c r="S377" s="889">
        <v>0</v>
      </c>
    </row>
    <row r="378" spans="1:19" ht="22.5" x14ac:dyDescent="0.25">
      <c r="A378" s="880">
        <v>2025</v>
      </c>
      <c r="B378" s="816" t="s">
        <v>287</v>
      </c>
      <c r="C378" s="816" t="s">
        <v>1194</v>
      </c>
      <c r="D378" s="816" t="s">
        <v>8927</v>
      </c>
      <c r="E378" s="816" t="s">
        <v>1630</v>
      </c>
      <c r="F378" s="816">
        <v>968.16</v>
      </c>
      <c r="G378" s="816">
        <v>2.52</v>
      </c>
      <c r="H378" s="826">
        <v>23338.639999999999</v>
      </c>
      <c r="I378" s="826">
        <v>63.24</v>
      </c>
      <c r="J378" s="826"/>
      <c r="K378" s="826"/>
      <c r="L378" s="826"/>
      <c r="M378" s="826"/>
      <c r="N378" s="826"/>
      <c r="O378" s="826"/>
      <c r="P378" s="826">
        <v>23338.639999999999</v>
      </c>
      <c r="Q378" s="881">
        <v>63.24</v>
      </c>
      <c r="R378" s="889">
        <v>24306.799999999999</v>
      </c>
      <c r="S378" s="889">
        <v>65.760000000000005</v>
      </c>
    </row>
    <row r="379" spans="1:19" ht="22.5" x14ac:dyDescent="0.25">
      <c r="A379" s="880">
        <v>2025</v>
      </c>
      <c r="B379" s="816" t="s">
        <v>287</v>
      </c>
      <c r="C379" s="816" t="s">
        <v>1194</v>
      </c>
      <c r="D379" s="816" t="s">
        <v>1631</v>
      </c>
      <c r="E379" s="816" t="s">
        <v>1632</v>
      </c>
      <c r="F379" s="816">
        <v>9027.9699999999993</v>
      </c>
      <c r="G379" s="816">
        <v>23.97</v>
      </c>
      <c r="H379" s="826">
        <v>111851.88</v>
      </c>
      <c r="I379" s="826">
        <v>282.95999999999998</v>
      </c>
      <c r="J379" s="826"/>
      <c r="K379" s="826"/>
      <c r="L379" s="826"/>
      <c r="M379" s="826"/>
      <c r="N379" s="826"/>
      <c r="O379" s="826"/>
      <c r="P379" s="826">
        <v>111851.88</v>
      </c>
      <c r="Q379" s="881">
        <v>282.95999999999998</v>
      </c>
      <c r="R379" s="889">
        <v>120879.85</v>
      </c>
      <c r="S379" s="889">
        <v>306.92999999999995</v>
      </c>
    </row>
    <row r="380" spans="1:19" ht="22.5" x14ac:dyDescent="0.25">
      <c r="A380" s="880">
        <v>2025</v>
      </c>
      <c r="B380" s="816" t="s">
        <v>287</v>
      </c>
      <c r="C380" s="816" t="s">
        <v>1200</v>
      </c>
      <c r="D380" s="816" t="s">
        <v>8928</v>
      </c>
      <c r="E380" s="816" t="s">
        <v>1634</v>
      </c>
      <c r="F380" s="816">
        <v>160707.44</v>
      </c>
      <c r="G380" s="816">
        <v>501.96</v>
      </c>
      <c r="H380" s="826">
        <v>54304.800000000003</v>
      </c>
      <c r="I380" s="826">
        <v>158.32</v>
      </c>
      <c r="J380" s="826"/>
      <c r="K380" s="826"/>
      <c r="L380" s="826"/>
      <c r="M380" s="826"/>
      <c r="N380" s="826"/>
      <c r="O380" s="826"/>
      <c r="P380" s="826">
        <v>54304.800000000003</v>
      </c>
      <c r="Q380" s="881">
        <v>158.32</v>
      </c>
      <c r="R380" s="889">
        <v>215012.24</v>
      </c>
      <c r="S380" s="889">
        <v>660.28</v>
      </c>
    </row>
    <row r="381" spans="1:19" ht="22.5" x14ac:dyDescent="0.25">
      <c r="A381" s="880">
        <v>2025</v>
      </c>
      <c r="B381" s="816" t="s">
        <v>287</v>
      </c>
      <c r="C381" s="816" t="s">
        <v>1200</v>
      </c>
      <c r="D381" s="816" t="s">
        <v>1635</v>
      </c>
      <c r="E381" s="816" t="s">
        <v>1636</v>
      </c>
      <c r="F381" s="816">
        <v>0</v>
      </c>
      <c r="G381" s="816">
        <v>0</v>
      </c>
      <c r="H381" s="826">
        <v>0</v>
      </c>
      <c r="I381" s="465"/>
      <c r="J381" s="465">
        <v>2042501.58</v>
      </c>
      <c r="K381" s="465">
        <v>5690.28</v>
      </c>
      <c r="L381" s="465"/>
      <c r="M381" s="465"/>
      <c r="N381" s="465"/>
      <c r="O381" s="465"/>
      <c r="P381" s="826">
        <v>2042501.58</v>
      </c>
      <c r="Q381" s="881">
        <v>5690.28</v>
      </c>
      <c r="R381" s="889">
        <v>2042501.58</v>
      </c>
      <c r="S381" s="889">
        <v>5690.28</v>
      </c>
    </row>
    <row r="382" spans="1:19" ht="33.75" x14ac:dyDescent="0.25">
      <c r="A382" s="880">
        <v>2025</v>
      </c>
      <c r="B382" s="816" t="s">
        <v>287</v>
      </c>
      <c r="C382" s="816" t="s">
        <v>1210</v>
      </c>
      <c r="D382" s="816" t="s">
        <v>8929</v>
      </c>
      <c r="E382" s="816" t="s">
        <v>1638</v>
      </c>
      <c r="F382" s="816">
        <v>10763.76</v>
      </c>
      <c r="G382" s="816">
        <v>0</v>
      </c>
      <c r="H382" s="826">
        <v>106080.49</v>
      </c>
      <c r="I382" s="465"/>
      <c r="J382" s="826"/>
      <c r="K382" s="465"/>
      <c r="L382" s="465"/>
      <c r="M382" s="465"/>
      <c r="N382" s="465"/>
      <c r="O382" s="465"/>
      <c r="P382" s="826">
        <v>106080.49</v>
      </c>
      <c r="Q382" s="881">
        <v>0</v>
      </c>
      <c r="R382" s="889">
        <v>116844.25</v>
      </c>
      <c r="S382" s="889">
        <v>0</v>
      </c>
    </row>
    <row r="383" spans="1:19" ht="33.75" x14ac:dyDescent="0.25">
      <c r="A383" s="880">
        <v>2025</v>
      </c>
      <c r="B383" s="816" t="s">
        <v>287</v>
      </c>
      <c r="C383" s="816" t="s">
        <v>1210</v>
      </c>
      <c r="D383" s="816" t="s">
        <v>1639</v>
      </c>
      <c r="E383" s="816" t="s">
        <v>1640</v>
      </c>
      <c r="F383" s="816">
        <v>0</v>
      </c>
      <c r="G383" s="816">
        <v>0</v>
      </c>
      <c r="H383" s="826">
        <v>39477.800000000003</v>
      </c>
      <c r="I383" s="465"/>
      <c r="J383" s="826"/>
      <c r="K383" s="826"/>
      <c r="L383" s="465"/>
      <c r="M383" s="465"/>
      <c r="N383" s="465"/>
      <c r="O383" s="465"/>
      <c r="P383" s="826">
        <v>39477.800000000003</v>
      </c>
      <c r="Q383" s="881">
        <v>0</v>
      </c>
      <c r="R383" s="889">
        <v>39477.800000000003</v>
      </c>
      <c r="S383" s="889">
        <v>0</v>
      </c>
    </row>
    <row r="384" spans="1:19" ht="22.5" x14ac:dyDescent="0.25">
      <c r="A384" s="880">
        <v>2025</v>
      </c>
      <c r="B384" s="816" t="s">
        <v>289</v>
      </c>
      <c r="C384" s="816" t="s">
        <v>1143</v>
      </c>
      <c r="D384" s="816" t="s">
        <v>1226</v>
      </c>
      <c r="E384" s="816" t="s">
        <v>1641</v>
      </c>
      <c r="F384" s="816">
        <v>94697.919999999998</v>
      </c>
      <c r="G384" s="816">
        <v>0</v>
      </c>
      <c r="H384" s="826">
        <v>13806531.699999999</v>
      </c>
      <c r="I384" s="826"/>
      <c r="J384" s="826"/>
      <c r="K384" s="826"/>
      <c r="L384" s="465"/>
      <c r="M384" s="465"/>
      <c r="N384" s="465"/>
      <c r="O384" s="465"/>
      <c r="P384" s="826">
        <v>13806531.699999999</v>
      </c>
      <c r="Q384" s="881">
        <v>0</v>
      </c>
      <c r="R384" s="889">
        <v>13901229.619999999</v>
      </c>
      <c r="S384" s="889">
        <v>0</v>
      </c>
    </row>
    <row r="385" spans="1:19" ht="22.5" x14ac:dyDescent="0.25">
      <c r="A385" s="880">
        <v>2025</v>
      </c>
      <c r="B385" s="816" t="s">
        <v>289</v>
      </c>
      <c r="C385" s="816" t="s">
        <v>1155</v>
      </c>
      <c r="D385" s="816" t="s">
        <v>1228</v>
      </c>
      <c r="E385" s="816" t="s">
        <v>1642</v>
      </c>
      <c r="F385" s="816">
        <v>1014403.6</v>
      </c>
      <c r="G385" s="816">
        <v>2078.5700000000002</v>
      </c>
      <c r="H385" s="826">
        <v>0</v>
      </c>
      <c r="I385" s="826"/>
      <c r="J385" s="826">
        <v>37529122.149999999</v>
      </c>
      <c r="K385" s="826">
        <v>95667.85</v>
      </c>
      <c r="L385" s="465"/>
      <c r="M385" s="465"/>
      <c r="N385" s="465"/>
      <c r="O385" s="465"/>
      <c r="P385" s="826">
        <v>37529122.149999999</v>
      </c>
      <c r="Q385" s="881">
        <v>95667.85</v>
      </c>
      <c r="R385" s="889">
        <v>38543525.75</v>
      </c>
      <c r="S385" s="889">
        <v>97746.420000000013</v>
      </c>
    </row>
    <row r="386" spans="1:19" ht="22.5" x14ac:dyDescent="0.25">
      <c r="A386" s="880">
        <v>2025</v>
      </c>
      <c r="B386" s="816" t="s">
        <v>289</v>
      </c>
      <c r="C386" s="816" t="s">
        <v>1184</v>
      </c>
      <c r="D386" s="816" t="s">
        <v>1184</v>
      </c>
      <c r="E386" s="816" t="s">
        <v>1643</v>
      </c>
      <c r="F386" s="816">
        <v>88496</v>
      </c>
      <c r="G386" s="816">
        <v>0</v>
      </c>
      <c r="H386" s="826">
        <v>39070300.170000002</v>
      </c>
      <c r="I386" s="465"/>
      <c r="J386" s="465"/>
      <c r="K386" s="465"/>
      <c r="L386" s="465"/>
      <c r="M386" s="465"/>
      <c r="N386" s="465"/>
      <c r="O386" s="465"/>
      <c r="P386" s="826">
        <v>39070300.170000002</v>
      </c>
      <c r="Q386" s="881">
        <v>0</v>
      </c>
      <c r="R386" s="889">
        <v>39158796.170000002</v>
      </c>
      <c r="S386" s="889">
        <v>0</v>
      </c>
    </row>
    <row r="387" spans="1:19" ht="22.5" x14ac:dyDescent="0.25">
      <c r="A387" s="880">
        <v>2025</v>
      </c>
      <c r="B387" s="816" t="s">
        <v>289</v>
      </c>
      <c r="C387" s="816" t="s">
        <v>1200</v>
      </c>
      <c r="D387" s="816" t="s">
        <v>1224</v>
      </c>
      <c r="E387" s="816" t="s">
        <v>1644</v>
      </c>
      <c r="F387" s="816">
        <v>112565.4</v>
      </c>
      <c r="G387" s="816">
        <v>0</v>
      </c>
      <c r="H387" s="826">
        <v>0</v>
      </c>
      <c r="I387" s="465"/>
      <c r="J387" s="465"/>
      <c r="K387" s="465"/>
      <c r="L387" s="465"/>
      <c r="M387" s="465"/>
      <c r="N387" s="465"/>
      <c r="O387" s="465"/>
      <c r="P387" s="826">
        <v>0</v>
      </c>
      <c r="Q387" s="881">
        <v>0</v>
      </c>
      <c r="R387" s="889">
        <v>112565.4</v>
      </c>
      <c r="S387" s="889">
        <v>0</v>
      </c>
    </row>
    <row r="388" spans="1:19" ht="33.75" x14ac:dyDescent="0.25">
      <c r="A388" s="880">
        <v>2025</v>
      </c>
      <c r="B388" s="816" t="s">
        <v>289</v>
      </c>
      <c r="C388" s="816" t="s">
        <v>1210</v>
      </c>
      <c r="D388" s="816" t="s">
        <v>1243</v>
      </c>
      <c r="E388" s="816" t="s">
        <v>1645</v>
      </c>
      <c r="F388" s="816">
        <v>333951</v>
      </c>
      <c r="G388" s="816">
        <v>0</v>
      </c>
      <c r="H388" s="826">
        <v>145151.07</v>
      </c>
      <c r="I388" s="826"/>
      <c r="J388" s="465"/>
      <c r="K388" s="465"/>
      <c r="L388" s="465"/>
      <c r="M388" s="465"/>
      <c r="N388" s="465"/>
      <c r="O388" s="465"/>
      <c r="P388" s="826">
        <v>145151.07</v>
      </c>
      <c r="Q388" s="881">
        <v>0</v>
      </c>
      <c r="R388" s="889">
        <v>479102.07</v>
      </c>
      <c r="S388" s="889">
        <v>0</v>
      </c>
    </row>
    <row r="389" spans="1:19" ht="22.5" x14ac:dyDescent="0.25">
      <c r="A389" s="880">
        <v>2025</v>
      </c>
      <c r="B389" s="816" t="s">
        <v>291</v>
      </c>
      <c r="C389" s="816" t="s">
        <v>1140</v>
      </c>
      <c r="D389" s="816" t="s">
        <v>1250</v>
      </c>
      <c r="E389" s="816" t="s">
        <v>1646</v>
      </c>
      <c r="F389" s="816">
        <v>0</v>
      </c>
      <c r="G389" s="816">
        <v>0</v>
      </c>
      <c r="H389" s="826">
        <v>0</v>
      </c>
      <c r="I389" s="826">
        <v>0</v>
      </c>
      <c r="J389" s="465">
        <v>101039732.40000001</v>
      </c>
      <c r="K389" s="465">
        <v>258159.8</v>
      </c>
      <c r="L389" s="465"/>
      <c r="M389" s="465"/>
      <c r="N389" s="465"/>
      <c r="O389" s="465"/>
      <c r="P389" s="826">
        <v>101039732.40000001</v>
      </c>
      <c r="Q389" s="881">
        <v>258159.8</v>
      </c>
      <c r="R389" s="889">
        <v>101039732.40000001</v>
      </c>
      <c r="S389" s="889">
        <v>258159.8</v>
      </c>
    </row>
    <row r="390" spans="1:19" ht="22.5" x14ac:dyDescent="0.25">
      <c r="A390" s="880">
        <v>2025</v>
      </c>
      <c r="B390" s="816" t="s">
        <v>291</v>
      </c>
      <c r="C390" s="816" t="s">
        <v>1143</v>
      </c>
      <c r="D390" s="816" t="s">
        <v>1226</v>
      </c>
      <c r="E390" s="816" t="s">
        <v>1647</v>
      </c>
      <c r="F390" s="816">
        <v>94697.919999999998</v>
      </c>
      <c r="G390" s="816">
        <v>0</v>
      </c>
      <c r="H390" s="826">
        <v>164415030.61000001</v>
      </c>
      <c r="I390" s="826">
        <v>0</v>
      </c>
      <c r="J390" s="465">
        <v>0</v>
      </c>
      <c r="K390" s="465">
        <v>0</v>
      </c>
      <c r="L390" s="465"/>
      <c r="M390" s="465"/>
      <c r="N390" s="465"/>
      <c r="O390" s="465"/>
      <c r="P390" s="826">
        <v>164415030.61000001</v>
      </c>
      <c r="Q390" s="881">
        <v>0</v>
      </c>
      <c r="R390" s="889">
        <v>164509728.53</v>
      </c>
      <c r="S390" s="889">
        <v>0</v>
      </c>
    </row>
    <row r="391" spans="1:19" ht="22.5" x14ac:dyDescent="0.25">
      <c r="A391" s="880">
        <v>2025</v>
      </c>
      <c r="B391" s="816" t="s">
        <v>291</v>
      </c>
      <c r="C391" s="816" t="s">
        <v>1155</v>
      </c>
      <c r="D391" s="816" t="s">
        <v>1648</v>
      </c>
      <c r="E391" s="816" t="s">
        <v>1649</v>
      </c>
      <c r="F391" s="816">
        <v>45034929</v>
      </c>
      <c r="G391" s="816">
        <v>99020</v>
      </c>
      <c r="H391" s="826">
        <v>0</v>
      </c>
      <c r="I391" s="465">
        <v>0</v>
      </c>
      <c r="J391" s="826">
        <v>149057228.30000001</v>
      </c>
      <c r="K391" s="826">
        <v>330070.5</v>
      </c>
      <c r="L391" s="465"/>
      <c r="M391" s="465"/>
      <c r="N391" s="465"/>
      <c r="O391" s="465"/>
      <c r="P391" s="826">
        <v>149057228.30000001</v>
      </c>
      <c r="Q391" s="881">
        <v>330070.5</v>
      </c>
      <c r="R391" s="889">
        <v>194092157.30000001</v>
      </c>
      <c r="S391" s="889">
        <v>429090.5</v>
      </c>
    </row>
    <row r="392" spans="1:19" ht="22.5" x14ac:dyDescent="0.25">
      <c r="A392" s="880">
        <v>2025</v>
      </c>
      <c r="B392" s="816" t="s">
        <v>291</v>
      </c>
      <c r="C392" s="816" t="s">
        <v>1155</v>
      </c>
      <c r="D392" s="816" t="s">
        <v>1235</v>
      </c>
      <c r="E392" s="816" t="s">
        <v>1650</v>
      </c>
      <c r="F392" s="816">
        <v>57477609</v>
      </c>
      <c r="G392" s="816">
        <v>172041</v>
      </c>
      <c r="H392" s="826">
        <v>57287088.32</v>
      </c>
      <c r="I392" s="465">
        <v>258196.92</v>
      </c>
      <c r="J392" s="465">
        <v>399695976.23000002</v>
      </c>
      <c r="K392" s="465">
        <v>995053.01</v>
      </c>
      <c r="L392" s="465">
        <v>3913701.92</v>
      </c>
      <c r="M392" s="465">
        <v>7250.41</v>
      </c>
      <c r="N392" s="465"/>
      <c r="O392" s="465"/>
      <c r="P392" s="826">
        <v>460896766.47000003</v>
      </c>
      <c r="Q392" s="881">
        <v>1260500.3400000001</v>
      </c>
      <c r="R392" s="889">
        <v>518374375.47000003</v>
      </c>
      <c r="S392" s="889">
        <v>1432541.34</v>
      </c>
    </row>
    <row r="393" spans="1:19" ht="22.5" x14ac:dyDescent="0.25">
      <c r="A393" s="880">
        <v>2025</v>
      </c>
      <c r="B393" s="816" t="s">
        <v>291</v>
      </c>
      <c r="C393" s="816" t="s">
        <v>1184</v>
      </c>
      <c r="D393" s="816" t="s">
        <v>1184</v>
      </c>
      <c r="E393" s="816" t="s">
        <v>1651</v>
      </c>
      <c r="F393" s="816">
        <v>88496</v>
      </c>
      <c r="G393" s="816">
        <v>0</v>
      </c>
      <c r="H393" s="826">
        <v>633655979.78999996</v>
      </c>
      <c r="I393" s="465">
        <v>0</v>
      </c>
      <c r="J393" s="465">
        <v>0</v>
      </c>
      <c r="K393" s="465">
        <v>0</v>
      </c>
      <c r="L393" s="465"/>
      <c r="M393" s="465"/>
      <c r="N393" s="465"/>
      <c r="O393" s="465"/>
      <c r="P393" s="826">
        <v>633655979.78999996</v>
      </c>
      <c r="Q393" s="881">
        <v>0</v>
      </c>
      <c r="R393" s="889">
        <v>633744475.78999996</v>
      </c>
      <c r="S393" s="889">
        <v>0</v>
      </c>
    </row>
    <row r="394" spans="1:19" ht="22.5" x14ac:dyDescent="0.25">
      <c r="A394" s="880">
        <v>2025</v>
      </c>
      <c r="B394" s="816" t="s">
        <v>291</v>
      </c>
      <c r="C394" s="816" t="s">
        <v>1194</v>
      </c>
      <c r="D394" s="816" t="s">
        <v>1240</v>
      </c>
      <c r="E394" s="816" t="s">
        <v>1652</v>
      </c>
      <c r="F394" s="816">
        <v>37145</v>
      </c>
      <c r="G394" s="816">
        <v>102</v>
      </c>
      <c r="H394" s="826">
        <v>0</v>
      </c>
      <c r="I394" s="465">
        <v>0</v>
      </c>
      <c r="J394" s="465">
        <v>90494.91</v>
      </c>
      <c r="K394" s="465">
        <v>251.37475000000001</v>
      </c>
      <c r="L394" s="465"/>
      <c r="M394" s="465"/>
      <c r="N394" s="465"/>
      <c r="O394" s="465"/>
      <c r="P394" s="826">
        <v>90494.91</v>
      </c>
      <c r="Q394" s="881">
        <v>251.37475000000001</v>
      </c>
      <c r="R394" s="889">
        <v>127639.91</v>
      </c>
      <c r="S394" s="889">
        <v>353.37475000000001</v>
      </c>
    </row>
    <row r="395" spans="1:19" ht="22.5" x14ac:dyDescent="0.25">
      <c r="A395" s="880">
        <v>2025</v>
      </c>
      <c r="B395" s="816" t="s">
        <v>291</v>
      </c>
      <c r="C395" s="816" t="s">
        <v>1200</v>
      </c>
      <c r="D395" s="816" t="s">
        <v>1224</v>
      </c>
      <c r="E395" s="816" t="s">
        <v>1653</v>
      </c>
      <c r="F395" s="816">
        <v>112565.4</v>
      </c>
      <c r="G395" s="816">
        <v>0</v>
      </c>
      <c r="H395" s="826">
        <v>282033.68</v>
      </c>
      <c r="I395" s="465">
        <v>405.12</v>
      </c>
      <c r="J395" s="826">
        <v>5714173.2699999996</v>
      </c>
      <c r="K395" s="826">
        <v>16330.86</v>
      </c>
      <c r="L395" s="465"/>
      <c r="M395" s="465"/>
      <c r="N395" s="465"/>
      <c r="O395" s="465"/>
      <c r="P395" s="826">
        <v>5996206.9500000002</v>
      </c>
      <c r="Q395" s="881">
        <v>16735.98</v>
      </c>
      <c r="R395" s="889">
        <v>6108772.3500000006</v>
      </c>
      <c r="S395" s="889">
        <v>16735.98</v>
      </c>
    </row>
    <row r="396" spans="1:19" ht="33.75" x14ac:dyDescent="0.25">
      <c r="A396" s="880">
        <v>2025</v>
      </c>
      <c r="B396" s="816" t="s">
        <v>291</v>
      </c>
      <c r="C396" s="816" t="s">
        <v>1210</v>
      </c>
      <c r="D396" s="816" t="s">
        <v>1243</v>
      </c>
      <c r="E396" s="816" t="s">
        <v>1654</v>
      </c>
      <c r="F396" s="816">
        <v>333951</v>
      </c>
      <c r="G396" s="816">
        <v>0</v>
      </c>
      <c r="H396" s="826">
        <v>5267630.45</v>
      </c>
      <c r="I396" s="465">
        <v>0</v>
      </c>
      <c r="J396" s="465">
        <v>0</v>
      </c>
      <c r="K396" s="465">
        <v>0</v>
      </c>
      <c r="L396" s="465"/>
      <c r="M396" s="465"/>
      <c r="N396" s="465"/>
      <c r="O396" s="465"/>
      <c r="P396" s="826">
        <v>5267630.45</v>
      </c>
      <c r="Q396" s="881">
        <v>0</v>
      </c>
      <c r="R396" s="889">
        <v>5601581.4500000002</v>
      </c>
      <c r="S396" s="889">
        <v>0</v>
      </c>
    </row>
    <row r="397" spans="1:19" ht="22.5" x14ac:dyDescent="0.25">
      <c r="A397" s="880">
        <v>2025</v>
      </c>
      <c r="B397" s="816" t="s">
        <v>293</v>
      </c>
      <c r="C397" s="816" t="s">
        <v>1143</v>
      </c>
      <c r="D397" s="816" t="s">
        <v>1226</v>
      </c>
      <c r="E397" s="816" t="s">
        <v>1655</v>
      </c>
      <c r="F397" s="816">
        <v>94697.919999999998</v>
      </c>
      <c r="G397" s="816">
        <v>0</v>
      </c>
      <c r="H397" s="826">
        <v>30452816.199999999</v>
      </c>
      <c r="I397" s="465"/>
      <c r="J397" s="465"/>
      <c r="K397" s="465"/>
      <c r="L397" s="465"/>
      <c r="M397" s="465"/>
      <c r="N397" s="465"/>
      <c r="O397" s="465"/>
      <c r="P397" s="826">
        <v>30452816.199999999</v>
      </c>
      <c r="Q397" s="881">
        <v>0</v>
      </c>
      <c r="R397" s="889">
        <v>30547514.120000001</v>
      </c>
      <c r="S397" s="889">
        <v>0</v>
      </c>
    </row>
    <row r="398" spans="1:19" ht="22.5" x14ac:dyDescent="0.25">
      <c r="A398" s="880">
        <v>2025</v>
      </c>
      <c r="B398" s="816" t="s">
        <v>293</v>
      </c>
      <c r="C398" s="816" t="s">
        <v>1155</v>
      </c>
      <c r="D398" s="816" t="s">
        <v>1228</v>
      </c>
      <c r="E398" s="816" t="s">
        <v>1656</v>
      </c>
      <c r="F398" s="816">
        <v>1014403.6</v>
      </c>
      <c r="G398" s="816">
        <v>2078.5700000000002</v>
      </c>
      <c r="H398" s="826">
        <v>9776954.7300000004</v>
      </c>
      <c r="I398" s="465">
        <v>14028.29</v>
      </c>
      <c r="J398" s="465">
        <v>105273768.15000001</v>
      </c>
      <c r="K398" s="465">
        <v>252616.15</v>
      </c>
      <c r="L398" s="465">
        <v>2565319.37</v>
      </c>
      <c r="M398" s="465">
        <v>5404.5</v>
      </c>
      <c r="N398" s="465"/>
      <c r="O398" s="465"/>
      <c r="P398" s="826">
        <v>117616042.25</v>
      </c>
      <c r="Q398" s="881">
        <v>272048.94</v>
      </c>
      <c r="R398" s="889">
        <v>118630445.84999999</v>
      </c>
      <c r="S398" s="889">
        <v>274127.51</v>
      </c>
    </row>
    <row r="399" spans="1:19" ht="22.5" x14ac:dyDescent="0.25">
      <c r="A399" s="880">
        <v>2025</v>
      </c>
      <c r="B399" s="816" t="s">
        <v>293</v>
      </c>
      <c r="C399" s="816" t="s">
        <v>1184</v>
      </c>
      <c r="D399" s="816" t="s">
        <v>1184</v>
      </c>
      <c r="E399" s="816" t="s">
        <v>1657</v>
      </c>
      <c r="F399" s="816">
        <v>88496</v>
      </c>
      <c r="G399" s="816">
        <v>0</v>
      </c>
      <c r="H399" s="826">
        <v>94646427.040000007</v>
      </c>
      <c r="I399" s="465"/>
      <c r="J399" s="826"/>
      <c r="K399" s="826"/>
      <c r="L399" s="465"/>
      <c r="M399" s="465"/>
      <c r="N399" s="465"/>
      <c r="O399" s="465"/>
      <c r="P399" s="826">
        <v>94646427.040000007</v>
      </c>
      <c r="Q399" s="881">
        <v>0</v>
      </c>
      <c r="R399" s="889">
        <v>94734923.040000007</v>
      </c>
      <c r="S399" s="889">
        <v>0</v>
      </c>
    </row>
    <row r="400" spans="1:19" ht="22.5" x14ac:dyDescent="0.25">
      <c r="A400" s="880">
        <v>2025</v>
      </c>
      <c r="B400" s="816" t="s">
        <v>293</v>
      </c>
      <c r="C400" s="816" t="s">
        <v>1194</v>
      </c>
      <c r="D400" s="816" t="s">
        <v>1240</v>
      </c>
      <c r="E400" s="816" t="s">
        <v>1658</v>
      </c>
      <c r="F400" s="816">
        <v>37145</v>
      </c>
      <c r="G400" s="816">
        <v>102</v>
      </c>
      <c r="H400" s="826">
        <v>98306.43</v>
      </c>
      <c r="I400" s="465">
        <v>276.02</v>
      </c>
      <c r="J400" s="465"/>
      <c r="K400" s="465"/>
      <c r="L400" s="465"/>
      <c r="M400" s="465"/>
      <c r="N400" s="465"/>
      <c r="O400" s="465"/>
      <c r="P400" s="826">
        <v>98306.43</v>
      </c>
      <c r="Q400" s="881">
        <v>276.02</v>
      </c>
      <c r="R400" s="889">
        <v>135451.43</v>
      </c>
      <c r="S400" s="889">
        <v>378.02</v>
      </c>
    </row>
    <row r="401" spans="1:19" ht="22.5" x14ac:dyDescent="0.25">
      <c r="A401" s="880">
        <v>2025</v>
      </c>
      <c r="B401" s="816" t="s">
        <v>293</v>
      </c>
      <c r="C401" s="816" t="s">
        <v>1200</v>
      </c>
      <c r="D401" s="816" t="s">
        <v>1224</v>
      </c>
      <c r="E401" s="816" t="s">
        <v>1659</v>
      </c>
      <c r="F401" s="816">
        <v>112565.4</v>
      </c>
      <c r="G401" s="816">
        <v>0</v>
      </c>
      <c r="H401" s="826">
        <v>160136.67000000001</v>
      </c>
      <c r="I401" s="465">
        <v>440.16</v>
      </c>
      <c r="J401" s="826">
        <v>702903.75</v>
      </c>
      <c r="K401" s="826">
        <v>1954.32</v>
      </c>
      <c r="L401" s="465"/>
      <c r="M401" s="465"/>
      <c r="N401" s="465"/>
      <c r="O401" s="465"/>
      <c r="P401" s="826">
        <v>863040.42</v>
      </c>
      <c r="Q401" s="881">
        <v>2394.48</v>
      </c>
      <c r="R401" s="889">
        <v>975605.82000000007</v>
      </c>
      <c r="S401" s="889">
        <v>2394.48</v>
      </c>
    </row>
    <row r="402" spans="1:19" ht="33.75" x14ac:dyDescent="0.25">
      <c r="A402" s="880">
        <v>2025</v>
      </c>
      <c r="B402" s="816" t="s">
        <v>293</v>
      </c>
      <c r="C402" s="816" t="s">
        <v>1210</v>
      </c>
      <c r="D402" s="816" t="s">
        <v>1243</v>
      </c>
      <c r="E402" s="816" t="s">
        <v>1660</v>
      </c>
      <c r="F402" s="816">
        <v>333951</v>
      </c>
      <c r="G402" s="816">
        <v>0</v>
      </c>
      <c r="H402" s="826">
        <v>369347.09</v>
      </c>
      <c r="I402" s="826"/>
      <c r="J402" s="826"/>
      <c r="K402" s="826"/>
      <c r="L402" s="826"/>
      <c r="M402" s="826"/>
      <c r="N402" s="826"/>
      <c r="O402" s="826"/>
      <c r="P402" s="826">
        <v>369347.09</v>
      </c>
      <c r="Q402" s="881">
        <v>0</v>
      </c>
      <c r="R402" s="889">
        <v>703298.09000000008</v>
      </c>
      <c r="S402" s="889">
        <v>0</v>
      </c>
    </row>
    <row r="403" spans="1:19" ht="22.5" x14ac:dyDescent="0.25">
      <c r="A403" s="880">
        <v>2025</v>
      </c>
      <c r="B403" s="816" t="s">
        <v>295</v>
      </c>
      <c r="C403" s="816" t="s">
        <v>1143</v>
      </c>
      <c r="D403" s="816" t="s">
        <v>1226</v>
      </c>
      <c r="E403" s="816" t="s">
        <v>1661</v>
      </c>
      <c r="F403" s="816">
        <v>94697.919999999998</v>
      </c>
      <c r="G403" s="816">
        <v>0</v>
      </c>
      <c r="H403" s="826">
        <v>113533883.7</v>
      </c>
      <c r="I403" s="465">
        <v>0</v>
      </c>
      <c r="J403" s="465">
        <v>0</v>
      </c>
      <c r="K403" s="465">
        <v>0</v>
      </c>
      <c r="L403" s="465"/>
      <c r="M403" s="465"/>
      <c r="N403" s="465"/>
      <c r="O403" s="465"/>
      <c r="P403" s="826">
        <v>113533883.7</v>
      </c>
      <c r="Q403" s="881">
        <v>0</v>
      </c>
      <c r="R403" s="889">
        <v>113628581.62</v>
      </c>
      <c r="S403" s="889">
        <v>0</v>
      </c>
    </row>
    <row r="404" spans="1:19" ht="22.5" x14ac:dyDescent="0.25">
      <c r="A404" s="880">
        <v>2025</v>
      </c>
      <c r="B404" s="816" t="s">
        <v>295</v>
      </c>
      <c r="C404" s="816" t="s">
        <v>1155</v>
      </c>
      <c r="D404" s="816" t="s">
        <v>1233</v>
      </c>
      <c r="E404" s="816" t="s">
        <v>1662</v>
      </c>
      <c r="F404" s="816">
        <v>0</v>
      </c>
      <c r="G404" s="816">
        <v>0</v>
      </c>
      <c r="H404" s="826">
        <v>0</v>
      </c>
      <c r="I404" s="465">
        <v>0</v>
      </c>
      <c r="J404" s="826">
        <v>81507756.930000007</v>
      </c>
      <c r="K404" s="826">
        <v>189689.79569999999</v>
      </c>
      <c r="L404" s="465"/>
      <c r="M404" s="465"/>
      <c r="N404" s="465"/>
      <c r="O404" s="465"/>
      <c r="P404" s="826">
        <v>81507756.930000007</v>
      </c>
      <c r="Q404" s="881">
        <v>189689.79569999999</v>
      </c>
      <c r="R404" s="889">
        <v>81507756.930000007</v>
      </c>
      <c r="S404" s="889">
        <v>189689.79569999999</v>
      </c>
    </row>
    <row r="405" spans="1:19" ht="22.5" x14ac:dyDescent="0.25">
      <c r="A405" s="880">
        <v>2025</v>
      </c>
      <c r="B405" s="816" t="s">
        <v>295</v>
      </c>
      <c r="C405" s="816" t="s">
        <v>1155</v>
      </c>
      <c r="D405" s="816" t="s">
        <v>1235</v>
      </c>
      <c r="E405" s="816" t="s">
        <v>1663</v>
      </c>
      <c r="F405" s="816">
        <v>57477609</v>
      </c>
      <c r="G405" s="816">
        <v>172041</v>
      </c>
      <c r="H405" s="826">
        <v>111146545.7</v>
      </c>
      <c r="I405" s="826">
        <v>301740.6972</v>
      </c>
      <c r="J405" s="826">
        <v>168099265.69999999</v>
      </c>
      <c r="K405" s="826">
        <v>449757.3971</v>
      </c>
      <c r="L405" s="465">
        <v>6210989.5599999996</v>
      </c>
      <c r="M405" s="465">
        <v>11717.31</v>
      </c>
      <c r="N405" s="465"/>
      <c r="O405" s="465"/>
      <c r="P405" s="826">
        <v>285456800.95999998</v>
      </c>
      <c r="Q405" s="881">
        <v>763215.40430000005</v>
      </c>
      <c r="R405" s="889">
        <v>342934409.95999998</v>
      </c>
      <c r="S405" s="889">
        <v>935256.40430000005</v>
      </c>
    </row>
    <row r="406" spans="1:19" ht="22.5" x14ac:dyDescent="0.25">
      <c r="A406" s="880">
        <v>2025</v>
      </c>
      <c r="B406" s="816" t="s">
        <v>295</v>
      </c>
      <c r="C406" s="816" t="s">
        <v>1173</v>
      </c>
      <c r="D406" s="816" t="s">
        <v>1237</v>
      </c>
      <c r="E406" s="816" t="s">
        <v>1664</v>
      </c>
      <c r="F406" s="816">
        <v>0</v>
      </c>
      <c r="G406" s="816">
        <v>0</v>
      </c>
      <c r="H406" s="826">
        <v>0</v>
      </c>
      <c r="I406" s="465">
        <v>0</v>
      </c>
      <c r="J406" s="465">
        <v>39718184.520000003</v>
      </c>
      <c r="K406" s="465">
        <v>82733.279999999999</v>
      </c>
      <c r="L406" s="465"/>
      <c r="M406" s="465"/>
      <c r="N406" s="465"/>
      <c r="O406" s="465"/>
      <c r="P406" s="826">
        <v>39718184.520000003</v>
      </c>
      <c r="Q406" s="881">
        <v>82733.279999999999</v>
      </c>
      <c r="R406" s="889">
        <v>39718184.520000003</v>
      </c>
      <c r="S406" s="889">
        <v>82733.279999999999</v>
      </c>
    </row>
    <row r="407" spans="1:19" ht="22.5" x14ac:dyDescent="0.25">
      <c r="A407" s="880">
        <v>2025</v>
      </c>
      <c r="B407" s="816" t="s">
        <v>295</v>
      </c>
      <c r="C407" s="816" t="s">
        <v>1184</v>
      </c>
      <c r="D407" s="816" t="s">
        <v>1184</v>
      </c>
      <c r="E407" s="816" t="s">
        <v>1665</v>
      </c>
      <c r="F407" s="816">
        <v>88496</v>
      </c>
      <c r="G407" s="816">
        <v>0</v>
      </c>
      <c r="H407" s="826">
        <v>516963231.80000001</v>
      </c>
      <c r="I407" s="465">
        <v>0</v>
      </c>
      <c r="J407" s="465">
        <v>0</v>
      </c>
      <c r="K407" s="465">
        <v>0</v>
      </c>
      <c r="L407" s="465"/>
      <c r="M407" s="465"/>
      <c r="N407" s="465"/>
      <c r="O407" s="465"/>
      <c r="P407" s="826">
        <v>516963231.80000001</v>
      </c>
      <c r="Q407" s="881">
        <v>0</v>
      </c>
      <c r="R407" s="889">
        <v>517051727.80000001</v>
      </c>
      <c r="S407" s="889">
        <v>0</v>
      </c>
    </row>
    <row r="408" spans="1:19" ht="22.5" x14ac:dyDescent="0.25">
      <c r="A408" s="880">
        <v>2025</v>
      </c>
      <c r="B408" s="816" t="s">
        <v>295</v>
      </c>
      <c r="C408" s="816" t="s">
        <v>1194</v>
      </c>
      <c r="D408" s="816" t="s">
        <v>1240</v>
      </c>
      <c r="E408" s="816" t="s">
        <v>1666</v>
      </c>
      <c r="F408" s="816">
        <v>37145</v>
      </c>
      <c r="G408" s="816">
        <v>102</v>
      </c>
      <c r="H408" s="826">
        <v>22593</v>
      </c>
      <c r="I408" s="826">
        <v>75</v>
      </c>
      <c r="J408" s="826">
        <v>0</v>
      </c>
      <c r="K408" s="826">
        <v>0</v>
      </c>
      <c r="L408" s="826"/>
      <c r="M408" s="826"/>
      <c r="N408" s="826"/>
      <c r="O408" s="826"/>
      <c r="P408" s="826">
        <v>22593</v>
      </c>
      <c r="Q408" s="881">
        <v>75</v>
      </c>
      <c r="R408" s="889">
        <v>59738</v>
      </c>
      <c r="S408" s="889">
        <v>177</v>
      </c>
    </row>
    <row r="409" spans="1:19" ht="22.5" x14ac:dyDescent="0.25">
      <c r="A409" s="880">
        <v>2025</v>
      </c>
      <c r="B409" s="816" t="s">
        <v>295</v>
      </c>
      <c r="C409" s="816" t="s">
        <v>1200</v>
      </c>
      <c r="D409" s="816" t="s">
        <v>1224</v>
      </c>
      <c r="E409" s="816" t="s">
        <v>1667</v>
      </c>
      <c r="F409" s="816">
        <v>112565.4</v>
      </c>
      <c r="G409" s="816">
        <v>0</v>
      </c>
      <c r="H409" s="826">
        <v>0</v>
      </c>
      <c r="I409" s="465">
        <v>0</v>
      </c>
      <c r="J409" s="465">
        <v>4498709.7699999996</v>
      </c>
      <c r="K409" s="465">
        <v>12749.94</v>
      </c>
      <c r="L409" s="465"/>
      <c r="M409" s="465"/>
      <c r="N409" s="465"/>
      <c r="O409" s="465"/>
      <c r="P409" s="826">
        <v>4498709.7699999996</v>
      </c>
      <c r="Q409" s="881">
        <v>12749.94</v>
      </c>
      <c r="R409" s="889">
        <v>4611275.17</v>
      </c>
      <c r="S409" s="889">
        <v>12749.94</v>
      </c>
    </row>
    <row r="410" spans="1:19" ht="33.75" x14ac:dyDescent="0.25">
      <c r="A410" s="880">
        <v>2025</v>
      </c>
      <c r="B410" s="816" t="s">
        <v>295</v>
      </c>
      <c r="C410" s="816" t="s">
        <v>1210</v>
      </c>
      <c r="D410" s="816" t="s">
        <v>1243</v>
      </c>
      <c r="E410" s="816" t="s">
        <v>1668</v>
      </c>
      <c r="F410" s="816">
        <v>333951</v>
      </c>
      <c r="G410" s="816">
        <v>0</v>
      </c>
      <c r="H410" s="826">
        <v>2859026</v>
      </c>
      <c r="I410" s="826">
        <v>0</v>
      </c>
      <c r="J410" s="465">
        <v>0</v>
      </c>
      <c r="K410" s="465">
        <v>0</v>
      </c>
      <c r="L410" s="465"/>
      <c r="M410" s="465"/>
      <c r="N410" s="465"/>
      <c r="O410" s="465"/>
      <c r="P410" s="826">
        <v>2859026</v>
      </c>
      <c r="Q410" s="881">
        <v>0</v>
      </c>
      <c r="R410" s="889">
        <v>3192977</v>
      </c>
      <c r="S410" s="889">
        <v>0</v>
      </c>
    </row>
    <row r="411" spans="1:19" ht="22.5" x14ac:dyDescent="0.25">
      <c r="A411" s="880">
        <v>2025</v>
      </c>
      <c r="B411" s="816" t="s">
        <v>297</v>
      </c>
      <c r="C411" s="816" t="s">
        <v>1143</v>
      </c>
      <c r="D411" s="816" t="s">
        <v>1226</v>
      </c>
      <c r="E411" s="816" t="s">
        <v>1669</v>
      </c>
      <c r="F411" s="816">
        <v>94697.919999999998</v>
      </c>
      <c r="G411" s="816">
        <v>0</v>
      </c>
      <c r="H411" s="826">
        <v>23741821</v>
      </c>
      <c r="I411" s="826"/>
      <c r="J411" s="826"/>
      <c r="K411" s="826"/>
      <c r="L411" s="465"/>
      <c r="M411" s="465"/>
      <c r="N411" s="465"/>
      <c r="O411" s="465"/>
      <c r="P411" s="826">
        <v>23741821</v>
      </c>
      <c r="Q411" s="881">
        <v>0</v>
      </c>
      <c r="R411" s="889">
        <v>23836518.920000002</v>
      </c>
      <c r="S411" s="889">
        <v>0</v>
      </c>
    </row>
    <row r="412" spans="1:19" ht="22.5" x14ac:dyDescent="0.25">
      <c r="A412" s="880">
        <v>2025</v>
      </c>
      <c r="B412" s="816" t="s">
        <v>297</v>
      </c>
      <c r="C412" s="816" t="s">
        <v>1155</v>
      </c>
      <c r="D412" s="816" t="s">
        <v>1228</v>
      </c>
      <c r="E412" s="816" t="s">
        <v>1670</v>
      </c>
      <c r="F412" s="816">
        <v>1014403.6</v>
      </c>
      <c r="G412" s="816">
        <v>2078.5700000000002</v>
      </c>
      <c r="H412" s="826">
        <v>7244080</v>
      </c>
      <c r="I412" s="465">
        <v>18348.82</v>
      </c>
      <c r="J412" s="465">
        <v>39208762</v>
      </c>
      <c r="K412" s="465">
        <v>137932.89000000001</v>
      </c>
      <c r="L412" s="465"/>
      <c r="M412" s="465"/>
      <c r="N412" s="465"/>
      <c r="O412" s="465"/>
      <c r="P412" s="826">
        <v>46452842</v>
      </c>
      <c r="Q412" s="881">
        <v>156281.71</v>
      </c>
      <c r="R412" s="889">
        <v>47467245.600000001</v>
      </c>
      <c r="S412" s="889">
        <v>158360.28</v>
      </c>
    </row>
    <row r="413" spans="1:19" ht="22.5" x14ac:dyDescent="0.25">
      <c r="A413" s="880">
        <v>2025</v>
      </c>
      <c r="B413" s="816" t="s">
        <v>297</v>
      </c>
      <c r="C413" s="816" t="s">
        <v>1184</v>
      </c>
      <c r="D413" s="816" t="s">
        <v>1184</v>
      </c>
      <c r="E413" s="816" t="s">
        <v>1671</v>
      </c>
      <c r="F413" s="816">
        <v>88496</v>
      </c>
      <c r="G413" s="816">
        <v>0</v>
      </c>
      <c r="H413" s="826">
        <v>85899365</v>
      </c>
      <c r="I413" s="465"/>
      <c r="J413" s="465"/>
      <c r="K413" s="465"/>
      <c r="L413" s="465"/>
      <c r="M413" s="465"/>
      <c r="N413" s="465"/>
      <c r="O413" s="465"/>
      <c r="P413" s="826">
        <v>85899365</v>
      </c>
      <c r="Q413" s="881">
        <v>0</v>
      </c>
      <c r="R413" s="889">
        <v>85987861</v>
      </c>
      <c r="S413" s="889">
        <v>0</v>
      </c>
    </row>
    <row r="414" spans="1:19" ht="22.5" x14ac:dyDescent="0.25">
      <c r="A414" s="880">
        <v>2025</v>
      </c>
      <c r="B414" s="816" t="s">
        <v>297</v>
      </c>
      <c r="C414" s="816" t="s">
        <v>1194</v>
      </c>
      <c r="D414" s="816" t="s">
        <v>1240</v>
      </c>
      <c r="E414" s="816" t="s">
        <v>1672</v>
      </c>
      <c r="F414" s="816">
        <v>37145</v>
      </c>
      <c r="G414" s="816">
        <v>102</v>
      </c>
      <c r="H414" s="826">
        <v>143238</v>
      </c>
      <c r="I414" s="465">
        <v>429.04</v>
      </c>
      <c r="J414" s="826"/>
      <c r="K414" s="826"/>
      <c r="L414" s="465"/>
      <c r="M414" s="465"/>
      <c r="N414" s="465"/>
      <c r="O414" s="465"/>
      <c r="P414" s="826">
        <v>143238</v>
      </c>
      <c r="Q414" s="881">
        <v>429.04</v>
      </c>
      <c r="R414" s="889">
        <v>180383</v>
      </c>
      <c r="S414" s="889">
        <v>531.04</v>
      </c>
    </row>
    <row r="415" spans="1:19" ht="22.5" x14ac:dyDescent="0.25">
      <c r="A415" s="880">
        <v>2025</v>
      </c>
      <c r="B415" s="816" t="s">
        <v>297</v>
      </c>
      <c r="C415" s="816" t="s">
        <v>1200</v>
      </c>
      <c r="D415" s="816" t="s">
        <v>1224</v>
      </c>
      <c r="E415" s="816" t="s">
        <v>1673</v>
      </c>
      <c r="F415" s="816">
        <v>112565.4</v>
      </c>
      <c r="G415" s="816">
        <v>0</v>
      </c>
      <c r="H415" s="826">
        <v>57833</v>
      </c>
      <c r="I415" s="826">
        <v>147.11000000000001</v>
      </c>
      <c r="J415" s="826">
        <v>738151</v>
      </c>
      <c r="K415" s="826">
        <v>2099.16</v>
      </c>
      <c r="L415" s="826"/>
      <c r="M415" s="826"/>
      <c r="N415" s="826"/>
      <c r="O415" s="826"/>
      <c r="P415" s="826">
        <v>795984</v>
      </c>
      <c r="Q415" s="881">
        <v>2246.27</v>
      </c>
      <c r="R415" s="889">
        <v>908549.4</v>
      </c>
      <c r="S415" s="889">
        <v>2246.27</v>
      </c>
    </row>
    <row r="416" spans="1:19" ht="33.75" x14ac:dyDescent="0.25">
      <c r="A416" s="880">
        <v>2025</v>
      </c>
      <c r="B416" s="816" t="s">
        <v>297</v>
      </c>
      <c r="C416" s="816" t="s">
        <v>1210</v>
      </c>
      <c r="D416" s="816" t="s">
        <v>1243</v>
      </c>
      <c r="E416" s="816" t="s">
        <v>1674</v>
      </c>
      <c r="F416" s="816">
        <v>333951</v>
      </c>
      <c r="G416" s="816">
        <v>0</v>
      </c>
      <c r="H416" s="826">
        <v>182819</v>
      </c>
      <c r="I416" s="465"/>
      <c r="J416" s="826"/>
      <c r="K416" s="826"/>
      <c r="L416" s="465"/>
      <c r="M416" s="465"/>
      <c r="N416" s="465"/>
      <c r="O416" s="465"/>
      <c r="P416" s="826">
        <v>182819</v>
      </c>
      <c r="Q416" s="881">
        <v>0</v>
      </c>
      <c r="R416" s="889">
        <v>516770</v>
      </c>
      <c r="S416" s="889">
        <v>0</v>
      </c>
    </row>
    <row r="417" spans="1:19" ht="22.5" x14ac:dyDescent="0.25">
      <c r="A417" s="880">
        <v>2025</v>
      </c>
      <c r="B417" s="816" t="s">
        <v>299</v>
      </c>
      <c r="C417" s="816" t="s">
        <v>1143</v>
      </c>
      <c r="D417" s="816" t="s">
        <v>1226</v>
      </c>
      <c r="E417" s="816" t="s">
        <v>1675</v>
      </c>
      <c r="F417" s="816">
        <v>94697.919999999998</v>
      </c>
      <c r="G417" s="816">
        <v>0</v>
      </c>
      <c r="H417" s="826">
        <v>79864887.890000001</v>
      </c>
      <c r="I417" s="465">
        <v>0</v>
      </c>
      <c r="J417" s="465">
        <v>1585493.09</v>
      </c>
      <c r="K417" s="465">
        <v>0</v>
      </c>
      <c r="L417" s="465"/>
      <c r="M417" s="465"/>
      <c r="N417" s="465"/>
      <c r="O417" s="465"/>
      <c r="P417" s="826">
        <v>81450380.980000004</v>
      </c>
      <c r="Q417" s="881">
        <v>0</v>
      </c>
      <c r="R417" s="889">
        <v>81545078.900000006</v>
      </c>
      <c r="S417" s="889">
        <v>0</v>
      </c>
    </row>
    <row r="418" spans="1:19" ht="22.5" x14ac:dyDescent="0.25">
      <c r="A418" s="880">
        <v>2025</v>
      </c>
      <c r="B418" s="816" t="s">
        <v>299</v>
      </c>
      <c r="C418" s="816" t="s">
        <v>1155</v>
      </c>
      <c r="D418" s="816" t="s">
        <v>1228</v>
      </c>
      <c r="E418" s="816" t="s">
        <v>1676</v>
      </c>
      <c r="F418" s="816">
        <v>1014403.6</v>
      </c>
      <c r="G418" s="816">
        <v>2078.5700000000002</v>
      </c>
      <c r="H418" s="826">
        <v>36987427.990000002</v>
      </c>
      <c r="I418" s="826">
        <v>105870.38</v>
      </c>
      <c r="J418" s="465">
        <v>140461034.03</v>
      </c>
      <c r="K418" s="465">
        <v>331789.19</v>
      </c>
      <c r="L418" s="465"/>
      <c r="M418" s="465"/>
      <c r="N418" s="465"/>
      <c r="O418" s="465"/>
      <c r="P418" s="826">
        <v>177448462.02000001</v>
      </c>
      <c r="Q418" s="881">
        <v>437659.57</v>
      </c>
      <c r="R418" s="889">
        <v>178462865.62</v>
      </c>
      <c r="S418" s="889">
        <v>439738.14</v>
      </c>
    </row>
    <row r="419" spans="1:19" ht="22.5" x14ac:dyDescent="0.25">
      <c r="A419" s="880">
        <v>2025</v>
      </c>
      <c r="B419" s="816" t="s">
        <v>299</v>
      </c>
      <c r="C419" s="816" t="s">
        <v>1184</v>
      </c>
      <c r="D419" s="816" t="s">
        <v>1184</v>
      </c>
      <c r="E419" s="816" t="s">
        <v>1677</v>
      </c>
      <c r="F419" s="816">
        <v>88496</v>
      </c>
      <c r="G419" s="816">
        <v>0</v>
      </c>
      <c r="H419" s="826">
        <v>277711716.23000002</v>
      </c>
      <c r="I419" s="465">
        <v>0</v>
      </c>
      <c r="J419" s="826">
        <v>5191652.47</v>
      </c>
      <c r="K419" s="826">
        <v>0</v>
      </c>
      <c r="L419" s="465"/>
      <c r="M419" s="465"/>
      <c r="N419" s="465"/>
      <c r="O419" s="465"/>
      <c r="P419" s="826">
        <v>282903368.69999999</v>
      </c>
      <c r="Q419" s="881">
        <v>0</v>
      </c>
      <c r="R419" s="889">
        <v>282991864.69999999</v>
      </c>
      <c r="S419" s="889">
        <v>0</v>
      </c>
    </row>
    <row r="420" spans="1:19" ht="22.5" x14ac:dyDescent="0.25">
      <c r="A420" s="880">
        <v>2025</v>
      </c>
      <c r="B420" s="816" t="s">
        <v>299</v>
      </c>
      <c r="C420" s="816" t="s">
        <v>1194</v>
      </c>
      <c r="D420" s="816" t="s">
        <v>1240</v>
      </c>
      <c r="E420" s="816" t="s">
        <v>1678</v>
      </c>
      <c r="F420" s="816">
        <v>37145</v>
      </c>
      <c r="G420" s="816">
        <v>102</v>
      </c>
      <c r="H420" s="826">
        <v>202156.09</v>
      </c>
      <c r="I420" s="465">
        <v>591.51</v>
      </c>
      <c r="J420" s="465">
        <v>0</v>
      </c>
      <c r="K420" s="465">
        <v>0</v>
      </c>
      <c r="L420" s="465"/>
      <c r="M420" s="465"/>
      <c r="N420" s="465"/>
      <c r="O420" s="465"/>
      <c r="P420" s="826">
        <v>202156.09</v>
      </c>
      <c r="Q420" s="881">
        <v>591.51</v>
      </c>
      <c r="R420" s="889">
        <v>239301.09</v>
      </c>
      <c r="S420" s="889">
        <v>693.51</v>
      </c>
    </row>
    <row r="421" spans="1:19" ht="22.5" x14ac:dyDescent="0.25">
      <c r="A421" s="880">
        <v>2025</v>
      </c>
      <c r="B421" s="816" t="s">
        <v>299</v>
      </c>
      <c r="C421" s="816" t="s">
        <v>1200</v>
      </c>
      <c r="D421" s="816" t="s">
        <v>1224</v>
      </c>
      <c r="E421" s="816" t="s">
        <v>1679</v>
      </c>
      <c r="F421" s="816">
        <v>112565.4</v>
      </c>
      <c r="G421" s="816">
        <v>0</v>
      </c>
      <c r="H421" s="826">
        <v>135646.28</v>
      </c>
      <c r="I421" s="465">
        <v>378.67</v>
      </c>
      <c r="J421" s="465">
        <v>2492840.65</v>
      </c>
      <c r="K421" s="465">
        <v>6958.36</v>
      </c>
      <c r="L421" s="465"/>
      <c r="M421" s="465"/>
      <c r="N421" s="465"/>
      <c r="O421" s="465"/>
      <c r="P421" s="826">
        <v>2628486.9300000002</v>
      </c>
      <c r="Q421" s="881">
        <v>7337.03</v>
      </c>
      <c r="R421" s="889">
        <v>2741052.33</v>
      </c>
      <c r="S421" s="889">
        <v>7337.03</v>
      </c>
    </row>
    <row r="422" spans="1:19" ht="33.75" x14ac:dyDescent="0.25">
      <c r="A422" s="880">
        <v>2025</v>
      </c>
      <c r="B422" s="816" t="s">
        <v>299</v>
      </c>
      <c r="C422" s="816" t="s">
        <v>1210</v>
      </c>
      <c r="D422" s="816" t="s">
        <v>1243</v>
      </c>
      <c r="E422" s="816" t="s">
        <v>1680</v>
      </c>
      <c r="F422" s="816">
        <v>333951</v>
      </c>
      <c r="G422" s="816">
        <v>0</v>
      </c>
      <c r="H422" s="826">
        <v>903348.48</v>
      </c>
      <c r="I422" s="826">
        <v>0</v>
      </c>
      <c r="J422" s="826">
        <v>0</v>
      </c>
      <c r="K422" s="826">
        <v>0</v>
      </c>
      <c r="L422" s="465"/>
      <c r="M422" s="465"/>
      <c r="N422" s="465"/>
      <c r="O422" s="465"/>
      <c r="P422" s="826">
        <v>903348.48</v>
      </c>
      <c r="Q422" s="881">
        <v>0</v>
      </c>
      <c r="R422" s="889">
        <v>1237299.48</v>
      </c>
      <c r="S422" s="889">
        <v>0</v>
      </c>
    </row>
    <row r="423" spans="1:19" ht="22.5" x14ac:dyDescent="0.25">
      <c r="A423" s="880">
        <v>2025</v>
      </c>
      <c r="B423" s="816" t="s">
        <v>301</v>
      </c>
      <c r="C423" s="816" t="s">
        <v>1143</v>
      </c>
      <c r="D423" s="816" t="s">
        <v>1226</v>
      </c>
      <c r="E423" s="816" t="s">
        <v>1681</v>
      </c>
      <c r="F423" s="816">
        <v>94697.919999999998</v>
      </c>
      <c r="G423" s="816">
        <v>0</v>
      </c>
      <c r="H423" s="826">
        <v>9165600</v>
      </c>
      <c r="I423" s="465"/>
      <c r="J423" s="465"/>
      <c r="K423" s="465"/>
      <c r="L423" s="465"/>
      <c r="M423" s="465"/>
      <c r="N423" s="465"/>
      <c r="O423" s="465"/>
      <c r="P423" s="826">
        <v>9165600</v>
      </c>
      <c r="Q423" s="881">
        <v>0</v>
      </c>
      <c r="R423" s="889">
        <v>9260297.9199999999</v>
      </c>
      <c r="S423" s="889">
        <v>0</v>
      </c>
    </row>
    <row r="424" spans="1:19" ht="22.5" x14ac:dyDescent="0.25">
      <c r="A424" s="880">
        <v>2025</v>
      </c>
      <c r="B424" s="816" t="s">
        <v>301</v>
      </c>
      <c r="C424" s="816" t="s">
        <v>1155</v>
      </c>
      <c r="D424" s="816" t="s">
        <v>1228</v>
      </c>
      <c r="E424" s="816" t="s">
        <v>1682</v>
      </c>
      <c r="F424" s="816">
        <v>1014403.6</v>
      </c>
      <c r="G424" s="816">
        <v>2078.5700000000002</v>
      </c>
      <c r="H424" s="826">
        <v>5211323</v>
      </c>
      <c r="I424" s="826"/>
      <c r="J424" s="465">
        <v>33758011</v>
      </c>
      <c r="K424" s="465">
        <v>93561</v>
      </c>
      <c r="L424" s="465"/>
      <c r="M424" s="465"/>
      <c r="N424" s="465"/>
      <c r="O424" s="465"/>
      <c r="P424" s="826">
        <v>38969334</v>
      </c>
      <c r="Q424" s="881">
        <v>93561</v>
      </c>
      <c r="R424" s="889">
        <v>39983737.600000001</v>
      </c>
      <c r="S424" s="889">
        <v>95639.57</v>
      </c>
    </row>
    <row r="425" spans="1:19" ht="22.5" x14ac:dyDescent="0.25">
      <c r="A425" s="880">
        <v>2025</v>
      </c>
      <c r="B425" s="816" t="s">
        <v>301</v>
      </c>
      <c r="C425" s="816" t="s">
        <v>1184</v>
      </c>
      <c r="D425" s="816" t="s">
        <v>1184</v>
      </c>
      <c r="E425" s="816" t="s">
        <v>1683</v>
      </c>
      <c r="F425" s="816">
        <v>88496</v>
      </c>
      <c r="G425" s="816">
        <v>0</v>
      </c>
      <c r="H425" s="826">
        <v>30570351</v>
      </c>
      <c r="I425" s="826"/>
      <c r="J425" s="826"/>
      <c r="K425" s="826"/>
      <c r="L425" s="465"/>
      <c r="M425" s="465"/>
      <c r="N425" s="465"/>
      <c r="O425" s="465"/>
      <c r="P425" s="826">
        <v>30570351</v>
      </c>
      <c r="Q425" s="881">
        <v>0</v>
      </c>
      <c r="R425" s="889">
        <v>30658847</v>
      </c>
      <c r="S425" s="889">
        <v>0</v>
      </c>
    </row>
    <row r="426" spans="1:19" ht="22.5" x14ac:dyDescent="0.25">
      <c r="A426" s="880">
        <v>2025</v>
      </c>
      <c r="B426" s="816" t="s">
        <v>301</v>
      </c>
      <c r="C426" s="816" t="s">
        <v>1200</v>
      </c>
      <c r="D426" s="816" t="s">
        <v>1224</v>
      </c>
      <c r="E426" s="816" t="s">
        <v>1684</v>
      </c>
      <c r="F426" s="816">
        <v>112565.4</v>
      </c>
      <c r="G426" s="816">
        <v>0</v>
      </c>
      <c r="H426" s="826">
        <v>0</v>
      </c>
      <c r="I426" s="465"/>
      <c r="J426" s="465">
        <v>389921</v>
      </c>
      <c r="K426" s="465">
        <v>1078</v>
      </c>
      <c r="L426" s="465"/>
      <c r="M426" s="465"/>
      <c r="N426" s="465"/>
      <c r="O426" s="465"/>
      <c r="P426" s="826">
        <v>389921</v>
      </c>
      <c r="Q426" s="881">
        <v>1078</v>
      </c>
      <c r="R426" s="889">
        <v>502486.4</v>
      </c>
      <c r="S426" s="889">
        <v>1078</v>
      </c>
    </row>
    <row r="427" spans="1:19" ht="33.75" x14ac:dyDescent="0.25">
      <c r="A427" s="880">
        <v>2025</v>
      </c>
      <c r="B427" s="816" t="s">
        <v>301</v>
      </c>
      <c r="C427" s="816" t="s">
        <v>1210</v>
      </c>
      <c r="D427" s="816" t="s">
        <v>1243</v>
      </c>
      <c r="E427" s="816" t="s">
        <v>1685</v>
      </c>
      <c r="F427" s="816">
        <v>333951</v>
      </c>
      <c r="G427" s="816">
        <v>0</v>
      </c>
      <c r="H427" s="826">
        <v>0</v>
      </c>
      <c r="I427" s="465"/>
      <c r="J427" s="826">
        <v>271724</v>
      </c>
      <c r="K427" s="465"/>
      <c r="L427" s="465"/>
      <c r="M427" s="465"/>
      <c r="N427" s="465"/>
      <c r="O427" s="465"/>
      <c r="P427" s="826">
        <v>271724</v>
      </c>
      <c r="Q427" s="881">
        <v>0</v>
      </c>
      <c r="R427" s="889">
        <v>605675</v>
      </c>
      <c r="S427" s="889">
        <v>0</v>
      </c>
    </row>
    <row r="428" spans="1:19" ht="22.5" x14ac:dyDescent="0.25">
      <c r="A428" s="880">
        <v>2025</v>
      </c>
      <c r="B428" s="816" t="s">
        <v>303</v>
      </c>
      <c r="C428" s="816" t="s">
        <v>1143</v>
      </c>
      <c r="D428" s="816" t="s">
        <v>1226</v>
      </c>
      <c r="E428" s="816" t="s">
        <v>1686</v>
      </c>
      <c r="F428" s="816">
        <v>94697.919999999998</v>
      </c>
      <c r="G428" s="816">
        <v>0</v>
      </c>
      <c r="H428" s="826">
        <v>17020078.210000001</v>
      </c>
      <c r="I428" s="826"/>
      <c r="J428" s="826"/>
      <c r="K428" s="826"/>
      <c r="L428" s="465"/>
      <c r="M428" s="465"/>
      <c r="N428" s="465"/>
      <c r="O428" s="465"/>
      <c r="P428" s="826">
        <v>17020078.210000001</v>
      </c>
      <c r="Q428" s="881">
        <v>0</v>
      </c>
      <c r="R428" s="889">
        <v>17114776.130000003</v>
      </c>
      <c r="S428" s="889">
        <v>0</v>
      </c>
    </row>
    <row r="429" spans="1:19" ht="22.5" x14ac:dyDescent="0.25">
      <c r="A429" s="880">
        <v>2025</v>
      </c>
      <c r="B429" s="816" t="s">
        <v>303</v>
      </c>
      <c r="C429" s="816" t="s">
        <v>1155</v>
      </c>
      <c r="D429" s="816" t="s">
        <v>1228</v>
      </c>
      <c r="E429" s="816" t="s">
        <v>1687</v>
      </c>
      <c r="F429" s="816">
        <v>1014403.6</v>
      </c>
      <c r="G429" s="816">
        <v>2078.5700000000002</v>
      </c>
      <c r="H429" s="826">
        <v>2293200</v>
      </c>
      <c r="I429" s="465">
        <v>6107</v>
      </c>
      <c r="J429" s="826">
        <v>30642207.609999999</v>
      </c>
      <c r="K429" s="465">
        <v>88963.27</v>
      </c>
      <c r="L429" s="465"/>
      <c r="M429" s="465"/>
      <c r="N429" s="465"/>
      <c r="O429" s="465"/>
      <c r="P429" s="826">
        <v>32935407.609999999</v>
      </c>
      <c r="Q429" s="881">
        <v>95070.27</v>
      </c>
      <c r="R429" s="889">
        <v>33949811.210000001</v>
      </c>
      <c r="S429" s="889">
        <v>97148.840000000011</v>
      </c>
    </row>
    <row r="430" spans="1:19" ht="22.5" x14ac:dyDescent="0.25">
      <c r="A430" s="880">
        <v>2025</v>
      </c>
      <c r="B430" s="816" t="s">
        <v>303</v>
      </c>
      <c r="C430" s="816" t="s">
        <v>1184</v>
      </c>
      <c r="D430" s="816" t="s">
        <v>1184</v>
      </c>
      <c r="E430" s="816" t="s">
        <v>1688</v>
      </c>
      <c r="F430" s="816">
        <v>88496</v>
      </c>
      <c r="G430" s="816">
        <v>0</v>
      </c>
      <c r="H430" s="826">
        <v>43421677.939999998</v>
      </c>
      <c r="I430" s="826"/>
      <c r="J430" s="465"/>
      <c r="K430" s="465"/>
      <c r="L430" s="465"/>
      <c r="M430" s="465"/>
      <c r="N430" s="465"/>
      <c r="O430" s="465"/>
      <c r="P430" s="826">
        <v>43421677.939999998</v>
      </c>
      <c r="Q430" s="881">
        <v>0</v>
      </c>
      <c r="R430" s="889">
        <v>43510173.939999998</v>
      </c>
      <c r="S430" s="889">
        <v>0</v>
      </c>
    </row>
    <row r="431" spans="1:19" ht="22.5" x14ac:dyDescent="0.25">
      <c r="A431" s="880">
        <v>2025</v>
      </c>
      <c r="B431" s="816" t="s">
        <v>303</v>
      </c>
      <c r="C431" s="816" t="s">
        <v>1194</v>
      </c>
      <c r="D431" s="816" t="s">
        <v>1240</v>
      </c>
      <c r="E431" s="816" t="s">
        <v>1689</v>
      </c>
      <c r="F431" s="816">
        <v>37145</v>
      </c>
      <c r="G431" s="816">
        <v>102</v>
      </c>
      <c r="H431" s="826">
        <v>86381.41</v>
      </c>
      <c r="I431" s="826">
        <v>240.54</v>
      </c>
      <c r="J431" s="826"/>
      <c r="K431" s="826"/>
      <c r="L431" s="465"/>
      <c r="M431" s="465"/>
      <c r="N431" s="465"/>
      <c r="O431" s="465"/>
      <c r="P431" s="826">
        <v>86381.41</v>
      </c>
      <c r="Q431" s="881">
        <v>240.54</v>
      </c>
      <c r="R431" s="889">
        <v>123526.41</v>
      </c>
      <c r="S431" s="889">
        <v>342.53999999999996</v>
      </c>
    </row>
    <row r="432" spans="1:19" ht="22.5" x14ac:dyDescent="0.25">
      <c r="A432" s="880">
        <v>2025</v>
      </c>
      <c r="B432" s="816" t="s">
        <v>303</v>
      </c>
      <c r="C432" s="816" t="s">
        <v>1200</v>
      </c>
      <c r="D432" s="816" t="s">
        <v>1224</v>
      </c>
      <c r="E432" s="816" t="s">
        <v>1690</v>
      </c>
      <c r="F432" s="816">
        <v>112565.4</v>
      </c>
      <c r="G432" s="816">
        <v>0</v>
      </c>
      <c r="H432" s="826">
        <v>81872</v>
      </c>
      <c r="I432" s="465">
        <v>253.6</v>
      </c>
      <c r="J432" s="465">
        <v>492090.72</v>
      </c>
      <c r="K432" s="465">
        <v>1331.4</v>
      </c>
      <c r="L432" s="465"/>
      <c r="M432" s="465"/>
      <c r="N432" s="465"/>
      <c r="O432" s="465"/>
      <c r="P432" s="826">
        <v>573962.72</v>
      </c>
      <c r="Q432" s="881">
        <v>1585</v>
      </c>
      <c r="R432" s="889">
        <v>686528.12</v>
      </c>
      <c r="S432" s="889">
        <v>1585</v>
      </c>
    </row>
    <row r="433" spans="1:19" ht="33.75" x14ac:dyDescent="0.25">
      <c r="A433" s="880">
        <v>2025</v>
      </c>
      <c r="B433" s="816" t="s">
        <v>303</v>
      </c>
      <c r="C433" s="816" t="s">
        <v>1210</v>
      </c>
      <c r="D433" s="816" t="s">
        <v>1243</v>
      </c>
      <c r="E433" s="816" t="s">
        <v>1691</v>
      </c>
      <c r="F433" s="816">
        <v>333951</v>
      </c>
      <c r="G433" s="816">
        <v>0</v>
      </c>
      <c r="H433" s="826">
        <v>521087.71</v>
      </c>
      <c r="I433" s="826"/>
      <c r="J433" s="826"/>
      <c r="K433" s="826"/>
      <c r="L433" s="826"/>
      <c r="M433" s="826"/>
      <c r="N433" s="826"/>
      <c r="O433" s="826"/>
      <c r="P433" s="826">
        <v>521087.71</v>
      </c>
      <c r="Q433" s="881">
        <v>0</v>
      </c>
      <c r="R433" s="889">
        <v>855038.71</v>
      </c>
      <c r="S433" s="889">
        <v>0</v>
      </c>
    </row>
    <row r="434" spans="1:19" ht="22.5" x14ac:dyDescent="0.25">
      <c r="A434" s="880">
        <v>2025</v>
      </c>
      <c r="B434" s="816" t="s">
        <v>305</v>
      </c>
      <c r="C434" s="816" t="s">
        <v>1143</v>
      </c>
      <c r="D434" s="816" t="s">
        <v>1226</v>
      </c>
      <c r="E434" s="816" t="s">
        <v>1692</v>
      </c>
      <c r="F434" s="816">
        <v>94697.919999999998</v>
      </c>
      <c r="G434" s="816">
        <v>0</v>
      </c>
      <c r="H434" s="826">
        <v>14745744.82</v>
      </c>
      <c r="I434" s="826"/>
      <c r="J434" s="826"/>
      <c r="K434" s="826"/>
      <c r="L434" s="826"/>
      <c r="M434" s="826"/>
      <c r="N434" s="826"/>
      <c r="O434" s="826"/>
      <c r="P434" s="826">
        <v>14745744.82</v>
      </c>
      <c r="Q434" s="881">
        <v>0</v>
      </c>
      <c r="R434" s="889">
        <v>14840442.74</v>
      </c>
      <c r="S434" s="889">
        <v>0</v>
      </c>
    </row>
    <row r="435" spans="1:19" ht="22.5" x14ac:dyDescent="0.25">
      <c r="A435" s="880">
        <v>2025</v>
      </c>
      <c r="B435" s="816" t="s">
        <v>305</v>
      </c>
      <c r="C435" s="816" t="s">
        <v>1155</v>
      </c>
      <c r="D435" s="816" t="s">
        <v>1228</v>
      </c>
      <c r="E435" s="816" t="s">
        <v>1693</v>
      </c>
      <c r="F435" s="816">
        <v>1014403.6</v>
      </c>
      <c r="G435" s="816">
        <v>2078.5700000000002</v>
      </c>
      <c r="H435" s="826">
        <v>1537190.46</v>
      </c>
      <c r="I435" s="826">
        <v>5550.94</v>
      </c>
      <c r="J435" s="826">
        <v>23168935.800000001</v>
      </c>
      <c r="K435" s="826">
        <v>53440.2</v>
      </c>
      <c r="L435" s="826"/>
      <c r="M435" s="826"/>
      <c r="N435" s="826"/>
      <c r="O435" s="826"/>
      <c r="P435" s="826">
        <v>24706126.260000002</v>
      </c>
      <c r="Q435" s="881">
        <v>58991.14</v>
      </c>
      <c r="R435" s="889">
        <v>25720529.860000003</v>
      </c>
      <c r="S435" s="889">
        <v>61069.71</v>
      </c>
    </row>
    <row r="436" spans="1:19" ht="22.5" x14ac:dyDescent="0.25">
      <c r="A436" s="880">
        <v>2025</v>
      </c>
      <c r="B436" s="816" t="s">
        <v>305</v>
      </c>
      <c r="C436" s="816" t="s">
        <v>1184</v>
      </c>
      <c r="D436" s="816" t="s">
        <v>1184</v>
      </c>
      <c r="E436" s="816" t="s">
        <v>1694</v>
      </c>
      <c r="F436" s="816">
        <v>88496</v>
      </c>
      <c r="G436" s="816">
        <v>0</v>
      </c>
      <c r="H436" s="826">
        <v>38846105.109999999</v>
      </c>
      <c r="I436" s="826"/>
      <c r="J436" s="826"/>
      <c r="K436" s="826"/>
      <c r="L436" s="826"/>
      <c r="M436" s="826"/>
      <c r="N436" s="826"/>
      <c r="O436" s="826"/>
      <c r="P436" s="826">
        <v>38846105.109999999</v>
      </c>
      <c r="Q436" s="881">
        <v>0</v>
      </c>
      <c r="R436" s="889">
        <v>38934601.109999999</v>
      </c>
      <c r="S436" s="889">
        <v>0</v>
      </c>
    </row>
    <row r="437" spans="1:19" ht="22.5" x14ac:dyDescent="0.25">
      <c r="A437" s="880">
        <v>2025</v>
      </c>
      <c r="B437" s="816" t="s">
        <v>305</v>
      </c>
      <c r="C437" s="816" t="s">
        <v>1200</v>
      </c>
      <c r="D437" s="816" t="s">
        <v>1224</v>
      </c>
      <c r="E437" s="816" t="s">
        <v>1695</v>
      </c>
      <c r="F437" s="816">
        <v>112565.4</v>
      </c>
      <c r="G437" s="816">
        <v>0</v>
      </c>
      <c r="H437" s="826">
        <v>9186.1299999999992</v>
      </c>
      <c r="I437" s="826">
        <v>25.8</v>
      </c>
      <c r="J437" s="826">
        <v>142648.62</v>
      </c>
      <c r="K437" s="826">
        <v>398.28</v>
      </c>
      <c r="L437" s="826"/>
      <c r="M437" s="826"/>
      <c r="N437" s="826"/>
      <c r="O437" s="826"/>
      <c r="P437" s="826">
        <v>151834.75</v>
      </c>
      <c r="Q437" s="881">
        <v>424.08</v>
      </c>
      <c r="R437" s="889">
        <v>264400.15000000002</v>
      </c>
      <c r="S437" s="889">
        <v>424.08</v>
      </c>
    </row>
    <row r="438" spans="1:19" ht="22.5" x14ac:dyDescent="0.25">
      <c r="A438" s="880">
        <v>2025</v>
      </c>
      <c r="B438" s="816" t="s">
        <v>307</v>
      </c>
      <c r="C438" s="816" t="s">
        <v>1143</v>
      </c>
      <c r="D438" s="816" t="s">
        <v>8930</v>
      </c>
      <c r="E438" s="816" t="s">
        <v>1697</v>
      </c>
      <c r="F438" s="816">
        <v>4469990</v>
      </c>
      <c r="G438" s="816">
        <v>0</v>
      </c>
      <c r="H438" s="826">
        <v>17164608</v>
      </c>
      <c r="I438" s="465"/>
      <c r="J438" s="465"/>
      <c r="K438" s="465"/>
      <c r="L438" s="465"/>
      <c r="M438" s="465"/>
      <c r="N438" s="465"/>
      <c r="O438" s="465"/>
      <c r="P438" s="826">
        <v>17164608</v>
      </c>
      <c r="Q438" s="881">
        <v>0</v>
      </c>
      <c r="R438" s="889">
        <v>21634598</v>
      </c>
      <c r="S438" s="889">
        <v>0</v>
      </c>
    </row>
    <row r="439" spans="1:19" ht="33.75" x14ac:dyDescent="0.25">
      <c r="A439" s="880">
        <v>2025</v>
      </c>
      <c r="B439" s="816" t="s">
        <v>307</v>
      </c>
      <c r="C439" s="816" t="s">
        <v>1143</v>
      </c>
      <c r="D439" s="816" t="s">
        <v>8931</v>
      </c>
      <c r="E439" s="816" t="s">
        <v>1699</v>
      </c>
      <c r="F439" s="816">
        <v>17520878</v>
      </c>
      <c r="G439" s="816">
        <v>0</v>
      </c>
      <c r="H439" s="826">
        <v>119250461</v>
      </c>
      <c r="I439" s="826"/>
      <c r="J439" s="826"/>
      <c r="K439" s="826"/>
      <c r="L439" s="465"/>
      <c r="M439" s="465"/>
      <c r="N439" s="465"/>
      <c r="O439" s="465"/>
      <c r="P439" s="826">
        <v>119250461</v>
      </c>
      <c r="Q439" s="881">
        <v>0</v>
      </c>
      <c r="R439" s="889">
        <v>136771339</v>
      </c>
      <c r="S439" s="889">
        <v>0</v>
      </c>
    </row>
    <row r="440" spans="1:19" ht="33.75" x14ac:dyDescent="0.25">
      <c r="A440" s="880">
        <v>2025</v>
      </c>
      <c r="B440" s="816" t="s">
        <v>307</v>
      </c>
      <c r="C440" s="816" t="s">
        <v>1155</v>
      </c>
      <c r="D440" s="816" t="s">
        <v>8932</v>
      </c>
      <c r="E440" s="816" t="s">
        <v>1701</v>
      </c>
      <c r="F440" s="816">
        <v>9942359.3200000003</v>
      </c>
      <c r="G440" s="816">
        <v>23259</v>
      </c>
      <c r="H440" s="826">
        <v>0</v>
      </c>
      <c r="I440" s="465"/>
      <c r="J440" s="465">
        <v>136607280</v>
      </c>
      <c r="K440" s="465">
        <v>436797</v>
      </c>
      <c r="L440" s="465"/>
      <c r="M440" s="465"/>
      <c r="N440" s="465"/>
      <c r="O440" s="465"/>
      <c r="P440" s="826">
        <v>136607280</v>
      </c>
      <c r="Q440" s="881">
        <v>436797</v>
      </c>
      <c r="R440" s="889">
        <v>146549639.31999999</v>
      </c>
      <c r="S440" s="889">
        <v>460056</v>
      </c>
    </row>
    <row r="441" spans="1:19" ht="33.75" x14ac:dyDescent="0.25">
      <c r="A441" s="880">
        <v>2025</v>
      </c>
      <c r="B441" s="816" t="s">
        <v>307</v>
      </c>
      <c r="C441" s="816" t="s">
        <v>1155</v>
      </c>
      <c r="D441" s="816" t="s">
        <v>8933</v>
      </c>
      <c r="E441" s="816" t="s">
        <v>1703</v>
      </c>
      <c r="F441" s="816">
        <v>11465997.68</v>
      </c>
      <c r="G441" s="816">
        <v>30784</v>
      </c>
      <c r="H441" s="826">
        <v>29027416</v>
      </c>
      <c r="I441" s="826">
        <v>74866</v>
      </c>
      <c r="J441" s="465">
        <v>194561202</v>
      </c>
      <c r="K441" s="465">
        <v>481098</v>
      </c>
      <c r="L441" s="465"/>
      <c r="M441" s="465"/>
      <c r="N441" s="465"/>
      <c r="O441" s="465"/>
      <c r="P441" s="826">
        <v>223588618</v>
      </c>
      <c r="Q441" s="881">
        <v>555964</v>
      </c>
      <c r="R441" s="889">
        <v>235054615.68000001</v>
      </c>
      <c r="S441" s="889">
        <v>586748</v>
      </c>
    </row>
    <row r="442" spans="1:19" ht="33.75" x14ac:dyDescent="0.25">
      <c r="A442" s="880">
        <v>2025</v>
      </c>
      <c r="B442" s="816" t="s">
        <v>307</v>
      </c>
      <c r="C442" s="816" t="s">
        <v>1155</v>
      </c>
      <c r="D442" s="816" t="s">
        <v>8934</v>
      </c>
      <c r="E442" s="816" t="s">
        <v>1705</v>
      </c>
      <c r="F442" s="816">
        <v>12986807</v>
      </c>
      <c r="G442" s="816">
        <v>31682</v>
      </c>
      <c r="H442" s="826">
        <v>4017556</v>
      </c>
      <c r="I442" s="826">
        <v>9949</v>
      </c>
      <c r="J442" s="826">
        <v>17557427</v>
      </c>
      <c r="K442" s="826">
        <v>43416</v>
      </c>
      <c r="L442" s="465"/>
      <c r="M442" s="465"/>
      <c r="N442" s="465"/>
      <c r="O442" s="465"/>
      <c r="P442" s="826">
        <v>21574983</v>
      </c>
      <c r="Q442" s="881">
        <v>53365</v>
      </c>
      <c r="R442" s="889">
        <v>34561790</v>
      </c>
      <c r="S442" s="889">
        <v>85047</v>
      </c>
    </row>
    <row r="443" spans="1:19" ht="22.5" x14ac:dyDescent="0.25">
      <c r="A443" s="880">
        <v>2025</v>
      </c>
      <c r="B443" s="816" t="s">
        <v>307</v>
      </c>
      <c r="C443" s="816" t="s">
        <v>1184</v>
      </c>
      <c r="D443" s="816" t="s">
        <v>8935</v>
      </c>
      <c r="E443" s="816" t="s">
        <v>1707</v>
      </c>
      <c r="F443" s="816">
        <v>107949</v>
      </c>
      <c r="G443" s="816">
        <v>0</v>
      </c>
      <c r="H443" s="826">
        <v>36654132</v>
      </c>
      <c r="I443" s="465"/>
      <c r="J443" s="465"/>
      <c r="K443" s="465"/>
      <c r="L443" s="465"/>
      <c r="M443" s="465"/>
      <c r="N443" s="465"/>
      <c r="O443" s="465"/>
      <c r="P443" s="826">
        <v>36654132</v>
      </c>
      <c r="Q443" s="881">
        <v>0</v>
      </c>
      <c r="R443" s="889">
        <v>36762081</v>
      </c>
      <c r="S443" s="889">
        <v>0</v>
      </c>
    </row>
    <row r="444" spans="1:19" ht="22.5" x14ac:dyDescent="0.25">
      <c r="A444" s="880">
        <v>2025</v>
      </c>
      <c r="B444" s="816" t="s">
        <v>307</v>
      </c>
      <c r="C444" s="816" t="s">
        <v>1184</v>
      </c>
      <c r="D444" s="816" t="s">
        <v>8936</v>
      </c>
      <c r="E444" s="816" t="s">
        <v>1709</v>
      </c>
      <c r="F444" s="816">
        <v>1072361</v>
      </c>
      <c r="G444" s="816">
        <v>0</v>
      </c>
      <c r="H444" s="826">
        <v>324826597</v>
      </c>
      <c r="I444" s="465"/>
      <c r="J444" s="465"/>
      <c r="K444" s="465"/>
      <c r="L444" s="465"/>
      <c r="M444" s="465"/>
      <c r="N444" s="465"/>
      <c r="O444" s="465"/>
      <c r="P444" s="826">
        <v>324826597</v>
      </c>
      <c r="Q444" s="881">
        <v>0</v>
      </c>
      <c r="R444" s="889">
        <v>325898958</v>
      </c>
      <c r="S444" s="889">
        <v>0</v>
      </c>
    </row>
    <row r="445" spans="1:19" ht="22.5" x14ac:dyDescent="0.25">
      <c r="A445" s="880">
        <v>2025</v>
      </c>
      <c r="B445" s="816" t="s">
        <v>307</v>
      </c>
      <c r="C445" s="816" t="s">
        <v>1194</v>
      </c>
      <c r="D445" s="816" t="s">
        <v>8937</v>
      </c>
      <c r="E445" s="816" t="s">
        <v>1711</v>
      </c>
      <c r="F445" s="816">
        <v>0</v>
      </c>
      <c r="G445" s="816">
        <v>0</v>
      </c>
      <c r="H445" s="826">
        <v>50681</v>
      </c>
      <c r="I445" s="826">
        <v>139</v>
      </c>
      <c r="J445" s="826"/>
      <c r="K445" s="826"/>
      <c r="L445" s="465"/>
      <c r="M445" s="465"/>
      <c r="N445" s="465"/>
      <c r="O445" s="465"/>
      <c r="P445" s="826">
        <v>50681</v>
      </c>
      <c r="Q445" s="881">
        <v>139</v>
      </c>
      <c r="R445" s="889">
        <v>50681</v>
      </c>
      <c r="S445" s="889">
        <v>139</v>
      </c>
    </row>
    <row r="446" spans="1:19" ht="22.5" x14ac:dyDescent="0.25">
      <c r="A446" s="880">
        <v>2025</v>
      </c>
      <c r="B446" s="816" t="s">
        <v>307</v>
      </c>
      <c r="C446" s="816" t="s">
        <v>1200</v>
      </c>
      <c r="D446" s="816" t="s">
        <v>8938</v>
      </c>
      <c r="E446" s="816" t="s">
        <v>1713</v>
      </c>
      <c r="F446" s="816">
        <v>0</v>
      </c>
      <c r="G446" s="816">
        <v>0</v>
      </c>
      <c r="H446" s="826">
        <v>69470</v>
      </c>
      <c r="I446" s="465">
        <v>194</v>
      </c>
      <c r="J446" s="465">
        <v>5152069</v>
      </c>
      <c r="K446" s="465">
        <v>14381</v>
      </c>
      <c r="L446" s="465"/>
      <c r="M446" s="465"/>
      <c r="N446" s="465"/>
      <c r="O446" s="465"/>
      <c r="P446" s="826">
        <v>5221539</v>
      </c>
      <c r="Q446" s="881">
        <v>14575</v>
      </c>
      <c r="R446" s="889">
        <v>5221539</v>
      </c>
      <c r="S446" s="889">
        <v>14575</v>
      </c>
    </row>
    <row r="447" spans="1:19" ht="33.75" x14ac:dyDescent="0.25">
      <c r="A447" s="880">
        <v>2025</v>
      </c>
      <c r="B447" s="816" t="s">
        <v>307</v>
      </c>
      <c r="C447" s="816" t="s">
        <v>1200</v>
      </c>
      <c r="D447" s="816" t="s">
        <v>8939</v>
      </c>
      <c r="E447" s="816" t="s">
        <v>1715</v>
      </c>
      <c r="F447" s="816">
        <v>408417</v>
      </c>
      <c r="G447" s="816">
        <v>1140</v>
      </c>
      <c r="H447" s="826">
        <v>0</v>
      </c>
      <c r="I447" s="826"/>
      <c r="J447" s="826"/>
      <c r="K447" s="826"/>
      <c r="L447" s="465"/>
      <c r="M447" s="465"/>
      <c r="N447" s="465"/>
      <c r="O447" s="465"/>
      <c r="P447" s="826">
        <v>0</v>
      </c>
      <c r="Q447" s="881">
        <v>0</v>
      </c>
      <c r="R447" s="889">
        <v>408417</v>
      </c>
      <c r="S447" s="889">
        <v>1140</v>
      </c>
    </row>
    <row r="448" spans="1:19" ht="33.75" x14ac:dyDescent="0.25">
      <c r="A448" s="880">
        <v>2025</v>
      </c>
      <c r="B448" s="816" t="s">
        <v>307</v>
      </c>
      <c r="C448" s="816" t="s">
        <v>1210</v>
      </c>
      <c r="D448" s="816" t="s">
        <v>8940</v>
      </c>
      <c r="E448" s="816" t="s">
        <v>1717</v>
      </c>
      <c r="F448" s="816">
        <v>0</v>
      </c>
      <c r="G448" s="816">
        <v>0</v>
      </c>
      <c r="H448" s="826">
        <v>1905997</v>
      </c>
      <c r="I448" s="465"/>
      <c r="J448" s="465"/>
      <c r="K448" s="465"/>
      <c r="L448" s="465"/>
      <c r="M448" s="465"/>
      <c r="N448" s="465"/>
      <c r="O448" s="465"/>
      <c r="P448" s="826">
        <v>1905997</v>
      </c>
      <c r="Q448" s="881">
        <v>0</v>
      </c>
      <c r="R448" s="889">
        <v>1905997</v>
      </c>
      <c r="S448" s="889">
        <v>0</v>
      </c>
    </row>
    <row r="449" spans="1:19" ht="33.75" x14ac:dyDescent="0.25">
      <c r="A449" s="880">
        <v>2025</v>
      </c>
      <c r="B449" s="816" t="s">
        <v>307</v>
      </c>
      <c r="C449" s="816" t="s">
        <v>1210</v>
      </c>
      <c r="D449" s="816" t="s">
        <v>8941</v>
      </c>
      <c r="E449" s="816" t="s">
        <v>1719</v>
      </c>
      <c r="F449" s="816">
        <v>18286</v>
      </c>
      <c r="G449" s="816">
        <v>0</v>
      </c>
      <c r="H449" s="826">
        <v>147569</v>
      </c>
      <c r="I449" s="465"/>
      <c r="J449" s="465"/>
      <c r="K449" s="465"/>
      <c r="L449" s="465"/>
      <c r="M449" s="465"/>
      <c r="N449" s="465"/>
      <c r="O449" s="465"/>
      <c r="P449" s="826">
        <v>147569</v>
      </c>
      <c r="Q449" s="881">
        <v>0</v>
      </c>
      <c r="R449" s="889">
        <v>165855</v>
      </c>
      <c r="S449" s="889">
        <v>0</v>
      </c>
    </row>
    <row r="450" spans="1:19" ht="22.5" x14ac:dyDescent="0.25">
      <c r="A450" s="880">
        <v>2025</v>
      </c>
      <c r="B450" s="816" t="s">
        <v>309</v>
      </c>
      <c r="C450" s="816" t="s">
        <v>1143</v>
      </c>
      <c r="D450" s="816" t="s">
        <v>1226</v>
      </c>
      <c r="E450" s="816" t="s">
        <v>1720</v>
      </c>
      <c r="F450" s="816">
        <v>94697.919999999998</v>
      </c>
      <c r="G450" s="816">
        <v>0</v>
      </c>
      <c r="H450" s="826">
        <v>18345674</v>
      </c>
      <c r="I450" s="465">
        <v>7088</v>
      </c>
      <c r="J450" s="826">
        <v>759484</v>
      </c>
      <c r="K450" s="826">
        <v>0</v>
      </c>
      <c r="L450" s="465"/>
      <c r="M450" s="465"/>
      <c r="N450" s="465"/>
      <c r="O450" s="465"/>
      <c r="P450" s="826">
        <v>19105158</v>
      </c>
      <c r="Q450" s="881">
        <v>7088</v>
      </c>
      <c r="R450" s="889">
        <v>19199855.920000002</v>
      </c>
      <c r="S450" s="889">
        <v>7088</v>
      </c>
    </row>
    <row r="451" spans="1:19" ht="22.5" x14ac:dyDescent="0.25">
      <c r="A451" s="880">
        <v>2025</v>
      </c>
      <c r="B451" s="816" t="s">
        <v>309</v>
      </c>
      <c r="C451" s="816" t="s">
        <v>1155</v>
      </c>
      <c r="D451" s="816" t="s">
        <v>1721</v>
      </c>
      <c r="E451" s="816" t="s">
        <v>1722</v>
      </c>
      <c r="F451" s="816">
        <v>14014859</v>
      </c>
      <c r="G451" s="816">
        <v>38978</v>
      </c>
      <c r="H451" s="826">
        <v>6533608</v>
      </c>
      <c r="I451" s="826">
        <v>18716</v>
      </c>
      <c r="J451" s="826">
        <v>32765960</v>
      </c>
      <c r="K451" s="826">
        <v>91889</v>
      </c>
      <c r="L451" s="465"/>
      <c r="M451" s="465"/>
      <c r="N451" s="465"/>
      <c r="O451" s="465"/>
      <c r="P451" s="826">
        <v>39299568</v>
      </c>
      <c r="Q451" s="881">
        <v>110605</v>
      </c>
      <c r="R451" s="889">
        <v>53314427</v>
      </c>
      <c r="S451" s="889">
        <v>149583</v>
      </c>
    </row>
    <row r="452" spans="1:19" ht="22.5" x14ac:dyDescent="0.25">
      <c r="A452" s="880">
        <v>2025</v>
      </c>
      <c r="B452" s="816" t="s">
        <v>309</v>
      </c>
      <c r="C452" s="816" t="s">
        <v>1155</v>
      </c>
      <c r="D452" s="816" t="s">
        <v>1723</v>
      </c>
      <c r="E452" s="816" t="s">
        <v>1724</v>
      </c>
      <c r="F452" s="816">
        <v>3434209</v>
      </c>
      <c r="G452" s="816">
        <v>30482</v>
      </c>
      <c r="H452" s="826">
        <v>0</v>
      </c>
      <c r="I452" s="826"/>
      <c r="J452" s="826">
        <v>20004077</v>
      </c>
      <c r="K452" s="826">
        <v>51463</v>
      </c>
      <c r="L452" s="465"/>
      <c r="M452" s="465"/>
      <c r="N452" s="465"/>
      <c r="O452" s="465"/>
      <c r="P452" s="826">
        <v>20004077</v>
      </c>
      <c r="Q452" s="881">
        <v>51463</v>
      </c>
      <c r="R452" s="889">
        <v>23438286</v>
      </c>
      <c r="S452" s="889">
        <v>81945</v>
      </c>
    </row>
    <row r="453" spans="1:19" ht="22.5" x14ac:dyDescent="0.25">
      <c r="A453" s="880">
        <v>2025</v>
      </c>
      <c r="B453" s="816" t="s">
        <v>309</v>
      </c>
      <c r="C453" s="816" t="s">
        <v>1155</v>
      </c>
      <c r="D453" s="816" t="s">
        <v>1725</v>
      </c>
      <c r="E453" s="816" t="s">
        <v>1726</v>
      </c>
      <c r="F453" s="816">
        <v>0</v>
      </c>
      <c r="G453" s="816">
        <v>0</v>
      </c>
      <c r="H453" s="826">
        <v>0</v>
      </c>
      <c r="I453" s="465"/>
      <c r="J453" s="465">
        <v>15550262</v>
      </c>
      <c r="K453" s="465">
        <v>37146</v>
      </c>
      <c r="L453" s="465"/>
      <c r="M453" s="465"/>
      <c r="N453" s="465"/>
      <c r="O453" s="465"/>
      <c r="P453" s="826">
        <v>15550262</v>
      </c>
      <c r="Q453" s="881">
        <v>37146</v>
      </c>
      <c r="R453" s="889">
        <v>15550262</v>
      </c>
      <c r="S453" s="889">
        <v>37146</v>
      </c>
    </row>
    <row r="454" spans="1:19" ht="22.5" x14ac:dyDescent="0.25">
      <c r="A454" s="880">
        <v>2025</v>
      </c>
      <c r="B454" s="816" t="s">
        <v>309</v>
      </c>
      <c r="C454" s="816" t="s">
        <v>1184</v>
      </c>
      <c r="D454" s="816" t="s">
        <v>1184</v>
      </c>
      <c r="E454" s="816" t="s">
        <v>1727</v>
      </c>
      <c r="F454" s="816">
        <v>88496</v>
      </c>
      <c r="G454" s="816">
        <v>0</v>
      </c>
      <c r="H454" s="826">
        <v>62572010</v>
      </c>
      <c r="I454" s="465"/>
      <c r="J454" s="465">
        <v>163209</v>
      </c>
      <c r="K454" s="465"/>
      <c r="L454" s="465"/>
      <c r="M454" s="465"/>
      <c r="N454" s="465"/>
      <c r="O454" s="465"/>
      <c r="P454" s="826">
        <v>62735219</v>
      </c>
      <c r="Q454" s="881">
        <v>0</v>
      </c>
      <c r="R454" s="889">
        <v>62823715</v>
      </c>
      <c r="S454" s="889">
        <v>0</v>
      </c>
    </row>
    <row r="455" spans="1:19" ht="22.5" x14ac:dyDescent="0.25">
      <c r="A455" s="880">
        <v>2025</v>
      </c>
      <c r="B455" s="816" t="s">
        <v>309</v>
      </c>
      <c r="C455" s="816" t="s">
        <v>1194</v>
      </c>
      <c r="D455" s="816" t="s">
        <v>1240</v>
      </c>
      <c r="E455" s="816" t="s">
        <v>1728</v>
      </c>
      <c r="F455" s="816">
        <v>37145</v>
      </c>
      <c r="G455" s="816">
        <v>102</v>
      </c>
      <c r="H455" s="826">
        <v>24636</v>
      </c>
      <c r="I455" s="826"/>
      <c r="J455" s="465"/>
      <c r="K455" s="465"/>
      <c r="L455" s="465"/>
      <c r="M455" s="465"/>
      <c r="N455" s="465"/>
      <c r="O455" s="465"/>
      <c r="P455" s="826">
        <v>24636</v>
      </c>
      <c r="Q455" s="881">
        <v>0</v>
      </c>
      <c r="R455" s="889">
        <v>61781</v>
      </c>
      <c r="S455" s="889">
        <v>102</v>
      </c>
    </row>
    <row r="456" spans="1:19" ht="22.5" x14ac:dyDescent="0.25">
      <c r="A456" s="880">
        <v>2025</v>
      </c>
      <c r="B456" s="816" t="s">
        <v>309</v>
      </c>
      <c r="C456" s="816" t="s">
        <v>1200</v>
      </c>
      <c r="D456" s="816" t="s">
        <v>1224</v>
      </c>
      <c r="E456" s="816" t="s">
        <v>1729</v>
      </c>
      <c r="F456" s="816">
        <v>112565.4</v>
      </c>
      <c r="G456" s="816">
        <v>0</v>
      </c>
      <c r="H456" s="826">
        <v>0</v>
      </c>
      <c r="I456" s="826"/>
      <c r="J456" s="826">
        <v>671249</v>
      </c>
      <c r="K456" s="826">
        <v>1612</v>
      </c>
      <c r="L456" s="465"/>
      <c r="M456" s="465"/>
      <c r="N456" s="465"/>
      <c r="O456" s="465"/>
      <c r="P456" s="826">
        <v>671249</v>
      </c>
      <c r="Q456" s="881">
        <v>1612</v>
      </c>
      <c r="R456" s="889">
        <v>783814.4</v>
      </c>
      <c r="S456" s="889">
        <v>1612</v>
      </c>
    </row>
    <row r="457" spans="1:19" ht="33.75" x14ac:dyDescent="0.25">
      <c r="A457" s="880">
        <v>2025</v>
      </c>
      <c r="B457" s="816" t="s">
        <v>309</v>
      </c>
      <c r="C457" s="816" t="s">
        <v>1210</v>
      </c>
      <c r="D457" s="816" t="s">
        <v>1243</v>
      </c>
      <c r="E457" s="816" t="s">
        <v>1730</v>
      </c>
      <c r="F457" s="816">
        <v>333951</v>
      </c>
      <c r="G457" s="816">
        <v>0</v>
      </c>
      <c r="H457" s="826">
        <v>324696</v>
      </c>
      <c r="I457" s="465"/>
      <c r="J457" s="465"/>
      <c r="K457" s="465"/>
      <c r="L457" s="465"/>
      <c r="M457" s="465"/>
      <c r="N457" s="465"/>
      <c r="O457" s="465"/>
      <c r="P457" s="826">
        <v>324696</v>
      </c>
      <c r="Q457" s="881">
        <v>0</v>
      </c>
      <c r="R457" s="889">
        <v>658647</v>
      </c>
      <c r="S457" s="889">
        <v>0</v>
      </c>
    </row>
    <row r="458" spans="1:19" ht="22.5" x14ac:dyDescent="0.25">
      <c r="A458" s="880">
        <v>2025</v>
      </c>
      <c r="B458" s="816" t="s">
        <v>311</v>
      </c>
      <c r="C458" s="816" t="s">
        <v>1143</v>
      </c>
      <c r="D458" s="816" t="s">
        <v>1226</v>
      </c>
      <c r="E458" s="816" t="s">
        <v>1731</v>
      </c>
      <c r="F458" s="816">
        <v>94697.919999999998</v>
      </c>
      <c r="G458" s="816">
        <v>0</v>
      </c>
      <c r="H458" s="826">
        <v>2035130647.9100001</v>
      </c>
      <c r="I458" s="465">
        <v>0</v>
      </c>
      <c r="J458" s="465">
        <v>21377575.829999998</v>
      </c>
      <c r="K458" s="465">
        <v>0</v>
      </c>
      <c r="L458" s="465">
        <v>0</v>
      </c>
      <c r="M458" s="465">
        <v>0</v>
      </c>
      <c r="N458" s="465"/>
      <c r="O458" s="465"/>
      <c r="P458" s="826">
        <v>2056508223.74</v>
      </c>
      <c r="Q458" s="881">
        <v>0</v>
      </c>
      <c r="R458" s="889">
        <v>2056602921.6600001</v>
      </c>
      <c r="S458" s="889">
        <v>0</v>
      </c>
    </row>
    <row r="459" spans="1:19" ht="22.5" x14ac:dyDescent="0.25">
      <c r="A459" s="880">
        <v>2025</v>
      </c>
      <c r="B459" s="816" t="s">
        <v>311</v>
      </c>
      <c r="C459" s="816" t="s">
        <v>1155</v>
      </c>
      <c r="D459" s="816" t="s">
        <v>1233</v>
      </c>
      <c r="E459" s="816" t="s">
        <v>1732</v>
      </c>
      <c r="F459" s="816">
        <v>0</v>
      </c>
      <c r="G459" s="816">
        <v>0</v>
      </c>
      <c r="H459" s="826">
        <v>143903999.31</v>
      </c>
      <c r="I459" s="465">
        <v>287312.78000000003</v>
      </c>
      <c r="J459" s="465">
        <v>3781461283.9400001</v>
      </c>
      <c r="K459" s="465">
        <v>8372699.4199999999</v>
      </c>
      <c r="L459" s="465">
        <v>0</v>
      </c>
      <c r="M459" s="465">
        <v>0</v>
      </c>
      <c r="N459" s="465"/>
      <c r="O459" s="465"/>
      <c r="P459" s="826">
        <v>3925365283.25</v>
      </c>
      <c r="Q459" s="881">
        <v>8660012.1999999993</v>
      </c>
      <c r="R459" s="889">
        <v>3925365283.25</v>
      </c>
      <c r="S459" s="889">
        <v>8660012.1999999993</v>
      </c>
    </row>
    <row r="460" spans="1:19" ht="22.5" x14ac:dyDescent="0.25">
      <c r="A460" s="880">
        <v>2025</v>
      </c>
      <c r="B460" s="816" t="s">
        <v>311</v>
      </c>
      <c r="C460" s="816" t="s">
        <v>1155</v>
      </c>
      <c r="D460" s="816" t="s">
        <v>1235</v>
      </c>
      <c r="E460" s="816" t="s">
        <v>1733</v>
      </c>
      <c r="F460" s="816">
        <v>57477609</v>
      </c>
      <c r="G460" s="816">
        <v>172041</v>
      </c>
      <c r="H460" s="826">
        <v>3039168658.1300001</v>
      </c>
      <c r="I460" s="826">
        <v>7160464.5099999998</v>
      </c>
      <c r="J460" s="826">
        <v>5681403681.3500004</v>
      </c>
      <c r="K460" s="826">
        <v>14597586.220000001</v>
      </c>
      <c r="L460" s="826">
        <v>48996951.649999999</v>
      </c>
      <c r="M460" s="826">
        <v>98146.09</v>
      </c>
      <c r="N460" s="826"/>
      <c r="O460" s="826"/>
      <c r="P460" s="826">
        <v>8769569291.1299992</v>
      </c>
      <c r="Q460" s="881">
        <v>21856196.82</v>
      </c>
      <c r="R460" s="889">
        <v>8827046900.1299992</v>
      </c>
      <c r="S460" s="889">
        <v>22028237.82</v>
      </c>
    </row>
    <row r="461" spans="1:19" ht="22.5" x14ac:dyDescent="0.25">
      <c r="A461" s="880">
        <v>2025</v>
      </c>
      <c r="B461" s="816" t="s">
        <v>311</v>
      </c>
      <c r="C461" s="816" t="s">
        <v>1173</v>
      </c>
      <c r="D461" s="816" t="s">
        <v>1237</v>
      </c>
      <c r="E461" s="816" t="s">
        <v>1734</v>
      </c>
      <c r="F461" s="816">
        <v>0</v>
      </c>
      <c r="G461" s="816">
        <v>0</v>
      </c>
      <c r="H461" s="826">
        <v>0</v>
      </c>
      <c r="I461" s="826">
        <v>0</v>
      </c>
      <c r="J461" s="826">
        <v>1631670755.6600001</v>
      </c>
      <c r="K461" s="826">
        <v>3644263.61</v>
      </c>
      <c r="L461" s="826">
        <v>233921038.31</v>
      </c>
      <c r="M461" s="826">
        <v>451495.91</v>
      </c>
      <c r="N461" s="826"/>
      <c r="O461" s="826"/>
      <c r="P461" s="826">
        <v>1865591793.97</v>
      </c>
      <c r="Q461" s="881">
        <v>4095759.52</v>
      </c>
      <c r="R461" s="889">
        <v>1865591793.97</v>
      </c>
      <c r="S461" s="889">
        <v>4095759.52</v>
      </c>
    </row>
    <row r="462" spans="1:19" ht="22.5" x14ac:dyDescent="0.25">
      <c r="A462" s="880">
        <v>2025</v>
      </c>
      <c r="B462" s="816" t="s">
        <v>311</v>
      </c>
      <c r="C462" s="816" t="s">
        <v>1184</v>
      </c>
      <c r="D462" s="816" t="s">
        <v>1184</v>
      </c>
      <c r="E462" s="816" t="s">
        <v>1735</v>
      </c>
      <c r="F462" s="816">
        <v>88496</v>
      </c>
      <c r="G462" s="816">
        <v>0</v>
      </c>
      <c r="H462" s="826">
        <v>4848992984.1700001</v>
      </c>
      <c r="I462" s="826">
        <v>0</v>
      </c>
      <c r="J462" s="826">
        <v>18630.73</v>
      </c>
      <c r="K462" s="826">
        <v>0</v>
      </c>
      <c r="L462" s="826">
        <v>0</v>
      </c>
      <c r="M462" s="826">
        <v>0</v>
      </c>
      <c r="N462" s="826"/>
      <c r="O462" s="826"/>
      <c r="P462" s="826">
        <v>4849011614.8999996</v>
      </c>
      <c r="Q462" s="881">
        <v>0</v>
      </c>
      <c r="R462" s="889">
        <v>4849100110.8999996</v>
      </c>
      <c r="S462" s="889">
        <v>0</v>
      </c>
    </row>
    <row r="463" spans="1:19" ht="22.5" x14ac:dyDescent="0.25">
      <c r="A463" s="880">
        <v>2025</v>
      </c>
      <c r="B463" s="816" t="s">
        <v>311</v>
      </c>
      <c r="C463" s="816" t="s">
        <v>1184</v>
      </c>
      <c r="D463" s="816" t="s">
        <v>1736</v>
      </c>
      <c r="E463" s="816" t="s">
        <v>8942</v>
      </c>
      <c r="F463" s="816">
        <v>146336.54999999999</v>
      </c>
      <c r="G463" s="816">
        <v>0</v>
      </c>
      <c r="H463" s="826">
        <v>328587134.97000003</v>
      </c>
      <c r="I463" s="826">
        <v>0</v>
      </c>
      <c r="J463" s="826">
        <v>0</v>
      </c>
      <c r="K463" s="826">
        <v>0</v>
      </c>
      <c r="L463" s="826">
        <v>0</v>
      </c>
      <c r="M463" s="826">
        <v>0</v>
      </c>
      <c r="N463" s="826"/>
      <c r="O463" s="826"/>
      <c r="P463" s="826">
        <v>328587134.97000003</v>
      </c>
      <c r="Q463" s="881">
        <v>0</v>
      </c>
      <c r="R463" s="889">
        <v>328733471.52000004</v>
      </c>
      <c r="S463" s="889">
        <v>0</v>
      </c>
    </row>
    <row r="464" spans="1:19" ht="22.5" x14ac:dyDescent="0.25">
      <c r="A464" s="880">
        <v>2025</v>
      </c>
      <c r="B464" s="816" t="s">
        <v>311</v>
      </c>
      <c r="C464" s="816" t="s">
        <v>1200</v>
      </c>
      <c r="D464" s="816" t="s">
        <v>1224</v>
      </c>
      <c r="E464" s="816" t="s">
        <v>1737</v>
      </c>
      <c r="F464" s="816">
        <v>112565.4</v>
      </c>
      <c r="G464" s="816">
        <v>0</v>
      </c>
      <c r="H464" s="826">
        <v>0</v>
      </c>
      <c r="I464" s="826">
        <v>0</v>
      </c>
      <c r="J464" s="826">
        <v>114759446.08</v>
      </c>
      <c r="K464" s="826">
        <v>330988</v>
      </c>
      <c r="L464" s="826">
        <v>0</v>
      </c>
      <c r="M464" s="826">
        <v>0</v>
      </c>
      <c r="N464" s="826"/>
      <c r="O464" s="826"/>
      <c r="P464" s="826">
        <v>114759446.08</v>
      </c>
      <c r="Q464" s="881">
        <v>330988</v>
      </c>
      <c r="R464" s="889">
        <v>114872011.48</v>
      </c>
      <c r="S464" s="889">
        <v>330988</v>
      </c>
    </row>
    <row r="465" spans="1:19" ht="33.75" x14ac:dyDescent="0.25">
      <c r="A465" s="880">
        <v>2025</v>
      </c>
      <c r="B465" s="816" t="s">
        <v>311</v>
      </c>
      <c r="C465" s="816" t="s">
        <v>1210</v>
      </c>
      <c r="D465" s="816" t="s">
        <v>1243</v>
      </c>
      <c r="E465" s="816" t="s">
        <v>1738</v>
      </c>
      <c r="F465" s="816">
        <v>333951</v>
      </c>
      <c r="G465" s="816">
        <v>0</v>
      </c>
      <c r="H465" s="826">
        <v>41541158.420000002</v>
      </c>
      <c r="I465" s="826">
        <v>0</v>
      </c>
      <c r="J465" s="826">
        <v>0</v>
      </c>
      <c r="K465" s="826">
        <v>0</v>
      </c>
      <c r="L465" s="826">
        <v>0</v>
      </c>
      <c r="M465" s="826">
        <v>0</v>
      </c>
      <c r="N465" s="826"/>
      <c r="O465" s="826"/>
      <c r="P465" s="826">
        <v>41541158.420000002</v>
      </c>
      <c r="Q465" s="881">
        <v>0</v>
      </c>
      <c r="R465" s="889">
        <v>41875109.420000002</v>
      </c>
      <c r="S465" s="889">
        <v>0</v>
      </c>
    </row>
    <row r="466" spans="1:19" ht="22.5" x14ac:dyDescent="0.25">
      <c r="A466" s="880">
        <v>2025</v>
      </c>
      <c r="B466" s="816" t="s">
        <v>313</v>
      </c>
      <c r="C466" s="816" t="s">
        <v>1143</v>
      </c>
      <c r="D466" s="816" t="s">
        <v>1226</v>
      </c>
      <c r="E466" s="816" t="s">
        <v>1739</v>
      </c>
      <c r="F466" s="816">
        <v>94697.919999999998</v>
      </c>
      <c r="G466" s="816">
        <v>0</v>
      </c>
      <c r="H466" s="826">
        <v>17960575</v>
      </c>
      <c r="I466" s="826"/>
      <c r="J466" s="826"/>
      <c r="K466" s="826"/>
      <c r="L466" s="826"/>
      <c r="M466" s="826"/>
      <c r="N466" s="826"/>
      <c r="O466" s="826"/>
      <c r="P466" s="826">
        <v>17960575</v>
      </c>
      <c r="Q466" s="881">
        <v>0</v>
      </c>
      <c r="R466" s="889">
        <v>18055272.920000002</v>
      </c>
      <c r="S466" s="889">
        <v>0</v>
      </c>
    </row>
    <row r="467" spans="1:19" ht="22.5" x14ac:dyDescent="0.25">
      <c r="A467" s="880">
        <v>2025</v>
      </c>
      <c r="B467" s="816" t="s">
        <v>313</v>
      </c>
      <c r="C467" s="816" t="s">
        <v>1155</v>
      </c>
      <c r="D467" s="816" t="s">
        <v>1228</v>
      </c>
      <c r="E467" s="816" t="s">
        <v>1740</v>
      </c>
      <c r="F467" s="816">
        <v>1014403.6</v>
      </c>
      <c r="G467" s="816">
        <v>2078.5700000000002</v>
      </c>
      <c r="H467" s="826">
        <v>967561</v>
      </c>
      <c r="I467" s="826">
        <v>2034.7</v>
      </c>
      <c r="J467" s="826">
        <v>18544707</v>
      </c>
      <c r="K467" s="826">
        <v>49715.6</v>
      </c>
      <c r="L467" s="826">
        <v>2651755</v>
      </c>
      <c r="M467" s="826">
        <v>5253.5</v>
      </c>
      <c r="N467" s="826"/>
      <c r="O467" s="826"/>
      <c r="P467" s="826">
        <v>22164023</v>
      </c>
      <c r="Q467" s="881">
        <v>57003.8</v>
      </c>
      <c r="R467" s="889">
        <v>23178426.600000001</v>
      </c>
      <c r="S467" s="889">
        <v>59082.37</v>
      </c>
    </row>
    <row r="468" spans="1:19" ht="22.5" x14ac:dyDescent="0.25">
      <c r="A468" s="880">
        <v>2025</v>
      </c>
      <c r="B468" s="816" t="s">
        <v>313</v>
      </c>
      <c r="C468" s="816" t="s">
        <v>1184</v>
      </c>
      <c r="D468" s="816" t="s">
        <v>1184</v>
      </c>
      <c r="E468" s="816" t="s">
        <v>1741</v>
      </c>
      <c r="F468" s="816">
        <v>88496</v>
      </c>
      <c r="G468" s="816">
        <v>0</v>
      </c>
      <c r="H468" s="826">
        <v>107315796</v>
      </c>
      <c r="I468" s="826"/>
      <c r="J468" s="826"/>
      <c r="K468" s="826"/>
      <c r="L468" s="826"/>
      <c r="M468" s="826"/>
      <c r="N468" s="826"/>
      <c r="O468" s="826"/>
      <c r="P468" s="826">
        <v>107315796</v>
      </c>
      <c r="Q468" s="881">
        <v>0</v>
      </c>
      <c r="R468" s="889">
        <v>107404292</v>
      </c>
      <c r="S468" s="889">
        <v>0</v>
      </c>
    </row>
    <row r="469" spans="1:19" ht="22.5" x14ac:dyDescent="0.25">
      <c r="A469" s="880">
        <v>2025</v>
      </c>
      <c r="B469" s="816" t="s">
        <v>313</v>
      </c>
      <c r="C469" s="816" t="s">
        <v>1200</v>
      </c>
      <c r="D469" s="816" t="s">
        <v>1224</v>
      </c>
      <c r="E469" s="816" t="s">
        <v>1742</v>
      </c>
      <c r="F469" s="816">
        <v>112565.4</v>
      </c>
      <c r="G469" s="816">
        <v>0</v>
      </c>
      <c r="H469" s="826">
        <v>0</v>
      </c>
      <c r="I469" s="826"/>
      <c r="J469" s="826">
        <v>833939</v>
      </c>
      <c r="K469" s="826">
        <v>2504.5</v>
      </c>
      <c r="L469" s="826"/>
      <c r="M469" s="826"/>
      <c r="N469" s="826"/>
      <c r="O469" s="826"/>
      <c r="P469" s="826">
        <v>833939</v>
      </c>
      <c r="Q469" s="881">
        <v>2504.5</v>
      </c>
      <c r="R469" s="889">
        <v>946504.4</v>
      </c>
      <c r="S469" s="889">
        <v>2504.5</v>
      </c>
    </row>
    <row r="470" spans="1:19" ht="33.75" x14ac:dyDescent="0.25">
      <c r="A470" s="880">
        <v>2025</v>
      </c>
      <c r="B470" s="816" t="s">
        <v>313</v>
      </c>
      <c r="C470" s="816" t="s">
        <v>1210</v>
      </c>
      <c r="D470" s="816" t="s">
        <v>1243</v>
      </c>
      <c r="E470" s="816" t="s">
        <v>1743</v>
      </c>
      <c r="F470" s="816">
        <v>333951</v>
      </c>
      <c r="G470" s="816">
        <v>0</v>
      </c>
      <c r="H470" s="826">
        <v>200057</v>
      </c>
      <c r="I470" s="826"/>
      <c r="J470" s="826"/>
      <c r="K470" s="826"/>
      <c r="L470" s="826"/>
      <c r="M470" s="826"/>
      <c r="N470" s="826"/>
      <c r="O470" s="826"/>
      <c r="P470" s="826">
        <v>200057</v>
      </c>
      <c r="Q470" s="881">
        <v>0</v>
      </c>
      <c r="R470" s="889">
        <v>534008</v>
      </c>
      <c r="S470" s="889">
        <v>0</v>
      </c>
    </row>
    <row r="471" spans="1:19" ht="22.5" x14ac:dyDescent="0.25">
      <c r="A471" s="880">
        <v>2025</v>
      </c>
      <c r="B471" s="816" t="s">
        <v>315</v>
      </c>
      <c r="C471" s="816" t="s">
        <v>1143</v>
      </c>
      <c r="D471" s="816" t="s">
        <v>1226</v>
      </c>
      <c r="E471" s="816" t="s">
        <v>1744</v>
      </c>
      <c r="F471" s="816">
        <v>94697.919999999998</v>
      </c>
      <c r="G471" s="816">
        <v>0</v>
      </c>
      <c r="H471" s="826">
        <v>46897419</v>
      </c>
      <c r="I471" s="826"/>
      <c r="J471" s="826"/>
      <c r="K471" s="826"/>
      <c r="L471" s="826"/>
      <c r="M471" s="826"/>
      <c r="N471" s="826"/>
      <c r="O471" s="826"/>
      <c r="P471" s="826">
        <v>46897419</v>
      </c>
      <c r="Q471" s="881">
        <v>0</v>
      </c>
      <c r="R471" s="889">
        <v>46992116.920000002</v>
      </c>
      <c r="S471" s="889">
        <v>0</v>
      </c>
    </row>
    <row r="472" spans="1:19" ht="22.5" x14ac:dyDescent="0.25">
      <c r="A472" s="880">
        <v>2025</v>
      </c>
      <c r="B472" s="816" t="s">
        <v>315</v>
      </c>
      <c r="C472" s="816" t="s">
        <v>1155</v>
      </c>
      <c r="D472" s="816" t="s">
        <v>1228</v>
      </c>
      <c r="E472" s="816" t="s">
        <v>1745</v>
      </c>
      <c r="F472" s="816">
        <v>1014403.6</v>
      </c>
      <c r="G472" s="816">
        <v>2078.5700000000002</v>
      </c>
      <c r="H472" s="826">
        <v>1568078</v>
      </c>
      <c r="I472" s="826">
        <v>3369</v>
      </c>
      <c r="J472" s="826">
        <v>115125904</v>
      </c>
      <c r="K472" s="826">
        <v>307892</v>
      </c>
      <c r="L472" s="826">
        <v>2621407</v>
      </c>
      <c r="M472" s="826">
        <v>4665</v>
      </c>
      <c r="N472" s="826"/>
      <c r="O472" s="826"/>
      <c r="P472" s="826">
        <v>119315389</v>
      </c>
      <c r="Q472" s="881">
        <v>315926</v>
      </c>
      <c r="R472" s="889">
        <v>120329792.59999999</v>
      </c>
      <c r="S472" s="889">
        <v>318004.57</v>
      </c>
    </row>
    <row r="473" spans="1:19" ht="22.5" x14ac:dyDescent="0.25">
      <c r="A473" s="880">
        <v>2025</v>
      </c>
      <c r="B473" s="816" t="s">
        <v>315</v>
      </c>
      <c r="C473" s="816" t="s">
        <v>1184</v>
      </c>
      <c r="D473" s="816" t="s">
        <v>1184</v>
      </c>
      <c r="E473" s="816" t="s">
        <v>1746</v>
      </c>
      <c r="F473" s="816">
        <v>88496</v>
      </c>
      <c r="G473" s="816">
        <v>0</v>
      </c>
      <c r="H473" s="826">
        <v>186561749</v>
      </c>
      <c r="I473" s="826"/>
      <c r="J473" s="826"/>
      <c r="K473" s="826"/>
      <c r="L473" s="826"/>
      <c r="M473" s="826"/>
      <c r="N473" s="826"/>
      <c r="O473" s="826"/>
      <c r="P473" s="826">
        <v>186561749</v>
      </c>
      <c r="Q473" s="881">
        <v>0</v>
      </c>
      <c r="R473" s="889">
        <v>186650245</v>
      </c>
      <c r="S473" s="889">
        <v>0</v>
      </c>
    </row>
    <row r="474" spans="1:19" ht="22.5" x14ac:dyDescent="0.25">
      <c r="A474" s="880">
        <v>2025</v>
      </c>
      <c r="B474" s="816" t="s">
        <v>315</v>
      </c>
      <c r="C474" s="816" t="s">
        <v>1194</v>
      </c>
      <c r="D474" s="816" t="s">
        <v>1240</v>
      </c>
      <c r="E474" s="816" t="s">
        <v>1747</v>
      </c>
      <c r="F474" s="816">
        <v>37145</v>
      </c>
      <c r="G474" s="816">
        <v>102</v>
      </c>
      <c r="H474" s="826">
        <v>351933</v>
      </c>
      <c r="I474" s="826">
        <v>966</v>
      </c>
      <c r="J474" s="826"/>
      <c r="K474" s="826"/>
      <c r="L474" s="826"/>
      <c r="M474" s="826"/>
      <c r="N474" s="826"/>
      <c r="O474" s="826"/>
      <c r="P474" s="826">
        <v>351933</v>
      </c>
      <c r="Q474" s="881">
        <v>966</v>
      </c>
      <c r="R474" s="889">
        <v>389078</v>
      </c>
      <c r="S474" s="889">
        <v>1068</v>
      </c>
    </row>
    <row r="475" spans="1:19" ht="22.5" x14ac:dyDescent="0.25">
      <c r="A475" s="880">
        <v>2025</v>
      </c>
      <c r="B475" s="816" t="s">
        <v>315</v>
      </c>
      <c r="C475" s="816" t="s">
        <v>1200</v>
      </c>
      <c r="D475" s="816" t="s">
        <v>1224</v>
      </c>
      <c r="E475" s="816" t="s">
        <v>1748</v>
      </c>
      <c r="F475" s="816">
        <v>112565.4</v>
      </c>
      <c r="G475" s="816">
        <v>0</v>
      </c>
      <c r="H475" s="826">
        <v>0</v>
      </c>
      <c r="I475" s="826"/>
      <c r="J475" s="826">
        <v>1442356</v>
      </c>
      <c r="K475" s="826">
        <v>4009</v>
      </c>
      <c r="L475" s="826"/>
      <c r="M475" s="826"/>
      <c r="N475" s="826"/>
      <c r="O475" s="826"/>
      <c r="P475" s="826">
        <v>1442356</v>
      </c>
      <c r="Q475" s="881">
        <v>4009</v>
      </c>
      <c r="R475" s="889">
        <v>1554921.4</v>
      </c>
      <c r="S475" s="889">
        <v>4009</v>
      </c>
    </row>
    <row r="476" spans="1:19" ht="33.75" x14ac:dyDescent="0.25">
      <c r="A476" s="880">
        <v>2025</v>
      </c>
      <c r="B476" s="816" t="s">
        <v>315</v>
      </c>
      <c r="C476" s="816" t="s">
        <v>1210</v>
      </c>
      <c r="D476" s="816" t="s">
        <v>1243</v>
      </c>
      <c r="E476" s="816" t="s">
        <v>1749</v>
      </c>
      <c r="F476" s="816">
        <v>333951</v>
      </c>
      <c r="G476" s="816">
        <v>0</v>
      </c>
      <c r="H476" s="826">
        <v>767860</v>
      </c>
      <c r="I476" s="465"/>
      <c r="J476" s="465">
        <v>76415</v>
      </c>
      <c r="K476" s="465"/>
      <c r="L476" s="465"/>
      <c r="M476" s="465"/>
      <c r="N476" s="465"/>
      <c r="O476" s="465"/>
      <c r="P476" s="826">
        <v>844275</v>
      </c>
      <c r="Q476" s="881">
        <v>0</v>
      </c>
      <c r="R476" s="889">
        <v>1178226</v>
      </c>
      <c r="S476" s="889">
        <v>0</v>
      </c>
    </row>
    <row r="477" spans="1:19" ht="22.5" x14ac:dyDescent="0.25">
      <c r="A477" s="880">
        <v>2025</v>
      </c>
      <c r="B477" s="816" t="s">
        <v>317</v>
      </c>
      <c r="C477" s="816" t="s">
        <v>1143</v>
      </c>
      <c r="D477" s="816" t="s">
        <v>1226</v>
      </c>
      <c r="E477" s="816" t="s">
        <v>1750</v>
      </c>
      <c r="F477" s="816">
        <v>94697.919999999998</v>
      </c>
      <c r="G477" s="816">
        <v>0</v>
      </c>
      <c r="H477" s="826">
        <v>9218860.0999999996</v>
      </c>
      <c r="I477" s="826"/>
      <c r="J477" s="826"/>
      <c r="K477" s="826"/>
      <c r="L477" s="826"/>
      <c r="M477" s="826"/>
      <c r="N477" s="826"/>
      <c r="O477" s="826"/>
      <c r="P477" s="826">
        <v>9218860.0999999996</v>
      </c>
      <c r="Q477" s="881">
        <v>0</v>
      </c>
      <c r="R477" s="889">
        <v>9313558.0199999996</v>
      </c>
      <c r="S477" s="889">
        <v>0</v>
      </c>
    </row>
    <row r="478" spans="1:19" ht="22.5" x14ac:dyDescent="0.25">
      <c r="A478" s="880">
        <v>2025</v>
      </c>
      <c r="B478" s="816" t="s">
        <v>317</v>
      </c>
      <c r="C478" s="816" t="s">
        <v>1155</v>
      </c>
      <c r="D478" s="816" t="s">
        <v>1233</v>
      </c>
      <c r="E478" s="816" t="s">
        <v>1751</v>
      </c>
      <c r="F478" s="816">
        <v>0</v>
      </c>
      <c r="G478" s="816">
        <v>0</v>
      </c>
      <c r="H478" s="826">
        <v>0</v>
      </c>
      <c r="I478" s="465"/>
      <c r="J478" s="465">
        <v>21249074.41</v>
      </c>
      <c r="K478" s="465">
        <v>54594.98</v>
      </c>
      <c r="L478" s="465"/>
      <c r="M478" s="465"/>
      <c r="N478" s="465"/>
      <c r="O478" s="465"/>
      <c r="P478" s="826">
        <v>21249074.41</v>
      </c>
      <c r="Q478" s="881">
        <v>54594.98</v>
      </c>
      <c r="R478" s="889">
        <v>21249074.41</v>
      </c>
      <c r="S478" s="889">
        <v>54594.98</v>
      </c>
    </row>
    <row r="479" spans="1:19" ht="22.5" x14ac:dyDescent="0.25">
      <c r="A479" s="880">
        <v>2025</v>
      </c>
      <c r="B479" s="816" t="s">
        <v>317</v>
      </c>
      <c r="C479" s="816" t="s">
        <v>1155</v>
      </c>
      <c r="D479" s="816" t="s">
        <v>1235</v>
      </c>
      <c r="E479" s="816" t="s">
        <v>1752</v>
      </c>
      <c r="F479" s="816">
        <v>57477609</v>
      </c>
      <c r="G479" s="816">
        <v>172041</v>
      </c>
      <c r="H479" s="826">
        <v>0</v>
      </c>
      <c r="I479" s="465"/>
      <c r="J479" s="826">
        <v>19494749.68</v>
      </c>
      <c r="K479" s="826">
        <v>64018.91</v>
      </c>
      <c r="L479" s="465"/>
      <c r="M479" s="465"/>
      <c r="N479" s="465"/>
      <c r="O479" s="465"/>
      <c r="P479" s="826">
        <v>19494749.68</v>
      </c>
      <c r="Q479" s="881">
        <v>64018.91</v>
      </c>
      <c r="R479" s="889">
        <v>76972358.680000007</v>
      </c>
      <c r="S479" s="889">
        <v>236059.91</v>
      </c>
    </row>
    <row r="480" spans="1:19" ht="22.5" x14ac:dyDescent="0.25">
      <c r="A480" s="880">
        <v>2025</v>
      </c>
      <c r="B480" s="816" t="s">
        <v>317</v>
      </c>
      <c r="C480" s="816" t="s">
        <v>1184</v>
      </c>
      <c r="D480" s="816" t="s">
        <v>1184</v>
      </c>
      <c r="E480" s="816" t="s">
        <v>1753</v>
      </c>
      <c r="F480" s="816">
        <v>88496</v>
      </c>
      <c r="G480" s="816">
        <v>0</v>
      </c>
      <c r="H480" s="826">
        <v>28344355.84</v>
      </c>
      <c r="I480" s="465"/>
      <c r="J480" s="465"/>
      <c r="K480" s="465"/>
      <c r="L480" s="465"/>
      <c r="M480" s="465"/>
      <c r="N480" s="465"/>
      <c r="O480" s="465"/>
      <c r="P480" s="826">
        <v>28344355.84</v>
      </c>
      <c r="Q480" s="881">
        <v>0</v>
      </c>
      <c r="R480" s="889">
        <v>28432851.84</v>
      </c>
      <c r="S480" s="889">
        <v>0</v>
      </c>
    </row>
    <row r="481" spans="1:19" ht="22.5" x14ac:dyDescent="0.25">
      <c r="A481" s="880">
        <v>2025</v>
      </c>
      <c r="B481" s="816" t="s">
        <v>317</v>
      </c>
      <c r="C481" s="816" t="s">
        <v>1194</v>
      </c>
      <c r="D481" s="816" t="s">
        <v>1240</v>
      </c>
      <c r="E481" s="816" t="s">
        <v>1754</v>
      </c>
      <c r="F481" s="816">
        <v>37145</v>
      </c>
      <c r="G481" s="816">
        <v>102</v>
      </c>
      <c r="H481" s="826">
        <v>12902.97</v>
      </c>
      <c r="I481" s="465">
        <v>35.840000000000003</v>
      </c>
      <c r="J481" s="465"/>
      <c r="K481" s="465"/>
      <c r="L481" s="465"/>
      <c r="M481" s="465"/>
      <c r="N481" s="465"/>
      <c r="O481" s="465"/>
      <c r="P481" s="826">
        <v>12902.97</v>
      </c>
      <c r="Q481" s="881">
        <v>35.840000000000003</v>
      </c>
      <c r="R481" s="889">
        <v>50047.97</v>
      </c>
      <c r="S481" s="889">
        <v>137.84</v>
      </c>
    </row>
    <row r="482" spans="1:19" ht="22.5" x14ac:dyDescent="0.25">
      <c r="A482" s="880">
        <v>2025</v>
      </c>
      <c r="B482" s="816" t="s">
        <v>317</v>
      </c>
      <c r="C482" s="816" t="s">
        <v>1200</v>
      </c>
      <c r="D482" s="816" t="s">
        <v>1224</v>
      </c>
      <c r="E482" s="816" t="s">
        <v>1755</v>
      </c>
      <c r="F482" s="816">
        <v>112565.4</v>
      </c>
      <c r="G482" s="816">
        <v>0</v>
      </c>
      <c r="H482" s="826">
        <v>0</v>
      </c>
      <c r="I482" s="826"/>
      <c r="J482" s="826">
        <v>214670.65</v>
      </c>
      <c r="K482" s="826">
        <v>589.48</v>
      </c>
      <c r="L482" s="826"/>
      <c r="M482" s="826"/>
      <c r="N482" s="826"/>
      <c r="O482" s="826"/>
      <c r="P482" s="826">
        <v>214670.65</v>
      </c>
      <c r="Q482" s="881">
        <v>589.48</v>
      </c>
      <c r="R482" s="889">
        <v>327236.05</v>
      </c>
      <c r="S482" s="889">
        <v>589.48</v>
      </c>
    </row>
    <row r="483" spans="1:19" ht="33.75" x14ac:dyDescent="0.25">
      <c r="A483" s="880">
        <v>2025</v>
      </c>
      <c r="B483" s="816" t="s">
        <v>317</v>
      </c>
      <c r="C483" s="816" t="s">
        <v>1210</v>
      </c>
      <c r="D483" s="816" t="s">
        <v>1243</v>
      </c>
      <c r="E483" s="816" t="s">
        <v>1756</v>
      </c>
      <c r="F483" s="816">
        <v>333951</v>
      </c>
      <c r="G483" s="816">
        <v>0</v>
      </c>
      <c r="H483" s="826">
        <v>6501.01</v>
      </c>
      <c r="I483" s="465"/>
      <c r="J483" s="465"/>
      <c r="K483" s="465"/>
      <c r="L483" s="465"/>
      <c r="M483" s="465"/>
      <c r="N483" s="465"/>
      <c r="O483" s="465"/>
      <c r="P483" s="826">
        <v>6501.01</v>
      </c>
      <c r="Q483" s="881">
        <v>0</v>
      </c>
      <c r="R483" s="889">
        <v>340452.01</v>
      </c>
      <c r="S483" s="889">
        <v>0</v>
      </c>
    </row>
    <row r="484" spans="1:19" ht="22.5" x14ac:dyDescent="0.25">
      <c r="A484" s="880">
        <v>2025</v>
      </c>
      <c r="B484" s="816" t="s">
        <v>319</v>
      </c>
      <c r="C484" s="816" t="s">
        <v>1143</v>
      </c>
      <c r="D484" s="816" t="s">
        <v>1226</v>
      </c>
      <c r="E484" s="816" t="s">
        <v>1757</v>
      </c>
      <c r="F484" s="816">
        <v>94697.919999999998</v>
      </c>
      <c r="G484" s="816">
        <v>0</v>
      </c>
      <c r="H484" s="826">
        <v>53981603.850000001</v>
      </c>
      <c r="I484" s="826">
        <v>0</v>
      </c>
      <c r="J484" s="465">
        <v>0</v>
      </c>
      <c r="K484" s="465">
        <v>0</v>
      </c>
      <c r="L484" s="465"/>
      <c r="M484" s="465"/>
      <c r="N484" s="465"/>
      <c r="O484" s="465"/>
      <c r="P484" s="826">
        <v>53981603.850000001</v>
      </c>
      <c r="Q484" s="881">
        <v>0</v>
      </c>
      <c r="R484" s="889">
        <v>54076301.770000003</v>
      </c>
      <c r="S484" s="889">
        <v>0</v>
      </c>
    </row>
    <row r="485" spans="1:19" ht="22.5" x14ac:dyDescent="0.25">
      <c r="A485" s="880">
        <v>2025</v>
      </c>
      <c r="B485" s="816" t="s">
        <v>319</v>
      </c>
      <c r="C485" s="816" t="s">
        <v>1155</v>
      </c>
      <c r="D485" s="816" t="s">
        <v>1228</v>
      </c>
      <c r="E485" s="816" t="s">
        <v>1758</v>
      </c>
      <c r="F485" s="816">
        <v>1014403.6</v>
      </c>
      <c r="G485" s="816">
        <v>2078.5700000000002</v>
      </c>
      <c r="H485" s="826">
        <v>5348962.3</v>
      </c>
      <c r="I485" s="465">
        <v>14740.66</v>
      </c>
      <c r="J485" s="826">
        <v>113179529.91</v>
      </c>
      <c r="K485" s="826">
        <v>298297</v>
      </c>
      <c r="L485" s="465">
        <v>4328.8999999999996</v>
      </c>
      <c r="M485" s="465">
        <v>30.72</v>
      </c>
      <c r="N485" s="465"/>
      <c r="O485" s="465"/>
      <c r="P485" s="826">
        <v>118532821.11</v>
      </c>
      <c r="Q485" s="881">
        <v>313068.38</v>
      </c>
      <c r="R485" s="889">
        <v>119547224.70999999</v>
      </c>
      <c r="S485" s="889">
        <v>315146.95</v>
      </c>
    </row>
    <row r="486" spans="1:19" ht="22.5" x14ac:dyDescent="0.25">
      <c r="A486" s="880">
        <v>2025</v>
      </c>
      <c r="B486" s="816" t="s">
        <v>319</v>
      </c>
      <c r="C486" s="816" t="s">
        <v>1184</v>
      </c>
      <c r="D486" s="816" t="s">
        <v>1184</v>
      </c>
      <c r="E486" s="816" t="s">
        <v>1759</v>
      </c>
      <c r="F486" s="816">
        <v>88496</v>
      </c>
      <c r="G486" s="816">
        <v>0</v>
      </c>
      <c r="H486" s="826">
        <v>191612402.47</v>
      </c>
      <c r="I486" s="465">
        <v>0</v>
      </c>
      <c r="J486" s="826">
        <v>0</v>
      </c>
      <c r="K486" s="465">
        <v>0</v>
      </c>
      <c r="L486" s="465"/>
      <c r="M486" s="465"/>
      <c r="N486" s="465"/>
      <c r="O486" s="465"/>
      <c r="P486" s="826">
        <v>191612402.47</v>
      </c>
      <c r="Q486" s="881">
        <v>0</v>
      </c>
      <c r="R486" s="889">
        <v>191700898.47</v>
      </c>
      <c r="S486" s="889">
        <v>0</v>
      </c>
    </row>
    <row r="487" spans="1:19" ht="22.5" x14ac:dyDescent="0.25">
      <c r="A487" s="880">
        <v>2025</v>
      </c>
      <c r="B487" s="816" t="s">
        <v>319</v>
      </c>
      <c r="C487" s="816" t="s">
        <v>1194</v>
      </c>
      <c r="D487" s="816" t="s">
        <v>1240</v>
      </c>
      <c r="E487" s="816" t="s">
        <v>1760</v>
      </c>
      <c r="F487" s="816">
        <v>37145</v>
      </c>
      <c r="G487" s="816">
        <v>102</v>
      </c>
      <c r="H487" s="826">
        <v>19037.66</v>
      </c>
      <c r="I487" s="826">
        <v>49.75</v>
      </c>
      <c r="J487" s="826">
        <v>0</v>
      </c>
      <c r="K487" s="826">
        <v>0</v>
      </c>
      <c r="L487" s="826"/>
      <c r="M487" s="826"/>
      <c r="N487" s="826"/>
      <c r="O487" s="826"/>
      <c r="P487" s="826">
        <v>19037.66</v>
      </c>
      <c r="Q487" s="881">
        <v>49.75</v>
      </c>
      <c r="R487" s="889">
        <v>56182.66</v>
      </c>
      <c r="S487" s="889">
        <v>151.75</v>
      </c>
    </row>
    <row r="488" spans="1:19" ht="22.5" x14ac:dyDescent="0.25">
      <c r="A488" s="880">
        <v>2025</v>
      </c>
      <c r="B488" s="816" t="s">
        <v>319</v>
      </c>
      <c r="C488" s="816" t="s">
        <v>1200</v>
      </c>
      <c r="D488" s="816" t="s">
        <v>1224</v>
      </c>
      <c r="E488" s="816" t="s">
        <v>1761</v>
      </c>
      <c r="F488" s="816">
        <v>112565.4</v>
      </c>
      <c r="G488" s="816">
        <v>0</v>
      </c>
      <c r="H488" s="826">
        <v>0</v>
      </c>
      <c r="I488" s="826">
        <v>0</v>
      </c>
      <c r="J488" s="826">
        <v>591710.28</v>
      </c>
      <c r="K488" s="826">
        <v>1593.38</v>
      </c>
      <c r="L488" s="826"/>
      <c r="M488" s="826"/>
      <c r="N488" s="826"/>
      <c r="O488" s="826"/>
      <c r="P488" s="826">
        <v>591710.28</v>
      </c>
      <c r="Q488" s="881">
        <v>1593.38</v>
      </c>
      <c r="R488" s="889">
        <v>704275.68</v>
      </c>
      <c r="S488" s="889">
        <v>1593.38</v>
      </c>
    </row>
    <row r="489" spans="1:19" ht="33.75" x14ac:dyDescent="0.25">
      <c r="A489" s="880">
        <v>2025</v>
      </c>
      <c r="B489" s="816" t="s">
        <v>319</v>
      </c>
      <c r="C489" s="816" t="s">
        <v>1210</v>
      </c>
      <c r="D489" s="816" t="s">
        <v>1243</v>
      </c>
      <c r="E489" s="816" t="s">
        <v>1762</v>
      </c>
      <c r="F489" s="816">
        <v>333951</v>
      </c>
      <c r="G489" s="816">
        <v>0</v>
      </c>
      <c r="H489" s="826">
        <v>185884.13</v>
      </c>
      <c r="I489" s="826">
        <v>0</v>
      </c>
      <c r="J489" s="826">
        <v>0</v>
      </c>
      <c r="K489" s="826">
        <v>0</v>
      </c>
      <c r="L489" s="826"/>
      <c r="M489" s="826"/>
      <c r="N489" s="826"/>
      <c r="O489" s="826"/>
      <c r="P489" s="826">
        <v>185884.13</v>
      </c>
      <c r="Q489" s="881">
        <v>0</v>
      </c>
      <c r="R489" s="889">
        <v>519835.13</v>
      </c>
      <c r="S489" s="889">
        <v>0</v>
      </c>
    </row>
    <row r="490" spans="1:19" ht="22.5" x14ac:dyDescent="0.25">
      <c r="A490" s="880">
        <v>2025</v>
      </c>
      <c r="B490" s="816" t="s">
        <v>167</v>
      </c>
      <c r="C490" s="816" t="s">
        <v>1763</v>
      </c>
      <c r="D490" s="816" t="s">
        <v>1763</v>
      </c>
      <c r="E490" s="816" t="s">
        <v>1764</v>
      </c>
      <c r="F490" s="816">
        <v>0</v>
      </c>
      <c r="G490" s="816">
        <v>0</v>
      </c>
      <c r="H490" s="826">
        <v>0</v>
      </c>
      <c r="I490" s="826">
        <v>0</v>
      </c>
      <c r="J490" s="826">
        <v>0</v>
      </c>
      <c r="K490" s="826">
        <v>0</v>
      </c>
      <c r="L490" s="826">
        <v>0</v>
      </c>
      <c r="M490" s="826">
        <v>0</v>
      </c>
      <c r="N490" s="826">
        <v>6773007712.2700005</v>
      </c>
      <c r="O490" s="826">
        <v>14074832.550000001</v>
      </c>
      <c r="P490" s="826">
        <v>0</v>
      </c>
      <c r="Q490" s="881">
        <v>0</v>
      </c>
      <c r="R490" s="889">
        <v>0</v>
      </c>
      <c r="S490" s="889">
        <v>0</v>
      </c>
    </row>
    <row r="491" spans="1:19" ht="22.5" x14ac:dyDescent="0.25">
      <c r="A491" s="880">
        <v>2025</v>
      </c>
      <c r="B491" s="816" t="s">
        <v>171</v>
      </c>
      <c r="C491" s="816" t="s">
        <v>1763</v>
      </c>
      <c r="D491" s="816" t="s">
        <v>1763</v>
      </c>
      <c r="E491" s="816" t="s">
        <v>1765</v>
      </c>
      <c r="F491" s="816">
        <v>0</v>
      </c>
      <c r="G491" s="816">
        <v>0</v>
      </c>
      <c r="H491" s="826">
        <v>0</v>
      </c>
      <c r="I491" s="826">
        <v>0</v>
      </c>
      <c r="J491" s="826">
        <v>0</v>
      </c>
      <c r="K491" s="826">
        <v>0</v>
      </c>
      <c r="L491" s="826">
        <v>0</v>
      </c>
      <c r="M491" s="826">
        <v>0</v>
      </c>
      <c r="N491" s="826">
        <v>114970784.28</v>
      </c>
      <c r="O491" s="826">
        <v>225160.22</v>
      </c>
      <c r="P491" s="826">
        <v>0</v>
      </c>
      <c r="Q491" s="881">
        <v>0</v>
      </c>
      <c r="R491" s="889">
        <v>0</v>
      </c>
      <c r="S491" s="889">
        <v>0</v>
      </c>
    </row>
    <row r="492" spans="1:19" ht="22.5" x14ac:dyDescent="0.25">
      <c r="A492" s="880">
        <v>2025</v>
      </c>
      <c r="B492" s="816" t="s">
        <v>176</v>
      </c>
      <c r="C492" s="816" t="s">
        <v>1763</v>
      </c>
      <c r="D492" s="816" t="s">
        <v>1763</v>
      </c>
      <c r="E492" s="816" t="s">
        <v>1766</v>
      </c>
      <c r="F492" s="816">
        <v>0</v>
      </c>
      <c r="G492" s="816">
        <v>0</v>
      </c>
      <c r="H492" s="826">
        <v>0</v>
      </c>
      <c r="I492" s="826">
        <v>0</v>
      </c>
      <c r="J492" s="826">
        <v>0</v>
      </c>
      <c r="K492" s="826">
        <v>0</v>
      </c>
      <c r="L492" s="826">
        <v>0</v>
      </c>
      <c r="M492" s="826">
        <v>0</v>
      </c>
      <c r="N492" s="826">
        <v>9282562</v>
      </c>
      <c r="O492" s="826">
        <v>31173.49</v>
      </c>
      <c r="P492" s="826">
        <v>0</v>
      </c>
      <c r="Q492" s="881">
        <v>0</v>
      </c>
      <c r="R492" s="889">
        <v>0</v>
      </c>
      <c r="S492" s="889">
        <v>0</v>
      </c>
    </row>
    <row r="493" spans="1:19" ht="22.5" x14ac:dyDescent="0.25">
      <c r="A493" s="880">
        <v>2025</v>
      </c>
      <c r="B493" s="816" t="s">
        <v>181</v>
      </c>
      <c r="C493" s="816" t="s">
        <v>1763</v>
      </c>
      <c r="D493" s="816" t="s">
        <v>1763</v>
      </c>
      <c r="E493" s="816" t="s">
        <v>1767</v>
      </c>
      <c r="F493" s="816">
        <v>0</v>
      </c>
      <c r="G493" s="816">
        <v>0</v>
      </c>
      <c r="H493" s="826">
        <v>0</v>
      </c>
      <c r="I493" s="826">
        <v>0</v>
      </c>
      <c r="J493" s="826">
        <v>0</v>
      </c>
      <c r="K493" s="826">
        <v>0</v>
      </c>
      <c r="L493" s="826">
        <v>0</v>
      </c>
      <c r="M493" s="826">
        <v>0</v>
      </c>
      <c r="N493" s="826">
        <v>287407259</v>
      </c>
      <c r="O493" s="826">
        <v>534186</v>
      </c>
      <c r="P493" s="826">
        <v>0</v>
      </c>
      <c r="Q493" s="881">
        <v>0</v>
      </c>
      <c r="R493" s="889">
        <v>0</v>
      </c>
      <c r="S493" s="889">
        <v>0</v>
      </c>
    </row>
    <row r="494" spans="1:19" ht="22.5" x14ac:dyDescent="0.25">
      <c r="A494" s="880">
        <v>2025</v>
      </c>
      <c r="B494" s="816" t="s">
        <v>191</v>
      </c>
      <c r="C494" s="816" t="s">
        <v>1763</v>
      </c>
      <c r="D494" s="816" t="s">
        <v>1763</v>
      </c>
      <c r="E494" s="816" t="s">
        <v>1768</v>
      </c>
      <c r="F494" s="816">
        <v>0</v>
      </c>
      <c r="G494" s="816">
        <v>0</v>
      </c>
      <c r="H494" s="826">
        <v>0</v>
      </c>
      <c r="I494" s="826">
        <v>0</v>
      </c>
      <c r="J494" s="465">
        <v>0</v>
      </c>
      <c r="K494" s="465">
        <v>0</v>
      </c>
      <c r="L494" s="465">
        <v>0</v>
      </c>
      <c r="M494" s="465">
        <v>0</v>
      </c>
      <c r="N494" s="465">
        <v>217017872</v>
      </c>
      <c r="O494" s="465">
        <v>507740</v>
      </c>
      <c r="P494" s="826">
        <v>0</v>
      </c>
      <c r="Q494" s="881">
        <v>0</v>
      </c>
      <c r="R494" s="889">
        <v>0</v>
      </c>
      <c r="S494" s="889">
        <v>0</v>
      </c>
    </row>
    <row r="495" spans="1:19" ht="22.5" x14ac:dyDescent="0.25">
      <c r="A495" s="880">
        <v>2025</v>
      </c>
      <c r="B495" s="816" t="s">
        <v>196</v>
      </c>
      <c r="C495" s="816" t="s">
        <v>1763</v>
      </c>
      <c r="D495" s="816" t="s">
        <v>1763</v>
      </c>
      <c r="E495" s="816" t="s">
        <v>1769</v>
      </c>
      <c r="F495" s="816">
        <v>0</v>
      </c>
      <c r="G495" s="816">
        <v>0</v>
      </c>
      <c r="H495" s="826">
        <v>0</v>
      </c>
      <c r="I495" s="826">
        <v>0</v>
      </c>
      <c r="J495" s="826">
        <v>0</v>
      </c>
      <c r="K495" s="826">
        <v>0</v>
      </c>
      <c r="L495" s="826">
        <v>0</v>
      </c>
      <c r="M495" s="826">
        <v>0</v>
      </c>
      <c r="N495" s="826">
        <v>81556923</v>
      </c>
      <c r="O495" s="826">
        <v>264257</v>
      </c>
      <c r="P495" s="826">
        <v>0</v>
      </c>
      <c r="Q495" s="881">
        <v>0</v>
      </c>
      <c r="R495" s="889">
        <v>0</v>
      </c>
      <c r="S495" s="889">
        <v>0</v>
      </c>
    </row>
    <row r="496" spans="1:19" ht="22.5" x14ac:dyDescent="0.25">
      <c r="A496" s="880">
        <v>2025</v>
      </c>
      <c r="B496" s="816" t="s">
        <v>200</v>
      </c>
      <c r="C496" s="816" t="s">
        <v>1763</v>
      </c>
      <c r="D496" s="816" t="s">
        <v>1763</v>
      </c>
      <c r="E496" s="816" t="s">
        <v>1770</v>
      </c>
      <c r="F496" s="816">
        <v>0</v>
      </c>
      <c r="G496" s="816">
        <v>0</v>
      </c>
      <c r="H496" s="826">
        <v>0</v>
      </c>
      <c r="I496" s="826">
        <v>0</v>
      </c>
      <c r="J496" s="465">
        <v>0</v>
      </c>
      <c r="K496" s="465">
        <v>0</v>
      </c>
      <c r="L496" s="465">
        <v>0</v>
      </c>
      <c r="M496" s="465">
        <v>0</v>
      </c>
      <c r="N496" s="465">
        <v>22229458.039999999</v>
      </c>
      <c r="O496" s="465">
        <v>55009.91</v>
      </c>
      <c r="P496" s="826">
        <v>0</v>
      </c>
      <c r="Q496" s="881">
        <v>0</v>
      </c>
      <c r="R496" s="889">
        <v>0</v>
      </c>
      <c r="S496" s="889">
        <v>0</v>
      </c>
    </row>
    <row r="497" spans="1:19" ht="22.5" x14ac:dyDescent="0.25">
      <c r="A497" s="880">
        <v>2025</v>
      </c>
      <c r="B497" s="816" t="s">
        <v>209</v>
      </c>
      <c r="C497" s="816" t="s">
        <v>1763</v>
      </c>
      <c r="D497" s="816" t="s">
        <v>1763</v>
      </c>
      <c r="E497" s="816" t="s">
        <v>1771</v>
      </c>
      <c r="F497" s="816">
        <v>0</v>
      </c>
      <c r="G497" s="816">
        <v>0</v>
      </c>
      <c r="H497" s="826">
        <v>0</v>
      </c>
      <c r="I497" s="826">
        <v>0</v>
      </c>
      <c r="J497" s="465">
        <v>0</v>
      </c>
      <c r="K497" s="465">
        <v>0</v>
      </c>
      <c r="L497" s="465">
        <v>0</v>
      </c>
      <c r="M497" s="465">
        <v>0</v>
      </c>
      <c r="N497" s="465">
        <v>0</v>
      </c>
      <c r="O497" s="465">
        <v>0</v>
      </c>
      <c r="P497" s="826">
        <v>0</v>
      </c>
      <c r="Q497" s="881">
        <v>0</v>
      </c>
      <c r="R497" s="889">
        <v>0</v>
      </c>
      <c r="S497" s="889">
        <v>0</v>
      </c>
    </row>
    <row r="498" spans="1:19" ht="22.5" x14ac:dyDescent="0.25">
      <c r="A498" s="880">
        <v>2025</v>
      </c>
      <c r="B498" s="816" t="s">
        <v>212</v>
      </c>
      <c r="C498" s="816" t="s">
        <v>1763</v>
      </c>
      <c r="D498" s="816" t="s">
        <v>1763</v>
      </c>
      <c r="E498" s="816" t="s">
        <v>1772</v>
      </c>
      <c r="F498" s="816">
        <v>0</v>
      </c>
      <c r="G498" s="816">
        <v>0</v>
      </c>
      <c r="H498" s="826">
        <v>0</v>
      </c>
      <c r="I498" s="465">
        <v>0</v>
      </c>
      <c r="J498" s="826">
        <v>0</v>
      </c>
      <c r="K498" s="826">
        <v>0</v>
      </c>
      <c r="L498" s="465">
        <v>0</v>
      </c>
      <c r="M498" s="465">
        <v>0</v>
      </c>
      <c r="N498" s="465">
        <v>18974540.760000002</v>
      </c>
      <c r="O498" s="465">
        <v>62002.080000000002</v>
      </c>
      <c r="P498" s="826">
        <v>0</v>
      </c>
      <c r="Q498" s="881">
        <v>0</v>
      </c>
      <c r="R498" s="889">
        <v>0</v>
      </c>
      <c r="S498" s="889">
        <v>0</v>
      </c>
    </row>
    <row r="499" spans="1:19" ht="22.5" x14ac:dyDescent="0.25">
      <c r="A499" s="880">
        <v>2025</v>
      </c>
      <c r="B499" s="816" t="s">
        <v>214</v>
      </c>
      <c r="C499" s="816" t="s">
        <v>1763</v>
      </c>
      <c r="D499" s="816" t="s">
        <v>1763</v>
      </c>
      <c r="E499" s="816" t="s">
        <v>1773</v>
      </c>
      <c r="F499" s="816">
        <v>0</v>
      </c>
      <c r="G499" s="816">
        <v>0</v>
      </c>
      <c r="H499" s="826">
        <v>0</v>
      </c>
      <c r="I499" s="465">
        <v>0</v>
      </c>
      <c r="J499" s="465">
        <v>0</v>
      </c>
      <c r="K499" s="465">
        <v>0</v>
      </c>
      <c r="L499" s="465">
        <v>0</v>
      </c>
      <c r="M499" s="465">
        <v>0</v>
      </c>
      <c r="N499" s="465">
        <v>674993988</v>
      </c>
      <c r="O499" s="465">
        <v>1326118</v>
      </c>
      <c r="P499" s="826">
        <v>0</v>
      </c>
      <c r="Q499" s="881">
        <v>0</v>
      </c>
      <c r="R499" s="889">
        <v>0</v>
      </c>
      <c r="S499" s="889">
        <v>0</v>
      </c>
    </row>
    <row r="500" spans="1:19" x14ac:dyDescent="0.25">
      <c r="A500" s="912">
        <v>2025</v>
      </c>
      <c r="B500" s="913" t="s">
        <v>217</v>
      </c>
      <c r="C500" s="816" t="s">
        <v>1763</v>
      </c>
      <c r="D500" s="816" t="s">
        <v>1763</v>
      </c>
      <c r="E500" t="s">
        <v>1774</v>
      </c>
      <c r="F500" s="825">
        <v>0</v>
      </c>
      <c r="G500" s="825">
        <v>0</v>
      </c>
      <c r="H500" s="825">
        <v>0</v>
      </c>
      <c r="I500" s="825">
        <v>0</v>
      </c>
      <c r="J500" s="825">
        <v>0</v>
      </c>
      <c r="K500" s="825">
        <v>0</v>
      </c>
      <c r="L500" s="825">
        <v>0</v>
      </c>
      <c r="M500" s="825">
        <v>0</v>
      </c>
      <c r="N500" s="914">
        <v>561296416.75</v>
      </c>
      <c r="O500" s="915">
        <v>1315785.71</v>
      </c>
      <c r="P500" s="825">
        <v>0</v>
      </c>
      <c r="Q500" s="825">
        <v>0</v>
      </c>
      <c r="R500" s="889">
        <v>0</v>
      </c>
      <c r="S500" s="889">
        <v>0</v>
      </c>
    </row>
    <row r="501" spans="1:19" x14ac:dyDescent="0.25">
      <c r="A501" s="912">
        <v>2025</v>
      </c>
      <c r="B501" s="913" t="s">
        <v>220</v>
      </c>
      <c r="C501" s="816" t="s">
        <v>1763</v>
      </c>
      <c r="D501" s="816" t="s">
        <v>1763</v>
      </c>
      <c r="E501" t="s">
        <v>1775</v>
      </c>
      <c r="F501" s="825">
        <v>0</v>
      </c>
      <c r="G501" s="825">
        <v>0</v>
      </c>
      <c r="H501" s="825">
        <v>0</v>
      </c>
      <c r="I501" s="825">
        <v>0</v>
      </c>
      <c r="J501" s="825">
        <v>0</v>
      </c>
      <c r="K501" s="825">
        <v>0</v>
      </c>
      <c r="L501" s="825">
        <v>0</v>
      </c>
      <c r="M501" s="825">
        <v>0</v>
      </c>
      <c r="N501" s="914">
        <v>321511612</v>
      </c>
      <c r="O501" s="915">
        <v>722501</v>
      </c>
      <c r="P501" s="825">
        <v>0</v>
      </c>
      <c r="Q501" s="825">
        <v>0</v>
      </c>
      <c r="R501" s="889">
        <v>0</v>
      </c>
      <c r="S501" s="889">
        <v>0</v>
      </c>
    </row>
    <row r="502" spans="1:19" x14ac:dyDescent="0.25">
      <c r="A502" s="912">
        <v>2025</v>
      </c>
      <c r="B502" s="913" t="s">
        <v>222</v>
      </c>
      <c r="C502" s="816" t="s">
        <v>1763</v>
      </c>
      <c r="D502" s="816" t="s">
        <v>1763</v>
      </c>
      <c r="E502" t="s">
        <v>1776</v>
      </c>
      <c r="F502" s="825">
        <v>0</v>
      </c>
      <c r="G502" s="825">
        <v>0</v>
      </c>
      <c r="H502" s="825">
        <v>0</v>
      </c>
      <c r="I502" s="825">
        <v>0</v>
      </c>
      <c r="J502" s="825">
        <v>0</v>
      </c>
      <c r="K502" s="825">
        <v>0</v>
      </c>
      <c r="L502" s="825">
        <v>0</v>
      </c>
      <c r="M502" s="825">
        <v>0</v>
      </c>
      <c r="N502" s="914">
        <v>509372562.77999997</v>
      </c>
      <c r="O502" s="915">
        <v>1099427.3400000001</v>
      </c>
      <c r="P502" s="825">
        <v>0</v>
      </c>
      <c r="Q502" s="825">
        <v>0</v>
      </c>
      <c r="R502" s="889">
        <v>0</v>
      </c>
      <c r="S502" s="889">
        <v>0</v>
      </c>
    </row>
    <row r="503" spans="1:19" ht="22.5" x14ac:dyDescent="0.25">
      <c r="A503" s="912">
        <v>2025</v>
      </c>
      <c r="B503" s="913" t="s">
        <v>224</v>
      </c>
      <c r="C503" s="816" t="s">
        <v>1763</v>
      </c>
      <c r="D503" s="816" t="s">
        <v>1763</v>
      </c>
      <c r="E503" t="s">
        <v>1777</v>
      </c>
      <c r="F503" s="825">
        <v>0</v>
      </c>
      <c r="G503" s="825">
        <v>0</v>
      </c>
      <c r="H503" s="825">
        <v>0</v>
      </c>
      <c r="I503" s="825">
        <v>0</v>
      </c>
      <c r="J503" s="825">
        <v>0</v>
      </c>
      <c r="K503" s="825">
        <v>0</v>
      </c>
      <c r="L503" s="825">
        <v>0</v>
      </c>
      <c r="M503" s="825">
        <v>0</v>
      </c>
      <c r="N503" s="914">
        <v>53316625.369999997</v>
      </c>
      <c r="O503" s="915">
        <v>116455.54</v>
      </c>
      <c r="P503" s="825">
        <v>0</v>
      </c>
      <c r="Q503" s="825">
        <v>0</v>
      </c>
      <c r="R503" s="889">
        <v>0</v>
      </c>
      <c r="S503" s="889">
        <v>0</v>
      </c>
    </row>
    <row r="504" spans="1:19" x14ac:dyDescent="0.25">
      <c r="A504" s="912">
        <v>2025</v>
      </c>
      <c r="B504" s="913" t="s">
        <v>227</v>
      </c>
      <c r="C504" s="816" t="s">
        <v>1763</v>
      </c>
      <c r="D504" s="816" t="s">
        <v>1763</v>
      </c>
      <c r="E504" t="s">
        <v>1778</v>
      </c>
      <c r="F504" s="825">
        <v>0</v>
      </c>
      <c r="G504" s="825">
        <v>0</v>
      </c>
      <c r="H504" s="825">
        <v>0</v>
      </c>
      <c r="I504" s="825">
        <v>0</v>
      </c>
      <c r="J504" s="825">
        <v>0</v>
      </c>
      <c r="K504" s="825">
        <v>0</v>
      </c>
      <c r="L504" s="825">
        <v>0</v>
      </c>
      <c r="M504" s="825">
        <v>0</v>
      </c>
      <c r="N504" s="914">
        <v>205831908</v>
      </c>
      <c r="O504" s="915">
        <v>381901</v>
      </c>
      <c r="P504" s="825">
        <v>0</v>
      </c>
      <c r="Q504" s="825">
        <v>0</v>
      </c>
      <c r="R504" s="889">
        <v>0</v>
      </c>
      <c r="S504" s="889">
        <v>0</v>
      </c>
    </row>
    <row r="505" spans="1:19" ht="22.5" x14ac:dyDescent="0.25">
      <c r="A505" s="912">
        <v>2025</v>
      </c>
      <c r="B505" s="913" t="s">
        <v>232</v>
      </c>
      <c r="C505" s="816" t="s">
        <v>1763</v>
      </c>
      <c r="D505" s="816" t="s">
        <v>1763</v>
      </c>
      <c r="E505" t="s">
        <v>1779</v>
      </c>
      <c r="F505" s="825">
        <v>0</v>
      </c>
      <c r="G505" s="825">
        <v>0</v>
      </c>
      <c r="H505" s="825">
        <v>0</v>
      </c>
      <c r="I505" s="825">
        <v>0</v>
      </c>
      <c r="J505" s="825">
        <v>0</v>
      </c>
      <c r="K505" s="825">
        <v>0</v>
      </c>
      <c r="L505" s="825">
        <v>0</v>
      </c>
      <c r="M505" s="825">
        <v>0</v>
      </c>
      <c r="N505" s="914">
        <v>28540652.719999999</v>
      </c>
      <c r="O505" s="915">
        <v>79269.27</v>
      </c>
      <c r="P505" s="825">
        <v>0</v>
      </c>
      <c r="Q505" s="825">
        <v>0</v>
      </c>
      <c r="R505" s="889">
        <v>0</v>
      </c>
      <c r="S505" s="889">
        <v>0</v>
      </c>
    </row>
    <row r="506" spans="1:19" x14ac:dyDescent="0.25">
      <c r="A506" s="912">
        <v>2025</v>
      </c>
      <c r="B506" s="913" t="s">
        <v>234</v>
      </c>
      <c r="C506" s="816" t="s">
        <v>1763</v>
      </c>
      <c r="D506" s="816" t="s">
        <v>1763</v>
      </c>
      <c r="E506" t="s">
        <v>1780</v>
      </c>
      <c r="F506" s="825">
        <v>0</v>
      </c>
      <c r="G506" s="825">
        <v>0</v>
      </c>
      <c r="H506" s="825">
        <v>0</v>
      </c>
      <c r="I506" s="825">
        <v>0</v>
      </c>
      <c r="J506" s="825">
        <v>0</v>
      </c>
      <c r="K506" s="825">
        <v>0</v>
      </c>
      <c r="L506" s="825">
        <v>0</v>
      </c>
      <c r="M506" s="825">
        <v>0</v>
      </c>
      <c r="N506" s="914">
        <v>219506003.61000001</v>
      </c>
      <c r="O506" s="915">
        <v>468080.59</v>
      </c>
      <c r="P506" s="825">
        <v>0</v>
      </c>
      <c r="Q506" s="825">
        <v>0</v>
      </c>
      <c r="R506" s="889">
        <v>0</v>
      </c>
      <c r="S506" s="889">
        <v>0</v>
      </c>
    </row>
    <row r="507" spans="1:19" ht="22.5" x14ac:dyDescent="0.25">
      <c r="A507" s="912">
        <v>2025</v>
      </c>
      <c r="B507" s="913" t="s">
        <v>237</v>
      </c>
      <c r="C507" s="816" t="s">
        <v>1763</v>
      </c>
      <c r="D507" s="816" t="s">
        <v>1763</v>
      </c>
      <c r="E507" t="s">
        <v>1781</v>
      </c>
      <c r="F507" s="825">
        <v>0</v>
      </c>
      <c r="G507" s="825">
        <v>0</v>
      </c>
      <c r="H507" s="825">
        <v>0</v>
      </c>
      <c r="I507" s="825">
        <v>0</v>
      </c>
      <c r="J507" s="825">
        <v>0</v>
      </c>
      <c r="K507" s="825">
        <v>0</v>
      </c>
      <c r="L507" s="825">
        <v>0</v>
      </c>
      <c r="M507" s="825">
        <v>0</v>
      </c>
      <c r="N507" s="914"/>
      <c r="O507" s="915"/>
      <c r="P507" s="825">
        <v>0</v>
      </c>
      <c r="Q507" s="825">
        <v>0</v>
      </c>
      <c r="R507" s="889">
        <v>0</v>
      </c>
      <c r="S507" s="889">
        <v>0</v>
      </c>
    </row>
    <row r="508" spans="1:19" x14ac:dyDescent="0.25">
      <c r="A508" s="912">
        <v>2025</v>
      </c>
      <c r="B508" s="913" t="s">
        <v>186</v>
      </c>
      <c r="C508" s="816" t="s">
        <v>1763</v>
      </c>
      <c r="D508" s="816" t="s">
        <v>1763</v>
      </c>
      <c r="E508" t="s">
        <v>1782</v>
      </c>
      <c r="F508" s="825">
        <v>0</v>
      </c>
      <c r="G508" s="825">
        <v>0</v>
      </c>
      <c r="H508" s="825">
        <v>0</v>
      </c>
      <c r="I508" s="825">
        <v>0</v>
      </c>
      <c r="J508" s="825">
        <v>0</v>
      </c>
      <c r="K508" s="825">
        <v>0</v>
      </c>
      <c r="L508" s="825">
        <v>0</v>
      </c>
      <c r="M508" s="825">
        <v>0</v>
      </c>
      <c r="N508" s="914">
        <v>698919235.47000003</v>
      </c>
      <c r="O508" s="915">
        <v>1634084.9</v>
      </c>
      <c r="P508" s="825">
        <v>0</v>
      </c>
      <c r="Q508" s="825">
        <v>0</v>
      </c>
      <c r="R508" s="889">
        <v>0</v>
      </c>
      <c r="S508" s="889">
        <v>0</v>
      </c>
    </row>
    <row r="509" spans="1:19" ht="22.5" x14ac:dyDescent="0.25">
      <c r="A509" s="912">
        <v>2025</v>
      </c>
      <c r="B509" s="913" t="s">
        <v>240</v>
      </c>
      <c r="C509" s="816" t="s">
        <v>1763</v>
      </c>
      <c r="D509" s="816" t="s">
        <v>1763</v>
      </c>
      <c r="E509" t="s">
        <v>1783</v>
      </c>
      <c r="F509" s="825">
        <v>0</v>
      </c>
      <c r="G509" s="825">
        <v>0</v>
      </c>
      <c r="H509" s="825">
        <v>0</v>
      </c>
      <c r="I509" s="825">
        <v>0</v>
      </c>
      <c r="J509" s="825">
        <v>0</v>
      </c>
      <c r="K509" s="825">
        <v>0</v>
      </c>
      <c r="L509" s="825">
        <v>0</v>
      </c>
      <c r="M509" s="825">
        <v>0</v>
      </c>
      <c r="N509" s="914">
        <v>66704565.380000003</v>
      </c>
      <c r="O509" s="915">
        <v>135068.01</v>
      </c>
      <c r="P509" s="825">
        <v>0</v>
      </c>
      <c r="Q509" s="825">
        <v>0</v>
      </c>
      <c r="R509" s="889">
        <v>0</v>
      </c>
      <c r="S509" s="889">
        <v>0</v>
      </c>
    </row>
    <row r="510" spans="1:19" ht="22.5" x14ac:dyDescent="0.25">
      <c r="A510" s="912">
        <v>2025</v>
      </c>
      <c r="B510" s="913" t="s">
        <v>244</v>
      </c>
      <c r="C510" s="816" t="s">
        <v>1763</v>
      </c>
      <c r="D510" s="816" t="s">
        <v>1763</v>
      </c>
      <c r="E510" t="s">
        <v>1784</v>
      </c>
      <c r="F510" s="825">
        <v>0</v>
      </c>
      <c r="G510" s="825">
        <v>0</v>
      </c>
      <c r="H510" s="825">
        <v>0</v>
      </c>
      <c r="I510" s="825">
        <v>0</v>
      </c>
      <c r="J510" s="825">
        <v>0</v>
      </c>
      <c r="K510" s="825">
        <v>0</v>
      </c>
      <c r="L510" s="825">
        <v>0</v>
      </c>
      <c r="M510" s="825">
        <v>0</v>
      </c>
      <c r="N510" s="914">
        <v>8647777.5</v>
      </c>
      <c r="O510" s="915">
        <v>22583.77</v>
      </c>
      <c r="P510" s="825">
        <v>0</v>
      </c>
      <c r="Q510" s="825">
        <v>0</v>
      </c>
      <c r="R510" s="889">
        <v>0</v>
      </c>
      <c r="S510" s="889">
        <v>0</v>
      </c>
    </row>
    <row r="511" spans="1:19" x14ac:dyDescent="0.25">
      <c r="A511" s="912">
        <v>2025</v>
      </c>
      <c r="B511" s="913" t="s">
        <v>248</v>
      </c>
      <c r="C511" s="816" t="s">
        <v>1763</v>
      </c>
      <c r="D511" s="816" t="s">
        <v>1763</v>
      </c>
      <c r="E511" t="s">
        <v>1785</v>
      </c>
      <c r="F511" s="825">
        <v>0</v>
      </c>
      <c r="G511" s="825">
        <v>0</v>
      </c>
      <c r="H511" s="825">
        <v>0</v>
      </c>
      <c r="I511" s="825">
        <v>0</v>
      </c>
      <c r="J511" s="825">
        <v>0</v>
      </c>
      <c r="K511" s="825">
        <v>0</v>
      </c>
      <c r="L511" s="825">
        <v>0</v>
      </c>
      <c r="M511" s="825">
        <v>0</v>
      </c>
      <c r="N511" s="914">
        <v>79402894</v>
      </c>
      <c r="O511" s="915">
        <v>175518</v>
      </c>
      <c r="P511" s="825">
        <v>0</v>
      </c>
      <c r="Q511" s="825">
        <v>0</v>
      </c>
      <c r="R511" s="889">
        <v>0</v>
      </c>
      <c r="S511" s="889">
        <v>0</v>
      </c>
    </row>
    <row r="512" spans="1:19" ht="22.5" x14ac:dyDescent="0.25">
      <c r="A512" s="912">
        <v>2025</v>
      </c>
      <c r="B512" s="913" t="s">
        <v>252</v>
      </c>
      <c r="C512" s="816" t="s">
        <v>1763</v>
      </c>
      <c r="D512" s="816" t="s">
        <v>1763</v>
      </c>
      <c r="E512" t="s">
        <v>1786</v>
      </c>
      <c r="F512" s="825">
        <v>0</v>
      </c>
      <c r="G512" s="825">
        <v>0</v>
      </c>
      <c r="H512" s="825">
        <v>0</v>
      </c>
      <c r="I512" s="825">
        <v>0</v>
      </c>
      <c r="J512" s="825">
        <v>0</v>
      </c>
      <c r="K512" s="825">
        <v>0</v>
      </c>
      <c r="L512" s="825">
        <v>0</v>
      </c>
      <c r="M512" s="825">
        <v>0</v>
      </c>
      <c r="N512" s="914">
        <v>27723451</v>
      </c>
      <c r="O512" s="915">
        <v>80304.17</v>
      </c>
      <c r="P512" s="825">
        <v>0</v>
      </c>
      <c r="Q512" s="825">
        <v>0</v>
      </c>
      <c r="R512" s="889">
        <v>0</v>
      </c>
      <c r="S512" s="889">
        <v>0</v>
      </c>
    </row>
    <row r="513" spans="1:19" x14ac:dyDescent="0.25">
      <c r="A513" s="912">
        <v>2025</v>
      </c>
      <c r="B513" s="913" t="s">
        <v>255</v>
      </c>
      <c r="C513" s="816" t="s">
        <v>1763</v>
      </c>
      <c r="D513" s="816" t="s">
        <v>1763</v>
      </c>
      <c r="E513" t="s">
        <v>1787</v>
      </c>
      <c r="F513" s="825">
        <v>0</v>
      </c>
      <c r="G513" s="825">
        <v>0</v>
      </c>
      <c r="H513" s="825">
        <v>0</v>
      </c>
      <c r="I513" s="825">
        <v>0</v>
      </c>
      <c r="J513" s="825">
        <v>0</v>
      </c>
      <c r="K513" s="825">
        <v>0</v>
      </c>
      <c r="L513" s="825">
        <v>0</v>
      </c>
      <c r="M513" s="825">
        <v>0</v>
      </c>
      <c r="N513" s="914">
        <v>0</v>
      </c>
      <c r="O513" s="915">
        <v>0</v>
      </c>
      <c r="P513" s="825">
        <v>0</v>
      </c>
      <c r="Q513" s="825">
        <v>0</v>
      </c>
      <c r="R513" s="889">
        <v>0</v>
      </c>
      <c r="S513" s="889">
        <v>0</v>
      </c>
    </row>
    <row r="514" spans="1:19" x14ac:dyDescent="0.25">
      <c r="A514" s="912">
        <v>2025</v>
      </c>
      <c r="B514" s="913" t="s">
        <v>259</v>
      </c>
      <c r="C514" s="816" t="s">
        <v>1763</v>
      </c>
      <c r="D514" s="816" t="s">
        <v>1763</v>
      </c>
      <c r="E514" t="s">
        <v>1788</v>
      </c>
      <c r="F514" s="825">
        <v>0</v>
      </c>
      <c r="G514" s="825">
        <v>0</v>
      </c>
      <c r="H514" s="825">
        <v>0</v>
      </c>
      <c r="I514" s="825">
        <v>0</v>
      </c>
      <c r="J514" s="825">
        <v>0</v>
      </c>
      <c r="K514" s="825">
        <v>0</v>
      </c>
      <c r="L514" s="825">
        <v>0</v>
      </c>
      <c r="M514" s="825">
        <v>0</v>
      </c>
      <c r="N514" s="914">
        <v>19908130.969999999</v>
      </c>
      <c r="O514" s="915">
        <v>46226.49</v>
      </c>
      <c r="P514" s="825">
        <v>0</v>
      </c>
      <c r="Q514" s="825">
        <v>0</v>
      </c>
      <c r="R514" s="889">
        <v>0</v>
      </c>
      <c r="S514" s="889">
        <v>0</v>
      </c>
    </row>
    <row r="515" spans="1:19" x14ac:dyDescent="0.25">
      <c r="A515" s="912">
        <v>2025</v>
      </c>
      <c r="B515" s="913" t="s">
        <v>262</v>
      </c>
      <c r="C515" s="816" t="s">
        <v>1763</v>
      </c>
      <c r="D515" s="816" t="s">
        <v>1763</v>
      </c>
      <c r="E515" t="s">
        <v>1789</v>
      </c>
      <c r="F515" s="825">
        <v>0</v>
      </c>
      <c r="G515" s="825">
        <v>0</v>
      </c>
      <c r="H515" s="825">
        <v>0</v>
      </c>
      <c r="I515" s="825">
        <v>0</v>
      </c>
      <c r="J515" s="825">
        <v>0</v>
      </c>
      <c r="K515" s="825">
        <v>0</v>
      </c>
      <c r="L515" s="825">
        <v>0</v>
      </c>
      <c r="M515" s="825">
        <v>0</v>
      </c>
      <c r="N515" s="914">
        <v>5900350763.9399996</v>
      </c>
      <c r="O515" s="915">
        <v>13189870.73</v>
      </c>
      <c r="P515" s="825">
        <v>0</v>
      </c>
      <c r="Q515" s="825">
        <v>0</v>
      </c>
      <c r="R515" s="889">
        <v>0</v>
      </c>
      <c r="S515" s="889">
        <v>0</v>
      </c>
    </row>
    <row r="516" spans="1:19" x14ac:dyDescent="0.25">
      <c r="A516" s="912">
        <v>2025</v>
      </c>
      <c r="B516" s="913" t="s">
        <v>265</v>
      </c>
      <c r="C516" s="816" t="s">
        <v>1763</v>
      </c>
      <c r="D516" s="816" t="s">
        <v>1763</v>
      </c>
      <c r="E516" t="s">
        <v>1790</v>
      </c>
      <c r="F516" s="825">
        <v>0</v>
      </c>
      <c r="G516" s="825">
        <v>0</v>
      </c>
      <c r="H516" s="825">
        <v>0</v>
      </c>
      <c r="I516" s="825">
        <v>0</v>
      </c>
      <c r="J516" s="825">
        <v>0</v>
      </c>
      <c r="K516" s="825">
        <v>0</v>
      </c>
      <c r="L516" s="825">
        <v>0</v>
      </c>
      <c r="M516" s="825">
        <v>0</v>
      </c>
      <c r="N516" s="916">
        <v>1489725375</v>
      </c>
      <c r="O516" s="915">
        <v>2997439</v>
      </c>
      <c r="P516" s="825">
        <v>0</v>
      </c>
      <c r="Q516" s="825">
        <v>0</v>
      </c>
      <c r="R516" s="889">
        <v>0</v>
      </c>
      <c r="S516" s="889">
        <v>0</v>
      </c>
    </row>
    <row r="517" spans="1:19" x14ac:dyDescent="0.25">
      <c r="A517" s="912">
        <v>2025</v>
      </c>
      <c r="B517" s="913" t="s">
        <v>267</v>
      </c>
      <c r="C517" s="816" t="s">
        <v>1763</v>
      </c>
      <c r="D517" s="816" t="s">
        <v>1763</v>
      </c>
      <c r="E517" t="s">
        <v>1791</v>
      </c>
      <c r="F517" s="825">
        <v>0</v>
      </c>
      <c r="G517" s="825">
        <v>0</v>
      </c>
      <c r="H517" s="825">
        <v>0</v>
      </c>
      <c r="I517" s="825">
        <v>0</v>
      </c>
      <c r="J517" s="825">
        <v>0</v>
      </c>
      <c r="K517" s="825">
        <v>0</v>
      </c>
      <c r="L517" s="825">
        <v>0</v>
      </c>
      <c r="M517" s="825">
        <v>0</v>
      </c>
      <c r="N517" s="914">
        <v>9408253</v>
      </c>
      <c r="O517" s="915">
        <v>19473.599999999999</v>
      </c>
      <c r="P517" s="825">
        <v>0</v>
      </c>
      <c r="Q517" s="825">
        <v>0</v>
      </c>
      <c r="R517" s="889">
        <v>0</v>
      </c>
      <c r="S517" s="889">
        <v>0</v>
      </c>
    </row>
    <row r="518" spans="1:19" ht="22.5" x14ac:dyDescent="0.25">
      <c r="A518" s="912">
        <v>2025</v>
      </c>
      <c r="B518" s="913" t="s">
        <v>269</v>
      </c>
      <c r="C518" s="816" t="s">
        <v>1763</v>
      </c>
      <c r="D518" s="816" t="s">
        <v>1763</v>
      </c>
      <c r="E518" t="s">
        <v>1792</v>
      </c>
      <c r="F518" s="825">
        <v>0</v>
      </c>
      <c r="G518" s="825">
        <v>0</v>
      </c>
      <c r="H518" s="825">
        <v>0</v>
      </c>
      <c r="I518" s="825">
        <v>0</v>
      </c>
      <c r="J518" s="825">
        <v>0</v>
      </c>
      <c r="K518" s="825">
        <v>0</v>
      </c>
      <c r="L518" s="825">
        <v>0</v>
      </c>
      <c r="M518" s="825">
        <v>0</v>
      </c>
      <c r="N518" s="916">
        <v>202963842.08000001</v>
      </c>
      <c r="O518" s="917">
        <v>383178.41</v>
      </c>
      <c r="P518" s="825">
        <v>0</v>
      </c>
      <c r="Q518" s="825">
        <v>0</v>
      </c>
      <c r="R518" s="889">
        <v>0</v>
      </c>
      <c r="S518" s="889">
        <v>0</v>
      </c>
    </row>
    <row r="519" spans="1:19" x14ac:dyDescent="0.25">
      <c r="A519" s="912">
        <v>2025</v>
      </c>
      <c r="B519" s="913" t="s">
        <v>271</v>
      </c>
      <c r="C519" s="816" t="s">
        <v>1763</v>
      </c>
      <c r="D519" s="816" t="s">
        <v>1763</v>
      </c>
      <c r="E519" t="s">
        <v>1793</v>
      </c>
      <c r="F519" s="825">
        <v>0</v>
      </c>
      <c r="G519" s="825">
        <v>0</v>
      </c>
      <c r="H519" s="825">
        <v>0</v>
      </c>
      <c r="I519" s="825">
        <v>0</v>
      </c>
      <c r="J519" s="825">
        <v>0</v>
      </c>
      <c r="K519" s="825">
        <v>0</v>
      </c>
      <c r="L519" s="825">
        <v>0</v>
      </c>
      <c r="M519" s="825">
        <v>0</v>
      </c>
      <c r="N519" s="914">
        <v>47833552.950000003</v>
      </c>
      <c r="O519" s="915">
        <v>121294.11</v>
      </c>
      <c r="P519" s="825">
        <v>0</v>
      </c>
      <c r="Q519" s="825">
        <v>0</v>
      </c>
      <c r="R519" s="889">
        <v>0</v>
      </c>
      <c r="S519" s="889">
        <v>0</v>
      </c>
    </row>
    <row r="520" spans="1:19" ht="22.5" x14ac:dyDescent="0.25">
      <c r="A520" s="912">
        <v>2025</v>
      </c>
      <c r="B520" s="913" t="s">
        <v>273</v>
      </c>
      <c r="C520" s="816" t="s">
        <v>1763</v>
      </c>
      <c r="D520" s="816" t="s">
        <v>1763</v>
      </c>
      <c r="E520" t="s">
        <v>1794</v>
      </c>
      <c r="F520" s="825">
        <v>0</v>
      </c>
      <c r="G520" s="825">
        <v>0</v>
      </c>
      <c r="H520" s="825">
        <v>0</v>
      </c>
      <c r="I520" s="825">
        <v>0</v>
      </c>
      <c r="J520" s="825">
        <v>0</v>
      </c>
      <c r="K520" s="825">
        <v>0</v>
      </c>
      <c r="L520" s="825">
        <v>0</v>
      </c>
      <c r="M520" s="825">
        <v>0</v>
      </c>
      <c r="N520" s="914">
        <v>53138055.530000001</v>
      </c>
      <c r="O520" s="915">
        <v>121398.87</v>
      </c>
      <c r="P520" s="825">
        <v>0</v>
      </c>
      <c r="Q520" s="825">
        <v>0</v>
      </c>
      <c r="R520" s="889">
        <v>0</v>
      </c>
      <c r="S520" s="889">
        <v>0</v>
      </c>
    </row>
    <row r="521" spans="1:19" x14ac:dyDescent="0.25">
      <c r="A521" s="912">
        <v>2025</v>
      </c>
      <c r="B521" s="913" t="s">
        <v>275</v>
      </c>
      <c r="C521" s="816" t="s">
        <v>1763</v>
      </c>
      <c r="D521" s="816" t="s">
        <v>1763</v>
      </c>
      <c r="E521" t="s">
        <v>1795</v>
      </c>
      <c r="F521" s="825">
        <v>0</v>
      </c>
      <c r="G521" s="825">
        <v>0</v>
      </c>
      <c r="H521" s="825">
        <v>0</v>
      </c>
      <c r="I521" s="825">
        <v>0</v>
      </c>
      <c r="J521" s="825">
        <v>0</v>
      </c>
      <c r="K521" s="825">
        <v>0</v>
      </c>
      <c r="L521" s="825">
        <v>0</v>
      </c>
      <c r="M521" s="825">
        <v>0</v>
      </c>
      <c r="N521" s="914">
        <v>635062322.80999994</v>
      </c>
      <c r="O521" s="915">
        <v>1525905.56</v>
      </c>
      <c r="P521" s="825">
        <v>0</v>
      </c>
      <c r="Q521" s="825">
        <v>0</v>
      </c>
      <c r="R521" s="889">
        <v>0</v>
      </c>
      <c r="S521" s="889">
        <v>0</v>
      </c>
    </row>
    <row r="522" spans="1:19" ht="22.5" x14ac:dyDescent="0.25">
      <c r="A522" s="912">
        <v>2025</v>
      </c>
      <c r="B522" s="913" t="s">
        <v>277</v>
      </c>
      <c r="C522" s="816" t="s">
        <v>1763</v>
      </c>
      <c r="D522" s="816" t="s">
        <v>1763</v>
      </c>
      <c r="E522" t="s">
        <v>1796</v>
      </c>
      <c r="F522" s="825">
        <v>0</v>
      </c>
      <c r="G522" s="825">
        <v>0</v>
      </c>
      <c r="H522" s="825">
        <v>0</v>
      </c>
      <c r="I522" s="825">
        <v>0</v>
      </c>
      <c r="J522" s="825">
        <v>0</v>
      </c>
      <c r="K522" s="825">
        <v>0</v>
      </c>
      <c r="L522" s="825">
        <v>0</v>
      </c>
      <c r="M522" s="825">
        <v>0</v>
      </c>
      <c r="N522" s="914">
        <v>262265588</v>
      </c>
      <c r="O522" s="915">
        <v>522368</v>
      </c>
      <c r="P522" s="825">
        <v>0</v>
      </c>
      <c r="Q522" s="825">
        <v>0</v>
      </c>
      <c r="R522" s="889">
        <v>0</v>
      </c>
      <c r="S522" s="889">
        <v>0</v>
      </c>
    </row>
    <row r="523" spans="1:19" ht="22.5" x14ac:dyDescent="0.25">
      <c r="A523" s="912">
        <v>2025</v>
      </c>
      <c r="B523" s="816" t="s">
        <v>279</v>
      </c>
      <c r="C523" s="816" t="s">
        <v>1763</v>
      </c>
      <c r="D523" s="816" t="s">
        <v>1763</v>
      </c>
      <c r="E523" s="816" t="s">
        <v>1797</v>
      </c>
      <c r="F523" s="825">
        <v>0</v>
      </c>
      <c r="G523" s="825">
        <v>0</v>
      </c>
      <c r="H523" s="825">
        <v>0</v>
      </c>
      <c r="I523" s="825">
        <v>0</v>
      </c>
      <c r="J523" s="825">
        <v>0</v>
      </c>
      <c r="K523" s="825">
        <v>0</v>
      </c>
      <c r="L523" s="825">
        <v>0</v>
      </c>
      <c r="M523" s="825">
        <v>0</v>
      </c>
      <c r="N523" s="914">
        <v>122548485</v>
      </c>
      <c r="O523" s="915">
        <v>264004</v>
      </c>
      <c r="P523" s="825">
        <v>0</v>
      </c>
      <c r="Q523" s="825">
        <v>0</v>
      </c>
      <c r="R523" s="889">
        <v>0</v>
      </c>
      <c r="S523" s="889">
        <v>0</v>
      </c>
    </row>
    <row r="524" spans="1:19" ht="22.5" x14ac:dyDescent="0.25">
      <c r="A524" s="912">
        <v>2025</v>
      </c>
      <c r="B524" s="913" t="s">
        <v>282</v>
      </c>
      <c r="C524" s="816" t="s">
        <v>1763</v>
      </c>
      <c r="D524" s="816" t="s">
        <v>1763</v>
      </c>
      <c r="E524" t="s">
        <v>1798</v>
      </c>
      <c r="F524" s="825">
        <v>0</v>
      </c>
      <c r="G524" s="825">
        <v>0</v>
      </c>
      <c r="H524" s="825">
        <v>0</v>
      </c>
      <c r="I524" s="825">
        <v>0</v>
      </c>
      <c r="J524" s="825">
        <v>0</v>
      </c>
      <c r="K524" s="825">
        <v>0</v>
      </c>
      <c r="L524" s="825">
        <v>0</v>
      </c>
      <c r="M524" s="825">
        <v>0</v>
      </c>
      <c r="N524" s="916">
        <v>261397677.02000001</v>
      </c>
      <c r="O524" s="917">
        <v>614985.94999999995</v>
      </c>
      <c r="P524" s="825">
        <v>0</v>
      </c>
      <c r="Q524" s="825">
        <v>0</v>
      </c>
      <c r="R524" s="889">
        <v>0</v>
      </c>
      <c r="S524" s="889">
        <v>0</v>
      </c>
    </row>
    <row r="525" spans="1:19" ht="22.5" x14ac:dyDescent="0.25">
      <c r="A525" s="912">
        <v>2025</v>
      </c>
      <c r="B525" s="913" t="s">
        <v>285</v>
      </c>
      <c r="C525" s="816" t="s">
        <v>1763</v>
      </c>
      <c r="D525" s="816" t="s">
        <v>1763</v>
      </c>
      <c r="E525" t="s">
        <v>1799</v>
      </c>
      <c r="F525" s="825">
        <v>0</v>
      </c>
      <c r="G525" s="825">
        <v>0</v>
      </c>
      <c r="H525" s="825">
        <v>0</v>
      </c>
      <c r="I525" s="825">
        <v>0</v>
      </c>
      <c r="J525" s="825">
        <v>0</v>
      </c>
      <c r="K525" s="825">
        <v>0</v>
      </c>
      <c r="L525" s="825">
        <v>0</v>
      </c>
      <c r="M525" s="825">
        <v>0</v>
      </c>
      <c r="N525" s="914">
        <v>90832851.560000002</v>
      </c>
      <c r="O525" s="915">
        <v>344257.1</v>
      </c>
      <c r="P525" s="825">
        <v>0</v>
      </c>
      <c r="Q525" s="825">
        <v>0</v>
      </c>
      <c r="R525" s="889">
        <v>0</v>
      </c>
      <c r="S525" s="889">
        <v>0</v>
      </c>
    </row>
    <row r="526" spans="1:19" ht="22.5" x14ac:dyDescent="0.25">
      <c r="A526" s="912">
        <v>2025</v>
      </c>
      <c r="B526" s="913" t="s">
        <v>287</v>
      </c>
      <c r="C526" s="816" t="s">
        <v>1763</v>
      </c>
      <c r="D526" s="816" t="s">
        <v>1763</v>
      </c>
      <c r="E526" t="s">
        <v>1800</v>
      </c>
      <c r="F526" s="825">
        <v>0</v>
      </c>
      <c r="G526" s="825">
        <v>0</v>
      </c>
      <c r="H526" s="825">
        <v>0</v>
      </c>
      <c r="I526" s="825">
        <v>0</v>
      </c>
      <c r="J526" s="825">
        <v>0</v>
      </c>
      <c r="K526" s="825">
        <v>0</v>
      </c>
      <c r="L526" s="825">
        <v>0</v>
      </c>
      <c r="M526" s="825">
        <v>0</v>
      </c>
      <c r="N526" s="914">
        <v>34804951.229999997</v>
      </c>
      <c r="O526" s="915">
        <v>82828.41</v>
      </c>
      <c r="P526" s="825">
        <v>0</v>
      </c>
      <c r="Q526" s="825">
        <v>0</v>
      </c>
      <c r="R526" s="889">
        <v>0</v>
      </c>
      <c r="S526" s="889">
        <v>0</v>
      </c>
    </row>
    <row r="527" spans="1:19" ht="22.5" x14ac:dyDescent="0.25">
      <c r="A527" s="912">
        <v>2025</v>
      </c>
      <c r="B527" s="913" t="s">
        <v>289</v>
      </c>
      <c r="C527" s="816" t="s">
        <v>1763</v>
      </c>
      <c r="D527" s="816" t="s">
        <v>1763</v>
      </c>
      <c r="E527" t="s">
        <v>1801</v>
      </c>
      <c r="F527" s="825">
        <v>0</v>
      </c>
      <c r="G527" s="825">
        <v>0</v>
      </c>
      <c r="H527" s="825">
        <v>0</v>
      </c>
      <c r="I527" s="825">
        <v>0</v>
      </c>
      <c r="J527" s="825">
        <v>0</v>
      </c>
      <c r="K527" s="825">
        <v>0</v>
      </c>
      <c r="L527" s="825">
        <v>0</v>
      </c>
      <c r="M527" s="825">
        <v>0</v>
      </c>
      <c r="N527" s="916">
        <v>25312287.710000001</v>
      </c>
      <c r="O527" s="917">
        <v>65612.83</v>
      </c>
      <c r="P527" s="825">
        <v>0</v>
      </c>
      <c r="Q527" s="825">
        <v>0</v>
      </c>
      <c r="R527" s="889">
        <v>0</v>
      </c>
      <c r="S527" s="889">
        <v>0</v>
      </c>
    </row>
    <row r="528" spans="1:19" ht="22.5" x14ac:dyDescent="0.25">
      <c r="A528" s="912">
        <v>2025</v>
      </c>
      <c r="B528" s="913" t="s">
        <v>291</v>
      </c>
      <c r="C528" s="816" t="s">
        <v>1763</v>
      </c>
      <c r="D528" s="816" t="s">
        <v>1763</v>
      </c>
      <c r="E528" t="s">
        <v>1802</v>
      </c>
      <c r="F528" s="825">
        <v>0</v>
      </c>
      <c r="G528" s="825">
        <v>0</v>
      </c>
      <c r="H528" s="825">
        <v>0</v>
      </c>
      <c r="I528" s="825">
        <v>0</v>
      </c>
      <c r="J528" s="825">
        <v>0</v>
      </c>
      <c r="K528" s="825">
        <v>0</v>
      </c>
      <c r="L528" s="825">
        <v>0</v>
      </c>
      <c r="M528" s="825">
        <v>0</v>
      </c>
      <c r="N528" s="914">
        <v>192443495</v>
      </c>
      <c r="O528" s="915">
        <v>413677.4</v>
      </c>
      <c r="P528" s="825">
        <v>0</v>
      </c>
      <c r="Q528" s="825">
        <v>0</v>
      </c>
      <c r="R528" s="889">
        <v>0</v>
      </c>
      <c r="S528" s="889">
        <v>0</v>
      </c>
    </row>
    <row r="529" spans="1:19" x14ac:dyDescent="0.25">
      <c r="A529" s="912">
        <v>2025</v>
      </c>
      <c r="B529" s="913" t="s">
        <v>293</v>
      </c>
      <c r="C529" s="816" t="s">
        <v>1763</v>
      </c>
      <c r="D529" s="816" t="s">
        <v>1763</v>
      </c>
      <c r="E529" t="s">
        <v>1803</v>
      </c>
      <c r="F529" s="825">
        <v>0</v>
      </c>
      <c r="G529" s="825">
        <v>0</v>
      </c>
      <c r="H529" s="825">
        <v>0</v>
      </c>
      <c r="I529" s="825">
        <v>0</v>
      </c>
      <c r="J529" s="825">
        <v>0</v>
      </c>
      <c r="K529" s="825">
        <v>0</v>
      </c>
      <c r="L529" s="825">
        <v>0</v>
      </c>
      <c r="M529" s="825">
        <v>0</v>
      </c>
      <c r="N529" s="914">
        <v>65197338.969999999</v>
      </c>
      <c r="O529" s="915">
        <v>124365.31</v>
      </c>
      <c r="P529" s="825">
        <v>0</v>
      </c>
      <c r="Q529" s="825">
        <v>0</v>
      </c>
      <c r="R529" s="889">
        <v>0</v>
      </c>
      <c r="S529" s="889">
        <v>0</v>
      </c>
    </row>
    <row r="530" spans="1:19" ht="22.5" x14ac:dyDescent="0.25">
      <c r="A530" s="912">
        <v>2025</v>
      </c>
      <c r="B530" s="913" t="s">
        <v>295</v>
      </c>
      <c r="C530" s="816" t="s">
        <v>1763</v>
      </c>
      <c r="D530" s="816" t="s">
        <v>1763</v>
      </c>
      <c r="E530" t="s">
        <v>1804</v>
      </c>
      <c r="F530" s="825">
        <v>0</v>
      </c>
      <c r="G530" s="825">
        <v>0</v>
      </c>
      <c r="H530" s="825">
        <v>0</v>
      </c>
      <c r="I530" s="825">
        <v>0</v>
      </c>
      <c r="J530" s="825">
        <v>0</v>
      </c>
      <c r="K530" s="825">
        <v>0</v>
      </c>
      <c r="L530" s="825">
        <v>0</v>
      </c>
      <c r="M530" s="825">
        <v>0</v>
      </c>
      <c r="N530" s="914">
        <v>103235950</v>
      </c>
      <c r="O530" s="915">
        <v>228404</v>
      </c>
      <c r="P530" s="825">
        <v>0</v>
      </c>
      <c r="Q530" s="825">
        <v>0</v>
      </c>
      <c r="R530" s="889">
        <v>0</v>
      </c>
      <c r="S530" s="889">
        <v>0</v>
      </c>
    </row>
    <row r="531" spans="1:19" ht="22.5" x14ac:dyDescent="0.25">
      <c r="A531" s="912">
        <v>2025</v>
      </c>
      <c r="B531" s="913" t="s">
        <v>297</v>
      </c>
      <c r="C531" s="816" t="s">
        <v>1763</v>
      </c>
      <c r="D531" s="816" t="s">
        <v>1763</v>
      </c>
      <c r="E531" t="s">
        <v>1805</v>
      </c>
      <c r="F531" s="825">
        <v>0</v>
      </c>
      <c r="G531" s="825">
        <v>0</v>
      </c>
      <c r="H531" s="825">
        <v>0</v>
      </c>
      <c r="I531" s="825">
        <v>0</v>
      </c>
      <c r="J531" s="825">
        <v>0</v>
      </c>
      <c r="K531" s="825">
        <v>0</v>
      </c>
      <c r="L531" s="825">
        <v>0</v>
      </c>
      <c r="M531" s="825">
        <v>0</v>
      </c>
      <c r="N531" s="914">
        <v>3030287.82</v>
      </c>
      <c r="O531" s="915">
        <v>8997.59</v>
      </c>
      <c r="P531" s="825">
        <v>0</v>
      </c>
      <c r="Q531" s="825">
        <v>0</v>
      </c>
      <c r="R531" s="889">
        <v>0</v>
      </c>
      <c r="S531" s="889">
        <v>0</v>
      </c>
    </row>
    <row r="532" spans="1:19" x14ac:dyDescent="0.25">
      <c r="A532" s="912">
        <v>2025</v>
      </c>
      <c r="B532" s="913" t="s">
        <v>299</v>
      </c>
      <c r="C532" s="816" t="s">
        <v>1763</v>
      </c>
      <c r="D532" s="816" t="s">
        <v>1763</v>
      </c>
      <c r="E532" t="s">
        <v>1806</v>
      </c>
      <c r="F532" s="825">
        <v>0</v>
      </c>
      <c r="G532" s="825">
        <v>0</v>
      </c>
      <c r="H532" s="825">
        <v>0</v>
      </c>
      <c r="I532" s="825">
        <v>0</v>
      </c>
      <c r="J532" s="825">
        <v>0</v>
      </c>
      <c r="K532" s="825">
        <v>0</v>
      </c>
      <c r="L532" s="825">
        <v>0</v>
      </c>
      <c r="M532" s="825">
        <v>0</v>
      </c>
      <c r="N532" s="914">
        <v>35687723.299999997</v>
      </c>
      <c r="O532" s="915">
        <v>78038.759999999995</v>
      </c>
      <c r="P532" s="825">
        <v>0</v>
      </c>
      <c r="Q532" s="825">
        <v>0</v>
      </c>
      <c r="R532" s="889">
        <v>0</v>
      </c>
      <c r="S532" s="889">
        <v>0</v>
      </c>
    </row>
    <row r="533" spans="1:19" x14ac:dyDescent="0.25">
      <c r="A533" s="912">
        <v>2025</v>
      </c>
      <c r="B533" s="913" t="s">
        <v>301</v>
      </c>
      <c r="C533" s="816" t="s">
        <v>1763</v>
      </c>
      <c r="D533" s="816" t="s">
        <v>1763</v>
      </c>
      <c r="E533" t="s">
        <v>1807</v>
      </c>
      <c r="F533" s="825">
        <v>0</v>
      </c>
      <c r="G533" s="825">
        <v>0</v>
      </c>
      <c r="H533" s="825">
        <v>0</v>
      </c>
      <c r="I533" s="825">
        <v>0</v>
      </c>
      <c r="J533" s="825">
        <v>0</v>
      </c>
      <c r="K533" s="825">
        <v>0</v>
      </c>
      <c r="L533" s="825">
        <v>0</v>
      </c>
      <c r="M533" s="825">
        <v>0</v>
      </c>
      <c r="N533" s="914">
        <v>14333431.09</v>
      </c>
      <c r="O533" s="915">
        <v>28232.01</v>
      </c>
      <c r="P533" s="825">
        <v>0</v>
      </c>
      <c r="Q533" s="825">
        <v>0</v>
      </c>
      <c r="R533" s="889">
        <v>0</v>
      </c>
      <c r="S533" s="889">
        <v>0</v>
      </c>
    </row>
    <row r="534" spans="1:19" ht="22.5" x14ac:dyDescent="0.25">
      <c r="A534" s="912">
        <v>2025</v>
      </c>
      <c r="B534" s="913" t="s">
        <v>303</v>
      </c>
      <c r="C534" s="816" t="s">
        <v>1763</v>
      </c>
      <c r="D534" s="816" t="s">
        <v>1763</v>
      </c>
      <c r="E534" t="s">
        <v>1808</v>
      </c>
      <c r="F534" s="825">
        <v>0</v>
      </c>
      <c r="G534" s="825">
        <v>0</v>
      </c>
      <c r="H534" s="825">
        <v>0</v>
      </c>
      <c r="I534" s="825">
        <v>0</v>
      </c>
      <c r="J534" s="825">
        <v>0</v>
      </c>
      <c r="K534" s="825">
        <v>0</v>
      </c>
      <c r="L534" s="825">
        <v>0</v>
      </c>
      <c r="M534" s="825">
        <v>0</v>
      </c>
      <c r="N534" s="914">
        <v>10969599</v>
      </c>
      <c r="O534" s="915">
        <v>28729</v>
      </c>
      <c r="P534" s="825">
        <v>0</v>
      </c>
      <c r="Q534" s="825">
        <v>0</v>
      </c>
      <c r="R534" s="889">
        <v>0</v>
      </c>
      <c r="S534" s="889">
        <v>0</v>
      </c>
    </row>
    <row r="535" spans="1:19" x14ac:dyDescent="0.25">
      <c r="A535" s="912">
        <v>2025</v>
      </c>
      <c r="B535" s="913" t="s">
        <v>305</v>
      </c>
      <c r="C535" s="816" t="s">
        <v>1763</v>
      </c>
      <c r="D535" s="816" t="s">
        <v>1763</v>
      </c>
      <c r="E535" t="s">
        <v>1809</v>
      </c>
      <c r="F535" s="825">
        <v>0</v>
      </c>
      <c r="G535" s="825">
        <v>0</v>
      </c>
      <c r="H535" s="825">
        <v>0</v>
      </c>
      <c r="I535" s="825">
        <v>0</v>
      </c>
      <c r="J535" s="825">
        <v>0</v>
      </c>
      <c r="K535" s="825">
        <v>0</v>
      </c>
      <c r="L535" s="825">
        <v>0</v>
      </c>
      <c r="M535" s="825">
        <v>0</v>
      </c>
      <c r="N535" s="914"/>
      <c r="O535" s="915"/>
      <c r="P535" s="825">
        <v>0</v>
      </c>
      <c r="Q535" s="825">
        <v>0</v>
      </c>
      <c r="R535" s="889">
        <v>0</v>
      </c>
      <c r="S535" s="889">
        <v>0</v>
      </c>
    </row>
    <row r="536" spans="1:19" ht="22.5" x14ac:dyDescent="0.25">
      <c r="A536" s="912">
        <v>2025</v>
      </c>
      <c r="B536" s="913" t="s">
        <v>307</v>
      </c>
      <c r="C536" s="816" t="s">
        <v>1763</v>
      </c>
      <c r="D536" s="816" t="s">
        <v>1763</v>
      </c>
      <c r="E536" t="s">
        <v>1810</v>
      </c>
      <c r="F536" s="825">
        <v>0</v>
      </c>
      <c r="G536" s="825">
        <v>0</v>
      </c>
      <c r="H536" s="825">
        <v>0</v>
      </c>
      <c r="I536" s="825">
        <v>0</v>
      </c>
      <c r="J536" s="825">
        <v>0</v>
      </c>
      <c r="K536" s="825">
        <v>0</v>
      </c>
      <c r="L536" s="825">
        <v>0</v>
      </c>
      <c r="M536" s="825">
        <v>0</v>
      </c>
      <c r="N536" s="914">
        <v>131635143</v>
      </c>
      <c r="O536" s="915">
        <v>380176</v>
      </c>
      <c r="P536" s="825">
        <v>0</v>
      </c>
      <c r="Q536" s="825">
        <v>0</v>
      </c>
      <c r="R536" s="889">
        <v>0</v>
      </c>
      <c r="S536" s="889">
        <v>0</v>
      </c>
    </row>
    <row r="537" spans="1:19" x14ac:dyDescent="0.25">
      <c r="A537" s="912">
        <v>2025</v>
      </c>
      <c r="B537" s="913" t="s">
        <v>309</v>
      </c>
      <c r="C537" s="816" t="s">
        <v>1763</v>
      </c>
      <c r="D537" s="816" t="s">
        <v>1763</v>
      </c>
      <c r="E537" t="s">
        <v>1811</v>
      </c>
      <c r="F537" s="825">
        <v>0</v>
      </c>
      <c r="G537" s="825">
        <v>0</v>
      </c>
      <c r="H537" s="825">
        <v>0</v>
      </c>
      <c r="I537" s="825">
        <v>0</v>
      </c>
      <c r="J537" s="825">
        <v>0</v>
      </c>
      <c r="K537" s="825">
        <v>0</v>
      </c>
      <c r="L537" s="825">
        <v>0</v>
      </c>
      <c r="M537" s="825">
        <v>0</v>
      </c>
      <c r="N537" s="914">
        <v>48067415</v>
      </c>
      <c r="O537" s="915">
        <v>139383</v>
      </c>
      <c r="P537" s="825">
        <v>0</v>
      </c>
      <c r="Q537" s="825">
        <v>0</v>
      </c>
      <c r="R537" s="889">
        <v>0</v>
      </c>
      <c r="S537" s="889">
        <v>0</v>
      </c>
    </row>
    <row r="538" spans="1:19" ht="22.5" x14ac:dyDescent="0.25">
      <c r="A538" s="912">
        <v>2025</v>
      </c>
      <c r="B538" s="913" t="s">
        <v>311</v>
      </c>
      <c r="C538" s="816" t="s">
        <v>1763</v>
      </c>
      <c r="D538" s="816" t="s">
        <v>1763</v>
      </c>
      <c r="E538" t="s">
        <v>1812</v>
      </c>
      <c r="F538" s="825">
        <v>0</v>
      </c>
      <c r="G538" s="825">
        <v>0</v>
      </c>
      <c r="H538" s="825">
        <v>0</v>
      </c>
      <c r="I538" s="825">
        <v>0</v>
      </c>
      <c r="J538" s="825">
        <v>0</v>
      </c>
      <c r="K538" s="825">
        <v>0</v>
      </c>
      <c r="L538" s="825">
        <v>0</v>
      </c>
      <c r="M538" s="825">
        <v>0</v>
      </c>
      <c r="N538" s="914">
        <v>5934911658.9899998</v>
      </c>
      <c r="O538" s="915">
        <v>12737258.495061999</v>
      </c>
      <c r="P538" s="825">
        <v>0</v>
      </c>
      <c r="Q538" s="825">
        <v>0</v>
      </c>
      <c r="R538" s="889">
        <v>0</v>
      </c>
      <c r="S538" s="889">
        <v>0</v>
      </c>
    </row>
    <row r="539" spans="1:19" x14ac:dyDescent="0.25">
      <c r="A539" s="912">
        <v>2025</v>
      </c>
      <c r="B539" s="913" t="s">
        <v>313</v>
      </c>
      <c r="C539" s="816" t="s">
        <v>1763</v>
      </c>
      <c r="D539" s="816" t="s">
        <v>1763</v>
      </c>
      <c r="E539" t="s">
        <v>1813</v>
      </c>
      <c r="F539" s="825">
        <v>0</v>
      </c>
      <c r="G539" s="825">
        <v>0</v>
      </c>
      <c r="H539" s="825">
        <v>0</v>
      </c>
      <c r="I539" s="825">
        <v>0</v>
      </c>
      <c r="J539" s="825">
        <v>0</v>
      </c>
      <c r="K539" s="825">
        <v>0</v>
      </c>
      <c r="L539" s="825">
        <v>0</v>
      </c>
      <c r="M539" s="825">
        <v>0</v>
      </c>
      <c r="N539" s="914"/>
      <c r="O539" s="915"/>
      <c r="P539" s="825">
        <v>0</v>
      </c>
      <c r="Q539" s="825">
        <v>0</v>
      </c>
      <c r="R539" s="889">
        <v>0</v>
      </c>
      <c r="S539" s="889">
        <v>0</v>
      </c>
    </row>
    <row r="540" spans="1:19" ht="22.5" x14ac:dyDescent="0.25">
      <c r="A540" s="912">
        <v>2025</v>
      </c>
      <c r="B540" s="913" t="s">
        <v>315</v>
      </c>
      <c r="C540" s="816" t="s">
        <v>1763</v>
      </c>
      <c r="D540" s="816" t="s">
        <v>1763</v>
      </c>
      <c r="E540" t="s">
        <v>1814</v>
      </c>
      <c r="F540" s="825">
        <v>0</v>
      </c>
      <c r="G540" s="825">
        <v>0</v>
      </c>
      <c r="H540" s="825">
        <v>0</v>
      </c>
      <c r="I540" s="825">
        <v>0</v>
      </c>
      <c r="J540" s="825">
        <v>0</v>
      </c>
      <c r="K540" s="825">
        <v>0</v>
      </c>
      <c r="L540" s="825">
        <v>0</v>
      </c>
      <c r="M540" s="825">
        <v>0</v>
      </c>
      <c r="N540" s="914">
        <v>48358668</v>
      </c>
      <c r="O540" s="915">
        <v>125100</v>
      </c>
      <c r="P540" s="825">
        <v>0</v>
      </c>
      <c r="Q540" s="825">
        <v>0</v>
      </c>
      <c r="R540" s="889">
        <v>0</v>
      </c>
      <c r="S540" s="889">
        <v>0</v>
      </c>
    </row>
    <row r="541" spans="1:19" ht="22.5" x14ac:dyDescent="0.25">
      <c r="A541" s="912">
        <v>2025</v>
      </c>
      <c r="B541" s="913" t="s">
        <v>317</v>
      </c>
      <c r="C541" s="816" t="s">
        <v>1763</v>
      </c>
      <c r="D541" s="816" t="s">
        <v>1763</v>
      </c>
      <c r="E541" t="s">
        <v>1815</v>
      </c>
      <c r="F541" s="825">
        <v>0</v>
      </c>
      <c r="G541" s="825">
        <v>0</v>
      </c>
      <c r="H541" s="825">
        <v>0</v>
      </c>
      <c r="I541" s="825">
        <v>0</v>
      </c>
      <c r="J541" s="825">
        <v>0</v>
      </c>
      <c r="K541" s="825">
        <v>0</v>
      </c>
      <c r="L541" s="825">
        <v>0</v>
      </c>
      <c r="M541" s="825">
        <v>0</v>
      </c>
      <c r="N541" s="914">
        <v>51497784.590000004</v>
      </c>
      <c r="O541" s="915">
        <v>115132.95</v>
      </c>
      <c r="P541" s="825">
        <v>0</v>
      </c>
      <c r="Q541" s="825">
        <v>0</v>
      </c>
      <c r="R541" s="889">
        <v>0</v>
      </c>
      <c r="S541" s="889">
        <v>0</v>
      </c>
    </row>
    <row r="542" spans="1:19" x14ac:dyDescent="0.25">
      <c r="A542" s="912">
        <v>2025</v>
      </c>
      <c r="B542" s="913" t="s">
        <v>319</v>
      </c>
      <c r="C542" s="816" t="s">
        <v>1763</v>
      </c>
      <c r="D542" s="816" t="s">
        <v>1763</v>
      </c>
      <c r="E542" t="s">
        <v>1816</v>
      </c>
      <c r="F542" s="825">
        <v>0</v>
      </c>
      <c r="G542" s="825">
        <v>0</v>
      </c>
      <c r="H542" s="825">
        <v>0</v>
      </c>
      <c r="I542" s="825">
        <v>0</v>
      </c>
      <c r="J542" s="825">
        <v>0</v>
      </c>
      <c r="K542" s="825">
        <v>0</v>
      </c>
      <c r="L542" s="825">
        <v>0</v>
      </c>
      <c r="M542" s="825">
        <v>0</v>
      </c>
      <c r="N542" s="914">
        <v>78984021.040000007</v>
      </c>
      <c r="O542" s="915">
        <v>183976.07</v>
      </c>
      <c r="P542" s="825">
        <v>0</v>
      </c>
      <c r="Q542" s="825">
        <v>0</v>
      </c>
      <c r="R542" s="889">
        <v>0</v>
      </c>
      <c r="S542" s="889">
        <v>0</v>
      </c>
    </row>
  </sheetData>
  <sheetProtection algorithmName="SHA-512" hashValue="rNp/BY9Su20KxDRtXiz0DCsK71aEK/fkKgn6jLb2pTS5Km7Qdh0lsoG5rdA4PTZLi7y9DS9VicaLeTLMe6/RAg==" saltValue="oO9eoXi+XzYdwQwbq5qlDw==" spinCount="100000" sheet="1" objects="1" scenarios="1"/>
  <autoFilter ref="A4:S542" xr:uid="{00000000-0001-0000-1C00-000000000000}"/>
  <mergeCells count="2">
    <mergeCell ref="A1:D1"/>
    <mergeCell ref="A2:D2"/>
  </mergeCells>
  <pageMargins left="0.75" right="0.75" top="1" bottom="1" header="0.5" footer="0.5"/>
  <pageSetup orientation="portrait" verticalDpi="300"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
  <dimension ref="A1:D499"/>
  <sheetViews>
    <sheetView showGridLines="0" topLeftCell="A207" workbookViewId="0">
      <selection activeCell="A222" sqref="A222"/>
    </sheetView>
  </sheetViews>
  <sheetFormatPr defaultRowHeight="15" x14ac:dyDescent="0.25"/>
  <cols>
    <col min="1" max="1" width="59.140625" bestFit="1" customWidth="1"/>
    <col min="2" max="2" width="28.42578125" bestFit="1" customWidth="1"/>
    <col min="3" max="3" width="6.140625" bestFit="1" customWidth="1"/>
    <col min="4" max="4" width="60" bestFit="1" customWidth="1"/>
    <col min="5" max="5" width="0.7109375" customWidth="1"/>
    <col min="6" max="8" width="5.5703125" customWidth="1"/>
  </cols>
  <sheetData>
    <row r="1" spans="1:4" ht="15.75" customHeight="1" x14ac:dyDescent="0.25">
      <c r="A1" s="1000" t="s">
        <v>7732</v>
      </c>
    </row>
    <row r="4" spans="1:4" ht="15.75" customHeight="1" x14ac:dyDescent="0.25">
      <c r="A4" s="1001" t="s">
        <v>1817</v>
      </c>
      <c r="B4" s="1001" t="s">
        <v>343</v>
      </c>
      <c r="C4" s="1002">
        <v>2024</v>
      </c>
      <c r="D4" s="1001" t="s">
        <v>1124</v>
      </c>
    </row>
    <row r="5" spans="1:4" ht="15.75" customHeight="1" x14ac:dyDescent="0.25">
      <c r="A5" s="816" t="s">
        <v>1818</v>
      </c>
      <c r="B5" s="1003" t="s">
        <v>1140</v>
      </c>
      <c r="C5" s="1004">
        <v>1</v>
      </c>
      <c r="D5" s="1003" t="s">
        <v>1819</v>
      </c>
    </row>
    <row r="6" spans="1:4" ht="15.75" customHeight="1" x14ac:dyDescent="0.25">
      <c r="A6" s="816" t="s">
        <v>1818</v>
      </c>
      <c r="B6" s="1003" t="s">
        <v>1143</v>
      </c>
      <c r="C6" s="1004">
        <v>0</v>
      </c>
      <c r="D6" s="1003" t="s">
        <v>1820</v>
      </c>
    </row>
    <row r="7" spans="1:4" ht="15.75" customHeight="1" x14ac:dyDescent="0.25">
      <c r="A7" s="816" t="s">
        <v>1821</v>
      </c>
      <c r="B7" s="1003" t="s">
        <v>1143</v>
      </c>
      <c r="C7" s="1004">
        <v>19779</v>
      </c>
      <c r="D7" s="1003" t="s">
        <v>1146</v>
      </c>
    </row>
    <row r="8" spans="1:4" ht="15.75" customHeight="1" x14ac:dyDescent="0.25">
      <c r="A8" s="816" t="s">
        <v>1822</v>
      </c>
      <c r="B8" s="1003" t="s">
        <v>1143</v>
      </c>
      <c r="C8" s="1004">
        <v>4306</v>
      </c>
      <c r="D8" s="1003" t="s">
        <v>1148</v>
      </c>
    </row>
    <row r="9" spans="1:4" ht="15.75" customHeight="1" x14ac:dyDescent="0.25">
      <c r="A9" s="816" t="s">
        <v>1823</v>
      </c>
      <c r="B9" s="1003" t="s">
        <v>1143</v>
      </c>
      <c r="C9" s="1004">
        <v>19352</v>
      </c>
      <c r="D9" s="1003" t="s">
        <v>1150</v>
      </c>
    </row>
    <row r="10" spans="1:4" ht="15.75" customHeight="1" x14ac:dyDescent="0.25">
      <c r="A10" s="816" t="s">
        <v>1818</v>
      </c>
      <c r="B10" s="1003" t="s">
        <v>1143</v>
      </c>
      <c r="C10" s="1004">
        <v>10294</v>
      </c>
      <c r="D10" s="1003" t="s">
        <v>1824</v>
      </c>
    </row>
    <row r="11" spans="1:4" ht="15.75" customHeight="1" x14ac:dyDescent="0.25">
      <c r="A11" s="816" t="s">
        <v>1825</v>
      </c>
      <c r="B11" s="1003" t="s">
        <v>1143</v>
      </c>
      <c r="C11" s="1004">
        <v>34478</v>
      </c>
      <c r="D11" s="1003" t="s">
        <v>1154</v>
      </c>
    </row>
    <row r="12" spans="1:4" ht="15.75" customHeight="1" x14ac:dyDescent="0.25">
      <c r="A12" s="816" t="s">
        <v>1818</v>
      </c>
      <c r="B12" s="1003" t="s">
        <v>1155</v>
      </c>
      <c r="C12" s="1004">
        <v>0</v>
      </c>
      <c r="D12" s="1003" t="s">
        <v>1826</v>
      </c>
    </row>
    <row r="13" spans="1:4" ht="15.75" customHeight="1" x14ac:dyDescent="0.25">
      <c r="A13" s="816" t="s">
        <v>1822</v>
      </c>
      <c r="B13" s="1003" t="s">
        <v>1155</v>
      </c>
      <c r="C13" s="1004">
        <v>40</v>
      </c>
      <c r="D13" s="1003" t="s">
        <v>1158</v>
      </c>
    </row>
    <row r="14" spans="1:4" ht="15.75" customHeight="1" x14ac:dyDescent="0.25">
      <c r="A14" s="816" t="s">
        <v>1823</v>
      </c>
      <c r="B14" s="1003" t="s">
        <v>1155</v>
      </c>
      <c r="C14" s="1004">
        <v>1945</v>
      </c>
      <c r="D14" s="1003" t="s">
        <v>1162</v>
      </c>
    </row>
    <row r="15" spans="1:4" ht="15.75" customHeight="1" x14ac:dyDescent="0.25">
      <c r="A15" s="816" t="s">
        <v>1825</v>
      </c>
      <c r="B15" s="1003" t="s">
        <v>1155</v>
      </c>
      <c r="C15" s="1004">
        <v>4551</v>
      </c>
      <c r="D15" s="1003" t="s">
        <v>1164</v>
      </c>
    </row>
    <row r="16" spans="1:4" ht="15.75" customHeight="1" x14ac:dyDescent="0.25">
      <c r="A16" s="816" t="s">
        <v>1821</v>
      </c>
      <c r="B16" s="1003" t="s">
        <v>1155</v>
      </c>
      <c r="C16" s="1004">
        <v>3353</v>
      </c>
      <c r="D16" s="1003" t="s">
        <v>1165</v>
      </c>
    </row>
    <row r="17" spans="1:4" ht="15.75" customHeight="1" x14ac:dyDescent="0.25">
      <c r="A17" s="816" t="s">
        <v>1818</v>
      </c>
      <c r="B17" s="1003" t="s">
        <v>1155</v>
      </c>
      <c r="C17" s="1004">
        <v>1582</v>
      </c>
      <c r="D17" s="1003" t="s">
        <v>1827</v>
      </c>
    </row>
    <row r="18" spans="1:4" ht="15.75" customHeight="1" x14ac:dyDescent="0.25">
      <c r="A18" s="816" t="s">
        <v>1822</v>
      </c>
      <c r="B18" s="1003" t="s">
        <v>1155</v>
      </c>
      <c r="C18" s="1004">
        <v>552</v>
      </c>
      <c r="D18" s="1003" t="s">
        <v>1160</v>
      </c>
    </row>
    <row r="19" spans="1:4" ht="15.75" customHeight="1" x14ac:dyDescent="0.25">
      <c r="A19" s="816" t="s">
        <v>1821</v>
      </c>
      <c r="B19" s="1003" t="s">
        <v>1155</v>
      </c>
      <c r="C19" s="1004">
        <v>334</v>
      </c>
      <c r="D19" s="1003" t="s">
        <v>1169</v>
      </c>
    </row>
    <row r="20" spans="1:4" ht="15.75" customHeight="1" x14ac:dyDescent="0.25">
      <c r="A20" s="816" t="s">
        <v>1818</v>
      </c>
      <c r="B20" s="1003" t="s">
        <v>1155</v>
      </c>
      <c r="C20" s="1004">
        <v>113</v>
      </c>
      <c r="D20" s="1003" t="s">
        <v>1828</v>
      </c>
    </row>
    <row r="21" spans="1:4" ht="15.75" customHeight="1" x14ac:dyDescent="0.25">
      <c r="A21" s="816" t="s">
        <v>1821</v>
      </c>
      <c r="B21" s="1003" t="s">
        <v>1173</v>
      </c>
      <c r="C21" s="1004">
        <v>10</v>
      </c>
      <c r="D21" s="1003" t="s">
        <v>1174</v>
      </c>
    </row>
    <row r="22" spans="1:4" ht="15.75" customHeight="1" x14ac:dyDescent="0.25">
      <c r="A22" s="816" t="s">
        <v>1822</v>
      </c>
      <c r="B22" s="1003" t="s">
        <v>1173</v>
      </c>
      <c r="C22" s="1004">
        <v>4</v>
      </c>
      <c r="D22" s="1003" t="s">
        <v>1176</v>
      </c>
    </row>
    <row r="23" spans="1:4" ht="15.75" customHeight="1" x14ac:dyDescent="0.25">
      <c r="A23" s="816" t="s">
        <v>1823</v>
      </c>
      <c r="B23" s="1003" t="s">
        <v>1173</v>
      </c>
      <c r="C23" s="1004">
        <v>7</v>
      </c>
      <c r="D23" s="1003" t="s">
        <v>1178</v>
      </c>
    </row>
    <row r="24" spans="1:4" ht="15.75" customHeight="1" x14ac:dyDescent="0.25">
      <c r="A24" s="816" t="s">
        <v>1818</v>
      </c>
      <c r="B24" s="1003" t="s">
        <v>1173</v>
      </c>
      <c r="C24" s="1004">
        <v>6</v>
      </c>
      <c r="D24" s="1003" t="s">
        <v>1180</v>
      </c>
    </row>
    <row r="25" spans="1:4" ht="15.75" customHeight="1" x14ac:dyDescent="0.25">
      <c r="A25" s="816" t="s">
        <v>1825</v>
      </c>
      <c r="B25" s="1003" t="s">
        <v>1173</v>
      </c>
      <c r="C25" s="1004">
        <v>3</v>
      </c>
      <c r="D25" s="1003" t="s">
        <v>1181</v>
      </c>
    </row>
    <row r="26" spans="1:4" ht="15.75" customHeight="1" x14ac:dyDescent="0.25">
      <c r="A26" s="816" t="s">
        <v>1823</v>
      </c>
      <c r="B26" s="1003" t="s">
        <v>1173</v>
      </c>
      <c r="C26" s="1004">
        <v>6</v>
      </c>
      <c r="D26" s="1003" t="s">
        <v>1182</v>
      </c>
    </row>
    <row r="27" spans="1:4" ht="15.75" customHeight="1" x14ac:dyDescent="0.25">
      <c r="A27" s="816" t="s">
        <v>1821</v>
      </c>
      <c r="B27" s="1003" t="s">
        <v>1184</v>
      </c>
      <c r="C27" s="1004">
        <v>185204</v>
      </c>
      <c r="D27" s="1003" t="s">
        <v>1185</v>
      </c>
    </row>
    <row r="28" spans="1:4" ht="15.75" customHeight="1" x14ac:dyDescent="0.25">
      <c r="A28" s="816" t="s">
        <v>1822</v>
      </c>
      <c r="B28" s="1003" t="s">
        <v>1184</v>
      </c>
      <c r="C28" s="1004">
        <v>52423</v>
      </c>
      <c r="D28" s="1003" t="s">
        <v>1187</v>
      </c>
    </row>
    <row r="29" spans="1:4" ht="15.75" customHeight="1" x14ac:dyDescent="0.25">
      <c r="A29" s="816" t="s">
        <v>1823</v>
      </c>
      <c r="B29" s="1003" t="s">
        <v>1184</v>
      </c>
      <c r="C29" s="1004">
        <v>235162</v>
      </c>
      <c r="D29" s="1003" t="s">
        <v>1189</v>
      </c>
    </row>
    <row r="30" spans="1:4" ht="15.75" customHeight="1" x14ac:dyDescent="0.25">
      <c r="A30" s="816" t="s">
        <v>1818</v>
      </c>
      <c r="B30" s="1003" t="s">
        <v>1184</v>
      </c>
      <c r="C30" s="1004">
        <v>160939</v>
      </c>
      <c r="D30" s="1003" t="s">
        <v>1829</v>
      </c>
    </row>
    <row r="31" spans="1:4" ht="15.75" customHeight="1" x14ac:dyDescent="0.25">
      <c r="A31" s="816" t="s">
        <v>1825</v>
      </c>
      <c r="B31" s="1003" t="s">
        <v>1184</v>
      </c>
      <c r="C31" s="1004">
        <v>351734</v>
      </c>
      <c r="D31" s="1003" t="s">
        <v>1193</v>
      </c>
    </row>
    <row r="32" spans="1:4" ht="15.75" customHeight="1" x14ac:dyDescent="0.25">
      <c r="A32" s="816" t="s">
        <v>1822</v>
      </c>
      <c r="B32" s="1003" t="s">
        <v>1194</v>
      </c>
      <c r="C32" s="1004">
        <v>20</v>
      </c>
      <c r="D32" s="1003" t="s">
        <v>1195</v>
      </c>
    </row>
    <row r="33" spans="1:4" ht="15.75" customHeight="1" x14ac:dyDescent="0.25">
      <c r="A33" s="816" t="s">
        <v>1823</v>
      </c>
      <c r="B33" s="1003" t="s">
        <v>1194</v>
      </c>
      <c r="C33" s="1004">
        <v>274</v>
      </c>
      <c r="D33" s="1003" t="s">
        <v>1197</v>
      </c>
    </row>
    <row r="34" spans="1:4" ht="15.75" customHeight="1" x14ac:dyDescent="0.25">
      <c r="A34" s="816" t="s">
        <v>1825</v>
      </c>
      <c r="B34" s="1003" t="s">
        <v>1194</v>
      </c>
      <c r="C34" s="1004">
        <v>139</v>
      </c>
      <c r="D34" s="1003" t="s">
        <v>1199</v>
      </c>
    </row>
    <row r="35" spans="1:4" ht="15.75" customHeight="1" x14ac:dyDescent="0.25">
      <c r="A35" s="816" t="s">
        <v>1821</v>
      </c>
      <c r="B35" s="1003" t="s">
        <v>1200</v>
      </c>
      <c r="C35" s="1004">
        <v>50824</v>
      </c>
      <c r="D35" s="1003" t="s">
        <v>1201</v>
      </c>
    </row>
    <row r="36" spans="1:4" ht="15.75" customHeight="1" x14ac:dyDescent="0.25">
      <c r="A36" s="816" t="s">
        <v>1822</v>
      </c>
      <c r="B36" s="1003" t="s">
        <v>1200</v>
      </c>
      <c r="C36" s="1004">
        <v>14393</v>
      </c>
      <c r="D36" s="1003" t="s">
        <v>1203</v>
      </c>
    </row>
    <row r="37" spans="1:4" ht="15.75" customHeight="1" x14ac:dyDescent="0.25">
      <c r="A37" s="816" t="s">
        <v>1823</v>
      </c>
      <c r="B37" s="1003" t="s">
        <v>1200</v>
      </c>
      <c r="C37" s="1004">
        <v>52497</v>
      </c>
      <c r="D37" s="1003" t="s">
        <v>1205</v>
      </c>
    </row>
    <row r="38" spans="1:4" ht="15.75" customHeight="1" x14ac:dyDescent="0.25">
      <c r="A38" s="816" t="s">
        <v>1818</v>
      </c>
      <c r="B38" s="1003" t="s">
        <v>1200</v>
      </c>
      <c r="C38" s="1004">
        <v>21461</v>
      </c>
      <c r="D38" s="1003" t="s">
        <v>1830</v>
      </c>
    </row>
    <row r="39" spans="1:4" ht="15.75" customHeight="1" x14ac:dyDescent="0.25">
      <c r="A39" s="816" t="s">
        <v>1825</v>
      </c>
      <c r="B39" s="1003" t="s">
        <v>1200</v>
      </c>
      <c r="C39" s="1004">
        <v>102061</v>
      </c>
      <c r="D39" s="1003" t="s">
        <v>1209</v>
      </c>
    </row>
    <row r="40" spans="1:4" ht="15.75" customHeight="1" x14ac:dyDescent="0.25">
      <c r="A40" s="816" t="s">
        <v>1821</v>
      </c>
      <c r="B40" s="1003" t="s">
        <v>1210</v>
      </c>
      <c r="C40" s="1004">
        <v>3171</v>
      </c>
      <c r="D40" s="1003" t="s">
        <v>1211</v>
      </c>
    </row>
    <row r="41" spans="1:4" ht="15.75" customHeight="1" x14ac:dyDescent="0.25">
      <c r="A41" s="816" t="s">
        <v>1822</v>
      </c>
      <c r="B41" s="1003" t="s">
        <v>1210</v>
      </c>
      <c r="C41" s="1004">
        <v>586</v>
      </c>
      <c r="D41" s="1003" t="s">
        <v>1213</v>
      </c>
    </row>
    <row r="42" spans="1:4" ht="15.75" customHeight="1" x14ac:dyDescent="0.25">
      <c r="A42" s="816" t="s">
        <v>1823</v>
      </c>
      <c r="B42" s="1003" t="s">
        <v>1210</v>
      </c>
      <c r="C42" s="1004">
        <v>2733</v>
      </c>
      <c r="D42" s="1003" t="s">
        <v>1215</v>
      </c>
    </row>
    <row r="43" spans="1:4" ht="15.75" customHeight="1" x14ac:dyDescent="0.25">
      <c r="A43" s="816" t="s">
        <v>1818</v>
      </c>
      <c r="B43" s="1003" t="s">
        <v>1210</v>
      </c>
      <c r="C43" s="1004">
        <v>1597</v>
      </c>
      <c r="D43" s="1003" t="s">
        <v>1831</v>
      </c>
    </row>
    <row r="44" spans="1:4" ht="15.75" customHeight="1" x14ac:dyDescent="0.25">
      <c r="A44" s="816" t="s">
        <v>1825</v>
      </c>
      <c r="B44" s="1003" t="s">
        <v>1210</v>
      </c>
      <c r="C44" s="1004">
        <v>3167</v>
      </c>
      <c r="D44" s="1003" t="s">
        <v>1219</v>
      </c>
    </row>
    <row r="45" spans="1:4" ht="15.75" customHeight="1" x14ac:dyDescent="0.25">
      <c r="A45" s="877" t="s">
        <v>171</v>
      </c>
      <c r="B45" s="1003" t="s">
        <v>1143</v>
      </c>
      <c r="C45" s="1004">
        <v>1078</v>
      </c>
      <c r="D45" s="1003" t="s">
        <v>1220</v>
      </c>
    </row>
    <row r="46" spans="1:4" ht="15.75" customHeight="1" x14ac:dyDescent="0.25">
      <c r="A46" s="877" t="s">
        <v>171</v>
      </c>
      <c r="B46" s="1003" t="s">
        <v>1155</v>
      </c>
      <c r="C46" s="1004">
        <v>47</v>
      </c>
      <c r="D46" s="1003" t="s">
        <v>1221</v>
      </c>
    </row>
    <row r="47" spans="1:4" ht="15.75" customHeight="1" x14ac:dyDescent="0.25">
      <c r="A47" s="877" t="s">
        <v>171</v>
      </c>
      <c r="B47" s="1003" t="s">
        <v>1184</v>
      </c>
      <c r="C47" s="1004">
        <v>8623</v>
      </c>
      <c r="D47" s="1003" t="s">
        <v>1222</v>
      </c>
    </row>
    <row r="48" spans="1:4" ht="15.75" customHeight="1" x14ac:dyDescent="0.25">
      <c r="A48" s="877" t="s">
        <v>171</v>
      </c>
      <c r="B48" s="1003" t="s">
        <v>1184</v>
      </c>
      <c r="C48" s="1004">
        <v>2762</v>
      </c>
      <c r="D48" s="1003" t="s">
        <v>1223</v>
      </c>
    </row>
    <row r="49" spans="1:4" ht="15.75" customHeight="1" x14ac:dyDescent="0.25">
      <c r="A49" s="877" t="s">
        <v>171</v>
      </c>
      <c r="B49" s="1003" t="s">
        <v>1200</v>
      </c>
      <c r="C49" s="1004">
        <v>1117</v>
      </c>
      <c r="D49" s="1003" t="s">
        <v>1224</v>
      </c>
    </row>
    <row r="50" spans="1:4" ht="15.75" customHeight="1" x14ac:dyDescent="0.25">
      <c r="A50" s="877" t="s">
        <v>176</v>
      </c>
      <c r="B50" s="1003" t="s">
        <v>1143</v>
      </c>
      <c r="C50" s="1004">
        <v>234</v>
      </c>
      <c r="D50" s="1003" t="s">
        <v>1226</v>
      </c>
    </row>
    <row r="51" spans="1:4" ht="15.75" customHeight="1" x14ac:dyDescent="0.25">
      <c r="A51" s="877" t="s">
        <v>176</v>
      </c>
      <c r="B51" s="1003" t="s">
        <v>1155</v>
      </c>
      <c r="C51" s="1004">
        <v>15</v>
      </c>
      <c r="D51" s="1003" t="s">
        <v>1228</v>
      </c>
    </row>
    <row r="52" spans="1:4" ht="15.75" customHeight="1" x14ac:dyDescent="0.25">
      <c r="A52" s="877" t="s">
        <v>176</v>
      </c>
      <c r="B52" s="1003" t="s">
        <v>1184</v>
      </c>
      <c r="C52" s="1004">
        <v>1371</v>
      </c>
      <c r="D52" s="1003" t="s">
        <v>1184</v>
      </c>
    </row>
    <row r="53" spans="1:4" ht="15.75" customHeight="1" x14ac:dyDescent="0.25">
      <c r="A53" s="877" t="s">
        <v>176</v>
      </c>
      <c r="B53" s="1003" t="s">
        <v>1200</v>
      </c>
      <c r="C53" s="1004">
        <v>622</v>
      </c>
      <c r="D53" s="1003" t="s">
        <v>1224</v>
      </c>
    </row>
    <row r="54" spans="1:4" ht="15.75" customHeight="1" x14ac:dyDescent="0.25">
      <c r="A54" s="877" t="s">
        <v>181</v>
      </c>
      <c r="B54" s="1003" t="s">
        <v>1143</v>
      </c>
      <c r="C54" s="1004">
        <v>3480</v>
      </c>
      <c r="D54" s="1003" t="s">
        <v>1226</v>
      </c>
    </row>
    <row r="55" spans="1:4" ht="15.75" customHeight="1" x14ac:dyDescent="0.25">
      <c r="A55" s="877" t="s">
        <v>181</v>
      </c>
      <c r="B55" s="1003" t="s">
        <v>1155</v>
      </c>
      <c r="C55" s="1004">
        <v>6</v>
      </c>
      <c r="D55" s="1003" t="s">
        <v>1233</v>
      </c>
    </row>
    <row r="56" spans="1:4" ht="15.75" customHeight="1" x14ac:dyDescent="0.25">
      <c r="A56" s="877" t="s">
        <v>181</v>
      </c>
      <c r="B56" s="1003" t="s">
        <v>1155</v>
      </c>
      <c r="C56" s="1004">
        <v>347</v>
      </c>
      <c r="D56" s="1003" t="s">
        <v>1235</v>
      </c>
    </row>
    <row r="57" spans="1:4" ht="15.75" customHeight="1" x14ac:dyDescent="0.25">
      <c r="A57" s="877" t="s">
        <v>181</v>
      </c>
      <c r="B57" s="1003" t="s">
        <v>1173</v>
      </c>
      <c r="C57" s="1004">
        <v>4</v>
      </c>
      <c r="D57" s="1003" t="s">
        <v>1237</v>
      </c>
    </row>
    <row r="58" spans="1:4" ht="15.75" customHeight="1" x14ac:dyDescent="0.25">
      <c r="A58" s="877" t="s">
        <v>181</v>
      </c>
      <c r="B58" s="1003" t="s">
        <v>1184</v>
      </c>
      <c r="C58" s="1004">
        <v>33567</v>
      </c>
      <c r="D58" s="1003" t="s">
        <v>1184</v>
      </c>
    </row>
    <row r="59" spans="1:4" ht="15.75" customHeight="1" x14ac:dyDescent="0.25">
      <c r="A59" s="877" t="s">
        <v>181</v>
      </c>
      <c r="B59" s="1003" t="s">
        <v>1194</v>
      </c>
      <c r="C59" s="1004">
        <v>354</v>
      </c>
      <c r="D59" s="1003" t="s">
        <v>1240</v>
      </c>
    </row>
    <row r="60" spans="1:4" ht="15.75" customHeight="1" x14ac:dyDescent="0.25">
      <c r="A60" s="877" t="s">
        <v>181</v>
      </c>
      <c r="B60" s="1003" t="s">
        <v>1200</v>
      </c>
      <c r="C60" s="1004">
        <v>10259</v>
      </c>
      <c r="D60" s="1003" t="s">
        <v>1224</v>
      </c>
    </row>
    <row r="61" spans="1:4" ht="15.75" customHeight="1" x14ac:dyDescent="0.25">
      <c r="A61" s="877" t="s">
        <v>181</v>
      </c>
      <c r="B61" s="1003" t="s">
        <v>1210</v>
      </c>
      <c r="C61" s="1004">
        <v>335</v>
      </c>
      <c r="D61" s="1003" t="s">
        <v>1243</v>
      </c>
    </row>
    <row r="62" spans="1:4" ht="15.75" customHeight="1" x14ac:dyDescent="0.25">
      <c r="A62" s="877" t="s">
        <v>191</v>
      </c>
      <c r="B62" s="1003" t="s">
        <v>1143</v>
      </c>
      <c r="C62" s="1004">
        <v>5951</v>
      </c>
      <c r="D62" s="1003" t="s">
        <v>1226</v>
      </c>
    </row>
    <row r="63" spans="1:4" ht="15.75" customHeight="1" x14ac:dyDescent="0.25">
      <c r="A63" s="877" t="s">
        <v>191</v>
      </c>
      <c r="B63" s="1003" t="s">
        <v>1155</v>
      </c>
      <c r="C63" s="1004">
        <v>959</v>
      </c>
      <c r="D63" s="1003" t="s">
        <v>1228</v>
      </c>
    </row>
    <row r="64" spans="1:4" ht="15.75" customHeight="1" x14ac:dyDescent="0.25">
      <c r="A64" s="877" t="s">
        <v>191</v>
      </c>
      <c r="B64" s="1003" t="s">
        <v>1184</v>
      </c>
      <c r="C64" s="1004">
        <v>62651</v>
      </c>
      <c r="D64" s="1003" t="s">
        <v>1184</v>
      </c>
    </row>
    <row r="65" spans="1:4" ht="15.75" customHeight="1" x14ac:dyDescent="0.25">
      <c r="A65" s="877" t="s">
        <v>191</v>
      </c>
      <c r="B65" s="1003" t="s">
        <v>1200</v>
      </c>
      <c r="C65" s="1004">
        <v>17330</v>
      </c>
      <c r="D65" s="1003" t="s">
        <v>1224</v>
      </c>
    </row>
    <row r="66" spans="1:4" ht="15.75" customHeight="1" x14ac:dyDescent="0.25">
      <c r="A66" s="877" t="s">
        <v>191</v>
      </c>
      <c r="B66" s="1003" t="s">
        <v>1210</v>
      </c>
      <c r="C66" s="1004">
        <v>578</v>
      </c>
      <c r="D66" s="1003" t="s">
        <v>1243</v>
      </c>
    </row>
    <row r="67" spans="1:4" ht="15.75" customHeight="1" x14ac:dyDescent="0.25">
      <c r="A67" s="877" t="s">
        <v>196</v>
      </c>
      <c r="B67" s="1003" t="s">
        <v>1140</v>
      </c>
      <c r="C67" s="1004">
        <v>1</v>
      </c>
      <c r="D67" s="1003" t="s">
        <v>1250</v>
      </c>
    </row>
    <row r="68" spans="1:4" ht="15.75" customHeight="1" x14ac:dyDescent="0.25">
      <c r="A68" s="877" t="s">
        <v>196</v>
      </c>
      <c r="B68" s="1003" t="s">
        <v>1143</v>
      </c>
      <c r="C68" s="1004">
        <v>2537</v>
      </c>
      <c r="D68" s="1003" t="s">
        <v>1226</v>
      </c>
    </row>
    <row r="69" spans="1:4" ht="15.75" customHeight="1" x14ac:dyDescent="0.25">
      <c r="A69" s="877" t="s">
        <v>196</v>
      </c>
      <c r="B69" s="1003" t="s">
        <v>1155</v>
      </c>
      <c r="C69" s="1004">
        <v>205</v>
      </c>
      <c r="D69" s="1003" t="s">
        <v>1253</v>
      </c>
    </row>
    <row r="70" spans="1:4" ht="15.75" customHeight="1" x14ac:dyDescent="0.25">
      <c r="A70" s="877" t="s">
        <v>196</v>
      </c>
      <c r="B70" s="1003" t="s">
        <v>1184</v>
      </c>
      <c r="C70" s="1004">
        <v>28178</v>
      </c>
      <c r="D70" s="1003" t="s">
        <v>1184</v>
      </c>
    </row>
    <row r="71" spans="1:4" ht="15.75" customHeight="1" x14ac:dyDescent="0.25">
      <c r="A71" s="877" t="s">
        <v>196</v>
      </c>
      <c r="B71" s="1003" t="s">
        <v>1194</v>
      </c>
      <c r="C71" s="1004">
        <v>628</v>
      </c>
      <c r="D71" s="1003" t="s">
        <v>1240</v>
      </c>
    </row>
    <row r="72" spans="1:4" ht="15.75" customHeight="1" x14ac:dyDescent="0.25">
      <c r="A72" s="877" t="s">
        <v>196</v>
      </c>
      <c r="B72" s="1003" t="s">
        <v>1200</v>
      </c>
      <c r="C72" s="1004">
        <v>6199</v>
      </c>
      <c r="D72" s="1003" t="s">
        <v>1224</v>
      </c>
    </row>
    <row r="73" spans="1:4" ht="15.75" customHeight="1" x14ac:dyDescent="0.25">
      <c r="A73" s="877" t="s">
        <v>196</v>
      </c>
      <c r="B73" s="1003" t="s">
        <v>1210</v>
      </c>
      <c r="C73" s="1004">
        <v>42</v>
      </c>
      <c r="D73" s="1003" t="s">
        <v>1243</v>
      </c>
    </row>
    <row r="74" spans="1:4" ht="15.75" customHeight="1" x14ac:dyDescent="0.25">
      <c r="A74" s="877" t="s">
        <v>200</v>
      </c>
      <c r="B74" s="1003" t="s">
        <v>1143</v>
      </c>
      <c r="C74" s="1004">
        <v>800</v>
      </c>
      <c r="D74" s="1003" t="s">
        <v>1226</v>
      </c>
    </row>
    <row r="75" spans="1:4" ht="15.75" customHeight="1" x14ac:dyDescent="0.25">
      <c r="A75" s="877" t="s">
        <v>200</v>
      </c>
      <c r="B75" s="1003" t="s">
        <v>1155</v>
      </c>
      <c r="C75" s="1004">
        <v>71</v>
      </c>
      <c r="D75" s="1003" t="s">
        <v>1228</v>
      </c>
    </row>
    <row r="76" spans="1:4" ht="15.75" customHeight="1" x14ac:dyDescent="0.25">
      <c r="A76" s="877" t="s">
        <v>200</v>
      </c>
      <c r="B76" s="1003" t="s">
        <v>1184</v>
      </c>
      <c r="C76" s="1004">
        <v>6682</v>
      </c>
      <c r="D76" s="1003" t="s">
        <v>1184</v>
      </c>
    </row>
    <row r="77" spans="1:4" ht="15.75" customHeight="1" x14ac:dyDescent="0.25">
      <c r="A77" s="877" t="s">
        <v>200</v>
      </c>
      <c r="B77" s="1003" t="s">
        <v>1194</v>
      </c>
      <c r="C77" s="1004">
        <v>15</v>
      </c>
      <c r="D77" s="1003" t="s">
        <v>1240</v>
      </c>
    </row>
    <row r="78" spans="1:4" ht="15.75" customHeight="1" x14ac:dyDescent="0.25">
      <c r="A78" s="877" t="s">
        <v>200</v>
      </c>
      <c r="B78" s="1003" t="s">
        <v>1200</v>
      </c>
      <c r="C78" s="1004">
        <v>1905</v>
      </c>
      <c r="D78" s="1003" t="s">
        <v>1224</v>
      </c>
    </row>
    <row r="79" spans="1:4" ht="15.75" customHeight="1" x14ac:dyDescent="0.25">
      <c r="A79" s="877" t="s">
        <v>200</v>
      </c>
      <c r="B79" s="1003" t="s">
        <v>1210</v>
      </c>
      <c r="C79" s="1004">
        <v>14</v>
      </c>
      <c r="D79" s="1003" t="s">
        <v>1243</v>
      </c>
    </row>
    <row r="80" spans="1:4" ht="15.75" customHeight="1" x14ac:dyDescent="0.25">
      <c r="A80" s="877" t="s">
        <v>200</v>
      </c>
      <c r="B80" s="1003" t="s">
        <v>1143</v>
      </c>
      <c r="C80" s="1004">
        <v>189</v>
      </c>
      <c r="D80" s="1003" t="s">
        <v>1226</v>
      </c>
    </row>
    <row r="81" spans="1:4" ht="15.75" customHeight="1" x14ac:dyDescent="0.25">
      <c r="A81" s="877" t="s">
        <v>209</v>
      </c>
      <c r="B81" s="1003" t="s">
        <v>1155</v>
      </c>
      <c r="C81" s="1004">
        <v>10</v>
      </c>
      <c r="D81" s="1003" t="s">
        <v>1228</v>
      </c>
    </row>
    <row r="82" spans="1:4" ht="15.75" customHeight="1" x14ac:dyDescent="0.25">
      <c r="A82" s="877" t="s">
        <v>209</v>
      </c>
      <c r="B82" s="1003" t="s">
        <v>1184</v>
      </c>
      <c r="C82" s="1004">
        <v>2506</v>
      </c>
      <c r="D82" s="1003" t="s">
        <v>1184</v>
      </c>
    </row>
    <row r="83" spans="1:4" ht="15.75" customHeight="1" x14ac:dyDescent="0.25">
      <c r="A83" s="877" t="s">
        <v>209</v>
      </c>
      <c r="B83" s="1003" t="s">
        <v>1200</v>
      </c>
      <c r="C83" s="1004">
        <v>599</v>
      </c>
      <c r="D83" s="1003" t="s">
        <v>1224</v>
      </c>
    </row>
    <row r="84" spans="1:4" ht="15.75" customHeight="1" x14ac:dyDescent="0.25">
      <c r="A84" s="877" t="s">
        <v>209</v>
      </c>
      <c r="B84" s="1003" t="s">
        <v>1210</v>
      </c>
      <c r="C84" s="1004">
        <v>17</v>
      </c>
      <c r="D84" s="1003" t="s">
        <v>1243</v>
      </c>
    </row>
    <row r="85" spans="1:4" ht="15.75" customHeight="1" x14ac:dyDescent="0.25">
      <c r="A85" s="877" t="s">
        <v>212</v>
      </c>
      <c r="B85" s="1003" t="s">
        <v>1140</v>
      </c>
      <c r="C85" s="1004">
        <v>1</v>
      </c>
      <c r="D85" s="1003" t="s">
        <v>1250</v>
      </c>
    </row>
    <row r="86" spans="1:4" ht="15.75" customHeight="1" x14ac:dyDescent="0.25">
      <c r="A86" s="877" t="s">
        <v>212</v>
      </c>
      <c r="B86" s="1003" t="s">
        <v>1143</v>
      </c>
      <c r="C86" s="1004">
        <v>1353</v>
      </c>
      <c r="D86" s="1003" t="s">
        <v>1226</v>
      </c>
    </row>
    <row r="87" spans="1:4" ht="15.75" customHeight="1" x14ac:dyDescent="0.25">
      <c r="A87" s="877" t="s">
        <v>212</v>
      </c>
      <c r="B87" s="1003" t="s">
        <v>1155</v>
      </c>
      <c r="C87" s="1004">
        <v>63</v>
      </c>
      <c r="D87" s="1003" t="s">
        <v>1228</v>
      </c>
    </row>
    <row r="88" spans="1:4" ht="15.75" customHeight="1" x14ac:dyDescent="0.25">
      <c r="A88" s="877" t="s">
        <v>212</v>
      </c>
      <c r="B88" s="1003" t="s">
        <v>1184</v>
      </c>
      <c r="C88" s="1004">
        <v>11326</v>
      </c>
      <c r="D88" s="1003" t="s">
        <v>1184</v>
      </c>
    </row>
    <row r="89" spans="1:4" ht="15.75" customHeight="1" x14ac:dyDescent="0.25">
      <c r="A89" s="877" t="s">
        <v>212</v>
      </c>
      <c r="B89" s="1003" t="s">
        <v>1194</v>
      </c>
      <c r="C89" s="1004">
        <v>6</v>
      </c>
      <c r="D89" s="1003" t="s">
        <v>1240</v>
      </c>
    </row>
    <row r="90" spans="1:4" ht="15.75" customHeight="1" x14ac:dyDescent="0.25">
      <c r="A90" s="877" t="s">
        <v>212</v>
      </c>
      <c r="B90" s="1003" t="s">
        <v>1200</v>
      </c>
      <c r="C90" s="1004">
        <v>3155</v>
      </c>
      <c r="D90" s="1003" t="s">
        <v>1224</v>
      </c>
    </row>
    <row r="91" spans="1:4" ht="15.75" customHeight="1" x14ac:dyDescent="0.25">
      <c r="A91" s="877" t="s">
        <v>212</v>
      </c>
      <c r="B91" s="1003" t="s">
        <v>1210</v>
      </c>
      <c r="C91" s="1004">
        <v>29</v>
      </c>
      <c r="D91" s="1003" t="s">
        <v>1243</v>
      </c>
    </row>
    <row r="92" spans="1:4" ht="15.75" customHeight="1" x14ac:dyDescent="0.25">
      <c r="A92" s="816" t="s">
        <v>1832</v>
      </c>
      <c r="B92" s="1003" t="s">
        <v>1143</v>
      </c>
      <c r="C92" s="1004">
        <v>9506</v>
      </c>
      <c r="D92" s="1003" t="s">
        <v>1326</v>
      </c>
    </row>
    <row r="93" spans="1:4" ht="15.75" customHeight="1" x14ac:dyDescent="0.25">
      <c r="A93" s="816" t="s">
        <v>1833</v>
      </c>
      <c r="B93" s="1003" t="s">
        <v>1143</v>
      </c>
      <c r="C93" s="1004">
        <v>2473</v>
      </c>
      <c r="D93" s="1003" t="s">
        <v>1328</v>
      </c>
    </row>
    <row r="94" spans="1:4" ht="15.75" customHeight="1" x14ac:dyDescent="0.25">
      <c r="A94" s="816" t="s">
        <v>1832</v>
      </c>
      <c r="B94" s="1003" t="s">
        <v>1155</v>
      </c>
      <c r="C94" s="1004">
        <v>5</v>
      </c>
      <c r="D94" s="1003" t="s">
        <v>1330</v>
      </c>
    </row>
    <row r="95" spans="1:4" ht="15.75" customHeight="1" x14ac:dyDescent="0.25">
      <c r="A95" s="816" t="s">
        <v>1832</v>
      </c>
      <c r="B95" s="1003" t="s">
        <v>1155</v>
      </c>
      <c r="C95" s="1004">
        <v>1075</v>
      </c>
      <c r="D95" s="1003" t="s">
        <v>1332</v>
      </c>
    </row>
    <row r="96" spans="1:4" ht="15.75" customHeight="1" x14ac:dyDescent="0.25">
      <c r="A96" s="816" t="s">
        <v>1833</v>
      </c>
      <c r="B96" s="1003" t="s">
        <v>1155</v>
      </c>
      <c r="C96" s="1004">
        <v>393</v>
      </c>
      <c r="D96" s="1003" t="s">
        <v>1334</v>
      </c>
    </row>
    <row r="97" spans="1:4" ht="15.75" customHeight="1" x14ac:dyDescent="0.25">
      <c r="A97" s="816" t="s">
        <v>1832</v>
      </c>
      <c r="B97" s="1003" t="s">
        <v>1173</v>
      </c>
      <c r="C97" s="1004">
        <v>5</v>
      </c>
      <c r="D97" s="1003" t="s">
        <v>1336</v>
      </c>
    </row>
    <row r="98" spans="1:4" ht="15.75" customHeight="1" x14ac:dyDescent="0.25">
      <c r="A98" s="816" t="s">
        <v>1832</v>
      </c>
      <c r="B98" s="1003" t="s">
        <v>1184</v>
      </c>
      <c r="C98" s="1004">
        <v>118313</v>
      </c>
      <c r="D98" s="1003" t="s">
        <v>1338</v>
      </c>
    </row>
    <row r="99" spans="1:4" ht="15.75" customHeight="1" x14ac:dyDescent="0.25">
      <c r="A99" s="816" t="s">
        <v>1833</v>
      </c>
      <c r="B99" s="1003" t="s">
        <v>1184</v>
      </c>
      <c r="C99" s="1004">
        <v>45687</v>
      </c>
      <c r="D99" s="1003" t="s">
        <v>1340</v>
      </c>
    </row>
    <row r="100" spans="1:4" ht="15.75" customHeight="1" x14ac:dyDescent="0.25">
      <c r="A100" s="816" t="s">
        <v>1832</v>
      </c>
      <c r="B100" s="1003" t="s">
        <v>1184</v>
      </c>
      <c r="C100" s="1004">
        <v>1560</v>
      </c>
      <c r="D100" s="877" t="s">
        <v>9016</v>
      </c>
    </row>
    <row r="101" spans="1:4" ht="15.75" customHeight="1" x14ac:dyDescent="0.25">
      <c r="A101" s="816" t="s">
        <v>1832</v>
      </c>
      <c r="B101" s="1003" t="s">
        <v>1194</v>
      </c>
      <c r="C101" s="1004">
        <v>236</v>
      </c>
      <c r="D101" s="1003" t="s">
        <v>1343</v>
      </c>
    </row>
    <row r="102" spans="1:4" ht="15.75" customHeight="1" x14ac:dyDescent="0.25">
      <c r="A102" s="816" t="s">
        <v>1833</v>
      </c>
      <c r="B102" s="1003" t="s">
        <v>1194</v>
      </c>
      <c r="C102" s="1004">
        <v>45</v>
      </c>
      <c r="D102" s="1003" t="s">
        <v>1345</v>
      </c>
    </row>
    <row r="103" spans="1:4" ht="15.75" customHeight="1" x14ac:dyDescent="0.25">
      <c r="A103" s="816" t="s">
        <v>1832</v>
      </c>
      <c r="B103" s="1003" t="s">
        <v>1200</v>
      </c>
      <c r="C103" s="1004">
        <v>33008</v>
      </c>
      <c r="D103" s="1003" t="s">
        <v>1347</v>
      </c>
    </row>
    <row r="104" spans="1:4" ht="15.75" customHeight="1" x14ac:dyDescent="0.25">
      <c r="A104" s="816" t="s">
        <v>1833</v>
      </c>
      <c r="B104" s="1003" t="s">
        <v>1200</v>
      </c>
      <c r="C104" s="1004">
        <v>13763</v>
      </c>
      <c r="D104" s="1003" t="s">
        <v>1349</v>
      </c>
    </row>
    <row r="105" spans="1:4" ht="15.75" customHeight="1" x14ac:dyDescent="0.25">
      <c r="A105" s="816" t="s">
        <v>1832</v>
      </c>
      <c r="B105" s="1003" t="s">
        <v>1210</v>
      </c>
      <c r="C105" s="1004">
        <v>798</v>
      </c>
      <c r="D105" s="1003" t="s">
        <v>1351</v>
      </c>
    </row>
    <row r="106" spans="1:4" ht="15.75" customHeight="1" x14ac:dyDescent="0.25">
      <c r="A106" s="877" t="s">
        <v>1833</v>
      </c>
      <c r="B106" s="1003" t="s">
        <v>1210</v>
      </c>
      <c r="C106" s="1004">
        <v>388</v>
      </c>
      <c r="D106" s="1003" t="s">
        <v>1353</v>
      </c>
    </row>
    <row r="107" spans="1:4" ht="15.75" customHeight="1" x14ac:dyDescent="0.25">
      <c r="A107" s="877" t="s">
        <v>1834</v>
      </c>
      <c r="B107" s="1003" t="s">
        <v>1140</v>
      </c>
      <c r="C107" s="1004">
        <v>1</v>
      </c>
      <c r="D107" s="1003" t="s">
        <v>1355</v>
      </c>
    </row>
    <row r="108" spans="1:4" ht="15.75" customHeight="1" x14ac:dyDescent="0.25">
      <c r="A108" s="877" t="s">
        <v>1835</v>
      </c>
      <c r="B108" s="1003" t="s">
        <v>1140</v>
      </c>
      <c r="C108" s="1004">
        <v>1</v>
      </c>
      <c r="D108" s="1003" t="s">
        <v>1356</v>
      </c>
    </row>
    <row r="109" spans="1:4" ht="15.75" customHeight="1" x14ac:dyDescent="0.25">
      <c r="A109" s="877" t="s">
        <v>1834</v>
      </c>
      <c r="B109" s="1003" t="s">
        <v>1143</v>
      </c>
      <c r="C109" s="1004">
        <v>8217</v>
      </c>
      <c r="D109" s="1003" t="s">
        <v>1358</v>
      </c>
    </row>
    <row r="110" spans="1:4" ht="15.75" customHeight="1" x14ac:dyDescent="0.25">
      <c r="A110" s="877" t="s">
        <v>1835</v>
      </c>
      <c r="B110" s="1003" t="s">
        <v>1143</v>
      </c>
      <c r="C110" s="1004">
        <v>6220</v>
      </c>
      <c r="D110" s="1003" t="s">
        <v>1359</v>
      </c>
    </row>
    <row r="111" spans="1:4" ht="15.75" customHeight="1" x14ac:dyDescent="0.25">
      <c r="A111" s="877" t="s">
        <v>1834</v>
      </c>
      <c r="B111" s="1003" t="s">
        <v>1155</v>
      </c>
      <c r="C111" s="1004">
        <v>996</v>
      </c>
      <c r="D111" s="1003" t="s">
        <v>1360</v>
      </c>
    </row>
    <row r="112" spans="1:4" ht="15.75" customHeight="1" x14ac:dyDescent="0.25">
      <c r="A112" s="877" t="s">
        <v>1835</v>
      </c>
      <c r="B112" s="1003" t="s">
        <v>1155</v>
      </c>
      <c r="C112" s="1004">
        <v>664</v>
      </c>
      <c r="D112" s="1003" t="s">
        <v>1361</v>
      </c>
    </row>
    <row r="113" spans="1:4" ht="15.75" customHeight="1" x14ac:dyDescent="0.25">
      <c r="A113" s="877" t="s">
        <v>1834</v>
      </c>
      <c r="B113" s="1003" t="s">
        <v>1173</v>
      </c>
      <c r="C113" s="1004">
        <v>0</v>
      </c>
      <c r="D113" s="1003" t="s">
        <v>1362</v>
      </c>
    </row>
    <row r="114" spans="1:4" ht="15.75" customHeight="1" x14ac:dyDescent="0.25">
      <c r="A114" s="877" t="s">
        <v>1835</v>
      </c>
      <c r="B114" s="1003" t="s">
        <v>1173</v>
      </c>
      <c r="C114" s="1004">
        <v>1</v>
      </c>
      <c r="D114" s="1003" t="s">
        <v>1364</v>
      </c>
    </row>
    <row r="115" spans="1:4" ht="15.75" customHeight="1" x14ac:dyDescent="0.25">
      <c r="A115" s="877" t="s">
        <v>1834</v>
      </c>
      <c r="B115" s="1003" t="s">
        <v>1184</v>
      </c>
      <c r="C115" s="1004">
        <v>94162</v>
      </c>
      <c r="D115" s="1003" t="s">
        <v>1366</v>
      </c>
    </row>
    <row r="116" spans="1:4" ht="15.75" customHeight="1" x14ac:dyDescent="0.25">
      <c r="A116" s="877" t="s">
        <v>1835</v>
      </c>
      <c r="B116" s="1003" t="s">
        <v>1184</v>
      </c>
      <c r="C116" s="1004">
        <v>53149</v>
      </c>
      <c r="D116" s="1003" t="s">
        <v>1368</v>
      </c>
    </row>
    <row r="117" spans="1:4" ht="15.75" customHeight="1" x14ac:dyDescent="0.25">
      <c r="A117" s="877" t="s">
        <v>1834</v>
      </c>
      <c r="B117" s="1003" t="s">
        <v>1200</v>
      </c>
      <c r="C117" s="1004">
        <v>26253</v>
      </c>
      <c r="D117" s="1003" t="s">
        <v>1370</v>
      </c>
    </row>
    <row r="118" spans="1:4" ht="15.75" customHeight="1" x14ac:dyDescent="0.25">
      <c r="A118" s="877" t="s">
        <v>1835</v>
      </c>
      <c r="B118" s="1003" t="s">
        <v>1200</v>
      </c>
      <c r="C118" s="1004">
        <v>15464</v>
      </c>
      <c r="D118" s="1003" t="s">
        <v>1372</v>
      </c>
    </row>
    <row r="119" spans="1:4" ht="15.75" customHeight="1" x14ac:dyDescent="0.25">
      <c r="A119" s="877" t="s">
        <v>1834</v>
      </c>
      <c r="B119" s="1003" t="s">
        <v>1210</v>
      </c>
      <c r="C119" s="1004">
        <v>917</v>
      </c>
      <c r="D119" s="1003" t="s">
        <v>1374</v>
      </c>
    </row>
    <row r="120" spans="1:4" ht="15.75" customHeight="1" x14ac:dyDescent="0.25">
      <c r="A120" s="816" t="s">
        <v>1835</v>
      </c>
      <c r="B120" s="1003" t="s">
        <v>1210</v>
      </c>
      <c r="C120" s="1004">
        <v>566</v>
      </c>
      <c r="D120" s="1003" t="s">
        <v>1376</v>
      </c>
    </row>
    <row r="121" spans="1:4" ht="15.75" customHeight="1" x14ac:dyDescent="0.25">
      <c r="A121" s="816" t="s">
        <v>1836</v>
      </c>
      <c r="B121" s="1003" t="s">
        <v>1140</v>
      </c>
      <c r="C121" s="1004">
        <v>1</v>
      </c>
      <c r="D121" s="1003" t="s">
        <v>1293</v>
      </c>
    </row>
    <row r="122" spans="1:4" ht="15.75" customHeight="1" x14ac:dyDescent="0.25">
      <c r="A122" s="816" t="s">
        <v>1836</v>
      </c>
      <c r="B122" s="1003" t="s">
        <v>1143</v>
      </c>
      <c r="C122" s="1004">
        <v>4090</v>
      </c>
      <c r="D122" s="1003" t="s">
        <v>1297</v>
      </c>
    </row>
    <row r="123" spans="1:4" ht="15.75" customHeight="1" x14ac:dyDescent="0.25">
      <c r="A123" s="816" t="s">
        <v>1837</v>
      </c>
      <c r="B123" s="1003" t="s">
        <v>1143</v>
      </c>
      <c r="C123" s="1004">
        <v>1813</v>
      </c>
      <c r="D123" s="1003" t="s">
        <v>1380</v>
      </c>
    </row>
    <row r="124" spans="1:4" ht="15.75" customHeight="1" x14ac:dyDescent="0.25">
      <c r="A124" s="816" t="s">
        <v>1836</v>
      </c>
      <c r="B124" s="1003" t="s">
        <v>1155</v>
      </c>
      <c r="C124" s="1004">
        <v>378</v>
      </c>
      <c r="D124" s="1003" t="s">
        <v>1382</v>
      </c>
    </row>
    <row r="125" spans="1:4" ht="15.75" customHeight="1" x14ac:dyDescent="0.25">
      <c r="A125" s="816" t="s">
        <v>1837</v>
      </c>
      <c r="B125" s="1003" t="s">
        <v>1155</v>
      </c>
      <c r="C125" s="1004">
        <v>130</v>
      </c>
      <c r="D125" s="1003" t="s">
        <v>1384</v>
      </c>
    </row>
    <row r="126" spans="1:4" ht="15.75" customHeight="1" x14ac:dyDescent="0.25">
      <c r="A126" s="816" t="s">
        <v>1836</v>
      </c>
      <c r="B126" s="1003" t="s">
        <v>1173</v>
      </c>
      <c r="C126" s="1004">
        <v>4</v>
      </c>
      <c r="D126" s="1003" t="s">
        <v>1386</v>
      </c>
    </row>
    <row r="127" spans="1:4" ht="15.75" customHeight="1" x14ac:dyDescent="0.25">
      <c r="A127" s="816" t="s">
        <v>1836</v>
      </c>
      <c r="B127" s="1003" t="s">
        <v>1184</v>
      </c>
      <c r="C127" s="1004">
        <v>39388</v>
      </c>
      <c r="D127" s="1003" t="s">
        <v>1312</v>
      </c>
    </row>
    <row r="128" spans="1:4" ht="15.75" customHeight="1" x14ac:dyDescent="0.25">
      <c r="A128" s="816" t="s">
        <v>1837</v>
      </c>
      <c r="B128" s="1003" t="s">
        <v>1184</v>
      </c>
      <c r="C128" s="1004">
        <v>17680</v>
      </c>
      <c r="D128" s="1003" t="s">
        <v>1389</v>
      </c>
    </row>
    <row r="129" spans="1:4" ht="15.75" customHeight="1" x14ac:dyDescent="0.25">
      <c r="A129" s="816" t="s">
        <v>1836</v>
      </c>
      <c r="B129" s="1003" t="s">
        <v>1194</v>
      </c>
      <c r="C129" s="1004">
        <v>234</v>
      </c>
      <c r="D129" s="1003" t="s">
        <v>1316</v>
      </c>
    </row>
    <row r="130" spans="1:4" ht="15.75" customHeight="1" x14ac:dyDescent="0.25">
      <c r="A130" s="816" t="s">
        <v>1837</v>
      </c>
      <c r="B130" s="1003" t="s">
        <v>1194</v>
      </c>
      <c r="C130" s="1004">
        <v>67</v>
      </c>
      <c r="D130" s="1003" t="s">
        <v>1392</v>
      </c>
    </row>
    <row r="131" spans="1:4" ht="15.75" customHeight="1" x14ac:dyDescent="0.25">
      <c r="A131" s="816" t="s">
        <v>1836</v>
      </c>
      <c r="B131" s="1003" t="s">
        <v>1200</v>
      </c>
      <c r="C131" s="1004">
        <v>13701</v>
      </c>
      <c r="D131" s="1003" t="s">
        <v>1320</v>
      </c>
    </row>
    <row r="132" spans="1:4" ht="15.75" customHeight="1" x14ac:dyDescent="0.25">
      <c r="A132" s="816" t="s">
        <v>1837</v>
      </c>
      <c r="B132" s="1003" t="s">
        <v>1200</v>
      </c>
      <c r="C132" s="1004">
        <v>5174</v>
      </c>
      <c r="D132" s="1003" t="s">
        <v>1395</v>
      </c>
    </row>
    <row r="133" spans="1:4" ht="15.75" customHeight="1" x14ac:dyDescent="0.25">
      <c r="A133" s="877" t="s">
        <v>1836</v>
      </c>
      <c r="B133" s="1003" t="s">
        <v>1210</v>
      </c>
      <c r="C133" s="1004">
        <v>226</v>
      </c>
      <c r="D133" s="1003" t="s">
        <v>1324</v>
      </c>
    </row>
    <row r="134" spans="1:4" ht="15.75" customHeight="1" x14ac:dyDescent="0.25">
      <c r="A134" s="877" t="s">
        <v>222</v>
      </c>
      <c r="B134" s="1003" t="s">
        <v>1143</v>
      </c>
      <c r="C134" s="1004">
        <v>8480</v>
      </c>
      <c r="D134" s="1003" t="s">
        <v>1226</v>
      </c>
    </row>
    <row r="135" spans="1:4" ht="15.75" customHeight="1" x14ac:dyDescent="0.25">
      <c r="A135" s="877" t="s">
        <v>222</v>
      </c>
      <c r="B135" s="1003" t="s">
        <v>1155</v>
      </c>
      <c r="C135" s="1004">
        <v>833</v>
      </c>
      <c r="D135" s="1003" t="s">
        <v>1228</v>
      </c>
    </row>
    <row r="136" spans="1:4" ht="15.75" customHeight="1" x14ac:dyDescent="0.25">
      <c r="A136" s="877" t="s">
        <v>222</v>
      </c>
      <c r="B136" s="1003" t="s">
        <v>1173</v>
      </c>
      <c r="C136" s="1004">
        <v>3</v>
      </c>
      <c r="D136" s="1003" t="s">
        <v>1280</v>
      </c>
    </row>
    <row r="137" spans="1:4" ht="15.75" customHeight="1" x14ac:dyDescent="0.25">
      <c r="A137" s="877" t="s">
        <v>222</v>
      </c>
      <c r="B137" s="1003" t="s">
        <v>1173</v>
      </c>
      <c r="C137" s="1004">
        <v>4</v>
      </c>
      <c r="D137" s="1003" t="s">
        <v>1282</v>
      </c>
    </row>
    <row r="138" spans="1:4" ht="15.75" customHeight="1" x14ac:dyDescent="0.25">
      <c r="A138" s="877" t="s">
        <v>222</v>
      </c>
      <c r="B138" s="1003" t="s">
        <v>1184</v>
      </c>
      <c r="C138" s="1004">
        <v>82684</v>
      </c>
      <c r="D138" s="1003" t="s">
        <v>1184</v>
      </c>
    </row>
    <row r="139" spans="1:4" ht="15.75" customHeight="1" x14ac:dyDescent="0.25">
      <c r="A139" s="877" t="s">
        <v>222</v>
      </c>
      <c r="B139" s="1003" t="s">
        <v>1194</v>
      </c>
      <c r="C139" s="1004">
        <v>470</v>
      </c>
      <c r="D139" s="1003" t="s">
        <v>1240</v>
      </c>
    </row>
    <row r="140" spans="1:4" ht="15.75" customHeight="1" x14ac:dyDescent="0.25">
      <c r="A140" s="877" t="s">
        <v>222</v>
      </c>
      <c r="B140" s="1003" t="s">
        <v>1200</v>
      </c>
      <c r="C140" s="1004">
        <v>25132</v>
      </c>
      <c r="D140" s="1003" t="s">
        <v>1224</v>
      </c>
    </row>
    <row r="141" spans="1:4" ht="15.75" customHeight="1" x14ac:dyDescent="0.25">
      <c r="A141" s="877" t="s">
        <v>222</v>
      </c>
      <c r="B141" s="1003" t="s">
        <v>1210</v>
      </c>
      <c r="C141" s="1004">
        <v>749</v>
      </c>
      <c r="D141" s="1003" t="s">
        <v>1243</v>
      </c>
    </row>
    <row r="142" spans="1:4" ht="15.75" customHeight="1" x14ac:dyDescent="0.25">
      <c r="A142" s="877" t="s">
        <v>224</v>
      </c>
      <c r="B142" s="1003" t="s">
        <v>1143</v>
      </c>
      <c r="C142" s="1004">
        <v>1850</v>
      </c>
      <c r="D142" s="1003" t="s">
        <v>1226</v>
      </c>
    </row>
    <row r="143" spans="1:4" ht="15.75" customHeight="1" x14ac:dyDescent="0.25">
      <c r="A143" s="877" t="s">
        <v>224</v>
      </c>
      <c r="B143" s="1003" t="s">
        <v>1155</v>
      </c>
      <c r="C143" s="1004">
        <v>133</v>
      </c>
      <c r="D143" s="1003" t="s">
        <v>1228</v>
      </c>
    </row>
    <row r="144" spans="1:4" ht="15.75" customHeight="1" x14ac:dyDescent="0.25">
      <c r="A144" s="877" t="s">
        <v>224</v>
      </c>
      <c r="B144" s="1003" t="s">
        <v>1184</v>
      </c>
      <c r="C144" s="1004">
        <v>17069</v>
      </c>
      <c r="D144" s="1003" t="s">
        <v>1184</v>
      </c>
    </row>
    <row r="145" spans="1:4" ht="15.75" customHeight="1" x14ac:dyDescent="0.25">
      <c r="A145" s="877" t="s">
        <v>224</v>
      </c>
      <c r="B145" s="1003" t="s">
        <v>1200</v>
      </c>
      <c r="C145" s="1004">
        <v>3301</v>
      </c>
      <c r="D145" s="1003" t="s">
        <v>1224</v>
      </c>
    </row>
    <row r="146" spans="1:4" ht="15.75" customHeight="1" x14ac:dyDescent="0.25">
      <c r="A146" s="877" t="s">
        <v>224</v>
      </c>
      <c r="B146" s="1003" t="s">
        <v>1210</v>
      </c>
      <c r="C146" s="1004">
        <v>30</v>
      </c>
      <c r="D146" s="1003" t="s">
        <v>1243</v>
      </c>
    </row>
    <row r="147" spans="1:4" ht="15.75" customHeight="1" x14ac:dyDescent="0.25">
      <c r="A147" s="816" t="s">
        <v>1838</v>
      </c>
      <c r="B147" s="1003" t="s">
        <v>1140</v>
      </c>
      <c r="C147" s="1004">
        <v>4</v>
      </c>
      <c r="D147" s="1003" t="s">
        <v>1293</v>
      </c>
    </row>
    <row r="148" spans="1:4" ht="15.75" customHeight="1" x14ac:dyDescent="0.25">
      <c r="A148" s="816" t="s">
        <v>1839</v>
      </c>
      <c r="B148" s="1003" t="s">
        <v>1143</v>
      </c>
      <c r="C148" s="1004">
        <v>488</v>
      </c>
      <c r="D148" s="1003" t="s">
        <v>1295</v>
      </c>
    </row>
    <row r="149" spans="1:4" ht="15.75" customHeight="1" x14ac:dyDescent="0.25">
      <c r="A149" s="816" t="s">
        <v>1838</v>
      </c>
      <c r="B149" s="1003" t="s">
        <v>1143</v>
      </c>
      <c r="C149" s="1004">
        <v>1939</v>
      </c>
      <c r="D149" s="1003" t="s">
        <v>1297</v>
      </c>
    </row>
    <row r="150" spans="1:4" ht="15.75" customHeight="1" x14ac:dyDescent="0.25">
      <c r="A150" s="816" t="s">
        <v>1838</v>
      </c>
      <c r="B150" s="1003" t="s">
        <v>1155</v>
      </c>
      <c r="C150" s="1004">
        <v>11</v>
      </c>
      <c r="D150" s="1003" t="s">
        <v>1299</v>
      </c>
    </row>
    <row r="151" spans="1:4" ht="15.75" customHeight="1" x14ac:dyDescent="0.25">
      <c r="A151" s="816" t="s">
        <v>1839</v>
      </c>
      <c r="B151" s="1003" t="s">
        <v>1155</v>
      </c>
      <c r="C151" s="1004">
        <v>38</v>
      </c>
      <c r="D151" s="1003" t="s">
        <v>1301</v>
      </c>
    </row>
    <row r="152" spans="1:4" ht="15.75" customHeight="1" x14ac:dyDescent="0.25">
      <c r="A152" s="816" t="s">
        <v>1838</v>
      </c>
      <c r="B152" s="1003" t="s">
        <v>1155</v>
      </c>
      <c r="C152" s="1004">
        <v>134</v>
      </c>
      <c r="D152" s="1003" t="s">
        <v>1303</v>
      </c>
    </row>
    <row r="153" spans="1:4" ht="15.75" customHeight="1" x14ac:dyDescent="0.25">
      <c r="A153" s="816" t="s">
        <v>1839</v>
      </c>
      <c r="B153" s="1003" t="s">
        <v>1155</v>
      </c>
      <c r="C153" s="1004">
        <v>6</v>
      </c>
      <c r="D153" s="1003" t="s">
        <v>1305</v>
      </c>
    </row>
    <row r="154" spans="1:4" ht="15.75" customHeight="1" x14ac:dyDescent="0.25">
      <c r="A154" s="816" t="s">
        <v>1839</v>
      </c>
      <c r="B154" s="1003" t="s">
        <v>1173</v>
      </c>
      <c r="C154" s="1004">
        <v>1</v>
      </c>
      <c r="D154" s="1003" t="s">
        <v>1307</v>
      </c>
    </row>
    <row r="155" spans="1:4" ht="15.75" customHeight="1" x14ac:dyDescent="0.25">
      <c r="A155" s="816" t="s">
        <v>1838</v>
      </c>
      <c r="B155" s="1003" t="s">
        <v>1173</v>
      </c>
      <c r="C155" s="1004">
        <v>3</v>
      </c>
      <c r="D155" s="1003" t="s">
        <v>1309</v>
      </c>
    </row>
    <row r="156" spans="1:4" ht="15.75" customHeight="1" x14ac:dyDescent="0.25">
      <c r="A156" s="816" t="s">
        <v>1839</v>
      </c>
      <c r="B156" s="1003" t="s">
        <v>1184</v>
      </c>
      <c r="C156" s="1004">
        <v>3490</v>
      </c>
      <c r="D156" s="1003" t="s">
        <v>1310</v>
      </c>
    </row>
    <row r="157" spans="1:4" ht="15.75" customHeight="1" x14ac:dyDescent="0.25">
      <c r="A157" s="816" t="s">
        <v>1838</v>
      </c>
      <c r="B157" s="1003" t="s">
        <v>1184</v>
      </c>
      <c r="C157" s="1004">
        <v>18848</v>
      </c>
      <c r="D157" s="1003" t="s">
        <v>1312</v>
      </c>
    </row>
    <row r="158" spans="1:4" ht="15.75" customHeight="1" x14ac:dyDescent="0.25">
      <c r="A158" s="816" t="s">
        <v>1839</v>
      </c>
      <c r="B158" s="1003" t="s">
        <v>1194</v>
      </c>
      <c r="C158" s="1004">
        <v>2</v>
      </c>
      <c r="D158" s="1003" t="s">
        <v>1314</v>
      </c>
    </row>
    <row r="159" spans="1:4" ht="15.75" customHeight="1" x14ac:dyDescent="0.25">
      <c r="A159" s="816" t="s">
        <v>1838</v>
      </c>
      <c r="B159" s="1003" t="s">
        <v>1194</v>
      </c>
      <c r="C159" s="1004">
        <v>358</v>
      </c>
      <c r="D159" s="1003" t="s">
        <v>1316</v>
      </c>
    </row>
    <row r="160" spans="1:4" ht="15.75" customHeight="1" x14ac:dyDescent="0.25">
      <c r="A160" s="816" t="s">
        <v>1839</v>
      </c>
      <c r="B160" s="1003" t="s">
        <v>1200</v>
      </c>
      <c r="C160" s="1004">
        <v>1486</v>
      </c>
      <c r="D160" s="1003" t="s">
        <v>1318</v>
      </c>
    </row>
    <row r="161" spans="1:4" ht="15.75" customHeight="1" x14ac:dyDescent="0.25">
      <c r="A161" s="816" t="s">
        <v>1838</v>
      </c>
      <c r="B161" s="1003" t="s">
        <v>1200</v>
      </c>
      <c r="C161" s="1004">
        <v>6561</v>
      </c>
      <c r="D161" s="1003" t="s">
        <v>1320</v>
      </c>
    </row>
    <row r="162" spans="1:4" ht="15.75" customHeight="1" x14ac:dyDescent="0.25">
      <c r="A162" s="816" t="s">
        <v>1839</v>
      </c>
      <c r="B162" s="1003" t="s">
        <v>1210</v>
      </c>
      <c r="C162" s="1004">
        <v>3</v>
      </c>
      <c r="D162" s="1003" t="s">
        <v>1322</v>
      </c>
    </row>
    <row r="163" spans="1:4" ht="15.75" customHeight="1" x14ac:dyDescent="0.25">
      <c r="A163" s="816" t="s">
        <v>1838</v>
      </c>
      <c r="B163" s="1003" t="s">
        <v>1210</v>
      </c>
      <c r="C163" s="1004">
        <v>89</v>
      </c>
      <c r="D163" s="1003" t="s">
        <v>1324</v>
      </c>
    </row>
    <row r="164" spans="1:4" ht="15.75" customHeight="1" x14ac:dyDescent="0.25">
      <c r="A164" s="877" t="s">
        <v>232</v>
      </c>
      <c r="B164" s="1003" t="s">
        <v>1140</v>
      </c>
      <c r="C164" s="1004">
        <v>4</v>
      </c>
      <c r="D164" s="1003" t="s">
        <v>1250</v>
      </c>
    </row>
    <row r="165" spans="1:4" ht="15.75" customHeight="1" x14ac:dyDescent="0.25">
      <c r="A165" s="877" t="s">
        <v>232</v>
      </c>
      <c r="B165" s="1003" t="s">
        <v>1143</v>
      </c>
      <c r="C165" s="1004">
        <v>2112</v>
      </c>
      <c r="D165" s="1003" t="s">
        <v>1226</v>
      </c>
    </row>
    <row r="166" spans="1:4" ht="15.75" customHeight="1" x14ac:dyDescent="0.25">
      <c r="A166" s="877" t="s">
        <v>232</v>
      </c>
      <c r="B166" s="1003" t="s">
        <v>1155</v>
      </c>
      <c r="C166" s="1004">
        <v>237</v>
      </c>
      <c r="D166" s="1003" t="s">
        <v>1228</v>
      </c>
    </row>
    <row r="167" spans="1:4" ht="15.75" customHeight="1" x14ac:dyDescent="0.25">
      <c r="A167" s="877" t="s">
        <v>232</v>
      </c>
      <c r="B167" s="1003" t="s">
        <v>1184</v>
      </c>
      <c r="C167" s="1004">
        <v>29194</v>
      </c>
      <c r="D167" s="1003" t="s">
        <v>1184</v>
      </c>
    </row>
    <row r="168" spans="1:4" ht="15.75" customHeight="1" x14ac:dyDescent="0.25">
      <c r="A168" s="877" t="s">
        <v>232</v>
      </c>
      <c r="B168" s="1003" t="s">
        <v>1194</v>
      </c>
      <c r="C168" s="1004">
        <v>217</v>
      </c>
      <c r="D168" s="1003" t="s">
        <v>1240</v>
      </c>
    </row>
    <row r="169" spans="1:4" ht="15.75" customHeight="1" x14ac:dyDescent="0.25">
      <c r="A169" s="877" t="s">
        <v>232</v>
      </c>
      <c r="B169" s="1003" t="s">
        <v>1200</v>
      </c>
      <c r="C169" s="1004">
        <v>2834</v>
      </c>
      <c r="D169" s="1003" t="s">
        <v>1224</v>
      </c>
    </row>
    <row r="170" spans="1:4" ht="15.75" customHeight="1" x14ac:dyDescent="0.25">
      <c r="A170" s="877" t="s">
        <v>232</v>
      </c>
      <c r="B170" s="1003" t="s">
        <v>1210</v>
      </c>
      <c r="C170" s="1004">
        <v>125</v>
      </c>
      <c r="D170" s="1003" t="s">
        <v>1243</v>
      </c>
    </row>
    <row r="171" spans="1:4" ht="15.75" customHeight="1" x14ac:dyDescent="0.25">
      <c r="A171" s="877" t="s">
        <v>234</v>
      </c>
      <c r="B171" s="1003" t="s">
        <v>1143</v>
      </c>
      <c r="C171" s="1004">
        <v>2112</v>
      </c>
      <c r="D171" s="1003" t="s">
        <v>1226</v>
      </c>
    </row>
    <row r="172" spans="1:4" ht="15.75" customHeight="1" x14ac:dyDescent="0.25">
      <c r="A172" s="877" t="s">
        <v>234</v>
      </c>
      <c r="B172" s="1003" t="s">
        <v>1155</v>
      </c>
      <c r="C172" s="1004">
        <v>213</v>
      </c>
      <c r="D172" s="1003" t="s">
        <v>1228</v>
      </c>
    </row>
    <row r="173" spans="1:4" ht="15.75" customHeight="1" x14ac:dyDescent="0.25">
      <c r="A173" s="877" t="s">
        <v>234</v>
      </c>
      <c r="B173" s="1003" t="s">
        <v>1173</v>
      </c>
      <c r="C173" s="1004">
        <v>1</v>
      </c>
      <c r="D173" s="1003" t="s">
        <v>1237</v>
      </c>
    </row>
    <row r="174" spans="1:4" ht="15.75" customHeight="1" x14ac:dyDescent="0.25">
      <c r="A174" s="877" t="s">
        <v>234</v>
      </c>
      <c r="B174" s="1003" t="s">
        <v>1184</v>
      </c>
      <c r="C174" s="1004">
        <v>20255</v>
      </c>
      <c r="D174" s="1003" t="s">
        <v>1184</v>
      </c>
    </row>
    <row r="175" spans="1:4" ht="15.75" customHeight="1" x14ac:dyDescent="0.25">
      <c r="A175" s="877" t="s">
        <v>234</v>
      </c>
      <c r="B175" s="1003" t="s">
        <v>1194</v>
      </c>
      <c r="C175" s="1004">
        <v>36</v>
      </c>
      <c r="D175" s="1003" t="s">
        <v>1240</v>
      </c>
    </row>
    <row r="176" spans="1:4" ht="15.75" customHeight="1" x14ac:dyDescent="0.25">
      <c r="A176" s="877" t="s">
        <v>234</v>
      </c>
      <c r="B176" s="1003" t="s">
        <v>1200</v>
      </c>
      <c r="C176" s="1004">
        <v>6441</v>
      </c>
      <c r="D176" s="1003" t="s">
        <v>1224</v>
      </c>
    </row>
    <row r="177" spans="1:4" ht="15.75" customHeight="1" x14ac:dyDescent="0.25">
      <c r="A177" s="877" t="s">
        <v>234</v>
      </c>
      <c r="B177" s="1003" t="s">
        <v>1210</v>
      </c>
      <c r="C177" s="1004">
        <v>431</v>
      </c>
      <c r="D177" s="1003" t="s">
        <v>1243</v>
      </c>
    </row>
    <row r="178" spans="1:4" ht="15.75" customHeight="1" x14ac:dyDescent="0.25">
      <c r="A178" s="877" t="s">
        <v>237</v>
      </c>
      <c r="B178" s="1003" t="s">
        <v>1143</v>
      </c>
      <c r="C178" s="1004">
        <v>422</v>
      </c>
      <c r="D178" s="1003" t="s">
        <v>1226</v>
      </c>
    </row>
    <row r="179" spans="1:4" ht="15.75" customHeight="1" x14ac:dyDescent="0.25">
      <c r="A179" s="877" t="s">
        <v>237</v>
      </c>
      <c r="B179" s="1003" t="s">
        <v>1155</v>
      </c>
      <c r="C179" s="1004">
        <v>36</v>
      </c>
      <c r="D179" s="1003" t="s">
        <v>1228</v>
      </c>
    </row>
    <row r="180" spans="1:4" ht="15.75" customHeight="1" x14ac:dyDescent="0.25">
      <c r="A180" s="877" t="s">
        <v>237</v>
      </c>
      <c r="B180" s="1003" t="s">
        <v>1184</v>
      </c>
      <c r="C180" s="1004">
        <v>3287</v>
      </c>
      <c r="D180" s="1003" t="s">
        <v>1184</v>
      </c>
    </row>
    <row r="181" spans="1:4" ht="15.75" customHeight="1" x14ac:dyDescent="0.25">
      <c r="A181" s="877" t="s">
        <v>237</v>
      </c>
      <c r="B181" s="1003" t="s">
        <v>1200</v>
      </c>
      <c r="C181" s="1004">
        <v>1104</v>
      </c>
      <c r="D181" s="1003" t="s">
        <v>1224</v>
      </c>
    </row>
    <row r="182" spans="1:4" ht="15.75" customHeight="1" x14ac:dyDescent="0.25">
      <c r="A182" s="877" t="s">
        <v>237</v>
      </c>
      <c r="B182" s="1003" t="s">
        <v>1210</v>
      </c>
      <c r="C182" s="1004">
        <v>6</v>
      </c>
      <c r="D182" s="1003" t="s">
        <v>1243</v>
      </c>
    </row>
    <row r="183" spans="1:4" ht="15.75" customHeight="1" x14ac:dyDescent="0.25">
      <c r="A183" s="877" t="s">
        <v>1840</v>
      </c>
      <c r="B183" s="1003" t="s">
        <v>1140</v>
      </c>
      <c r="C183" s="1004">
        <v>1</v>
      </c>
      <c r="D183" s="1003" t="s">
        <v>1417</v>
      </c>
    </row>
    <row r="184" spans="1:4" ht="15.75" customHeight="1" x14ac:dyDescent="0.25">
      <c r="A184" s="877" t="s">
        <v>1840</v>
      </c>
      <c r="B184" s="1003" t="s">
        <v>1140</v>
      </c>
      <c r="C184" s="1004">
        <v>1</v>
      </c>
      <c r="D184" s="1003" t="s">
        <v>1418</v>
      </c>
    </row>
    <row r="185" spans="1:4" ht="15.75" customHeight="1" x14ac:dyDescent="0.25">
      <c r="A185" s="877" t="s">
        <v>1840</v>
      </c>
      <c r="B185" s="1003" t="s">
        <v>1140</v>
      </c>
      <c r="C185" s="1004">
        <v>4</v>
      </c>
      <c r="D185" s="1003" t="s">
        <v>1419</v>
      </c>
    </row>
    <row r="186" spans="1:4" ht="15.75" customHeight="1" x14ac:dyDescent="0.25">
      <c r="A186" s="877" t="s">
        <v>1840</v>
      </c>
      <c r="B186" s="1003" t="s">
        <v>1140</v>
      </c>
      <c r="C186" s="1004">
        <v>1</v>
      </c>
      <c r="D186" s="1003" t="s">
        <v>1420</v>
      </c>
    </row>
    <row r="187" spans="1:4" ht="15.75" customHeight="1" x14ac:dyDescent="0.25">
      <c r="A187" s="877" t="s">
        <v>1840</v>
      </c>
      <c r="B187" s="1003" t="s">
        <v>1140</v>
      </c>
      <c r="C187" s="1004">
        <v>1</v>
      </c>
      <c r="D187" s="1003" t="s">
        <v>1421</v>
      </c>
    </row>
    <row r="188" spans="1:4" ht="15.75" customHeight="1" x14ac:dyDescent="0.25">
      <c r="A188" s="877" t="s">
        <v>1841</v>
      </c>
      <c r="B188" s="1003" t="s">
        <v>1140</v>
      </c>
      <c r="C188" s="1004">
        <v>1</v>
      </c>
      <c r="D188" s="1003" t="s">
        <v>1422</v>
      </c>
    </row>
    <row r="189" spans="1:4" ht="15.75" customHeight="1" x14ac:dyDescent="0.25">
      <c r="A189" s="877" t="s">
        <v>1841</v>
      </c>
      <c r="B189" s="1003" t="s">
        <v>1143</v>
      </c>
      <c r="C189" s="1004">
        <v>3003</v>
      </c>
      <c r="D189" s="1003" t="s">
        <v>1424</v>
      </c>
    </row>
    <row r="190" spans="1:4" ht="15.75" customHeight="1" x14ac:dyDescent="0.25">
      <c r="A190" s="877" t="s">
        <v>1840</v>
      </c>
      <c r="B190" s="1003" t="s">
        <v>1143</v>
      </c>
      <c r="C190" s="1004">
        <v>6860</v>
      </c>
      <c r="D190" s="1003" t="s">
        <v>1425</v>
      </c>
    </row>
    <row r="191" spans="1:4" ht="15.75" customHeight="1" x14ac:dyDescent="0.25">
      <c r="A191" s="877" t="s">
        <v>1840</v>
      </c>
      <c r="B191" s="1003" t="s">
        <v>1155</v>
      </c>
      <c r="C191" s="1004">
        <v>26</v>
      </c>
      <c r="D191" s="877" t="s">
        <v>9005</v>
      </c>
    </row>
    <row r="192" spans="1:4" ht="15.75" customHeight="1" x14ac:dyDescent="0.25">
      <c r="A192" s="877" t="s">
        <v>1841</v>
      </c>
      <c r="B192" s="1003" t="s">
        <v>1155</v>
      </c>
      <c r="C192" s="1004">
        <v>421</v>
      </c>
      <c r="D192" s="877" t="s">
        <v>9013</v>
      </c>
    </row>
    <row r="193" spans="1:4" ht="15.75" customHeight="1" x14ac:dyDescent="0.25">
      <c r="A193" s="877" t="s">
        <v>1840</v>
      </c>
      <c r="B193" s="1003" t="s">
        <v>1155</v>
      </c>
      <c r="C193" s="1004">
        <v>732</v>
      </c>
      <c r="D193" s="1003" t="s">
        <v>1427</v>
      </c>
    </row>
    <row r="194" spans="1:4" ht="15.75" customHeight="1" x14ac:dyDescent="0.25">
      <c r="A194" s="877" t="s">
        <v>1840</v>
      </c>
      <c r="B194" s="1003" t="s">
        <v>1173</v>
      </c>
      <c r="C194" s="1004">
        <v>1</v>
      </c>
      <c r="D194" s="1003" t="s">
        <v>1428</v>
      </c>
    </row>
    <row r="195" spans="1:4" ht="15.75" customHeight="1" x14ac:dyDescent="0.25">
      <c r="A195" s="877" t="s">
        <v>1841</v>
      </c>
      <c r="B195" s="1003" t="s">
        <v>1184</v>
      </c>
      <c r="C195" s="1004">
        <v>40167</v>
      </c>
      <c r="D195" s="1003" t="s">
        <v>1430</v>
      </c>
    </row>
    <row r="196" spans="1:4" ht="15.75" customHeight="1" x14ac:dyDescent="0.25">
      <c r="A196" s="877" t="s">
        <v>1840</v>
      </c>
      <c r="B196" s="1003" t="s">
        <v>1184</v>
      </c>
      <c r="C196" s="1004">
        <v>64109</v>
      </c>
      <c r="D196" s="1003" t="s">
        <v>1432</v>
      </c>
    </row>
    <row r="197" spans="1:4" ht="15.75" customHeight="1" x14ac:dyDescent="0.25">
      <c r="A197" s="877" t="s">
        <v>1841</v>
      </c>
      <c r="B197" s="1003" t="s">
        <v>1194</v>
      </c>
      <c r="C197" s="1004">
        <v>482</v>
      </c>
      <c r="D197" s="1003" t="s">
        <v>1433</v>
      </c>
    </row>
    <row r="198" spans="1:4" ht="15.75" customHeight="1" x14ac:dyDescent="0.25">
      <c r="A198" s="877" t="s">
        <v>1840</v>
      </c>
      <c r="B198" s="1003" t="s">
        <v>1194</v>
      </c>
      <c r="C198" s="1004">
        <v>88</v>
      </c>
      <c r="D198" s="1003" t="s">
        <v>1435</v>
      </c>
    </row>
    <row r="199" spans="1:4" ht="15.75" customHeight="1" x14ac:dyDescent="0.25">
      <c r="A199" s="877" t="s">
        <v>1840</v>
      </c>
      <c r="B199" s="1003" t="s">
        <v>1200</v>
      </c>
      <c r="C199" s="1004">
        <v>17280</v>
      </c>
      <c r="D199" s="1003" t="s">
        <v>1436</v>
      </c>
    </row>
    <row r="200" spans="1:4" ht="15.75" customHeight="1" x14ac:dyDescent="0.25">
      <c r="A200" s="877" t="s">
        <v>1841</v>
      </c>
      <c r="B200" s="1003" t="s">
        <v>1200</v>
      </c>
      <c r="C200" s="1004">
        <v>5939</v>
      </c>
      <c r="D200" s="1003" t="s">
        <v>1438</v>
      </c>
    </row>
    <row r="201" spans="1:4" ht="15.75" customHeight="1" x14ac:dyDescent="0.25">
      <c r="A201" s="877" t="s">
        <v>1841</v>
      </c>
      <c r="B201" s="1003" t="s">
        <v>1210</v>
      </c>
      <c r="C201" s="1004">
        <v>404</v>
      </c>
      <c r="D201" s="1003" t="s">
        <v>1439</v>
      </c>
    </row>
    <row r="202" spans="1:4" ht="15.75" customHeight="1" x14ac:dyDescent="0.25">
      <c r="A202" s="877" t="s">
        <v>1840</v>
      </c>
      <c r="B202" s="1003" t="s">
        <v>1210</v>
      </c>
      <c r="C202" s="1004">
        <v>464</v>
      </c>
      <c r="D202" s="1003" t="s">
        <v>1441</v>
      </c>
    </row>
    <row r="203" spans="1:4" ht="15.75" customHeight="1" x14ac:dyDescent="0.25">
      <c r="A203" s="877" t="s">
        <v>1840</v>
      </c>
      <c r="B203" s="1003" t="s">
        <v>1143</v>
      </c>
      <c r="C203" s="1004">
        <v>4334</v>
      </c>
      <c r="D203" s="1003" t="s">
        <v>1226</v>
      </c>
    </row>
    <row r="204" spans="1:4" ht="15.75" customHeight="1" x14ac:dyDescent="0.25">
      <c r="A204" s="877" t="s">
        <v>1841</v>
      </c>
      <c r="B204" s="1003" t="s">
        <v>1155</v>
      </c>
      <c r="C204" s="1004">
        <v>433</v>
      </c>
      <c r="D204" s="1003" t="s">
        <v>1228</v>
      </c>
    </row>
    <row r="205" spans="1:4" ht="15.75" customHeight="1" x14ac:dyDescent="0.25">
      <c r="A205" s="877" t="s">
        <v>1840</v>
      </c>
      <c r="B205" s="1003" t="s">
        <v>1184</v>
      </c>
      <c r="C205" s="1004">
        <v>43463</v>
      </c>
      <c r="D205" s="1003" t="s">
        <v>1184</v>
      </c>
    </row>
    <row r="206" spans="1:4" ht="15.75" customHeight="1" x14ac:dyDescent="0.25">
      <c r="A206" s="877" t="s">
        <v>1840</v>
      </c>
      <c r="B206" s="1003" t="s">
        <v>1194</v>
      </c>
      <c r="C206" s="1004">
        <v>343</v>
      </c>
      <c r="D206" s="1003" t="s">
        <v>1240</v>
      </c>
    </row>
    <row r="207" spans="1:4" ht="15.75" customHeight="1" x14ac:dyDescent="0.25">
      <c r="A207" s="877" t="s">
        <v>1841</v>
      </c>
      <c r="B207" s="1003" t="s">
        <v>1200</v>
      </c>
      <c r="C207" s="1004">
        <v>10258</v>
      </c>
      <c r="D207" s="1003" t="s">
        <v>1224</v>
      </c>
    </row>
    <row r="208" spans="1:4" ht="15.75" customHeight="1" x14ac:dyDescent="0.25">
      <c r="A208" s="877" t="s">
        <v>1841</v>
      </c>
      <c r="B208" s="1003" t="s">
        <v>1210</v>
      </c>
      <c r="C208" s="1004">
        <v>253</v>
      </c>
      <c r="D208" s="1003" t="s">
        <v>1243</v>
      </c>
    </row>
    <row r="209" spans="1:4" ht="15.75" customHeight="1" x14ac:dyDescent="0.25">
      <c r="A209" s="877" t="s">
        <v>244</v>
      </c>
      <c r="B209" s="1003" t="s">
        <v>1140</v>
      </c>
      <c r="C209" s="1004">
        <v>1</v>
      </c>
      <c r="D209" s="1003" t="s">
        <v>1250</v>
      </c>
    </row>
    <row r="210" spans="1:4" ht="15.75" customHeight="1" x14ac:dyDescent="0.25">
      <c r="A210" s="877" t="s">
        <v>244</v>
      </c>
      <c r="B210" s="1003" t="s">
        <v>1143</v>
      </c>
      <c r="C210" s="1004">
        <v>803</v>
      </c>
      <c r="D210" s="1003" t="s">
        <v>1226</v>
      </c>
    </row>
    <row r="211" spans="1:4" ht="15.75" customHeight="1" x14ac:dyDescent="0.25">
      <c r="A211" s="877" t="s">
        <v>244</v>
      </c>
      <c r="B211" s="1003" t="s">
        <v>1155</v>
      </c>
      <c r="C211" s="1004">
        <v>117</v>
      </c>
      <c r="D211" s="1003" t="s">
        <v>1228</v>
      </c>
    </row>
    <row r="212" spans="1:4" ht="15.75" customHeight="1" x14ac:dyDescent="0.25">
      <c r="A212" s="877" t="s">
        <v>244</v>
      </c>
      <c r="B212" s="1003" t="s">
        <v>1184</v>
      </c>
      <c r="C212" s="1004">
        <v>11025</v>
      </c>
      <c r="D212" s="1003" t="s">
        <v>1184</v>
      </c>
    </row>
    <row r="213" spans="1:4" ht="15.75" customHeight="1" x14ac:dyDescent="0.25">
      <c r="A213" s="877" t="s">
        <v>244</v>
      </c>
      <c r="B213" s="1003" t="s">
        <v>1200</v>
      </c>
      <c r="C213" s="1004">
        <v>2701</v>
      </c>
      <c r="D213" s="1003" t="s">
        <v>1224</v>
      </c>
    </row>
    <row r="214" spans="1:4" ht="15.75" customHeight="1" x14ac:dyDescent="0.25">
      <c r="A214" s="877" t="s">
        <v>244</v>
      </c>
      <c r="B214" s="1003" t="s">
        <v>1210</v>
      </c>
      <c r="C214" s="1004">
        <v>62</v>
      </c>
      <c r="D214" s="1003" t="s">
        <v>1243</v>
      </c>
    </row>
    <row r="215" spans="1:4" ht="15.75" customHeight="1" x14ac:dyDescent="0.25">
      <c r="A215" s="877" t="s">
        <v>248</v>
      </c>
      <c r="B215" s="1003" t="s">
        <v>1143</v>
      </c>
      <c r="C215" s="1004">
        <v>1808</v>
      </c>
      <c r="D215" s="1003" t="s">
        <v>1226</v>
      </c>
    </row>
    <row r="216" spans="1:4" ht="15.75" customHeight="1" x14ac:dyDescent="0.25">
      <c r="A216" s="877" t="s">
        <v>248</v>
      </c>
      <c r="B216" s="1003" t="s">
        <v>1155</v>
      </c>
      <c r="C216" s="1004">
        <v>12</v>
      </c>
      <c r="D216" s="1003" t="s">
        <v>1233</v>
      </c>
    </row>
    <row r="217" spans="1:4" ht="15.75" customHeight="1" x14ac:dyDescent="0.25">
      <c r="A217" s="877" t="s">
        <v>248</v>
      </c>
      <c r="B217" s="1003" t="s">
        <v>1155</v>
      </c>
      <c r="C217" s="1004">
        <v>272</v>
      </c>
      <c r="D217" s="1003" t="s">
        <v>1235</v>
      </c>
    </row>
    <row r="218" spans="1:4" ht="15.75" customHeight="1" x14ac:dyDescent="0.25">
      <c r="A218" s="877" t="s">
        <v>248</v>
      </c>
      <c r="B218" s="1003" t="s">
        <v>1184</v>
      </c>
      <c r="C218" s="1004">
        <v>21036</v>
      </c>
      <c r="D218" s="1003" t="s">
        <v>1184</v>
      </c>
    </row>
    <row r="219" spans="1:4" ht="15.75" customHeight="1" x14ac:dyDescent="0.25">
      <c r="A219" s="877" t="s">
        <v>248</v>
      </c>
      <c r="B219" s="1003" t="s">
        <v>1194</v>
      </c>
      <c r="C219" s="1004">
        <v>169</v>
      </c>
      <c r="D219" s="1003" t="s">
        <v>1240</v>
      </c>
    </row>
    <row r="220" spans="1:4" ht="15.75" customHeight="1" x14ac:dyDescent="0.25">
      <c r="A220" s="877" t="s">
        <v>248</v>
      </c>
      <c r="B220" s="1003" t="s">
        <v>1200</v>
      </c>
      <c r="C220" s="1004">
        <v>4981</v>
      </c>
      <c r="D220" s="1003" t="s">
        <v>1224</v>
      </c>
    </row>
    <row r="221" spans="1:4" ht="15.75" customHeight="1" x14ac:dyDescent="0.25">
      <c r="A221" s="877" t="s">
        <v>248</v>
      </c>
      <c r="B221" s="1003" t="s">
        <v>1210</v>
      </c>
      <c r="C221" s="1004">
        <v>185</v>
      </c>
      <c r="D221" s="1003" t="s">
        <v>1243</v>
      </c>
    </row>
    <row r="222" spans="1:4" ht="15.75" customHeight="1" x14ac:dyDescent="0.25">
      <c r="A222" t="s">
        <v>252</v>
      </c>
      <c r="B222" s="1003" t="s">
        <v>1143</v>
      </c>
      <c r="C222" s="1004">
        <v>408</v>
      </c>
      <c r="D222" s="1003" t="s">
        <v>1226</v>
      </c>
    </row>
    <row r="223" spans="1:4" ht="15.75" customHeight="1" x14ac:dyDescent="0.25">
      <c r="A223" t="s">
        <v>252</v>
      </c>
      <c r="B223" s="1003" t="s">
        <v>1155</v>
      </c>
      <c r="C223" s="1004">
        <v>32</v>
      </c>
      <c r="D223" s="1003" t="s">
        <v>1463</v>
      </c>
    </row>
    <row r="224" spans="1:4" ht="15.75" customHeight="1" x14ac:dyDescent="0.25">
      <c r="A224" t="s">
        <v>252</v>
      </c>
      <c r="B224" s="1003" t="s">
        <v>1155</v>
      </c>
      <c r="C224" s="1004">
        <v>2</v>
      </c>
      <c r="D224" s="1003" t="s">
        <v>1465</v>
      </c>
    </row>
    <row r="225" spans="1:4" ht="15.75" customHeight="1" x14ac:dyDescent="0.25">
      <c r="A225" t="s">
        <v>252</v>
      </c>
      <c r="B225" s="1003" t="s">
        <v>1184</v>
      </c>
      <c r="C225" s="1004">
        <v>2238</v>
      </c>
      <c r="D225" s="1003" t="s">
        <v>1184</v>
      </c>
    </row>
    <row r="226" spans="1:4" ht="15.75" customHeight="1" x14ac:dyDescent="0.25">
      <c r="A226" t="s">
        <v>252</v>
      </c>
      <c r="B226" s="1003" t="s">
        <v>1194</v>
      </c>
      <c r="C226" s="1004">
        <v>12</v>
      </c>
      <c r="D226" s="1003" t="s">
        <v>1240</v>
      </c>
    </row>
    <row r="227" spans="1:4" ht="15.75" customHeight="1" x14ac:dyDescent="0.25">
      <c r="A227" t="s">
        <v>252</v>
      </c>
      <c r="B227" s="1003" t="s">
        <v>1200</v>
      </c>
      <c r="C227" s="1004">
        <v>964</v>
      </c>
      <c r="D227" s="1003" t="s">
        <v>1224</v>
      </c>
    </row>
    <row r="228" spans="1:4" ht="15.75" customHeight="1" x14ac:dyDescent="0.25">
      <c r="A228" s="877" t="s">
        <v>255</v>
      </c>
      <c r="B228" s="1003" t="s">
        <v>1143</v>
      </c>
      <c r="C228" s="1004">
        <v>132</v>
      </c>
      <c r="D228" s="1003" t="s">
        <v>1226</v>
      </c>
    </row>
    <row r="229" spans="1:4" ht="15.75" customHeight="1" x14ac:dyDescent="0.25">
      <c r="A229" s="877" t="s">
        <v>255</v>
      </c>
      <c r="B229" s="1003" t="s">
        <v>1155</v>
      </c>
      <c r="C229" s="1004">
        <v>13</v>
      </c>
      <c r="D229" s="1003" t="s">
        <v>1228</v>
      </c>
    </row>
    <row r="230" spans="1:4" ht="15.75" customHeight="1" x14ac:dyDescent="0.25">
      <c r="A230" s="877" t="s">
        <v>255</v>
      </c>
      <c r="B230" s="1003" t="s">
        <v>1184</v>
      </c>
      <c r="C230" s="1004">
        <v>1135</v>
      </c>
      <c r="D230" s="1003" t="s">
        <v>1184</v>
      </c>
    </row>
    <row r="231" spans="1:4" ht="15.75" customHeight="1" x14ac:dyDescent="0.25">
      <c r="A231" s="877" t="s">
        <v>255</v>
      </c>
      <c r="B231" s="1003" t="s">
        <v>1200</v>
      </c>
      <c r="C231" s="1004">
        <v>370</v>
      </c>
      <c r="D231" s="1003" t="s">
        <v>1224</v>
      </c>
    </row>
    <row r="232" spans="1:4" ht="15.75" customHeight="1" x14ac:dyDescent="0.25">
      <c r="A232" s="877" t="s">
        <v>255</v>
      </c>
      <c r="B232" s="1003" t="s">
        <v>1210</v>
      </c>
      <c r="C232" s="1004">
        <v>22</v>
      </c>
      <c r="D232" s="1003" t="s">
        <v>1243</v>
      </c>
    </row>
    <row r="233" spans="1:4" ht="15.75" customHeight="1" x14ac:dyDescent="0.25">
      <c r="A233" s="877" t="s">
        <v>259</v>
      </c>
      <c r="B233" s="1003" t="s">
        <v>1143</v>
      </c>
      <c r="C233" s="1004">
        <v>610</v>
      </c>
      <c r="D233" s="1003" t="s">
        <v>1226</v>
      </c>
    </row>
    <row r="234" spans="1:4" ht="15.75" customHeight="1" x14ac:dyDescent="0.25">
      <c r="A234" s="877" t="s">
        <v>259</v>
      </c>
      <c r="B234" s="1003" t="s">
        <v>1155</v>
      </c>
      <c r="C234" s="1004">
        <v>88</v>
      </c>
      <c r="D234" s="1003" t="s">
        <v>1228</v>
      </c>
    </row>
    <row r="235" spans="1:4" ht="15.75" customHeight="1" x14ac:dyDescent="0.25">
      <c r="A235" s="877" t="s">
        <v>259</v>
      </c>
      <c r="B235" s="1003" t="s">
        <v>1184</v>
      </c>
      <c r="C235" s="1004">
        <v>4958</v>
      </c>
      <c r="D235" s="1003" t="s">
        <v>1184</v>
      </c>
    </row>
    <row r="236" spans="1:4" ht="15.75" customHeight="1" x14ac:dyDescent="0.25">
      <c r="A236" s="877" t="s">
        <v>259</v>
      </c>
      <c r="B236" s="1003" t="s">
        <v>1194</v>
      </c>
      <c r="C236" s="1004">
        <v>45</v>
      </c>
      <c r="D236" s="1003" t="s">
        <v>1240</v>
      </c>
    </row>
    <row r="237" spans="1:4" ht="15.75" customHeight="1" x14ac:dyDescent="0.25">
      <c r="A237" s="877" t="s">
        <v>259</v>
      </c>
      <c r="B237" s="1003" t="s">
        <v>1200</v>
      </c>
      <c r="C237" s="1004">
        <v>1256</v>
      </c>
      <c r="D237" s="1003" t="s">
        <v>1224</v>
      </c>
    </row>
    <row r="238" spans="1:4" ht="15.75" customHeight="1" x14ac:dyDescent="0.25">
      <c r="A238" s="877" t="s">
        <v>259</v>
      </c>
      <c r="B238" s="1003" t="s">
        <v>1210</v>
      </c>
      <c r="C238" s="1004">
        <v>15</v>
      </c>
      <c r="D238" s="1003" t="s">
        <v>1243</v>
      </c>
    </row>
    <row r="239" spans="1:4" ht="15.75" customHeight="1" x14ac:dyDescent="0.25">
      <c r="A239" s="877" t="s">
        <v>1843</v>
      </c>
      <c r="B239" s="1003" t="s">
        <v>1140</v>
      </c>
      <c r="C239" s="1004">
        <v>0</v>
      </c>
      <c r="D239" s="1003" t="s">
        <v>1481</v>
      </c>
    </row>
    <row r="240" spans="1:4" ht="15.75" customHeight="1" x14ac:dyDescent="0.25">
      <c r="A240" s="877" t="s">
        <v>1844</v>
      </c>
      <c r="B240" s="1003" t="s">
        <v>1140</v>
      </c>
      <c r="C240" s="1004">
        <v>0</v>
      </c>
      <c r="D240" s="1003" t="s">
        <v>1482</v>
      </c>
    </row>
    <row r="241" spans="1:4" ht="15.75" customHeight="1" x14ac:dyDescent="0.25">
      <c r="A241" s="877" t="s">
        <v>262</v>
      </c>
      <c r="B241" s="1003" t="s">
        <v>1140</v>
      </c>
      <c r="C241" s="1004">
        <v>127</v>
      </c>
      <c r="D241" s="1003" t="s">
        <v>1483</v>
      </c>
    </row>
    <row r="242" spans="1:4" ht="15.75" customHeight="1" x14ac:dyDescent="0.25">
      <c r="A242" s="877" t="s">
        <v>262</v>
      </c>
      <c r="B242" s="1003" t="s">
        <v>1143</v>
      </c>
      <c r="C242" s="1004">
        <v>93248</v>
      </c>
      <c r="D242" s="1003" t="s">
        <v>1484</v>
      </c>
    </row>
    <row r="243" spans="1:4" ht="15.75" customHeight="1" x14ac:dyDescent="0.25">
      <c r="A243" s="877" t="s">
        <v>1843</v>
      </c>
      <c r="B243" s="1003" t="s">
        <v>1143</v>
      </c>
      <c r="C243" s="1004">
        <v>2284</v>
      </c>
      <c r="D243" s="1003" t="s">
        <v>1485</v>
      </c>
    </row>
    <row r="244" spans="1:4" ht="15.75" customHeight="1" x14ac:dyDescent="0.25">
      <c r="A244" s="877" t="s">
        <v>1844</v>
      </c>
      <c r="B244" s="1003" t="s">
        <v>1143</v>
      </c>
      <c r="C244" s="1004">
        <v>1908</v>
      </c>
      <c r="D244" s="1003" t="s">
        <v>1486</v>
      </c>
    </row>
    <row r="245" spans="1:4" ht="15.75" customHeight="1" x14ac:dyDescent="0.25">
      <c r="A245" s="816" t="s">
        <v>1845</v>
      </c>
      <c r="B245" s="1003" t="s">
        <v>1143</v>
      </c>
      <c r="C245" s="1004">
        <v>1482</v>
      </c>
      <c r="D245" s="1003" t="s">
        <v>1487</v>
      </c>
    </row>
    <row r="246" spans="1:4" ht="15.75" customHeight="1" x14ac:dyDescent="0.25">
      <c r="A246" s="816" t="s">
        <v>1846</v>
      </c>
      <c r="B246" s="1003" t="s">
        <v>1143</v>
      </c>
      <c r="C246" s="1004">
        <v>3408</v>
      </c>
      <c r="D246" s="1003" t="s">
        <v>1488</v>
      </c>
    </row>
    <row r="247" spans="1:4" ht="15.75" customHeight="1" x14ac:dyDescent="0.25">
      <c r="A247" s="816" t="s">
        <v>1847</v>
      </c>
      <c r="B247" s="1003" t="s">
        <v>1143</v>
      </c>
      <c r="C247" s="1004">
        <v>1383</v>
      </c>
      <c r="D247" s="1003" t="s">
        <v>1489</v>
      </c>
    </row>
    <row r="248" spans="1:4" ht="15.75" customHeight="1" x14ac:dyDescent="0.25">
      <c r="A248" s="816" t="s">
        <v>262</v>
      </c>
      <c r="B248" s="1003" t="s">
        <v>1143</v>
      </c>
      <c r="C248" s="1004">
        <v>0</v>
      </c>
      <c r="D248" s="1003" t="s">
        <v>7733</v>
      </c>
    </row>
    <row r="249" spans="1:4" ht="15.75" customHeight="1" x14ac:dyDescent="0.25">
      <c r="A249" s="877" t="s">
        <v>262</v>
      </c>
      <c r="B249" s="1003" t="s">
        <v>1143</v>
      </c>
      <c r="C249" s="1004">
        <v>18914</v>
      </c>
      <c r="D249" s="1003" t="s">
        <v>1490</v>
      </c>
    </row>
    <row r="250" spans="1:4" ht="15.75" customHeight="1" x14ac:dyDescent="0.25">
      <c r="A250" s="877" t="s">
        <v>1843</v>
      </c>
      <c r="B250" s="1003" t="s">
        <v>1155</v>
      </c>
      <c r="C250" s="1004">
        <v>135</v>
      </c>
      <c r="D250" s="1003" t="s">
        <v>1491</v>
      </c>
    </row>
    <row r="251" spans="1:4" ht="15.75" customHeight="1" x14ac:dyDescent="0.25">
      <c r="A251" s="816" t="s">
        <v>1844</v>
      </c>
      <c r="B251" s="1003" t="s">
        <v>1155</v>
      </c>
      <c r="C251" s="1004">
        <v>119</v>
      </c>
      <c r="D251" s="1003" t="s">
        <v>1492</v>
      </c>
    </row>
    <row r="252" spans="1:4" ht="15.75" customHeight="1" x14ac:dyDescent="0.25">
      <c r="A252" s="816" t="s">
        <v>1845</v>
      </c>
      <c r="B252" s="1003" t="s">
        <v>1155</v>
      </c>
      <c r="C252" s="1004">
        <v>131</v>
      </c>
      <c r="D252" s="1003" t="s">
        <v>1493</v>
      </c>
    </row>
    <row r="253" spans="1:4" ht="15.75" customHeight="1" x14ac:dyDescent="0.25">
      <c r="A253" s="816" t="s">
        <v>1846</v>
      </c>
      <c r="B253" s="1003" t="s">
        <v>1155</v>
      </c>
      <c r="C253" s="1004">
        <v>307</v>
      </c>
      <c r="D253" s="1003" t="s">
        <v>1494</v>
      </c>
    </row>
    <row r="254" spans="1:4" ht="15.75" customHeight="1" x14ac:dyDescent="0.25">
      <c r="A254" s="816" t="s">
        <v>262</v>
      </c>
      <c r="B254" s="1003" t="s">
        <v>1155</v>
      </c>
      <c r="C254" s="1004">
        <v>0</v>
      </c>
      <c r="D254" s="1003" t="s">
        <v>7734</v>
      </c>
    </row>
    <row r="255" spans="1:4" ht="15.75" customHeight="1" x14ac:dyDescent="0.25">
      <c r="A255" s="816" t="s">
        <v>1847</v>
      </c>
      <c r="B255" s="1003" t="s">
        <v>1155</v>
      </c>
      <c r="C255" s="1004">
        <v>169</v>
      </c>
      <c r="D255" s="1003" t="s">
        <v>1495</v>
      </c>
    </row>
    <row r="256" spans="1:4" ht="15.75" customHeight="1" x14ac:dyDescent="0.25">
      <c r="A256" s="816" t="s">
        <v>262</v>
      </c>
      <c r="B256" s="1003" t="s">
        <v>1155</v>
      </c>
      <c r="C256" s="1004">
        <v>4942</v>
      </c>
      <c r="D256" s="1003" t="s">
        <v>1496</v>
      </c>
    </row>
    <row r="257" spans="1:4" ht="15.75" customHeight="1" x14ac:dyDescent="0.25">
      <c r="A257" s="816" t="s">
        <v>1847</v>
      </c>
      <c r="B257" s="1003" t="s">
        <v>1155</v>
      </c>
      <c r="C257" s="1004">
        <v>0</v>
      </c>
      <c r="D257" s="1003" t="s">
        <v>1497</v>
      </c>
    </row>
    <row r="258" spans="1:4" ht="15.75" customHeight="1" x14ac:dyDescent="0.25">
      <c r="A258" s="816" t="s">
        <v>262</v>
      </c>
      <c r="B258" s="1003" t="s">
        <v>1155</v>
      </c>
      <c r="C258" s="1004">
        <v>1543</v>
      </c>
      <c r="D258" s="1003" t="s">
        <v>1498</v>
      </c>
    </row>
    <row r="259" spans="1:4" ht="15.75" customHeight="1" x14ac:dyDescent="0.25">
      <c r="A259" s="816" t="s">
        <v>1846</v>
      </c>
      <c r="B259" s="1003" t="s">
        <v>1173</v>
      </c>
      <c r="C259" s="1004">
        <v>0</v>
      </c>
      <c r="D259" s="1003" t="s">
        <v>1499</v>
      </c>
    </row>
    <row r="260" spans="1:4" ht="15.75" customHeight="1" x14ac:dyDescent="0.25">
      <c r="A260" s="877" t="s">
        <v>1843</v>
      </c>
      <c r="B260" s="1003" t="s">
        <v>1184</v>
      </c>
      <c r="C260" s="1004">
        <v>21668</v>
      </c>
      <c r="D260" s="1003" t="s">
        <v>1500</v>
      </c>
    </row>
    <row r="261" spans="1:4" ht="15.75" customHeight="1" x14ac:dyDescent="0.25">
      <c r="A261" s="816" t="s">
        <v>262</v>
      </c>
      <c r="B261" s="1003" t="s">
        <v>1184</v>
      </c>
      <c r="C261" s="1004">
        <v>425550</v>
      </c>
      <c r="D261" s="1003" t="s">
        <v>1501</v>
      </c>
    </row>
    <row r="262" spans="1:4" ht="15.75" customHeight="1" x14ac:dyDescent="0.25">
      <c r="A262" s="816" t="s">
        <v>262</v>
      </c>
      <c r="B262" s="1003" t="s">
        <v>1184</v>
      </c>
      <c r="C262" s="1004">
        <v>563174</v>
      </c>
      <c r="D262" s="1003" t="s">
        <v>1502</v>
      </c>
    </row>
    <row r="263" spans="1:4" ht="15.75" customHeight="1" x14ac:dyDescent="0.25">
      <c r="A263" s="816" t="s">
        <v>1844</v>
      </c>
      <c r="B263" s="1003" t="s">
        <v>1184</v>
      </c>
      <c r="C263" s="1004">
        <v>19105</v>
      </c>
      <c r="D263" s="1003" t="s">
        <v>1503</v>
      </c>
    </row>
    <row r="264" spans="1:4" ht="15.75" customHeight="1" x14ac:dyDescent="0.25">
      <c r="A264" s="816" t="s">
        <v>1845</v>
      </c>
      <c r="B264" s="1003" t="s">
        <v>1184</v>
      </c>
      <c r="C264" s="1004">
        <v>13343</v>
      </c>
      <c r="D264" s="1003" t="s">
        <v>1504</v>
      </c>
    </row>
    <row r="265" spans="1:4" ht="15.75" customHeight="1" x14ac:dyDescent="0.25">
      <c r="A265" s="816" t="s">
        <v>1846</v>
      </c>
      <c r="B265" s="1003" t="s">
        <v>1184</v>
      </c>
      <c r="C265" s="1004">
        <v>33779</v>
      </c>
      <c r="D265" s="1003" t="s">
        <v>1505</v>
      </c>
    </row>
    <row r="266" spans="1:4" ht="15.75" customHeight="1" x14ac:dyDescent="0.25">
      <c r="A266" s="816" t="s">
        <v>262</v>
      </c>
      <c r="B266" s="1003" t="s">
        <v>1184</v>
      </c>
      <c r="C266" s="1004">
        <v>7</v>
      </c>
      <c r="D266" s="1003" t="s">
        <v>1506</v>
      </c>
    </row>
    <row r="267" spans="1:4" ht="15.75" customHeight="1" x14ac:dyDescent="0.25">
      <c r="A267" s="816" t="s">
        <v>262</v>
      </c>
      <c r="B267" s="1003" t="s">
        <v>1184</v>
      </c>
      <c r="C267" s="1004">
        <v>254277</v>
      </c>
      <c r="D267" s="1003" t="s">
        <v>1507</v>
      </c>
    </row>
    <row r="268" spans="1:4" ht="15.75" customHeight="1" x14ac:dyDescent="0.25">
      <c r="A268" s="816" t="s">
        <v>1847</v>
      </c>
      <c r="B268" s="1003" t="s">
        <v>1184</v>
      </c>
      <c r="C268" s="1004">
        <v>15569</v>
      </c>
      <c r="D268" s="1003" t="s">
        <v>1508</v>
      </c>
    </row>
    <row r="269" spans="1:4" ht="15.75" customHeight="1" x14ac:dyDescent="0.25">
      <c r="A269" s="816" t="s">
        <v>262</v>
      </c>
      <c r="B269" s="1003" t="s">
        <v>1184</v>
      </c>
      <c r="C269" s="1004">
        <v>0</v>
      </c>
      <c r="D269" s="1003" t="s">
        <v>7735</v>
      </c>
    </row>
    <row r="270" spans="1:4" ht="15.75" customHeight="1" x14ac:dyDescent="0.25">
      <c r="A270" s="816" t="s">
        <v>262</v>
      </c>
      <c r="B270" s="1003" t="s">
        <v>1194</v>
      </c>
      <c r="C270" s="1004">
        <v>0</v>
      </c>
      <c r="D270" s="1003" t="s">
        <v>7736</v>
      </c>
    </row>
    <row r="271" spans="1:4" ht="15.75" customHeight="1" x14ac:dyDescent="0.25">
      <c r="A271" s="877" t="s">
        <v>1843</v>
      </c>
      <c r="B271" s="1003" t="s">
        <v>1194</v>
      </c>
      <c r="C271" s="1004">
        <v>368</v>
      </c>
      <c r="D271" s="1003" t="s">
        <v>1509</v>
      </c>
    </row>
    <row r="272" spans="1:4" ht="15.75" customHeight="1" x14ac:dyDescent="0.25">
      <c r="A272" s="816" t="s">
        <v>262</v>
      </c>
      <c r="B272" s="1003" t="s">
        <v>1194</v>
      </c>
      <c r="C272" s="1004">
        <v>18683</v>
      </c>
      <c r="D272" s="1003" t="s">
        <v>1510</v>
      </c>
    </row>
    <row r="273" spans="1:4" ht="15.75" customHeight="1" x14ac:dyDescent="0.25">
      <c r="A273" s="816" t="s">
        <v>1844</v>
      </c>
      <c r="B273" s="1003" t="s">
        <v>1194</v>
      </c>
      <c r="C273" s="1004">
        <v>137</v>
      </c>
      <c r="D273" s="1003" t="s">
        <v>1511</v>
      </c>
    </row>
    <row r="274" spans="1:4" ht="15.75" customHeight="1" x14ac:dyDescent="0.25">
      <c r="A274" s="877" t="s">
        <v>1845</v>
      </c>
      <c r="B274" s="1003" t="s">
        <v>1194</v>
      </c>
      <c r="C274" s="1004">
        <v>0</v>
      </c>
      <c r="D274" s="1003" t="s">
        <v>1512</v>
      </c>
    </row>
    <row r="275" spans="1:4" ht="15.75" customHeight="1" x14ac:dyDescent="0.25">
      <c r="A275" s="816" t="s">
        <v>1846</v>
      </c>
      <c r="B275" s="1003" t="s">
        <v>1194</v>
      </c>
      <c r="C275" s="1004">
        <v>106</v>
      </c>
      <c r="D275" s="1003" t="s">
        <v>1513</v>
      </c>
    </row>
    <row r="276" spans="1:4" ht="15.75" customHeight="1" x14ac:dyDescent="0.25">
      <c r="A276" s="816" t="s">
        <v>262</v>
      </c>
      <c r="B276" s="1003" t="s">
        <v>1200</v>
      </c>
      <c r="C276" s="1004">
        <v>0</v>
      </c>
      <c r="D276" s="1003" t="s">
        <v>7737</v>
      </c>
    </row>
    <row r="277" spans="1:4" ht="15.75" customHeight="1" x14ac:dyDescent="0.25">
      <c r="A277" s="877" t="s">
        <v>1843</v>
      </c>
      <c r="B277" s="1003" t="s">
        <v>1200</v>
      </c>
      <c r="C277" s="1004">
        <v>42</v>
      </c>
      <c r="D277" s="1003" t="s">
        <v>1514</v>
      </c>
    </row>
    <row r="278" spans="1:4" ht="15.75" customHeight="1" x14ac:dyDescent="0.25">
      <c r="A278" s="816" t="s">
        <v>262</v>
      </c>
      <c r="B278" s="1003" t="s">
        <v>1200</v>
      </c>
      <c r="C278" s="1004">
        <v>6543</v>
      </c>
      <c r="D278" s="1003" t="s">
        <v>1515</v>
      </c>
    </row>
    <row r="279" spans="1:4" ht="15.75" customHeight="1" x14ac:dyDescent="0.25">
      <c r="A279" s="816" t="s">
        <v>1844</v>
      </c>
      <c r="B279" s="1003" t="s">
        <v>1200</v>
      </c>
      <c r="C279" s="1004">
        <v>19</v>
      </c>
      <c r="D279" s="1003" t="s">
        <v>1516</v>
      </c>
    </row>
    <row r="280" spans="1:4" ht="15.75" customHeight="1" x14ac:dyDescent="0.25">
      <c r="A280" s="877" t="s">
        <v>1845</v>
      </c>
      <c r="B280" s="1003" t="s">
        <v>1200</v>
      </c>
      <c r="C280" s="1004">
        <v>8</v>
      </c>
      <c r="D280" s="1003" t="s">
        <v>1518</v>
      </c>
    </row>
    <row r="281" spans="1:4" ht="15.75" customHeight="1" x14ac:dyDescent="0.25">
      <c r="A281" s="816" t="s">
        <v>1846</v>
      </c>
      <c r="B281" s="1003" t="s">
        <v>1200</v>
      </c>
      <c r="C281" s="1004">
        <v>16</v>
      </c>
      <c r="D281" s="1003" t="s">
        <v>1519</v>
      </c>
    </row>
    <row r="282" spans="1:4" ht="15.75" customHeight="1" x14ac:dyDescent="0.25">
      <c r="A282" s="816" t="s">
        <v>1847</v>
      </c>
      <c r="B282" s="1003" t="s">
        <v>1200</v>
      </c>
      <c r="C282" s="1004">
        <v>14</v>
      </c>
      <c r="D282" s="1003" t="s">
        <v>1520</v>
      </c>
    </row>
    <row r="283" spans="1:4" ht="15.75" customHeight="1" x14ac:dyDescent="0.25">
      <c r="A283" s="816" t="s">
        <v>262</v>
      </c>
      <c r="B283" s="1003" t="s">
        <v>1521</v>
      </c>
      <c r="C283" s="1004">
        <v>1018</v>
      </c>
      <c r="D283" s="1003" t="s">
        <v>1522</v>
      </c>
    </row>
    <row r="284" spans="1:4" ht="15.75" customHeight="1" x14ac:dyDescent="0.25">
      <c r="A284" s="816" t="s">
        <v>262</v>
      </c>
      <c r="B284" s="1003" t="s">
        <v>1210</v>
      </c>
      <c r="C284" s="1004">
        <v>5637</v>
      </c>
      <c r="D284" s="1003" t="s">
        <v>1523</v>
      </c>
    </row>
    <row r="285" spans="1:4" ht="15.75" customHeight="1" x14ac:dyDescent="0.25">
      <c r="A285" s="816" t="s">
        <v>262</v>
      </c>
      <c r="B285" s="1003" t="s">
        <v>1210</v>
      </c>
      <c r="C285" s="1004">
        <v>0</v>
      </c>
      <c r="D285" s="1003" t="s">
        <v>7738</v>
      </c>
    </row>
    <row r="286" spans="1:4" ht="15.75" customHeight="1" x14ac:dyDescent="0.25">
      <c r="A286" s="877" t="s">
        <v>1843</v>
      </c>
      <c r="B286" s="1003" t="s">
        <v>1210</v>
      </c>
      <c r="C286" s="1004">
        <v>59</v>
      </c>
      <c r="D286" s="1003" t="s">
        <v>1524</v>
      </c>
    </row>
    <row r="287" spans="1:4" ht="15.75" customHeight="1" x14ac:dyDescent="0.25">
      <c r="A287" s="877" t="s">
        <v>1844</v>
      </c>
      <c r="B287" s="1003" t="s">
        <v>1210</v>
      </c>
      <c r="C287" s="1004">
        <v>40</v>
      </c>
      <c r="D287" s="1003" t="s">
        <v>1525</v>
      </c>
    </row>
    <row r="288" spans="1:4" ht="15.75" customHeight="1" x14ac:dyDescent="0.25">
      <c r="A288" s="816" t="s">
        <v>1845</v>
      </c>
      <c r="B288" s="1003" t="s">
        <v>1210</v>
      </c>
      <c r="C288" s="1004">
        <v>23</v>
      </c>
      <c r="D288" s="1003" t="s">
        <v>1526</v>
      </c>
    </row>
    <row r="289" spans="1:4" ht="15.75" customHeight="1" x14ac:dyDescent="0.25">
      <c r="A289" s="816" t="s">
        <v>1846</v>
      </c>
      <c r="B289" s="1003" t="s">
        <v>1210</v>
      </c>
      <c r="C289" s="1004">
        <v>8</v>
      </c>
      <c r="D289" s="1003" t="s">
        <v>1527</v>
      </c>
    </row>
    <row r="290" spans="1:4" ht="15.75" customHeight="1" x14ac:dyDescent="0.25">
      <c r="A290" s="816" t="s">
        <v>1847</v>
      </c>
      <c r="B290" s="1003" t="s">
        <v>1210</v>
      </c>
      <c r="C290" s="1004">
        <v>41</v>
      </c>
      <c r="D290" s="1003" t="s">
        <v>1528</v>
      </c>
    </row>
    <row r="291" spans="1:4" ht="15.75" customHeight="1" x14ac:dyDescent="0.25">
      <c r="A291" s="877" t="s">
        <v>1529</v>
      </c>
      <c r="B291" s="1003" t="s">
        <v>1143</v>
      </c>
      <c r="C291" s="1004">
        <v>312</v>
      </c>
      <c r="D291" s="1003" t="s">
        <v>1530</v>
      </c>
    </row>
    <row r="292" spans="1:4" ht="15.75" customHeight="1" x14ac:dyDescent="0.25">
      <c r="A292" s="877" t="s">
        <v>1529</v>
      </c>
      <c r="B292" s="1003" t="s">
        <v>1143</v>
      </c>
      <c r="C292" s="1004">
        <v>64</v>
      </c>
      <c r="D292" s="1003" t="s">
        <v>1531</v>
      </c>
    </row>
    <row r="293" spans="1:4" ht="15.75" customHeight="1" x14ac:dyDescent="0.25">
      <c r="A293" s="877" t="s">
        <v>1529</v>
      </c>
      <c r="B293" s="1003" t="s">
        <v>1143</v>
      </c>
      <c r="C293" s="1004">
        <v>74</v>
      </c>
      <c r="D293" s="1003" t="s">
        <v>1532</v>
      </c>
    </row>
    <row r="294" spans="1:4" ht="15.75" customHeight="1" x14ac:dyDescent="0.25">
      <c r="A294" s="877" t="s">
        <v>1529</v>
      </c>
      <c r="B294" s="1003" t="s">
        <v>1143</v>
      </c>
      <c r="C294" s="1004">
        <v>23</v>
      </c>
      <c r="D294" s="1003" t="s">
        <v>1533</v>
      </c>
    </row>
    <row r="295" spans="1:4" ht="15.75" customHeight="1" x14ac:dyDescent="0.25">
      <c r="A295" s="877" t="s">
        <v>1529</v>
      </c>
      <c r="B295" s="1003" t="s">
        <v>1143</v>
      </c>
      <c r="C295" s="1004">
        <v>610</v>
      </c>
      <c r="D295" s="1003" t="s">
        <v>1534</v>
      </c>
    </row>
    <row r="296" spans="1:4" ht="15.75" customHeight="1" x14ac:dyDescent="0.25">
      <c r="A296" s="877" t="s">
        <v>1529</v>
      </c>
      <c r="B296" s="1003" t="s">
        <v>1184</v>
      </c>
      <c r="C296" s="1004">
        <v>151</v>
      </c>
      <c r="D296" s="1003" t="s">
        <v>1535</v>
      </c>
    </row>
    <row r="297" spans="1:4" ht="15.75" customHeight="1" x14ac:dyDescent="0.25">
      <c r="A297" s="877" t="s">
        <v>1529</v>
      </c>
      <c r="B297" s="1003" t="s">
        <v>1184</v>
      </c>
      <c r="C297" s="1004">
        <v>3941</v>
      </c>
      <c r="D297" s="1003" t="s">
        <v>1536</v>
      </c>
    </row>
    <row r="298" spans="1:4" ht="15.75" customHeight="1" x14ac:dyDescent="0.25">
      <c r="A298" s="877" t="s">
        <v>1529</v>
      </c>
      <c r="B298" s="1003" t="s">
        <v>1184</v>
      </c>
      <c r="C298" s="1004">
        <v>41</v>
      </c>
      <c r="D298" s="1003" t="s">
        <v>1537</v>
      </c>
    </row>
    <row r="299" spans="1:4" ht="15.75" customHeight="1" x14ac:dyDescent="0.25">
      <c r="A299" s="877" t="s">
        <v>1529</v>
      </c>
      <c r="B299" s="1003" t="s">
        <v>1184</v>
      </c>
      <c r="C299" s="1004">
        <v>4</v>
      </c>
      <c r="D299" s="1003" t="s">
        <v>1538</v>
      </c>
    </row>
    <row r="300" spans="1:4" ht="15.75" customHeight="1" x14ac:dyDescent="0.25">
      <c r="A300" s="877" t="s">
        <v>1529</v>
      </c>
      <c r="B300" s="1003" t="s">
        <v>1200</v>
      </c>
      <c r="C300" s="1004">
        <v>14</v>
      </c>
      <c r="D300" s="1003" t="s">
        <v>1224</v>
      </c>
    </row>
    <row r="301" spans="1:4" ht="15.75" customHeight="1" x14ac:dyDescent="0.25">
      <c r="A301" s="877" t="s">
        <v>265</v>
      </c>
      <c r="B301" s="1003" t="s">
        <v>1143</v>
      </c>
      <c r="C301" s="1004">
        <v>25728</v>
      </c>
      <c r="D301" s="1003" t="s">
        <v>1226</v>
      </c>
    </row>
    <row r="302" spans="1:4" ht="15.75" customHeight="1" x14ac:dyDescent="0.25">
      <c r="A302" s="877" t="s">
        <v>265</v>
      </c>
      <c r="B302" s="1003" t="s">
        <v>1155</v>
      </c>
      <c r="C302" s="1004">
        <v>71</v>
      </c>
      <c r="D302" s="1003" t="s">
        <v>1540</v>
      </c>
    </row>
    <row r="303" spans="1:4" ht="15.75" customHeight="1" x14ac:dyDescent="0.25">
      <c r="A303" s="877" t="s">
        <v>265</v>
      </c>
      <c r="B303" s="1003" t="s">
        <v>1155</v>
      </c>
      <c r="C303" s="1004">
        <v>3131</v>
      </c>
      <c r="D303" s="1003" t="s">
        <v>1463</v>
      </c>
    </row>
    <row r="304" spans="1:4" ht="15.75" customHeight="1" x14ac:dyDescent="0.25">
      <c r="A304" s="877" t="s">
        <v>265</v>
      </c>
      <c r="B304" s="1003" t="s">
        <v>1173</v>
      </c>
      <c r="C304" s="1004">
        <v>11</v>
      </c>
      <c r="D304" s="1003" t="s">
        <v>1237</v>
      </c>
    </row>
    <row r="305" spans="1:4" ht="15.75" customHeight="1" x14ac:dyDescent="0.25">
      <c r="A305" s="877" t="s">
        <v>265</v>
      </c>
      <c r="B305" s="1003" t="s">
        <v>1184</v>
      </c>
      <c r="C305" s="1004">
        <v>342808</v>
      </c>
      <c r="D305" s="1003" t="s">
        <v>1184</v>
      </c>
    </row>
    <row r="306" spans="1:4" ht="15.75" customHeight="1" x14ac:dyDescent="0.25">
      <c r="A306" s="877" t="s">
        <v>265</v>
      </c>
      <c r="B306" s="1003" t="s">
        <v>1194</v>
      </c>
      <c r="C306" s="1004">
        <v>49</v>
      </c>
      <c r="D306" s="1003" t="s">
        <v>1240</v>
      </c>
    </row>
    <row r="307" spans="1:4" ht="15.75" customHeight="1" x14ac:dyDescent="0.25">
      <c r="A307" s="877" t="s">
        <v>265</v>
      </c>
      <c r="B307" s="1003" t="s">
        <v>1200</v>
      </c>
      <c r="C307" s="1004">
        <v>64488</v>
      </c>
      <c r="D307" s="1003" t="s">
        <v>1224</v>
      </c>
    </row>
    <row r="308" spans="1:4" ht="15.75" customHeight="1" x14ac:dyDescent="0.25">
      <c r="A308" s="877" t="s">
        <v>265</v>
      </c>
      <c r="B308" s="1003" t="s">
        <v>1210</v>
      </c>
      <c r="C308" s="1004">
        <v>4072</v>
      </c>
      <c r="D308" s="1003" t="s">
        <v>1243</v>
      </c>
    </row>
    <row r="309" spans="1:4" ht="15.75" customHeight="1" x14ac:dyDescent="0.25">
      <c r="A309" s="877" t="s">
        <v>267</v>
      </c>
      <c r="B309" s="1003" t="s">
        <v>1140</v>
      </c>
      <c r="C309" s="1004">
        <v>1</v>
      </c>
      <c r="D309" s="1003" t="s">
        <v>1250</v>
      </c>
    </row>
    <row r="310" spans="1:4" ht="15.75" customHeight="1" x14ac:dyDescent="0.25">
      <c r="A310" s="877" t="s">
        <v>267</v>
      </c>
      <c r="B310" s="1003" t="s">
        <v>1143</v>
      </c>
      <c r="C310" s="1004">
        <v>1298</v>
      </c>
      <c r="D310" s="1003" t="s">
        <v>1226</v>
      </c>
    </row>
    <row r="311" spans="1:4" ht="15.75" customHeight="1" x14ac:dyDescent="0.25">
      <c r="A311" s="877" t="s">
        <v>267</v>
      </c>
      <c r="B311" s="1003" t="s">
        <v>1155</v>
      </c>
      <c r="C311" s="1004">
        <v>83</v>
      </c>
      <c r="D311" s="1003" t="s">
        <v>1228</v>
      </c>
    </row>
    <row r="312" spans="1:4" ht="15.75" customHeight="1" x14ac:dyDescent="0.25">
      <c r="A312" s="877" t="s">
        <v>267</v>
      </c>
      <c r="B312" s="1003" t="s">
        <v>1184</v>
      </c>
      <c r="C312" s="1004">
        <v>22124</v>
      </c>
      <c r="D312" s="1003" t="s">
        <v>1184</v>
      </c>
    </row>
    <row r="313" spans="1:4" ht="15.75" customHeight="1" x14ac:dyDescent="0.25">
      <c r="A313" s="877" t="s">
        <v>267</v>
      </c>
      <c r="B313" s="1003" t="s">
        <v>1194</v>
      </c>
      <c r="C313" s="1004">
        <v>183</v>
      </c>
      <c r="D313" s="1003" t="s">
        <v>1240</v>
      </c>
    </row>
    <row r="314" spans="1:4" ht="15.75" customHeight="1" x14ac:dyDescent="0.25">
      <c r="A314" s="877" t="s">
        <v>267</v>
      </c>
      <c r="B314" s="1003" t="s">
        <v>1200</v>
      </c>
      <c r="C314" s="1004">
        <v>4692</v>
      </c>
      <c r="D314" s="1003" t="s">
        <v>1224</v>
      </c>
    </row>
    <row r="315" spans="1:4" ht="15.75" customHeight="1" x14ac:dyDescent="0.25">
      <c r="A315" s="877" t="s">
        <v>267</v>
      </c>
      <c r="B315" s="1003" t="s">
        <v>1210</v>
      </c>
      <c r="C315" s="1004">
        <v>69</v>
      </c>
      <c r="D315" s="1003" t="s">
        <v>1243</v>
      </c>
    </row>
    <row r="316" spans="1:4" ht="15.75" customHeight="1" x14ac:dyDescent="0.25">
      <c r="A316" s="877" t="s">
        <v>269</v>
      </c>
      <c r="B316" s="1003" t="s">
        <v>1143</v>
      </c>
      <c r="C316" s="1004">
        <v>2945</v>
      </c>
      <c r="D316" s="1003" t="s">
        <v>1226</v>
      </c>
    </row>
    <row r="317" spans="1:4" ht="15.75" customHeight="1" x14ac:dyDescent="0.25">
      <c r="A317" s="877" t="s">
        <v>269</v>
      </c>
      <c r="B317" s="1003" t="s">
        <v>1155</v>
      </c>
      <c r="C317" s="1004">
        <v>334</v>
      </c>
      <c r="D317" s="1003" t="s">
        <v>1228</v>
      </c>
    </row>
    <row r="318" spans="1:4" ht="15.75" customHeight="1" x14ac:dyDescent="0.25">
      <c r="A318" s="877" t="s">
        <v>269</v>
      </c>
      <c r="B318" s="1003" t="s">
        <v>1173</v>
      </c>
      <c r="C318" s="1004">
        <v>3</v>
      </c>
      <c r="D318" s="1003" t="s">
        <v>1237</v>
      </c>
    </row>
    <row r="319" spans="1:4" ht="15.75" customHeight="1" x14ac:dyDescent="0.25">
      <c r="A319" s="877" t="s">
        <v>269</v>
      </c>
      <c r="B319" s="1003" t="s">
        <v>1184</v>
      </c>
      <c r="C319" s="1004">
        <v>25141</v>
      </c>
      <c r="D319" s="1003" t="s">
        <v>1184</v>
      </c>
    </row>
    <row r="320" spans="1:4" ht="15.75" customHeight="1" x14ac:dyDescent="0.25">
      <c r="A320" s="877" t="s">
        <v>269</v>
      </c>
      <c r="B320" s="1003" t="s">
        <v>1200</v>
      </c>
      <c r="C320" s="1004">
        <v>5743</v>
      </c>
      <c r="D320" s="1003" t="s">
        <v>1224</v>
      </c>
    </row>
    <row r="321" spans="1:4" ht="15.75" customHeight="1" x14ac:dyDescent="0.25">
      <c r="A321" s="877" t="s">
        <v>269</v>
      </c>
      <c r="B321" s="1003" t="s">
        <v>1210</v>
      </c>
      <c r="C321" s="1004">
        <v>167</v>
      </c>
      <c r="D321" s="1003" t="s">
        <v>1243</v>
      </c>
    </row>
    <row r="322" spans="1:4" ht="15.75" customHeight="1" x14ac:dyDescent="0.25">
      <c r="A322" s="877" t="s">
        <v>271</v>
      </c>
      <c r="B322" s="1003" t="s">
        <v>1143</v>
      </c>
      <c r="C322" s="1004">
        <v>1147</v>
      </c>
      <c r="D322" s="1003" t="s">
        <v>1226</v>
      </c>
    </row>
    <row r="323" spans="1:4" ht="15.75" customHeight="1" x14ac:dyDescent="0.25">
      <c r="A323" s="877" t="s">
        <v>271</v>
      </c>
      <c r="B323" s="1003" t="s">
        <v>1155</v>
      </c>
      <c r="C323" s="1004">
        <v>1</v>
      </c>
      <c r="D323" s="1003" t="s">
        <v>1260</v>
      </c>
    </row>
    <row r="324" spans="1:4" ht="15.75" customHeight="1" x14ac:dyDescent="0.25">
      <c r="A324" s="877" t="s">
        <v>271</v>
      </c>
      <c r="B324" s="1003" t="s">
        <v>1155</v>
      </c>
      <c r="C324" s="1004">
        <v>101</v>
      </c>
      <c r="D324" s="1003" t="s">
        <v>1261</v>
      </c>
    </row>
    <row r="325" spans="1:4" ht="15.75" customHeight="1" x14ac:dyDescent="0.25">
      <c r="A325" s="877" t="s">
        <v>271</v>
      </c>
      <c r="B325" s="1003" t="s">
        <v>1184</v>
      </c>
      <c r="C325" s="1004">
        <v>10122</v>
      </c>
      <c r="D325" s="1003" t="s">
        <v>1184</v>
      </c>
    </row>
    <row r="326" spans="1:4" ht="15.75" customHeight="1" x14ac:dyDescent="0.25">
      <c r="A326" s="877" t="s">
        <v>271</v>
      </c>
      <c r="B326" s="1003" t="s">
        <v>1194</v>
      </c>
      <c r="C326" s="1004">
        <v>49</v>
      </c>
      <c r="D326" s="1003" t="s">
        <v>1240</v>
      </c>
    </row>
    <row r="327" spans="1:4" ht="15.75" customHeight="1" x14ac:dyDescent="0.25">
      <c r="A327" s="877" t="s">
        <v>271</v>
      </c>
      <c r="B327" s="1003" t="s">
        <v>1200</v>
      </c>
      <c r="C327" s="1004">
        <v>3082</v>
      </c>
      <c r="D327" s="1003" t="s">
        <v>1224</v>
      </c>
    </row>
    <row r="328" spans="1:4" ht="15.75" customHeight="1" x14ac:dyDescent="0.25">
      <c r="A328" s="877" t="s">
        <v>271</v>
      </c>
      <c r="B328" s="1003" t="s">
        <v>1210</v>
      </c>
      <c r="C328" s="1004">
        <v>95</v>
      </c>
      <c r="D328" s="1003" t="s">
        <v>1243</v>
      </c>
    </row>
    <row r="329" spans="1:4" ht="15.75" customHeight="1" x14ac:dyDescent="0.25">
      <c r="A329" s="877" t="s">
        <v>273</v>
      </c>
      <c r="B329" s="1003" t="s">
        <v>1143</v>
      </c>
      <c r="C329" s="1004">
        <v>2235</v>
      </c>
      <c r="D329" s="1003" t="s">
        <v>1226</v>
      </c>
    </row>
    <row r="330" spans="1:4" ht="15.75" customHeight="1" x14ac:dyDescent="0.25">
      <c r="A330" s="877" t="s">
        <v>273</v>
      </c>
      <c r="B330" s="1003" t="s">
        <v>1143</v>
      </c>
      <c r="C330" s="1004">
        <v>0</v>
      </c>
      <c r="D330" s="1003" t="s">
        <v>1568</v>
      </c>
    </row>
    <row r="331" spans="1:4" ht="15.75" customHeight="1" x14ac:dyDescent="0.25">
      <c r="A331" s="877" t="s">
        <v>273</v>
      </c>
      <c r="B331" s="1003" t="s">
        <v>1155</v>
      </c>
      <c r="C331" s="1004">
        <v>138</v>
      </c>
      <c r="D331" s="1003" t="s">
        <v>1228</v>
      </c>
    </row>
    <row r="332" spans="1:4" ht="15.75" customHeight="1" x14ac:dyDescent="0.25">
      <c r="A332" s="816" t="s">
        <v>273</v>
      </c>
      <c r="B332" s="1003" t="s">
        <v>1155</v>
      </c>
      <c r="C332" s="1004">
        <v>0</v>
      </c>
      <c r="D332" s="1003" t="s">
        <v>1570</v>
      </c>
    </row>
    <row r="333" spans="1:4" ht="15.75" customHeight="1" x14ac:dyDescent="0.25">
      <c r="A333" s="877" t="s">
        <v>273</v>
      </c>
      <c r="B333" s="1003" t="s">
        <v>1184</v>
      </c>
      <c r="C333" s="1004">
        <v>12400</v>
      </c>
      <c r="D333" s="1003" t="s">
        <v>1184</v>
      </c>
    </row>
    <row r="334" spans="1:4" ht="15.75" customHeight="1" x14ac:dyDescent="0.25">
      <c r="A334" s="816" t="s">
        <v>273</v>
      </c>
      <c r="B334" s="1003" t="s">
        <v>1184</v>
      </c>
      <c r="C334" s="1004">
        <v>0</v>
      </c>
      <c r="D334" s="1003" t="s">
        <v>1572</v>
      </c>
    </row>
    <row r="335" spans="1:4" ht="15.75" customHeight="1" x14ac:dyDescent="0.25">
      <c r="A335" s="877" t="s">
        <v>273</v>
      </c>
      <c r="B335" s="1003" t="s">
        <v>1194</v>
      </c>
      <c r="C335" s="1004">
        <v>32</v>
      </c>
      <c r="D335" s="1003" t="s">
        <v>1240</v>
      </c>
    </row>
    <row r="336" spans="1:4" ht="15.75" customHeight="1" x14ac:dyDescent="0.25">
      <c r="A336" s="816" t="s">
        <v>273</v>
      </c>
      <c r="B336" s="1003" t="s">
        <v>1194</v>
      </c>
      <c r="C336" s="1004">
        <v>0</v>
      </c>
      <c r="D336" s="1003" t="s">
        <v>1574</v>
      </c>
    </row>
    <row r="337" spans="1:4" ht="15.75" customHeight="1" x14ac:dyDescent="0.25">
      <c r="A337" s="877" t="s">
        <v>273</v>
      </c>
      <c r="B337" s="1003" t="s">
        <v>1200</v>
      </c>
      <c r="C337" s="1004">
        <v>2851</v>
      </c>
      <c r="D337" s="1003" t="s">
        <v>1224</v>
      </c>
    </row>
    <row r="338" spans="1:4" ht="15.75" customHeight="1" x14ac:dyDescent="0.25">
      <c r="A338" s="816" t="s">
        <v>273</v>
      </c>
      <c r="B338" s="1003" t="s">
        <v>1200</v>
      </c>
      <c r="C338" s="1004">
        <v>0</v>
      </c>
      <c r="D338" s="1003" t="s">
        <v>1576</v>
      </c>
    </row>
    <row r="339" spans="1:4" ht="15.75" customHeight="1" x14ac:dyDescent="0.25">
      <c r="A339" s="877" t="s">
        <v>273</v>
      </c>
      <c r="B339" s="1003" t="s">
        <v>1210</v>
      </c>
      <c r="C339" s="1004">
        <v>63</v>
      </c>
      <c r="D339" s="1003" t="s">
        <v>1243</v>
      </c>
    </row>
    <row r="340" spans="1:4" ht="15.75" customHeight="1" x14ac:dyDescent="0.25">
      <c r="A340" s="816" t="s">
        <v>273</v>
      </c>
      <c r="B340" s="1003" t="s">
        <v>1210</v>
      </c>
      <c r="C340" s="1004">
        <v>0</v>
      </c>
      <c r="D340" s="1003" t="s">
        <v>1578</v>
      </c>
    </row>
    <row r="341" spans="1:4" ht="15.75" customHeight="1" x14ac:dyDescent="0.25">
      <c r="A341" s="877" t="s">
        <v>275</v>
      </c>
      <c r="B341" s="1003" t="s">
        <v>1143</v>
      </c>
      <c r="C341" s="1004">
        <v>13429</v>
      </c>
      <c r="D341" s="1003" t="s">
        <v>1226</v>
      </c>
    </row>
    <row r="342" spans="1:4" ht="15.75" customHeight="1" x14ac:dyDescent="0.25">
      <c r="A342" s="816" t="s">
        <v>275</v>
      </c>
      <c r="B342" s="1003" t="s">
        <v>1155</v>
      </c>
      <c r="C342" s="1004">
        <v>1515</v>
      </c>
      <c r="D342" s="1003" t="s">
        <v>1228</v>
      </c>
    </row>
    <row r="343" spans="1:4" ht="15.75" customHeight="1" x14ac:dyDescent="0.25">
      <c r="A343" s="877" t="s">
        <v>275</v>
      </c>
      <c r="B343" s="1003" t="s">
        <v>1155</v>
      </c>
      <c r="C343" s="1004">
        <v>7</v>
      </c>
      <c r="D343" s="1003" t="s">
        <v>1581</v>
      </c>
    </row>
    <row r="344" spans="1:4" ht="15.75" customHeight="1" x14ac:dyDescent="0.25">
      <c r="A344" s="877" t="s">
        <v>275</v>
      </c>
      <c r="B344" s="1003" t="s">
        <v>1173</v>
      </c>
      <c r="C344" s="1004">
        <v>2</v>
      </c>
      <c r="D344" s="1003" t="s">
        <v>1237</v>
      </c>
    </row>
    <row r="345" spans="1:4" ht="15.75" customHeight="1" x14ac:dyDescent="0.25">
      <c r="A345" s="877" t="s">
        <v>275</v>
      </c>
      <c r="B345" s="1003" t="s">
        <v>1184</v>
      </c>
      <c r="C345" s="1004">
        <v>153271</v>
      </c>
      <c r="D345" s="1003" t="s">
        <v>1184</v>
      </c>
    </row>
    <row r="346" spans="1:4" ht="15.75" customHeight="1" x14ac:dyDescent="0.25">
      <c r="A346" s="877" t="s">
        <v>275</v>
      </c>
      <c r="B346" s="1003" t="s">
        <v>1194</v>
      </c>
      <c r="C346" s="1004">
        <v>488</v>
      </c>
      <c r="D346" s="1003" t="s">
        <v>1240</v>
      </c>
    </row>
    <row r="347" spans="1:4" ht="15.75" customHeight="1" x14ac:dyDescent="0.25">
      <c r="A347" s="877" t="s">
        <v>275</v>
      </c>
      <c r="B347" s="1003" t="s">
        <v>1200</v>
      </c>
      <c r="C347" s="1004">
        <v>40371</v>
      </c>
      <c r="D347" s="1003" t="s">
        <v>1224</v>
      </c>
    </row>
    <row r="348" spans="1:4" ht="15.75" customHeight="1" x14ac:dyDescent="0.25">
      <c r="A348" s="877" t="s">
        <v>275</v>
      </c>
      <c r="B348" s="1003" t="s">
        <v>1210</v>
      </c>
      <c r="C348" s="1004">
        <v>1565</v>
      </c>
      <c r="D348" s="1003" t="s">
        <v>1243</v>
      </c>
    </row>
    <row r="349" spans="1:4" ht="15.75" customHeight="1" x14ac:dyDescent="0.25">
      <c r="A349" s="877" t="s">
        <v>277</v>
      </c>
      <c r="B349" s="1003" t="s">
        <v>1143</v>
      </c>
      <c r="C349" s="1004">
        <v>3058</v>
      </c>
      <c r="D349" s="1003" t="s">
        <v>1226</v>
      </c>
    </row>
    <row r="350" spans="1:4" ht="15.75" customHeight="1" x14ac:dyDescent="0.25">
      <c r="A350" s="877" t="s">
        <v>277</v>
      </c>
      <c r="B350" s="1003" t="s">
        <v>1155</v>
      </c>
      <c r="C350" s="1004">
        <v>11</v>
      </c>
      <c r="D350" s="1003" t="s">
        <v>1233</v>
      </c>
    </row>
    <row r="351" spans="1:4" ht="15.75" customHeight="1" x14ac:dyDescent="0.25">
      <c r="A351" s="877" t="s">
        <v>277</v>
      </c>
      <c r="B351" s="1003" t="s">
        <v>1155</v>
      </c>
      <c r="C351" s="1004">
        <v>360</v>
      </c>
      <c r="D351" s="1003" t="s">
        <v>1235</v>
      </c>
    </row>
    <row r="352" spans="1:4" ht="15.75" customHeight="1" x14ac:dyDescent="0.25">
      <c r="A352" s="877" t="s">
        <v>277</v>
      </c>
      <c r="B352" s="1003" t="s">
        <v>1173</v>
      </c>
      <c r="C352" s="1004">
        <v>3</v>
      </c>
      <c r="D352" s="1003" t="s">
        <v>1237</v>
      </c>
    </row>
    <row r="353" spans="1:4" ht="15.75" customHeight="1" x14ac:dyDescent="0.25">
      <c r="A353" s="877" t="s">
        <v>277</v>
      </c>
      <c r="B353" s="1003" t="s">
        <v>1184</v>
      </c>
      <c r="C353" s="1004">
        <v>40635</v>
      </c>
      <c r="D353" s="1003" t="s">
        <v>1184</v>
      </c>
    </row>
    <row r="354" spans="1:4" ht="15.75" customHeight="1" x14ac:dyDescent="0.25">
      <c r="A354" s="877" t="s">
        <v>277</v>
      </c>
      <c r="B354" s="1003" t="s">
        <v>1194</v>
      </c>
      <c r="C354" s="1004">
        <v>228</v>
      </c>
      <c r="D354" s="1003" t="s">
        <v>1240</v>
      </c>
    </row>
    <row r="355" spans="1:4" ht="15.75" customHeight="1" x14ac:dyDescent="0.25">
      <c r="A355" s="877" t="s">
        <v>277</v>
      </c>
      <c r="B355" s="1003" t="s">
        <v>1200</v>
      </c>
      <c r="C355" s="1004">
        <v>2460</v>
      </c>
      <c r="D355" s="1003" t="s">
        <v>1224</v>
      </c>
    </row>
    <row r="356" spans="1:4" ht="15.75" customHeight="1" x14ac:dyDescent="0.25">
      <c r="A356" s="877" t="s">
        <v>277</v>
      </c>
      <c r="B356" s="1003" t="s">
        <v>1210</v>
      </c>
      <c r="C356" s="1004">
        <v>214</v>
      </c>
      <c r="D356" s="1003" t="s">
        <v>1243</v>
      </c>
    </row>
    <row r="357" spans="1:4" ht="15.75" customHeight="1" x14ac:dyDescent="0.25">
      <c r="A357" s="877" t="s">
        <v>7731</v>
      </c>
      <c r="B357" s="1003" t="s">
        <v>1143</v>
      </c>
      <c r="C357" s="1004">
        <v>829</v>
      </c>
      <c r="D357" s="1003" t="s">
        <v>1596</v>
      </c>
    </row>
    <row r="358" spans="1:4" ht="15.75" customHeight="1" x14ac:dyDescent="0.25">
      <c r="A358" s="877" t="s">
        <v>7719</v>
      </c>
      <c r="B358" s="1003" t="s">
        <v>1143</v>
      </c>
      <c r="C358" s="1004">
        <v>3380</v>
      </c>
      <c r="D358" s="1003" t="s">
        <v>1597</v>
      </c>
    </row>
    <row r="359" spans="1:4" ht="15.75" customHeight="1" x14ac:dyDescent="0.25">
      <c r="A359" s="816" t="s">
        <v>7731</v>
      </c>
      <c r="B359" s="1003" t="s">
        <v>1155</v>
      </c>
      <c r="C359" s="1004">
        <v>94</v>
      </c>
      <c r="D359" s="1003" t="s">
        <v>1598</v>
      </c>
    </row>
    <row r="360" spans="1:4" ht="15.75" customHeight="1" x14ac:dyDescent="0.25">
      <c r="A360" s="816" t="s">
        <v>7719</v>
      </c>
      <c r="B360" s="1003" t="s">
        <v>1155</v>
      </c>
      <c r="C360" s="1004">
        <v>301</v>
      </c>
      <c r="D360" s="1003" t="s">
        <v>1599</v>
      </c>
    </row>
    <row r="361" spans="1:4" ht="15.75" customHeight="1" x14ac:dyDescent="0.25">
      <c r="A361" s="816" t="s">
        <v>7731</v>
      </c>
      <c r="B361" s="1003" t="s">
        <v>1184</v>
      </c>
      <c r="C361" s="1004">
        <v>6767</v>
      </c>
      <c r="D361" s="1003" t="s">
        <v>1600</v>
      </c>
    </row>
    <row r="362" spans="1:4" ht="15.75" customHeight="1" x14ac:dyDescent="0.25">
      <c r="A362" s="816" t="s">
        <v>7719</v>
      </c>
      <c r="B362" s="1003" t="s">
        <v>1184</v>
      </c>
      <c r="C362" s="1004">
        <v>33668</v>
      </c>
      <c r="D362" s="1003" t="s">
        <v>1601</v>
      </c>
    </row>
    <row r="363" spans="1:4" ht="15.75" customHeight="1" x14ac:dyDescent="0.25">
      <c r="A363" s="816" t="s">
        <v>7719</v>
      </c>
      <c r="B363" s="1003" t="s">
        <v>1194</v>
      </c>
      <c r="C363" s="1004">
        <v>240</v>
      </c>
      <c r="D363" s="1003" t="s">
        <v>1602</v>
      </c>
    </row>
    <row r="364" spans="1:4" ht="15.75" customHeight="1" x14ac:dyDescent="0.25">
      <c r="A364" s="816" t="s">
        <v>7731</v>
      </c>
      <c r="B364" s="1003" t="s">
        <v>1200</v>
      </c>
      <c r="C364" s="1004">
        <v>1856</v>
      </c>
      <c r="D364" s="1003" t="s">
        <v>1603</v>
      </c>
    </row>
    <row r="365" spans="1:4" ht="15.75" customHeight="1" x14ac:dyDescent="0.25">
      <c r="A365" s="816" t="s">
        <v>7719</v>
      </c>
      <c r="B365" s="1003" t="s">
        <v>1200</v>
      </c>
      <c r="C365" s="1004">
        <v>9181</v>
      </c>
      <c r="D365" s="1003" t="s">
        <v>1604</v>
      </c>
    </row>
    <row r="366" spans="1:4" ht="15.75" customHeight="1" x14ac:dyDescent="0.25">
      <c r="A366" s="816" t="s">
        <v>7719</v>
      </c>
      <c r="B366" s="1003" t="s">
        <v>1210</v>
      </c>
      <c r="C366" s="1004">
        <v>44</v>
      </c>
      <c r="D366" s="1003" t="s">
        <v>1605</v>
      </c>
    </row>
    <row r="367" spans="1:4" ht="15.75" customHeight="1" x14ac:dyDescent="0.25">
      <c r="A367" s="816" t="s">
        <v>7731</v>
      </c>
      <c r="B367" s="1003" t="s">
        <v>1210</v>
      </c>
      <c r="C367" s="1004">
        <v>15</v>
      </c>
      <c r="D367" s="1003" t="s">
        <v>1606</v>
      </c>
    </row>
    <row r="368" spans="1:4" ht="15.75" customHeight="1" x14ac:dyDescent="0.25">
      <c r="A368" s="877" t="s">
        <v>282</v>
      </c>
      <c r="B368" s="1003" t="s">
        <v>1140</v>
      </c>
      <c r="C368" s="1004">
        <v>4</v>
      </c>
      <c r="D368" s="1003" t="s">
        <v>1250</v>
      </c>
    </row>
    <row r="369" spans="1:4" ht="15.75" customHeight="1" x14ac:dyDescent="0.25">
      <c r="A369" s="877" t="s">
        <v>282</v>
      </c>
      <c r="B369" s="1003" t="s">
        <v>1143</v>
      </c>
      <c r="C369" s="1004">
        <v>4871</v>
      </c>
      <c r="D369" s="1003" t="s">
        <v>1226</v>
      </c>
    </row>
    <row r="370" spans="1:4" ht="15.75" customHeight="1" x14ac:dyDescent="0.25">
      <c r="A370" s="877" t="s">
        <v>282</v>
      </c>
      <c r="B370" s="1003" t="s">
        <v>1155</v>
      </c>
      <c r="C370" s="1004">
        <v>729</v>
      </c>
      <c r="D370" s="1003" t="s">
        <v>1228</v>
      </c>
    </row>
    <row r="371" spans="1:4" ht="15.75" customHeight="1" x14ac:dyDescent="0.25">
      <c r="A371" s="877" t="s">
        <v>282</v>
      </c>
      <c r="B371" s="1003" t="s">
        <v>1184</v>
      </c>
      <c r="C371" s="1004">
        <v>53568</v>
      </c>
      <c r="D371" s="1003" t="s">
        <v>1184</v>
      </c>
    </row>
    <row r="372" spans="1:4" ht="15.75" customHeight="1" x14ac:dyDescent="0.25">
      <c r="A372" s="877" t="s">
        <v>282</v>
      </c>
      <c r="B372" s="1003" t="s">
        <v>1194</v>
      </c>
      <c r="C372" s="1004">
        <v>241</v>
      </c>
      <c r="D372" s="1003" t="s">
        <v>1240</v>
      </c>
    </row>
    <row r="373" spans="1:4" ht="15.75" customHeight="1" x14ac:dyDescent="0.25">
      <c r="A373" s="877" t="s">
        <v>282</v>
      </c>
      <c r="B373" s="1003" t="s">
        <v>1200</v>
      </c>
      <c r="C373" s="1004">
        <v>13471</v>
      </c>
      <c r="D373" s="1003" t="s">
        <v>1224</v>
      </c>
    </row>
    <row r="374" spans="1:4" ht="15.75" customHeight="1" x14ac:dyDescent="0.25">
      <c r="A374" s="877" t="s">
        <v>282</v>
      </c>
      <c r="B374" s="1003" t="s">
        <v>1210</v>
      </c>
      <c r="C374" s="1004">
        <v>423</v>
      </c>
      <c r="D374" s="1003" t="s">
        <v>1243</v>
      </c>
    </row>
    <row r="375" spans="1:4" ht="15.75" customHeight="1" x14ac:dyDescent="0.25">
      <c r="A375" s="877" t="s">
        <v>285</v>
      </c>
      <c r="B375" s="1003" t="s">
        <v>1143</v>
      </c>
      <c r="C375" s="1004">
        <v>1492</v>
      </c>
      <c r="D375" s="1003" t="s">
        <v>1226</v>
      </c>
    </row>
    <row r="376" spans="1:4" ht="15.75" customHeight="1" x14ac:dyDescent="0.25">
      <c r="A376" s="877" t="s">
        <v>285</v>
      </c>
      <c r="B376" s="1003" t="s">
        <v>1155</v>
      </c>
      <c r="C376" s="1004">
        <v>126</v>
      </c>
      <c r="D376" s="1003" t="s">
        <v>1228</v>
      </c>
    </row>
    <row r="377" spans="1:4" ht="15.75" customHeight="1" x14ac:dyDescent="0.25">
      <c r="A377" s="877" t="s">
        <v>285</v>
      </c>
      <c r="B377" s="1003" t="s">
        <v>1173</v>
      </c>
      <c r="C377" s="1004">
        <v>1</v>
      </c>
      <c r="D377" s="1003" t="s">
        <v>1237</v>
      </c>
    </row>
    <row r="378" spans="1:4" ht="15.75" customHeight="1" x14ac:dyDescent="0.25">
      <c r="A378" s="877" t="s">
        <v>285</v>
      </c>
      <c r="B378" s="1003" t="s">
        <v>1184</v>
      </c>
      <c r="C378" s="1004">
        <v>8464</v>
      </c>
      <c r="D378" s="1003" t="s">
        <v>1184</v>
      </c>
    </row>
    <row r="379" spans="1:4" ht="15.75" customHeight="1" x14ac:dyDescent="0.25">
      <c r="A379" s="877" t="s">
        <v>285</v>
      </c>
      <c r="B379" s="1003" t="s">
        <v>1200</v>
      </c>
      <c r="C379" s="1004">
        <v>2291</v>
      </c>
      <c r="D379" s="1003" t="s">
        <v>1224</v>
      </c>
    </row>
    <row r="380" spans="1:4" ht="15.75" customHeight="1" x14ac:dyDescent="0.25">
      <c r="A380" s="877" t="s">
        <v>285</v>
      </c>
      <c r="B380" s="1003" t="s">
        <v>1210</v>
      </c>
      <c r="C380" s="1004">
        <v>66</v>
      </c>
      <c r="D380" s="1003" t="s">
        <v>1243</v>
      </c>
    </row>
    <row r="381" spans="1:4" ht="15.75" customHeight="1" x14ac:dyDescent="0.25">
      <c r="A381" s="877" t="s">
        <v>7739</v>
      </c>
      <c r="B381" s="1003" t="s">
        <v>1143</v>
      </c>
      <c r="C381" s="1004">
        <v>365</v>
      </c>
      <c r="D381" s="1003" t="s">
        <v>1620</v>
      </c>
    </row>
    <row r="382" spans="1:4" ht="15.75" customHeight="1" x14ac:dyDescent="0.25">
      <c r="A382" s="877" t="s">
        <v>7740</v>
      </c>
      <c r="B382" s="1003" t="s">
        <v>1143</v>
      </c>
      <c r="C382" s="1004">
        <v>2638</v>
      </c>
      <c r="D382" s="1003" t="s">
        <v>1621</v>
      </c>
    </row>
    <row r="383" spans="1:4" ht="15.75" customHeight="1" x14ac:dyDescent="0.25">
      <c r="A383" s="877" t="s">
        <v>7740</v>
      </c>
      <c r="B383" s="1003" t="s">
        <v>1155</v>
      </c>
      <c r="C383" s="1004">
        <v>1</v>
      </c>
      <c r="D383" s="1003" t="s">
        <v>1622</v>
      </c>
    </row>
    <row r="384" spans="1:4" ht="15.75" customHeight="1" x14ac:dyDescent="0.25">
      <c r="A384" s="877" t="s">
        <v>7740</v>
      </c>
      <c r="B384" s="1003" t="s">
        <v>1155</v>
      </c>
      <c r="C384" s="1004">
        <v>276</v>
      </c>
      <c r="D384" s="1003" t="s">
        <v>1623</v>
      </c>
    </row>
    <row r="385" spans="1:4" ht="15.75" customHeight="1" x14ac:dyDescent="0.25">
      <c r="A385" s="877" t="s">
        <v>7739</v>
      </c>
      <c r="B385" s="1003" t="s">
        <v>1155</v>
      </c>
      <c r="C385" s="1004">
        <v>25</v>
      </c>
      <c r="D385" s="1003" t="s">
        <v>1624</v>
      </c>
    </row>
    <row r="386" spans="1:4" ht="15.75" customHeight="1" x14ac:dyDescent="0.25">
      <c r="A386" s="877" t="s">
        <v>7739</v>
      </c>
      <c r="B386" s="1003" t="s">
        <v>1184</v>
      </c>
      <c r="C386" s="1004">
        <v>2982</v>
      </c>
      <c r="D386" s="1003" t="s">
        <v>1625</v>
      </c>
    </row>
    <row r="387" spans="1:4" ht="15.75" customHeight="1" x14ac:dyDescent="0.25">
      <c r="A387" s="877" t="s">
        <v>7740</v>
      </c>
      <c r="B387" s="1003" t="s">
        <v>1184</v>
      </c>
      <c r="C387" s="1004">
        <v>21565</v>
      </c>
      <c r="D387" s="1003" t="s">
        <v>1627</v>
      </c>
    </row>
    <row r="388" spans="1:4" ht="15.75" customHeight="1" x14ac:dyDescent="0.25">
      <c r="A388" s="877" t="s">
        <v>7739</v>
      </c>
      <c r="B388" s="1003" t="s">
        <v>1194</v>
      </c>
      <c r="C388" s="1004">
        <v>29</v>
      </c>
      <c r="D388" s="1003" t="s">
        <v>1629</v>
      </c>
    </row>
    <row r="389" spans="1:4" ht="15.75" customHeight="1" x14ac:dyDescent="0.25">
      <c r="A389" s="877" t="s">
        <v>7740</v>
      </c>
      <c r="B389" s="1003" t="s">
        <v>1194</v>
      </c>
      <c r="C389" s="1004">
        <v>408</v>
      </c>
      <c r="D389" s="1003" t="s">
        <v>1631</v>
      </c>
    </row>
    <row r="390" spans="1:4" ht="15.75" customHeight="1" x14ac:dyDescent="0.25">
      <c r="A390" s="877" t="s">
        <v>7739</v>
      </c>
      <c r="B390" s="1003" t="s">
        <v>1200</v>
      </c>
      <c r="C390" s="1004">
        <v>823</v>
      </c>
      <c r="D390" s="1003" t="s">
        <v>1633</v>
      </c>
    </row>
    <row r="391" spans="1:4" ht="15.75" customHeight="1" x14ac:dyDescent="0.25">
      <c r="A391" s="877" t="s">
        <v>7740</v>
      </c>
      <c r="B391" s="1003" t="s">
        <v>1200</v>
      </c>
      <c r="C391" s="1004">
        <v>5424</v>
      </c>
      <c r="D391" s="1003" t="s">
        <v>1635</v>
      </c>
    </row>
    <row r="392" spans="1:4" ht="15.75" customHeight="1" x14ac:dyDescent="0.25">
      <c r="A392" s="877" t="s">
        <v>7739</v>
      </c>
      <c r="B392" s="1003" t="s">
        <v>1210</v>
      </c>
      <c r="C392" s="1004">
        <v>20</v>
      </c>
      <c r="D392" s="1003" t="s">
        <v>1637</v>
      </c>
    </row>
    <row r="393" spans="1:4" ht="15.75" customHeight="1" x14ac:dyDescent="0.25">
      <c r="A393" s="877" t="s">
        <v>7740</v>
      </c>
      <c r="B393" s="1003" t="s">
        <v>1210</v>
      </c>
      <c r="C393" s="1004">
        <v>8</v>
      </c>
      <c r="D393" s="1003" t="s">
        <v>1639</v>
      </c>
    </row>
    <row r="394" spans="1:4" ht="15.75" customHeight="1" x14ac:dyDescent="0.25">
      <c r="A394" s="877" t="s">
        <v>289</v>
      </c>
      <c r="B394" s="1003" t="s">
        <v>1143</v>
      </c>
      <c r="C394" s="1004">
        <v>712</v>
      </c>
      <c r="D394" s="1003" t="s">
        <v>1226</v>
      </c>
    </row>
    <row r="395" spans="1:4" ht="15.75" customHeight="1" x14ac:dyDescent="0.25">
      <c r="A395" s="877" t="s">
        <v>289</v>
      </c>
      <c r="B395" s="1003" t="s">
        <v>1155</v>
      </c>
      <c r="C395" s="1004">
        <v>72</v>
      </c>
      <c r="D395" s="1003" t="s">
        <v>1228</v>
      </c>
    </row>
    <row r="396" spans="1:4" ht="15.75" customHeight="1" x14ac:dyDescent="0.25">
      <c r="A396" s="877" t="s">
        <v>289</v>
      </c>
      <c r="B396" s="1003" t="s">
        <v>1184</v>
      </c>
      <c r="C396" s="1004">
        <v>5168</v>
      </c>
      <c r="D396" s="1003" t="s">
        <v>1184</v>
      </c>
    </row>
    <row r="397" spans="1:4" ht="15.75" customHeight="1" x14ac:dyDescent="0.25">
      <c r="A397" s="877" t="s">
        <v>289</v>
      </c>
      <c r="B397" s="1003" t="s">
        <v>1200</v>
      </c>
      <c r="C397" s="1004">
        <v>1777</v>
      </c>
      <c r="D397" s="1003" t="s">
        <v>1224</v>
      </c>
    </row>
    <row r="398" spans="1:4" ht="15.75" customHeight="1" x14ac:dyDescent="0.25">
      <c r="A398" s="877" t="s">
        <v>289</v>
      </c>
      <c r="B398" s="1003" t="s">
        <v>1210</v>
      </c>
      <c r="C398" s="1004">
        <v>22</v>
      </c>
      <c r="D398" s="1003" t="s">
        <v>1243</v>
      </c>
    </row>
    <row r="399" spans="1:4" ht="15.75" customHeight="1" x14ac:dyDescent="0.25">
      <c r="A399" s="877" t="s">
        <v>291</v>
      </c>
      <c r="B399" s="1003" t="s">
        <v>1140</v>
      </c>
      <c r="C399" s="1004">
        <v>1</v>
      </c>
      <c r="D399" s="1003" t="s">
        <v>1250</v>
      </c>
    </row>
    <row r="400" spans="1:4" ht="15.75" customHeight="1" x14ac:dyDescent="0.25">
      <c r="A400" s="877" t="s">
        <v>291</v>
      </c>
      <c r="B400" s="1003" t="s">
        <v>1143</v>
      </c>
      <c r="C400" s="1004">
        <v>6356</v>
      </c>
      <c r="D400" s="1003" t="s">
        <v>1226</v>
      </c>
    </row>
    <row r="401" spans="1:4" ht="15.75" customHeight="1" x14ac:dyDescent="0.25">
      <c r="A401" s="877" t="s">
        <v>291</v>
      </c>
      <c r="B401" s="1003" t="s">
        <v>1155</v>
      </c>
      <c r="C401" s="1004">
        <v>29</v>
      </c>
      <c r="D401" s="1003" t="s">
        <v>1648</v>
      </c>
    </row>
    <row r="402" spans="1:4" ht="15.75" customHeight="1" x14ac:dyDescent="0.25">
      <c r="A402" s="877" t="s">
        <v>291</v>
      </c>
      <c r="B402" s="1003" t="s">
        <v>1155</v>
      </c>
      <c r="C402" s="1004">
        <v>814</v>
      </c>
      <c r="D402" s="1003" t="s">
        <v>1235</v>
      </c>
    </row>
    <row r="403" spans="1:4" ht="15.75" customHeight="1" x14ac:dyDescent="0.25">
      <c r="A403" s="877" t="s">
        <v>291</v>
      </c>
      <c r="B403" s="1003" t="s">
        <v>1184</v>
      </c>
      <c r="C403" s="1004">
        <v>71168</v>
      </c>
      <c r="D403" s="1003" t="s">
        <v>1184</v>
      </c>
    </row>
    <row r="404" spans="1:4" ht="15.75" customHeight="1" x14ac:dyDescent="0.25">
      <c r="A404" s="877" t="s">
        <v>291</v>
      </c>
      <c r="B404" s="1003" t="s">
        <v>1194</v>
      </c>
      <c r="C404" s="1004">
        <v>141</v>
      </c>
      <c r="D404" s="1003" t="s">
        <v>1240</v>
      </c>
    </row>
    <row r="405" spans="1:4" ht="15.75" customHeight="1" x14ac:dyDescent="0.25">
      <c r="A405" s="877" t="s">
        <v>291</v>
      </c>
      <c r="B405" s="1003" t="s">
        <v>1200</v>
      </c>
      <c r="C405" s="1004">
        <v>13257</v>
      </c>
      <c r="D405" s="1003" t="s">
        <v>1224</v>
      </c>
    </row>
    <row r="406" spans="1:4" ht="15.75" customHeight="1" x14ac:dyDescent="0.25">
      <c r="A406" s="877" t="s">
        <v>291</v>
      </c>
      <c r="B406" s="1003" t="s">
        <v>1210</v>
      </c>
      <c r="C406" s="1004">
        <v>782</v>
      </c>
      <c r="D406" s="1003" t="s">
        <v>1243</v>
      </c>
    </row>
    <row r="407" spans="1:4" ht="15.75" customHeight="1" x14ac:dyDescent="0.25">
      <c r="A407" s="877" t="s">
        <v>293</v>
      </c>
      <c r="B407" s="1003" t="s">
        <v>1143</v>
      </c>
      <c r="C407" s="1004">
        <v>1198</v>
      </c>
      <c r="D407" s="1003" t="s">
        <v>1226</v>
      </c>
    </row>
    <row r="408" spans="1:4" ht="15.75" customHeight="1" x14ac:dyDescent="0.25">
      <c r="A408" s="877" t="s">
        <v>293</v>
      </c>
      <c r="B408" s="1003" t="s">
        <v>1155</v>
      </c>
      <c r="C408" s="1004">
        <v>127</v>
      </c>
      <c r="D408" s="1003" t="s">
        <v>1228</v>
      </c>
    </row>
    <row r="409" spans="1:4" ht="15.75" customHeight="1" x14ac:dyDescent="0.25">
      <c r="A409" s="877" t="s">
        <v>293</v>
      </c>
      <c r="B409" s="1003" t="s">
        <v>1184</v>
      </c>
      <c r="C409" s="1004">
        <v>11696</v>
      </c>
      <c r="D409" s="1003" t="s">
        <v>1184</v>
      </c>
    </row>
    <row r="410" spans="1:4" ht="15.75" customHeight="1" x14ac:dyDescent="0.25">
      <c r="A410" s="877" t="s">
        <v>293</v>
      </c>
      <c r="B410" s="1003" t="s">
        <v>1194</v>
      </c>
      <c r="C410" s="1004">
        <v>157</v>
      </c>
      <c r="D410" s="1003" t="s">
        <v>1240</v>
      </c>
    </row>
    <row r="411" spans="1:4" ht="15.75" customHeight="1" x14ac:dyDescent="0.25">
      <c r="A411" s="877" t="s">
        <v>293</v>
      </c>
      <c r="B411" s="1003" t="s">
        <v>1200</v>
      </c>
      <c r="C411" s="1004">
        <v>2952</v>
      </c>
      <c r="D411" s="1003" t="s">
        <v>1224</v>
      </c>
    </row>
    <row r="412" spans="1:4" ht="15.75" customHeight="1" x14ac:dyDescent="0.25">
      <c r="A412" s="877" t="s">
        <v>293</v>
      </c>
      <c r="B412" s="1003" t="s">
        <v>1210</v>
      </c>
      <c r="C412" s="1004">
        <v>95</v>
      </c>
      <c r="D412" s="1003" t="s">
        <v>1243</v>
      </c>
    </row>
    <row r="413" spans="1:4" ht="15.75" customHeight="1" x14ac:dyDescent="0.25">
      <c r="A413" s="877" t="s">
        <v>295</v>
      </c>
      <c r="B413" s="1003" t="s">
        <v>1143</v>
      </c>
      <c r="C413" s="1004">
        <v>4297</v>
      </c>
      <c r="D413" s="1003" t="s">
        <v>1226</v>
      </c>
    </row>
    <row r="414" spans="1:4" ht="15.75" customHeight="1" x14ac:dyDescent="0.25">
      <c r="A414" s="877" t="s">
        <v>295</v>
      </c>
      <c r="B414" s="1003" t="s">
        <v>1155</v>
      </c>
      <c r="C414" s="1004">
        <v>17</v>
      </c>
      <c r="D414" s="1003" t="s">
        <v>1233</v>
      </c>
    </row>
    <row r="415" spans="1:4" ht="15.75" customHeight="1" x14ac:dyDescent="0.25">
      <c r="A415" s="877" t="s">
        <v>295</v>
      </c>
      <c r="B415" s="1003" t="s">
        <v>1155</v>
      </c>
      <c r="C415" s="1004">
        <v>519</v>
      </c>
      <c r="D415" s="1003" t="s">
        <v>1235</v>
      </c>
    </row>
    <row r="416" spans="1:4" ht="15.75" customHeight="1" x14ac:dyDescent="0.25">
      <c r="A416" s="877" t="s">
        <v>295</v>
      </c>
      <c r="B416" s="1003" t="s">
        <v>1173</v>
      </c>
      <c r="C416" s="1004">
        <v>1</v>
      </c>
      <c r="D416" s="1003" t="s">
        <v>1237</v>
      </c>
    </row>
    <row r="417" spans="1:4" ht="15.75" customHeight="1" x14ac:dyDescent="0.25">
      <c r="A417" s="877" t="s">
        <v>295</v>
      </c>
      <c r="B417" s="1003" t="s">
        <v>1184</v>
      </c>
      <c r="C417" s="1004">
        <v>58046</v>
      </c>
      <c r="D417" s="1003" t="s">
        <v>1184</v>
      </c>
    </row>
    <row r="418" spans="1:4" ht="15.75" customHeight="1" x14ac:dyDescent="0.25">
      <c r="A418" s="877" t="s">
        <v>295</v>
      </c>
      <c r="B418" s="1003" t="s">
        <v>1194</v>
      </c>
      <c r="C418" s="1004">
        <v>19</v>
      </c>
      <c r="D418" s="1003" t="s">
        <v>1240</v>
      </c>
    </row>
    <row r="419" spans="1:4" ht="15.75" customHeight="1" x14ac:dyDescent="0.25">
      <c r="A419" s="877" t="s">
        <v>295</v>
      </c>
      <c r="B419" s="1003" t="s">
        <v>1200</v>
      </c>
      <c r="C419" s="1004">
        <v>14448</v>
      </c>
      <c r="D419" s="1003" t="s">
        <v>1224</v>
      </c>
    </row>
    <row r="420" spans="1:4" ht="15.75" customHeight="1" x14ac:dyDescent="0.25">
      <c r="A420" s="877" t="s">
        <v>295</v>
      </c>
      <c r="B420" s="1003" t="s">
        <v>1210</v>
      </c>
      <c r="C420" s="1004">
        <v>262</v>
      </c>
      <c r="D420" s="1003" t="s">
        <v>1243</v>
      </c>
    </row>
    <row r="421" spans="1:4" ht="15.75" customHeight="1" x14ac:dyDescent="0.25">
      <c r="A421" s="877" t="s">
        <v>297</v>
      </c>
      <c r="B421" s="1003" t="s">
        <v>1143</v>
      </c>
      <c r="C421" s="1004">
        <v>1271</v>
      </c>
      <c r="D421" s="1003" t="s">
        <v>1226</v>
      </c>
    </row>
    <row r="422" spans="1:4" ht="15.75" customHeight="1" x14ac:dyDescent="0.25">
      <c r="A422" s="877" t="s">
        <v>297</v>
      </c>
      <c r="B422" s="1003" t="s">
        <v>1155</v>
      </c>
      <c r="C422" s="1004">
        <v>137</v>
      </c>
      <c r="D422" s="1003" t="s">
        <v>1228</v>
      </c>
    </row>
    <row r="423" spans="1:4" ht="15.75" customHeight="1" x14ac:dyDescent="0.25">
      <c r="A423" s="877" t="s">
        <v>297</v>
      </c>
      <c r="B423" s="1003" t="s">
        <v>1184</v>
      </c>
      <c r="C423" s="1004">
        <v>10367</v>
      </c>
      <c r="D423" s="1003" t="s">
        <v>1184</v>
      </c>
    </row>
    <row r="424" spans="1:4" ht="15.75" customHeight="1" x14ac:dyDescent="0.25">
      <c r="A424" s="877" t="s">
        <v>297</v>
      </c>
      <c r="B424" s="1003" t="s">
        <v>1194</v>
      </c>
      <c r="C424" s="1004">
        <v>177</v>
      </c>
      <c r="D424" s="1003" t="s">
        <v>1240</v>
      </c>
    </row>
    <row r="425" spans="1:4" ht="15.75" customHeight="1" x14ac:dyDescent="0.25">
      <c r="A425" s="877" t="s">
        <v>297</v>
      </c>
      <c r="B425" s="1003" t="s">
        <v>1200</v>
      </c>
      <c r="C425" s="1004">
        <v>2906</v>
      </c>
      <c r="D425" s="1003" t="s">
        <v>1224</v>
      </c>
    </row>
    <row r="426" spans="1:4" ht="15.75" customHeight="1" x14ac:dyDescent="0.25">
      <c r="A426" s="877" t="s">
        <v>297</v>
      </c>
      <c r="B426" s="1003" t="s">
        <v>1210</v>
      </c>
      <c r="C426" s="1004">
        <v>19</v>
      </c>
      <c r="D426" s="1003" t="s">
        <v>1243</v>
      </c>
    </row>
    <row r="427" spans="1:4" ht="15.75" customHeight="1" x14ac:dyDescent="0.25">
      <c r="A427" s="877" t="s">
        <v>299</v>
      </c>
      <c r="B427" s="1003" t="s">
        <v>1143</v>
      </c>
      <c r="C427" s="1004">
        <v>3446</v>
      </c>
      <c r="D427" s="1003" t="s">
        <v>1226</v>
      </c>
    </row>
    <row r="428" spans="1:4" ht="15.75" customHeight="1" x14ac:dyDescent="0.25">
      <c r="A428" s="877" t="s">
        <v>299</v>
      </c>
      <c r="B428" s="1003" t="s">
        <v>1155</v>
      </c>
      <c r="C428" s="1004">
        <v>280</v>
      </c>
      <c r="D428" s="1003" t="s">
        <v>1228</v>
      </c>
    </row>
    <row r="429" spans="1:4" ht="15.75" customHeight="1" x14ac:dyDescent="0.25">
      <c r="A429" s="877" t="s">
        <v>299</v>
      </c>
      <c r="B429" s="1003" t="s">
        <v>1184</v>
      </c>
      <c r="C429" s="1004">
        <v>30416</v>
      </c>
      <c r="D429" s="1003" t="s">
        <v>1184</v>
      </c>
    </row>
    <row r="430" spans="1:4" ht="15.75" customHeight="1" x14ac:dyDescent="0.25">
      <c r="A430" s="877" t="s">
        <v>299</v>
      </c>
      <c r="B430" s="1003" t="s">
        <v>1194</v>
      </c>
      <c r="C430" s="1004">
        <v>348</v>
      </c>
      <c r="D430" s="1003" t="s">
        <v>1240</v>
      </c>
    </row>
    <row r="431" spans="1:4" ht="15.75" customHeight="1" x14ac:dyDescent="0.25">
      <c r="A431" s="877" t="s">
        <v>299</v>
      </c>
      <c r="B431" s="1003" t="s">
        <v>1200</v>
      </c>
      <c r="C431" s="1004">
        <v>8109</v>
      </c>
      <c r="D431" s="1003" t="s">
        <v>1224</v>
      </c>
    </row>
    <row r="432" spans="1:4" ht="15.75" customHeight="1" x14ac:dyDescent="0.25">
      <c r="A432" s="877" t="s">
        <v>299</v>
      </c>
      <c r="B432" s="1003" t="s">
        <v>1210</v>
      </c>
      <c r="C432" s="1004">
        <v>28</v>
      </c>
      <c r="D432" s="1003" t="s">
        <v>1243</v>
      </c>
    </row>
    <row r="433" spans="1:4" ht="15.75" customHeight="1" x14ac:dyDescent="0.25">
      <c r="A433" s="877" t="s">
        <v>301</v>
      </c>
      <c r="B433" s="1003" t="s">
        <v>1143</v>
      </c>
      <c r="C433" s="1004">
        <v>455</v>
      </c>
      <c r="D433" s="1003" t="s">
        <v>1226</v>
      </c>
    </row>
    <row r="434" spans="1:4" ht="15.75" customHeight="1" x14ac:dyDescent="0.25">
      <c r="A434" s="877" t="s">
        <v>301</v>
      </c>
      <c r="B434" s="1003" t="s">
        <v>1155</v>
      </c>
      <c r="C434" s="1004">
        <v>43</v>
      </c>
      <c r="D434" s="1003" t="s">
        <v>1228</v>
      </c>
    </row>
    <row r="435" spans="1:4" ht="15.75" customHeight="1" x14ac:dyDescent="0.25">
      <c r="A435" s="877" t="s">
        <v>301</v>
      </c>
      <c r="B435" s="1003" t="s">
        <v>1184</v>
      </c>
      <c r="C435" s="1004">
        <v>3920</v>
      </c>
      <c r="D435" s="1003" t="s">
        <v>1184</v>
      </c>
    </row>
    <row r="436" spans="1:4" ht="15.75" customHeight="1" x14ac:dyDescent="0.25">
      <c r="A436" s="877" t="s">
        <v>301</v>
      </c>
      <c r="B436" s="1003" t="s">
        <v>1200</v>
      </c>
      <c r="C436" s="1004">
        <v>1198</v>
      </c>
      <c r="D436" s="1003" t="s">
        <v>1224</v>
      </c>
    </row>
    <row r="437" spans="1:4" ht="15.75" customHeight="1" x14ac:dyDescent="0.25">
      <c r="A437" s="877" t="s">
        <v>301</v>
      </c>
      <c r="B437" s="1003" t="s">
        <v>1210</v>
      </c>
      <c r="C437" s="1004">
        <v>36</v>
      </c>
      <c r="D437" s="1003" t="s">
        <v>1243</v>
      </c>
    </row>
    <row r="438" spans="1:4" ht="15.75" customHeight="1" x14ac:dyDescent="0.25">
      <c r="A438" s="877" t="s">
        <v>303</v>
      </c>
      <c r="B438" s="1003" t="s">
        <v>1143</v>
      </c>
      <c r="C438" s="1004">
        <v>740</v>
      </c>
      <c r="D438" s="1003" t="s">
        <v>1226</v>
      </c>
    </row>
    <row r="439" spans="1:4" ht="15.75" customHeight="1" x14ac:dyDescent="0.25">
      <c r="A439" s="877" t="s">
        <v>303</v>
      </c>
      <c r="B439" s="1003" t="s">
        <v>1155</v>
      </c>
      <c r="C439" s="1004">
        <v>53</v>
      </c>
      <c r="D439" s="1003" t="s">
        <v>1228</v>
      </c>
    </row>
    <row r="440" spans="1:4" ht="15.75" customHeight="1" x14ac:dyDescent="0.25">
      <c r="A440" s="877" t="s">
        <v>303</v>
      </c>
      <c r="B440" s="1003" t="s">
        <v>1184</v>
      </c>
      <c r="C440" s="1004">
        <v>5281</v>
      </c>
      <c r="D440" s="1003" t="s">
        <v>1184</v>
      </c>
    </row>
    <row r="441" spans="1:4" ht="15.75" customHeight="1" x14ac:dyDescent="0.25">
      <c r="A441" s="877" t="s">
        <v>303</v>
      </c>
      <c r="B441" s="1003" t="s">
        <v>1194</v>
      </c>
      <c r="C441" s="1004">
        <v>67</v>
      </c>
      <c r="D441" s="1003" t="s">
        <v>1240</v>
      </c>
    </row>
    <row r="442" spans="1:4" ht="15.75" customHeight="1" x14ac:dyDescent="0.25">
      <c r="A442" s="877" t="s">
        <v>303</v>
      </c>
      <c r="B442" s="1003" t="s">
        <v>1200</v>
      </c>
      <c r="C442" s="1004">
        <v>1469</v>
      </c>
      <c r="D442" s="1003" t="s">
        <v>1224</v>
      </c>
    </row>
    <row r="443" spans="1:4" ht="15.75" customHeight="1" x14ac:dyDescent="0.25">
      <c r="A443" s="877" t="s">
        <v>303</v>
      </c>
      <c r="B443" s="1003" t="s">
        <v>1210</v>
      </c>
      <c r="C443" s="1004">
        <v>59</v>
      </c>
      <c r="D443" s="1003" t="s">
        <v>1243</v>
      </c>
    </row>
    <row r="444" spans="1:4" ht="15.75" customHeight="1" x14ac:dyDescent="0.25">
      <c r="A444" s="877" t="s">
        <v>305</v>
      </c>
      <c r="B444" s="1003" t="s">
        <v>1143</v>
      </c>
      <c r="C444" s="1004">
        <v>431</v>
      </c>
      <c r="D444" s="1003" t="s">
        <v>1226</v>
      </c>
    </row>
    <row r="445" spans="1:4" ht="15.75" customHeight="1" x14ac:dyDescent="0.25">
      <c r="A445" s="877" t="s">
        <v>305</v>
      </c>
      <c r="B445" s="1003" t="s">
        <v>1155</v>
      </c>
      <c r="C445" s="1004">
        <v>45</v>
      </c>
      <c r="D445" s="1003" t="s">
        <v>1228</v>
      </c>
    </row>
    <row r="446" spans="1:4" ht="15.75" customHeight="1" x14ac:dyDescent="0.25">
      <c r="A446" s="877" t="s">
        <v>305</v>
      </c>
      <c r="B446" s="1003" t="s">
        <v>1184</v>
      </c>
      <c r="C446" s="1004">
        <v>2497</v>
      </c>
      <c r="D446" s="1003" t="s">
        <v>1184</v>
      </c>
    </row>
    <row r="447" spans="1:4" ht="15.75" customHeight="1" x14ac:dyDescent="0.25">
      <c r="A447" s="877" t="s">
        <v>305</v>
      </c>
      <c r="B447" s="1003" t="s">
        <v>1200</v>
      </c>
      <c r="C447" s="1004">
        <v>548</v>
      </c>
      <c r="D447" s="1003" t="s">
        <v>1224</v>
      </c>
    </row>
    <row r="448" spans="1:4" ht="15.75" customHeight="1" x14ac:dyDescent="0.25">
      <c r="A448" s="877" t="s">
        <v>1848</v>
      </c>
      <c r="B448" s="1003" t="s">
        <v>1143</v>
      </c>
      <c r="C448" s="1004">
        <v>742</v>
      </c>
      <c r="D448" s="1003" t="s">
        <v>1696</v>
      </c>
    </row>
    <row r="449" spans="1:4" ht="15.75" customHeight="1" x14ac:dyDescent="0.25">
      <c r="A449" s="877" t="s">
        <v>1849</v>
      </c>
      <c r="B449" s="1003" t="s">
        <v>1143</v>
      </c>
      <c r="C449" s="1004">
        <v>4825</v>
      </c>
      <c r="D449" s="1003" t="s">
        <v>1698</v>
      </c>
    </row>
    <row r="450" spans="1:4" ht="15.75" customHeight="1" x14ac:dyDescent="0.25">
      <c r="A450" s="877" t="s">
        <v>1848</v>
      </c>
      <c r="B450" s="1003" t="s">
        <v>1155</v>
      </c>
      <c r="C450" s="1004">
        <v>58</v>
      </c>
      <c r="D450" s="1003" t="s">
        <v>1704</v>
      </c>
    </row>
    <row r="451" spans="1:4" ht="15.75" customHeight="1" x14ac:dyDescent="0.25">
      <c r="A451" s="816" t="s">
        <v>1849</v>
      </c>
      <c r="B451" s="1003" t="s">
        <v>1155</v>
      </c>
      <c r="C451" s="1004">
        <v>14</v>
      </c>
      <c r="D451" s="1003" t="s">
        <v>1700</v>
      </c>
    </row>
    <row r="452" spans="1:4" ht="15.75" customHeight="1" x14ac:dyDescent="0.25">
      <c r="A452" s="816" t="s">
        <v>1849</v>
      </c>
      <c r="B452" s="1003" t="s">
        <v>1155</v>
      </c>
      <c r="C452" s="1004">
        <v>398</v>
      </c>
      <c r="D452" s="1003" t="s">
        <v>1702</v>
      </c>
    </row>
    <row r="453" spans="1:4" ht="15.75" customHeight="1" x14ac:dyDescent="0.25">
      <c r="A453" s="816" t="s">
        <v>1848</v>
      </c>
      <c r="B453" s="1003" t="s">
        <v>1184</v>
      </c>
      <c r="C453" s="1004">
        <v>4790</v>
      </c>
      <c r="D453" s="1003" t="s">
        <v>1706</v>
      </c>
    </row>
    <row r="454" spans="1:4" ht="15.75" customHeight="1" x14ac:dyDescent="0.25">
      <c r="A454" s="816" t="s">
        <v>1849</v>
      </c>
      <c r="B454" s="1003" t="s">
        <v>1184</v>
      </c>
      <c r="C454" s="1004">
        <v>46546</v>
      </c>
      <c r="D454" s="1003" t="s">
        <v>1708</v>
      </c>
    </row>
    <row r="455" spans="1:4" ht="15.75" customHeight="1" x14ac:dyDescent="0.25">
      <c r="A455" s="816" t="s">
        <v>1849</v>
      </c>
      <c r="B455" s="1003" t="s">
        <v>1194</v>
      </c>
      <c r="C455" s="1004">
        <v>113</v>
      </c>
      <c r="D455" s="1003" t="s">
        <v>1710</v>
      </c>
    </row>
    <row r="456" spans="1:4" ht="15.75" customHeight="1" x14ac:dyDescent="0.25">
      <c r="A456" s="816" t="s">
        <v>1849</v>
      </c>
      <c r="B456" s="1003" t="s">
        <v>1200</v>
      </c>
      <c r="C456" s="1004">
        <v>13322</v>
      </c>
      <c r="D456" s="1003" t="s">
        <v>1712</v>
      </c>
    </row>
    <row r="457" spans="1:4" ht="15.75" customHeight="1" x14ac:dyDescent="0.25">
      <c r="A457" s="816" t="s">
        <v>1848</v>
      </c>
      <c r="B457" s="1003" t="s">
        <v>1200</v>
      </c>
      <c r="C457" s="1004">
        <v>428</v>
      </c>
      <c r="D457" s="1003" t="s">
        <v>1714</v>
      </c>
    </row>
    <row r="458" spans="1:4" ht="15.75" customHeight="1" x14ac:dyDescent="0.25">
      <c r="A458" s="816" t="s">
        <v>1849</v>
      </c>
      <c r="B458" s="1003" t="s">
        <v>1210</v>
      </c>
      <c r="C458" s="1004">
        <v>395</v>
      </c>
      <c r="D458" s="1003" t="s">
        <v>1716</v>
      </c>
    </row>
    <row r="459" spans="1:4" ht="15.75" customHeight="1" x14ac:dyDescent="0.25">
      <c r="A459" s="816" t="s">
        <v>1848</v>
      </c>
      <c r="B459" s="1003" t="s">
        <v>1210</v>
      </c>
      <c r="C459" s="1004">
        <v>36</v>
      </c>
      <c r="D459" s="1003" t="s">
        <v>1718</v>
      </c>
    </row>
    <row r="460" spans="1:4" ht="15.75" customHeight="1" x14ac:dyDescent="0.25">
      <c r="A460" t="s">
        <v>309</v>
      </c>
      <c r="B460" s="1003" t="s">
        <v>1143</v>
      </c>
      <c r="C460" s="1004">
        <v>714</v>
      </c>
      <c r="D460" s="1003" t="s">
        <v>1226</v>
      </c>
    </row>
    <row r="461" spans="1:4" ht="15.75" customHeight="1" x14ac:dyDescent="0.25">
      <c r="A461" t="s">
        <v>309</v>
      </c>
      <c r="B461" s="1003" t="s">
        <v>1155</v>
      </c>
      <c r="C461" s="1004">
        <v>77</v>
      </c>
      <c r="D461" s="1003" t="s">
        <v>1721</v>
      </c>
    </row>
    <row r="462" spans="1:4" ht="15.75" customHeight="1" x14ac:dyDescent="0.25">
      <c r="A462" t="s">
        <v>309</v>
      </c>
      <c r="B462" s="1003" t="s">
        <v>1155</v>
      </c>
      <c r="C462" s="1004">
        <v>7</v>
      </c>
      <c r="D462" s="1003" t="s">
        <v>1723</v>
      </c>
    </row>
    <row r="463" spans="1:4" ht="15.75" customHeight="1" x14ac:dyDescent="0.25">
      <c r="A463" t="s">
        <v>309</v>
      </c>
      <c r="B463" s="1003" t="s">
        <v>1155</v>
      </c>
      <c r="C463" s="1004">
        <v>2</v>
      </c>
      <c r="D463" s="1003" t="s">
        <v>1725</v>
      </c>
    </row>
    <row r="464" spans="1:4" ht="15.75" customHeight="1" x14ac:dyDescent="0.25">
      <c r="A464" t="s">
        <v>309</v>
      </c>
      <c r="B464" s="1003" t="s">
        <v>1184</v>
      </c>
      <c r="C464" s="1004">
        <v>7753</v>
      </c>
      <c r="D464" s="1003" t="s">
        <v>1184</v>
      </c>
    </row>
    <row r="465" spans="1:4" ht="15.75" customHeight="1" x14ac:dyDescent="0.25">
      <c r="A465" t="s">
        <v>309</v>
      </c>
      <c r="B465" s="1003" t="s">
        <v>1194</v>
      </c>
      <c r="C465" s="1004">
        <v>112</v>
      </c>
      <c r="D465" s="1003" t="s">
        <v>1240</v>
      </c>
    </row>
    <row r="466" spans="1:4" ht="15.75" customHeight="1" x14ac:dyDescent="0.25">
      <c r="A466" t="s">
        <v>309</v>
      </c>
      <c r="B466" s="1003" t="s">
        <v>1200</v>
      </c>
      <c r="C466" s="1004">
        <v>3157</v>
      </c>
      <c r="D466" s="1003" t="s">
        <v>1224</v>
      </c>
    </row>
    <row r="467" spans="1:4" ht="15.75" customHeight="1" x14ac:dyDescent="0.25">
      <c r="A467" t="s">
        <v>309</v>
      </c>
      <c r="B467" s="1003" t="s">
        <v>1210</v>
      </c>
      <c r="C467" s="1004">
        <v>57</v>
      </c>
      <c r="D467" s="1003" t="s">
        <v>1243</v>
      </c>
    </row>
    <row r="468" spans="1:4" ht="15.75" customHeight="1" x14ac:dyDescent="0.25">
      <c r="A468" s="877" t="s">
        <v>311</v>
      </c>
      <c r="B468" s="1003" t="s">
        <v>1143</v>
      </c>
      <c r="C468" s="1004">
        <v>72619</v>
      </c>
      <c r="D468" s="1003" t="s">
        <v>1226</v>
      </c>
    </row>
    <row r="469" spans="1:4" ht="15.75" customHeight="1" x14ac:dyDescent="0.25">
      <c r="A469" s="877" t="s">
        <v>311</v>
      </c>
      <c r="B469" s="1003" t="s">
        <v>1155</v>
      </c>
      <c r="C469" s="1004">
        <v>516</v>
      </c>
      <c r="D469" s="1003" t="s">
        <v>1233</v>
      </c>
    </row>
    <row r="470" spans="1:4" ht="15.75" customHeight="1" x14ac:dyDescent="0.25">
      <c r="A470" s="877" t="s">
        <v>311</v>
      </c>
      <c r="B470" s="1003" t="s">
        <v>1155</v>
      </c>
      <c r="C470" s="1004">
        <v>10051</v>
      </c>
      <c r="D470" s="1003" t="s">
        <v>1235</v>
      </c>
    </row>
    <row r="471" spans="1:4" ht="15.75" customHeight="1" x14ac:dyDescent="0.25">
      <c r="A471" s="877" t="s">
        <v>311</v>
      </c>
      <c r="B471" s="1003" t="s">
        <v>1173</v>
      </c>
      <c r="C471" s="1004">
        <v>51</v>
      </c>
      <c r="D471" s="1003" t="s">
        <v>1237</v>
      </c>
    </row>
    <row r="472" spans="1:4" ht="15.75" customHeight="1" x14ac:dyDescent="0.25">
      <c r="A472" s="877" t="s">
        <v>311</v>
      </c>
      <c r="B472" s="1003" t="s">
        <v>1184</v>
      </c>
      <c r="C472" s="1004">
        <v>617257</v>
      </c>
      <c r="D472" s="1003" t="s">
        <v>1184</v>
      </c>
    </row>
    <row r="473" spans="1:4" ht="15.75" customHeight="1" x14ac:dyDescent="0.25">
      <c r="A473" s="877" t="s">
        <v>311</v>
      </c>
      <c r="B473" s="1003" t="s">
        <v>1184</v>
      </c>
      <c r="C473" s="1004">
        <v>94900</v>
      </c>
      <c r="D473" s="1003" t="s">
        <v>1736</v>
      </c>
    </row>
    <row r="474" spans="1:4" ht="15.75" customHeight="1" x14ac:dyDescent="0.25">
      <c r="A474" s="877" t="s">
        <v>311</v>
      </c>
      <c r="B474" s="1003" t="s">
        <v>1200</v>
      </c>
      <c r="C474" s="1004">
        <v>164687</v>
      </c>
      <c r="D474" s="1003" t="s">
        <v>1224</v>
      </c>
    </row>
    <row r="475" spans="1:4" ht="15.75" customHeight="1" x14ac:dyDescent="0.25">
      <c r="A475" s="877" t="s">
        <v>311</v>
      </c>
      <c r="B475" s="1003" t="s">
        <v>1210</v>
      </c>
      <c r="C475" s="1004">
        <v>12844</v>
      </c>
      <c r="D475" s="1003" t="s">
        <v>1243</v>
      </c>
    </row>
    <row r="476" spans="1:4" ht="15.75" customHeight="1" x14ac:dyDescent="0.25">
      <c r="A476" s="877" t="s">
        <v>313</v>
      </c>
      <c r="B476" s="1003" t="s">
        <v>1143</v>
      </c>
      <c r="C476" s="1004">
        <v>840</v>
      </c>
      <c r="D476" s="1003" t="s">
        <v>1226</v>
      </c>
    </row>
    <row r="477" spans="1:4" ht="15.75" customHeight="1" x14ac:dyDescent="0.25">
      <c r="A477" s="877" t="s">
        <v>313</v>
      </c>
      <c r="B477" s="1003" t="s">
        <v>1155</v>
      </c>
      <c r="C477" s="1004">
        <v>39</v>
      </c>
      <c r="D477" s="1003" t="s">
        <v>1228</v>
      </c>
    </row>
    <row r="478" spans="1:4" ht="15.75" customHeight="1" x14ac:dyDescent="0.25">
      <c r="A478" s="877" t="s">
        <v>313</v>
      </c>
      <c r="B478" s="1003" t="s">
        <v>1184</v>
      </c>
      <c r="C478" s="1004">
        <v>14796</v>
      </c>
      <c r="D478" s="1003" t="s">
        <v>1184</v>
      </c>
    </row>
    <row r="479" spans="1:4" ht="15.75" customHeight="1" x14ac:dyDescent="0.25">
      <c r="A479" s="877" t="s">
        <v>313</v>
      </c>
      <c r="B479" s="1003" t="s">
        <v>1200</v>
      </c>
      <c r="C479" s="1004">
        <v>3410</v>
      </c>
      <c r="D479" s="1003" t="s">
        <v>1224</v>
      </c>
    </row>
    <row r="480" spans="1:4" ht="15.75" customHeight="1" x14ac:dyDescent="0.25">
      <c r="A480" s="877" t="s">
        <v>313</v>
      </c>
      <c r="B480" s="1003" t="s">
        <v>1210</v>
      </c>
      <c r="C480" s="1004">
        <v>42</v>
      </c>
      <c r="D480" s="1003" t="s">
        <v>1243</v>
      </c>
    </row>
    <row r="481" spans="1:4" ht="15.75" customHeight="1" x14ac:dyDescent="0.25">
      <c r="A481" s="877" t="s">
        <v>315</v>
      </c>
      <c r="B481" s="1003" t="s">
        <v>1143</v>
      </c>
      <c r="C481" s="1004">
        <v>1884</v>
      </c>
      <c r="D481" s="1003" t="s">
        <v>1226</v>
      </c>
    </row>
    <row r="482" spans="1:4" ht="15.75" customHeight="1" x14ac:dyDescent="0.25">
      <c r="A482" s="877" t="s">
        <v>315</v>
      </c>
      <c r="B482" s="1003" t="s">
        <v>1155</v>
      </c>
      <c r="C482" s="1004">
        <v>153</v>
      </c>
      <c r="D482" s="1003" t="s">
        <v>1228</v>
      </c>
    </row>
    <row r="483" spans="1:4" ht="15.75" customHeight="1" x14ac:dyDescent="0.25">
      <c r="A483" s="877" t="s">
        <v>315</v>
      </c>
      <c r="B483" s="1003" t="s">
        <v>1184</v>
      </c>
      <c r="C483" s="1004">
        <v>24216</v>
      </c>
      <c r="D483" s="1003" t="s">
        <v>1184</v>
      </c>
    </row>
    <row r="484" spans="1:4" ht="15.75" customHeight="1" x14ac:dyDescent="0.25">
      <c r="A484" s="877" t="s">
        <v>315</v>
      </c>
      <c r="B484" s="1003" t="s">
        <v>1194</v>
      </c>
      <c r="C484" s="1004">
        <v>326</v>
      </c>
      <c r="D484" s="1003" t="s">
        <v>1240</v>
      </c>
    </row>
    <row r="485" spans="1:4" ht="15.75" customHeight="1" x14ac:dyDescent="0.25">
      <c r="A485" s="877" t="s">
        <v>315</v>
      </c>
      <c r="B485" s="1003" t="s">
        <v>1200</v>
      </c>
      <c r="C485" s="1004">
        <v>7342</v>
      </c>
      <c r="D485" s="1003" t="s">
        <v>1224</v>
      </c>
    </row>
    <row r="486" spans="1:4" ht="15.75" customHeight="1" x14ac:dyDescent="0.25">
      <c r="A486" s="877" t="s">
        <v>315</v>
      </c>
      <c r="B486" s="1003" t="s">
        <v>1210</v>
      </c>
      <c r="C486" s="1004">
        <v>196</v>
      </c>
      <c r="D486" s="1003" t="s">
        <v>1243</v>
      </c>
    </row>
    <row r="487" spans="1:4" ht="15.75" customHeight="1" x14ac:dyDescent="0.25">
      <c r="A487" s="877" t="s">
        <v>317</v>
      </c>
      <c r="B487" s="1003" t="s">
        <v>1143</v>
      </c>
      <c r="C487" s="1004">
        <v>504</v>
      </c>
      <c r="D487" s="1003" t="s">
        <v>1226</v>
      </c>
    </row>
    <row r="488" spans="1:4" ht="15.75" customHeight="1" x14ac:dyDescent="0.25">
      <c r="A488" s="877" t="s">
        <v>317</v>
      </c>
      <c r="B488" s="1003" t="s">
        <v>1155</v>
      </c>
      <c r="C488" s="1004">
        <v>6</v>
      </c>
      <c r="D488" s="1003" t="s">
        <v>1233</v>
      </c>
    </row>
    <row r="489" spans="1:4" ht="15.75" customHeight="1" x14ac:dyDescent="0.25">
      <c r="A489" s="877" t="s">
        <v>317</v>
      </c>
      <c r="B489" s="1003" t="s">
        <v>1155</v>
      </c>
      <c r="C489" s="1004">
        <v>42</v>
      </c>
      <c r="D489" s="1003" t="s">
        <v>1235</v>
      </c>
    </row>
    <row r="490" spans="1:4" ht="15.75" customHeight="1" x14ac:dyDescent="0.25">
      <c r="A490" s="877" t="s">
        <v>317</v>
      </c>
      <c r="B490" s="1003" t="s">
        <v>1184</v>
      </c>
      <c r="C490" s="1004">
        <v>3836</v>
      </c>
      <c r="D490" s="1003" t="s">
        <v>1184</v>
      </c>
    </row>
    <row r="491" spans="1:4" ht="15.75" customHeight="1" x14ac:dyDescent="0.25">
      <c r="A491" s="877" t="s">
        <v>317</v>
      </c>
      <c r="B491" s="1003" t="s">
        <v>1194</v>
      </c>
      <c r="C491" s="1004">
        <v>15</v>
      </c>
      <c r="D491" s="1003" t="s">
        <v>1240</v>
      </c>
    </row>
    <row r="492" spans="1:4" ht="15.75" customHeight="1" x14ac:dyDescent="0.25">
      <c r="A492" s="877" t="s">
        <v>317</v>
      </c>
      <c r="B492" s="1003" t="s">
        <v>1200</v>
      </c>
      <c r="C492" s="1004">
        <v>972</v>
      </c>
      <c r="D492" s="1003" t="s">
        <v>1224</v>
      </c>
    </row>
    <row r="493" spans="1:4" ht="15.75" customHeight="1" x14ac:dyDescent="0.25">
      <c r="A493" s="877" t="s">
        <v>317</v>
      </c>
      <c r="B493" s="1003" t="s">
        <v>1210</v>
      </c>
      <c r="C493" s="1004">
        <v>4</v>
      </c>
      <c r="D493" s="1003" t="s">
        <v>1243</v>
      </c>
    </row>
    <row r="494" spans="1:4" ht="15.75" customHeight="1" x14ac:dyDescent="0.25">
      <c r="A494" s="877" t="s">
        <v>319</v>
      </c>
      <c r="B494" s="1003" t="s">
        <v>1143</v>
      </c>
      <c r="C494" s="1004">
        <v>2764</v>
      </c>
      <c r="D494" s="1003" t="s">
        <v>1226</v>
      </c>
    </row>
    <row r="495" spans="1:4" ht="15.75" customHeight="1" x14ac:dyDescent="0.25">
      <c r="A495" s="877" t="s">
        <v>319</v>
      </c>
      <c r="B495" s="1003" t="s">
        <v>1155</v>
      </c>
      <c r="C495" s="1004">
        <v>167</v>
      </c>
      <c r="D495" s="1003" t="s">
        <v>1228</v>
      </c>
    </row>
    <row r="496" spans="1:4" ht="15.75" customHeight="1" x14ac:dyDescent="0.25">
      <c r="A496" s="877" t="s">
        <v>319</v>
      </c>
      <c r="B496" s="1003" t="s">
        <v>1184</v>
      </c>
      <c r="C496" s="1004">
        <v>21898</v>
      </c>
      <c r="D496" s="1003" t="s">
        <v>1184</v>
      </c>
    </row>
    <row r="497" spans="1:4" ht="15.75" customHeight="1" x14ac:dyDescent="0.25">
      <c r="A497" s="877" t="s">
        <v>319</v>
      </c>
      <c r="B497" s="1003" t="s">
        <v>1194</v>
      </c>
      <c r="C497" s="1004">
        <v>10</v>
      </c>
      <c r="D497" s="1003" t="s">
        <v>1240</v>
      </c>
    </row>
    <row r="498" spans="1:4" ht="15.75" customHeight="1" x14ac:dyDescent="0.25">
      <c r="A498" s="877" t="s">
        <v>319</v>
      </c>
      <c r="B498" s="1003" t="s">
        <v>1200</v>
      </c>
      <c r="C498" s="1004">
        <v>6297</v>
      </c>
      <c r="D498" s="1003" t="s">
        <v>1224</v>
      </c>
    </row>
    <row r="499" spans="1:4" ht="15.75" customHeight="1" x14ac:dyDescent="0.25">
      <c r="A499" s="877" t="s">
        <v>319</v>
      </c>
      <c r="B499" s="1003" t="s">
        <v>1210</v>
      </c>
      <c r="C499" s="1004">
        <v>48</v>
      </c>
      <c r="D499" s="1003" t="s">
        <v>1243</v>
      </c>
    </row>
  </sheetData>
  <sheetProtection algorithmName="SHA-512" hashValue="fapRPMNjFkASBpaKPNgFDZkuH7AWRw6HzGB1v5rr9IE9qaPauU8jollM26QrAO8okv4waJQ2WhJQ7N1yT1SxsA==" saltValue="D8A0Sfa9NZzdIRZWKeRJkQ==" spinCount="100000" sheet="1" objects="1" scenarios="1"/>
  <autoFilter ref="A4:D502" xr:uid="{00000000-0001-0000-1D00-000000000000}"/>
  <pageMargins left="0.75" right="0.75" top="1" bottom="1" header="0.5" footer="0.5"/>
  <pageSetup orientation="portrait" verticalDpi="300"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dimension ref="A1:K4959"/>
  <sheetViews>
    <sheetView showGridLines="0" topLeftCell="E3867" zoomScaleNormal="100" workbookViewId="0">
      <selection activeCell="L1" sqref="L1:L1048576"/>
    </sheetView>
  </sheetViews>
  <sheetFormatPr defaultRowHeight="15" x14ac:dyDescent="0.25"/>
  <cols>
    <col min="1" max="1" width="52.7109375" bestFit="1" customWidth="1"/>
    <col min="2" max="2" width="9.42578125" bestFit="1" customWidth="1"/>
    <col min="3" max="3" width="12.140625" bestFit="1" customWidth="1"/>
    <col min="4" max="4" width="50.5703125" bestFit="1" customWidth="1"/>
    <col min="5" max="5" width="58.42578125" bestFit="1" customWidth="1"/>
    <col min="6" max="6" width="18.7109375" bestFit="1" customWidth="1"/>
    <col min="7" max="7" width="8.85546875" bestFit="1" customWidth="1"/>
    <col min="8" max="8" width="12.42578125" bestFit="1" customWidth="1"/>
    <col min="9" max="9" width="11.42578125" bestFit="1" customWidth="1"/>
    <col min="10" max="10" width="11.7109375" bestFit="1" customWidth="1"/>
    <col min="11" max="11" width="15.140625" bestFit="1" customWidth="1"/>
  </cols>
  <sheetData>
    <row r="1" spans="1:11" ht="22.5" customHeight="1" x14ac:dyDescent="0.25">
      <c r="A1" s="1000" t="s">
        <v>7741</v>
      </c>
    </row>
    <row r="2" spans="1:11" ht="12.75" customHeight="1" x14ac:dyDescent="0.25"/>
    <row r="3" spans="1:11" ht="12" customHeight="1" x14ac:dyDescent="0.25"/>
    <row r="4" spans="1:11" ht="22.5" customHeight="1" x14ac:dyDescent="0.25">
      <c r="A4" s="1001" t="s">
        <v>1123</v>
      </c>
      <c r="B4" s="1001" t="s">
        <v>1122</v>
      </c>
      <c r="C4" s="1001" t="s">
        <v>132</v>
      </c>
      <c r="D4" s="1001" t="s">
        <v>7742</v>
      </c>
      <c r="E4" s="823" t="s">
        <v>1850</v>
      </c>
      <c r="F4" s="1001" t="s">
        <v>7743</v>
      </c>
      <c r="G4" s="1001" t="s">
        <v>1851</v>
      </c>
      <c r="H4" s="1001" t="s">
        <v>1852</v>
      </c>
      <c r="I4" s="1001" t="s">
        <v>1853</v>
      </c>
      <c r="J4" s="1001" t="s">
        <v>7744</v>
      </c>
      <c r="K4" s="1005" t="s">
        <v>7745</v>
      </c>
    </row>
    <row r="5" spans="1:11" ht="22.5" customHeight="1" x14ac:dyDescent="0.25">
      <c r="A5" s="816" t="s">
        <v>167</v>
      </c>
      <c r="B5" s="880">
        <v>2025</v>
      </c>
      <c r="C5" s="816" t="s">
        <v>1854</v>
      </c>
      <c r="D5" s="816" t="s">
        <v>1855</v>
      </c>
      <c r="E5" s="816" t="s">
        <v>1856</v>
      </c>
      <c r="F5" s="826">
        <v>-47509684.600000001</v>
      </c>
      <c r="G5" s="880">
        <v>0</v>
      </c>
      <c r="H5" s="465"/>
      <c r="I5" s="465"/>
      <c r="J5" s="826">
        <v>0</v>
      </c>
      <c r="K5" s="878">
        <v>-47509684.600000001</v>
      </c>
    </row>
    <row r="6" spans="1:11" ht="22.5" customHeight="1" x14ac:dyDescent="0.25">
      <c r="A6" s="816" t="s">
        <v>167</v>
      </c>
      <c r="B6" s="880">
        <v>2025</v>
      </c>
      <c r="C6" s="816" t="s">
        <v>7746</v>
      </c>
      <c r="D6" s="816" t="s">
        <v>7747</v>
      </c>
      <c r="E6" s="816" t="s">
        <v>7748</v>
      </c>
      <c r="F6" s="826">
        <v>0</v>
      </c>
      <c r="G6" s="880">
        <v>0</v>
      </c>
      <c r="H6" s="465"/>
      <c r="I6" s="465"/>
      <c r="J6" s="826">
        <v>0</v>
      </c>
      <c r="K6" s="878">
        <v>0</v>
      </c>
    </row>
    <row r="7" spans="1:11" ht="22.5" customHeight="1" x14ac:dyDescent="0.25">
      <c r="A7" s="816" t="s">
        <v>167</v>
      </c>
      <c r="B7" s="880">
        <v>2025</v>
      </c>
      <c r="C7" s="816" t="s">
        <v>1857</v>
      </c>
      <c r="D7" s="816" t="s">
        <v>1858</v>
      </c>
      <c r="E7" s="816" t="s">
        <v>1859</v>
      </c>
      <c r="F7" s="826">
        <v>966549.28</v>
      </c>
      <c r="G7" s="880">
        <v>0</v>
      </c>
      <c r="H7" s="465"/>
      <c r="I7" s="465"/>
      <c r="J7" s="826">
        <v>0</v>
      </c>
      <c r="K7" s="878">
        <v>966549.28</v>
      </c>
    </row>
    <row r="8" spans="1:11" ht="22.5" customHeight="1" x14ac:dyDescent="0.25">
      <c r="A8" s="816" t="s">
        <v>167</v>
      </c>
      <c r="B8" s="880">
        <v>2025</v>
      </c>
      <c r="C8" s="816" t="s">
        <v>1860</v>
      </c>
      <c r="D8" s="816" t="s">
        <v>1861</v>
      </c>
      <c r="E8" s="816" t="s">
        <v>1862</v>
      </c>
      <c r="F8" s="826">
        <v>-1201608.6000000001</v>
      </c>
      <c r="G8" s="880">
        <v>0</v>
      </c>
      <c r="H8" s="465"/>
      <c r="I8" s="465"/>
      <c r="J8" s="826">
        <v>0</v>
      </c>
      <c r="K8" s="878">
        <v>-1201608.6000000001</v>
      </c>
    </row>
    <row r="9" spans="1:11" ht="22.5" customHeight="1" x14ac:dyDescent="0.25">
      <c r="A9" s="816" t="s">
        <v>167</v>
      </c>
      <c r="B9" s="880">
        <v>2025</v>
      </c>
      <c r="C9" s="816" t="s">
        <v>1863</v>
      </c>
      <c r="D9" s="816" t="s">
        <v>1864</v>
      </c>
      <c r="E9" s="816" t="s">
        <v>1865</v>
      </c>
      <c r="F9" s="826">
        <v>3357297.05</v>
      </c>
      <c r="G9" s="880">
        <v>0</v>
      </c>
      <c r="H9" s="465"/>
      <c r="I9" s="465"/>
      <c r="J9" s="826">
        <v>0</v>
      </c>
      <c r="K9" s="878">
        <v>3357297.05</v>
      </c>
    </row>
    <row r="10" spans="1:11" ht="22.5" customHeight="1" x14ac:dyDescent="0.25">
      <c r="A10" s="816" t="s">
        <v>167</v>
      </c>
      <c r="B10" s="880">
        <v>2025</v>
      </c>
      <c r="C10" s="816" t="s">
        <v>1866</v>
      </c>
      <c r="D10" s="816" t="s">
        <v>1867</v>
      </c>
      <c r="E10" s="816" t="s">
        <v>1868</v>
      </c>
      <c r="F10" s="826">
        <v>656079.01</v>
      </c>
      <c r="G10" s="880">
        <v>0</v>
      </c>
      <c r="H10" s="465"/>
      <c r="I10" s="465"/>
      <c r="J10" s="826">
        <v>0</v>
      </c>
      <c r="K10" s="878">
        <v>656079.01</v>
      </c>
    </row>
    <row r="11" spans="1:11" ht="22.5" customHeight="1" x14ac:dyDescent="0.25">
      <c r="A11" s="816" t="s">
        <v>167</v>
      </c>
      <c r="B11" s="880">
        <v>2025</v>
      </c>
      <c r="C11" s="816" t="s">
        <v>1869</v>
      </c>
      <c r="D11" s="816" t="s">
        <v>1870</v>
      </c>
      <c r="E11" s="816" t="s">
        <v>1871</v>
      </c>
      <c r="F11" s="826">
        <v>1360910.51</v>
      </c>
      <c r="G11" s="880">
        <v>0</v>
      </c>
      <c r="H11" s="465"/>
      <c r="I11" s="465"/>
      <c r="J11" s="826">
        <v>0</v>
      </c>
      <c r="K11" s="878">
        <v>1360910.51</v>
      </c>
    </row>
    <row r="12" spans="1:11" ht="22.5" customHeight="1" x14ac:dyDescent="0.25">
      <c r="A12" s="816" t="s">
        <v>167</v>
      </c>
      <c r="B12" s="880">
        <v>2025</v>
      </c>
      <c r="C12" s="816" t="s">
        <v>1872</v>
      </c>
      <c r="D12" s="816" t="s">
        <v>1873</v>
      </c>
      <c r="E12" s="816" t="s">
        <v>1874</v>
      </c>
      <c r="F12" s="826">
        <v>-287487.59000000003</v>
      </c>
      <c r="G12" s="880">
        <v>0</v>
      </c>
      <c r="H12" s="465"/>
      <c r="I12" s="465"/>
      <c r="J12" s="826">
        <v>0</v>
      </c>
      <c r="K12" s="878">
        <v>-287487.59000000003</v>
      </c>
    </row>
    <row r="13" spans="1:11" ht="22.5" customHeight="1" x14ac:dyDescent="0.25">
      <c r="A13" s="816" t="s">
        <v>167</v>
      </c>
      <c r="B13" s="880">
        <v>2025</v>
      </c>
      <c r="C13" s="816" t="s">
        <v>1875</v>
      </c>
      <c r="D13" s="816" t="s">
        <v>1876</v>
      </c>
      <c r="E13" s="816" t="s">
        <v>1877</v>
      </c>
      <c r="F13" s="826">
        <v>0</v>
      </c>
      <c r="G13" s="880">
        <v>0</v>
      </c>
      <c r="H13" s="465"/>
      <c r="I13" s="465"/>
      <c r="J13" s="826">
        <v>0</v>
      </c>
      <c r="K13" s="878">
        <v>0</v>
      </c>
    </row>
    <row r="14" spans="1:11" ht="22.5" customHeight="1" x14ac:dyDescent="0.25">
      <c r="A14" s="816" t="s">
        <v>167</v>
      </c>
      <c r="B14" s="880">
        <v>2025</v>
      </c>
      <c r="C14" s="816" t="s">
        <v>1878</v>
      </c>
      <c r="D14" s="816" t="s">
        <v>1879</v>
      </c>
      <c r="E14" s="816" t="s">
        <v>1880</v>
      </c>
      <c r="F14" s="826">
        <v>3281076.47</v>
      </c>
      <c r="G14" s="880">
        <v>0</v>
      </c>
      <c r="H14" s="465"/>
      <c r="I14" s="465"/>
      <c r="J14" s="826">
        <v>0</v>
      </c>
      <c r="K14" s="878">
        <v>3281076.47</v>
      </c>
    </row>
    <row r="15" spans="1:11" ht="22.5" customHeight="1" x14ac:dyDescent="0.25">
      <c r="A15" s="816" t="s">
        <v>167</v>
      </c>
      <c r="B15" s="880">
        <v>2025</v>
      </c>
      <c r="C15" s="816" t="s">
        <v>1881</v>
      </c>
      <c r="D15" s="816" t="s">
        <v>1882</v>
      </c>
      <c r="E15" s="816" t="s">
        <v>1883</v>
      </c>
      <c r="F15" s="826">
        <v>-4636.24</v>
      </c>
      <c r="G15" s="880">
        <v>0</v>
      </c>
      <c r="H15" s="465"/>
      <c r="I15" s="465"/>
      <c r="J15" s="826">
        <v>0</v>
      </c>
      <c r="K15" s="878">
        <v>-4636.24</v>
      </c>
    </row>
    <row r="16" spans="1:11" ht="22.5" customHeight="1" x14ac:dyDescent="0.25">
      <c r="A16" s="816" t="s">
        <v>167</v>
      </c>
      <c r="B16" s="880">
        <v>2025</v>
      </c>
      <c r="C16" s="816" t="s">
        <v>1884</v>
      </c>
      <c r="D16" s="816" t="s">
        <v>1885</v>
      </c>
      <c r="E16" s="816" t="s">
        <v>1886</v>
      </c>
      <c r="F16" s="826">
        <v>346886.13</v>
      </c>
      <c r="G16" s="880">
        <v>0</v>
      </c>
      <c r="H16" s="465"/>
      <c r="I16" s="465"/>
      <c r="J16" s="826">
        <v>0</v>
      </c>
      <c r="K16" s="878">
        <v>346886.13</v>
      </c>
    </row>
    <row r="17" spans="1:11" ht="22.5" customHeight="1" x14ac:dyDescent="0.25">
      <c r="A17" s="816" t="s">
        <v>167</v>
      </c>
      <c r="B17" s="880">
        <v>2025</v>
      </c>
      <c r="C17" s="816" t="s">
        <v>1887</v>
      </c>
      <c r="D17" s="816" t="s">
        <v>138</v>
      </c>
      <c r="E17" s="816" t="s">
        <v>1888</v>
      </c>
      <c r="F17" s="826">
        <v>3705884.48</v>
      </c>
      <c r="G17" s="880">
        <v>1</v>
      </c>
      <c r="H17" s="826">
        <v>3385093.17</v>
      </c>
      <c r="I17" s="826">
        <v>320791.31</v>
      </c>
      <c r="J17" s="826">
        <v>3705884.48</v>
      </c>
      <c r="K17" s="878">
        <v>3705884.48</v>
      </c>
    </row>
    <row r="18" spans="1:11" ht="22.5" customHeight="1" x14ac:dyDescent="0.25">
      <c r="A18" s="816" t="s">
        <v>167</v>
      </c>
      <c r="B18" s="880">
        <v>2025</v>
      </c>
      <c r="C18" s="816" t="s">
        <v>1889</v>
      </c>
      <c r="D18" s="816" t="s">
        <v>139</v>
      </c>
      <c r="E18" s="816" t="s">
        <v>1890</v>
      </c>
      <c r="F18" s="826">
        <v>-2639487.0499999998</v>
      </c>
      <c r="G18" s="880">
        <v>1</v>
      </c>
      <c r="H18" s="826">
        <v>-2501856.2799999998</v>
      </c>
      <c r="I18" s="826">
        <v>-137630.76999999999</v>
      </c>
      <c r="J18" s="826">
        <v>-2639487.0499999998</v>
      </c>
      <c r="K18" s="878">
        <v>-2639487.0499999998</v>
      </c>
    </row>
    <row r="19" spans="1:11" ht="22.5" customHeight="1" x14ac:dyDescent="0.25">
      <c r="A19" s="816" t="s">
        <v>167</v>
      </c>
      <c r="B19" s="880">
        <v>2025</v>
      </c>
      <c r="C19" s="816" t="s">
        <v>1891</v>
      </c>
      <c r="D19" s="816" t="s">
        <v>1892</v>
      </c>
      <c r="E19" s="816" t="s">
        <v>1893</v>
      </c>
      <c r="F19" s="826">
        <v>224497.64</v>
      </c>
      <c r="G19" s="880">
        <v>0</v>
      </c>
      <c r="H19" s="465"/>
      <c r="I19" s="465"/>
      <c r="J19" s="826">
        <v>0</v>
      </c>
      <c r="K19" s="878">
        <v>224497.64</v>
      </c>
    </row>
    <row r="20" spans="1:11" ht="22.5" customHeight="1" x14ac:dyDescent="0.25">
      <c r="A20" s="816" t="s">
        <v>167</v>
      </c>
      <c r="B20" s="880">
        <v>2025</v>
      </c>
      <c r="C20" s="816" t="s">
        <v>1891</v>
      </c>
      <c r="D20" s="816" t="s">
        <v>1894</v>
      </c>
      <c r="E20" s="816" t="s">
        <v>1893</v>
      </c>
      <c r="F20" s="826">
        <v>0</v>
      </c>
      <c r="G20" s="880">
        <v>0</v>
      </c>
      <c r="H20" s="465"/>
      <c r="I20" s="465"/>
      <c r="J20" s="826">
        <v>0</v>
      </c>
      <c r="K20" s="881">
        <v>224497.64</v>
      </c>
    </row>
    <row r="21" spans="1:11" ht="22.5" customHeight="1" x14ac:dyDescent="0.25">
      <c r="A21" s="816" t="s">
        <v>167</v>
      </c>
      <c r="B21" s="880">
        <v>2025</v>
      </c>
      <c r="C21" s="816" t="s">
        <v>1895</v>
      </c>
      <c r="D21" s="816" t="s">
        <v>1896</v>
      </c>
      <c r="E21" s="816" t="s">
        <v>1897</v>
      </c>
      <c r="F21" s="826">
        <v>16411656.08</v>
      </c>
      <c r="G21" s="880">
        <v>0</v>
      </c>
      <c r="H21" s="465"/>
      <c r="I21" s="465"/>
      <c r="J21" s="826">
        <v>0</v>
      </c>
      <c r="K21" s="878">
        <v>16411656.08</v>
      </c>
    </row>
    <row r="22" spans="1:11" ht="22.5" customHeight="1" x14ac:dyDescent="0.25">
      <c r="A22" s="816" t="s">
        <v>167</v>
      </c>
      <c r="B22" s="880">
        <v>2025</v>
      </c>
      <c r="C22" s="816" t="s">
        <v>1898</v>
      </c>
      <c r="D22" s="816" t="s">
        <v>1899</v>
      </c>
      <c r="E22" s="816" t="s">
        <v>1900</v>
      </c>
      <c r="F22" s="826">
        <v>0.02</v>
      </c>
      <c r="G22" s="880">
        <v>0</v>
      </c>
      <c r="H22" s="465"/>
      <c r="I22" s="465"/>
      <c r="J22" s="826">
        <v>0</v>
      </c>
      <c r="K22" s="878">
        <v>0.02</v>
      </c>
    </row>
    <row r="23" spans="1:11" ht="22.5" customHeight="1" x14ac:dyDescent="0.25">
      <c r="A23" s="816" t="s">
        <v>167</v>
      </c>
      <c r="B23" s="880">
        <v>2025</v>
      </c>
      <c r="C23" s="816" t="s">
        <v>1901</v>
      </c>
      <c r="D23" s="816" t="s">
        <v>1902</v>
      </c>
      <c r="E23" s="816" t="s">
        <v>1903</v>
      </c>
      <c r="F23" s="826">
        <v>0</v>
      </c>
      <c r="G23" s="880">
        <v>0</v>
      </c>
      <c r="H23" s="465"/>
      <c r="I23" s="465"/>
      <c r="J23" s="826">
        <v>0</v>
      </c>
      <c r="K23" s="878">
        <v>0</v>
      </c>
    </row>
    <row r="24" spans="1:11" ht="22.5" customHeight="1" x14ac:dyDescent="0.25">
      <c r="A24" s="816" t="s">
        <v>167</v>
      </c>
      <c r="B24" s="880">
        <v>2025</v>
      </c>
      <c r="C24" s="816" t="s">
        <v>1904</v>
      </c>
      <c r="D24" s="816" t="s">
        <v>1905</v>
      </c>
      <c r="E24" s="816" t="s">
        <v>1906</v>
      </c>
      <c r="F24" s="826">
        <v>0</v>
      </c>
      <c r="G24" s="880">
        <v>0</v>
      </c>
      <c r="H24" s="465"/>
      <c r="I24" s="465"/>
      <c r="J24" s="826">
        <v>0</v>
      </c>
      <c r="K24" s="878">
        <v>0</v>
      </c>
    </row>
    <row r="25" spans="1:11" ht="22.5" customHeight="1" x14ac:dyDescent="0.25">
      <c r="A25" s="816" t="s">
        <v>167</v>
      </c>
      <c r="B25" s="880">
        <v>2025</v>
      </c>
      <c r="C25" s="816" t="s">
        <v>1907</v>
      </c>
      <c r="D25" s="816" t="s">
        <v>1908</v>
      </c>
      <c r="E25" s="816" t="s">
        <v>1909</v>
      </c>
      <c r="F25" s="826">
        <v>0</v>
      </c>
      <c r="G25" s="880">
        <v>0</v>
      </c>
      <c r="H25" s="465"/>
      <c r="I25" s="465"/>
      <c r="J25" s="826">
        <v>0</v>
      </c>
      <c r="K25" s="878">
        <v>0</v>
      </c>
    </row>
    <row r="26" spans="1:11" ht="22.5" customHeight="1" x14ac:dyDescent="0.25">
      <c r="A26" s="816" t="s">
        <v>167</v>
      </c>
      <c r="B26" s="880">
        <v>2025</v>
      </c>
      <c r="C26" s="816" t="s">
        <v>1910</v>
      </c>
      <c r="D26" s="816" t="s">
        <v>1911</v>
      </c>
      <c r="E26" s="816" t="s">
        <v>1912</v>
      </c>
      <c r="F26" s="826">
        <v>0</v>
      </c>
      <c r="G26" s="880">
        <v>0</v>
      </c>
      <c r="H26" s="465"/>
      <c r="I26" s="465"/>
      <c r="J26" s="826">
        <v>0</v>
      </c>
      <c r="K26" s="878">
        <v>0</v>
      </c>
    </row>
    <row r="27" spans="1:11" ht="22.5" customHeight="1" x14ac:dyDescent="0.25">
      <c r="A27" s="816" t="s">
        <v>167</v>
      </c>
      <c r="B27" s="880">
        <v>2025</v>
      </c>
      <c r="C27" s="816" t="s">
        <v>1913</v>
      </c>
      <c r="D27" s="816" t="s">
        <v>1914</v>
      </c>
      <c r="E27" s="816" t="s">
        <v>1915</v>
      </c>
      <c r="F27" s="826">
        <v>-23668952.620000001</v>
      </c>
      <c r="G27" s="880">
        <v>1</v>
      </c>
      <c r="H27" s="826">
        <v>-22253444.899999999</v>
      </c>
      <c r="I27" s="826">
        <v>-1415507.72</v>
      </c>
      <c r="J27" s="826">
        <v>-23668952.620000001</v>
      </c>
      <c r="K27" s="878">
        <v>-23668952.620000001</v>
      </c>
    </row>
    <row r="28" spans="1:11" ht="22.5" customHeight="1" x14ac:dyDescent="0.25">
      <c r="A28" s="816" t="s">
        <v>167</v>
      </c>
      <c r="B28" s="880">
        <v>2025</v>
      </c>
      <c r="C28" s="816" t="s">
        <v>1913</v>
      </c>
      <c r="D28" s="816" t="s">
        <v>1916</v>
      </c>
      <c r="E28" s="816" t="s">
        <v>1915</v>
      </c>
      <c r="F28" s="826">
        <v>0</v>
      </c>
      <c r="G28" s="880">
        <v>0</v>
      </c>
      <c r="H28" s="465"/>
      <c r="I28" s="465"/>
      <c r="J28" s="826">
        <v>0</v>
      </c>
      <c r="K28" s="881">
        <v>0</v>
      </c>
    </row>
    <row r="29" spans="1:11" ht="22.5" customHeight="1" x14ac:dyDescent="0.25">
      <c r="A29" s="816" t="s">
        <v>167</v>
      </c>
      <c r="B29" s="880">
        <v>2025</v>
      </c>
      <c r="C29" s="816" t="s">
        <v>1913</v>
      </c>
      <c r="D29" s="816" t="s">
        <v>1917</v>
      </c>
      <c r="E29" s="816" t="s">
        <v>1915</v>
      </c>
      <c r="F29" s="826">
        <v>0</v>
      </c>
      <c r="G29" s="880">
        <v>0</v>
      </c>
      <c r="H29" s="465"/>
      <c r="I29" s="465"/>
      <c r="J29" s="826">
        <v>0</v>
      </c>
      <c r="K29" s="881">
        <v>0</v>
      </c>
    </row>
    <row r="30" spans="1:11" ht="22.5" customHeight="1" x14ac:dyDescent="0.25">
      <c r="A30" s="816" t="s">
        <v>167</v>
      </c>
      <c r="B30" s="880">
        <v>2025</v>
      </c>
      <c r="C30" s="816" t="s">
        <v>1913</v>
      </c>
      <c r="D30" s="816" t="s">
        <v>1918</v>
      </c>
      <c r="E30" s="816" t="s">
        <v>1915</v>
      </c>
      <c r="F30" s="826">
        <v>0</v>
      </c>
      <c r="G30" s="880">
        <v>0</v>
      </c>
      <c r="H30" s="465"/>
      <c r="I30" s="465"/>
      <c r="J30" s="826">
        <v>0</v>
      </c>
      <c r="K30" s="881">
        <v>215793.02</v>
      </c>
    </row>
    <row r="31" spans="1:11" ht="22.5" customHeight="1" x14ac:dyDescent="0.25">
      <c r="A31" s="816" t="s">
        <v>167</v>
      </c>
      <c r="B31" s="880">
        <v>2025</v>
      </c>
      <c r="C31" s="816" t="s">
        <v>1913</v>
      </c>
      <c r="D31" s="816" t="s">
        <v>1919</v>
      </c>
      <c r="E31" s="816" t="s">
        <v>1915</v>
      </c>
      <c r="F31" s="826">
        <v>0</v>
      </c>
      <c r="G31" s="880">
        <v>0</v>
      </c>
      <c r="H31" s="465"/>
      <c r="I31" s="465"/>
      <c r="J31" s="826">
        <v>0</v>
      </c>
      <c r="K31" s="881">
        <v>13241202.359999999</v>
      </c>
    </row>
    <row r="32" spans="1:11" ht="22.5" customHeight="1" x14ac:dyDescent="0.25">
      <c r="A32" s="816" t="s">
        <v>167</v>
      </c>
      <c r="B32" s="880">
        <v>2025</v>
      </c>
      <c r="C32" s="816" t="s">
        <v>1920</v>
      </c>
      <c r="D32" s="816" t="s">
        <v>1921</v>
      </c>
      <c r="E32" s="816" t="s">
        <v>1922</v>
      </c>
      <c r="F32" s="826">
        <v>0</v>
      </c>
      <c r="G32" s="880">
        <v>0</v>
      </c>
      <c r="H32" s="465"/>
      <c r="I32" s="465"/>
      <c r="J32" s="826">
        <v>0</v>
      </c>
      <c r="K32" s="878">
        <v>0</v>
      </c>
    </row>
    <row r="33" spans="1:11" ht="22.5" customHeight="1" x14ac:dyDescent="0.25">
      <c r="A33" s="816" t="s">
        <v>167</v>
      </c>
      <c r="B33" s="880">
        <v>2025</v>
      </c>
      <c r="C33" s="816" t="s">
        <v>1923</v>
      </c>
      <c r="D33" s="816" t="s">
        <v>143</v>
      </c>
      <c r="E33" s="816" t="s">
        <v>1924</v>
      </c>
      <c r="F33" s="826">
        <v>23649872.800000001</v>
      </c>
      <c r="G33" s="880">
        <v>1</v>
      </c>
      <c r="H33" s="826">
        <v>22297706.210000001</v>
      </c>
      <c r="I33" s="826">
        <v>1352166.59</v>
      </c>
      <c r="J33" s="826">
        <v>23649872.800000001</v>
      </c>
      <c r="K33" s="878">
        <v>23649872.800000001</v>
      </c>
    </row>
    <row r="34" spans="1:11" ht="22.5" customHeight="1" x14ac:dyDescent="0.25">
      <c r="A34" s="816" t="s">
        <v>167</v>
      </c>
      <c r="B34" s="880">
        <v>2025</v>
      </c>
      <c r="C34" s="816" t="s">
        <v>1925</v>
      </c>
      <c r="D34" s="816" t="s">
        <v>144</v>
      </c>
      <c r="E34" s="816" t="s">
        <v>1926</v>
      </c>
      <c r="F34" s="826">
        <v>14782742.27</v>
      </c>
      <c r="G34" s="880">
        <v>1</v>
      </c>
      <c r="H34" s="826">
        <v>13602961.58</v>
      </c>
      <c r="I34" s="826">
        <v>1179780.69</v>
      </c>
      <c r="J34" s="826">
        <v>14782742.27</v>
      </c>
      <c r="K34" s="878">
        <v>14782742.27</v>
      </c>
    </row>
    <row r="35" spans="1:11" ht="22.5" customHeight="1" x14ac:dyDescent="0.25">
      <c r="A35" s="816" t="s">
        <v>167</v>
      </c>
      <c r="B35" s="880">
        <v>2025</v>
      </c>
      <c r="C35" s="816" t="s">
        <v>1927</v>
      </c>
      <c r="D35" s="816" t="s">
        <v>1928</v>
      </c>
      <c r="E35" s="816" t="s">
        <v>1929</v>
      </c>
      <c r="F35" s="826">
        <v>-10281957.65</v>
      </c>
      <c r="G35" s="880">
        <v>1</v>
      </c>
      <c r="H35" s="826">
        <v>-9374436.1400000006</v>
      </c>
      <c r="I35" s="826">
        <v>-907521.51</v>
      </c>
      <c r="J35" s="826">
        <v>-10281957.65</v>
      </c>
      <c r="K35" s="878">
        <v>-10281957.65</v>
      </c>
    </row>
    <row r="36" spans="1:11" ht="22.5" customHeight="1" x14ac:dyDescent="0.25">
      <c r="A36" s="816" t="s">
        <v>167</v>
      </c>
      <c r="B36" s="880">
        <v>2025</v>
      </c>
      <c r="C36" s="816" t="s">
        <v>1930</v>
      </c>
      <c r="D36" s="816" t="s">
        <v>156</v>
      </c>
      <c r="E36" s="816" t="s">
        <v>1931</v>
      </c>
      <c r="F36" s="826">
        <v>72550069.049999997</v>
      </c>
      <c r="G36" s="880">
        <v>1</v>
      </c>
      <c r="H36" s="826">
        <v>69044593.599999994</v>
      </c>
      <c r="I36" s="826">
        <v>3505475.45</v>
      </c>
      <c r="J36" s="826">
        <v>72550069.049999997</v>
      </c>
      <c r="K36" s="878">
        <v>72550069.049999997</v>
      </c>
    </row>
    <row r="37" spans="1:11" ht="22.5" customHeight="1" x14ac:dyDescent="0.25">
      <c r="A37" s="816" t="s">
        <v>167</v>
      </c>
      <c r="B37" s="880">
        <v>2025</v>
      </c>
      <c r="C37" s="816" t="s">
        <v>1932</v>
      </c>
      <c r="D37" s="816" t="s">
        <v>1933</v>
      </c>
      <c r="E37" s="816" t="s">
        <v>1934</v>
      </c>
      <c r="F37" s="826">
        <v>-39786057.560000002</v>
      </c>
      <c r="G37" s="880">
        <v>0</v>
      </c>
      <c r="H37" s="465"/>
      <c r="I37" s="465"/>
      <c r="J37" s="826">
        <v>0</v>
      </c>
      <c r="K37" s="878">
        <v>-39786057.560000002</v>
      </c>
    </row>
    <row r="38" spans="1:11" ht="22.5" customHeight="1" x14ac:dyDescent="0.25">
      <c r="A38" s="816" t="s">
        <v>167</v>
      </c>
      <c r="B38" s="880">
        <v>2025</v>
      </c>
      <c r="C38" s="816" t="s">
        <v>1935</v>
      </c>
      <c r="D38" s="816" t="s">
        <v>1936</v>
      </c>
      <c r="E38" s="816" t="s">
        <v>7824</v>
      </c>
      <c r="F38" s="826">
        <v>0</v>
      </c>
      <c r="G38" s="880">
        <v>1</v>
      </c>
      <c r="H38" s="465"/>
      <c r="I38" s="465"/>
      <c r="J38" s="826">
        <v>0</v>
      </c>
      <c r="K38" s="878">
        <v>0</v>
      </c>
    </row>
    <row r="39" spans="1:11" ht="22.5" customHeight="1" x14ac:dyDescent="0.25">
      <c r="A39" s="816" t="s">
        <v>167</v>
      </c>
      <c r="B39" s="880">
        <v>2025</v>
      </c>
      <c r="C39" s="816" t="s">
        <v>1935</v>
      </c>
      <c r="D39" s="816" t="s">
        <v>1937</v>
      </c>
      <c r="E39" s="816" t="s">
        <v>7825</v>
      </c>
      <c r="F39" s="826">
        <v>0</v>
      </c>
      <c r="G39" s="880">
        <v>1</v>
      </c>
      <c r="H39" s="465"/>
      <c r="I39" s="465"/>
      <c r="J39" s="826">
        <v>0</v>
      </c>
      <c r="K39" s="878">
        <v>0</v>
      </c>
    </row>
    <row r="40" spans="1:11" ht="22.5" customHeight="1" x14ac:dyDescent="0.25">
      <c r="A40" s="816" t="s">
        <v>167</v>
      </c>
      <c r="B40" s="880">
        <v>2025</v>
      </c>
      <c r="C40" s="816" t="s">
        <v>1935</v>
      </c>
      <c r="D40" s="816" t="s">
        <v>1938</v>
      </c>
      <c r="E40" s="816" t="s">
        <v>7826</v>
      </c>
      <c r="F40" s="826">
        <v>0</v>
      </c>
      <c r="G40" s="880">
        <v>1</v>
      </c>
      <c r="H40" s="465"/>
      <c r="I40" s="465"/>
      <c r="J40" s="826">
        <v>0</v>
      </c>
      <c r="K40" s="878">
        <v>0</v>
      </c>
    </row>
    <row r="41" spans="1:11" ht="22.5" customHeight="1" x14ac:dyDescent="0.25">
      <c r="A41" s="816" t="s">
        <v>167</v>
      </c>
      <c r="B41" s="880">
        <v>2025</v>
      </c>
      <c r="C41" s="816" t="s">
        <v>1935</v>
      </c>
      <c r="D41" s="816" t="s">
        <v>1939</v>
      </c>
      <c r="E41" s="816" t="s">
        <v>7827</v>
      </c>
      <c r="F41" s="826">
        <v>0</v>
      </c>
      <c r="G41" s="880">
        <v>1</v>
      </c>
      <c r="H41" s="465"/>
      <c r="I41" s="465"/>
      <c r="J41" s="826">
        <v>0</v>
      </c>
      <c r="K41" s="878">
        <v>0</v>
      </c>
    </row>
    <row r="42" spans="1:11" ht="22.5" customHeight="1" x14ac:dyDescent="0.25">
      <c r="A42" s="816" t="s">
        <v>167</v>
      </c>
      <c r="B42" s="880">
        <v>2025</v>
      </c>
      <c r="C42" s="816" t="s">
        <v>1935</v>
      </c>
      <c r="D42" s="816" t="s">
        <v>1940</v>
      </c>
      <c r="E42" s="816" t="s">
        <v>7828</v>
      </c>
      <c r="F42" s="826">
        <v>0</v>
      </c>
      <c r="G42" s="880">
        <v>1</v>
      </c>
      <c r="H42" s="465"/>
      <c r="I42" s="465"/>
      <c r="J42" s="826">
        <v>0</v>
      </c>
      <c r="K42" s="878">
        <v>0</v>
      </c>
    </row>
    <row r="43" spans="1:11" ht="22.5" customHeight="1" x14ac:dyDescent="0.25">
      <c r="A43" s="816" t="s">
        <v>167</v>
      </c>
      <c r="B43" s="880">
        <v>2025</v>
      </c>
      <c r="C43" s="816" t="s">
        <v>1935</v>
      </c>
      <c r="D43" s="816" t="s">
        <v>1941</v>
      </c>
      <c r="E43" s="816" t="s">
        <v>7829</v>
      </c>
      <c r="F43" s="826">
        <v>0</v>
      </c>
      <c r="G43" s="880">
        <v>1</v>
      </c>
      <c r="H43" s="465"/>
      <c r="I43" s="465"/>
      <c r="J43" s="826">
        <v>0</v>
      </c>
      <c r="K43" s="878">
        <v>0</v>
      </c>
    </row>
    <row r="44" spans="1:11" ht="22.5" customHeight="1" x14ac:dyDescent="0.25">
      <c r="A44" s="816" t="s">
        <v>167</v>
      </c>
      <c r="B44" s="880">
        <v>2025</v>
      </c>
      <c r="C44" s="816" t="s">
        <v>1935</v>
      </c>
      <c r="D44" s="816" t="s">
        <v>1942</v>
      </c>
      <c r="E44" s="816" t="s">
        <v>7830</v>
      </c>
      <c r="F44" s="826">
        <v>0</v>
      </c>
      <c r="G44" s="880">
        <v>1</v>
      </c>
      <c r="H44" s="465"/>
      <c r="I44" s="465"/>
      <c r="J44" s="826">
        <v>0</v>
      </c>
      <c r="K44" s="878">
        <v>0</v>
      </c>
    </row>
    <row r="45" spans="1:11" ht="22.5" customHeight="1" x14ac:dyDescent="0.25">
      <c r="A45" s="816" t="s">
        <v>167</v>
      </c>
      <c r="B45" s="880">
        <v>2025</v>
      </c>
      <c r="C45" s="816" t="s">
        <v>1935</v>
      </c>
      <c r="D45" s="816" t="s">
        <v>1943</v>
      </c>
      <c r="E45" s="816" t="s">
        <v>7831</v>
      </c>
      <c r="F45" s="826">
        <v>0</v>
      </c>
      <c r="G45" s="880">
        <v>1</v>
      </c>
      <c r="H45" s="465"/>
      <c r="I45" s="465"/>
      <c r="J45" s="826">
        <v>0</v>
      </c>
      <c r="K45" s="878">
        <v>0</v>
      </c>
    </row>
    <row r="46" spans="1:11" ht="22.5" customHeight="1" x14ac:dyDescent="0.25">
      <c r="A46" s="816" t="s">
        <v>167</v>
      </c>
      <c r="B46" s="880">
        <v>2025</v>
      </c>
      <c r="C46" s="816" t="s">
        <v>1935</v>
      </c>
      <c r="D46" s="816" t="s">
        <v>1944</v>
      </c>
      <c r="E46" s="816" t="s">
        <v>7832</v>
      </c>
      <c r="F46" s="826">
        <v>0</v>
      </c>
      <c r="G46" s="880">
        <v>1</v>
      </c>
      <c r="H46" s="465"/>
      <c r="I46" s="465"/>
      <c r="J46" s="826">
        <v>0</v>
      </c>
      <c r="K46" s="878">
        <v>0</v>
      </c>
    </row>
    <row r="47" spans="1:11" ht="22.5" customHeight="1" x14ac:dyDescent="0.25">
      <c r="A47" s="816" t="s">
        <v>167</v>
      </c>
      <c r="B47" s="880">
        <v>2025</v>
      </c>
      <c r="C47" s="816" t="s">
        <v>1935</v>
      </c>
      <c r="D47" s="816" t="s">
        <v>1945</v>
      </c>
      <c r="E47" s="816" t="s">
        <v>7833</v>
      </c>
      <c r="F47" s="826">
        <v>0</v>
      </c>
      <c r="G47" s="880">
        <v>1</v>
      </c>
      <c r="H47" s="826">
        <v>0</v>
      </c>
      <c r="I47" s="826">
        <v>0</v>
      </c>
      <c r="J47" s="826">
        <v>0</v>
      </c>
      <c r="K47" s="878">
        <v>0</v>
      </c>
    </row>
    <row r="48" spans="1:11" ht="22.5" customHeight="1" x14ac:dyDescent="0.25">
      <c r="A48" s="816" t="s">
        <v>167</v>
      </c>
      <c r="B48" s="880">
        <v>2025</v>
      </c>
      <c r="C48" s="816" t="s">
        <v>1935</v>
      </c>
      <c r="D48" s="816" t="s">
        <v>1946</v>
      </c>
      <c r="E48" s="816" t="s">
        <v>7834</v>
      </c>
      <c r="F48" s="826">
        <v>0</v>
      </c>
      <c r="G48" s="880">
        <v>1</v>
      </c>
      <c r="H48" s="826">
        <v>35695.519999999997</v>
      </c>
      <c r="I48" s="826">
        <v>-35695.519999999997</v>
      </c>
      <c r="J48" s="826">
        <v>0</v>
      </c>
      <c r="K48" s="878">
        <v>0</v>
      </c>
    </row>
    <row r="49" spans="1:11" ht="22.5" customHeight="1" x14ac:dyDescent="0.25">
      <c r="A49" s="816" t="s">
        <v>167</v>
      </c>
      <c r="B49" s="880">
        <v>2025</v>
      </c>
      <c r="C49" s="816" t="s">
        <v>1935</v>
      </c>
      <c r="D49" s="816" t="s">
        <v>1947</v>
      </c>
      <c r="E49" s="816" t="s">
        <v>7835</v>
      </c>
      <c r="F49" s="826">
        <v>0</v>
      </c>
      <c r="G49" s="880">
        <v>1</v>
      </c>
      <c r="H49" s="826">
        <v>843.16</v>
      </c>
      <c r="I49" s="826">
        <v>-843.16</v>
      </c>
      <c r="J49" s="826">
        <v>0</v>
      </c>
      <c r="K49" s="878">
        <v>0</v>
      </c>
    </row>
    <row r="50" spans="1:11" ht="22.5" customHeight="1" x14ac:dyDescent="0.25">
      <c r="A50" s="816" t="s">
        <v>167</v>
      </c>
      <c r="B50" s="880">
        <v>2025</v>
      </c>
      <c r="C50" s="816" t="s">
        <v>1935</v>
      </c>
      <c r="D50" s="816" t="s">
        <v>1948</v>
      </c>
      <c r="E50" s="816" t="s">
        <v>7836</v>
      </c>
      <c r="F50" s="826">
        <v>0</v>
      </c>
      <c r="G50" s="880">
        <v>1</v>
      </c>
      <c r="H50" s="826">
        <v>160361.78</v>
      </c>
      <c r="I50" s="826">
        <v>-160361.78</v>
      </c>
      <c r="J50" s="826">
        <v>0</v>
      </c>
      <c r="K50" s="878">
        <v>0</v>
      </c>
    </row>
    <row r="51" spans="1:11" ht="22.5" customHeight="1" x14ac:dyDescent="0.25">
      <c r="A51" s="816" t="s">
        <v>167</v>
      </c>
      <c r="B51" s="880">
        <v>2025</v>
      </c>
      <c r="C51" s="816" t="s">
        <v>1935</v>
      </c>
      <c r="D51" s="816" t="s">
        <v>1949</v>
      </c>
      <c r="E51" s="816" t="s">
        <v>7837</v>
      </c>
      <c r="F51" s="826">
        <v>0</v>
      </c>
      <c r="G51" s="880">
        <v>1</v>
      </c>
      <c r="H51" s="826">
        <v>-465065.65</v>
      </c>
      <c r="I51" s="826">
        <v>1582504.91</v>
      </c>
      <c r="J51" s="826">
        <v>1117439.26</v>
      </c>
      <c r="K51" s="878">
        <v>1117439.26</v>
      </c>
    </row>
    <row r="52" spans="1:11" ht="22.5" customHeight="1" x14ac:dyDescent="0.25">
      <c r="A52" s="816" t="s">
        <v>167</v>
      </c>
      <c r="B52" s="880">
        <v>2025</v>
      </c>
      <c r="C52" s="816" t="s">
        <v>1935</v>
      </c>
      <c r="D52" s="816" t="s">
        <v>1950</v>
      </c>
      <c r="E52" s="816" t="s">
        <v>7838</v>
      </c>
      <c r="F52" s="826">
        <v>0</v>
      </c>
      <c r="G52" s="880">
        <v>1</v>
      </c>
      <c r="H52" s="826">
        <v>309772.2</v>
      </c>
      <c r="I52" s="826">
        <v>339023.69</v>
      </c>
      <c r="J52" s="826">
        <v>648795.89</v>
      </c>
      <c r="K52" s="878">
        <v>648795.89</v>
      </c>
    </row>
    <row r="53" spans="1:11" ht="22.5" customHeight="1" x14ac:dyDescent="0.25">
      <c r="A53" s="816" t="s">
        <v>167</v>
      </c>
      <c r="B53" s="880">
        <v>2025</v>
      </c>
      <c r="C53" s="816" t="s">
        <v>1935</v>
      </c>
      <c r="D53" s="816" t="s">
        <v>1951</v>
      </c>
      <c r="E53" s="816" t="s">
        <v>7839</v>
      </c>
      <c r="F53" s="826">
        <v>0</v>
      </c>
      <c r="G53" s="880">
        <v>1</v>
      </c>
      <c r="H53" s="826">
        <v>-709351.7</v>
      </c>
      <c r="I53" s="826">
        <v>1795208.81</v>
      </c>
      <c r="J53" s="826">
        <v>1085857.1100000001</v>
      </c>
      <c r="K53" s="878">
        <v>1085857.1100000001</v>
      </c>
    </row>
    <row r="54" spans="1:11" ht="22.5" customHeight="1" x14ac:dyDescent="0.25">
      <c r="A54" s="816" t="s">
        <v>167</v>
      </c>
      <c r="B54" s="880">
        <v>2025</v>
      </c>
      <c r="C54" s="816" t="s">
        <v>1935</v>
      </c>
      <c r="D54" s="816" t="s">
        <v>7801</v>
      </c>
      <c r="E54" s="816" t="s">
        <v>7840</v>
      </c>
      <c r="F54" s="826">
        <v>0</v>
      </c>
      <c r="G54" s="880">
        <v>1</v>
      </c>
      <c r="H54" s="826">
        <v>-4866689.43</v>
      </c>
      <c r="I54" s="826">
        <v>9457935.7200000007</v>
      </c>
      <c r="J54" s="826">
        <v>4591246.29</v>
      </c>
      <c r="K54" s="878">
        <v>4591246.29</v>
      </c>
    </row>
    <row r="55" spans="1:11" ht="22.5" customHeight="1" x14ac:dyDescent="0.25">
      <c r="A55" s="816" t="s">
        <v>167</v>
      </c>
      <c r="B55" s="880">
        <v>2025</v>
      </c>
      <c r="C55" s="816" t="s">
        <v>1935</v>
      </c>
      <c r="D55" s="816" t="s">
        <v>1952</v>
      </c>
      <c r="E55" s="816" t="s">
        <v>7841</v>
      </c>
      <c r="F55" s="826">
        <v>7443338.5499999998</v>
      </c>
      <c r="G55" s="880">
        <v>0</v>
      </c>
      <c r="H55" s="465"/>
      <c r="I55" s="465"/>
      <c r="J55" s="826">
        <v>0</v>
      </c>
      <c r="K55" s="878">
        <v>7443338.5499999998</v>
      </c>
    </row>
    <row r="56" spans="1:11" ht="22.5" customHeight="1" x14ac:dyDescent="0.25">
      <c r="A56" s="816" t="s">
        <v>167</v>
      </c>
      <c r="B56" s="880">
        <v>2025</v>
      </c>
      <c r="C56" s="816" t="s">
        <v>1953</v>
      </c>
      <c r="D56" s="816" t="s">
        <v>1954</v>
      </c>
      <c r="E56" s="816" t="s">
        <v>1955</v>
      </c>
      <c r="F56" s="826">
        <v>0</v>
      </c>
      <c r="G56" s="880">
        <v>0</v>
      </c>
      <c r="H56" s="465"/>
      <c r="I56" s="465"/>
      <c r="J56" s="826">
        <v>0</v>
      </c>
      <c r="K56" s="878">
        <v>0</v>
      </c>
    </row>
    <row r="57" spans="1:11" ht="22.5" customHeight="1" x14ac:dyDescent="0.25">
      <c r="A57" s="816" t="s">
        <v>171</v>
      </c>
      <c r="B57" s="880">
        <v>2025</v>
      </c>
      <c r="C57" s="816" t="s">
        <v>1854</v>
      </c>
      <c r="D57" s="816" t="s">
        <v>1855</v>
      </c>
      <c r="E57" s="816" t="s">
        <v>1956</v>
      </c>
      <c r="F57" s="826">
        <v>17967181.109999999</v>
      </c>
      <c r="G57" s="880">
        <v>0</v>
      </c>
      <c r="H57" s="465"/>
      <c r="I57" s="465"/>
      <c r="J57" s="826">
        <v>0</v>
      </c>
      <c r="K57" s="878">
        <v>17967181.109999999</v>
      </c>
    </row>
    <row r="58" spans="1:11" ht="22.5" customHeight="1" x14ac:dyDescent="0.25">
      <c r="A58" s="816" t="s">
        <v>171</v>
      </c>
      <c r="B58" s="880">
        <v>2025</v>
      </c>
      <c r="C58" s="816" t="s">
        <v>7746</v>
      </c>
      <c r="D58" s="816" t="s">
        <v>7747</v>
      </c>
      <c r="E58" s="816" t="s">
        <v>7749</v>
      </c>
      <c r="F58" s="826">
        <v>0</v>
      </c>
      <c r="G58" s="880">
        <v>0</v>
      </c>
      <c r="H58" s="465"/>
      <c r="I58" s="465"/>
      <c r="J58" s="826">
        <v>0</v>
      </c>
      <c r="K58" s="878">
        <v>0</v>
      </c>
    </row>
    <row r="59" spans="1:11" ht="22.5" customHeight="1" x14ac:dyDescent="0.25">
      <c r="A59" s="816" t="s">
        <v>171</v>
      </c>
      <c r="B59" s="880">
        <v>2025</v>
      </c>
      <c r="C59" s="816" t="s">
        <v>1857</v>
      </c>
      <c r="D59" s="816" t="s">
        <v>1858</v>
      </c>
      <c r="E59" s="816" t="s">
        <v>1957</v>
      </c>
      <c r="F59" s="826">
        <v>0</v>
      </c>
      <c r="G59" s="880">
        <v>0</v>
      </c>
      <c r="H59" s="465"/>
      <c r="I59" s="465"/>
      <c r="J59" s="826">
        <v>0</v>
      </c>
      <c r="K59" s="878">
        <v>0</v>
      </c>
    </row>
    <row r="60" spans="1:11" ht="22.5" customHeight="1" x14ac:dyDescent="0.25">
      <c r="A60" s="816" t="s">
        <v>171</v>
      </c>
      <c r="B60" s="880">
        <v>2025</v>
      </c>
      <c r="C60" s="816" t="s">
        <v>1860</v>
      </c>
      <c r="D60" s="816" t="s">
        <v>1861</v>
      </c>
      <c r="E60" s="816" t="s">
        <v>1958</v>
      </c>
      <c r="F60" s="826">
        <v>-322166.17</v>
      </c>
      <c r="G60" s="880">
        <v>0</v>
      </c>
      <c r="H60" s="465"/>
      <c r="I60" s="465"/>
      <c r="J60" s="826">
        <v>0</v>
      </c>
      <c r="K60" s="878">
        <v>-322166.17</v>
      </c>
    </row>
    <row r="61" spans="1:11" ht="22.5" customHeight="1" x14ac:dyDescent="0.25">
      <c r="A61" s="816" t="s">
        <v>171</v>
      </c>
      <c r="B61" s="880">
        <v>2025</v>
      </c>
      <c r="C61" s="816" t="s">
        <v>1863</v>
      </c>
      <c r="D61" s="816" t="s">
        <v>1864</v>
      </c>
      <c r="E61" s="816" t="s">
        <v>1959</v>
      </c>
      <c r="F61" s="826">
        <v>0</v>
      </c>
      <c r="G61" s="880">
        <v>0</v>
      </c>
      <c r="H61" s="465"/>
      <c r="I61" s="465"/>
      <c r="J61" s="826">
        <v>0</v>
      </c>
      <c r="K61" s="878">
        <v>0</v>
      </c>
    </row>
    <row r="62" spans="1:11" ht="22.5" customHeight="1" x14ac:dyDescent="0.25">
      <c r="A62" s="816" t="s">
        <v>171</v>
      </c>
      <c r="B62" s="880">
        <v>2025</v>
      </c>
      <c r="C62" s="816" t="s">
        <v>1866</v>
      </c>
      <c r="D62" s="816" t="s">
        <v>1867</v>
      </c>
      <c r="E62" s="816" t="s">
        <v>1960</v>
      </c>
      <c r="F62" s="826">
        <v>0</v>
      </c>
      <c r="G62" s="880">
        <v>0</v>
      </c>
      <c r="H62" s="465"/>
      <c r="I62" s="465"/>
      <c r="J62" s="826">
        <v>0</v>
      </c>
      <c r="K62" s="878">
        <v>0</v>
      </c>
    </row>
    <row r="63" spans="1:11" ht="22.5" customHeight="1" x14ac:dyDescent="0.25">
      <c r="A63" s="816" t="s">
        <v>171</v>
      </c>
      <c r="B63" s="880">
        <v>2025</v>
      </c>
      <c r="C63" s="816" t="s">
        <v>1869</v>
      </c>
      <c r="D63" s="816" t="s">
        <v>1870</v>
      </c>
      <c r="E63" s="816" t="s">
        <v>1961</v>
      </c>
      <c r="F63" s="826">
        <v>0</v>
      </c>
      <c r="G63" s="880">
        <v>0</v>
      </c>
      <c r="H63" s="465"/>
      <c r="I63" s="465"/>
      <c r="J63" s="826">
        <v>0</v>
      </c>
      <c r="K63" s="878">
        <v>0</v>
      </c>
    </row>
    <row r="64" spans="1:11" ht="22.5" customHeight="1" x14ac:dyDescent="0.25">
      <c r="A64" s="816" t="s">
        <v>171</v>
      </c>
      <c r="B64" s="880">
        <v>2025</v>
      </c>
      <c r="C64" s="816" t="s">
        <v>1872</v>
      </c>
      <c r="D64" s="816" t="s">
        <v>1873</v>
      </c>
      <c r="E64" s="816" t="s">
        <v>1962</v>
      </c>
      <c r="F64" s="826">
        <v>0</v>
      </c>
      <c r="G64" s="880">
        <v>0</v>
      </c>
      <c r="H64" s="465"/>
      <c r="I64" s="465"/>
      <c r="J64" s="826">
        <v>0</v>
      </c>
      <c r="K64" s="878">
        <v>0</v>
      </c>
    </row>
    <row r="65" spans="1:11" ht="22.5" customHeight="1" x14ac:dyDescent="0.25">
      <c r="A65" s="816" t="s">
        <v>171</v>
      </c>
      <c r="B65" s="880">
        <v>2025</v>
      </c>
      <c r="C65" s="816" t="s">
        <v>1875</v>
      </c>
      <c r="D65" s="816" t="s">
        <v>1876</v>
      </c>
      <c r="E65" s="816" t="s">
        <v>1963</v>
      </c>
      <c r="F65" s="826">
        <v>0</v>
      </c>
      <c r="G65" s="880">
        <v>0</v>
      </c>
      <c r="H65" s="465"/>
      <c r="I65" s="465"/>
      <c r="J65" s="826">
        <v>0</v>
      </c>
      <c r="K65" s="878">
        <v>0</v>
      </c>
    </row>
    <row r="66" spans="1:11" ht="22.5" customHeight="1" x14ac:dyDescent="0.25">
      <c r="A66" s="816" t="s">
        <v>171</v>
      </c>
      <c r="B66" s="880">
        <v>2025</v>
      </c>
      <c r="C66" s="816" t="s">
        <v>1878</v>
      </c>
      <c r="D66" s="816" t="s">
        <v>1964</v>
      </c>
      <c r="E66" s="816" t="s">
        <v>1965</v>
      </c>
      <c r="F66" s="826">
        <v>0</v>
      </c>
      <c r="G66" s="880">
        <v>0</v>
      </c>
      <c r="H66" s="465"/>
      <c r="I66" s="465"/>
      <c r="J66" s="826">
        <v>0</v>
      </c>
      <c r="K66" s="878">
        <v>0</v>
      </c>
    </row>
    <row r="67" spans="1:11" ht="22.5" customHeight="1" x14ac:dyDescent="0.25">
      <c r="A67" s="816" t="s">
        <v>171</v>
      </c>
      <c r="B67" s="880">
        <v>2025</v>
      </c>
      <c r="C67" s="816" t="s">
        <v>1881</v>
      </c>
      <c r="D67" s="816" t="s">
        <v>1882</v>
      </c>
      <c r="E67" s="816" t="s">
        <v>1966</v>
      </c>
      <c r="F67" s="826">
        <v>0</v>
      </c>
      <c r="G67" s="880">
        <v>0</v>
      </c>
      <c r="H67" s="465"/>
      <c r="I67" s="465"/>
      <c r="J67" s="826">
        <v>0</v>
      </c>
      <c r="K67" s="878">
        <v>0</v>
      </c>
    </row>
    <row r="68" spans="1:11" ht="22.5" customHeight="1" x14ac:dyDescent="0.25">
      <c r="A68" s="816" t="s">
        <v>171</v>
      </c>
      <c r="B68" s="880">
        <v>2025</v>
      </c>
      <c r="C68" s="816" t="s">
        <v>1884</v>
      </c>
      <c r="D68" s="816" t="s">
        <v>1885</v>
      </c>
      <c r="E68" s="816" t="s">
        <v>1967</v>
      </c>
      <c r="F68" s="826">
        <v>0</v>
      </c>
      <c r="G68" s="880">
        <v>0</v>
      </c>
      <c r="H68" s="465"/>
      <c r="I68" s="465"/>
      <c r="J68" s="826">
        <v>0</v>
      </c>
      <c r="K68" s="878">
        <v>0</v>
      </c>
    </row>
    <row r="69" spans="1:11" ht="22.5" customHeight="1" x14ac:dyDescent="0.25">
      <c r="A69" s="816" t="s">
        <v>171</v>
      </c>
      <c r="B69" s="880">
        <v>2025</v>
      </c>
      <c r="C69" s="816" t="s">
        <v>1887</v>
      </c>
      <c r="D69" s="816" t="s">
        <v>138</v>
      </c>
      <c r="E69" s="816" t="s">
        <v>1968</v>
      </c>
      <c r="F69" s="826">
        <v>0</v>
      </c>
      <c r="G69" s="880">
        <v>1</v>
      </c>
      <c r="H69" s="465"/>
      <c r="I69" s="465"/>
      <c r="J69" s="826">
        <v>0</v>
      </c>
      <c r="K69" s="878">
        <v>0</v>
      </c>
    </row>
    <row r="70" spans="1:11" ht="22.5" customHeight="1" x14ac:dyDescent="0.25">
      <c r="A70" s="816" t="s">
        <v>171</v>
      </c>
      <c r="B70" s="880">
        <v>2025</v>
      </c>
      <c r="C70" s="816" t="s">
        <v>1889</v>
      </c>
      <c r="D70" s="816" t="s">
        <v>139</v>
      </c>
      <c r="E70" s="816" t="s">
        <v>1969</v>
      </c>
      <c r="F70" s="826">
        <v>-36623.32</v>
      </c>
      <c r="G70" s="880">
        <v>1</v>
      </c>
      <c r="H70" s="826">
        <v>-34842.019999999997</v>
      </c>
      <c r="I70" s="826">
        <v>-1781.3</v>
      </c>
      <c r="J70" s="826">
        <v>-36623.32</v>
      </c>
      <c r="K70" s="878">
        <v>-36623.32</v>
      </c>
    </row>
    <row r="71" spans="1:11" ht="22.5" customHeight="1" x14ac:dyDescent="0.25">
      <c r="A71" s="816" t="s">
        <v>171</v>
      </c>
      <c r="B71" s="880">
        <v>2025</v>
      </c>
      <c r="C71" s="816" t="s">
        <v>1891</v>
      </c>
      <c r="D71" s="816" t="s">
        <v>1892</v>
      </c>
      <c r="E71" s="816" t="s">
        <v>1970</v>
      </c>
      <c r="F71" s="826">
        <v>0</v>
      </c>
      <c r="G71" s="880">
        <v>0</v>
      </c>
      <c r="H71" s="465"/>
      <c r="I71" s="465"/>
      <c r="J71" s="826">
        <v>0</v>
      </c>
      <c r="K71" s="878">
        <v>0</v>
      </c>
    </row>
    <row r="72" spans="1:11" ht="22.5" customHeight="1" x14ac:dyDescent="0.25">
      <c r="A72" s="816" t="s">
        <v>171</v>
      </c>
      <c r="B72" s="880">
        <v>2025</v>
      </c>
      <c r="C72" s="816" t="s">
        <v>1891</v>
      </c>
      <c r="D72" s="816" t="s">
        <v>1894</v>
      </c>
      <c r="E72" s="816" t="s">
        <v>1970</v>
      </c>
      <c r="F72" s="826">
        <v>0</v>
      </c>
      <c r="G72" s="880">
        <v>0</v>
      </c>
      <c r="H72" s="465"/>
      <c r="I72" s="465"/>
      <c r="J72" s="826">
        <v>0</v>
      </c>
      <c r="K72" s="881">
        <v>0</v>
      </c>
    </row>
    <row r="73" spans="1:11" ht="22.5" customHeight="1" x14ac:dyDescent="0.25">
      <c r="A73" s="816" t="s">
        <v>171</v>
      </c>
      <c r="B73" s="880">
        <v>2025</v>
      </c>
      <c r="C73" s="816" t="s">
        <v>1895</v>
      </c>
      <c r="D73" s="816" t="s">
        <v>1896</v>
      </c>
      <c r="E73" s="816" t="s">
        <v>1971</v>
      </c>
      <c r="F73" s="826">
        <v>0</v>
      </c>
      <c r="G73" s="880">
        <v>0</v>
      </c>
      <c r="H73" s="465"/>
      <c r="I73" s="465"/>
      <c r="J73" s="826">
        <v>0</v>
      </c>
      <c r="K73" s="878">
        <v>0</v>
      </c>
    </row>
    <row r="74" spans="1:11" ht="22.5" customHeight="1" x14ac:dyDescent="0.25">
      <c r="A74" s="816" t="s">
        <v>171</v>
      </c>
      <c r="B74" s="880">
        <v>2025</v>
      </c>
      <c r="C74" s="816" t="s">
        <v>1898</v>
      </c>
      <c r="D74" s="816" t="s">
        <v>1899</v>
      </c>
      <c r="E74" s="816" t="s">
        <v>1972</v>
      </c>
      <c r="F74" s="826">
        <v>0</v>
      </c>
      <c r="G74" s="880">
        <v>0</v>
      </c>
      <c r="H74" s="465"/>
      <c r="I74" s="465"/>
      <c r="J74" s="826">
        <v>0</v>
      </c>
      <c r="K74" s="878">
        <v>0</v>
      </c>
    </row>
    <row r="75" spans="1:11" ht="22.5" customHeight="1" x14ac:dyDescent="0.25">
      <c r="A75" s="816" t="s">
        <v>171</v>
      </c>
      <c r="B75" s="880">
        <v>2025</v>
      </c>
      <c r="C75" s="816" t="s">
        <v>1901</v>
      </c>
      <c r="D75" s="816" t="s">
        <v>1902</v>
      </c>
      <c r="E75" s="816" t="s">
        <v>1973</v>
      </c>
      <c r="F75" s="826">
        <v>0</v>
      </c>
      <c r="G75" s="880">
        <v>0</v>
      </c>
      <c r="H75" s="465"/>
      <c r="I75" s="465"/>
      <c r="J75" s="826">
        <v>0</v>
      </c>
      <c r="K75" s="878">
        <v>0</v>
      </c>
    </row>
    <row r="76" spans="1:11" ht="22.5" customHeight="1" x14ac:dyDescent="0.25">
      <c r="A76" s="816" t="s">
        <v>171</v>
      </c>
      <c r="B76" s="880">
        <v>2025</v>
      </c>
      <c r="C76" s="816" t="s">
        <v>1904</v>
      </c>
      <c r="D76" s="816" t="s">
        <v>1905</v>
      </c>
      <c r="E76" s="816" t="s">
        <v>1974</v>
      </c>
      <c r="F76" s="826">
        <v>0</v>
      </c>
      <c r="G76" s="880">
        <v>0</v>
      </c>
      <c r="H76" s="465"/>
      <c r="I76" s="465"/>
      <c r="J76" s="826">
        <v>0</v>
      </c>
      <c r="K76" s="878">
        <v>0</v>
      </c>
    </row>
    <row r="77" spans="1:11" ht="22.5" customHeight="1" x14ac:dyDescent="0.25">
      <c r="A77" s="816" t="s">
        <v>171</v>
      </c>
      <c r="B77" s="880">
        <v>2025</v>
      </c>
      <c r="C77" s="816" t="s">
        <v>1907</v>
      </c>
      <c r="D77" s="816" t="s">
        <v>1908</v>
      </c>
      <c r="E77" s="816" t="s">
        <v>1975</v>
      </c>
      <c r="F77" s="826">
        <v>0</v>
      </c>
      <c r="G77" s="880">
        <v>0</v>
      </c>
      <c r="H77" s="465"/>
      <c r="I77" s="465"/>
      <c r="J77" s="826">
        <v>0</v>
      </c>
      <c r="K77" s="878">
        <v>0</v>
      </c>
    </row>
    <row r="78" spans="1:11" ht="22.5" customHeight="1" x14ac:dyDescent="0.25">
      <c r="A78" s="816" t="s">
        <v>171</v>
      </c>
      <c r="B78" s="880">
        <v>2025</v>
      </c>
      <c r="C78" s="816" t="s">
        <v>1910</v>
      </c>
      <c r="D78" s="816" t="s">
        <v>1911</v>
      </c>
      <c r="E78" s="816" t="s">
        <v>1976</v>
      </c>
      <c r="F78" s="826">
        <v>84971.53</v>
      </c>
      <c r="G78" s="880">
        <v>0</v>
      </c>
      <c r="H78" s="465"/>
      <c r="I78" s="465"/>
      <c r="J78" s="826">
        <v>0</v>
      </c>
      <c r="K78" s="878">
        <v>84971.53</v>
      </c>
    </row>
    <row r="79" spans="1:11" ht="22.5" customHeight="1" x14ac:dyDescent="0.25">
      <c r="A79" s="816" t="s">
        <v>171</v>
      </c>
      <c r="B79" s="880">
        <v>2025</v>
      </c>
      <c r="C79" s="816" t="s">
        <v>1913</v>
      </c>
      <c r="D79" s="816" t="s">
        <v>1914</v>
      </c>
      <c r="E79" s="816" t="s">
        <v>1977</v>
      </c>
      <c r="F79" s="826">
        <v>-360850.15</v>
      </c>
      <c r="G79" s="880">
        <v>1</v>
      </c>
      <c r="H79" s="826">
        <v>-343167</v>
      </c>
      <c r="I79" s="826">
        <v>-17683.150000000001</v>
      </c>
      <c r="J79" s="826">
        <v>-360850.15</v>
      </c>
      <c r="K79" s="878">
        <v>-360850.15</v>
      </c>
    </row>
    <row r="80" spans="1:11" ht="22.5" customHeight="1" x14ac:dyDescent="0.25">
      <c r="A80" s="816" t="s">
        <v>171</v>
      </c>
      <c r="B80" s="880">
        <v>2025</v>
      </c>
      <c r="C80" s="816" t="s">
        <v>1913</v>
      </c>
      <c r="D80" s="816" t="s">
        <v>1916</v>
      </c>
      <c r="E80" s="816" t="s">
        <v>1977</v>
      </c>
      <c r="F80" s="826">
        <v>0</v>
      </c>
      <c r="G80" s="880">
        <v>0</v>
      </c>
      <c r="H80" s="465"/>
      <c r="I80" s="465"/>
      <c r="J80" s="826">
        <v>0</v>
      </c>
      <c r="K80" s="881">
        <v>0</v>
      </c>
    </row>
    <row r="81" spans="1:11" ht="22.5" customHeight="1" x14ac:dyDescent="0.25">
      <c r="A81" s="816" t="s">
        <v>171</v>
      </c>
      <c r="B81" s="880">
        <v>2025</v>
      </c>
      <c r="C81" s="816" t="s">
        <v>1913</v>
      </c>
      <c r="D81" s="816" t="s">
        <v>1917</v>
      </c>
      <c r="E81" s="816" t="s">
        <v>1977</v>
      </c>
      <c r="F81" s="826">
        <v>0</v>
      </c>
      <c r="G81" s="880">
        <v>0</v>
      </c>
      <c r="H81" s="465"/>
      <c r="I81" s="465"/>
      <c r="J81" s="826">
        <v>0</v>
      </c>
      <c r="K81" s="881">
        <v>0</v>
      </c>
    </row>
    <row r="82" spans="1:11" ht="22.5" customHeight="1" x14ac:dyDescent="0.25">
      <c r="A82" s="816" t="s">
        <v>171</v>
      </c>
      <c r="B82" s="880">
        <v>2025</v>
      </c>
      <c r="C82" s="816" t="s">
        <v>1913</v>
      </c>
      <c r="D82" s="816" t="s">
        <v>1918</v>
      </c>
      <c r="E82" s="816" t="s">
        <v>1977</v>
      </c>
      <c r="F82" s="826">
        <v>0</v>
      </c>
      <c r="G82" s="880">
        <v>0</v>
      </c>
      <c r="H82" s="465"/>
      <c r="I82" s="465"/>
      <c r="J82" s="826">
        <v>0</v>
      </c>
      <c r="K82" s="881">
        <v>904.97</v>
      </c>
    </row>
    <row r="83" spans="1:11" ht="22.5" customHeight="1" x14ac:dyDescent="0.25">
      <c r="A83" s="816" t="s">
        <v>171</v>
      </c>
      <c r="B83" s="880">
        <v>2025</v>
      </c>
      <c r="C83" s="816" t="s">
        <v>1913</v>
      </c>
      <c r="D83" s="816" t="s">
        <v>1919</v>
      </c>
      <c r="E83" s="816" t="s">
        <v>1977</v>
      </c>
      <c r="F83" s="826">
        <v>0</v>
      </c>
      <c r="G83" s="880">
        <v>0</v>
      </c>
      <c r="H83" s="465"/>
      <c r="I83" s="465"/>
      <c r="J83" s="826">
        <v>0</v>
      </c>
      <c r="K83" s="881">
        <v>81277.53</v>
      </c>
    </row>
    <row r="84" spans="1:11" ht="22.5" customHeight="1" x14ac:dyDescent="0.25">
      <c r="A84" s="816" t="s">
        <v>171</v>
      </c>
      <c r="B84" s="880">
        <v>2025</v>
      </c>
      <c r="C84" s="816" t="s">
        <v>1920</v>
      </c>
      <c r="D84" s="816" t="s">
        <v>1921</v>
      </c>
      <c r="E84" s="816" t="s">
        <v>1978</v>
      </c>
      <c r="F84" s="826">
        <v>0</v>
      </c>
      <c r="G84" s="880">
        <v>0</v>
      </c>
      <c r="H84" s="465"/>
      <c r="I84" s="465"/>
      <c r="J84" s="826">
        <v>0</v>
      </c>
      <c r="K84" s="878">
        <v>0</v>
      </c>
    </row>
    <row r="85" spans="1:11" ht="22.5" customHeight="1" x14ac:dyDescent="0.25">
      <c r="A85" s="816" t="s">
        <v>171</v>
      </c>
      <c r="B85" s="880">
        <v>2025</v>
      </c>
      <c r="C85" s="816" t="s">
        <v>1923</v>
      </c>
      <c r="D85" s="816" t="s">
        <v>143</v>
      </c>
      <c r="E85" s="816" t="s">
        <v>1979</v>
      </c>
      <c r="F85" s="826">
        <v>122189.29</v>
      </c>
      <c r="G85" s="880">
        <v>1</v>
      </c>
      <c r="H85" s="826">
        <v>117188.32</v>
      </c>
      <c r="I85" s="826">
        <v>5000.97</v>
      </c>
      <c r="J85" s="826">
        <v>122189.29</v>
      </c>
      <c r="K85" s="878">
        <v>122189.29</v>
      </c>
    </row>
    <row r="86" spans="1:11" ht="22.5" customHeight="1" x14ac:dyDescent="0.25">
      <c r="A86" s="816" t="s">
        <v>171</v>
      </c>
      <c r="B86" s="880">
        <v>2025</v>
      </c>
      <c r="C86" s="816" t="s">
        <v>1925</v>
      </c>
      <c r="D86" s="816" t="s">
        <v>144</v>
      </c>
      <c r="E86" s="816" t="s">
        <v>1980</v>
      </c>
      <c r="F86" s="826">
        <v>106767.74</v>
      </c>
      <c r="G86" s="880">
        <v>1</v>
      </c>
      <c r="H86" s="826">
        <v>97445.88</v>
      </c>
      <c r="I86" s="826">
        <v>9321.86</v>
      </c>
      <c r="J86" s="826">
        <v>106767.74</v>
      </c>
      <c r="K86" s="878">
        <v>106767.74</v>
      </c>
    </row>
    <row r="87" spans="1:11" ht="22.5" customHeight="1" x14ac:dyDescent="0.25">
      <c r="A87" s="816" t="s">
        <v>171</v>
      </c>
      <c r="B87" s="880">
        <v>2025</v>
      </c>
      <c r="C87" s="816" t="s">
        <v>1927</v>
      </c>
      <c r="D87" s="816" t="s">
        <v>1928</v>
      </c>
      <c r="E87" s="816" t="s">
        <v>1981</v>
      </c>
      <c r="F87" s="826">
        <v>767622.1</v>
      </c>
      <c r="G87" s="880">
        <v>1</v>
      </c>
      <c r="H87" s="826">
        <v>665817.18000000005</v>
      </c>
      <c r="I87" s="826">
        <v>101804.92</v>
      </c>
      <c r="J87" s="826">
        <v>767622.1</v>
      </c>
      <c r="K87" s="878">
        <v>767622.1</v>
      </c>
    </row>
    <row r="88" spans="1:11" ht="22.5" customHeight="1" x14ac:dyDescent="0.25">
      <c r="A88" s="816" t="s">
        <v>171</v>
      </c>
      <c r="B88" s="880">
        <v>2025</v>
      </c>
      <c r="C88" s="816" t="s">
        <v>1930</v>
      </c>
      <c r="D88" s="816" t="s">
        <v>156</v>
      </c>
      <c r="E88" s="816" t="s">
        <v>1982</v>
      </c>
      <c r="F88" s="826">
        <v>-697750.21</v>
      </c>
      <c r="G88" s="880">
        <v>1</v>
      </c>
      <c r="H88" s="826">
        <v>-654091.11</v>
      </c>
      <c r="I88" s="826">
        <v>-43659.1</v>
      </c>
      <c r="J88" s="826">
        <v>-697750.21</v>
      </c>
      <c r="K88" s="878">
        <v>-697750.21</v>
      </c>
    </row>
    <row r="89" spans="1:11" ht="22.5" customHeight="1" x14ac:dyDescent="0.25">
      <c r="A89" s="816" t="s">
        <v>171</v>
      </c>
      <c r="B89" s="880">
        <v>2025</v>
      </c>
      <c r="C89" s="816" t="s">
        <v>1932</v>
      </c>
      <c r="D89" s="816" t="s">
        <v>1983</v>
      </c>
      <c r="E89" s="816" t="s">
        <v>1984</v>
      </c>
      <c r="F89" s="826">
        <v>-508245.52</v>
      </c>
      <c r="G89" s="880">
        <v>0</v>
      </c>
      <c r="H89" s="465"/>
      <c r="I89" s="465"/>
      <c r="J89" s="826">
        <v>0</v>
      </c>
      <c r="K89" s="878">
        <v>-508245.52</v>
      </c>
    </row>
    <row r="90" spans="1:11" ht="22.5" customHeight="1" x14ac:dyDescent="0.25">
      <c r="A90" s="816" t="s">
        <v>171</v>
      </c>
      <c r="B90" s="880">
        <v>2025</v>
      </c>
      <c r="C90" s="816" t="s">
        <v>1935</v>
      </c>
      <c r="D90" s="816" t="s">
        <v>1936</v>
      </c>
      <c r="E90" s="816" t="s">
        <v>7842</v>
      </c>
      <c r="F90" s="826">
        <v>0</v>
      </c>
      <c r="G90" s="880">
        <v>1</v>
      </c>
      <c r="H90" s="465"/>
      <c r="I90" s="465"/>
      <c r="J90" s="826">
        <v>0</v>
      </c>
      <c r="K90" s="878">
        <v>0</v>
      </c>
    </row>
    <row r="91" spans="1:11" ht="22.5" customHeight="1" x14ac:dyDescent="0.25">
      <c r="A91" s="816" t="s">
        <v>171</v>
      </c>
      <c r="B91" s="880">
        <v>2025</v>
      </c>
      <c r="C91" s="816" t="s">
        <v>1935</v>
      </c>
      <c r="D91" s="816" t="s">
        <v>1937</v>
      </c>
      <c r="E91" s="816" t="s">
        <v>7843</v>
      </c>
      <c r="F91" s="826">
        <v>0</v>
      </c>
      <c r="G91" s="880">
        <v>1</v>
      </c>
      <c r="H91" s="465"/>
      <c r="I91" s="465"/>
      <c r="J91" s="826">
        <v>0</v>
      </c>
      <c r="K91" s="878">
        <v>0</v>
      </c>
    </row>
    <row r="92" spans="1:11" ht="22.5" customHeight="1" x14ac:dyDescent="0.25">
      <c r="A92" s="816" t="s">
        <v>171</v>
      </c>
      <c r="B92" s="880">
        <v>2025</v>
      </c>
      <c r="C92" s="816" t="s">
        <v>1935</v>
      </c>
      <c r="D92" s="816" t="s">
        <v>1938</v>
      </c>
      <c r="E92" s="816" t="s">
        <v>7844</v>
      </c>
      <c r="F92" s="826">
        <v>0</v>
      </c>
      <c r="G92" s="880">
        <v>1</v>
      </c>
      <c r="H92" s="826">
        <v>-69644.17</v>
      </c>
      <c r="I92" s="465"/>
      <c r="J92" s="826">
        <v>-69644.17</v>
      </c>
      <c r="K92" s="878">
        <v>-69644.17</v>
      </c>
    </row>
    <row r="93" spans="1:11" ht="22.5" customHeight="1" x14ac:dyDescent="0.25">
      <c r="A93" s="816" t="s">
        <v>171</v>
      </c>
      <c r="B93" s="880">
        <v>2025</v>
      </c>
      <c r="C93" s="816" t="s">
        <v>1935</v>
      </c>
      <c r="D93" s="816" t="s">
        <v>1939</v>
      </c>
      <c r="E93" s="816" t="s">
        <v>7845</v>
      </c>
      <c r="F93" s="826">
        <v>0</v>
      </c>
      <c r="G93" s="880">
        <v>1</v>
      </c>
      <c r="H93" s="465"/>
      <c r="I93" s="465"/>
      <c r="J93" s="826">
        <v>0</v>
      </c>
      <c r="K93" s="878">
        <v>0</v>
      </c>
    </row>
    <row r="94" spans="1:11" ht="22.5" customHeight="1" x14ac:dyDescent="0.25">
      <c r="A94" s="816" t="s">
        <v>171</v>
      </c>
      <c r="B94" s="880">
        <v>2025</v>
      </c>
      <c r="C94" s="816" t="s">
        <v>1935</v>
      </c>
      <c r="D94" s="816" t="s">
        <v>1940</v>
      </c>
      <c r="E94" s="816" t="s">
        <v>7846</v>
      </c>
      <c r="F94" s="826">
        <v>0</v>
      </c>
      <c r="G94" s="880">
        <v>1</v>
      </c>
      <c r="H94" s="465"/>
      <c r="I94" s="465"/>
      <c r="J94" s="826">
        <v>0</v>
      </c>
      <c r="K94" s="878">
        <v>0</v>
      </c>
    </row>
    <row r="95" spans="1:11" ht="22.5" customHeight="1" x14ac:dyDescent="0.25">
      <c r="A95" s="816" t="s">
        <v>171</v>
      </c>
      <c r="B95" s="880">
        <v>2025</v>
      </c>
      <c r="C95" s="816" t="s">
        <v>1935</v>
      </c>
      <c r="D95" s="816" t="s">
        <v>1941</v>
      </c>
      <c r="E95" s="816" t="s">
        <v>7847</v>
      </c>
      <c r="F95" s="826">
        <v>0</v>
      </c>
      <c r="G95" s="880">
        <v>1</v>
      </c>
      <c r="H95" s="465"/>
      <c r="I95" s="465"/>
      <c r="J95" s="826">
        <v>0</v>
      </c>
      <c r="K95" s="878">
        <v>0</v>
      </c>
    </row>
    <row r="96" spans="1:11" ht="22.5" customHeight="1" x14ac:dyDescent="0.25">
      <c r="A96" s="816" t="s">
        <v>171</v>
      </c>
      <c r="B96" s="880">
        <v>2025</v>
      </c>
      <c r="C96" s="816" t="s">
        <v>1935</v>
      </c>
      <c r="D96" s="816" t="s">
        <v>1942</v>
      </c>
      <c r="E96" s="816" t="s">
        <v>7848</v>
      </c>
      <c r="F96" s="826">
        <v>0</v>
      </c>
      <c r="G96" s="880">
        <v>1</v>
      </c>
      <c r="H96" s="465"/>
      <c r="I96" s="465"/>
      <c r="J96" s="826">
        <v>0</v>
      </c>
      <c r="K96" s="878">
        <v>0</v>
      </c>
    </row>
    <row r="97" spans="1:11" ht="22.5" customHeight="1" x14ac:dyDescent="0.25">
      <c r="A97" s="816" t="s">
        <v>171</v>
      </c>
      <c r="B97" s="880">
        <v>2025</v>
      </c>
      <c r="C97" s="816" t="s">
        <v>1935</v>
      </c>
      <c r="D97" s="816" t="s">
        <v>1943</v>
      </c>
      <c r="E97" s="816" t="s">
        <v>7849</v>
      </c>
      <c r="F97" s="826">
        <v>0</v>
      </c>
      <c r="G97" s="880">
        <v>1</v>
      </c>
      <c r="H97" s="465"/>
      <c r="I97" s="465"/>
      <c r="J97" s="826">
        <v>0</v>
      </c>
      <c r="K97" s="878">
        <v>0</v>
      </c>
    </row>
    <row r="98" spans="1:11" ht="22.5" customHeight="1" x14ac:dyDescent="0.25">
      <c r="A98" s="816" t="s">
        <v>171</v>
      </c>
      <c r="B98" s="880">
        <v>2025</v>
      </c>
      <c r="C98" s="816" t="s">
        <v>1935</v>
      </c>
      <c r="D98" s="816" t="s">
        <v>1944</v>
      </c>
      <c r="E98" s="816" t="s">
        <v>7850</v>
      </c>
      <c r="F98" s="826">
        <v>0</v>
      </c>
      <c r="G98" s="880">
        <v>1</v>
      </c>
      <c r="H98" s="465"/>
      <c r="I98" s="465"/>
      <c r="J98" s="826">
        <v>0</v>
      </c>
      <c r="K98" s="878">
        <v>0</v>
      </c>
    </row>
    <row r="99" spans="1:11" ht="22.5" customHeight="1" x14ac:dyDescent="0.25">
      <c r="A99" s="816" t="s">
        <v>171</v>
      </c>
      <c r="B99" s="880">
        <v>2025</v>
      </c>
      <c r="C99" s="816" t="s">
        <v>1935</v>
      </c>
      <c r="D99" s="816" t="s">
        <v>1945</v>
      </c>
      <c r="E99" s="816" t="s">
        <v>7851</v>
      </c>
      <c r="F99" s="826">
        <v>0</v>
      </c>
      <c r="G99" s="880">
        <v>1</v>
      </c>
      <c r="H99" s="465"/>
      <c r="I99" s="465"/>
      <c r="J99" s="826">
        <v>0</v>
      </c>
      <c r="K99" s="878">
        <v>0</v>
      </c>
    </row>
    <row r="100" spans="1:11" ht="22.5" customHeight="1" x14ac:dyDescent="0.25">
      <c r="A100" s="816" t="s">
        <v>171</v>
      </c>
      <c r="B100" s="880">
        <v>2025</v>
      </c>
      <c r="C100" s="816" t="s">
        <v>1935</v>
      </c>
      <c r="D100" s="816" t="s">
        <v>1946</v>
      </c>
      <c r="E100" s="816" t="s">
        <v>7852</v>
      </c>
      <c r="F100" s="826">
        <v>0</v>
      </c>
      <c r="G100" s="880">
        <v>1</v>
      </c>
      <c r="H100" s="465"/>
      <c r="I100" s="465"/>
      <c r="J100" s="826">
        <v>0</v>
      </c>
      <c r="K100" s="878">
        <v>0</v>
      </c>
    </row>
    <row r="101" spans="1:11" ht="22.5" customHeight="1" x14ac:dyDescent="0.25">
      <c r="A101" s="816" t="s">
        <v>171</v>
      </c>
      <c r="B101" s="880">
        <v>2025</v>
      </c>
      <c r="C101" s="816" t="s">
        <v>1935</v>
      </c>
      <c r="D101" s="816" t="s">
        <v>1947</v>
      </c>
      <c r="E101" s="816" t="s">
        <v>7853</v>
      </c>
      <c r="F101" s="826">
        <v>0</v>
      </c>
      <c r="G101" s="880">
        <v>1</v>
      </c>
      <c r="H101" s="465"/>
      <c r="I101" s="465"/>
      <c r="J101" s="826">
        <v>0</v>
      </c>
      <c r="K101" s="878">
        <v>0</v>
      </c>
    </row>
    <row r="102" spans="1:11" ht="22.5" customHeight="1" x14ac:dyDescent="0.25">
      <c r="A102" s="816" t="s">
        <v>171</v>
      </c>
      <c r="B102" s="880">
        <v>2025</v>
      </c>
      <c r="C102" s="816" t="s">
        <v>1935</v>
      </c>
      <c r="D102" s="816" t="s">
        <v>1948</v>
      </c>
      <c r="E102" s="816" t="s">
        <v>7854</v>
      </c>
      <c r="F102" s="826">
        <v>0</v>
      </c>
      <c r="G102" s="880">
        <v>1</v>
      </c>
      <c r="H102" s="826">
        <v>-290685.37</v>
      </c>
      <c r="I102" s="826">
        <v>122432.99</v>
      </c>
      <c r="J102" s="826">
        <v>-168252.38</v>
      </c>
      <c r="K102" s="878">
        <v>-168252.38</v>
      </c>
    </row>
    <row r="103" spans="1:11" ht="22.5" customHeight="1" x14ac:dyDescent="0.25">
      <c r="A103" s="816" t="s">
        <v>171</v>
      </c>
      <c r="B103" s="880">
        <v>2025</v>
      </c>
      <c r="C103" s="816" t="s">
        <v>1935</v>
      </c>
      <c r="D103" s="816" t="s">
        <v>1949</v>
      </c>
      <c r="E103" s="816" t="s">
        <v>7855</v>
      </c>
      <c r="F103" s="826">
        <v>0</v>
      </c>
      <c r="G103" s="880">
        <v>1</v>
      </c>
      <c r="H103" s="826">
        <v>-41608.370000000003</v>
      </c>
      <c r="I103" s="826">
        <v>-7412.66</v>
      </c>
      <c r="J103" s="826">
        <v>-49021.03</v>
      </c>
      <c r="K103" s="878">
        <v>-49021.03</v>
      </c>
    </row>
    <row r="104" spans="1:11" ht="22.5" customHeight="1" x14ac:dyDescent="0.25">
      <c r="A104" s="816" t="s">
        <v>171</v>
      </c>
      <c r="B104" s="880">
        <v>2025</v>
      </c>
      <c r="C104" s="816" t="s">
        <v>1935</v>
      </c>
      <c r="D104" s="816" t="s">
        <v>1950</v>
      </c>
      <c r="E104" s="816" t="s">
        <v>7856</v>
      </c>
      <c r="F104" s="826">
        <v>0</v>
      </c>
      <c r="G104" s="880">
        <v>1</v>
      </c>
      <c r="H104" s="826">
        <v>-141549.81</v>
      </c>
      <c r="I104" s="826">
        <v>-14460.65</v>
      </c>
      <c r="J104" s="826">
        <v>-156010.46</v>
      </c>
      <c r="K104" s="878">
        <v>-156010.46</v>
      </c>
    </row>
    <row r="105" spans="1:11" ht="22.5" customHeight="1" x14ac:dyDescent="0.25">
      <c r="A105" s="816" t="s">
        <v>171</v>
      </c>
      <c r="B105" s="880">
        <v>2025</v>
      </c>
      <c r="C105" s="816" t="s">
        <v>1935</v>
      </c>
      <c r="D105" s="816" t="s">
        <v>1951</v>
      </c>
      <c r="E105" s="816" t="s">
        <v>7857</v>
      </c>
      <c r="F105" s="826">
        <v>0</v>
      </c>
      <c r="G105" s="880">
        <v>1</v>
      </c>
      <c r="H105" s="826">
        <v>-43201.2</v>
      </c>
      <c r="I105" s="826">
        <v>-2193.13</v>
      </c>
      <c r="J105" s="826">
        <v>-45394.33</v>
      </c>
      <c r="K105" s="878">
        <v>-45394.33</v>
      </c>
    </row>
    <row r="106" spans="1:11" ht="22.5" customHeight="1" x14ac:dyDescent="0.25">
      <c r="A106" s="816" t="s">
        <v>171</v>
      </c>
      <c r="B106" s="880">
        <v>2025</v>
      </c>
      <c r="C106" s="816" t="s">
        <v>1935</v>
      </c>
      <c r="D106" s="816" t="s">
        <v>7801</v>
      </c>
      <c r="E106" s="816" t="s">
        <v>7858</v>
      </c>
      <c r="F106" s="826">
        <v>0</v>
      </c>
      <c r="G106" s="880">
        <v>1</v>
      </c>
      <c r="H106" s="826">
        <v>-105272.7</v>
      </c>
      <c r="I106" s="826">
        <v>79622.570000000007</v>
      </c>
      <c r="J106" s="826">
        <v>-25650.13</v>
      </c>
      <c r="K106" s="878">
        <v>-25650.13</v>
      </c>
    </row>
    <row r="107" spans="1:11" ht="22.5" customHeight="1" x14ac:dyDescent="0.25">
      <c r="A107" s="816" t="s">
        <v>171</v>
      </c>
      <c r="B107" s="880">
        <v>2025</v>
      </c>
      <c r="C107" s="816" t="s">
        <v>1935</v>
      </c>
      <c r="D107" s="816" t="s">
        <v>1952</v>
      </c>
      <c r="E107" s="816" t="s">
        <v>7859</v>
      </c>
      <c r="F107" s="826">
        <v>-513972.5</v>
      </c>
      <c r="G107" s="880">
        <v>0</v>
      </c>
      <c r="H107" s="465"/>
      <c r="I107" s="465"/>
      <c r="J107" s="826">
        <v>0</v>
      </c>
      <c r="K107" s="878">
        <v>-513972.5</v>
      </c>
    </row>
    <row r="108" spans="1:11" ht="22.5" customHeight="1" x14ac:dyDescent="0.25">
      <c r="A108" s="816" t="s">
        <v>171</v>
      </c>
      <c r="B108" s="880">
        <v>2025</v>
      </c>
      <c r="C108" s="816" t="s">
        <v>1953</v>
      </c>
      <c r="D108" s="816" t="s">
        <v>1954</v>
      </c>
      <c r="E108" s="816" t="s">
        <v>1985</v>
      </c>
      <c r="F108" s="826">
        <v>-460993.67</v>
      </c>
      <c r="G108" s="880">
        <v>0</v>
      </c>
      <c r="H108" s="465"/>
      <c r="I108" s="465"/>
      <c r="J108" s="826">
        <v>0</v>
      </c>
      <c r="K108" s="878">
        <v>-460993.67</v>
      </c>
    </row>
    <row r="109" spans="1:11" ht="22.5" customHeight="1" x14ac:dyDescent="0.25">
      <c r="A109" s="816" t="s">
        <v>176</v>
      </c>
      <c r="B109" s="880">
        <v>2025</v>
      </c>
      <c r="C109" s="816" t="s">
        <v>1854</v>
      </c>
      <c r="D109" s="816" t="s">
        <v>1855</v>
      </c>
      <c r="E109" s="816" t="s">
        <v>1986</v>
      </c>
      <c r="F109" s="826">
        <v>-180094.83</v>
      </c>
      <c r="G109" s="880">
        <v>0</v>
      </c>
      <c r="H109" s="465"/>
      <c r="I109" s="465"/>
      <c r="J109" s="826">
        <v>0</v>
      </c>
      <c r="K109" s="878">
        <v>-180094.83</v>
      </c>
    </row>
    <row r="110" spans="1:11" ht="22.5" customHeight="1" x14ac:dyDescent="0.25">
      <c r="A110" s="816" t="s">
        <v>176</v>
      </c>
      <c r="B110" s="880">
        <v>2025</v>
      </c>
      <c r="C110" s="816" t="s">
        <v>7746</v>
      </c>
      <c r="D110" s="816" t="s">
        <v>7747</v>
      </c>
      <c r="E110" s="816" t="s">
        <v>7750</v>
      </c>
      <c r="F110" s="826">
        <v>0</v>
      </c>
      <c r="G110" s="880">
        <v>0</v>
      </c>
      <c r="H110" s="465"/>
      <c r="I110" s="465"/>
      <c r="J110" s="826">
        <v>0</v>
      </c>
      <c r="K110" s="878">
        <v>0</v>
      </c>
    </row>
    <row r="111" spans="1:11" ht="22.5" customHeight="1" x14ac:dyDescent="0.25">
      <c r="A111" s="816" t="s">
        <v>176</v>
      </c>
      <c r="B111" s="880">
        <v>2025</v>
      </c>
      <c r="C111" s="816" t="s">
        <v>1857</v>
      </c>
      <c r="D111" s="816" t="s">
        <v>1858</v>
      </c>
      <c r="E111" s="816" t="s">
        <v>1987</v>
      </c>
      <c r="F111" s="826">
        <v>-21159.95</v>
      </c>
      <c r="G111" s="880">
        <v>0</v>
      </c>
      <c r="H111" s="465"/>
      <c r="I111" s="465"/>
      <c r="J111" s="826">
        <v>0</v>
      </c>
      <c r="K111" s="878">
        <v>-21159.95</v>
      </c>
    </row>
    <row r="112" spans="1:11" ht="22.5" customHeight="1" x14ac:dyDescent="0.25">
      <c r="A112" s="816" t="s">
        <v>176</v>
      </c>
      <c r="B112" s="880">
        <v>2025</v>
      </c>
      <c r="C112" s="816" t="s">
        <v>1860</v>
      </c>
      <c r="D112" s="816" t="s">
        <v>1861</v>
      </c>
      <c r="E112" s="816" t="s">
        <v>1988</v>
      </c>
      <c r="F112" s="826">
        <v>0</v>
      </c>
      <c r="G112" s="880">
        <v>0</v>
      </c>
      <c r="H112" s="465"/>
      <c r="I112" s="465"/>
      <c r="J112" s="826">
        <v>0</v>
      </c>
      <c r="K112" s="878">
        <v>0</v>
      </c>
    </row>
    <row r="113" spans="1:11" ht="22.5" customHeight="1" x14ac:dyDescent="0.25">
      <c r="A113" s="816" t="s">
        <v>176</v>
      </c>
      <c r="B113" s="880">
        <v>2025</v>
      </c>
      <c r="C113" s="816" t="s">
        <v>1863</v>
      </c>
      <c r="D113" s="816" t="s">
        <v>1864</v>
      </c>
      <c r="E113" s="816" t="s">
        <v>1989</v>
      </c>
      <c r="F113" s="826">
        <v>0</v>
      </c>
      <c r="G113" s="880">
        <v>0</v>
      </c>
      <c r="H113" s="465"/>
      <c r="I113" s="465"/>
      <c r="J113" s="826">
        <v>0</v>
      </c>
      <c r="K113" s="878">
        <v>0</v>
      </c>
    </row>
    <row r="114" spans="1:11" ht="22.5" customHeight="1" x14ac:dyDescent="0.25">
      <c r="A114" s="816" t="s">
        <v>176</v>
      </c>
      <c r="B114" s="880">
        <v>2025</v>
      </c>
      <c r="C114" s="816" t="s">
        <v>1866</v>
      </c>
      <c r="D114" s="816" t="s">
        <v>1867</v>
      </c>
      <c r="E114" s="816" t="s">
        <v>1990</v>
      </c>
      <c r="F114" s="826">
        <v>0</v>
      </c>
      <c r="G114" s="880">
        <v>0</v>
      </c>
      <c r="H114" s="465"/>
      <c r="I114" s="465"/>
      <c r="J114" s="826">
        <v>0</v>
      </c>
      <c r="K114" s="878">
        <v>0</v>
      </c>
    </row>
    <row r="115" spans="1:11" ht="22.5" customHeight="1" x14ac:dyDescent="0.25">
      <c r="A115" s="816" t="s">
        <v>176</v>
      </c>
      <c r="B115" s="880">
        <v>2025</v>
      </c>
      <c r="C115" s="816" t="s">
        <v>1869</v>
      </c>
      <c r="D115" s="816" t="s">
        <v>1870</v>
      </c>
      <c r="E115" s="816" t="s">
        <v>1991</v>
      </c>
      <c r="F115" s="826">
        <v>0</v>
      </c>
      <c r="G115" s="880">
        <v>0</v>
      </c>
      <c r="H115" s="465"/>
      <c r="I115" s="465"/>
      <c r="J115" s="826">
        <v>0</v>
      </c>
      <c r="K115" s="878">
        <v>0</v>
      </c>
    </row>
    <row r="116" spans="1:11" ht="22.5" customHeight="1" x14ac:dyDescent="0.25">
      <c r="A116" s="816" t="s">
        <v>176</v>
      </c>
      <c r="B116" s="880">
        <v>2025</v>
      </c>
      <c r="C116" s="816" t="s">
        <v>1872</v>
      </c>
      <c r="D116" s="816" t="s">
        <v>1873</v>
      </c>
      <c r="E116" s="816" t="s">
        <v>1992</v>
      </c>
      <c r="F116" s="826">
        <v>0</v>
      </c>
      <c r="G116" s="880">
        <v>0</v>
      </c>
      <c r="H116" s="465"/>
      <c r="I116" s="465"/>
      <c r="J116" s="826">
        <v>0</v>
      </c>
      <c r="K116" s="878">
        <v>0</v>
      </c>
    </row>
    <row r="117" spans="1:11" ht="22.5" customHeight="1" x14ac:dyDescent="0.25">
      <c r="A117" s="816" t="s">
        <v>176</v>
      </c>
      <c r="B117" s="880">
        <v>2025</v>
      </c>
      <c r="C117" s="816" t="s">
        <v>1875</v>
      </c>
      <c r="D117" s="816" t="s">
        <v>1876</v>
      </c>
      <c r="E117" s="816" t="s">
        <v>1993</v>
      </c>
      <c r="F117" s="826">
        <v>0</v>
      </c>
      <c r="G117" s="880">
        <v>0</v>
      </c>
      <c r="H117" s="465"/>
      <c r="I117" s="465"/>
      <c r="J117" s="826">
        <v>0</v>
      </c>
      <c r="K117" s="878">
        <v>0</v>
      </c>
    </row>
    <row r="118" spans="1:11" ht="22.5" customHeight="1" x14ac:dyDescent="0.25">
      <c r="A118" s="816" t="s">
        <v>176</v>
      </c>
      <c r="B118" s="880">
        <v>2025</v>
      </c>
      <c r="C118" s="816" t="s">
        <v>1878</v>
      </c>
      <c r="D118" s="816" t="s">
        <v>1879</v>
      </c>
      <c r="E118" s="816" t="s">
        <v>1994</v>
      </c>
      <c r="F118" s="826">
        <v>0</v>
      </c>
      <c r="G118" s="880">
        <v>0</v>
      </c>
      <c r="H118" s="465"/>
      <c r="I118" s="465"/>
      <c r="J118" s="826">
        <v>0</v>
      </c>
      <c r="K118" s="878">
        <v>0</v>
      </c>
    </row>
    <row r="119" spans="1:11" ht="22.5" customHeight="1" x14ac:dyDescent="0.25">
      <c r="A119" s="816" t="s">
        <v>176</v>
      </c>
      <c r="B119" s="880">
        <v>2025</v>
      </c>
      <c r="C119" s="816" t="s">
        <v>1881</v>
      </c>
      <c r="D119" s="816" t="s">
        <v>1882</v>
      </c>
      <c r="E119" s="816" t="s">
        <v>1995</v>
      </c>
      <c r="F119" s="826">
        <v>0</v>
      </c>
      <c r="G119" s="880">
        <v>0</v>
      </c>
      <c r="H119" s="465"/>
      <c r="I119" s="465"/>
      <c r="J119" s="826">
        <v>0</v>
      </c>
      <c r="K119" s="878">
        <v>0</v>
      </c>
    </row>
    <row r="120" spans="1:11" ht="22.5" customHeight="1" x14ac:dyDescent="0.25">
      <c r="A120" s="816" t="s">
        <v>176</v>
      </c>
      <c r="B120" s="880">
        <v>2025</v>
      </c>
      <c r="C120" s="816" t="s">
        <v>1884</v>
      </c>
      <c r="D120" s="816" t="s">
        <v>1885</v>
      </c>
      <c r="E120" s="816" t="s">
        <v>1996</v>
      </c>
      <c r="F120" s="826">
        <v>11844.65</v>
      </c>
      <c r="G120" s="880">
        <v>0</v>
      </c>
      <c r="H120" s="465"/>
      <c r="I120" s="465"/>
      <c r="J120" s="826">
        <v>0</v>
      </c>
      <c r="K120" s="878">
        <v>11844.65</v>
      </c>
    </row>
    <row r="121" spans="1:11" ht="22.5" customHeight="1" x14ac:dyDescent="0.25">
      <c r="A121" s="816" t="s">
        <v>176</v>
      </c>
      <c r="B121" s="880">
        <v>2025</v>
      </c>
      <c r="C121" s="816" t="s">
        <v>1887</v>
      </c>
      <c r="D121" s="816" t="s">
        <v>138</v>
      </c>
      <c r="E121" s="816" t="s">
        <v>1997</v>
      </c>
      <c r="F121" s="826">
        <v>0</v>
      </c>
      <c r="G121" s="880">
        <v>1</v>
      </c>
      <c r="H121" s="465"/>
      <c r="I121" s="465"/>
      <c r="J121" s="826">
        <v>0</v>
      </c>
      <c r="K121" s="878">
        <v>0</v>
      </c>
    </row>
    <row r="122" spans="1:11" ht="22.5" customHeight="1" x14ac:dyDescent="0.25">
      <c r="A122" s="816" t="s">
        <v>176</v>
      </c>
      <c r="B122" s="880">
        <v>2025</v>
      </c>
      <c r="C122" s="816" t="s">
        <v>1889</v>
      </c>
      <c r="D122" s="816" t="s">
        <v>139</v>
      </c>
      <c r="E122" s="816" t="s">
        <v>1998</v>
      </c>
      <c r="F122" s="826">
        <v>-4321.32</v>
      </c>
      <c r="G122" s="880">
        <v>1</v>
      </c>
      <c r="H122" s="826">
        <v>-4321.32</v>
      </c>
      <c r="I122" s="465"/>
      <c r="J122" s="826">
        <v>-4321.32</v>
      </c>
      <c r="K122" s="878">
        <v>-4321.32</v>
      </c>
    </row>
    <row r="123" spans="1:11" ht="22.5" customHeight="1" x14ac:dyDescent="0.25">
      <c r="A123" s="816" t="s">
        <v>176</v>
      </c>
      <c r="B123" s="880">
        <v>2025</v>
      </c>
      <c r="C123" s="816" t="s">
        <v>1891</v>
      </c>
      <c r="D123" s="816" t="s">
        <v>1892</v>
      </c>
      <c r="E123" s="816" t="s">
        <v>1999</v>
      </c>
      <c r="F123" s="826">
        <v>0</v>
      </c>
      <c r="G123" s="880">
        <v>0</v>
      </c>
      <c r="H123" s="465"/>
      <c r="I123" s="465"/>
      <c r="J123" s="826">
        <v>0</v>
      </c>
      <c r="K123" s="878">
        <v>0</v>
      </c>
    </row>
    <row r="124" spans="1:11" ht="22.5" customHeight="1" x14ac:dyDescent="0.25">
      <c r="A124" s="816" t="s">
        <v>176</v>
      </c>
      <c r="B124" s="880">
        <v>2025</v>
      </c>
      <c r="C124" s="816" t="s">
        <v>1891</v>
      </c>
      <c r="D124" s="816" t="s">
        <v>1894</v>
      </c>
      <c r="E124" s="816" t="s">
        <v>1999</v>
      </c>
      <c r="F124" s="826">
        <v>0</v>
      </c>
      <c r="G124" s="880">
        <v>0</v>
      </c>
      <c r="H124" s="465"/>
      <c r="I124" s="465"/>
      <c r="J124" s="826">
        <v>0</v>
      </c>
      <c r="K124" s="881">
        <v>0</v>
      </c>
    </row>
    <row r="125" spans="1:11" ht="22.5" customHeight="1" x14ac:dyDescent="0.25">
      <c r="A125" s="816" t="s">
        <v>176</v>
      </c>
      <c r="B125" s="880">
        <v>2025</v>
      </c>
      <c r="C125" s="816" t="s">
        <v>1895</v>
      </c>
      <c r="D125" s="816" t="s">
        <v>1896</v>
      </c>
      <c r="E125" s="816" t="s">
        <v>2000</v>
      </c>
      <c r="F125" s="826">
        <v>0</v>
      </c>
      <c r="G125" s="880">
        <v>0</v>
      </c>
      <c r="H125" s="465"/>
      <c r="I125" s="465"/>
      <c r="J125" s="826">
        <v>0</v>
      </c>
      <c r="K125" s="878">
        <v>0</v>
      </c>
    </row>
    <row r="126" spans="1:11" ht="22.5" customHeight="1" x14ac:dyDescent="0.25">
      <c r="A126" s="816" t="s">
        <v>176</v>
      </c>
      <c r="B126" s="880">
        <v>2025</v>
      </c>
      <c r="C126" s="816" t="s">
        <v>1898</v>
      </c>
      <c r="D126" s="816" t="s">
        <v>1899</v>
      </c>
      <c r="E126" s="816" t="s">
        <v>2001</v>
      </c>
      <c r="F126" s="826">
        <v>0</v>
      </c>
      <c r="G126" s="880">
        <v>0</v>
      </c>
      <c r="H126" s="465"/>
      <c r="I126" s="465"/>
      <c r="J126" s="826">
        <v>0</v>
      </c>
      <c r="K126" s="878">
        <v>0</v>
      </c>
    </row>
    <row r="127" spans="1:11" ht="22.5" customHeight="1" x14ac:dyDescent="0.25">
      <c r="A127" s="816" t="s">
        <v>176</v>
      </c>
      <c r="B127" s="880">
        <v>2025</v>
      </c>
      <c r="C127" s="816" t="s">
        <v>1901</v>
      </c>
      <c r="D127" s="816" t="s">
        <v>1902</v>
      </c>
      <c r="E127" s="816" t="s">
        <v>2002</v>
      </c>
      <c r="F127" s="826">
        <v>0</v>
      </c>
      <c r="G127" s="880">
        <v>0</v>
      </c>
      <c r="H127" s="465"/>
      <c r="I127" s="465"/>
      <c r="J127" s="826">
        <v>0</v>
      </c>
      <c r="K127" s="878">
        <v>0</v>
      </c>
    </row>
    <row r="128" spans="1:11" ht="22.5" customHeight="1" x14ac:dyDescent="0.25">
      <c r="A128" s="816" t="s">
        <v>176</v>
      </c>
      <c r="B128" s="880">
        <v>2025</v>
      </c>
      <c r="C128" s="816" t="s">
        <v>1904</v>
      </c>
      <c r="D128" s="816" t="s">
        <v>1905</v>
      </c>
      <c r="E128" s="816" t="s">
        <v>2003</v>
      </c>
      <c r="F128" s="826">
        <v>0</v>
      </c>
      <c r="G128" s="880">
        <v>0</v>
      </c>
      <c r="H128" s="465"/>
      <c r="I128" s="465"/>
      <c r="J128" s="826">
        <v>0</v>
      </c>
      <c r="K128" s="878">
        <v>0</v>
      </c>
    </row>
    <row r="129" spans="1:11" ht="22.5" customHeight="1" x14ac:dyDescent="0.25">
      <c r="A129" s="816" t="s">
        <v>176</v>
      </c>
      <c r="B129" s="880">
        <v>2025</v>
      </c>
      <c r="C129" s="816" t="s">
        <v>1907</v>
      </c>
      <c r="D129" s="816" t="s">
        <v>1908</v>
      </c>
      <c r="E129" s="816" t="s">
        <v>2004</v>
      </c>
      <c r="F129" s="826">
        <v>0</v>
      </c>
      <c r="G129" s="880">
        <v>0</v>
      </c>
      <c r="H129" s="465"/>
      <c r="I129" s="465"/>
      <c r="J129" s="826">
        <v>0</v>
      </c>
      <c r="K129" s="878">
        <v>0</v>
      </c>
    </row>
    <row r="130" spans="1:11" ht="22.5" customHeight="1" x14ac:dyDescent="0.25">
      <c r="A130" s="816" t="s">
        <v>176</v>
      </c>
      <c r="B130" s="880">
        <v>2025</v>
      </c>
      <c r="C130" s="816" t="s">
        <v>1910</v>
      </c>
      <c r="D130" s="816" t="s">
        <v>1911</v>
      </c>
      <c r="E130" s="816" t="s">
        <v>2005</v>
      </c>
      <c r="F130" s="826">
        <v>0</v>
      </c>
      <c r="G130" s="880">
        <v>0</v>
      </c>
      <c r="H130" s="465"/>
      <c r="I130" s="465"/>
      <c r="J130" s="826">
        <v>0</v>
      </c>
      <c r="K130" s="878">
        <v>0</v>
      </c>
    </row>
    <row r="131" spans="1:11" ht="22.5" customHeight="1" x14ac:dyDescent="0.25">
      <c r="A131" s="816" t="s">
        <v>176</v>
      </c>
      <c r="B131" s="880">
        <v>2025</v>
      </c>
      <c r="C131" s="816" t="s">
        <v>1913</v>
      </c>
      <c r="D131" s="816" t="s">
        <v>1914</v>
      </c>
      <c r="E131" s="816" t="s">
        <v>2006</v>
      </c>
      <c r="F131" s="826">
        <v>-41406.050000000003</v>
      </c>
      <c r="G131" s="880">
        <v>1</v>
      </c>
      <c r="H131" s="826">
        <v>-41143.49</v>
      </c>
      <c r="I131" s="826">
        <v>-262.56</v>
      </c>
      <c r="J131" s="826">
        <v>-41406.050000000003</v>
      </c>
      <c r="K131" s="878">
        <v>-41406.050000000003</v>
      </c>
    </row>
    <row r="132" spans="1:11" ht="22.5" customHeight="1" x14ac:dyDescent="0.25">
      <c r="A132" s="816" t="s">
        <v>176</v>
      </c>
      <c r="B132" s="880">
        <v>2025</v>
      </c>
      <c r="C132" s="816" t="s">
        <v>1913</v>
      </c>
      <c r="D132" s="816" t="s">
        <v>1916</v>
      </c>
      <c r="E132" s="816" t="s">
        <v>2006</v>
      </c>
      <c r="F132" s="826">
        <v>0</v>
      </c>
      <c r="G132" s="880">
        <v>0</v>
      </c>
      <c r="H132" s="465"/>
      <c r="I132" s="465"/>
      <c r="J132" s="826">
        <v>0</v>
      </c>
      <c r="K132" s="881">
        <v>0</v>
      </c>
    </row>
    <row r="133" spans="1:11" ht="22.5" customHeight="1" x14ac:dyDescent="0.25">
      <c r="A133" s="816" t="s">
        <v>176</v>
      </c>
      <c r="B133" s="880">
        <v>2025</v>
      </c>
      <c r="C133" s="816" t="s">
        <v>1913</v>
      </c>
      <c r="D133" s="816" t="s">
        <v>1917</v>
      </c>
      <c r="E133" s="816" t="s">
        <v>2006</v>
      </c>
      <c r="F133" s="826">
        <v>0</v>
      </c>
      <c r="G133" s="880">
        <v>0</v>
      </c>
      <c r="H133" s="465"/>
      <c r="I133" s="465"/>
      <c r="J133" s="826">
        <v>0</v>
      </c>
      <c r="K133" s="881">
        <v>0</v>
      </c>
    </row>
    <row r="134" spans="1:11" ht="22.5" customHeight="1" x14ac:dyDescent="0.25">
      <c r="A134" s="816" t="s">
        <v>176</v>
      </c>
      <c r="B134" s="880">
        <v>2025</v>
      </c>
      <c r="C134" s="816" t="s">
        <v>1913</v>
      </c>
      <c r="D134" s="816" t="s">
        <v>1918</v>
      </c>
      <c r="E134" s="816" t="s">
        <v>2006</v>
      </c>
      <c r="F134" s="826">
        <v>0</v>
      </c>
      <c r="G134" s="880">
        <v>0</v>
      </c>
      <c r="H134" s="465"/>
      <c r="I134" s="465"/>
      <c r="J134" s="826">
        <v>0</v>
      </c>
      <c r="K134" s="881">
        <v>-208.03</v>
      </c>
    </row>
    <row r="135" spans="1:11" ht="22.5" customHeight="1" x14ac:dyDescent="0.25">
      <c r="A135" s="816" t="s">
        <v>176</v>
      </c>
      <c r="B135" s="880">
        <v>2025</v>
      </c>
      <c r="C135" s="816" t="s">
        <v>1913</v>
      </c>
      <c r="D135" s="816" t="s">
        <v>1919</v>
      </c>
      <c r="E135" s="816" t="s">
        <v>2006</v>
      </c>
      <c r="F135" s="826">
        <v>0</v>
      </c>
      <c r="G135" s="880">
        <v>0</v>
      </c>
      <c r="H135" s="465"/>
      <c r="I135" s="465"/>
      <c r="J135" s="826">
        <v>0</v>
      </c>
      <c r="K135" s="881">
        <v>11178.18</v>
      </c>
    </row>
    <row r="136" spans="1:11" ht="22.5" customHeight="1" x14ac:dyDescent="0.25">
      <c r="A136" s="816" t="s">
        <v>176</v>
      </c>
      <c r="B136" s="880">
        <v>2025</v>
      </c>
      <c r="C136" s="816" t="s">
        <v>1920</v>
      </c>
      <c r="D136" s="816" t="s">
        <v>1921</v>
      </c>
      <c r="E136" s="816" t="s">
        <v>2007</v>
      </c>
      <c r="F136" s="826">
        <v>0</v>
      </c>
      <c r="G136" s="880">
        <v>0</v>
      </c>
      <c r="H136" s="465"/>
      <c r="I136" s="465"/>
      <c r="J136" s="826">
        <v>0</v>
      </c>
      <c r="K136" s="878">
        <v>0</v>
      </c>
    </row>
    <row r="137" spans="1:11" ht="22.5" customHeight="1" x14ac:dyDescent="0.25">
      <c r="A137" s="816" t="s">
        <v>176</v>
      </c>
      <c r="B137" s="880">
        <v>2025</v>
      </c>
      <c r="C137" s="816" t="s">
        <v>1923</v>
      </c>
      <c r="D137" s="816" t="s">
        <v>143</v>
      </c>
      <c r="E137" s="816" t="s">
        <v>2008</v>
      </c>
      <c r="F137" s="826">
        <v>48942.57</v>
      </c>
      <c r="G137" s="880">
        <v>1</v>
      </c>
      <c r="H137" s="826">
        <v>43413.73</v>
      </c>
      <c r="I137" s="826">
        <v>5528.84</v>
      </c>
      <c r="J137" s="826">
        <v>48942.57</v>
      </c>
      <c r="K137" s="878">
        <v>48942.57</v>
      </c>
    </row>
    <row r="138" spans="1:11" ht="22.5" customHeight="1" x14ac:dyDescent="0.25">
      <c r="A138" s="816" t="s">
        <v>176</v>
      </c>
      <c r="B138" s="880">
        <v>2025</v>
      </c>
      <c r="C138" s="816" t="s">
        <v>1925</v>
      </c>
      <c r="D138" s="816" t="s">
        <v>144</v>
      </c>
      <c r="E138" s="816" t="s">
        <v>2009</v>
      </c>
      <c r="F138" s="826">
        <v>12789.34</v>
      </c>
      <c r="G138" s="880">
        <v>1</v>
      </c>
      <c r="H138" s="826">
        <v>10825.25</v>
      </c>
      <c r="I138" s="826">
        <v>1964.09</v>
      </c>
      <c r="J138" s="826">
        <v>12789.34</v>
      </c>
      <c r="K138" s="878">
        <v>12789.34</v>
      </c>
    </row>
    <row r="139" spans="1:11" ht="22.5" customHeight="1" x14ac:dyDescent="0.25">
      <c r="A139" s="816" t="s">
        <v>176</v>
      </c>
      <c r="B139" s="880">
        <v>2025</v>
      </c>
      <c r="C139" s="816" t="s">
        <v>1927</v>
      </c>
      <c r="D139" s="816" t="s">
        <v>1928</v>
      </c>
      <c r="E139" s="816" t="s">
        <v>2010</v>
      </c>
      <c r="F139" s="826">
        <v>-77365.100000000006</v>
      </c>
      <c r="G139" s="880">
        <v>1</v>
      </c>
      <c r="H139" s="826">
        <v>-71255.520000000004</v>
      </c>
      <c r="I139" s="826">
        <v>-6109.58</v>
      </c>
      <c r="J139" s="826">
        <v>-77365.100000000006</v>
      </c>
      <c r="K139" s="878">
        <v>-77365.100000000006</v>
      </c>
    </row>
    <row r="140" spans="1:11" ht="22.5" customHeight="1" x14ac:dyDescent="0.25">
      <c r="A140" s="816" t="s">
        <v>176</v>
      </c>
      <c r="B140" s="880">
        <v>2025</v>
      </c>
      <c r="C140" s="816" t="s">
        <v>1930</v>
      </c>
      <c r="D140" s="816" t="s">
        <v>156</v>
      </c>
      <c r="E140" s="816" t="s">
        <v>2011</v>
      </c>
      <c r="F140" s="826">
        <v>51116.67</v>
      </c>
      <c r="G140" s="880">
        <v>1</v>
      </c>
      <c r="H140" s="826">
        <v>47660.71</v>
      </c>
      <c r="I140" s="826">
        <v>3455.96</v>
      </c>
      <c r="J140" s="826">
        <v>51116.67</v>
      </c>
      <c r="K140" s="878">
        <v>51116.67</v>
      </c>
    </row>
    <row r="141" spans="1:11" ht="22.5" customHeight="1" x14ac:dyDescent="0.25">
      <c r="A141" s="816" t="s">
        <v>176</v>
      </c>
      <c r="B141" s="880">
        <v>2025</v>
      </c>
      <c r="C141" s="816" t="s">
        <v>1932</v>
      </c>
      <c r="D141" s="816" t="s">
        <v>1933</v>
      </c>
      <c r="E141" s="816" t="s">
        <v>2012</v>
      </c>
      <c r="F141" s="826">
        <v>-26966.799999999999</v>
      </c>
      <c r="G141" s="880">
        <v>0</v>
      </c>
      <c r="H141" s="465"/>
      <c r="I141" s="465"/>
      <c r="J141" s="826">
        <v>0</v>
      </c>
      <c r="K141" s="878">
        <v>-26966.799999999999</v>
      </c>
    </row>
    <row r="142" spans="1:11" ht="22.5" customHeight="1" x14ac:dyDescent="0.25">
      <c r="A142" s="816" t="s">
        <v>176</v>
      </c>
      <c r="B142" s="880">
        <v>2025</v>
      </c>
      <c r="C142" s="816" t="s">
        <v>1935</v>
      </c>
      <c r="D142" s="816" t="s">
        <v>1936</v>
      </c>
      <c r="E142" s="816" t="s">
        <v>7860</v>
      </c>
      <c r="F142" s="826">
        <v>0</v>
      </c>
      <c r="G142" s="880">
        <v>1</v>
      </c>
      <c r="H142" s="465"/>
      <c r="I142" s="465"/>
      <c r="J142" s="826">
        <v>0</v>
      </c>
      <c r="K142" s="878">
        <v>0</v>
      </c>
    </row>
    <row r="143" spans="1:11" ht="22.5" customHeight="1" x14ac:dyDescent="0.25">
      <c r="A143" s="816" t="s">
        <v>176</v>
      </c>
      <c r="B143" s="880">
        <v>2025</v>
      </c>
      <c r="C143" s="816" t="s">
        <v>1935</v>
      </c>
      <c r="D143" s="816" t="s">
        <v>1937</v>
      </c>
      <c r="E143" s="816" t="s">
        <v>7861</v>
      </c>
      <c r="F143" s="826">
        <v>0</v>
      </c>
      <c r="G143" s="880">
        <v>1</v>
      </c>
      <c r="H143" s="465"/>
      <c r="I143" s="465"/>
      <c r="J143" s="826">
        <v>0</v>
      </c>
      <c r="K143" s="878">
        <v>0</v>
      </c>
    </row>
    <row r="144" spans="1:11" ht="22.5" customHeight="1" x14ac:dyDescent="0.25">
      <c r="A144" s="816" t="s">
        <v>176</v>
      </c>
      <c r="B144" s="880">
        <v>2025</v>
      </c>
      <c r="C144" s="816" t="s">
        <v>1935</v>
      </c>
      <c r="D144" s="816" t="s">
        <v>1938</v>
      </c>
      <c r="E144" s="816" t="s">
        <v>7862</v>
      </c>
      <c r="F144" s="826">
        <v>0</v>
      </c>
      <c r="G144" s="880">
        <v>1</v>
      </c>
      <c r="H144" s="465"/>
      <c r="I144" s="465"/>
      <c r="J144" s="826">
        <v>0</v>
      </c>
      <c r="K144" s="878">
        <v>0</v>
      </c>
    </row>
    <row r="145" spans="1:11" ht="22.5" customHeight="1" x14ac:dyDescent="0.25">
      <c r="A145" s="816" t="s">
        <v>176</v>
      </c>
      <c r="B145" s="880">
        <v>2025</v>
      </c>
      <c r="C145" s="816" t="s">
        <v>1935</v>
      </c>
      <c r="D145" s="816" t="s">
        <v>1939</v>
      </c>
      <c r="E145" s="816" t="s">
        <v>7863</v>
      </c>
      <c r="F145" s="826">
        <v>0</v>
      </c>
      <c r="G145" s="880">
        <v>1</v>
      </c>
      <c r="H145" s="465"/>
      <c r="I145" s="465"/>
      <c r="J145" s="826">
        <v>0</v>
      </c>
      <c r="K145" s="878">
        <v>0</v>
      </c>
    </row>
    <row r="146" spans="1:11" ht="22.5" customHeight="1" x14ac:dyDescent="0.25">
      <c r="A146" s="816" t="s">
        <v>176</v>
      </c>
      <c r="B146" s="880">
        <v>2025</v>
      </c>
      <c r="C146" s="816" t="s">
        <v>1935</v>
      </c>
      <c r="D146" s="816" t="s">
        <v>1940</v>
      </c>
      <c r="E146" s="816" t="s">
        <v>7864</v>
      </c>
      <c r="F146" s="826">
        <v>0</v>
      </c>
      <c r="G146" s="880">
        <v>1</v>
      </c>
      <c r="H146" s="465"/>
      <c r="I146" s="465"/>
      <c r="J146" s="826">
        <v>0</v>
      </c>
      <c r="K146" s="878">
        <v>0</v>
      </c>
    </row>
    <row r="147" spans="1:11" ht="22.5" customHeight="1" x14ac:dyDescent="0.25">
      <c r="A147" s="816" t="s">
        <v>176</v>
      </c>
      <c r="B147" s="880">
        <v>2025</v>
      </c>
      <c r="C147" s="816" t="s">
        <v>1935</v>
      </c>
      <c r="D147" s="816" t="s">
        <v>1941</v>
      </c>
      <c r="E147" s="816" t="s">
        <v>7865</v>
      </c>
      <c r="F147" s="826">
        <v>0</v>
      </c>
      <c r="G147" s="880">
        <v>1</v>
      </c>
      <c r="H147" s="465"/>
      <c r="I147" s="465"/>
      <c r="J147" s="826">
        <v>0</v>
      </c>
      <c r="K147" s="878">
        <v>0</v>
      </c>
    </row>
    <row r="148" spans="1:11" ht="22.5" customHeight="1" x14ac:dyDescent="0.25">
      <c r="A148" s="816" t="s">
        <v>176</v>
      </c>
      <c r="B148" s="880">
        <v>2025</v>
      </c>
      <c r="C148" s="816" t="s">
        <v>1935</v>
      </c>
      <c r="D148" s="816" t="s">
        <v>1942</v>
      </c>
      <c r="E148" s="816" t="s">
        <v>7866</v>
      </c>
      <c r="F148" s="826">
        <v>0</v>
      </c>
      <c r="G148" s="880">
        <v>1</v>
      </c>
      <c r="H148" s="465"/>
      <c r="I148" s="465"/>
      <c r="J148" s="826">
        <v>0</v>
      </c>
      <c r="K148" s="878">
        <v>0</v>
      </c>
    </row>
    <row r="149" spans="1:11" ht="22.5" customHeight="1" x14ac:dyDescent="0.25">
      <c r="A149" s="816" t="s">
        <v>176</v>
      </c>
      <c r="B149" s="880">
        <v>2025</v>
      </c>
      <c r="C149" s="816" t="s">
        <v>1935</v>
      </c>
      <c r="D149" s="816" t="s">
        <v>1943</v>
      </c>
      <c r="E149" s="816" t="s">
        <v>7867</v>
      </c>
      <c r="F149" s="826">
        <v>0</v>
      </c>
      <c r="G149" s="880">
        <v>1</v>
      </c>
      <c r="H149" s="465"/>
      <c r="I149" s="465"/>
      <c r="J149" s="826">
        <v>0</v>
      </c>
      <c r="K149" s="878">
        <v>0</v>
      </c>
    </row>
    <row r="150" spans="1:11" ht="22.5" customHeight="1" x14ac:dyDescent="0.25">
      <c r="A150" s="816" t="s">
        <v>176</v>
      </c>
      <c r="B150" s="880">
        <v>2025</v>
      </c>
      <c r="C150" s="816" t="s">
        <v>1935</v>
      </c>
      <c r="D150" s="816" t="s">
        <v>1944</v>
      </c>
      <c r="E150" s="816" t="s">
        <v>7868</v>
      </c>
      <c r="F150" s="826">
        <v>0</v>
      </c>
      <c r="G150" s="880">
        <v>1</v>
      </c>
      <c r="H150" s="465"/>
      <c r="I150" s="465"/>
      <c r="J150" s="826">
        <v>0</v>
      </c>
      <c r="K150" s="878">
        <v>0</v>
      </c>
    </row>
    <row r="151" spans="1:11" ht="22.5" customHeight="1" x14ac:dyDescent="0.25">
      <c r="A151" s="816" t="s">
        <v>176</v>
      </c>
      <c r="B151" s="880">
        <v>2025</v>
      </c>
      <c r="C151" s="816" t="s">
        <v>1935</v>
      </c>
      <c r="D151" s="816" t="s">
        <v>1945</v>
      </c>
      <c r="E151" s="816" t="s">
        <v>7869</v>
      </c>
      <c r="F151" s="826">
        <v>0</v>
      </c>
      <c r="G151" s="880">
        <v>1</v>
      </c>
      <c r="H151" s="465"/>
      <c r="I151" s="465"/>
      <c r="J151" s="826">
        <v>0</v>
      </c>
      <c r="K151" s="878">
        <v>0</v>
      </c>
    </row>
    <row r="152" spans="1:11" ht="22.5" customHeight="1" x14ac:dyDescent="0.25">
      <c r="A152" s="816" t="s">
        <v>176</v>
      </c>
      <c r="B152" s="880">
        <v>2025</v>
      </c>
      <c r="C152" s="816" t="s">
        <v>1935</v>
      </c>
      <c r="D152" s="816" t="s">
        <v>1946</v>
      </c>
      <c r="E152" s="816" t="s">
        <v>7870</v>
      </c>
      <c r="F152" s="826">
        <v>0</v>
      </c>
      <c r="G152" s="880">
        <v>1</v>
      </c>
      <c r="H152" s="465"/>
      <c r="I152" s="465"/>
      <c r="J152" s="826">
        <v>0</v>
      </c>
      <c r="K152" s="878">
        <v>0</v>
      </c>
    </row>
    <row r="153" spans="1:11" ht="22.5" customHeight="1" x14ac:dyDescent="0.25">
      <c r="A153" s="816" t="s">
        <v>176</v>
      </c>
      <c r="B153" s="880">
        <v>2025</v>
      </c>
      <c r="C153" s="816" t="s">
        <v>1935</v>
      </c>
      <c r="D153" s="816" t="s">
        <v>1947</v>
      </c>
      <c r="E153" s="816" t="s">
        <v>7871</v>
      </c>
      <c r="F153" s="826">
        <v>0</v>
      </c>
      <c r="G153" s="880">
        <v>1</v>
      </c>
      <c r="H153" s="465"/>
      <c r="I153" s="465"/>
      <c r="J153" s="826">
        <v>0</v>
      </c>
      <c r="K153" s="878">
        <v>0</v>
      </c>
    </row>
    <row r="154" spans="1:11" ht="22.5" customHeight="1" x14ac:dyDescent="0.25">
      <c r="A154" s="816" t="s">
        <v>176</v>
      </c>
      <c r="B154" s="880">
        <v>2025</v>
      </c>
      <c r="C154" s="816" t="s">
        <v>1935</v>
      </c>
      <c r="D154" s="816" t="s">
        <v>1948</v>
      </c>
      <c r="E154" s="816" t="s">
        <v>7872</v>
      </c>
      <c r="F154" s="826">
        <v>0</v>
      </c>
      <c r="G154" s="880">
        <v>1</v>
      </c>
      <c r="H154" s="826">
        <v>-23932.45</v>
      </c>
      <c r="I154" s="826">
        <v>-5471.21</v>
      </c>
      <c r="J154" s="826">
        <v>-29403.66</v>
      </c>
      <c r="K154" s="878">
        <v>-29403.66</v>
      </c>
    </row>
    <row r="155" spans="1:11" ht="22.5" customHeight="1" x14ac:dyDescent="0.25">
      <c r="A155" s="816" t="s">
        <v>176</v>
      </c>
      <c r="B155" s="880">
        <v>2025</v>
      </c>
      <c r="C155" s="816" t="s">
        <v>1935</v>
      </c>
      <c r="D155" s="816" t="s">
        <v>1949</v>
      </c>
      <c r="E155" s="816" t="s">
        <v>7873</v>
      </c>
      <c r="F155" s="826">
        <v>0</v>
      </c>
      <c r="G155" s="880">
        <v>1</v>
      </c>
      <c r="H155" s="826">
        <v>-7875.64</v>
      </c>
      <c r="I155" s="826">
        <v>4060.71</v>
      </c>
      <c r="J155" s="826">
        <v>-3814.93</v>
      </c>
      <c r="K155" s="878">
        <v>-3814.93</v>
      </c>
    </row>
    <row r="156" spans="1:11" ht="22.5" customHeight="1" x14ac:dyDescent="0.25">
      <c r="A156" s="816" t="s">
        <v>176</v>
      </c>
      <c r="B156" s="880">
        <v>2025</v>
      </c>
      <c r="C156" s="816" t="s">
        <v>1935</v>
      </c>
      <c r="D156" s="816" t="s">
        <v>1950</v>
      </c>
      <c r="E156" s="816" t="s">
        <v>7874</v>
      </c>
      <c r="F156" s="826">
        <v>0</v>
      </c>
      <c r="G156" s="880">
        <v>1</v>
      </c>
      <c r="H156" s="826">
        <v>277</v>
      </c>
      <c r="I156" s="826">
        <v>3.44</v>
      </c>
      <c r="J156" s="826">
        <v>280.44</v>
      </c>
      <c r="K156" s="878">
        <v>280.44</v>
      </c>
    </row>
    <row r="157" spans="1:11" ht="22.5" customHeight="1" x14ac:dyDescent="0.25">
      <c r="A157" s="816" t="s">
        <v>176</v>
      </c>
      <c r="B157" s="880">
        <v>2025</v>
      </c>
      <c r="C157" s="816" t="s">
        <v>1935</v>
      </c>
      <c r="D157" s="816" t="s">
        <v>1951</v>
      </c>
      <c r="E157" s="816" t="s">
        <v>7875</v>
      </c>
      <c r="F157" s="826">
        <v>0</v>
      </c>
      <c r="G157" s="880">
        <v>1</v>
      </c>
      <c r="H157" s="826">
        <v>41277.03</v>
      </c>
      <c r="I157" s="826">
        <v>-16155.32</v>
      </c>
      <c r="J157" s="826">
        <v>25121.71</v>
      </c>
      <c r="K157" s="878">
        <v>25121.71</v>
      </c>
    </row>
    <row r="158" spans="1:11" ht="22.5" customHeight="1" x14ac:dyDescent="0.25">
      <c r="A158" s="816" t="s">
        <v>176</v>
      </c>
      <c r="B158" s="880">
        <v>2025</v>
      </c>
      <c r="C158" s="816" t="s">
        <v>1935</v>
      </c>
      <c r="D158" s="816" t="s">
        <v>7801</v>
      </c>
      <c r="E158" s="816" t="s">
        <v>7876</v>
      </c>
      <c r="F158" s="826">
        <v>0</v>
      </c>
      <c r="G158" s="880">
        <v>1</v>
      </c>
      <c r="H158" s="826">
        <v>15003.69</v>
      </c>
      <c r="I158" s="826">
        <v>3453.67</v>
      </c>
      <c r="J158" s="826">
        <v>18457.36</v>
      </c>
      <c r="K158" s="878">
        <v>18457.36</v>
      </c>
    </row>
    <row r="159" spans="1:11" ht="22.5" customHeight="1" x14ac:dyDescent="0.25">
      <c r="A159" s="816" t="s">
        <v>176</v>
      </c>
      <c r="B159" s="880">
        <v>2025</v>
      </c>
      <c r="C159" s="816" t="s">
        <v>1935</v>
      </c>
      <c r="D159" s="816" t="s">
        <v>1952</v>
      </c>
      <c r="E159" s="816" t="s">
        <v>7877</v>
      </c>
      <c r="F159" s="826">
        <v>10640.92</v>
      </c>
      <c r="G159" s="880">
        <v>0</v>
      </c>
      <c r="H159" s="465"/>
      <c r="I159" s="465"/>
      <c r="J159" s="826">
        <v>0</v>
      </c>
      <c r="K159" s="878">
        <v>10640.92</v>
      </c>
    </row>
    <row r="160" spans="1:11" ht="22.5" customHeight="1" x14ac:dyDescent="0.25">
      <c r="A160" s="816" t="s">
        <v>176</v>
      </c>
      <c r="B160" s="880">
        <v>2025</v>
      </c>
      <c r="C160" s="816" t="s">
        <v>1953</v>
      </c>
      <c r="D160" s="816" t="s">
        <v>1954</v>
      </c>
      <c r="E160" s="816" t="s">
        <v>2013</v>
      </c>
      <c r="F160" s="826">
        <v>0</v>
      </c>
      <c r="G160" s="880">
        <v>0</v>
      </c>
      <c r="H160" s="465"/>
      <c r="I160" s="465"/>
      <c r="J160" s="826">
        <v>0</v>
      </c>
      <c r="K160" s="878">
        <v>0</v>
      </c>
    </row>
    <row r="161" spans="1:11" ht="22.5" customHeight="1" x14ac:dyDescent="0.25">
      <c r="A161" s="816" t="s">
        <v>181</v>
      </c>
      <c r="B161" s="880">
        <v>2025</v>
      </c>
      <c r="C161" s="816" t="s">
        <v>1854</v>
      </c>
      <c r="D161" s="816" t="s">
        <v>1855</v>
      </c>
      <c r="E161" s="816" t="s">
        <v>2014</v>
      </c>
      <c r="F161" s="826">
        <v>0</v>
      </c>
      <c r="G161" s="880">
        <v>0</v>
      </c>
      <c r="H161" s="465"/>
      <c r="I161" s="465"/>
      <c r="J161" s="826">
        <v>0</v>
      </c>
      <c r="K161" s="878">
        <v>0</v>
      </c>
    </row>
    <row r="162" spans="1:11" ht="22.5" customHeight="1" x14ac:dyDescent="0.25">
      <c r="A162" s="816" t="s">
        <v>181</v>
      </c>
      <c r="B162" s="880">
        <v>2025</v>
      </c>
      <c r="C162" s="816" t="s">
        <v>7746</v>
      </c>
      <c r="D162" s="816" t="s">
        <v>7747</v>
      </c>
      <c r="E162" s="816" t="s">
        <v>7751</v>
      </c>
      <c r="F162" s="826">
        <v>0</v>
      </c>
      <c r="G162" s="880">
        <v>0</v>
      </c>
      <c r="H162" s="465"/>
      <c r="I162" s="465"/>
      <c r="J162" s="826">
        <v>0</v>
      </c>
      <c r="K162" s="878">
        <v>0</v>
      </c>
    </row>
    <row r="163" spans="1:11" ht="22.5" customHeight="1" x14ac:dyDescent="0.25">
      <c r="A163" s="816" t="s">
        <v>181</v>
      </c>
      <c r="B163" s="880">
        <v>2025</v>
      </c>
      <c r="C163" s="816" t="s">
        <v>1857</v>
      </c>
      <c r="D163" s="816" t="s">
        <v>1858</v>
      </c>
      <c r="E163" s="816" t="s">
        <v>2015</v>
      </c>
      <c r="F163" s="826">
        <v>0</v>
      </c>
      <c r="G163" s="880">
        <v>0</v>
      </c>
      <c r="H163" s="465"/>
      <c r="I163" s="465"/>
      <c r="J163" s="826">
        <v>0</v>
      </c>
      <c r="K163" s="878">
        <v>0</v>
      </c>
    </row>
    <row r="164" spans="1:11" ht="22.5" customHeight="1" x14ac:dyDescent="0.25">
      <c r="A164" s="816" t="s">
        <v>181</v>
      </c>
      <c r="B164" s="880">
        <v>2025</v>
      </c>
      <c r="C164" s="816" t="s">
        <v>1860</v>
      </c>
      <c r="D164" s="816" t="s">
        <v>1861</v>
      </c>
      <c r="E164" s="816" t="s">
        <v>2016</v>
      </c>
      <c r="F164" s="826">
        <v>0</v>
      </c>
      <c r="G164" s="880">
        <v>0</v>
      </c>
      <c r="H164" s="465"/>
      <c r="I164" s="465"/>
      <c r="J164" s="826">
        <v>0</v>
      </c>
      <c r="K164" s="878">
        <v>0</v>
      </c>
    </row>
    <row r="165" spans="1:11" ht="22.5" customHeight="1" x14ac:dyDescent="0.25">
      <c r="A165" s="816" t="s">
        <v>181</v>
      </c>
      <c r="B165" s="880">
        <v>2025</v>
      </c>
      <c r="C165" s="816" t="s">
        <v>1863</v>
      </c>
      <c r="D165" s="816" t="s">
        <v>1864</v>
      </c>
      <c r="E165" s="816" t="s">
        <v>2017</v>
      </c>
      <c r="F165" s="826">
        <v>0</v>
      </c>
      <c r="G165" s="880">
        <v>0</v>
      </c>
      <c r="H165" s="465"/>
      <c r="I165" s="465"/>
      <c r="J165" s="826">
        <v>0</v>
      </c>
      <c r="K165" s="878">
        <v>0</v>
      </c>
    </row>
    <row r="166" spans="1:11" ht="22.5" customHeight="1" x14ac:dyDescent="0.25">
      <c r="A166" s="816" t="s">
        <v>181</v>
      </c>
      <c r="B166" s="880">
        <v>2025</v>
      </c>
      <c r="C166" s="816" t="s">
        <v>1866</v>
      </c>
      <c r="D166" s="816" t="s">
        <v>1867</v>
      </c>
      <c r="E166" s="816" t="s">
        <v>2018</v>
      </c>
      <c r="F166" s="826">
        <v>0</v>
      </c>
      <c r="G166" s="880">
        <v>0</v>
      </c>
      <c r="H166" s="465"/>
      <c r="I166" s="465"/>
      <c r="J166" s="826">
        <v>0</v>
      </c>
      <c r="K166" s="878">
        <v>0</v>
      </c>
    </row>
    <row r="167" spans="1:11" ht="22.5" customHeight="1" x14ac:dyDescent="0.25">
      <c r="A167" s="816" t="s">
        <v>181</v>
      </c>
      <c r="B167" s="880">
        <v>2025</v>
      </c>
      <c r="C167" s="816" t="s">
        <v>1869</v>
      </c>
      <c r="D167" s="816" t="s">
        <v>1870</v>
      </c>
      <c r="E167" s="816" t="s">
        <v>2019</v>
      </c>
      <c r="F167" s="826">
        <v>0</v>
      </c>
      <c r="G167" s="880">
        <v>0</v>
      </c>
      <c r="H167" s="465"/>
      <c r="I167" s="465"/>
      <c r="J167" s="826">
        <v>0</v>
      </c>
      <c r="K167" s="878">
        <v>0</v>
      </c>
    </row>
    <row r="168" spans="1:11" ht="22.5" customHeight="1" x14ac:dyDescent="0.25">
      <c r="A168" s="816" t="s">
        <v>181</v>
      </c>
      <c r="B168" s="880">
        <v>2025</v>
      </c>
      <c r="C168" s="816" t="s">
        <v>1872</v>
      </c>
      <c r="D168" s="816" t="s">
        <v>1873</v>
      </c>
      <c r="E168" s="816" t="s">
        <v>2020</v>
      </c>
      <c r="F168" s="826">
        <v>0</v>
      </c>
      <c r="G168" s="880">
        <v>0</v>
      </c>
      <c r="H168" s="465"/>
      <c r="I168" s="465"/>
      <c r="J168" s="826">
        <v>0</v>
      </c>
      <c r="K168" s="878">
        <v>0</v>
      </c>
    </row>
    <row r="169" spans="1:11" ht="22.5" customHeight="1" x14ac:dyDescent="0.25">
      <c r="A169" s="816" t="s">
        <v>181</v>
      </c>
      <c r="B169" s="880">
        <v>2025</v>
      </c>
      <c r="C169" s="816" t="s">
        <v>1875</v>
      </c>
      <c r="D169" s="816" t="s">
        <v>1876</v>
      </c>
      <c r="E169" s="816" t="s">
        <v>2021</v>
      </c>
      <c r="F169" s="826">
        <v>0</v>
      </c>
      <c r="G169" s="880">
        <v>0</v>
      </c>
      <c r="H169" s="465"/>
      <c r="I169" s="465"/>
      <c r="J169" s="826">
        <v>0</v>
      </c>
      <c r="K169" s="878">
        <v>0</v>
      </c>
    </row>
    <row r="170" spans="1:11" ht="22.5" customHeight="1" x14ac:dyDescent="0.25">
      <c r="A170" s="816" t="s">
        <v>181</v>
      </c>
      <c r="B170" s="880">
        <v>2025</v>
      </c>
      <c r="C170" s="816" t="s">
        <v>1878</v>
      </c>
      <c r="D170" s="816" t="s">
        <v>1879</v>
      </c>
      <c r="E170" s="816" t="s">
        <v>2022</v>
      </c>
      <c r="F170" s="826">
        <v>0</v>
      </c>
      <c r="G170" s="880">
        <v>0</v>
      </c>
      <c r="H170" s="465"/>
      <c r="I170" s="465"/>
      <c r="J170" s="826">
        <v>0</v>
      </c>
      <c r="K170" s="878">
        <v>0</v>
      </c>
    </row>
    <row r="171" spans="1:11" ht="22.5" customHeight="1" x14ac:dyDescent="0.25">
      <c r="A171" s="816" t="s">
        <v>181</v>
      </c>
      <c r="B171" s="880">
        <v>2025</v>
      </c>
      <c r="C171" s="816" t="s">
        <v>1881</v>
      </c>
      <c r="D171" s="816" t="s">
        <v>1882</v>
      </c>
      <c r="E171" s="816" t="s">
        <v>2023</v>
      </c>
      <c r="F171" s="826">
        <v>0</v>
      </c>
      <c r="G171" s="880">
        <v>0</v>
      </c>
      <c r="H171" s="465"/>
      <c r="I171" s="465"/>
      <c r="J171" s="826">
        <v>0</v>
      </c>
      <c r="K171" s="878">
        <v>0</v>
      </c>
    </row>
    <row r="172" spans="1:11" ht="22.5" customHeight="1" x14ac:dyDescent="0.25">
      <c r="A172" s="816" t="s">
        <v>181</v>
      </c>
      <c r="B172" s="880">
        <v>2025</v>
      </c>
      <c r="C172" s="816" t="s">
        <v>1884</v>
      </c>
      <c r="D172" s="816" t="s">
        <v>1885</v>
      </c>
      <c r="E172" s="816" t="s">
        <v>2024</v>
      </c>
      <c r="F172" s="826">
        <v>0</v>
      </c>
      <c r="G172" s="880">
        <v>0</v>
      </c>
      <c r="H172" s="465"/>
      <c r="I172" s="465"/>
      <c r="J172" s="826">
        <v>0</v>
      </c>
      <c r="K172" s="878">
        <v>0</v>
      </c>
    </row>
    <row r="173" spans="1:11" ht="22.5" customHeight="1" x14ac:dyDescent="0.25">
      <c r="A173" s="816" t="s">
        <v>181</v>
      </c>
      <c r="B173" s="880">
        <v>2025</v>
      </c>
      <c r="C173" s="816" t="s">
        <v>1887</v>
      </c>
      <c r="D173" s="816" t="s">
        <v>138</v>
      </c>
      <c r="E173" s="816" t="s">
        <v>2025</v>
      </c>
      <c r="F173" s="826">
        <v>34210</v>
      </c>
      <c r="G173" s="880">
        <v>1</v>
      </c>
      <c r="H173" s="826">
        <v>28405</v>
      </c>
      <c r="I173" s="826">
        <v>5805</v>
      </c>
      <c r="J173" s="826">
        <v>34210</v>
      </c>
      <c r="K173" s="878">
        <v>34210</v>
      </c>
    </row>
    <row r="174" spans="1:11" ht="22.5" customHeight="1" x14ac:dyDescent="0.25">
      <c r="A174" s="816" t="s">
        <v>181</v>
      </c>
      <c r="B174" s="880">
        <v>2025</v>
      </c>
      <c r="C174" s="816" t="s">
        <v>1889</v>
      </c>
      <c r="D174" s="816" t="s">
        <v>139</v>
      </c>
      <c r="E174" s="816" t="s">
        <v>2026</v>
      </c>
      <c r="F174" s="826">
        <v>-107492</v>
      </c>
      <c r="G174" s="880">
        <v>1</v>
      </c>
      <c r="H174" s="826">
        <v>-100792</v>
      </c>
      <c r="I174" s="826">
        <v>-6700</v>
      </c>
      <c r="J174" s="826">
        <v>-107492</v>
      </c>
      <c r="K174" s="878">
        <v>-107492</v>
      </c>
    </row>
    <row r="175" spans="1:11" ht="22.5" customHeight="1" x14ac:dyDescent="0.25">
      <c r="A175" s="816" t="s">
        <v>181</v>
      </c>
      <c r="B175" s="880">
        <v>2025</v>
      </c>
      <c r="C175" s="816" t="s">
        <v>1891</v>
      </c>
      <c r="D175" s="816" t="s">
        <v>1892</v>
      </c>
      <c r="E175" s="816" t="s">
        <v>2027</v>
      </c>
      <c r="F175" s="826">
        <v>0</v>
      </c>
      <c r="G175" s="880">
        <v>0</v>
      </c>
      <c r="H175" s="465"/>
      <c r="I175" s="465"/>
      <c r="J175" s="826">
        <v>0</v>
      </c>
      <c r="K175" s="878">
        <v>0</v>
      </c>
    </row>
    <row r="176" spans="1:11" ht="22.5" customHeight="1" x14ac:dyDescent="0.25">
      <c r="A176" s="816" t="s">
        <v>181</v>
      </c>
      <c r="B176" s="880">
        <v>2025</v>
      </c>
      <c r="C176" s="816" t="s">
        <v>1891</v>
      </c>
      <c r="D176" s="816" t="s">
        <v>1894</v>
      </c>
      <c r="E176" s="816" t="s">
        <v>2027</v>
      </c>
      <c r="F176" s="826">
        <v>0</v>
      </c>
      <c r="G176" s="880">
        <v>0</v>
      </c>
      <c r="H176" s="465"/>
      <c r="I176" s="465"/>
      <c r="J176" s="826">
        <v>0</v>
      </c>
      <c r="K176" s="881">
        <v>0</v>
      </c>
    </row>
    <row r="177" spans="1:11" ht="22.5" customHeight="1" x14ac:dyDescent="0.25">
      <c r="A177" s="816" t="s">
        <v>181</v>
      </c>
      <c r="B177" s="880">
        <v>2025</v>
      </c>
      <c r="C177" s="816" t="s">
        <v>1895</v>
      </c>
      <c r="D177" s="816" t="s">
        <v>1896</v>
      </c>
      <c r="E177" s="816" t="s">
        <v>2028</v>
      </c>
      <c r="F177" s="826">
        <v>0</v>
      </c>
      <c r="G177" s="880">
        <v>0</v>
      </c>
      <c r="H177" s="465"/>
      <c r="I177" s="465"/>
      <c r="J177" s="826">
        <v>0</v>
      </c>
      <c r="K177" s="878">
        <v>0</v>
      </c>
    </row>
    <row r="178" spans="1:11" ht="22.5" customHeight="1" x14ac:dyDescent="0.25">
      <c r="A178" s="816" t="s">
        <v>181</v>
      </c>
      <c r="B178" s="880">
        <v>2025</v>
      </c>
      <c r="C178" s="816" t="s">
        <v>1898</v>
      </c>
      <c r="D178" s="816" t="s">
        <v>1899</v>
      </c>
      <c r="E178" s="816" t="s">
        <v>2029</v>
      </c>
      <c r="F178" s="826">
        <v>0</v>
      </c>
      <c r="G178" s="880">
        <v>0</v>
      </c>
      <c r="H178" s="465"/>
      <c r="I178" s="465"/>
      <c r="J178" s="826">
        <v>0</v>
      </c>
      <c r="K178" s="878">
        <v>0</v>
      </c>
    </row>
    <row r="179" spans="1:11" ht="22.5" customHeight="1" x14ac:dyDescent="0.25">
      <c r="A179" s="816" t="s">
        <v>181</v>
      </c>
      <c r="B179" s="880">
        <v>2025</v>
      </c>
      <c r="C179" s="816" t="s">
        <v>1901</v>
      </c>
      <c r="D179" s="816" t="s">
        <v>1902</v>
      </c>
      <c r="E179" s="816" t="s">
        <v>2030</v>
      </c>
      <c r="F179" s="826">
        <v>0</v>
      </c>
      <c r="G179" s="880">
        <v>0</v>
      </c>
      <c r="H179" s="465"/>
      <c r="I179" s="465"/>
      <c r="J179" s="826">
        <v>0</v>
      </c>
      <c r="K179" s="878">
        <v>0</v>
      </c>
    </row>
    <row r="180" spans="1:11" ht="22.5" customHeight="1" x14ac:dyDescent="0.25">
      <c r="A180" s="816" t="s">
        <v>181</v>
      </c>
      <c r="B180" s="880">
        <v>2025</v>
      </c>
      <c r="C180" s="816" t="s">
        <v>1904</v>
      </c>
      <c r="D180" s="816" t="s">
        <v>1905</v>
      </c>
      <c r="E180" s="816" t="s">
        <v>2031</v>
      </c>
      <c r="F180" s="826">
        <v>0</v>
      </c>
      <c r="G180" s="880">
        <v>0</v>
      </c>
      <c r="H180" s="465"/>
      <c r="I180" s="465"/>
      <c r="J180" s="826">
        <v>0</v>
      </c>
      <c r="K180" s="878">
        <v>0</v>
      </c>
    </row>
    <row r="181" spans="1:11" ht="22.5" customHeight="1" x14ac:dyDescent="0.25">
      <c r="A181" s="816" t="s">
        <v>181</v>
      </c>
      <c r="B181" s="880">
        <v>2025</v>
      </c>
      <c r="C181" s="816" t="s">
        <v>1907</v>
      </c>
      <c r="D181" s="816" t="s">
        <v>1908</v>
      </c>
      <c r="E181" s="816" t="s">
        <v>2032</v>
      </c>
      <c r="F181" s="826">
        <v>0</v>
      </c>
      <c r="G181" s="880">
        <v>0</v>
      </c>
      <c r="H181" s="465"/>
      <c r="I181" s="465"/>
      <c r="J181" s="826">
        <v>0</v>
      </c>
      <c r="K181" s="878">
        <v>0</v>
      </c>
    </row>
    <row r="182" spans="1:11" ht="22.5" customHeight="1" x14ac:dyDescent="0.25">
      <c r="A182" s="816" t="s">
        <v>181</v>
      </c>
      <c r="B182" s="880">
        <v>2025</v>
      </c>
      <c r="C182" s="816" t="s">
        <v>1910</v>
      </c>
      <c r="D182" s="816" t="s">
        <v>1911</v>
      </c>
      <c r="E182" s="816" t="s">
        <v>2033</v>
      </c>
      <c r="F182" s="826">
        <v>0</v>
      </c>
      <c r="G182" s="880">
        <v>0</v>
      </c>
      <c r="H182" s="465"/>
      <c r="I182" s="465"/>
      <c r="J182" s="826">
        <v>0</v>
      </c>
      <c r="K182" s="878">
        <v>0</v>
      </c>
    </row>
    <row r="183" spans="1:11" ht="22.5" customHeight="1" x14ac:dyDescent="0.25">
      <c r="A183" s="816" t="s">
        <v>181</v>
      </c>
      <c r="B183" s="880">
        <v>2025</v>
      </c>
      <c r="C183" s="816" t="s">
        <v>1913</v>
      </c>
      <c r="D183" s="816" t="s">
        <v>1914</v>
      </c>
      <c r="E183" s="816" t="s">
        <v>2034</v>
      </c>
      <c r="F183" s="826">
        <v>-1707170</v>
      </c>
      <c r="G183" s="880">
        <v>1</v>
      </c>
      <c r="H183" s="826">
        <v>-1620857</v>
      </c>
      <c r="I183" s="826">
        <v>-86313</v>
      </c>
      <c r="J183" s="826">
        <v>-1707170</v>
      </c>
      <c r="K183" s="878">
        <v>-1707170</v>
      </c>
    </row>
    <row r="184" spans="1:11" ht="22.5" customHeight="1" x14ac:dyDescent="0.25">
      <c r="A184" s="816" t="s">
        <v>181</v>
      </c>
      <c r="B184" s="880">
        <v>2025</v>
      </c>
      <c r="C184" s="816" t="s">
        <v>1913</v>
      </c>
      <c r="D184" s="816" t="s">
        <v>1916</v>
      </c>
      <c r="E184" s="816" t="s">
        <v>2034</v>
      </c>
      <c r="F184" s="826">
        <v>0</v>
      </c>
      <c r="G184" s="880">
        <v>0</v>
      </c>
      <c r="H184" s="465"/>
      <c r="I184" s="465"/>
      <c r="J184" s="826">
        <v>0</v>
      </c>
      <c r="K184" s="881">
        <v>0</v>
      </c>
    </row>
    <row r="185" spans="1:11" ht="22.5" customHeight="1" x14ac:dyDescent="0.25">
      <c r="A185" s="816" t="s">
        <v>181</v>
      </c>
      <c r="B185" s="880">
        <v>2025</v>
      </c>
      <c r="C185" s="816" t="s">
        <v>1913</v>
      </c>
      <c r="D185" s="816" t="s">
        <v>1917</v>
      </c>
      <c r="E185" s="816" t="s">
        <v>2034</v>
      </c>
      <c r="F185" s="826">
        <v>0</v>
      </c>
      <c r="G185" s="880">
        <v>0</v>
      </c>
      <c r="H185" s="465"/>
      <c r="I185" s="465"/>
      <c r="J185" s="826">
        <v>0</v>
      </c>
      <c r="K185" s="881">
        <v>0</v>
      </c>
    </row>
    <row r="186" spans="1:11" ht="22.5" customHeight="1" x14ac:dyDescent="0.25">
      <c r="A186" s="816" t="s">
        <v>181</v>
      </c>
      <c r="B186" s="880">
        <v>2025</v>
      </c>
      <c r="C186" s="816" t="s">
        <v>1913</v>
      </c>
      <c r="D186" s="816" t="s">
        <v>1918</v>
      </c>
      <c r="E186" s="816" t="s">
        <v>2034</v>
      </c>
      <c r="F186" s="826">
        <v>0</v>
      </c>
      <c r="G186" s="880">
        <v>0</v>
      </c>
      <c r="H186" s="465"/>
      <c r="I186" s="465"/>
      <c r="J186" s="826">
        <v>0</v>
      </c>
      <c r="K186" s="881">
        <v>892</v>
      </c>
    </row>
    <row r="187" spans="1:11" ht="22.5" customHeight="1" x14ac:dyDescent="0.25">
      <c r="A187" s="816" t="s">
        <v>181</v>
      </c>
      <c r="B187" s="880">
        <v>2025</v>
      </c>
      <c r="C187" s="816" t="s">
        <v>1913</v>
      </c>
      <c r="D187" s="816" t="s">
        <v>1919</v>
      </c>
      <c r="E187" s="816" t="s">
        <v>2034</v>
      </c>
      <c r="F187" s="826">
        <v>0</v>
      </c>
      <c r="G187" s="880">
        <v>0</v>
      </c>
      <c r="H187" s="465"/>
      <c r="I187" s="465"/>
      <c r="J187" s="826">
        <v>0</v>
      </c>
      <c r="K187" s="881">
        <v>264426</v>
      </c>
    </row>
    <row r="188" spans="1:11" ht="22.5" customHeight="1" x14ac:dyDescent="0.25">
      <c r="A188" s="816" t="s">
        <v>181</v>
      </c>
      <c r="B188" s="880">
        <v>2025</v>
      </c>
      <c r="C188" s="816" t="s">
        <v>1920</v>
      </c>
      <c r="D188" s="816" t="s">
        <v>1921</v>
      </c>
      <c r="E188" s="816" t="s">
        <v>2035</v>
      </c>
      <c r="F188" s="826">
        <v>0</v>
      </c>
      <c r="G188" s="880">
        <v>0</v>
      </c>
      <c r="H188" s="465"/>
      <c r="I188" s="465"/>
      <c r="J188" s="826">
        <v>0</v>
      </c>
      <c r="K188" s="878">
        <v>0</v>
      </c>
    </row>
    <row r="189" spans="1:11" ht="22.5" customHeight="1" x14ac:dyDescent="0.25">
      <c r="A189" s="816" t="s">
        <v>181</v>
      </c>
      <c r="B189" s="880">
        <v>2025</v>
      </c>
      <c r="C189" s="816" t="s">
        <v>1923</v>
      </c>
      <c r="D189" s="816" t="s">
        <v>143</v>
      </c>
      <c r="E189" s="816" t="s">
        <v>2036</v>
      </c>
      <c r="F189" s="826">
        <v>333808</v>
      </c>
      <c r="G189" s="880">
        <v>1</v>
      </c>
      <c r="H189" s="826">
        <v>320588</v>
      </c>
      <c r="I189" s="826">
        <v>13220</v>
      </c>
      <c r="J189" s="826">
        <v>333808</v>
      </c>
      <c r="K189" s="878">
        <v>333808</v>
      </c>
    </row>
    <row r="190" spans="1:11" ht="22.5" customHeight="1" x14ac:dyDescent="0.25">
      <c r="A190" s="816" t="s">
        <v>181</v>
      </c>
      <c r="B190" s="880">
        <v>2025</v>
      </c>
      <c r="C190" s="816" t="s">
        <v>1925</v>
      </c>
      <c r="D190" s="816" t="s">
        <v>144</v>
      </c>
      <c r="E190" s="816" t="s">
        <v>2037</v>
      </c>
      <c r="F190" s="826">
        <v>202929</v>
      </c>
      <c r="G190" s="880">
        <v>1</v>
      </c>
      <c r="H190" s="826">
        <v>188895</v>
      </c>
      <c r="I190" s="826">
        <v>14034</v>
      </c>
      <c r="J190" s="826">
        <v>202929</v>
      </c>
      <c r="K190" s="878">
        <v>202929</v>
      </c>
    </row>
    <row r="191" spans="1:11" ht="22.5" customHeight="1" x14ac:dyDescent="0.25">
      <c r="A191" s="816" t="s">
        <v>181</v>
      </c>
      <c r="B191" s="880">
        <v>2025</v>
      </c>
      <c r="C191" s="816" t="s">
        <v>1927</v>
      </c>
      <c r="D191" s="816" t="s">
        <v>1928</v>
      </c>
      <c r="E191" s="816" t="s">
        <v>2038</v>
      </c>
      <c r="F191" s="826">
        <v>-155548</v>
      </c>
      <c r="G191" s="880">
        <v>1</v>
      </c>
      <c r="H191" s="826">
        <v>-142309</v>
      </c>
      <c r="I191" s="826">
        <v>-13239</v>
      </c>
      <c r="J191" s="826">
        <v>-155548</v>
      </c>
      <c r="K191" s="878">
        <v>-155548</v>
      </c>
    </row>
    <row r="192" spans="1:11" ht="22.5" customHeight="1" x14ac:dyDescent="0.25">
      <c r="A192" s="816" t="s">
        <v>181</v>
      </c>
      <c r="B192" s="880">
        <v>2025</v>
      </c>
      <c r="C192" s="816" t="s">
        <v>1930</v>
      </c>
      <c r="D192" s="816" t="s">
        <v>156</v>
      </c>
      <c r="E192" s="816" t="s">
        <v>2039</v>
      </c>
      <c r="F192" s="826">
        <v>141439</v>
      </c>
      <c r="G192" s="880">
        <v>1</v>
      </c>
      <c r="H192" s="826">
        <v>123872</v>
      </c>
      <c r="I192" s="826">
        <v>17567</v>
      </c>
      <c r="J192" s="826">
        <v>141439</v>
      </c>
      <c r="K192" s="878">
        <v>141439</v>
      </c>
    </row>
    <row r="193" spans="1:11" ht="22.5" customHeight="1" x14ac:dyDescent="0.25">
      <c r="A193" s="816" t="s">
        <v>181</v>
      </c>
      <c r="B193" s="880">
        <v>2025</v>
      </c>
      <c r="C193" s="816" t="s">
        <v>1932</v>
      </c>
      <c r="D193" s="816" t="s">
        <v>1933</v>
      </c>
      <c r="E193" s="816" t="s">
        <v>2040</v>
      </c>
      <c r="F193" s="826">
        <v>0</v>
      </c>
      <c r="G193" s="880">
        <v>0</v>
      </c>
      <c r="H193" s="465"/>
      <c r="I193" s="465"/>
      <c r="J193" s="826">
        <v>0</v>
      </c>
      <c r="K193" s="878">
        <v>0</v>
      </c>
    </row>
    <row r="194" spans="1:11" ht="22.5" customHeight="1" x14ac:dyDescent="0.25">
      <c r="A194" s="816" t="s">
        <v>181</v>
      </c>
      <c r="B194" s="880">
        <v>2025</v>
      </c>
      <c r="C194" s="816" t="s">
        <v>1935</v>
      </c>
      <c r="D194" s="816" t="s">
        <v>1936</v>
      </c>
      <c r="E194" s="816" t="s">
        <v>7878</v>
      </c>
      <c r="F194" s="826">
        <v>0</v>
      </c>
      <c r="G194" s="880">
        <v>1</v>
      </c>
      <c r="H194" s="465"/>
      <c r="I194" s="465"/>
      <c r="J194" s="826">
        <v>0</v>
      </c>
      <c r="K194" s="878">
        <v>0</v>
      </c>
    </row>
    <row r="195" spans="1:11" ht="22.5" customHeight="1" x14ac:dyDescent="0.25">
      <c r="A195" s="816" t="s">
        <v>181</v>
      </c>
      <c r="B195" s="880">
        <v>2025</v>
      </c>
      <c r="C195" s="816" t="s">
        <v>1935</v>
      </c>
      <c r="D195" s="816" t="s">
        <v>1937</v>
      </c>
      <c r="E195" s="816" t="s">
        <v>7879</v>
      </c>
      <c r="F195" s="826">
        <v>0</v>
      </c>
      <c r="G195" s="880">
        <v>1</v>
      </c>
      <c r="H195" s="465"/>
      <c r="I195" s="465"/>
      <c r="J195" s="826">
        <v>0</v>
      </c>
      <c r="K195" s="878">
        <v>0</v>
      </c>
    </row>
    <row r="196" spans="1:11" ht="22.5" customHeight="1" x14ac:dyDescent="0.25">
      <c r="A196" s="816" t="s">
        <v>181</v>
      </c>
      <c r="B196" s="880">
        <v>2025</v>
      </c>
      <c r="C196" s="816" t="s">
        <v>1935</v>
      </c>
      <c r="D196" s="816" t="s">
        <v>1938</v>
      </c>
      <c r="E196" s="816" t="s">
        <v>7880</v>
      </c>
      <c r="F196" s="826">
        <v>0</v>
      </c>
      <c r="G196" s="880">
        <v>1</v>
      </c>
      <c r="H196" s="465"/>
      <c r="I196" s="465"/>
      <c r="J196" s="826">
        <v>0</v>
      </c>
      <c r="K196" s="878">
        <v>0</v>
      </c>
    </row>
    <row r="197" spans="1:11" ht="22.5" customHeight="1" x14ac:dyDescent="0.25">
      <c r="A197" s="816" t="s">
        <v>181</v>
      </c>
      <c r="B197" s="880">
        <v>2025</v>
      </c>
      <c r="C197" s="816" t="s">
        <v>1935</v>
      </c>
      <c r="D197" s="816" t="s">
        <v>1939</v>
      </c>
      <c r="E197" s="816" t="s">
        <v>7881</v>
      </c>
      <c r="F197" s="826">
        <v>0</v>
      </c>
      <c r="G197" s="880">
        <v>1</v>
      </c>
      <c r="H197" s="465"/>
      <c r="I197" s="465"/>
      <c r="J197" s="826">
        <v>0</v>
      </c>
      <c r="K197" s="878">
        <v>0</v>
      </c>
    </row>
    <row r="198" spans="1:11" ht="22.5" customHeight="1" x14ac:dyDescent="0.25">
      <c r="A198" s="816" t="s">
        <v>181</v>
      </c>
      <c r="B198" s="880">
        <v>2025</v>
      </c>
      <c r="C198" s="816" t="s">
        <v>1935</v>
      </c>
      <c r="D198" s="816" t="s">
        <v>1940</v>
      </c>
      <c r="E198" s="816" t="s">
        <v>7882</v>
      </c>
      <c r="F198" s="826">
        <v>0</v>
      </c>
      <c r="G198" s="880">
        <v>1</v>
      </c>
      <c r="H198" s="465"/>
      <c r="I198" s="465"/>
      <c r="J198" s="826">
        <v>0</v>
      </c>
      <c r="K198" s="878">
        <v>0</v>
      </c>
    </row>
    <row r="199" spans="1:11" ht="22.5" customHeight="1" x14ac:dyDescent="0.25">
      <c r="A199" s="816" t="s">
        <v>181</v>
      </c>
      <c r="B199" s="880">
        <v>2025</v>
      </c>
      <c r="C199" s="816" t="s">
        <v>1935</v>
      </c>
      <c r="D199" s="816" t="s">
        <v>1941</v>
      </c>
      <c r="E199" s="816" t="s">
        <v>7883</v>
      </c>
      <c r="F199" s="826">
        <v>0</v>
      </c>
      <c r="G199" s="880">
        <v>1</v>
      </c>
      <c r="H199" s="465"/>
      <c r="I199" s="465"/>
      <c r="J199" s="826">
        <v>0</v>
      </c>
      <c r="K199" s="878">
        <v>0</v>
      </c>
    </row>
    <row r="200" spans="1:11" ht="22.5" customHeight="1" x14ac:dyDescent="0.25">
      <c r="A200" s="816" t="s">
        <v>181</v>
      </c>
      <c r="B200" s="880">
        <v>2025</v>
      </c>
      <c r="C200" s="816" t="s">
        <v>1935</v>
      </c>
      <c r="D200" s="816" t="s">
        <v>1942</v>
      </c>
      <c r="E200" s="816" t="s">
        <v>7884</v>
      </c>
      <c r="F200" s="826">
        <v>0</v>
      </c>
      <c r="G200" s="880">
        <v>1</v>
      </c>
      <c r="H200" s="465"/>
      <c r="I200" s="465"/>
      <c r="J200" s="826">
        <v>0</v>
      </c>
      <c r="K200" s="878">
        <v>0</v>
      </c>
    </row>
    <row r="201" spans="1:11" ht="22.5" customHeight="1" x14ac:dyDescent="0.25">
      <c r="A201" s="816" t="s">
        <v>181</v>
      </c>
      <c r="B201" s="880">
        <v>2025</v>
      </c>
      <c r="C201" s="816" t="s">
        <v>1935</v>
      </c>
      <c r="D201" s="816" t="s">
        <v>1943</v>
      </c>
      <c r="E201" s="816" t="s">
        <v>7885</v>
      </c>
      <c r="F201" s="826">
        <v>0</v>
      </c>
      <c r="G201" s="880">
        <v>1</v>
      </c>
      <c r="H201" s="465"/>
      <c r="I201" s="465"/>
      <c r="J201" s="826">
        <v>0</v>
      </c>
      <c r="K201" s="878">
        <v>0</v>
      </c>
    </row>
    <row r="202" spans="1:11" ht="22.5" customHeight="1" x14ac:dyDescent="0.25">
      <c r="A202" s="816" t="s">
        <v>181</v>
      </c>
      <c r="B202" s="880">
        <v>2025</v>
      </c>
      <c r="C202" s="816" t="s">
        <v>1935</v>
      </c>
      <c r="D202" s="816" t="s">
        <v>1944</v>
      </c>
      <c r="E202" s="816" t="s">
        <v>7886</v>
      </c>
      <c r="F202" s="826">
        <v>0</v>
      </c>
      <c r="G202" s="880">
        <v>1</v>
      </c>
      <c r="H202" s="465"/>
      <c r="I202" s="465"/>
      <c r="J202" s="826">
        <v>0</v>
      </c>
      <c r="K202" s="878">
        <v>0</v>
      </c>
    </row>
    <row r="203" spans="1:11" ht="22.5" customHeight="1" x14ac:dyDescent="0.25">
      <c r="A203" s="816" t="s">
        <v>181</v>
      </c>
      <c r="B203" s="880">
        <v>2025</v>
      </c>
      <c r="C203" s="816" t="s">
        <v>1935</v>
      </c>
      <c r="D203" s="816" t="s">
        <v>1945</v>
      </c>
      <c r="E203" s="816" t="s">
        <v>7887</v>
      </c>
      <c r="F203" s="826">
        <v>0</v>
      </c>
      <c r="G203" s="880">
        <v>1</v>
      </c>
      <c r="H203" s="465"/>
      <c r="I203" s="465"/>
      <c r="J203" s="826">
        <v>0</v>
      </c>
      <c r="K203" s="878">
        <v>0</v>
      </c>
    </row>
    <row r="204" spans="1:11" ht="22.5" customHeight="1" x14ac:dyDescent="0.25">
      <c r="A204" s="816" t="s">
        <v>181</v>
      </c>
      <c r="B204" s="880">
        <v>2025</v>
      </c>
      <c r="C204" s="816" t="s">
        <v>1935</v>
      </c>
      <c r="D204" s="816" t="s">
        <v>1946</v>
      </c>
      <c r="E204" s="816" t="s">
        <v>7888</v>
      </c>
      <c r="F204" s="826">
        <v>0</v>
      </c>
      <c r="G204" s="880">
        <v>1</v>
      </c>
      <c r="H204" s="465"/>
      <c r="I204" s="465"/>
      <c r="J204" s="826">
        <v>0</v>
      </c>
      <c r="K204" s="878">
        <v>0</v>
      </c>
    </row>
    <row r="205" spans="1:11" ht="22.5" customHeight="1" x14ac:dyDescent="0.25">
      <c r="A205" s="816" t="s">
        <v>181</v>
      </c>
      <c r="B205" s="880">
        <v>2025</v>
      </c>
      <c r="C205" s="816" t="s">
        <v>1935</v>
      </c>
      <c r="D205" s="816" t="s">
        <v>1947</v>
      </c>
      <c r="E205" s="816" t="s">
        <v>7889</v>
      </c>
      <c r="F205" s="826">
        <v>0</v>
      </c>
      <c r="G205" s="880">
        <v>1</v>
      </c>
      <c r="H205" s="465"/>
      <c r="I205" s="465"/>
      <c r="J205" s="826">
        <v>0</v>
      </c>
      <c r="K205" s="878">
        <v>0</v>
      </c>
    </row>
    <row r="206" spans="1:11" ht="22.5" customHeight="1" x14ac:dyDescent="0.25">
      <c r="A206" s="816" t="s">
        <v>181</v>
      </c>
      <c r="B206" s="880">
        <v>2025</v>
      </c>
      <c r="C206" s="816" t="s">
        <v>1935</v>
      </c>
      <c r="D206" s="816" t="s">
        <v>1948</v>
      </c>
      <c r="E206" s="816" t="s">
        <v>7890</v>
      </c>
      <c r="F206" s="826">
        <v>0</v>
      </c>
      <c r="G206" s="880">
        <v>1</v>
      </c>
      <c r="H206" s="826">
        <v>-87907</v>
      </c>
      <c r="I206" s="826">
        <v>-19339</v>
      </c>
      <c r="J206" s="826">
        <v>-107246</v>
      </c>
      <c r="K206" s="878">
        <v>-107246</v>
      </c>
    </row>
    <row r="207" spans="1:11" ht="22.5" customHeight="1" x14ac:dyDescent="0.25">
      <c r="A207" s="816" t="s">
        <v>181</v>
      </c>
      <c r="B207" s="880">
        <v>2025</v>
      </c>
      <c r="C207" s="816" t="s">
        <v>1935</v>
      </c>
      <c r="D207" s="816" t="s">
        <v>1949</v>
      </c>
      <c r="E207" s="816" t="s">
        <v>7891</v>
      </c>
      <c r="F207" s="826">
        <v>0</v>
      </c>
      <c r="G207" s="880">
        <v>1</v>
      </c>
      <c r="H207" s="826">
        <v>25342</v>
      </c>
      <c r="I207" s="826">
        <v>4819</v>
      </c>
      <c r="J207" s="826">
        <v>30161</v>
      </c>
      <c r="K207" s="878">
        <v>30161</v>
      </c>
    </row>
    <row r="208" spans="1:11" ht="22.5" customHeight="1" x14ac:dyDescent="0.25">
      <c r="A208" s="816" t="s">
        <v>181</v>
      </c>
      <c r="B208" s="880">
        <v>2025</v>
      </c>
      <c r="C208" s="816" t="s">
        <v>1935</v>
      </c>
      <c r="D208" s="816" t="s">
        <v>1950</v>
      </c>
      <c r="E208" s="816" t="s">
        <v>7892</v>
      </c>
      <c r="F208" s="826">
        <v>0</v>
      </c>
      <c r="G208" s="880">
        <v>1</v>
      </c>
      <c r="H208" s="826">
        <v>-25762</v>
      </c>
      <c r="I208" s="826">
        <v>13816</v>
      </c>
      <c r="J208" s="826">
        <v>-11946</v>
      </c>
      <c r="K208" s="878">
        <v>-11946</v>
      </c>
    </row>
    <row r="209" spans="1:11" ht="22.5" customHeight="1" x14ac:dyDescent="0.25">
      <c r="A209" s="816" t="s">
        <v>181</v>
      </c>
      <c r="B209" s="880">
        <v>2025</v>
      </c>
      <c r="C209" s="816" t="s">
        <v>1935</v>
      </c>
      <c r="D209" s="816" t="s">
        <v>1951</v>
      </c>
      <c r="E209" s="816" t="s">
        <v>7893</v>
      </c>
      <c r="F209" s="826">
        <v>0</v>
      </c>
      <c r="G209" s="880">
        <v>1</v>
      </c>
      <c r="H209" s="826">
        <v>18849</v>
      </c>
      <c r="I209" s="826">
        <v>2781</v>
      </c>
      <c r="J209" s="826">
        <v>21630</v>
      </c>
      <c r="K209" s="878">
        <v>21630</v>
      </c>
    </row>
    <row r="210" spans="1:11" ht="22.5" customHeight="1" x14ac:dyDescent="0.25">
      <c r="A210" s="816" t="s">
        <v>181</v>
      </c>
      <c r="B210" s="880">
        <v>2025</v>
      </c>
      <c r="C210" s="816" t="s">
        <v>1935</v>
      </c>
      <c r="D210" s="816" t="s">
        <v>7801</v>
      </c>
      <c r="E210" s="816" t="s">
        <v>7894</v>
      </c>
      <c r="F210" s="826">
        <v>0</v>
      </c>
      <c r="G210" s="880">
        <v>1</v>
      </c>
      <c r="H210" s="826">
        <v>905975</v>
      </c>
      <c r="I210" s="826">
        <v>43676</v>
      </c>
      <c r="J210" s="826">
        <v>949651</v>
      </c>
      <c r="K210" s="878">
        <v>949651</v>
      </c>
    </row>
    <row r="211" spans="1:11" ht="22.5" customHeight="1" x14ac:dyDescent="0.25">
      <c r="A211" s="816" t="s">
        <v>181</v>
      </c>
      <c r="B211" s="880">
        <v>2025</v>
      </c>
      <c r="C211" s="816" t="s">
        <v>1935</v>
      </c>
      <c r="D211" s="816" t="s">
        <v>1952</v>
      </c>
      <c r="E211" s="816" t="s">
        <v>7895</v>
      </c>
      <c r="F211" s="826">
        <v>882250</v>
      </c>
      <c r="G211" s="880">
        <v>0</v>
      </c>
      <c r="H211" s="465"/>
      <c r="I211" s="465"/>
      <c r="J211" s="826">
        <v>0</v>
      </c>
      <c r="K211" s="878">
        <v>882250</v>
      </c>
    </row>
    <row r="212" spans="1:11" ht="22.5" customHeight="1" x14ac:dyDescent="0.25">
      <c r="A212" s="816" t="s">
        <v>181</v>
      </c>
      <c r="B212" s="880">
        <v>2025</v>
      </c>
      <c r="C212" s="816" t="s">
        <v>1953</v>
      </c>
      <c r="D212" s="816" t="s">
        <v>1954</v>
      </c>
      <c r="E212" s="816" t="s">
        <v>2041</v>
      </c>
      <c r="F212" s="826">
        <v>0</v>
      </c>
      <c r="G212" s="880">
        <v>0</v>
      </c>
      <c r="H212" s="465"/>
      <c r="I212" s="465"/>
      <c r="J212" s="826">
        <v>0</v>
      </c>
      <c r="K212" s="878">
        <v>0</v>
      </c>
    </row>
    <row r="213" spans="1:11" ht="22.5" customHeight="1" x14ac:dyDescent="0.25">
      <c r="A213" s="816" t="s">
        <v>191</v>
      </c>
      <c r="B213" s="880">
        <v>2025</v>
      </c>
      <c r="C213" s="816" t="s">
        <v>1854</v>
      </c>
      <c r="D213" s="816" t="s">
        <v>1855</v>
      </c>
      <c r="E213" s="816" t="s">
        <v>2042</v>
      </c>
      <c r="F213" s="826">
        <v>1236282.56</v>
      </c>
      <c r="G213" s="880">
        <v>0</v>
      </c>
      <c r="H213" s="465"/>
      <c r="I213" s="465"/>
      <c r="J213" s="826">
        <v>0</v>
      </c>
      <c r="K213" s="878">
        <v>1236282.56</v>
      </c>
    </row>
    <row r="214" spans="1:11" ht="22.5" customHeight="1" x14ac:dyDescent="0.25">
      <c r="A214" s="816" t="s">
        <v>191</v>
      </c>
      <c r="B214" s="880">
        <v>2025</v>
      </c>
      <c r="C214" s="816" t="s">
        <v>7746</v>
      </c>
      <c r="D214" s="816" t="s">
        <v>7747</v>
      </c>
      <c r="E214" s="816" t="s">
        <v>7752</v>
      </c>
      <c r="F214" s="826">
        <v>311376.64000000001</v>
      </c>
      <c r="G214" s="880">
        <v>0</v>
      </c>
      <c r="H214" s="465"/>
      <c r="I214" s="465"/>
      <c r="J214" s="826">
        <v>0</v>
      </c>
      <c r="K214" s="878">
        <v>311376.64000000001</v>
      </c>
    </row>
    <row r="215" spans="1:11" ht="22.5" customHeight="1" x14ac:dyDescent="0.25">
      <c r="A215" s="816" t="s">
        <v>191</v>
      </c>
      <c r="B215" s="880">
        <v>2025</v>
      </c>
      <c r="C215" s="816" t="s">
        <v>1857</v>
      </c>
      <c r="D215" s="816" t="s">
        <v>1858</v>
      </c>
      <c r="E215" s="816" t="s">
        <v>2043</v>
      </c>
      <c r="F215" s="826">
        <v>0</v>
      </c>
      <c r="G215" s="880">
        <v>0</v>
      </c>
      <c r="H215" s="465"/>
      <c r="I215" s="465"/>
      <c r="J215" s="826">
        <v>0</v>
      </c>
      <c r="K215" s="878">
        <v>0</v>
      </c>
    </row>
    <row r="216" spans="1:11" ht="22.5" customHeight="1" x14ac:dyDescent="0.25">
      <c r="A216" s="816" t="s">
        <v>191</v>
      </c>
      <c r="B216" s="880">
        <v>2025</v>
      </c>
      <c r="C216" s="816" t="s">
        <v>1860</v>
      </c>
      <c r="D216" s="816" t="s">
        <v>1861</v>
      </c>
      <c r="E216" s="816" t="s">
        <v>2044</v>
      </c>
      <c r="F216" s="826">
        <v>-63169.54</v>
      </c>
      <c r="G216" s="880">
        <v>0</v>
      </c>
      <c r="H216" s="465"/>
      <c r="I216" s="465"/>
      <c r="J216" s="826">
        <v>0</v>
      </c>
      <c r="K216" s="878">
        <v>-63169.54</v>
      </c>
    </row>
    <row r="217" spans="1:11" ht="22.5" customHeight="1" x14ac:dyDescent="0.25">
      <c r="A217" s="816" t="s">
        <v>191</v>
      </c>
      <c r="B217" s="880">
        <v>2025</v>
      </c>
      <c r="C217" s="816" t="s">
        <v>1863</v>
      </c>
      <c r="D217" s="816" t="s">
        <v>1864</v>
      </c>
      <c r="E217" s="816" t="s">
        <v>2045</v>
      </c>
      <c r="F217" s="826">
        <v>0</v>
      </c>
      <c r="G217" s="880">
        <v>0</v>
      </c>
      <c r="H217" s="465"/>
      <c r="I217" s="465"/>
      <c r="J217" s="826">
        <v>0</v>
      </c>
      <c r="K217" s="878">
        <v>0</v>
      </c>
    </row>
    <row r="218" spans="1:11" ht="22.5" customHeight="1" x14ac:dyDescent="0.25">
      <c r="A218" s="816" t="s">
        <v>191</v>
      </c>
      <c r="B218" s="880">
        <v>2025</v>
      </c>
      <c r="C218" s="816" t="s">
        <v>1866</v>
      </c>
      <c r="D218" s="816" t="s">
        <v>1867</v>
      </c>
      <c r="E218" s="816" t="s">
        <v>2046</v>
      </c>
      <c r="F218" s="826">
        <v>0</v>
      </c>
      <c r="G218" s="880">
        <v>0</v>
      </c>
      <c r="H218" s="465"/>
      <c r="I218" s="465"/>
      <c r="J218" s="826">
        <v>0</v>
      </c>
      <c r="K218" s="878">
        <v>0</v>
      </c>
    </row>
    <row r="219" spans="1:11" ht="22.5" customHeight="1" x14ac:dyDescent="0.25">
      <c r="A219" s="816" t="s">
        <v>191</v>
      </c>
      <c r="B219" s="880">
        <v>2025</v>
      </c>
      <c r="C219" s="816" t="s">
        <v>1869</v>
      </c>
      <c r="D219" s="816" t="s">
        <v>1870</v>
      </c>
      <c r="E219" s="816" t="s">
        <v>2047</v>
      </c>
      <c r="F219" s="826">
        <v>0</v>
      </c>
      <c r="G219" s="880">
        <v>0</v>
      </c>
      <c r="H219" s="465"/>
      <c r="I219" s="465"/>
      <c r="J219" s="826">
        <v>0</v>
      </c>
      <c r="K219" s="878">
        <v>0</v>
      </c>
    </row>
    <row r="220" spans="1:11" ht="22.5" customHeight="1" x14ac:dyDescent="0.25">
      <c r="A220" s="816" t="s">
        <v>191</v>
      </c>
      <c r="B220" s="880">
        <v>2025</v>
      </c>
      <c r="C220" s="816" t="s">
        <v>1872</v>
      </c>
      <c r="D220" s="816" t="s">
        <v>1873</v>
      </c>
      <c r="E220" s="816" t="s">
        <v>2048</v>
      </c>
      <c r="F220" s="826">
        <v>0</v>
      </c>
      <c r="G220" s="880">
        <v>0</v>
      </c>
      <c r="H220" s="465"/>
      <c r="I220" s="465"/>
      <c r="J220" s="826">
        <v>0</v>
      </c>
      <c r="K220" s="878">
        <v>0</v>
      </c>
    </row>
    <row r="221" spans="1:11" ht="22.5" customHeight="1" x14ac:dyDescent="0.25">
      <c r="A221" s="816" t="s">
        <v>191</v>
      </c>
      <c r="B221" s="880">
        <v>2025</v>
      </c>
      <c r="C221" s="816" t="s">
        <v>1875</v>
      </c>
      <c r="D221" s="816" t="s">
        <v>1876</v>
      </c>
      <c r="E221" s="816" t="s">
        <v>2049</v>
      </c>
      <c r="F221" s="826">
        <v>0</v>
      </c>
      <c r="G221" s="880">
        <v>0</v>
      </c>
      <c r="H221" s="465"/>
      <c r="I221" s="465"/>
      <c r="J221" s="826">
        <v>0</v>
      </c>
      <c r="K221" s="878">
        <v>0</v>
      </c>
    </row>
    <row r="222" spans="1:11" ht="22.5" customHeight="1" x14ac:dyDescent="0.25">
      <c r="A222" s="816" t="s">
        <v>191</v>
      </c>
      <c r="B222" s="880">
        <v>2025</v>
      </c>
      <c r="C222" s="816" t="s">
        <v>1878</v>
      </c>
      <c r="D222" s="816" t="s">
        <v>1879</v>
      </c>
      <c r="E222" s="816" t="s">
        <v>2050</v>
      </c>
      <c r="F222" s="826">
        <v>0</v>
      </c>
      <c r="G222" s="880">
        <v>0</v>
      </c>
      <c r="H222" s="465"/>
      <c r="I222" s="465"/>
      <c r="J222" s="826">
        <v>0</v>
      </c>
      <c r="K222" s="878">
        <v>0</v>
      </c>
    </row>
    <row r="223" spans="1:11" ht="22.5" customHeight="1" x14ac:dyDescent="0.25">
      <c r="A223" s="816" t="s">
        <v>191</v>
      </c>
      <c r="B223" s="880">
        <v>2025</v>
      </c>
      <c r="C223" s="816" t="s">
        <v>1881</v>
      </c>
      <c r="D223" s="816" t="s">
        <v>1882</v>
      </c>
      <c r="E223" s="816" t="s">
        <v>2051</v>
      </c>
      <c r="F223" s="826">
        <v>0</v>
      </c>
      <c r="G223" s="880">
        <v>0</v>
      </c>
      <c r="H223" s="465"/>
      <c r="I223" s="465"/>
      <c r="J223" s="826">
        <v>0</v>
      </c>
      <c r="K223" s="878">
        <v>0</v>
      </c>
    </row>
    <row r="224" spans="1:11" ht="22.5" customHeight="1" x14ac:dyDescent="0.25">
      <c r="A224" s="816" t="s">
        <v>191</v>
      </c>
      <c r="B224" s="880">
        <v>2025</v>
      </c>
      <c r="C224" s="816" t="s">
        <v>1884</v>
      </c>
      <c r="D224" s="816" t="s">
        <v>1885</v>
      </c>
      <c r="E224" s="816" t="s">
        <v>2052</v>
      </c>
      <c r="F224" s="826">
        <v>0</v>
      </c>
      <c r="G224" s="880">
        <v>0</v>
      </c>
      <c r="H224" s="465"/>
      <c r="I224" s="465"/>
      <c r="J224" s="826">
        <v>0</v>
      </c>
      <c r="K224" s="878">
        <v>0</v>
      </c>
    </row>
    <row r="225" spans="1:11" ht="22.5" customHeight="1" x14ac:dyDescent="0.25">
      <c r="A225" s="816" t="s">
        <v>191</v>
      </c>
      <c r="B225" s="880">
        <v>2025</v>
      </c>
      <c r="C225" s="816" t="s">
        <v>1887</v>
      </c>
      <c r="D225" s="816" t="s">
        <v>138</v>
      </c>
      <c r="E225" s="816" t="s">
        <v>2053</v>
      </c>
      <c r="F225" s="826">
        <v>0</v>
      </c>
      <c r="G225" s="880">
        <v>1</v>
      </c>
      <c r="H225" s="465"/>
      <c r="I225" s="465"/>
      <c r="J225" s="826">
        <v>0</v>
      </c>
      <c r="K225" s="878">
        <v>0</v>
      </c>
    </row>
    <row r="226" spans="1:11" ht="22.5" customHeight="1" x14ac:dyDescent="0.25">
      <c r="A226" s="816" t="s">
        <v>191</v>
      </c>
      <c r="B226" s="880">
        <v>2025</v>
      </c>
      <c r="C226" s="816" t="s">
        <v>1889</v>
      </c>
      <c r="D226" s="816" t="s">
        <v>139</v>
      </c>
      <c r="E226" s="816" t="s">
        <v>2054</v>
      </c>
      <c r="F226" s="826">
        <v>-190868.43</v>
      </c>
      <c r="G226" s="880">
        <v>1</v>
      </c>
      <c r="H226" s="826">
        <v>-180487.9</v>
      </c>
      <c r="I226" s="826">
        <v>-10380.530000000001</v>
      </c>
      <c r="J226" s="826">
        <v>-190868.43</v>
      </c>
      <c r="K226" s="878">
        <v>-190868.43</v>
      </c>
    </row>
    <row r="227" spans="1:11" ht="22.5" customHeight="1" x14ac:dyDescent="0.25">
      <c r="A227" s="816" t="s">
        <v>191</v>
      </c>
      <c r="B227" s="880">
        <v>2025</v>
      </c>
      <c r="C227" s="816" t="s">
        <v>1891</v>
      </c>
      <c r="D227" s="816" t="s">
        <v>1892</v>
      </c>
      <c r="E227" s="816" t="s">
        <v>2055</v>
      </c>
      <c r="F227" s="826">
        <v>0</v>
      </c>
      <c r="G227" s="880">
        <v>0</v>
      </c>
      <c r="H227" s="465"/>
      <c r="I227" s="465"/>
      <c r="J227" s="826">
        <v>0</v>
      </c>
      <c r="K227" s="878">
        <v>0</v>
      </c>
    </row>
    <row r="228" spans="1:11" ht="22.5" customHeight="1" x14ac:dyDescent="0.25">
      <c r="A228" s="816" t="s">
        <v>191</v>
      </c>
      <c r="B228" s="880">
        <v>2025</v>
      </c>
      <c r="C228" s="816" t="s">
        <v>1891</v>
      </c>
      <c r="D228" s="816" t="s">
        <v>1894</v>
      </c>
      <c r="E228" s="816" t="s">
        <v>2055</v>
      </c>
      <c r="F228" s="826">
        <v>0</v>
      </c>
      <c r="G228" s="880">
        <v>0</v>
      </c>
      <c r="H228" s="465"/>
      <c r="I228" s="465"/>
      <c r="J228" s="826">
        <v>0</v>
      </c>
      <c r="K228" s="881">
        <v>0</v>
      </c>
    </row>
    <row r="229" spans="1:11" ht="22.5" customHeight="1" x14ac:dyDescent="0.25">
      <c r="A229" s="816" t="s">
        <v>191</v>
      </c>
      <c r="B229" s="880">
        <v>2025</v>
      </c>
      <c r="C229" s="816" t="s">
        <v>1895</v>
      </c>
      <c r="D229" s="816" t="s">
        <v>1896</v>
      </c>
      <c r="E229" s="816" t="s">
        <v>2056</v>
      </c>
      <c r="F229" s="826">
        <v>0</v>
      </c>
      <c r="G229" s="880">
        <v>0</v>
      </c>
      <c r="H229" s="465"/>
      <c r="I229" s="465"/>
      <c r="J229" s="826">
        <v>0</v>
      </c>
      <c r="K229" s="878">
        <v>0</v>
      </c>
    </row>
    <row r="230" spans="1:11" ht="22.5" customHeight="1" x14ac:dyDescent="0.25">
      <c r="A230" s="816" t="s">
        <v>191</v>
      </c>
      <c r="B230" s="880">
        <v>2025</v>
      </c>
      <c r="C230" s="816" t="s">
        <v>1898</v>
      </c>
      <c r="D230" s="816" t="s">
        <v>1899</v>
      </c>
      <c r="E230" s="816" t="s">
        <v>2057</v>
      </c>
      <c r="F230" s="826">
        <v>0</v>
      </c>
      <c r="G230" s="880">
        <v>0</v>
      </c>
      <c r="H230" s="465"/>
      <c r="I230" s="465"/>
      <c r="J230" s="826">
        <v>0</v>
      </c>
      <c r="K230" s="878">
        <v>0</v>
      </c>
    </row>
    <row r="231" spans="1:11" ht="22.5" customHeight="1" x14ac:dyDescent="0.25">
      <c r="A231" s="816" t="s">
        <v>191</v>
      </c>
      <c r="B231" s="880">
        <v>2025</v>
      </c>
      <c r="C231" s="816" t="s">
        <v>1901</v>
      </c>
      <c r="D231" s="816" t="s">
        <v>1902</v>
      </c>
      <c r="E231" s="816" t="s">
        <v>2058</v>
      </c>
      <c r="F231" s="826">
        <v>4749.24</v>
      </c>
      <c r="G231" s="880">
        <v>0</v>
      </c>
      <c r="H231" s="465"/>
      <c r="I231" s="465"/>
      <c r="J231" s="826">
        <v>0</v>
      </c>
      <c r="K231" s="878">
        <v>4749.24</v>
      </c>
    </row>
    <row r="232" spans="1:11" ht="22.5" customHeight="1" x14ac:dyDescent="0.25">
      <c r="A232" s="816" t="s">
        <v>191</v>
      </c>
      <c r="B232" s="880">
        <v>2025</v>
      </c>
      <c r="C232" s="816" t="s">
        <v>1904</v>
      </c>
      <c r="D232" s="816" t="s">
        <v>1905</v>
      </c>
      <c r="E232" s="816" t="s">
        <v>2059</v>
      </c>
      <c r="F232" s="826">
        <v>0</v>
      </c>
      <c r="G232" s="880">
        <v>0</v>
      </c>
      <c r="H232" s="465"/>
      <c r="I232" s="465"/>
      <c r="J232" s="826">
        <v>0</v>
      </c>
      <c r="K232" s="878">
        <v>0</v>
      </c>
    </row>
    <row r="233" spans="1:11" ht="22.5" customHeight="1" x14ac:dyDescent="0.25">
      <c r="A233" s="816" t="s">
        <v>191</v>
      </c>
      <c r="B233" s="880">
        <v>2025</v>
      </c>
      <c r="C233" s="816" t="s">
        <v>1907</v>
      </c>
      <c r="D233" s="816" t="s">
        <v>1908</v>
      </c>
      <c r="E233" s="816" t="s">
        <v>2060</v>
      </c>
      <c r="F233" s="826">
        <v>0</v>
      </c>
      <c r="G233" s="880">
        <v>0</v>
      </c>
      <c r="H233" s="465"/>
      <c r="I233" s="465"/>
      <c r="J233" s="826">
        <v>0</v>
      </c>
      <c r="K233" s="878">
        <v>0</v>
      </c>
    </row>
    <row r="234" spans="1:11" ht="22.5" customHeight="1" x14ac:dyDescent="0.25">
      <c r="A234" s="816" t="s">
        <v>191</v>
      </c>
      <c r="B234" s="880">
        <v>2025</v>
      </c>
      <c r="C234" s="816" t="s">
        <v>1910</v>
      </c>
      <c r="D234" s="816" t="s">
        <v>1911</v>
      </c>
      <c r="E234" s="816" t="s">
        <v>2061</v>
      </c>
      <c r="F234" s="826">
        <v>0</v>
      </c>
      <c r="G234" s="880">
        <v>0</v>
      </c>
      <c r="H234" s="465"/>
      <c r="I234" s="465"/>
      <c r="J234" s="826">
        <v>0</v>
      </c>
      <c r="K234" s="878">
        <v>0</v>
      </c>
    </row>
    <row r="235" spans="1:11" ht="22.5" customHeight="1" x14ac:dyDescent="0.25">
      <c r="A235" s="816" t="s">
        <v>191</v>
      </c>
      <c r="B235" s="880">
        <v>2025</v>
      </c>
      <c r="C235" s="816" t="s">
        <v>1913</v>
      </c>
      <c r="D235" s="816" t="s">
        <v>1914</v>
      </c>
      <c r="E235" s="816" t="s">
        <v>2062</v>
      </c>
      <c r="F235" s="826">
        <v>-1076535.98</v>
      </c>
      <c r="G235" s="880">
        <v>1</v>
      </c>
      <c r="H235" s="826">
        <v>-1021615.41</v>
      </c>
      <c r="I235" s="826">
        <v>-54920.57</v>
      </c>
      <c r="J235" s="826">
        <v>-1076535.98</v>
      </c>
      <c r="K235" s="878">
        <v>-1076535.98</v>
      </c>
    </row>
    <row r="236" spans="1:11" ht="22.5" customHeight="1" x14ac:dyDescent="0.25">
      <c r="A236" s="816" t="s">
        <v>191</v>
      </c>
      <c r="B236" s="880">
        <v>2025</v>
      </c>
      <c r="C236" s="816" t="s">
        <v>1913</v>
      </c>
      <c r="D236" s="816" t="s">
        <v>1916</v>
      </c>
      <c r="E236" s="816" t="s">
        <v>2062</v>
      </c>
      <c r="F236" s="826">
        <v>0</v>
      </c>
      <c r="G236" s="880">
        <v>0</v>
      </c>
      <c r="H236" s="465"/>
      <c r="I236" s="465"/>
      <c r="J236" s="826">
        <v>0</v>
      </c>
      <c r="K236" s="881">
        <v>0</v>
      </c>
    </row>
    <row r="237" spans="1:11" ht="22.5" customHeight="1" x14ac:dyDescent="0.25">
      <c r="A237" s="816" t="s">
        <v>191</v>
      </c>
      <c r="B237" s="880">
        <v>2025</v>
      </c>
      <c r="C237" s="816" t="s">
        <v>1913</v>
      </c>
      <c r="D237" s="816" t="s">
        <v>1917</v>
      </c>
      <c r="E237" s="816" t="s">
        <v>2062</v>
      </c>
      <c r="F237" s="826">
        <v>0</v>
      </c>
      <c r="G237" s="880">
        <v>0</v>
      </c>
      <c r="H237" s="465"/>
      <c r="I237" s="465"/>
      <c r="J237" s="826">
        <v>0</v>
      </c>
      <c r="K237" s="881">
        <v>0</v>
      </c>
    </row>
    <row r="238" spans="1:11" ht="22.5" customHeight="1" x14ac:dyDescent="0.25">
      <c r="A238" s="816" t="s">
        <v>191</v>
      </c>
      <c r="B238" s="880">
        <v>2025</v>
      </c>
      <c r="C238" s="816" t="s">
        <v>1913</v>
      </c>
      <c r="D238" s="816" t="s">
        <v>1918</v>
      </c>
      <c r="E238" s="816" t="s">
        <v>2062</v>
      </c>
      <c r="F238" s="826">
        <v>0</v>
      </c>
      <c r="G238" s="880">
        <v>0</v>
      </c>
      <c r="H238" s="465"/>
      <c r="I238" s="465"/>
      <c r="J238" s="826">
        <v>0</v>
      </c>
      <c r="K238" s="881">
        <v>10179.18</v>
      </c>
    </row>
    <row r="239" spans="1:11" ht="22.5" customHeight="1" x14ac:dyDescent="0.25">
      <c r="A239" s="816" t="s">
        <v>191</v>
      </c>
      <c r="B239" s="880">
        <v>2025</v>
      </c>
      <c r="C239" s="816" t="s">
        <v>1913</v>
      </c>
      <c r="D239" s="816" t="s">
        <v>1919</v>
      </c>
      <c r="E239" s="816" t="s">
        <v>2062</v>
      </c>
      <c r="F239" s="826">
        <v>0</v>
      </c>
      <c r="G239" s="880">
        <v>0</v>
      </c>
      <c r="H239" s="465"/>
      <c r="I239" s="465"/>
      <c r="J239" s="826">
        <v>0</v>
      </c>
      <c r="K239" s="881">
        <v>885608.99</v>
      </c>
    </row>
    <row r="240" spans="1:11" ht="22.5" customHeight="1" x14ac:dyDescent="0.25">
      <c r="A240" s="816" t="s">
        <v>191</v>
      </c>
      <c r="B240" s="880">
        <v>2025</v>
      </c>
      <c r="C240" s="816" t="s">
        <v>1920</v>
      </c>
      <c r="D240" s="816" t="s">
        <v>1921</v>
      </c>
      <c r="E240" s="816" t="s">
        <v>2063</v>
      </c>
      <c r="F240" s="826">
        <v>0</v>
      </c>
      <c r="G240" s="880">
        <v>0</v>
      </c>
      <c r="H240" s="465"/>
      <c r="I240" s="465"/>
      <c r="J240" s="826">
        <v>0</v>
      </c>
      <c r="K240" s="878">
        <v>0</v>
      </c>
    </row>
    <row r="241" spans="1:11" ht="22.5" customHeight="1" x14ac:dyDescent="0.25">
      <c r="A241" s="816" t="s">
        <v>191</v>
      </c>
      <c r="B241" s="880">
        <v>2025</v>
      </c>
      <c r="C241" s="816" t="s">
        <v>1923</v>
      </c>
      <c r="D241" s="816" t="s">
        <v>143</v>
      </c>
      <c r="E241" s="816" t="s">
        <v>2064</v>
      </c>
      <c r="F241" s="826">
        <v>1416790.63</v>
      </c>
      <c r="G241" s="880">
        <v>1</v>
      </c>
      <c r="H241" s="826">
        <v>1308759.04</v>
      </c>
      <c r="I241" s="826">
        <v>108031.59</v>
      </c>
      <c r="J241" s="826">
        <v>1416790.63</v>
      </c>
      <c r="K241" s="878">
        <v>1416790.63</v>
      </c>
    </row>
    <row r="242" spans="1:11" ht="22.5" customHeight="1" x14ac:dyDescent="0.25">
      <c r="A242" s="816" t="s">
        <v>191</v>
      </c>
      <c r="B242" s="880">
        <v>2025</v>
      </c>
      <c r="C242" s="816" t="s">
        <v>1925</v>
      </c>
      <c r="D242" s="816" t="s">
        <v>144</v>
      </c>
      <c r="E242" s="816" t="s">
        <v>2065</v>
      </c>
      <c r="F242" s="826">
        <v>471750.07</v>
      </c>
      <c r="G242" s="880">
        <v>1</v>
      </c>
      <c r="H242" s="826">
        <v>413726.85</v>
      </c>
      <c r="I242" s="826">
        <v>58023.22</v>
      </c>
      <c r="J242" s="826">
        <v>471750.07</v>
      </c>
      <c r="K242" s="878">
        <v>471750.07</v>
      </c>
    </row>
    <row r="243" spans="1:11" ht="22.5" customHeight="1" x14ac:dyDescent="0.25">
      <c r="A243" s="816" t="s">
        <v>191</v>
      </c>
      <c r="B243" s="880">
        <v>2025</v>
      </c>
      <c r="C243" s="816" t="s">
        <v>1927</v>
      </c>
      <c r="D243" s="816" t="s">
        <v>1928</v>
      </c>
      <c r="E243" s="816" t="s">
        <v>2066</v>
      </c>
      <c r="F243" s="826">
        <v>1713541.17</v>
      </c>
      <c r="G243" s="880">
        <v>1</v>
      </c>
      <c r="H243" s="826">
        <v>1812282.61</v>
      </c>
      <c r="I243" s="826">
        <v>-98741.440000000002</v>
      </c>
      <c r="J243" s="826">
        <v>1713541.17</v>
      </c>
      <c r="K243" s="878">
        <v>1713541.17</v>
      </c>
    </row>
    <row r="244" spans="1:11" ht="22.5" customHeight="1" x14ac:dyDescent="0.25">
      <c r="A244" s="816" t="s">
        <v>191</v>
      </c>
      <c r="B244" s="880">
        <v>2025</v>
      </c>
      <c r="C244" s="816" t="s">
        <v>1930</v>
      </c>
      <c r="D244" s="816" t="s">
        <v>156</v>
      </c>
      <c r="E244" s="816" t="s">
        <v>2067</v>
      </c>
      <c r="F244" s="826">
        <v>3592267.42</v>
      </c>
      <c r="G244" s="880">
        <v>1</v>
      </c>
      <c r="H244" s="826">
        <v>3463752.59</v>
      </c>
      <c r="I244" s="826">
        <v>128514.83</v>
      </c>
      <c r="J244" s="826">
        <v>3592267.42</v>
      </c>
      <c r="K244" s="878">
        <v>3592267.42</v>
      </c>
    </row>
    <row r="245" spans="1:11" ht="22.5" customHeight="1" x14ac:dyDescent="0.25">
      <c r="A245" s="816" t="s">
        <v>191</v>
      </c>
      <c r="B245" s="880">
        <v>2025</v>
      </c>
      <c r="C245" s="816" t="s">
        <v>1932</v>
      </c>
      <c r="D245" s="816" t="s">
        <v>1933</v>
      </c>
      <c r="E245" s="816" t="s">
        <v>2068</v>
      </c>
      <c r="F245" s="826">
        <v>261888.1</v>
      </c>
      <c r="G245" s="880">
        <v>0</v>
      </c>
      <c r="H245" s="465"/>
      <c r="I245" s="465"/>
      <c r="J245" s="826">
        <v>0</v>
      </c>
      <c r="K245" s="878">
        <v>261888.1</v>
      </c>
    </row>
    <row r="246" spans="1:11" ht="22.5" customHeight="1" x14ac:dyDescent="0.25">
      <c r="A246" s="816" t="s">
        <v>191</v>
      </c>
      <c r="B246" s="880">
        <v>2025</v>
      </c>
      <c r="C246" s="816" t="s">
        <v>1935</v>
      </c>
      <c r="D246" s="816" t="s">
        <v>1936</v>
      </c>
      <c r="E246" s="816" t="s">
        <v>7896</v>
      </c>
      <c r="F246" s="826">
        <v>0</v>
      </c>
      <c r="G246" s="880">
        <v>1</v>
      </c>
      <c r="H246" s="465"/>
      <c r="I246" s="465"/>
      <c r="J246" s="826">
        <v>0</v>
      </c>
      <c r="K246" s="878">
        <v>0</v>
      </c>
    </row>
    <row r="247" spans="1:11" ht="22.5" customHeight="1" x14ac:dyDescent="0.25">
      <c r="A247" s="816" t="s">
        <v>191</v>
      </c>
      <c r="B247" s="880">
        <v>2025</v>
      </c>
      <c r="C247" s="816" t="s">
        <v>1935</v>
      </c>
      <c r="D247" s="816" t="s">
        <v>1937</v>
      </c>
      <c r="E247" s="816" t="s">
        <v>7897</v>
      </c>
      <c r="F247" s="826">
        <v>0</v>
      </c>
      <c r="G247" s="880">
        <v>1</v>
      </c>
      <c r="H247" s="465"/>
      <c r="I247" s="465"/>
      <c r="J247" s="826">
        <v>0</v>
      </c>
      <c r="K247" s="878">
        <v>0</v>
      </c>
    </row>
    <row r="248" spans="1:11" ht="22.5" customHeight="1" x14ac:dyDescent="0.25">
      <c r="A248" s="816" t="s">
        <v>191</v>
      </c>
      <c r="B248" s="880">
        <v>2025</v>
      </c>
      <c r="C248" s="816" t="s">
        <v>1935</v>
      </c>
      <c r="D248" s="816" t="s">
        <v>1938</v>
      </c>
      <c r="E248" s="816" t="s">
        <v>7898</v>
      </c>
      <c r="F248" s="826">
        <v>0</v>
      </c>
      <c r="G248" s="880">
        <v>1</v>
      </c>
      <c r="H248" s="465"/>
      <c r="I248" s="465"/>
      <c r="J248" s="826">
        <v>0</v>
      </c>
      <c r="K248" s="878">
        <v>0</v>
      </c>
    </row>
    <row r="249" spans="1:11" ht="22.5" customHeight="1" x14ac:dyDescent="0.25">
      <c r="A249" s="816" t="s">
        <v>191</v>
      </c>
      <c r="B249" s="880">
        <v>2025</v>
      </c>
      <c r="C249" s="816" t="s">
        <v>1935</v>
      </c>
      <c r="D249" s="816" t="s">
        <v>1939</v>
      </c>
      <c r="E249" s="816" t="s">
        <v>7899</v>
      </c>
      <c r="F249" s="826">
        <v>0</v>
      </c>
      <c r="G249" s="880">
        <v>1</v>
      </c>
      <c r="H249" s="465"/>
      <c r="I249" s="465"/>
      <c r="J249" s="826">
        <v>0</v>
      </c>
      <c r="K249" s="878">
        <v>0</v>
      </c>
    </row>
    <row r="250" spans="1:11" ht="22.5" customHeight="1" x14ac:dyDescent="0.25">
      <c r="A250" s="816" t="s">
        <v>191</v>
      </c>
      <c r="B250" s="880">
        <v>2025</v>
      </c>
      <c r="C250" s="816" t="s">
        <v>1935</v>
      </c>
      <c r="D250" s="816" t="s">
        <v>1940</v>
      </c>
      <c r="E250" s="816" t="s">
        <v>7900</v>
      </c>
      <c r="F250" s="826">
        <v>0</v>
      </c>
      <c r="G250" s="880">
        <v>1</v>
      </c>
      <c r="H250" s="465"/>
      <c r="I250" s="465"/>
      <c r="J250" s="826">
        <v>0</v>
      </c>
      <c r="K250" s="878">
        <v>0</v>
      </c>
    </row>
    <row r="251" spans="1:11" ht="22.5" customHeight="1" x14ac:dyDescent="0.25">
      <c r="A251" s="816" t="s">
        <v>191</v>
      </c>
      <c r="B251" s="880">
        <v>2025</v>
      </c>
      <c r="C251" s="816" t="s">
        <v>1935</v>
      </c>
      <c r="D251" s="816" t="s">
        <v>1941</v>
      </c>
      <c r="E251" s="816" t="s">
        <v>7901</v>
      </c>
      <c r="F251" s="826">
        <v>0</v>
      </c>
      <c r="G251" s="880">
        <v>1</v>
      </c>
      <c r="H251" s="465"/>
      <c r="I251" s="465"/>
      <c r="J251" s="826">
        <v>0</v>
      </c>
      <c r="K251" s="878">
        <v>0</v>
      </c>
    </row>
    <row r="252" spans="1:11" ht="22.5" customHeight="1" x14ac:dyDescent="0.25">
      <c r="A252" s="816" t="s">
        <v>191</v>
      </c>
      <c r="B252" s="880">
        <v>2025</v>
      </c>
      <c r="C252" s="816" t="s">
        <v>1935</v>
      </c>
      <c r="D252" s="816" t="s">
        <v>1942</v>
      </c>
      <c r="E252" s="816" t="s">
        <v>7902</v>
      </c>
      <c r="F252" s="826">
        <v>0</v>
      </c>
      <c r="G252" s="880">
        <v>1</v>
      </c>
      <c r="H252" s="465"/>
      <c r="I252" s="465"/>
      <c r="J252" s="826">
        <v>0</v>
      </c>
      <c r="K252" s="878">
        <v>0</v>
      </c>
    </row>
    <row r="253" spans="1:11" ht="22.5" customHeight="1" x14ac:dyDescent="0.25">
      <c r="A253" s="816" t="s">
        <v>191</v>
      </c>
      <c r="B253" s="880">
        <v>2025</v>
      </c>
      <c r="C253" s="816" t="s">
        <v>1935</v>
      </c>
      <c r="D253" s="816" t="s">
        <v>1943</v>
      </c>
      <c r="E253" s="816" t="s">
        <v>7903</v>
      </c>
      <c r="F253" s="826">
        <v>0</v>
      </c>
      <c r="G253" s="880">
        <v>1</v>
      </c>
      <c r="H253" s="465"/>
      <c r="I253" s="465"/>
      <c r="J253" s="826">
        <v>0</v>
      </c>
      <c r="K253" s="878">
        <v>0</v>
      </c>
    </row>
    <row r="254" spans="1:11" ht="22.5" customHeight="1" x14ac:dyDescent="0.25">
      <c r="A254" s="816" t="s">
        <v>191</v>
      </c>
      <c r="B254" s="880">
        <v>2025</v>
      </c>
      <c r="C254" s="816" t="s">
        <v>1935</v>
      </c>
      <c r="D254" s="816" t="s">
        <v>1944</v>
      </c>
      <c r="E254" s="816" t="s">
        <v>7904</v>
      </c>
      <c r="F254" s="826">
        <v>0</v>
      </c>
      <c r="G254" s="880">
        <v>1</v>
      </c>
      <c r="H254" s="465"/>
      <c r="I254" s="465"/>
      <c r="J254" s="826">
        <v>0</v>
      </c>
      <c r="K254" s="878">
        <v>0</v>
      </c>
    </row>
    <row r="255" spans="1:11" ht="22.5" customHeight="1" x14ac:dyDescent="0.25">
      <c r="A255" s="816" t="s">
        <v>191</v>
      </c>
      <c r="B255" s="880">
        <v>2025</v>
      </c>
      <c r="C255" s="816" t="s">
        <v>1935</v>
      </c>
      <c r="D255" s="816" t="s">
        <v>1945</v>
      </c>
      <c r="E255" s="816" t="s">
        <v>7905</v>
      </c>
      <c r="F255" s="826">
        <v>0</v>
      </c>
      <c r="G255" s="880">
        <v>1</v>
      </c>
      <c r="H255" s="465"/>
      <c r="I255" s="465"/>
      <c r="J255" s="826">
        <v>0</v>
      </c>
      <c r="K255" s="878">
        <v>0</v>
      </c>
    </row>
    <row r="256" spans="1:11" ht="22.5" customHeight="1" x14ac:dyDescent="0.25">
      <c r="A256" s="816" t="s">
        <v>191</v>
      </c>
      <c r="B256" s="880">
        <v>2025</v>
      </c>
      <c r="C256" s="816" t="s">
        <v>1935</v>
      </c>
      <c r="D256" s="816" t="s">
        <v>1946</v>
      </c>
      <c r="E256" s="816" t="s">
        <v>7906</v>
      </c>
      <c r="F256" s="826">
        <v>0</v>
      </c>
      <c r="G256" s="880">
        <v>1</v>
      </c>
      <c r="H256" s="465"/>
      <c r="I256" s="465"/>
      <c r="J256" s="826">
        <v>0</v>
      </c>
      <c r="K256" s="878">
        <v>0</v>
      </c>
    </row>
    <row r="257" spans="1:11" ht="22.5" customHeight="1" x14ac:dyDescent="0.25">
      <c r="A257" s="816" t="s">
        <v>191</v>
      </c>
      <c r="B257" s="880">
        <v>2025</v>
      </c>
      <c r="C257" s="816" t="s">
        <v>1935</v>
      </c>
      <c r="D257" s="816" t="s">
        <v>1947</v>
      </c>
      <c r="E257" s="816" t="s">
        <v>7907</v>
      </c>
      <c r="F257" s="826">
        <v>0</v>
      </c>
      <c r="G257" s="880">
        <v>1</v>
      </c>
      <c r="H257" s="465"/>
      <c r="I257" s="465"/>
      <c r="J257" s="826">
        <v>0</v>
      </c>
      <c r="K257" s="878">
        <v>0</v>
      </c>
    </row>
    <row r="258" spans="1:11" ht="22.5" customHeight="1" x14ac:dyDescent="0.25">
      <c r="A258" s="816" t="s">
        <v>191</v>
      </c>
      <c r="B258" s="880">
        <v>2025</v>
      </c>
      <c r="C258" s="816" t="s">
        <v>1935</v>
      </c>
      <c r="D258" s="816" t="s">
        <v>1948</v>
      </c>
      <c r="E258" s="816" t="s">
        <v>7908</v>
      </c>
      <c r="F258" s="826">
        <v>0</v>
      </c>
      <c r="G258" s="880">
        <v>1</v>
      </c>
      <c r="H258" s="826">
        <v>-519390.66</v>
      </c>
      <c r="I258" s="826">
        <v>606511.35999999999</v>
      </c>
      <c r="J258" s="826">
        <v>87120.7</v>
      </c>
      <c r="K258" s="878">
        <v>87120.7</v>
      </c>
    </row>
    <row r="259" spans="1:11" ht="22.5" customHeight="1" x14ac:dyDescent="0.25">
      <c r="A259" s="816" t="s">
        <v>191</v>
      </c>
      <c r="B259" s="880">
        <v>2025</v>
      </c>
      <c r="C259" s="816" t="s">
        <v>1935</v>
      </c>
      <c r="D259" s="816" t="s">
        <v>1949</v>
      </c>
      <c r="E259" s="816" t="s">
        <v>7909</v>
      </c>
      <c r="F259" s="826">
        <v>0</v>
      </c>
      <c r="G259" s="880">
        <v>1</v>
      </c>
      <c r="H259" s="826">
        <v>137016.57</v>
      </c>
      <c r="I259" s="826">
        <v>160343.76999999999</v>
      </c>
      <c r="J259" s="826">
        <v>297360.34000000003</v>
      </c>
      <c r="K259" s="878">
        <v>297360.34000000003</v>
      </c>
    </row>
    <row r="260" spans="1:11" ht="22.5" customHeight="1" x14ac:dyDescent="0.25">
      <c r="A260" s="816" t="s">
        <v>191</v>
      </c>
      <c r="B260" s="880">
        <v>2025</v>
      </c>
      <c r="C260" s="816" t="s">
        <v>1935</v>
      </c>
      <c r="D260" s="816" t="s">
        <v>1950</v>
      </c>
      <c r="E260" s="816" t="s">
        <v>7910</v>
      </c>
      <c r="F260" s="826">
        <v>0</v>
      </c>
      <c r="G260" s="880">
        <v>1</v>
      </c>
      <c r="H260" s="826">
        <v>0</v>
      </c>
      <c r="I260" s="826">
        <v>-52209.08</v>
      </c>
      <c r="J260" s="826">
        <v>-52209.08</v>
      </c>
      <c r="K260" s="878">
        <v>-52209.08</v>
      </c>
    </row>
    <row r="261" spans="1:11" ht="22.5" customHeight="1" x14ac:dyDescent="0.25">
      <c r="A261" s="816" t="s">
        <v>191</v>
      </c>
      <c r="B261" s="880">
        <v>2025</v>
      </c>
      <c r="C261" s="816" t="s">
        <v>1935</v>
      </c>
      <c r="D261" s="816" t="s">
        <v>1951</v>
      </c>
      <c r="E261" s="816" t="s">
        <v>7911</v>
      </c>
      <c r="F261" s="826">
        <v>0</v>
      </c>
      <c r="G261" s="880">
        <v>1</v>
      </c>
      <c r="H261" s="826">
        <v>0</v>
      </c>
      <c r="I261" s="826">
        <v>52079.79</v>
      </c>
      <c r="J261" s="826">
        <v>52079.79</v>
      </c>
      <c r="K261" s="878">
        <v>52079.79</v>
      </c>
    </row>
    <row r="262" spans="1:11" ht="22.5" customHeight="1" x14ac:dyDescent="0.25">
      <c r="A262" s="816" t="s">
        <v>191</v>
      </c>
      <c r="B262" s="880">
        <v>2025</v>
      </c>
      <c r="C262" s="816" t="s">
        <v>1935</v>
      </c>
      <c r="D262" s="816" t="s">
        <v>7801</v>
      </c>
      <c r="E262" s="816" t="s">
        <v>7912</v>
      </c>
      <c r="F262" s="826">
        <v>0</v>
      </c>
      <c r="G262" s="880">
        <v>1</v>
      </c>
      <c r="H262" s="826">
        <v>-21246.74</v>
      </c>
      <c r="I262" s="826">
        <v>185831.39</v>
      </c>
      <c r="J262" s="826">
        <v>164584.65</v>
      </c>
      <c r="K262" s="878">
        <v>164584.65</v>
      </c>
    </row>
    <row r="263" spans="1:11" ht="22.5" customHeight="1" x14ac:dyDescent="0.25">
      <c r="A263" s="816" t="s">
        <v>191</v>
      </c>
      <c r="B263" s="880">
        <v>2025</v>
      </c>
      <c r="C263" s="816" t="s">
        <v>1935</v>
      </c>
      <c r="D263" s="816" t="s">
        <v>1952</v>
      </c>
      <c r="E263" s="816" t="s">
        <v>7913</v>
      </c>
      <c r="F263" s="826">
        <v>548936.4</v>
      </c>
      <c r="G263" s="880">
        <v>0</v>
      </c>
      <c r="H263" s="465"/>
      <c r="I263" s="465"/>
      <c r="J263" s="826">
        <v>0</v>
      </c>
      <c r="K263" s="878">
        <v>548936.4</v>
      </c>
    </row>
    <row r="264" spans="1:11" ht="22.5" customHeight="1" x14ac:dyDescent="0.25">
      <c r="A264" s="816" t="s">
        <v>191</v>
      </c>
      <c r="B264" s="880">
        <v>2025</v>
      </c>
      <c r="C264" s="816" t="s">
        <v>1953</v>
      </c>
      <c r="D264" s="816" t="s">
        <v>1954</v>
      </c>
      <c r="E264" s="816" t="s">
        <v>2069</v>
      </c>
      <c r="F264" s="826">
        <v>-276420.65999999997</v>
      </c>
      <c r="G264" s="880">
        <v>0</v>
      </c>
      <c r="H264" s="465"/>
      <c r="I264" s="465"/>
      <c r="J264" s="826">
        <v>0</v>
      </c>
      <c r="K264" s="878">
        <v>-276420.65999999997</v>
      </c>
    </row>
    <row r="265" spans="1:11" ht="22.5" customHeight="1" x14ac:dyDescent="0.25">
      <c r="A265" s="816" t="s">
        <v>196</v>
      </c>
      <c r="B265" s="880">
        <v>2025</v>
      </c>
      <c r="C265" s="816" t="s">
        <v>1854</v>
      </c>
      <c r="D265" s="816" t="s">
        <v>1855</v>
      </c>
      <c r="E265" s="816" t="s">
        <v>2070</v>
      </c>
      <c r="F265" s="826">
        <v>-1037936.8</v>
      </c>
      <c r="G265" s="880">
        <v>0</v>
      </c>
      <c r="H265" s="465"/>
      <c r="I265" s="465"/>
      <c r="J265" s="826">
        <v>0</v>
      </c>
      <c r="K265" s="878">
        <v>-1037936.8</v>
      </c>
    </row>
    <row r="266" spans="1:11" ht="22.5" customHeight="1" x14ac:dyDescent="0.25">
      <c r="A266" s="816" t="s">
        <v>196</v>
      </c>
      <c r="B266" s="880">
        <v>2025</v>
      </c>
      <c r="C266" s="816" t="s">
        <v>7746</v>
      </c>
      <c r="D266" s="816" t="s">
        <v>7747</v>
      </c>
      <c r="E266" s="816" t="s">
        <v>7753</v>
      </c>
      <c r="F266" s="826">
        <v>0</v>
      </c>
      <c r="G266" s="880">
        <v>0</v>
      </c>
      <c r="H266" s="465"/>
      <c r="I266" s="465"/>
      <c r="J266" s="826">
        <v>0</v>
      </c>
      <c r="K266" s="878">
        <v>0</v>
      </c>
    </row>
    <row r="267" spans="1:11" ht="22.5" customHeight="1" x14ac:dyDescent="0.25">
      <c r="A267" s="816" t="s">
        <v>196</v>
      </c>
      <c r="B267" s="880">
        <v>2025</v>
      </c>
      <c r="C267" s="816" t="s">
        <v>1857</v>
      </c>
      <c r="D267" s="816" t="s">
        <v>1858</v>
      </c>
      <c r="E267" s="816" t="s">
        <v>2071</v>
      </c>
      <c r="F267" s="826">
        <v>0</v>
      </c>
      <c r="G267" s="880">
        <v>0</v>
      </c>
      <c r="H267" s="465"/>
      <c r="I267" s="465"/>
      <c r="J267" s="826">
        <v>0</v>
      </c>
      <c r="K267" s="878">
        <v>0</v>
      </c>
    </row>
    <row r="268" spans="1:11" ht="22.5" customHeight="1" x14ac:dyDescent="0.25">
      <c r="A268" s="816" t="s">
        <v>196</v>
      </c>
      <c r="B268" s="880">
        <v>2025</v>
      </c>
      <c r="C268" s="816" t="s">
        <v>1860</v>
      </c>
      <c r="D268" s="816" t="s">
        <v>1861</v>
      </c>
      <c r="E268" s="816" t="s">
        <v>2072</v>
      </c>
      <c r="F268" s="826">
        <v>-295495.15999999997</v>
      </c>
      <c r="G268" s="880">
        <v>0</v>
      </c>
      <c r="H268" s="465"/>
      <c r="I268" s="465"/>
      <c r="J268" s="826">
        <v>0</v>
      </c>
      <c r="K268" s="878">
        <v>-295495.15999999997</v>
      </c>
    </row>
    <row r="269" spans="1:11" ht="22.5" customHeight="1" x14ac:dyDescent="0.25">
      <c r="A269" s="816" t="s">
        <v>196</v>
      </c>
      <c r="B269" s="880">
        <v>2025</v>
      </c>
      <c r="C269" s="816" t="s">
        <v>1863</v>
      </c>
      <c r="D269" s="816" t="s">
        <v>1864</v>
      </c>
      <c r="E269" s="816" t="s">
        <v>2073</v>
      </c>
      <c r="F269" s="826">
        <v>0</v>
      </c>
      <c r="G269" s="880">
        <v>0</v>
      </c>
      <c r="H269" s="465"/>
      <c r="I269" s="465"/>
      <c r="J269" s="826">
        <v>0</v>
      </c>
      <c r="K269" s="878">
        <v>0</v>
      </c>
    </row>
    <row r="270" spans="1:11" ht="22.5" customHeight="1" x14ac:dyDescent="0.25">
      <c r="A270" s="816" t="s">
        <v>196</v>
      </c>
      <c r="B270" s="880">
        <v>2025</v>
      </c>
      <c r="C270" s="816" t="s">
        <v>1866</v>
      </c>
      <c r="D270" s="816" t="s">
        <v>1867</v>
      </c>
      <c r="E270" s="816" t="s">
        <v>2074</v>
      </c>
      <c r="F270" s="826">
        <v>0</v>
      </c>
      <c r="G270" s="880">
        <v>0</v>
      </c>
      <c r="H270" s="465"/>
      <c r="I270" s="465"/>
      <c r="J270" s="826">
        <v>0</v>
      </c>
      <c r="K270" s="878">
        <v>0</v>
      </c>
    </row>
    <row r="271" spans="1:11" ht="22.5" customHeight="1" x14ac:dyDescent="0.25">
      <c r="A271" s="816" t="s">
        <v>196</v>
      </c>
      <c r="B271" s="880">
        <v>2025</v>
      </c>
      <c r="C271" s="816" t="s">
        <v>1869</v>
      </c>
      <c r="D271" s="816" t="s">
        <v>1870</v>
      </c>
      <c r="E271" s="816" t="s">
        <v>2075</v>
      </c>
      <c r="F271" s="826">
        <v>0</v>
      </c>
      <c r="G271" s="880">
        <v>0</v>
      </c>
      <c r="H271" s="465"/>
      <c r="I271" s="465"/>
      <c r="J271" s="826">
        <v>0</v>
      </c>
      <c r="K271" s="878">
        <v>0</v>
      </c>
    </row>
    <row r="272" spans="1:11" ht="22.5" customHeight="1" x14ac:dyDescent="0.25">
      <c r="A272" s="816" t="s">
        <v>196</v>
      </c>
      <c r="B272" s="880">
        <v>2025</v>
      </c>
      <c r="C272" s="816" t="s">
        <v>1872</v>
      </c>
      <c r="D272" s="816" t="s">
        <v>1873</v>
      </c>
      <c r="E272" s="816" t="s">
        <v>2076</v>
      </c>
      <c r="F272" s="826">
        <v>0</v>
      </c>
      <c r="G272" s="880">
        <v>0</v>
      </c>
      <c r="H272" s="465"/>
      <c r="I272" s="465"/>
      <c r="J272" s="826">
        <v>0</v>
      </c>
      <c r="K272" s="878">
        <v>0</v>
      </c>
    </row>
    <row r="273" spans="1:11" ht="22.5" customHeight="1" x14ac:dyDescent="0.25">
      <c r="A273" s="816" t="s">
        <v>196</v>
      </c>
      <c r="B273" s="880">
        <v>2025</v>
      </c>
      <c r="C273" s="816" t="s">
        <v>1875</v>
      </c>
      <c r="D273" s="816" t="s">
        <v>1876</v>
      </c>
      <c r="E273" s="816" t="s">
        <v>2077</v>
      </c>
      <c r="F273" s="826">
        <v>0</v>
      </c>
      <c r="G273" s="880">
        <v>0</v>
      </c>
      <c r="H273" s="465"/>
      <c r="I273" s="465"/>
      <c r="J273" s="826">
        <v>0</v>
      </c>
      <c r="K273" s="878">
        <v>0</v>
      </c>
    </row>
    <row r="274" spans="1:11" ht="22.5" customHeight="1" x14ac:dyDescent="0.25">
      <c r="A274" s="816" t="s">
        <v>196</v>
      </c>
      <c r="B274" s="880">
        <v>2025</v>
      </c>
      <c r="C274" s="816" t="s">
        <v>1878</v>
      </c>
      <c r="D274" s="816" t="s">
        <v>1964</v>
      </c>
      <c r="E274" s="816" t="s">
        <v>2078</v>
      </c>
      <c r="F274" s="826">
        <v>0</v>
      </c>
      <c r="G274" s="880">
        <v>0</v>
      </c>
      <c r="H274" s="465"/>
      <c r="I274" s="465"/>
      <c r="J274" s="826">
        <v>0</v>
      </c>
      <c r="K274" s="878">
        <v>0</v>
      </c>
    </row>
    <row r="275" spans="1:11" ht="22.5" customHeight="1" x14ac:dyDescent="0.25">
      <c r="A275" s="816" t="s">
        <v>196</v>
      </c>
      <c r="B275" s="880">
        <v>2025</v>
      </c>
      <c r="C275" s="816" t="s">
        <v>1881</v>
      </c>
      <c r="D275" s="816" t="s">
        <v>1882</v>
      </c>
      <c r="E275" s="816" t="s">
        <v>2079</v>
      </c>
      <c r="F275" s="826">
        <v>0</v>
      </c>
      <c r="G275" s="880">
        <v>0</v>
      </c>
      <c r="H275" s="465"/>
      <c r="I275" s="465"/>
      <c r="J275" s="826">
        <v>0</v>
      </c>
      <c r="K275" s="878">
        <v>0</v>
      </c>
    </row>
    <row r="276" spans="1:11" ht="22.5" customHeight="1" x14ac:dyDescent="0.25">
      <c r="A276" s="816" t="s">
        <v>196</v>
      </c>
      <c r="B276" s="880">
        <v>2025</v>
      </c>
      <c r="C276" s="816" t="s">
        <v>1884</v>
      </c>
      <c r="D276" s="816" t="s">
        <v>1885</v>
      </c>
      <c r="E276" s="816" t="s">
        <v>2080</v>
      </c>
      <c r="F276" s="826">
        <v>0</v>
      </c>
      <c r="G276" s="880">
        <v>0</v>
      </c>
      <c r="H276" s="465"/>
      <c r="I276" s="465"/>
      <c r="J276" s="826">
        <v>0</v>
      </c>
      <c r="K276" s="878">
        <v>0</v>
      </c>
    </row>
    <row r="277" spans="1:11" ht="22.5" customHeight="1" x14ac:dyDescent="0.25">
      <c r="A277" s="816" t="s">
        <v>196</v>
      </c>
      <c r="B277" s="880">
        <v>2025</v>
      </c>
      <c r="C277" s="816" t="s">
        <v>1887</v>
      </c>
      <c r="D277" s="816" t="s">
        <v>138</v>
      </c>
      <c r="E277" s="816" t="s">
        <v>2081</v>
      </c>
      <c r="F277" s="826">
        <v>20162.27</v>
      </c>
      <c r="G277" s="880">
        <v>1</v>
      </c>
      <c r="H277" s="826">
        <v>19049.63</v>
      </c>
      <c r="I277" s="826">
        <v>1112.6400000000001</v>
      </c>
      <c r="J277" s="826">
        <v>20162.27</v>
      </c>
      <c r="K277" s="878">
        <v>20162.27</v>
      </c>
    </row>
    <row r="278" spans="1:11" ht="22.5" customHeight="1" x14ac:dyDescent="0.25">
      <c r="A278" s="816" t="s">
        <v>196</v>
      </c>
      <c r="B278" s="880">
        <v>2025</v>
      </c>
      <c r="C278" s="816" t="s">
        <v>1889</v>
      </c>
      <c r="D278" s="816" t="s">
        <v>139</v>
      </c>
      <c r="E278" s="816" t="s">
        <v>2082</v>
      </c>
      <c r="F278" s="826">
        <v>-91384.3</v>
      </c>
      <c r="G278" s="880">
        <v>1</v>
      </c>
      <c r="H278" s="826">
        <v>-87174.49</v>
      </c>
      <c r="I278" s="826">
        <v>-4209.8100000000004</v>
      </c>
      <c r="J278" s="826">
        <v>-91384.3</v>
      </c>
      <c r="K278" s="878">
        <v>-91384.3</v>
      </c>
    </row>
    <row r="279" spans="1:11" ht="22.5" customHeight="1" x14ac:dyDescent="0.25">
      <c r="A279" s="816" t="s">
        <v>196</v>
      </c>
      <c r="B279" s="880">
        <v>2025</v>
      </c>
      <c r="C279" s="816" t="s">
        <v>1891</v>
      </c>
      <c r="D279" s="816" t="s">
        <v>1892</v>
      </c>
      <c r="E279" s="816" t="s">
        <v>2083</v>
      </c>
      <c r="F279" s="826">
        <v>0</v>
      </c>
      <c r="G279" s="880">
        <v>0</v>
      </c>
      <c r="H279" s="465"/>
      <c r="I279" s="465"/>
      <c r="J279" s="826">
        <v>0</v>
      </c>
      <c r="K279" s="878">
        <v>0</v>
      </c>
    </row>
    <row r="280" spans="1:11" ht="22.5" customHeight="1" x14ac:dyDescent="0.25">
      <c r="A280" s="816" t="s">
        <v>196</v>
      </c>
      <c r="B280" s="880">
        <v>2025</v>
      </c>
      <c r="C280" s="816" t="s">
        <v>1891</v>
      </c>
      <c r="D280" s="816" t="s">
        <v>1894</v>
      </c>
      <c r="E280" s="816" t="s">
        <v>2083</v>
      </c>
      <c r="F280" s="826">
        <v>0</v>
      </c>
      <c r="G280" s="880">
        <v>0</v>
      </c>
      <c r="H280" s="465"/>
      <c r="I280" s="465"/>
      <c r="J280" s="826">
        <v>0</v>
      </c>
      <c r="K280" s="881">
        <v>0</v>
      </c>
    </row>
    <row r="281" spans="1:11" ht="22.5" customHeight="1" x14ac:dyDescent="0.25">
      <c r="A281" s="816" t="s">
        <v>196</v>
      </c>
      <c r="B281" s="880">
        <v>2025</v>
      </c>
      <c r="C281" s="816" t="s">
        <v>1895</v>
      </c>
      <c r="D281" s="816" t="s">
        <v>1896</v>
      </c>
      <c r="E281" s="816" t="s">
        <v>2084</v>
      </c>
      <c r="F281" s="826">
        <v>12934.55</v>
      </c>
      <c r="G281" s="880">
        <v>0</v>
      </c>
      <c r="H281" s="465"/>
      <c r="I281" s="465"/>
      <c r="J281" s="826">
        <v>0</v>
      </c>
      <c r="K281" s="878">
        <v>12934.55</v>
      </c>
    </row>
    <row r="282" spans="1:11" ht="22.5" customHeight="1" x14ac:dyDescent="0.25">
      <c r="A282" s="816" t="s">
        <v>196</v>
      </c>
      <c r="B282" s="880">
        <v>2025</v>
      </c>
      <c r="C282" s="816" t="s">
        <v>1898</v>
      </c>
      <c r="D282" s="816" t="s">
        <v>1899</v>
      </c>
      <c r="E282" s="816" t="s">
        <v>2085</v>
      </c>
      <c r="F282" s="826">
        <v>0</v>
      </c>
      <c r="G282" s="880">
        <v>0</v>
      </c>
      <c r="H282" s="465"/>
      <c r="I282" s="465"/>
      <c r="J282" s="826">
        <v>0</v>
      </c>
      <c r="K282" s="878">
        <v>0</v>
      </c>
    </row>
    <row r="283" spans="1:11" ht="22.5" customHeight="1" x14ac:dyDescent="0.25">
      <c r="A283" s="816" t="s">
        <v>196</v>
      </c>
      <c r="B283" s="880">
        <v>2025</v>
      </c>
      <c r="C283" s="816" t="s">
        <v>1901</v>
      </c>
      <c r="D283" s="816" t="s">
        <v>1902</v>
      </c>
      <c r="E283" s="816" t="s">
        <v>2086</v>
      </c>
      <c r="F283" s="826">
        <v>12722.86</v>
      </c>
      <c r="G283" s="880">
        <v>0</v>
      </c>
      <c r="H283" s="465"/>
      <c r="I283" s="465"/>
      <c r="J283" s="826">
        <v>0</v>
      </c>
      <c r="K283" s="878">
        <v>12722.86</v>
      </c>
    </row>
    <row r="284" spans="1:11" ht="22.5" customHeight="1" x14ac:dyDescent="0.25">
      <c r="A284" s="816" t="s">
        <v>196</v>
      </c>
      <c r="B284" s="880">
        <v>2025</v>
      </c>
      <c r="C284" s="816" t="s">
        <v>1904</v>
      </c>
      <c r="D284" s="816" t="s">
        <v>1905</v>
      </c>
      <c r="E284" s="816" t="s">
        <v>2087</v>
      </c>
      <c r="F284" s="826">
        <v>0</v>
      </c>
      <c r="G284" s="880">
        <v>0</v>
      </c>
      <c r="H284" s="465"/>
      <c r="I284" s="465"/>
      <c r="J284" s="826">
        <v>0</v>
      </c>
      <c r="K284" s="878">
        <v>0</v>
      </c>
    </row>
    <row r="285" spans="1:11" ht="22.5" customHeight="1" x14ac:dyDescent="0.25">
      <c r="A285" s="816" t="s">
        <v>196</v>
      </c>
      <c r="B285" s="880">
        <v>2025</v>
      </c>
      <c r="C285" s="816" t="s">
        <v>1907</v>
      </c>
      <c r="D285" s="816" t="s">
        <v>1908</v>
      </c>
      <c r="E285" s="816" t="s">
        <v>2088</v>
      </c>
      <c r="F285" s="826">
        <v>0</v>
      </c>
      <c r="G285" s="880">
        <v>0</v>
      </c>
      <c r="H285" s="465"/>
      <c r="I285" s="465"/>
      <c r="J285" s="826">
        <v>0</v>
      </c>
      <c r="K285" s="878">
        <v>0</v>
      </c>
    </row>
    <row r="286" spans="1:11" ht="22.5" customHeight="1" x14ac:dyDescent="0.25">
      <c r="A286" s="816" t="s">
        <v>196</v>
      </c>
      <c r="B286" s="880">
        <v>2025</v>
      </c>
      <c r="C286" s="816" t="s">
        <v>1910</v>
      </c>
      <c r="D286" s="816" t="s">
        <v>1911</v>
      </c>
      <c r="E286" s="816" t="s">
        <v>2089</v>
      </c>
      <c r="F286" s="826">
        <v>0</v>
      </c>
      <c r="G286" s="880">
        <v>0</v>
      </c>
      <c r="H286" s="465"/>
      <c r="I286" s="465"/>
      <c r="J286" s="826">
        <v>0</v>
      </c>
      <c r="K286" s="878">
        <v>0</v>
      </c>
    </row>
    <row r="287" spans="1:11" ht="22.5" customHeight="1" x14ac:dyDescent="0.25">
      <c r="A287" s="816" t="s">
        <v>196</v>
      </c>
      <c r="B287" s="880">
        <v>2025</v>
      </c>
      <c r="C287" s="816" t="s">
        <v>1913</v>
      </c>
      <c r="D287" s="816" t="s">
        <v>1914</v>
      </c>
      <c r="E287" s="816" t="s">
        <v>2090</v>
      </c>
      <c r="F287" s="826">
        <v>-596562.34</v>
      </c>
      <c r="G287" s="880">
        <v>1</v>
      </c>
      <c r="H287" s="826">
        <v>-557247.36</v>
      </c>
      <c r="I287" s="826">
        <v>-39314.980000000003</v>
      </c>
      <c r="J287" s="826">
        <v>-596562.34</v>
      </c>
      <c r="K287" s="878">
        <v>-596562.34</v>
      </c>
    </row>
    <row r="288" spans="1:11" ht="22.5" customHeight="1" x14ac:dyDescent="0.25">
      <c r="A288" s="816" t="s">
        <v>196</v>
      </c>
      <c r="B288" s="880">
        <v>2025</v>
      </c>
      <c r="C288" s="816" t="s">
        <v>1913</v>
      </c>
      <c r="D288" s="816" t="s">
        <v>1916</v>
      </c>
      <c r="E288" s="816" t="s">
        <v>2090</v>
      </c>
      <c r="F288" s="826">
        <v>0</v>
      </c>
      <c r="G288" s="880">
        <v>0</v>
      </c>
      <c r="H288" s="465"/>
      <c r="I288" s="465"/>
      <c r="J288" s="826">
        <v>0</v>
      </c>
      <c r="K288" s="881">
        <v>0</v>
      </c>
    </row>
    <row r="289" spans="1:11" ht="22.5" customHeight="1" x14ac:dyDescent="0.25">
      <c r="A289" s="816" t="s">
        <v>196</v>
      </c>
      <c r="B289" s="880">
        <v>2025</v>
      </c>
      <c r="C289" s="816" t="s">
        <v>1913</v>
      </c>
      <c r="D289" s="816" t="s">
        <v>1917</v>
      </c>
      <c r="E289" s="816" t="s">
        <v>2090</v>
      </c>
      <c r="F289" s="826">
        <v>0</v>
      </c>
      <c r="G289" s="880">
        <v>0</v>
      </c>
      <c r="H289" s="465"/>
      <c r="I289" s="465"/>
      <c r="J289" s="826">
        <v>0</v>
      </c>
      <c r="K289" s="881">
        <v>0</v>
      </c>
    </row>
    <row r="290" spans="1:11" ht="22.5" customHeight="1" x14ac:dyDescent="0.25">
      <c r="A290" s="816" t="s">
        <v>196</v>
      </c>
      <c r="B290" s="880">
        <v>2025</v>
      </c>
      <c r="C290" s="816" t="s">
        <v>1913</v>
      </c>
      <c r="D290" s="816" t="s">
        <v>1918</v>
      </c>
      <c r="E290" s="816" t="s">
        <v>2090</v>
      </c>
      <c r="F290" s="826">
        <v>0</v>
      </c>
      <c r="G290" s="880">
        <v>0</v>
      </c>
      <c r="H290" s="465"/>
      <c r="I290" s="465"/>
      <c r="J290" s="826">
        <v>0</v>
      </c>
      <c r="K290" s="881">
        <v>931.75</v>
      </c>
    </row>
    <row r="291" spans="1:11" ht="22.5" customHeight="1" x14ac:dyDescent="0.25">
      <c r="A291" s="816" t="s">
        <v>196</v>
      </c>
      <c r="B291" s="880">
        <v>2025</v>
      </c>
      <c r="C291" s="816" t="s">
        <v>1913</v>
      </c>
      <c r="D291" s="816" t="s">
        <v>1919</v>
      </c>
      <c r="E291" s="816" t="s">
        <v>2090</v>
      </c>
      <c r="F291" s="826">
        <v>0</v>
      </c>
      <c r="G291" s="880">
        <v>0</v>
      </c>
      <c r="H291" s="465"/>
      <c r="I291" s="465"/>
      <c r="J291" s="826">
        <v>0</v>
      </c>
      <c r="K291" s="881">
        <v>218415.35999999999</v>
      </c>
    </row>
    <row r="292" spans="1:11" ht="22.5" customHeight="1" x14ac:dyDescent="0.25">
      <c r="A292" s="816" t="s">
        <v>196</v>
      </c>
      <c r="B292" s="880">
        <v>2025</v>
      </c>
      <c r="C292" s="816" t="s">
        <v>1920</v>
      </c>
      <c r="D292" s="816" t="s">
        <v>1921</v>
      </c>
      <c r="E292" s="816" t="s">
        <v>2091</v>
      </c>
      <c r="F292" s="826">
        <v>0</v>
      </c>
      <c r="G292" s="880">
        <v>0</v>
      </c>
      <c r="H292" s="465"/>
      <c r="I292" s="465"/>
      <c r="J292" s="826">
        <v>0</v>
      </c>
      <c r="K292" s="878">
        <v>0</v>
      </c>
    </row>
    <row r="293" spans="1:11" ht="22.5" customHeight="1" x14ac:dyDescent="0.25">
      <c r="A293" s="816" t="s">
        <v>196</v>
      </c>
      <c r="B293" s="880">
        <v>2025</v>
      </c>
      <c r="C293" s="816" t="s">
        <v>1923</v>
      </c>
      <c r="D293" s="816" t="s">
        <v>143</v>
      </c>
      <c r="E293" s="816" t="s">
        <v>2092</v>
      </c>
      <c r="F293" s="826">
        <v>-260996.52</v>
      </c>
      <c r="G293" s="880">
        <v>1</v>
      </c>
      <c r="H293" s="826">
        <v>-244423.58</v>
      </c>
      <c r="I293" s="826">
        <v>-16572.939999999999</v>
      </c>
      <c r="J293" s="826">
        <v>-260996.52</v>
      </c>
      <c r="K293" s="878">
        <v>-260996.52</v>
      </c>
    </row>
    <row r="294" spans="1:11" ht="22.5" customHeight="1" x14ac:dyDescent="0.25">
      <c r="A294" s="816" t="s">
        <v>196</v>
      </c>
      <c r="B294" s="880">
        <v>2025</v>
      </c>
      <c r="C294" s="816" t="s">
        <v>1925</v>
      </c>
      <c r="D294" s="816" t="s">
        <v>144</v>
      </c>
      <c r="E294" s="816" t="s">
        <v>2093</v>
      </c>
      <c r="F294" s="826">
        <v>-519862.88</v>
      </c>
      <c r="G294" s="880">
        <v>1</v>
      </c>
      <c r="H294" s="826">
        <v>-496553.58</v>
      </c>
      <c r="I294" s="826">
        <v>-23309.3</v>
      </c>
      <c r="J294" s="826">
        <v>-519862.88</v>
      </c>
      <c r="K294" s="878">
        <v>-519862.88</v>
      </c>
    </row>
    <row r="295" spans="1:11" ht="22.5" customHeight="1" x14ac:dyDescent="0.25">
      <c r="A295" s="816" t="s">
        <v>196</v>
      </c>
      <c r="B295" s="880">
        <v>2025</v>
      </c>
      <c r="C295" s="816" t="s">
        <v>1927</v>
      </c>
      <c r="D295" s="816" t="s">
        <v>1928</v>
      </c>
      <c r="E295" s="816" t="s">
        <v>2094</v>
      </c>
      <c r="F295" s="826">
        <v>-143338.17000000001</v>
      </c>
      <c r="G295" s="880">
        <v>1</v>
      </c>
      <c r="H295" s="826">
        <v>-181170.05</v>
      </c>
      <c r="I295" s="826">
        <v>37831.879999999997</v>
      </c>
      <c r="J295" s="826">
        <v>-143338.17000000001</v>
      </c>
      <c r="K295" s="878">
        <v>-143338.17000000001</v>
      </c>
    </row>
    <row r="296" spans="1:11" ht="22.5" customHeight="1" x14ac:dyDescent="0.25">
      <c r="A296" s="816" t="s">
        <v>196</v>
      </c>
      <c r="B296" s="880">
        <v>2025</v>
      </c>
      <c r="C296" s="816" t="s">
        <v>1930</v>
      </c>
      <c r="D296" s="816" t="s">
        <v>156</v>
      </c>
      <c r="E296" s="816" t="s">
        <v>2095</v>
      </c>
      <c r="F296" s="826">
        <v>-700142.21</v>
      </c>
      <c r="G296" s="880">
        <v>1</v>
      </c>
      <c r="H296" s="826">
        <v>-676946.89</v>
      </c>
      <c r="I296" s="826">
        <v>-23195.32</v>
      </c>
      <c r="J296" s="826">
        <v>-700142.21</v>
      </c>
      <c r="K296" s="878">
        <v>-700142.21</v>
      </c>
    </row>
    <row r="297" spans="1:11" ht="22.5" customHeight="1" x14ac:dyDescent="0.25">
      <c r="A297" s="816" t="s">
        <v>196</v>
      </c>
      <c r="B297" s="880">
        <v>2025</v>
      </c>
      <c r="C297" s="816" t="s">
        <v>1932</v>
      </c>
      <c r="D297" s="816" t="s">
        <v>1983</v>
      </c>
      <c r="E297" s="816" t="s">
        <v>2096</v>
      </c>
      <c r="F297" s="826">
        <v>0</v>
      </c>
      <c r="G297" s="880">
        <v>0</v>
      </c>
      <c r="H297" s="465"/>
      <c r="I297" s="465"/>
      <c r="J297" s="826">
        <v>0</v>
      </c>
      <c r="K297" s="878">
        <v>0</v>
      </c>
    </row>
    <row r="298" spans="1:11" ht="22.5" customHeight="1" x14ac:dyDescent="0.25">
      <c r="A298" s="816" t="s">
        <v>196</v>
      </c>
      <c r="B298" s="880">
        <v>2025</v>
      </c>
      <c r="C298" s="816" t="s">
        <v>1935</v>
      </c>
      <c r="D298" s="816" t="s">
        <v>1936</v>
      </c>
      <c r="E298" s="816" t="s">
        <v>7914</v>
      </c>
      <c r="F298" s="826">
        <v>0</v>
      </c>
      <c r="G298" s="880">
        <v>1</v>
      </c>
      <c r="H298" s="465"/>
      <c r="I298" s="465"/>
      <c r="J298" s="826">
        <v>0</v>
      </c>
      <c r="K298" s="878">
        <v>0</v>
      </c>
    </row>
    <row r="299" spans="1:11" ht="22.5" customHeight="1" x14ac:dyDescent="0.25">
      <c r="A299" s="816" t="s">
        <v>196</v>
      </c>
      <c r="B299" s="880">
        <v>2025</v>
      </c>
      <c r="C299" s="816" t="s">
        <v>1935</v>
      </c>
      <c r="D299" s="816" t="s">
        <v>1937</v>
      </c>
      <c r="E299" s="816" t="s">
        <v>7915</v>
      </c>
      <c r="F299" s="826">
        <v>0</v>
      </c>
      <c r="G299" s="880">
        <v>1</v>
      </c>
      <c r="H299" s="465"/>
      <c r="I299" s="465"/>
      <c r="J299" s="826">
        <v>0</v>
      </c>
      <c r="K299" s="878">
        <v>0</v>
      </c>
    </row>
    <row r="300" spans="1:11" ht="22.5" customHeight="1" x14ac:dyDescent="0.25">
      <c r="A300" s="816" t="s">
        <v>196</v>
      </c>
      <c r="B300" s="880">
        <v>2025</v>
      </c>
      <c r="C300" s="816" t="s">
        <v>1935</v>
      </c>
      <c r="D300" s="816" t="s">
        <v>1938</v>
      </c>
      <c r="E300" s="816" t="s">
        <v>7916</v>
      </c>
      <c r="F300" s="826">
        <v>0</v>
      </c>
      <c r="G300" s="880">
        <v>1</v>
      </c>
      <c r="H300" s="465"/>
      <c r="I300" s="465"/>
      <c r="J300" s="826">
        <v>0</v>
      </c>
      <c r="K300" s="878">
        <v>0</v>
      </c>
    </row>
    <row r="301" spans="1:11" ht="22.5" customHeight="1" x14ac:dyDescent="0.25">
      <c r="A301" s="816" t="s">
        <v>196</v>
      </c>
      <c r="B301" s="880">
        <v>2025</v>
      </c>
      <c r="C301" s="816" t="s">
        <v>1935</v>
      </c>
      <c r="D301" s="816" t="s">
        <v>1939</v>
      </c>
      <c r="E301" s="816" t="s">
        <v>7917</v>
      </c>
      <c r="F301" s="826">
        <v>0</v>
      </c>
      <c r="G301" s="880">
        <v>1</v>
      </c>
      <c r="H301" s="465"/>
      <c r="I301" s="465"/>
      <c r="J301" s="826">
        <v>0</v>
      </c>
      <c r="K301" s="878">
        <v>0</v>
      </c>
    </row>
    <row r="302" spans="1:11" ht="22.5" customHeight="1" x14ac:dyDescent="0.25">
      <c r="A302" s="816" t="s">
        <v>196</v>
      </c>
      <c r="B302" s="880">
        <v>2025</v>
      </c>
      <c r="C302" s="816" t="s">
        <v>1935</v>
      </c>
      <c r="D302" s="816" t="s">
        <v>1940</v>
      </c>
      <c r="E302" s="816" t="s">
        <v>7918</v>
      </c>
      <c r="F302" s="826">
        <v>0</v>
      </c>
      <c r="G302" s="880">
        <v>1</v>
      </c>
      <c r="H302" s="465"/>
      <c r="I302" s="465"/>
      <c r="J302" s="826">
        <v>0</v>
      </c>
      <c r="K302" s="878">
        <v>0</v>
      </c>
    </row>
    <row r="303" spans="1:11" ht="22.5" customHeight="1" x14ac:dyDescent="0.25">
      <c r="A303" s="816" t="s">
        <v>196</v>
      </c>
      <c r="B303" s="880">
        <v>2025</v>
      </c>
      <c r="C303" s="816" t="s">
        <v>1935</v>
      </c>
      <c r="D303" s="816" t="s">
        <v>1941</v>
      </c>
      <c r="E303" s="816" t="s">
        <v>7919</v>
      </c>
      <c r="F303" s="826">
        <v>0</v>
      </c>
      <c r="G303" s="880">
        <v>1</v>
      </c>
      <c r="H303" s="465"/>
      <c r="I303" s="465"/>
      <c r="J303" s="826">
        <v>0</v>
      </c>
      <c r="K303" s="878">
        <v>0</v>
      </c>
    </row>
    <row r="304" spans="1:11" ht="22.5" customHeight="1" x14ac:dyDescent="0.25">
      <c r="A304" s="816" t="s">
        <v>196</v>
      </c>
      <c r="B304" s="880">
        <v>2025</v>
      </c>
      <c r="C304" s="816" t="s">
        <v>1935</v>
      </c>
      <c r="D304" s="816" t="s">
        <v>1942</v>
      </c>
      <c r="E304" s="816" t="s">
        <v>7920</v>
      </c>
      <c r="F304" s="826">
        <v>0</v>
      </c>
      <c r="G304" s="880">
        <v>1</v>
      </c>
      <c r="H304" s="465"/>
      <c r="I304" s="465"/>
      <c r="J304" s="826">
        <v>0</v>
      </c>
      <c r="K304" s="878">
        <v>0</v>
      </c>
    </row>
    <row r="305" spans="1:11" ht="22.5" customHeight="1" x14ac:dyDescent="0.25">
      <c r="A305" s="816" t="s">
        <v>196</v>
      </c>
      <c r="B305" s="880">
        <v>2025</v>
      </c>
      <c r="C305" s="816" t="s">
        <v>1935</v>
      </c>
      <c r="D305" s="816" t="s">
        <v>1943</v>
      </c>
      <c r="E305" s="816" t="s">
        <v>7921</v>
      </c>
      <c r="F305" s="826">
        <v>0</v>
      </c>
      <c r="G305" s="880">
        <v>1</v>
      </c>
      <c r="H305" s="465"/>
      <c r="I305" s="465"/>
      <c r="J305" s="826">
        <v>0</v>
      </c>
      <c r="K305" s="878">
        <v>0</v>
      </c>
    </row>
    <row r="306" spans="1:11" ht="22.5" customHeight="1" x14ac:dyDescent="0.25">
      <c r="A306" s="816" t="s">
        <v>196</v>
      </c>
      <c r="B306" s="880">
        <v>2025</v>
      </c>
      <c r="C306" s="816" t="s">
        <v>1935</v>
      </c>
      <c r="D306" s="816" t="s">
        <v>1944</v>
      </c>
      <c r="E306" s="816" t="s">
        <v>7922</v>
      </c>
      <c r="F306" s="826">
        <v>0</v>
      </c>
      <c r="G306" s="880">
        <v>1</v>
      </c>
      <c r="H306" s="465"/>
      <c r="I306" s="465"/>
      <c r="J306" s="826">
        <v>0</v>
      </c>
      <c r="K306" s="878">
        <v>0</v>
      </c>
    </row>
    <row r="307" spans="1:11" ht="22.5" customHeight="1" x14ac:dyDescent="0.25">
      <c r="A307" s="816" t="s">
        <v>196</v>
      </c>
      <c r="B307" s="880">
        <v>2025</v>
      </c>
      <c r="C307" s="816" t="s">
        <v>1935</v>
      </c>
      <c r="D307" s="816" t="s">
        <v>1945</v>
      </c>
      <c r="E307" s="816" t="s">
        <v>7923</v>
      </c>
      <c r="F307" s="826">
        <v>0</v>
      </c>
      <c r="G307" s="880">
        <v>1</v>
      </c>
      <c r="H307" s="465"/>
      <c r="I307" s="465"/>
      <c r="J307" s="826">
        <v>0</v>
      </c>
      <c r="K307" s="878">
        <v>0</v>
      </c>
    </row>
    <row r="308" spans="1:11" ht="22.5" customHeight="1" x14ac:dyDescent="0.25">
      <c r="A308" s="816" t="s">
        <v>196</v>
      </c>
      <c r="B308" s="880">
        <v>2025</v>
      </c>
      <c r="C308" s="816" t="s">
        <v>1935</v>
      </c>
      <c r="D308" s="816" t="s">
        <v>1946</v>
      </c>
      <c r="E308" s="816" t="s">
        <v>7924</v>
      </c>
      <c r="F308" s="826">
        <v>0</v>
      </c>
      <c r="G308" s="880">
        <v>1</v>
      </c>
      <c r="H308" s="465"/>
      <c r="I308" s="465"/>
      <c r="J308" s="826">
        <v>0</v>
      </c>
      <c r="K308" s="878">
        <v>0</v>
      </c>
    </row>
    <row r="309" spans="1:11" ht="22.5" customHeight="1" x14ac:dyDescent="0.25">
      <c r="A309" s="816" t="s">
        <v>196</v>
      </c>
      <c r="B309" s="880">
        <v>2025</v>
      </c>
      <c r="C309" s="816" t="s">
        <v>1935</v>
      </c>
      <c r="D309" s="816" t="s">
        <v>1947</v>
      </c>
      <c r="E309" s="816" t="s">
        <v>7925</v>
      </c>
      <c r="F309" s="826">
        <v>0</v>
      </c>
      <c r="G309" s="880">
        <v>1</v>
      </c>
      <c r="H309" s="465"/>
      <c r="I309" s="465"/>
      <c r="J309" s="826">
        <v>0</v>
      </c>
      <c r="K309" s="878">
        <v>0</v>
      </c>
    </row>
    <row r="310" spans="1:11" ht="22.5" customHeight="1" x14ac:dyDescent="0.25">
      <c r="A310" s="816" t="s">
        <v>196</v>
      </c>
      <c r="B310" s="880">
        <v>2025</v>
      </c>
      <c r="C310" s="816" t="s">
        <v>1935</v>
      </c>
      <c r="D310" s="816" t="s">
        <v>1948</v>
      </c>
      <c r="E310" s="816" t="s">
        <v>7926</v>
      </c>
      <c r="F310" s="826">
        <v>0</v>
      </c>
      <c r="G310" s="880">
        <v>1</v>
      </c>
      <c r="H310" s="826">
        <v>0</v>
      </c>
      <c r="I310" s="826">
        <v>2.33</v>
      </c>
      <c r="J310" s="826">
        <v>2.33</v>
      </c>
      <c r="K310" s="878">
        <v>2.33</v>
      </c>
    </row>
    <row r="311" spans="1:11" ht="22.5" customHeight="1" x14ac:dyDescent="0.25">
      <c r="A311" s="816" t="s">
        <v>196</v>
      </c>
      <c r="B311" s="880">
        <v>2025</v>
      </c>
      <c r="C311" s="816" t="s">
        <v>1935</v>
      </c>
      <c r="D311" s="816" t="s">
        <v>1949</v>
      </c>
      <c r="E311" s="816" t="s">
        <v>7927</v>
      </c>
      <c r="F311" s="826">
        <v>0</v>
      </c>
      <c r="G311" s="880">
        <v>1</v>
      </c>
      <c r="H311" s="826">
        <v>25026.06</v>
      </c>
      <c r="I311" s="826">
        <v>18456.36</v>
      </c>
      <c r="J311" s="826">
        <v>43482.42</v>
      </c>
      <c r="K311" s="878">
        <v>43482.42</v>
      </c>
    </row>
    <row r="312" spans="1:11" ht="22.5" customHeight="1" x14ac:dyDescent="0.25">
      <c r="A312" s="816" t="s">
        <v>196</v>
      </c>
      <c r="B312" s="880">
        <v>2025</v>
      </c>
      <c r="C312" s="816" t="s">
        <v>1935</v>
      </c>
      <c r="D312" s="816" t="s">
        <v>1950</v>
      </c>
      <c r="E312" s="816" t="s">
        <v>7928</v>
      </c>
      <c r="F312" s="826">
        <v>0</v>
      </c>
      <c r="G312" s="880">
        <v>1</v>
      </c>
      <c r="H312" s="826">
        <v>-12733.95</v>
      </c>
      <c r="I312" s="826">
        <v>-48456.99</v>
      </c>
      <c r="J312" s="826">
        <v>-61190.94</v>
      </c>
      <c r="K312" s="878">
        <v>-61190.94</v>
      </c>
    </row>
    <row r="313" spans="1:11" ht="22.5" customHeight="1" x14ac:dyDescent="0.25">
      <c r="A313" s="816" t="s">
        <v>196</v>
      </c>
      <c r="B313" s="880">
        <v>2025</v>
      </c>
      <c r="C313" s="816" t="s">
        <v>1935</v>
      </c>
      <c r="D313" s="816" t="s">
        <v>1951</v>
      </c>
      <c r="E313" s="816" t="s">
        <v>7929</v>
      </c>
      <c r="F313" s="826">
        <v>0</v>
      </c>
      <c r="G313" s="880">
        <v>1</v>
      </c>
      <c r="H313" s="826">
        <v>-582.88</v>
      </c>
      <c r="I313" s="826">
        <v>6733.71</v>
      </c>
      <c r="J313" s="826">
        <v>6150.83</v>
      </c>
      <c r="K313" s="878">
        <v>6150.83</v>
      </c>
    </row>
    <row r="314" spans="1:11" ht="22.5" customHeight="1" x14ac:dyDescent="0.25">
      <c r="A314" s="816" t="s">
        <v>196</v>
      </c>
      <c r="B314" s="880">
        <v>2025</v>
      </c>
      <c r="C314" s="816" t="s">
        <v>1935</v>
      </c>
      <c r="D314" s="816" t="s">
        <v>7801</v>
      </c>
      <c r="E314" s="816" t="s">
        <v>7930</v>
      </c>
      <c r="F314" s="826">
        <v>0</v>
      </c>
      <c r="G314" s="880">
        <v>1</v>
      </c>
      <c r="H314" s="826">
        <v>-249484.6</v>
      </c>
      <c r="I314" s="826">
        <v>239774.67</v>
      </c>
      <c r="J314" s="826">
        <v>-9709.9299999999894</v>
      </c>
      <c r="K314" s="878">
        <v>-9709.9299999999894</v>
      </c>
    </row>
    <row r="315" spans="1:11" ht="22.5" customHeight="1" x14ac:dyDescent="0.25">
      <c r="A315" s="816" t="s">
        <v>196</v>
      </c>
      <c r="B315" s="880">
        <v>2025</v>
      </c>
      <c r="C315" s="816" t="s">
        <v>1935</v>
      </c>
      <c r="D315" s="816" t="s">
        <v>1952</v>
      </c>
      <c r="E315" s="816" t="s">
        <v>7931</v>
      </c>
      <c r="F315" s="826">
        <v>-21265.29</v>
      </c>
      <c r="G315" s="880">
        <v>0</v>
      </c>
      <c r="H315" s="465"/>
      <c r="I315" s="465"/>
      <c r="J315" s="826">
        <v>0</v>
      </c>
      <c r="K315" s="878">
        <v>-21265.29</v>
      </c>
    </row>
    <row r="316" spans="1:11" ht="22.5" customHeight="1" x14ac:dyDescent="0.25">
      <c r="A316" s="816" t="s">
        <v>196</v>
      </c>
      <c r="B316" s="880">
        <v>2025</v>
      </c>
      <c r="C316" s="816" t="s">
        <v>1953</v>
      </c>
      <c r="D316" s="816" t="s">
        <v>1954</v>
      </c>
      <c r="E316" s="816" t="s">
        <v>2097</v>
      </c>
      <c r="F316" s="826">
        <v>-2944350.65</v>
      </c>
      <c r="G316" s="880">
        <v>0</v>
      </c>
      <c r="H316" s="465"/>
      <c r="I316" s="465"/>
      <c r="J316" s="826">
        <v>0</v>
      </c>
      <c r="K316" s="878">
        <v>-2944350.65</v>
      </c>
    </row>
    <row r="317" spans="1:11" ht="22.5" customHeight="1" x14ac:dyDescent="0.25">
      <c r="A317" s="816" t="s">
        <v>200</v>
      </c>
      <c r="B317" s="880">
        <v>2025</v>
      </c>
      <c r="C317" s="816" t="s">
        <v>1854</v>
      </c>
      <c r="D317" s="816" t="s">
        <v>1855</v>
      </c>
      <c r="E317" s="816" t="s">
        <v>2098</v>
      </c>
      <c r="F317" s="826">
        <v>-318679.39</v>
      </c>
      <c r="G317" s="880">
        <v>0</v>
      </c>
      <c r="H317" s="465"/>
      <c r="I317" s="465"/>
      <c r="J317" s="826">
        <v>0</v>
      </c>
      <c r="K317" s="878">
        <v>-318679.39</v>
      </c>
    </row>
    <row r="318" spans="1:11" ht="22.5" customHeight="1" x14ac:dyDescent="0.25">
      <c r="A318" s="816" t="s">
        <v>200</v>
      </c>
      <c r="B318" s="880">
        <v>2025</v>
      </c>
      <c r="C318" s="816" t="s">
        <v>7746</v>
      </c>
      <c r="D318" s="816" t="s">
        <v>7747</v>
      </c>
      <c r="E318" s="816" t="s">
        <v>7754</v>
      </c>
      <c r="F318" s="826">
        <v>0</v>
      </c>
      <c r="G318" s="880">
        <v>0</v>
      </c>
      <c r="H318" s="465"/>
      <c r="I318" s="465"/>
      <c r="J318" s="826">
        <v>0</v>
      </c>
      <c r="K318" s="881">
        <v>0</v>
      </c>
    </row>
    <row r="319" spans="1:11" ht="22.5" customHeight="1" x14ac:dyDescent="0.25">
      <c r="A319" s="816" t="s">
        <v>200</v>
      </c>
      <c r="B319" s="880">
        <v>2025</v>
      </c>
      <c r="C319" s="816" t="s">
        <v>1857</v>
      </c>
      <c r="D319" s="816" t="s">
        <v>1858</v>
      </c>
      <c r="E319" s="816" t="s">
        <v>2099</v>
      </c>
      <c r="F319" s="826">
        <v>73458.13</v>
      </c>
      <c r="G319" s="880">
        <v>0</v>
      </c>
      <c r="H319" s="465"/>
      <c r="I319" s="465"/>
      <c r="J319" s="826">
        <v>0</v>
      </c>
      <c r="K319" s="878">
        <v>73458.13</v>
      </c>
    </row>
    <row r="320" spans="1:11" ht="22.5" customHeight="1" x14ac:dyDescent="0.25">
      <c r="A320" s="816" t="s">
        <v>200</v>
      </c>
      <c r="B320" s="880">
        <v>2025</v>
      </c>
      <c r="C320" s="816" t="s">
        <v>1860</v>
      </c>
      <c r="D320" s="816" t="s">
        <v>1861</v>
      </c>
      <c r="E320" s="816" t="s">
        <v>2100</v>
      </c>
      <c r="F320" s="826">
        <v>0</v>
      </c>
      <c r="G320" s="880">
        <v>0</v>
      </c>
      <c r="H320" s="465"/>
      <c r="I320" s="465"/>
      <c r="J320" s="826">
        <v>0</v>
      </c>
      <c r="K320" s="878">
        <v>0</v>
      </c>
    </row>
    <row r="321" spans="1:11" ht="22.5" customHeight="1" x14ac:dyDescent="0.25">
      <c r="A321" s="816" t="s">
        <v>200</v>
      </c>
      <c r="B321" s="880">
        <v>2025</v>
      </c>
      <c r="C321" s="816" t="s">
        <v>1863</v>
      </c>
      <c r="D321" s="816" t="s">
        <v>1864</v>
      </c>
      <c r="E321" s="816" t="s">
        <v>2101</v>
      </c>
      <c r="F321" s="826">
        <v>0</v>
      </c>
      <c r="G321" s="880">
        <v>0</v>
      </c>
      <c r="H321" s="465"/>
      <c r="I321" s="465"/>
      <c r="J321" s="826">
        <v>0</v>
      </c>
      <c r="K321" s="878">
        <v>0</v>
      </c>
    </row>
    <row r="322" spans="1:11" ht="22.5" customHeight="1" x14ac:dyDescent="0.25">
      <c r="A322" s="816" t="s">
        <v>200</v>
      </c>
      <c r="B322" s="880">
        <v>2025</v>
      </c>
      <c r="C322" s="816" t="s">
        <v>1866</v>
      </c>
      <c r="D322" s="816" t="s">
        <v>1867</v>
      </c>
      <c r="E322" s="816" t="s">
        <v>2102</v>
      </c>
      <c r="F322" s="826">
        <v>0</v>
      </c>
      <c r="G322" s="880">
        <v>0</v>
      </c>
      <c r="H322" s="465"/>
      <c r="I322" s="465"/>
      <c r="J322" s="826">
        <v>0</v>
      </c>
      <c r="K322" s="878">
        <v>0</v>
      </c>
    </row>
    <row r="323" spans="1:11" ht="22.5" customHeight="1" x14ac:dyDescent="0.25">
      <c r="A323" s="816" t="s">
        <v>200</v>
      </c>
      <c r="B323" s="880">
        <v>2025</v>
      </c>
      <c r="C323" s="816" t="s">
        <v>1869</v>
      </c>
      <c r="D323" s="816" t="s">
        <v>1870</v>
      </c>
      <c r="E323" s="816" t="s">
        <v>2103</v>
      </c>
      <c r="F323" s="826">
        <v>0</v>
      </c>
      <c r="G323" s="880">
        <v>0</v>
      </c>
      <c r="H323" s="465"/>
      <c r="I323" s="465"/>
      <c r="J323" s="826">
        <v>0</v>
      </c>
      <c r="K323" s="878">
        <v>0</v>
      </c>
    </row>
    <row r="324" spans="1:11" ht="22.5" customHeight="1" x14ac:dyDescent="0.25">
      <c r="A324" s="816" t="s">
        <v>200</v>
      </c>
      <c r="B324" s="880">
        <v>2025</v>
      </c>
      <c r="C324" s="816" t="s">
        <v>1872</v>
      </c>
      <c r="D324" s="816" t="s">
        <v>1873</v>
      </c>
      <c r="E324" s="816" t="s">
        <v>2104</v>
      </c>
      <c r="F324" s="826">
        <v>0</v>
      </c>
      <c r="G324" s="880">
        <v>0</v>
      </c>
      <c r="H324" s="465"/>
      <c r="I324" s="465"/>
      <c r="J324" s="826">
        <v>0</v>
      </c>
      <c r="K324" s="878">
        <v>0</v>
      </c>
    </row>
    <row r="325" spans="1:11" ht="22.5" customHeight="1" x14ac:dyDescent="0.25">
      <c r="A325" s="816" t="s">
        <v>200</v>
      </c>
      <c r="B325" s="880">
        <v>2025</v>
      </c>
      <c r="C325" s="816" t="s">
        <v>1875</v>
      </c>
      <c r="D325" s="816" t="s">
        <v>1876</v>
      </c>
      <c r="E325" s="816" t="s">
        <v>2105</v>
      </c>
      <c r="F325" s="826">
        <v>0</v>
      </c>
      <c r="G325" s="880">
        <v>0</v>
      </c>
      <c r="H325" s="465"/>
      <c r="I325" s="465"/>
      <c r="J325" s="826">
        <v>0</v>
      </c>
      <c r="K325" s="878">
        <v>0</v>
      </c>
    </row>
    <row r="326" spans="1:11" ht="22.5" customHeight="1" x14ac:dyDescent="0.25">
      <c r="A326" s="816" t="s">
        <v>200</v>
      </c>
      <c r="B326" s="880">
        <v>2025</v>
      </c>
      <c r="C326" s="816" t="s">
        <v>1878</v>
      </c>
      <c r="D326" s="816" t="s">
        <v>1879</v>
      </c>
      <c r="E326" s="816" t="s">
        <v>2106</v>
      </c>
      <c r="F326" s="826">
        <v>0</v>
      </c>
      <c r="G326" s="880">
        <v>0</v>
      </c>
      <c r="H326" s="465"/>
      <c r="I326" s="465"/>
      <c r="J326" s="826">
        <v>0</v>
      </c>
      <c r="K326" s="878">
        <v>0</v>
      </c>
    </row>
    <row r="327" spans="1:11" ht="22.5" customHeight="1" x14ac:dyDescent="0.25">
      <c r="A327" s="816" t="s">
        <v>200</v>
      </c>
      <c r="B327" s="880">
        <v>2025</v>
      </c>
      <c r="C327" s="816" t="s">
        <v>1881</v>
      </c>
      <c r="D327" s="816" t="s">
        <v>1882</v>
      </c>
      <c r="E327" s="816" t="s">
        <v>2107</v>
      </c>
      <c r="F327" s="826">
        <v>0</v>
      </c>
      <c r="G327" s="880">
        <v>0</v>
      </c>
      <c r="H327" s="465"/>
      <c r="I327" s="465"/>
      <c r="J327" s="826">
        <v>0</v>
      </c>
      <c r="K327" s="878">
        <v>0</v>
      </c>
    </row>
    <row r="328" spans="1:11" ht="22.5" customHeight="1" x14ac:dyDescent="0.25">
      <c r="A328" s="816" t="s">
        <v>200</v>
      </c>
      <c r="B328" s="880">
        <v>2025</v>
      </c>
      <c r="C328" s="816" t="s">
        <v>1884</v>
      </c>
      <c r="D328" s="816" t="s">
        <v>1885</v>
      </c>
      <c r="E328" s="816" t="s">
        <v>2108</v>
      </c>
      <c r="F328" s="826">
        <v>423.18</v>
      </c>
      <c r="G328" s="880">
        <v>0</v>
      </c>
      <c r="H328" s="465"/>
      <c r="I328" s="465"/>
      <c r="J328" s="826">
        <v>0</v>
      </c>
      <c r="K328" s="878">
        <v>423.18</v>
      </c>
    </row>
    <row r="329" spans="1:11" ht="22.5" customHeight="1" x14ac:dyDescent="0.25">
      <c r="A329" s="816" t="s">
        <v>200</v>
      </c>
      <c r="B329" s="880">
        <v>2025</v>
      </c>
      <c r="C329" s="816" t="s">
        <v>1887</v>
      </c>
      <c r="D329" s="816" t="s">
        <v>138</v>
      </c>
      <c r="E329" s="816" t="s">
        <v>2109</v>
      </c>
      <c r="F329" s="826">
        <v>-21806.66</v>
      </c>
      <c r="G329" s="880">
        <v>1</v>
      </c>
      <c r="H329" s="826">
        <v>-21450.61</v>
      </c>
      <c r="I329" s="826">
        <v>-356.05</v>
      </c>
      <c r="J329" s="826">
        <v>-21806.66</v>
      </c>
      <c r="K329" s="878">
        <v>-21806.66</v>
      </c>
    </row>
    <row r="330" spans="1:11" ht="22.5" customHeight="1" x14ac:dyDescent="0.25">
      <c r="A330" s="816" t="s">
        <v>200</v>
      </c>
      <c r="B330" s="880">
        <v>2025</v>
      </c>
      <c r="C330" s="816" t="s">
        <v>1889</v>
      </c>
      <c r="D330" s="816" t="s">
        <v>139</v>
      </c>
      <c r="E330" s="816" t="s">
        <v>2110</v>
      </c>
      <c r="F330" s="826">
        <v>-17651.53</v>
      </c>
      <c r="G330" s="880">
        <v>1</v>
      </c>
      <c r="H330" s="826">
        <v>-16416.27</v>
      </c>
      <c r="I330" s="826">
        <v>-1235.26</v>
      </c>
      <c r="J330" s="826">
        <v>-17651.53</v>
      </c>
      <c r="K330" s="878">
        <v>-17651.53</v>
      </c>
    </row>
    <row r="331" spans="1:11" ht="22.5" customHeight="1" x14ac:dyDescent="0.25">
      <c r="A331" s="816" t="s">
        <v>200</v>
      </c>
      <c r="B331" s="880">
        <v>2025</v>
      </c>
      <c r="C331" s="816" t="s">
        <v>1891</v>
      </c>
      <c r="D331" s="816" t="s">
        <v>1892</v>
      </c>
      <c r="E331" s="816" t="s">
        <v>2111</v>
      </c>
      <c r="F331" s="826">
        <v>2030.66</v>
      </c>
      <c r="G331" s="880">
        <v>0</v>
      </c>
      <c r="H331" s="465"/>
      <c r="I331" s="465"/>
      <c r="J331" s="826">
        <v>0</v>
      </c>
      <c r="K331" s="878">
        <v>2030.66</v>
      </c>
    </row>
    <row r="332" spans="1:11" ht="22.5" customHeight="1" x14ac:dyDescent="0.25">
      <c r="A332" s="816" t="s">
        <v>200</v>
      </c>
      <c r="B332" s="880">
        <v>2025</v>
      </c>
      <c r="C332" s="816" t="s">
        <v>1891</v>
      </c>
      <c r="D332" s="816" t="s">
        <v>1894</v>
      </c>
      <c r="E332" s="816" t="s">
        <v>2111</v>
      </c>
      <c r="F332" s="826">
        <v>0</v>
      </c>
      <c r="G332" s="880">
        <v>0</v>
      </c>
      <c r="H332" s="465"/>
      <c r="I332" s="465"/>
      <c r="J332" s="826">
        <v>0</v>
      </c>
      <c r="K332" s="881">
        <v>2030.66</v>
      </c>
    </row>
    <row r="333" spans="1:11" ht="22.5" customHeight="1" x14ac:dyDescent="0.25">
      <c r="A333" s="816" t="s">
        <v>200</v>
      </c>
      <c r="B333" s="880">
        <v>2025</v>
      </c>
      <c r="C333" s="816" t="s">
        <v>1895</v>
      </c>
      <c r="D333" s="816" t="s">
        <v>1896</v>
      </c>
      <c r="E333" s="816" t="s">
        <v>2112</v>
      </c>
      <c r="F333" s="826">
        <v>0</v>
      </c>
      <c r="G333" s="880">
        <v>0</v>
      </c>
      <c r="H333" s="465"/>
      <c r="I333" s="465"/>
      <c r="J333" s="826">
        <v>0</v>
      </c>
      <c r="K333" s="878">
        <v>0</v>
      </c>
    </row>
    <row r="334" spans="1:11" ht="22.5" customHeight="1" x14ac:dyDescent="0.25">
      <c r="A334" s="816" t="s">
        <v>200</v>
      </c>
      <c r="B334" s="880">
        <v>2025</v>
      </c>
      <c r="C334" s="816" t="s">
        <v>1898</v>
      </c>
      <c r="D334" s="816" t="s">
        <v>1899</v>
      </c>
      <c r="E334" s="816" t="s">
        <v>2113</v>
      </c>
      <c r="F334" s="826">
        <v>0</v>
      </c>
      <c r="G334" s="880">
        <v>0</v>
      </c>
      <c r="H334" s="465"/>
      <c r="I334" s="465"/>
      <c r="J334" s="826">
        <v>0</v>
      </c>
      <c r="K334" s="878">
        <v>0</v>
      </c>
    </row>
    <row r="335" spans="1:11" ht="22.5" customHeight="1" x14ac:dyDescent="0.25">
      <c r="A335" s="816" t="s">
        <v>200</v>
      </c>
      <c r="B335" s="880">
        <v>2025</v>
      </c>
      <c r="C335" s="816" t="s">
        <v>1901</v>
      </c>
      <c r="D335" s="816" t="s">
        <v>1902</v>
      </c>
      <c r="E335" s="816" t="s">
        <v>2114</v>
      </c>
      <c r="F335" s="826">
        <v>0</v>
      </c>
      <c r="G335" s="880">
        <v>0</v>
      </c>
      <c r="H335" s="465"/>
      <c r="I335" s="465"/>
      <c r="J335" s="826">
        <v>0</v>
      </c>
      <c r="K335" s="878">
        <v>0</v>
      </c>
    </row>
    <row r="336" spans="1:11" ht="22.5" customHeight="1" x14ac:dyDescent="0.25">
      <c r="A336" s="816" t="s">
        <v>200</v>
      </c>
      <c r="B336" s="880">
        <v>2025</v>
      </c>
      <c r="C336" s="816" t="s">
        <v>1904</v>
      </c>
      <c r="D336" s="816" t="s">
        <v>1905</v>
      </c>
      <c r="E336" s="816" t="s">
        <v>2115</v>
      </c>
      <c r="F336" s="826">
        <v>0</v>
      </c>
      <c r="G336" s="880">
        <v>0</v>
      </c>
      <c r="H336" s="465"/>
      <c r="I336" s="465"/>
      <c r="J336" s="826">
        <v>0</v>
      </c>
      <c r="K336" s="878">
        <v>0</v>
      </c>
    </row>
    <row r="337" spans="1:11" ht="22.5" customHeight="1" x14ac:dyDescent="0.25">
      <c r="A337" s="816" t="s">
        <v>200</v>
      </c>
      <c r="B337" s="880">
        <v>2025</v>
      </c>
      <c r="C337" s="816" t="s">
        <v>1907</v>
      </c>
      <c r="D337" s="816" t="s">
        <v>1908</v>
      </c>
      <c r="E337" s="816" t="s">
        <v>2116</v>
      </c>
      <c r="F337" s="826">
        <v>0</v>
      </c>
      <c r="G337" s="880">
        <v>0</v>
      </c>
      <c r="H337" s="465"/>
      <c r="I337" s="465"/>
      <c r="J337" s="826">
        <v>0</v>
      </c>
      <c r="K337" s="878">
        <v>0</v>
      </c>
    </row>
    <row r="338" spans="1:11" ht="22.5" customHeight="1" x14ac:dyDescent="0.25">
      <c r="A338" s="816" t="s">
        <v>200</v>
      </c>
      <c r="B338" s="880">
        <v>2025</v>
      </c>
      <c r="C338" s="816" t="s">
        <v>1910</v>
      </c>
      <c r="D338" s="816" t="s">
        <v>1911</v>
      </c>
      <c r="E338" s="816" t="s">
        <v>2117</v>
      </c>
      <c r="F338" s="826">
        <v>0</v>
      </c>
      <c r="G338" s="880">
        <v>0</v>
      </c>
      <c r="H338" s="465"/>
      <c r="I338" s="465"/>
      <c r="J338" s="826">
        <v>0</v>
      </c>
      <c r="K338" s="878">
        <v>0</v>
      </c>
    </row>
    <row r="339" spans="1:11" ht="22.5" customHeight="1" x14ac:dyDescent="0.25">
      <c r="A339" s="816" t="s">
        <v>200</v>
      </c>
      <c r="B339" s="880">
        <v>2025</v>
      </c>
      <c r="C339" s="816" t="s">
        <v>1913</v>
      </c>
      <c r="D339" s="816" t="s">
        <v>1914</v>
      </c>
      <c r="E339" s="816" t="s">
        <v>2118</v>
      </c>
      <c r="F339" s="826">
        <v>-68851.14</v>
      </c>
      <c r="G339" s="880">
        <v>1</v>
      </c>
      <c r="H339" s="826">
        <v>-64433.5</v>
      </c>
      <c r="I339" s="826">
        <v>-4417.6400000000003</v>
      </c>
      <c r="J339" s="826">
        <v>-68851.14</v>
      </c>
      <c r="K339" s="878">
        <v>-68851.14</v>
      </c>
    </row>
    <row r="340" spans="1:11" ht="22.5" customHeight="1" x14ac:dyDescent="0.25">
      <c r="A340" s="816" t="s">
        <v>200</v>
      </c>
      <c r="B340" s="880">
        <v>2025</v>
      </c>
      <c r="C340" s="816" t="s">
        <v>1913</v>
      </c>
      <c r="D340" s="816" t="s">
        <v>1916</v>
      </c>
      <c r="E340" s="816" t="s">
        <v>2118</v>
      </c>
      <c r="F340" s="826">
        <v>0</v>
      </c>
      <c r="G340" s="880">
        <v>0</v>
      </c>
      <c r="H340" s="465"/>
      <c r="I340" s="465"/>
      <c r="J340" s="826">
        <v>0</v>
      </c>
      <c r="K340" s="881">
        <v>-4803.8599999999997</v>
      </c>
    </row>
    <row r="341" spans="1:11" ht="22.5" customHeight="1" x14ac:dyDescent="0.25">
      <c r="A341" s="816" t="s">
        <v>200</v>
      </c>
      <c r="B341" s="880">
        <v>2025</v>
      </c>
      <c r="C341" s="816" t="s">
        <v>1913</v>
      </c>
      <c r="D341" s="816" t="s">
        <v>1917</v>
      </c>
      <c r="E341" s="816" t="s">
        <v>2118</v>
      </c>
      <c r="F341" s="826">
        <v>0</v>
      </c>
      <c r="G341" s="880">
        <v>0</v>
      </c>
      <c r="H341" s="465"/>
      <c r="I341" s="465"/>
      <c r="J341" s="826">
        <v>0</v>
      </c>
      <c r="K341" s="881">
        <v>-84418.12</v>
      </c>
    </row>
    <row r="342" spans="1:11" ht="22.5" customHeight="1" x14ac:dyDescent="0.25">
      <c r="A342" s="816" t="s">
        <v>200</v>
      </c>
      <c r="B342" s="880">
        <v>2025</v>
      </c>
      <c r="C342" s="816" t="s">
        <v>1913</v>
      </c>
      <c r="D342" s="816" t="s">
        <v>1918</v>
      </c>
      <c r="E342" s="816" t="s">
        <v>2118</v>
      </c>
      <c r="F342" s="826">
        <v>0</v>
      </c>
      <c r="G342" s="880">
        <v>0</v>
      </c>
      <c r="H342" s="465"/>
      <c r="I342" s="465"/>
      <c r="J342" s="826">
        <v>0</v>
      </c>
      <c r="K342" s="881">
        <v>386.22</v>
      </c>
    </row>
    <row r="343" spans="1:11" ht="22.5" customHeight="1" x14ac:dyDescent="0.25">
      <c r="A343" s="816" t="s">
        <v>200</v>
      </c>
      <c r="B343" s="880">
        <v>2025</v>
      </c>
      <c r="C343" s="816" t="s">
        <v>1913</v>
      </c>
      <c r="D343" s="816" t="s">
        <v>1919</v>
      </c>
      <c r="E343" s="816" t="s">
        <v>2118</v>
      </c>
      <c r="F343" s="826">
        <v>0</v>
      </c>
      <c r="G343" s="880">
        <v>0</v>
      </c>
      <c r="H343" s="465"/>
      <c r="I343" s="465"/>
      <c r="J343" s="826">
        <v>0</v>
      </c>
      <c r="K343" s="881">
        <v>19984.62</v>
      </c>
    </row>
    <row r="344" spans="1:11" ht="22.5" customHeight="1" x14ac:dyDescent="0.25">
      <c r="A344" s="816" t="s">
        <v>200</v>
      </c>
      <c r="B344" s="880">
        <v>2025</v>
      </c>
      <c r="C344" s="816" t="s">
        <v>1920</v>
      </c>
      <c r="D344" s="816" t="s">
        <v>1921</v>
      </c>
      <c r="E344" s="816" t="s">
        <v>2119</v>
      </c>
      <c r="F344" s="826">
        <v>0</v>
      </c>
      <c r="G344" s="880">
        <v>0</v>
      </c>
      <c r="H344" s="465"/>
      <c r="I344" s="465"/>
      <c r="J344" s="826">
        <v>0</v>
      </c>
      <c r="K344" s="878">
        <v>0</v>
      </c>
    </row>
    <row r="345" spans="1:11" ht="22.5" customHeight="1" x14ac:dyDescent="0.25">
      <c r="A345" s="816" t="s">
        <v>200</v>
      </c>
      <c r="B345" s="880">
        <v>2025</v>
      </c>
      <c r="C345" s="816" t="s">
        <v>1923</v>
      </c>
      <c r="D345" s="816" t="s">
        <v>143</v>
      </c>
      <c r="E345" s="816" t="s">
        <v>2120</v>
      </c>
      <c r="F345" s="826">
        <v>118056.09</v>
      </c>
      <c r="G345" s="880">
        <v>1</v>
      </c>
      <c r="H345" s="826">
        <v>111754.89</v>
      </c>
      <c r="I345" s="826">
        <v>6301.2</v>
      </c>
      <c r="J345" s="826">
        <v>118056.09</v>
      </c>
      <c r="K345" s="878">
        <v>118056.09</v>
      </c>
    </row>
    <row r="346" spans="1:11" ht="22.5" customHeight="1" x14ac:dyDescent="0.25">
      <c r="A346" s="816" t="s">
        <v>200</v>
      </c>
      <c r="B346" s="880">
        <v>2025</v>
      </c>
      <c r="C346" s="816" t="s">
        <v>1925</v>
      </c>
      <c r="D346" s="816" t="s">
        <v>144</v>
      </c>
      <c r="E346" s="816" t="s">
        <v>2121</v>
      </c>
      <c r="F346" s="826">
        <v>147483.32999999999</v>
      </c>
      <c r="G346" s="880">
        <v>1</v>
      </c>
      <c r="H346" s="826">
        <v>137672.85999999999</v>
      </c>
      <c r="I346" s="826">
        <v>9810.4699999999993</v>
      </c>
      <c r="J346" s="826">
        <v>147483.32999999999</v>
      </c>
      <c r="K346" s="878">
        <v>147483.32999999999</v>
      </c>
    </row>
    <row r="347" spans="1:11" ht="22.5" customHeight="1" x14ac:dyDescent="0.25">
      <c r="A347" s="816" t="s">
        <v>200</v>
      </c>
      <c r="B347" s="880">
        <v>2025</v>
      </c>
      <c r="C347" s="816" t="s">
        <v>1927</v>
      </c>
      <c r="D347" s="816" t="s">
        <v>1928</v>
      </c>
      <c r="E347" s="816" t="s">
        <v>2122</v>
      </c>
      <c r="F347" s="826">
        <v>59811.4</v>
      </c>
      <c r="G347" s="880">
        <v>1</v>
      </c>
      <c r="H347" s="826">
        <v>56584.959999999999</v>
      </c>
      <c r="I347" s="826">
        <v>3226.44</v>
      </c>
      <c r="J347" s="826">
        <v>59811.4</v>
      </c>
      <c r="K347" s="878">
        <v>59811.4</v>
      </c>
    </row>
    <row r="348" spans="1:11" ht="22.5" customHeight="1" x14ac:dyDescent="0.25">
      <c r="A348" s="816" t="s">
        <v>200</v>
      </c>
      <c r="B348" s="880">
        <v>2025</v>
      </c>
      <c r="C348" s="816" t="s">
        <v>1930</v>
      </c>
      <c r="D348" s="816" t="s">
        <v>156</v>
      </c>
      <c r="E348" s="816" t="s">
        <v>2123</v>
      </c>
      <c r="F348" s="826">
        <v>403659.29</v>
      </c>
      <c r="G348" s="880">
        <v>1</v>
      </c>
      <c r="H348" s="826">
        <v>382851.01</v>
      </c>
      <c r="I348" s="826">
        <v>20808.28</v>
      </c>
      <c r="J348" s="826">
        <v>403659.29</v>
      </c>
      <c r="K348" s="878">
        <v>403659.29</v>
      </c>
    </row>
    <row r="349" spans="1:11" ht="22.5" customHeight="1" x14ac:dyDescent="0.25">
      <c r="A349" s="816" t="s">
        <v>200</v>
      </c>
      <c r="B349" s="880">
        <v>2025</v>
      </c>
      <c r="C349" s="816" t="s">
        <v>1932</v>
      </c>
      <c r="D349" s="816" t="s">
        <v>1933</v>
      </c>
      <c r="E349" s="816" t="s">
        <v>2124</v>
      </c>
      <c r="F349" s="826">
        <v>0</v>
      </c>
      <c r="G349" s="880">
        <v>0</v>
      </c>
      <c r="H349" s="465"/>
      <c r="I349" s="465"/>
      <c r="J349" s="826">
        <v>0</v>
      </c>
      <c r="K349" s="878">
        <v>0</v>
      </c>
    </row>
    <row r="350" spans="1:11" ht="22.5" customHeight="1" x14ac:dyDescent="0.25">
      <c r="A350" s="816" t="s">
        <v>200</v>
      </c>
      <c r="B350" s="880">
        <v>2025</v>
      </c>
      <c r="C350" s="816" t="s">
        <v>1935</v>
      </c>
      <c r="D350" s="816" t="s">
        <v>1936</v>
      </c>
      <c r="E350" s="816" t="s">
        <v>7932</v>
      </c>
      <c r="F350" s="826">
        <v>0</v>
      </c>
      <c r="G350" s="880">
        <v>1</v>
      </c>
      <c r="H350" s="465"/>
      <c r="I350" s="465"/>
      <c r="J350" s="826">
        <v>0</v>
      </c>
      <c r="K350" s="878">
        <v>0</v>
      </c>
    </row>
    <row r="351" spans="1:11" ht="22.5" customHeight="1" x14ac:dyDescent="0.25">
      <c r="A351" s="816" t="s">
        <v>200</v>
      </c>
      <c r="B351" s="880">
        <v>2025</v>
      </c>
      <c r="C351" s="816" t="s">
        <v>1935</v>
      </c>
      <c r="D351" s="816" t="s">
        <v>1937</v>
      </c>
      <c r="E351" s="816" t="s">
        <v>7933</v>
      </c>
      <c r="F351" s="826">
        <v>0</v>
      </c>
      <c r="G351" s="880">
        <v>1</v>
      </c>
      <c r="H351" s="465"/>
      <c r="I351" s="465"/>
      <c r="J351" s="826">
        <v>0</v>
      </c>
      <c r="K351" s="878">
        <v>0</v>
      </c>
    </row>
    <row r="352" spans="1:11" ht="22.5" customHeight="1" x14ac:dyDescent="0.25">
      <c r="A352" s="816" t="s">
        <v>200</v>
      </c>
      <c r="B352" s="880">
        <v>2025</v>
      </c>
      <c r="C352" s="816" t="s">
        <v>1935</v>
      </c>
      <c r="D352" s="816" t="s">
        <v>1938</v>
      </c>
      <c r="E352" s="816" t="s">
        <v>7934</v>
      </c>
      <c r="F352" s="826">
        <v>0</v>
      </c>
      <c r="G352" s="880">
        <v>1</v>
      </c>
      <c r="H352" s="465"/>
      <c r="I352" s="465"/>
      <c r="J352" s="826">
        <v>0</v>
      </c>
      <c r="K352" s="878">
        <v>0</v>
      </c>
    </row>
    <row r="353" spans="1:11" ht="22.5" customHeight="1" x14ac:dyDescent="0.25">
      <c r="A353" s="816" t="s">
        <v>200</v>
      </c>
      <c r="B353" s="880">
        <v>2025</v>
      </c>
      <c r="C353" s="816" t="s">
        <v>1935</v>
      </c>
      <c r="D353" s="816" t="s">
        <v>1939</v>
      </c>
      <c r="E353" s="816" t="s">
        <v>7935</v>
      </c>
      <c r="F353" s="826">
        <v>0</v>
      </c>
      <c r="G353" s="880">
        <v>1</v>
      </c>
      <c r="H353" s="465"/>
      <c r="I353" s="465"/>
      <c r="J353" s="826">
        <v>0</v>
      </c>
      <c r="K353" s="878">
        <v>0</v>
      </c>
    </row>
    <row r="354" spans="1:11" ht="22.5" customHeight="1" x14ac:dyDescent="0.25">
      <c r="A354" s="816" t="s">
        <v>200</v>
      </c>
      <c r="B354" s="880">
        <v>2025</v>
      </c>
      <c r="C354" s="816" t="s">
        <v>1935</v>
      </c>
      <c r="D354" s="816" t="s">
        <v>1940</v>
      </c>
      <c r="E354" s="816" t="s">
        <v>7936</v>
      </c>
      <c r="F354" s="826">
        <v>0</v>
      </c>
      <c r="G354" s="880">
        <v>1</v>
      </c>
      <c r="H354" s="465"/>
      <c r="I354" s="465"/>
      <c r="J354" s="826">
        <v>0</v>
      </c>
      <c r="K354" s="878">
        <v>0</v>
      </c>
    </row>
    <row r="355" spans="1:11" ht="22.5" customHeight="1" x14ac:dyDescent="0.25">
      <c r="A355" s="816" t="s">
        <v>200</v>
      </c>
      <c r="B355" s="880">
        <v>2025</v>
      </c>
      <c r="C355" s="816" t="s">
        <v>1935</v>
      </c>
      <c r="D355" s="816" t="s">
        <v>1941</v>
      </c>
      <c r="E355" s="816" t="s">
        <v>7937</v>
      </c>
      <c r="F355" s="826">
        <v>0</v>
      </c>
      <c r="G355" s="880">
        <v>1</v>
      </c>
      <c r="H355" s="465"/>
      <c r="I355" s="465"/>
      <c r="J355" s="826">
        <v>0</v>
      </c>
      <c r="K355" s="878">
        <v>0</v>
      </c>
    </row>
    <row r="356" spans="1:11" ht="22.5" customHeight="1" x14ac:dyDescent="0.25">
      <c r="A356" s="816" t="s">
        <v>200</v>
      </c>
      <c r="B356" s="880">
        <v>2025</v>
      </c>
      <c r="C356" s="816" t="s">
        <v>1935</v>
      </c>
      <c r="D356" s="816" t="s">
        <v>1942</v>
      </c>
      <c r="E356" s="816" t="s">
        <v>7938</v>
      </c>
      <c r="F356" s="826">
        <v>0</v>
      </c>
      <c r="G356" s="880">
        <v>1</v>
      </c>
      <c r="H356" s="465"/>
      <c r="I356" s="465"/>
      <c r="J356" s="826">
        <v>0</v>
      </c>
      <c r="K356" s="878">
        <v>0</v>
      </c>
    </row>
    <row r="357" spans="1:11" ht="22.5" customHeight="1" x14ac:dyDescent="0.25">
      <c r="A357" s="816" t="s">
        <v>200</v>
      </c>
      <c r="B357" s="880">
        <v>2025</v>
      </c>
      <c r="C357" s="816" t="s">
        <v>1935</v>
      </c>
      <c r="D357" s="816" t="s">
        <v>1943</v>
      </c>
      <c r="E357" s="816" t="s">
        <v>7939</v>
      </c>
      <c r="F357" s="826">
        <v>0</v>
      </c>
      <c r="G357" s="880">
        <v>1</v>
      </c>
      <c r="H357" s="465"/>
      <c r="I357" s="465"/>
      <c r="J357" s="826">
        <v>0</v>
      </c>
      <c r="K357" s="878">
        <v>0</v>
      </c>
    </row>
    <row r="358" spans="1:11" ht="22.5" customHeight="1" x14ac:dyDescent="0.25">
      <c r="A358" s="816" t="s">
        <v>200</v>
      </c>
      <c r="B358" s="880">
        <v>2025</v>
      </c>
      <c r="C358" s="816" t="s">
        <v>1935</v>
      </c>
      <c r="D358" s="816" t="s">
        <v>1944</v>
      </c>
      <c r="E358" s="816" t="s">
        <v>7940</v>
      </c>
      <c r="F358" s="826">
        <v>0</v>
      </c>
      <c r="G358" s="880">
        <v>1</v>
      </c>
      <c r="H358" s="465"/>
      <c r="I358" s="465"/>
      <c r="J358" s="826">
        <v>0</v>
      </c>
      <c r="K358" s="878">
        <v>0</v>
      </c>
    </row>
    <row r="359" spans="1:11" ht="22.5" customHeight="1" x14ac:dyDescent="0.25">
      <c r="A359" s="816" t="s">
        <v>200</v>
      </c>
      <c r="B359" s="880">
        <v>2025</v>
      </c>
      <c r="C359" s="816" t="s">
        <v>1935</v>
      </c>
      <c r="D359" s="816" t="s">
        <v>1945</v>
      </c>
      <c r="E359" s="816" t="s">
        <v>7941</v>
      </c>
      <c r="F359" s="826">
        <v>0</v>
      </c>
      <c r="G359" s="880">
        <v>1</v>
      </c>
      <c r="H359" s="465"/>
      <c r="I359" s="465"/>
      <c r="J359" s="826">
        <v>0</v>
      </c>
      <c r="K359" s="878">
        <v>0</v>
      </c>
    </row>
    <row r="360" spans="1:11" ht="22.5" customHeight="1" x14ac:dyDescent="0.25">
      <c r="A360" s="816" t="s">
        <v>200</v>
      </c>
      <c r="B360" s="880">
        <v>2025</v>
      </c>
      <c r="C360" s="816" t="s">
        <v>1935</v>
      </c>
      <c r="D360" s="816" t="s">
        <v>1946</v>
      </c>
      <c r="E360" s="816" t="s">
        <v>7942</v>
      </c>
      <c r="F360" s="826">
        <v>0</v>
      </c>
      <c r="G360" s="880">
        <v>1</v>
      </c>
      <c r="H360" s="826">
        <v>14798.66</v>
      </c>
      <c r="I360" s="826">
        <v>10160.07</v>
      </c>
      <c r="J360" s="826">
        <v>24958.73</v>
      </c>
      <c r="K360" s="878">
        <v>24958.73</v>
      </c>
    </row>
    <row r="361" spans="1:11" ht="22.5" customHeight="1" x14ac:dyDescent="0.25">
      <c r="A361" s="816" t="s">
        <v>200</v>
      </c>
      <c r="B361" s="880">
        <v>2025</v>
      </c>
      <c r="C361" s="816" t="s">
        <v>1935</v>
      </c>
      <c r="D361" s="816" t="s">
        <v>1947</v>
      </c>
      <c r="E361" s="816" t="s">
        <v>7943</v>
      </c>
      <c r="F361" s="826">
        <v>0</v>
      </c>
      <c r="G361" s="880">
        <v>1</v>
      </c>
      <c r="H361" s="465"/>
      <c r="I361" s="465"/>
      <c r="J361" s="826">
        <v>0</v>
      </c>
      <c r="K361" s="878">
        <v>0</v>
      </c>
    </row>
    <row r="362" spans="1:11" ht="22.5" customHeight="1" x14ac:dyDescent="0.25">
      <c r="A362" s="816" t="s">
        <v>200</v>
      </c>
      <c r="B362" s="880">
        <v>2025</v>
      </c>
      <c r="C362" s="816" t="s">
        <v>1935</v>
      </c>
      <c r="D362" s="816" t="s">
        <v>1948</v>
      </c>
      <c r="E362" s="816" t="s">
        <v>7944</v>
      </c>
      <c r="F362" s="826">
        <v>0</v>
      </c>
      <c r="G362" s="880">
        <v>1</v>
      </c>
      <c r="H362" s="465"/>
      <c r="I362" s="465"/>
      <c r="J362" s="826">
        <v>0</v>
      </c>
      <c r="K362" s="878">
        <v>0</v>
      </c>
    </row>
    <row r="363" spans="1:11" ht="22.5" customHeight="1" x14ac:dyDescent="0.25">
      <c r="A363" s="816" t="s">
        <v>200</v>
      </c>
      <c r="B363" s="880">
        <v>2025</v>
      </c>
      <c r="C363" s="816" t="s">
        <v>1935</v>
      </c>
      <c r="D363" s="816" t="s">
        <v>1949</v>
      </c>
      <c r="E363" s="816" t="s">
        <v>7945</v>
      </c>
      <c r="F363" s="826">
        <v>0</v>
      </c>
      <c r="G363" s="880">
        <v>1</v>
      </c>
      <c r="H363" s="465"/>
      <c r="I363" s="465"/>
      <c r="J363" s="826">
        <v>0</v>
      </c>
      <c r="K363" s="878">
        <v>0</v>
      </c>
    </row>
    <row r="364" spans="1:11" ht="22.5" customHeight="1" x14ac:dyDescent="0.25">
      <c r="A364" s="816" t="s">
        <v>200</v>
      </c>
      <c r="B364" s="880">
        <v>2025</v>
      </c>
      <c r="C364" s="816" t="s">
        <v>1935</v>
      </c>
      <c r="D364" s="816" t="s">
        <v>1950</v>
      </c>
      <c r="E364" s="816" t="s">
        <v>7946</v>
      </c>
      <c r="F364" s="826">
        <v>0</v>
      </c>
      <c r="G364" s="880">
        <v>1</v>
      </c>
      <c r="H364" s="826">
        <v>-6401.32</v>
      </c>
      <c r="I364" s="826">
        <v>846.34</v>
      </c>
      <c r="J364" s="826">
        <v>-5554.98</v>
      </c>
      <c r="K364" s="878">
        <v>-5554.98</v>
      </c>
    </row>
    <row r="365" spans="1:11" ht="22.5" customHeight="1" x14ac:dyDescent="0.25">
      <c r="A365" s="816" t="s">
        <v>200</v>
      </c>
      <c r="B365" s="880">
        <v>2025</v>
      </c>
      <c r="C365" s="816" t="s">
        <v>1935</v>
      </c>
      <c r="D365" s="816" t="s">
        <v>1951</v>
      </c>
      <c r="E365" s="816" t="s">
        <v>7947</v>
      </c>
      <c r="F365" s="826">
        <v>0</v>
      </c>
      <c r="G365" s="880">
        <v>1</v>
      </c>
      <c r="H365" s="826">
        <v>-5595.19</v>
      </c>
      <c r="I365" s="826">
        <v>3789.76</v>
      </c>
      <c r="J365" s="826">
        <v>-1805.43</v>
      </c>
      <c r="K365" s="878">
        <v>-1805.43</v>
      </c>
    </row>
    <row r="366" spans="1:11" ht="22.5" customHeight="1" x14ac:dyDescent="0.25">
      <c r="A366" s="816" t="s">
        <v>200</v>
      </c>
      <c r="B366" s="880">
        <v>2025</v>
      </c>
      <c r="C366" s="816" t="s">
        <v>1935</v>
      </c>
      <c r="D366" s="816" t="s">
        <v>7801</v>
      </c>
      <c r="E366" s="816" t="s">
        <v>7948</v>
      </c>
      <c r="F366" s="826">
        <v>0</v>
      </c>
      <c r="G366" s="880">
        <v>1</v>
      </c>
      <c r="H366" s="826">
        <v>-6152.12</v>
      </c>
      <c r="I366" s="826">
        <v>14784.54</v>
      </c>
      <c r="J366" s="826">
        <v>8632.42</v>
      </c>
      <c r="K366" s="878">
        <v>8632.42</v>
      </c>
    </row>
    <row r="367" spans="1:11" ht="22.5" customHeight="1" x14ac:dyDescent="0.25">
      <c r="A367" s="816" t="s">
        <v>200</v>
      </c>
      <c r="B367" s="880">
        <v>2025</v>
      </c>
      <c r="C367" s="816" t="s">
        <v>1935</v>
      </c>
      <c r="D367" s="816" t="s">
        <v>1952</v>
      </c>
      <c r="E367" s="816" t="s">
        <v>7949</v>
      </c>
      <c r="F367" s="826">
        <v>26230.74</v>
      </c>
      <c r="G367" s="880">
        <v>0</v>
      </c>
      <c r="H367" s="465"/>
      <c r="I367" s="465"/>
      <c r="J367" s="826">
        <v>0</v>
      </c>
      <c r="K367" s="878">
        <v>26230.74</v>
      </c>
    </row>
    <row r="368" spans="1:11" ht="22.5" customHeight="1" x14ac:dyDescent="0.25">
      <c r="A368" s="816" t="s">
        <v>200</v>
      </c>
      <c r="B368" s="880">
        <v>2025</v>
      </c>
      <c r="C368" s="816" t="s">
        <v>1953</v>
      </c>
      <c r="D368" s="816" t="s">
        <v>1954</v>
      </c>
      <c r="E368" s="816" t="s">
        <v>2125</v>
      </c>
      <c r="F368" s="826">
        <v>0</v>
      </c>
      <c r="G368" s="880">
        <v>0</v>
      </c>
      <c r="H368" s="465"/>
      <c r="I368" s="465"/>
      <c r="J368" s="826">
        <v>0</v>
      </c>
      <c r="K368" s="878">
        <v>0</v>
      </c>
    </row>
    <row r="369" spans="1:11" ht="22.5" customHeight="1" x14ac:dyDescent="0.25">
      <c r="A369" s="816" t="s">
        <v>209</v>
      </c>
      <c r="B369" s="880">
        <v>2025</v>
      </c>
      <c r="C369" s="816" t="s">
        <v>1854</v>
      </c>
      <c r="D369" s="816" t="s">
        <v>1855</v>
      </c>
      <c r="E369" s="816" t="s">
        <v>2126</v>
      </c>
      <c r="F369" s="826">
        <v>-1354.52</v>
      </c>
      <c r="G369" s="880">
        <v>0</v>
      </c>
      <c r="H369" s="465"/>
      <c r="I369" s="465"/>
      <c r="J369" s="826">
        <v>0</v>
      </c>
      <c r="K369" s="878">
        <v>-1354.52</v>
      </c>
    </row>
    <row r="370" spans="1:11" ht="22.5" customHeight="1" x14ac:dyDescent="0.25">
      <c r="A370" s="816" t="s">
        <v>209</v>
      </c>
      <c r="B370" s="880">
        <v>2025</v>
      </c>
      <c r="C370" s="816" t="s">
        <v>7746</v>
      </c>
      <c r="D370" s="816" t="s">
        <v>7747</v>
      </c>
      <c r="E370" s="816" t="s">
        <v>7755</v>
      </c>
      <c r="F370" s="826">
        <v>0</v>
      </c>
      <c r="G370" s="880">
        <v>0</v>
      </c>
      <c r="H370" s="465"/>
      <c r="I370" s="465"/>
      <c r="J370" s="826">
        <v>0</v>
      </c>
      <c r="K370" s="878">
        <v>0</v>
      </c>
    </row>
    <row r="371" spans="1:11" ht="22.5" customHeight="1" x14ac:dyDescent="0.25">
      <c r="A371" s="816" t="s">
        <v>209</v>
      </c>
      <c r="B371" s="880">
        <v>2025</v>
      </c>
      <c r="C371" s="816" t="s">
        <v>1857</v>
      </c>
      <c r="D371" s="816" t="s">
        <v>1858</v>
      </c>
      <c r="E371" s="816" t="s">
        <v>2127</v>
      </c>
      <c r="F371" s="826">
        <v>0</v>
      </c>
      <c r="G371" s="880">
        <v>0</v>
      </c>
      <c r="H371" s="465"/>
      <c r="I371" s="465"/>
      <c r="J371" s="826">
        <v>0</v>
      </c>
      <c r="K371" s="878">
        <v>0</v>
      </c>
    </row>
    <row r="372" spans="1:11" ht="22.5" customHeight="1" x14ac:dyDescent="0.25">
      <c r="A372" s="816" t="s">
        <v>209</v>
      </c>
      <c r="B372" s="880">
        <v>2025</v>
      </c>
      <c r="C372" s="816" t="s">
        <v>1860</v>
      </c>
      <c r="D372" s="816" t="s">
        <v>1861</v>
      </c>
      <c r="E372" s="816" t="s">
        <v>2128</v>
      </c>
      <c r="F372" s="826">
        <v>0</v>
      </c>
      <c r="G372" s="880">
        <v>0</v>
      </c>
      <c r="H372" s="465"/>
      <c r="I372" s="465"/>
      <c r="J372" s="826">
        <v>0</v>
      </c>
      <c r="K372" s="878">
        <v>0</v>
      </c>
    </row>
    <row r="373" spans="1:11" ht="22.5" customHeight="1" x14ac:dyDescent="0.25">
      <c r="A373" s="816" t="s">
        <v>209</v>
      </c>
      <c r="B373" s="880">
        <v>2025</v>
      </c>
      <c r="C373" s="816" t="s">
        <v>1863</v>
      </c>
      <c r="D373" s="816" t="s">
        <v>1864</v>
      </c>
      <c r="E373" s="816" t="s">
        <v>2129</v>
      </c>
      <c r="F373" s="826">
        <v>0</v>
      </c>
      <c r="G373" s="880">
        <v>0</v>
      </c>
      <c r="H373" s="465"/>
      <c r="I373" s="465"/>
      <c r="J373" s="826">
        <v>0</v>
      </c>
      <c r="K373" s="878">
        <v>0</v>
      </c>
    </row>
    <row r="374" spans="1:11" ht="22.5" customHeight="1" x14ac:dyDescent="0.25">
      <c r="A374" s="816" t="s">
        <v>209</v>
      </c>
      <c r="B374" s="880">
        <v>2025</v>
      </c>
      <c r="C374" s="816" t="s">
        <v>1866</v>
      </c>
      <c r="D374" s="816" t="s">
        <v>1867</v>
      </c>
      <c r="E374" s="816" t="s">
        <v>2130</v>
      </c>
      <c r="F374" s="826">
        <v>0</v>
      </c>
      <c r="G374" s="880">
        <v>0</v>
      </c>
      <c r="H374" s="465"/>
      <c r="I374" s="465"/>
      <c r="J374" s="826">
        <v>0</v>
      </c>
      <c r="K374" s="878">
        <v>0</v>
      </c>
    </row>
    <row r="375" spans="1:11" ht="22.5" customHeight="1" x14ac:dyDescent="0.25">
      <c r="A375" s="816" t="s">
        <v>209</v>
      </c>
      <c r="B375" s="880">
        <v>2025</v>
      </c>
      <c r="C375" s="816" t="s">
        <v>1869</v>
      </c>
      <c r="D375" s="816" t="s">
        <v>1870</v>
      </c>
      <c r="E375" s="816" t="s">
        <v>2131</v>
      </c>
      <c r="F375" s="826">
        <v>0</v>
      </c>
      <c r="G375" s="880">
        <v>0</v>
      </c>
      <c r="H375" s="465"/>
      <c r="I375" s="465"/>
      <c r="J375" s="826">
        <v>0</v>
      </c>
      <c r="K375" s="878">
        <v>0</v>
      </c>
    </row>
    <row r="376" spans="1:11" ht="22.5" customHeight="1" x14ac:dyDescent="0.25">
      <c r="A376" s="816" t="s">
        <v>209</v>
      </c>
      <c r="B376" s="880">
        <v>2025</v>
      </c>
      <c r="C376" s="816" t="s">
        <v>1872</v>
      </c>
      <c r="D376" s="816" t="s">
        <v>1873</v>
      </c>
      <c r="E376" s="816" t="s">
        <v>2132</v>
      </c>
      <c r="F376" s="826">
        <v>0</v>
      </c>
      <c r="G376" s="880">
        <v>0</v>
      </c>
      <c r="H376" s="465"/>
      <c r="I376" s="465"/>
      <c r="J376" s="826">
        <v>0</v>
      </c>
      <c r="K376" s="878">
        <v>0</v>
      </c>
    </row>
    <row r="377" spans="1:11" ht="22.5" customHeight="1" x14ac:dyDescent="0.25">
      <c r="A377" s="816" t="s">
        <v>209</v>
      </c>
      <c r="B377" s="880">
        <v>2025</v>
      </c>
      <c r="C377" s="816" t="s">
        <v>1875</v>
      </c>
      <c r="D377" s="816" t="s">
        <v>1876</v>
      </c>
      <c r="E377" s="816" t="s">
        <v>2133</v>
      </c>
      <c r="F377" s="826">
        <v>0</v>
      </c>
      <c r="G377" s="880">
        <v>0</v>
      </c>
      <c r="H377" s="465"/>
      <c r="I377" s="465"/>
      <c r="J377" s="826">
        <v>0</v>
      </c>
      <c r="K377" s="878">
        <v>0</v>
      </c>
    </row>
    <row r="378" spans="1:11" ht="22.5" customHeight="1" x14ac:dyDescent="0.25">
      <c r="A378" s="816" t="s">
        <v>209</v>
      </c>
      <c r="B378" s="880">
        <v>2025</v>
      </c>
      <c r="C378" s="816" t="s">
        <v>1878</v>
      </c>
      <c r="D378" s="816" t="s">
        <v>1879</v>
      </c>
      <c r="E378" s="816" t="s">
        <v>2134</v>
      </c>
      <c r="F378" s="826">
        <v>0</v>
      </c>
      <c r="G378" s="880">
        <v>0</v>
      </c>
      <c r="H378" s="465"/>
      <c r="I378" s="465"/>
      <c r="J378" s="826">
        <v>0</v>
      </c>
      <c r="K378" s="878">
        <v>0</v>
      </c>
    </row>
    <row r="379" spans="1:11" ht="22.5" customHeight="1" x14ac:dyDescent="0.25">
      <c r="A379" s="816" t="s">
        <v>209</v>
      </c>
      <c r="B379" s="880">
        <v>2025</v>
      </c>
      <c r="C379" s="816" t="s">
        <v>1881</v>
      </c>
      <c r="D379" s="816" t="s">
        <v>1882</v>
      </c>
      <c r="E379" s="816" t="s">
        <v>2135</v>
      </c>
      <c r="F379" s="826">
        <v>0</v>
      </c>
      <c r="G379" s="880">
        <v>0</v>
      </c>
      <c r="H379" s="465"/>
      <c r="I379" s="465"/>
      <c r="J379" s="826">
        <v>0</v>
      </c>
      <c r="K379" s="878">
        <v>0</v>
      </c>
    </row>
    <row r="380" spans="1:11" ht="22.5" customHeight="1" x14ac:dyDescent="0.25">
      <c r="A380" s="816" t="s">
        <v>209</v>
      </c>
      <c r="B380" s="880">
        <v>2025</v>
      </c>
      <c r="C380" s="816" t="s">
        <v>1884</v>
      </c>
      <c r="D380" s="816" t="s">
        <v>1885</v>
      </c>
      <c r="E380" s="816" t="s">
        <v>2136</v>
      </c>
      <c r="F380" s="826">
        <v>0</v>
      </c>
      <c r="G380" s="880">
        <v>0</v>
      </c>
      <c r="H380" s="465"/>
      <c r="I380" s="465"/>
      <c r="J380" s="826">
        <v>0</v>
      </c>
      <c r="K380" s="878">
        <v>0</v>
      </c>
    </row>
    <row r="381" spans="1:11" ht="22.5" customHeight="1" x14ac:dyDescent="0.25">
      <c r="A381" s="816" t="s">
        <v>209</v>
      </c>
      <c r="B381" s="880">
        <v>2025</v>
      </c>
      <c r="C381" s="816" t="s">
        <v>1887</v>
      </c>
      <c r="D381" s="816" t="s">
        <v>138</v>
      </c>
      <c r="E381" s="816" t="s">
        <v>2137</v>
      </c>
      <c r="F381" s="826">
        <v>-1866.17</v>
      </c>
      <c r="G381" s="880">
        <v>1</v>
      </c>
      <c r="H381" s="826">
        <v>-1577.7</v>
      </c>
      <c r="I381" s="826">
        <v>-288.47000000000003</v>
      </c>
      <c r="J381" s="826">
        <v>-1866.17</v>
      </c>
      <c r="K381" s="878">
        <v>-1866.17</v>
      </c>
    </row>
    <row r="382" spans="1:11" ht="22.5" customHeight="1" x14ac:dyDescent="0.25">
      <c r="A382" s="816" t="s">
        <v>209</v>
      </c>
      <c r="B382" s="880">
        <v>2025</v>
      </c>
      <c r="C382" s="816" t="s">
        <v>1889</v>
      </c>
      <c r="D382" s="816" t="s">
        <v>139</v>
      </c>
      <c r="E382" s="816" t="s">
        <v>2138</v>
      </c>
      <c r="F382" s="826">
        <v>-8158.22</v>
      </c>
      <c r="G382" s="880">
        <v>1</v>
      </c>
      <c r="H382" s="826">
        <v>-7705.16</v>
      </c>
      <c r="I382" s="826">
        <v>-453.06</v>
      </c>
      <c r="J382" s="826">
        <v>-8158.22</v>
      </c>
      <c r="K382" s="878">
        <v>-8158.22</v>
      </c>
    </row>
    <row r="383" spans="1:11" ht="22.5" customHeight="1" x14ac:dyDescent="0.25">
      <c r="A383" s="816" t="s">
        <v>209</v>
      </c>
      <c r="B383" s="880">
        <v>2025</v>
      </c>
      <c r="C383" s="816" t="s">
        <v>1891</v>
      </c>
      <c r="D383" s="816" t="s">
        <v>1892</v>
      </c>
      <c r="E383" s="816" t="s">
        <v>2139</v>
      </c>
      <c r="F383" s="826">
        <v>0</v>
      </c>
      <c r="G383" s="880">
        <v>0</v>
      </c>
      <c r="H383" s="465"/>
      <c r="I383" s="465"/>
      <c r="J383" s="826">
        <v>0</v>
      </c>
      <c r="K383" s="878">
        <v>0</v>
      </c>
    </row>
    <row r="384" spans="1:11" ht="22.5" customHeight="1" x14ac:dyDescent="0.25">
      <c r="A384" s="816" t="s">
        <v>209</v>
      </c>
      <c r="B384" s="880">
        <v>2025</v>
      </c>
      <c r="C384" s="816" t="s">
        <v>1891</v>
      </c>
      <c r="D384" s="816" t="s">
        <v>1894</v>
      </c>
      <c r="E384" s="816" t="s">
        <v>2139</v>
      </c>
      <c r="F384" s="826">
        <v>0</v>
      </c>
      <c r="G384" s="880">
        <v>0</v>
      </c>
      <c r="H384" s="465"/>
      <c r="I384" s="465"/>
      <c r="J384" s="826">
        <v>0</v>
      </c>
      <c r="K384" s="881">
        <v>0</v>
      </c>
    </row>
    <row r="385" spans="1:11" ht="22.5" customHeight="1" x14ac:dyDescent="0.25">
      <c r="A385" s="816" t="s">
        <v>209</v>
      </c>
      <c r="B385" s="880">
        <v>2025</v>
      </c>
      <c r="C385" s="816" t="s">
        <v>1895</v>
      </c>
      <c r="D385" s="816" t="s">
        <v>1896</v>
      </c>
      <c r="E385" s="816" t="s">
        <v>2140</v>
      </c>
      <c r="F385" s="826">
        <v>0</v>
      </c>
      <c r="G385" s="880">
        <v>0</v>
      </c>
      <c r="H385" s="465"/>
      <c r="I385" s="465"/>
      <c r="J385" s="826">
        <v>0</v>
      </c>
      <c r="K385" s="878">
        <v>0</v>
      </c>
    </row>
    <row r="386" spans="1:11" ht="22.5" customHeight="1" x14ac:dyDescent="0.25">
      <c r="A386" s="816" t="s">
        <v>209</v>
      </c>
      <c r="B386" s="880">
        <v>2025</v>
      </c>
      <c r="C386" s="816" t="s">
        <v>1898</v>
      </c>
      <c r="D386" s="816" t="s">
        <v>1899</v>
      </c>
      <c r="E386" s="816" t="s">
        <v>2141</v>
      </c>
      <c r="F386" s="826">
        <v>-2459.4</v>
      </c>
      <c r="G386" s="880">
        <v>0</v>
      </c>
      <c r="H386" s="465"/>
      <c r="I386" s="465"/>
      <c r="J386" s="826">
        <v>0</v>
      </c>
      <c r="K386" s="878">
        <v>-2459.4</v>
      </c>
    </row>
    <row r="387" spans="1:11" ht="22.5" customHeight="1" x14ac:dyDescent="0.25">
      <c r="A387" s="816" t="s">
        <v>209</v>
      </c>
      <c r="B387" s="880">
        <v>2025</v>
      </c>
      <c r="C387" s="816" t="s">
        <v>1901</v>
      </c>
      <c r="D387" s="816" t="s">
        <v>1902</v>
      </c>
      <c r="E387" s="816" t="s">
        <v>2142</v>
      </c>
      <c r="F387" s="826">
        <v>0</v>
      </c>
      <c r="G387" s="880">
        <v>0</v>
      </c>
      <c r="H387" s="465"/>
      <c r="I387" s="465"/>
      <c r="J387" s="826">
        <v>0</v>
      </c>
      <c r="K387" s="878">
        <v>0</v>
      </c>
    </row>
    <row r="388" spans="1:11" ht="22.5" customHeight="1" x14ac:dyDescent="0.25">
      <c r="A388" s="816" t="s">
        <v>209</v>
      </c>
      <c r="B388" s="880">
        <v>2025</v>
      </c>
      <c r="C388" s="816" t="s">
        <v>1904</v>
      </c>
      <c r="D388" s="816" t="s">
        <v>1905</v>
      </c>
      <c r="E388" s="816" t="s">
        <v>2143</v>
      </c>
      <c r="F388" s="826">
        <v>0</v>
      </c>
      <c r="G388" s="880">
        <v>0</v>
      </c>
      <c r="H388" s="465"/>
      <c r="I388" s="465"/>
      <c r="J388" s="826">
        <v>0</v>
      </c>
      <c r="K388" s="878">
        <v>0</v>
      </c>
    </row>
    <row r="389" spans="1:11" ht="22.5" customHeight="1" x14ac:dyDescent="0.25">
      <c r="A389" s="816" t="s">
        <v>209</v>
      </c>
      <c r="B389" s="880">
        <v>2025</v>
      </c>
      <c r="C389" s="816" t="s">
        <v>1907</v>
      </c>
      <c r="D389" s="816" t="s">
        <v>1908</v>
      </c>
      <c r="E389" s="816" t="s">
        <v>2144</v>
      </c>
      <c r="F389" s="826">
        <v>0</v>
      </c>
      <c r="G389" s="880">
        <v>0</v>
      </c>
      <c r="H389" s="465"/>
      <c r="I389" s="465"/>
      <c r="J389" s="826">
        <v>0</v>
      </c>
      <c r="K389" s="878">
        <v>0</v>
      </c>
    </row>
    <row r="390" spans="1:11" ht="22.5" customHeight="1" x14ac:dyDescent="0.25">
      <c r="A390" s="816" t="s">
        <v>209</v>
      </c>
      <c r="B390" s="880">
        <v>2025</v>
      </c>
      <c r="C390" s="816" t="s">
        <v>1910</v>
      </c>
      <c r="D390" s="816" t="s">
        <v>1911</v>
      </c>
      <c r="E390" s="816" t="s">
        <v>2145</v>
      </c>
      <c r="F390" s="826">
        <v>0</v>
      </c>
      <c r="G390" s="880">
        <v>0</v>
      </c>
      <c r="H390" s="465"/>
      <c r="I390" s="465"/>
      <c r="J390" s="826">
        <v>0</v>
      </c>
      <c r="K390" s="878">
        <v>0</v>
      </c>
    </row>
    <row r="391" spans="1:11" ht="22.5" customHeight="1" x14ac:dyDescent="0.25">
      <c r="A391" s="816" t="s">
        <v>209</v>
      </c>
      <c r="B391" s="880">
        <v>2025</v>
      </c>
      <c r="C391" s="816" t="s">
        <v>1913</v>
      </c>
      <c r="D391" s="816" t="s">
        <v>1914</v>
      </c>
      <c r="E391" s="816" t="s">
        <v>2146</v>
      </c>
      <c r="F391" s="826">
        <v>-32477.48</v>
      </c>
      <c r="G391" s="880">
        <v>1</v>
      </c>
      <c r="H391" s="826">
        <v>-30022.48</v>
      </c>
      <c r="I391" s="826">
        <v>-2455</v>
      </c>
      <c r="J391" s="826">
        <v>-32477.48</v>
      </c>
      <c r="K391" s="878">
        <v>-32477.48</v>
      </c>
    </row>
    <row r="392" spans="1:11" ht="22.5" customHeight="1" x14ac:dyDescent="0.25">
      <c r="A392" s="816" t="s">
        <v>209</v>
      </c>
      <c r="B392" s="880">
        <v>2025</v>
      </c>
      <c r="C392" s="816" t="s">
        <v>1913</v>
      </c>
      <c r="D392" s="816" t="s">
        <v>1916</v>
      </c>
      <c r="E392" s="816" t="s">
        <v>2146</v>
      </c>
      <c r="F392" s="826">
        <v>0</v>
      </c>
      <c r="G392" s="880">
        <v>0</v>
      </c>
      <c r="H392" s="465"/>
      <c r="I392" s="465"/>
      <c r="J392" s="826">
        <v>0</v>
      </c>
      <c r="K392" s="881">
        <v>0</v>
      </c>
    </row>
    <row r="393" spans="1:11" ht="22.5" customHeight="1" x14ac:dyDescent="0.25">
      <c r="A393" s="816" t="s">
        <v>209</v>
      </c>
      <c r="B393" s="880">
        <v>2025</v>
      </c>
      <c r="C393" s="816" t="s">
        <v>1913</v>
      </c>
      <c r="D393" s="816" t="s">
        <v>1917</v>
      </c>
      <c r="E393" s="816" t="s">
        <v>2146</v>
      </c>
      <c r="F393" s="826">
        <v>0</v>
      </c>
      <c r="G393" s="880">
        <v>0</v>
      </c>
      <c r="H393" s="465"/>
      <c r="I393" s="465"/>
      <c r="J393" s="826">
        <v>0</v>
      </c>
      <c r="K393" s="881">
        <v>0</v>
      </c>
    </row>
    <row r="394" spans="1:11" ht="22.5" customHeight="1" x14ac:dyDescent="0.25">
      <c r="A394" s="816" t="s">
        <v>209</v>
      </c>
      <c r="B394" s="880">
        <v>2025</v>
      </c>
      <c r="C394" s="816" t="s">
        <v>1913</v>
      </c>
      <c r="D394" s="816" t="s">
        <v>1918</v>
      </c>
      <c r="E394" s="816" t="s">
        <v>2146</v>
      </c>
      <c r="F394" s="826">
        <v>0</v>
      </c>
      <c r="G394" s="880">
        <v>0</v>
      </c>
      <c r="H394" s="465"/>
      <c r="I394" s="465"/>
      <c r="J394" s="826">
        <v>0</v>
      </c>
      <c r="K394" s="881">
        <v>-40.130000000000003</v>
      </c>
    </row>
    <row r="395" spans="1:11" ht="22.5" customHeight="1" x14ac:dyDescent="0.25">
      <c r="A395" s="816" t="s">
        <v>209</v>
      </c>
      <c r="B395" s="880">
        <v>2025</v>
      </c>
      <c r="C395" s="816" t="s">
        <v>1913</v>
      </c>
      <c r="D395" s="816" t="s">
        <v>1919</v>
      </c>
      <c r="E395" s="816" t="s">
        <v>2146</v>
      </c>
      <c r="F395" s="826">
        <v>0</v>
      </c>
      <c r="G395" s="880">
        <v>0</v>
      </c>
      <c r="H395" s="465"/>
      <c r="I395" s="465"/>
      <c r="J395" s="826">
        <v>0</v>
      </c>
      <c r="K395" s="881">
        <v>480.8</v>
      </c>
    </row>
    <row r="396" spans="1:11" ht="22.5" customHeight="1" x14ac:dyDescent="0.25">
      <c r="A396" s="816" t="s">
        <v>209</v>
      </c>
      <c r="B396" s="880">
        <v>2025</v>
      </c>
      <c r="C396" s="816" t="s">
        <v>1920</v>
      </c>
      <c r="D396" s="816" t="s">
        <v>1921</v>
      </c>
      <c r="E396" s="816" t="s">
        <v>2147</v>
      </c>
      <c r="F396" s="826">
        <v>0</v>
      </c>
      <c r="G396" s="880">
        <v>0</v>
      </c>
      <c r="H396" s="465"/>
      <c r="I396" s="465"/>
      <c r="J396" s="826">
        <v>0</v>
      </c>
      <c r="K396" s="878">
        <v>0</v>
      </c>
    </row>
    <row r="397" spans="1:11" ht="22.5" customHeight="1" x14ac:dyDescent="0.25">
      <c r="A397" s="816" t="s">
        <v>209</v>
      </c>
      <c r="B397" s="880">
        <v>2025</v>
      </c>
      <c r="C397" s="816" t="s">
        <v>1923</v>
      </c>
      <c r="D397" s="816" t="s">
        <v>143</v>
      </c>
      <c r="E397" s="816" t="s">
        <v>2148</v>
      </c>
      <c r="F397" s="826">
        <v>52233.46</v>
      </c>
      <c r="G397" s="880">
        <v>1</v>
      </c>
      <c r="H397" s="826">
        <v>49282.1</v>
      </c>
      <c r="I397" s="826">
        <v>2951.36</v>
      </c>
      <c r="J397" s="826">
        <v>52233.46</v>
      </c>
      <c r="K397" s="878">
        <v>52233.46</v>
      </c>
    </row>
    <row r="398" spans="1:11" ht="22.5" customHeight="1" x14ac:dyDescent="0.25">
      <c r="A398" s="816" t="s">
        <v>209</v>
      </c>
      <c r="B398" s="880">
        <v>2025</v>
      </c>
      <c r="C398" s="816" t="s">
        <v>1925</v>
      </c>
      <c r="D398" s="816" t="s">
        <v>144</v>
      </c>
      <c r="E398" s="816" t="s">
        <v>2149</v>
      </c>
      <c r="F398" s="826">
        <v>54579.21</v>
      </c>
      <c r="G398" s="880">
        <v>1</v>
      </c>
      <c r="H398" s="826">
        <v>51186.68</v>
      </c>
      <c r="I398" s="826">
        <v>3392.53</v>
      </c>
      <c r="J398" s="826">
        <v>54579.21</v>
      </c>
      <c r="K398" s="878">
        <v>54579.21</v>
      </c>
    </row>
    <row r="399" spans="1:11" ht="22.5" customHeight="1" x14ac:dyDescent="0.25">
      <c r="A399" s="816" t="s">
        <v>209</v>
      </c>
      <c r="B399" s="880">
        <v>2025</v>
      </c>
      <c r="C399" s="816" t="s">
        <v>1927</v>
      </c>
      <c r="D399" s="816" t="s">
        <v>1928</v>
      </c>
      <c r="E399" s="816" t="s">
        <v>2150</v>
      </c>
      <c r="F399" s="826">
        <v>-57695.13</v>
      </c>
      <c r="G399" s="880">
        <v>1</v>
      </c>
      <c r="H399" s="826">
        <v>-53138.42</v>
      </c>
      <c r="I399" s="826">
        <v>-4556.71</v>
      </c>
      <c r="J399" s="826">
        <v>-57695.13</v>
      </c>
      <c r="K399" s="878">
        <v>-57695.13</v>
      </c>
    </row>
    <row r="400" spans="1:11" ht="22.5" customHeight="1" x14ac:dyDescent="0.25">
      <c r="A400" s="816" t="s">
        <v>209</v>
      </c>
      <c r="B400" s="880">
        <v>2025</v>
      </c>
      <c r="C400" s="816" t="s">
        <v>1930</v>
      </c>
      <c r="D400" s="816" t="s">
        <v>156</v>
      </c>
      <c r="E400" s="816" t="s">
        <v>2151</v>
      </c>
      <c r="F400" s="826">
        <v>12807.65</v>
      </c>
      <c r="G400" s="880">
        <v>1</v>
      </c>
      <c r="H400" s="826">
        <v>11181.34</v>
      </c>
      <c r="I400" s="826">
        <v>1626.31</v>
      </c>
      <c r="J400" s="826">
        <v>12807.65</v>
      </c>
      <c r="K400" s="878">
        <v>12807.65</v>
      </c>
    </row>
    <row r="401" spans="1:11" ht="22.5" customHeight="1" x14ac:dyDescent="0.25">
      <c r="A401" s="816" t="s">
        <v>209</v>
      </c>
      <c r="B401" s="880">
        <v>2025</v>
      </c>
      <c r="C401" s="816" t="s">
        <v>1932</v>
      </c>
      <c r="D401" s="816" t="s">
        <v>1933</v>
      </c>
      <c r="E401" s="816" t="s">
        <v>2152</v>
      </c>
      <c r="F401" s="826">
        <v>110557.44</v>
      </c>
      <c r="G401" s="880">
        <v>0</v>
      </c>
      <c r="H401" s="465"/>
      <c r="I401" s="465"/>
      <c r="J401" s="826">
        <v>0</v>
      </c>
      <c r="K401" s="878">
        <v>110557.44</v>
      </c>
    </row>
    <row r="402" spans="1:11" ht="22.5" customHeight="1" x14ac:dyDescent="0.25">
      <c r="A402" s="816" t="s">
        <v>209</v>
      </c>
      <c r="B402" s="880">
        <v>2025</v>
      </c>
      <c r="C402" s="816" t="s">
        <v>1935</v>
      </c>
      <c r="D402" s="816" t="s">
        <v>1936</v>
      </c>
      <c r="E402" s="816" t="s">
        <v>7950</v>
      </c>
      <c r="F402" s="826">
        <v>0</v>
      </c>
      <c r="G402" s="880">
        <v>1</v>
      </c>
      <c r="H402" s="465"/>
      <c r="I402" s="465"/>
      <c r="J402" s="826">
        <v>0</v>
      </c>
      <c r="K402" s="878">
        <v>0</v>
      </c>
    </row>
    <row r="403" spans="1:11" ht="22.5" customHeight="1" x14ac:dyDescent="0.25">
      <c r="A403" s="816" t="s">
        <v>209</v>
      </c>
      <c r="B403" s="880">
        <v>2025</v>
      </c>
      <c r="C403" s="816" t="s">
        <v>1935</v>
      </c>
      <c r="D403" s="816" t="s">
        <v>1937</v>
      </c>
      <c r="E403" s="816" t="s">
        <v>7951</v>
      </c>
      <c r="F403" s="826">
        <v>0</v>
      </c>
      <c r="G403" s="880">
        <v>1</v>
      </c>
      <c r="H403" s="465"/>
      <c r="I403" s="465"/>
      <c r="J403" s="826">
        <v>0</v>
      </c>
      <c r="K403" s="878">
        <v>0</v>
      </c>
    </row>
    <row r="404" spans="1:11" ht="22.5" customHeight="1" x14ac:dyDescent="0.25">
      <c r="A404" s="816" t="s">
        <v>209</v>
      </c>
      <c r="B404" s="880">
        <v>2025</v>
      </c>
      <c r="C404" s="816" t="s">
        <v>1935</v>
      </c>
      <c r="D404" s="816" t="s">
        <v>1938</v>
      </c>
      <c r="E404" s="816" t="s">
        <v>7952</v>
      </c>
      <c r="F404" s="826">
        <v>0</v>
      </c>
      <c r="G404" s="880">
        <v>1</v>
      </c>
      <c r="H404" s="465"/>
      <c r="I404" s="465"/>
      <c r="J404" s="826">
        <v>0</v>
      </c>
      <c r="K404" s="878">
        <v>0</v>
      </c>
    </row>
    <row r="405" spans="1:11" ht="22.5" customHeight="1" x14ac:dyDescent="0.25">
      <c r="A405" s="816" t="s">
        <v>209</v>
      </c>
      <c r="B405" s="880">
        <v>2025</v>
      </c>
      <c r="C405" s="816" t="s">
        <v>1935</v>
      </c>
      <c r="D405" s="816" t="s">
        <v>1939</v>
      </c>
      <c r="E405" s="816" t="s">
        <v>7953</v>
      </c>
      <c r="F405" s="826">
        <v>0</v>
      </c>
      <c r="G405" s="880">
        <v>1</v>
      </c>
      <c r="H405" s="465"/>
      <c r="I405" s="465"/>
      <c r="J405" s="826">
        <v>0</v>
      </c>
      <c r="K405" s="878">
        <v>0</v>
      </c>
    </row>
    <row r="406" spans="1:11" ht="22.5" customHeight="1" x14ac:dyDescent="0.25">
      <c r="A406" s="816" t="s">
        <v>209</v>
      </c>
      <c r="B406" s="880">
        <v>2025</v>
      </c>
      <c r="C406" s="816" t="s">
        <v>1935</v>
      </c>
      <c r="D406" s="816" t="s">
        <v>1940</v>
      </c>
      <c r="E406" s="816" t="s">
        <v>7954</v>
      </c>
      <c r="F406" s="826">
        <v>0</v>
      </c>
      <c r="G406" s="880">
        <v>1</v>
      </c>
      <c r="H406" s="465"/>
      <c r="I406" s="465"/>
      <c r="J406" s="826">
        <v>0</v>
      </c>
      <c r="K406" s="878">
        <v>0</v>
      </c>
    </row>
    <row r="407" spans="1:11" ht="22.5" customHeight="1" x14ac:dyDescent="0.25">
      <c r="A407" s="816" t="s">
        <v>209</v>
      </c>
      <c r="B407" s="880">
        <v>2025</v>
      </c>
      <c r="C407" s="816" t="s">
        <v>1935</v>
      </c>
      <c r="D407" s="816" t="s">
        <v>1941</v>
      </c>
      <c r="E407" s="816" t="s">
        <v>7955</v>
      </c>
      <c r="F407" s="826">
        <v>0</v>
      </c>
      <c r="G407" s="880">
        <v>1</v>
      </c>
      <c r="H407" s="465"/>
      <c r="I407" s="465"/>
      <c r="J407" s="826">
        <v>0</v>
      </c>
      <c r="K407" s="878">
        <v>0</v>
      </c>
    </row>
    <row r="408" spans="1:11" ht="22.5" customHeight="1" x14ac:dyDescent="0.25">
      <c r="A408" s="816" t="s">
        <v>209</v>
      </c>
      <c r="B408" s="880">
        <v>2025</v>
      </c>
      <c r="C408" s="816" t="s">
        <v>1935</v>
      </c>
      <c r="D408" s="816" t="s">
        <v>1942</v>
      </c>
      <c r="E408" s="816" t="s">
        <v>7956</v>
      </c>
      <c r="F408" s="826">
        <v>0</v>
      </c>
      <c r="G408" s="880">
        <v>1</v>
      </c>
      <c r="H408" s="465"/>
      <c r="I408" s="465"/>
      <c r="J408" s="826">
        <v>0</v>
      </c>
      <c r="K408" s="878">
        <v>0</v>
      </c>
    </row>
    <row r="409" spans="1:11" ht="22.5" customHeight="1" x14ac:dyDescent="0.25">
      <c r="A409" s="816" t="s">
        <v>209</v>
      </c>
      <c r="B409" s="880">
        <v>2025</v>
      </c>
      <c r="C409" s="816" t="s">
        <v>1935</v>
      </c>
      <c r="D409" s="816" t="s">
        <v>1943</v>
      </c>
      <c r="E409" s="816" t="s">
        <v>7957</v>
      </c>
      <c r="F409" s="826">
        <v>0</v>
      </c>
      <c r="G409" s="880">
        <v>1</v>
      </c>
      <c r="H409" s="465"/>
      <c r="I409" s="465"/>
      <c r="J409" s="826">
        <v>0</v>
      </c>
      <c r="K409" s="878">
        <v>0</v>
      </c>
    </row>
    <row r="410" spans="1:11" ht="22.5" customHeight="1" x14ac:dyDescent="0.25">
      <c r="A410" s="816" t="s">
        <v>209</v>
      </c>
      <c r="B410" s="880">
        <v>2025</v>
      </c>
      <c r="C410" s="816" t="s">
        <v>1935</v>
      </c>
      <c r="D410" s="816" t="s">
        <v>1944</v>
      </c>
      <c r="E410" s="816" t="s">
        <v>7958</v>
      </c>
      <c r="F410" s="826">
        <v>0</v>
      </c>
      <c r="G410" s="880">
        <v>1</v>
      </c>
      <c r="H410" s="826">
        <v>5894.54</v>
      </c>
      <c r="I410" s="465"/>
      <c r="J410" s="826">
        <v>5894.54</v>
      </c>
      <c r="K410" s="878">
        <v>5894.54</v>
      </c>
    </row>
    <row r="411" spans="1:11" ht="22.5" customHeight="1" x14ac:dyDescent="0.25">
      <c r="A411" s="816" t="s">
        <v>209</v>
      </c>
      <c r="B411" s="880">
        <v>2025</v>
      </c>
      <c r="C411" s="816" t="s">
        <v>1935</v>
      </c>
      <c r="D411" s="816" t="s">
        <v>1945</v>
      </c>
      <c r="E411" s="816" t="s">
        <v>7959</v>
      </c>
      <c r="F411" s="826">
        <v>0</v>
      </c>
      <c r="G411" s="880">
        <v>1</v>
      </c>
      <c r="H411" s="465"/>
      <c r="I411" s="465"/>
      <c r="J411" s="826">
        <v>0</v>
      </c>
      <c r="K411" s="878">
        <v>0</v>
      </c>
    </row>
    <row r="412" spans="1:11" ht="22.5" customHeight="1" x14ac:dyDescent="0.25">
      <c r="A412" s="816" t="s">
        <v>209</v>
      </c>
      <c r="B412" s="880">
        <v>2025</v>
      </c>
      <c r="C412" s="816" t="s">
        <v>1935</v>
      </c>
      <c r="D412" s="816" t="s">
        <v>1946</v>
      </c>
      <c r="E412" s="816" t="s">
        <v>7960</v>
      </c>
      <c r="F412" s="826">
        <v>0</v>
      </c>
      <c r="G412" s="880">
        <v>1</v>
      </c>
      <c r="H412" s="465"/>
      <c r="I412" s="465"/>
      <c r="J412" s="826">
        <v>0</v>
      </c>
      <c r="K412" s="878">
        <v>0</v>
      </c>
    </row>
    <row r="413" spans="1:11" ht="22.5" customHeight="1" x14ac:dyDescent="0.25">
      <c r="A413" s="816" t="s">
        <v>209</v>
      </c>
      <c r="B413" s="880">
        <v>2025</v>
      </c>
      <c r="C413" s="816" t="s">
        <v>1935</v>
      </c>
      <c r="D413" s="816" t="s">
        <v>1947</v>
      </c>
      <c r="E413" s="816" t="s">
        <v>7961</v>
      </c>
      <c r="F413" s="826">
        <v>0</v>
      </c>
      <c r="G413" s="880">
        <v>1</v>
      </c>
      <c r="H413" s="465"/>
      <c r="I413" s="465"/>
      <c r="J413" s="826">
        <v>0</v>
      </c>
      <c r="K413" s="878">
        <v>0</v>
      </c>
    </row>
    <row r="414" spans="1:11" ht="22.5" customHeight="1" x14ac:dyDescent="0.25">
      <c r="A414" s="816" t="s">
        <v>209</v>
      </c>
      <c r="B414" s="880">
        <v>2025</v>
      </c>
      <c r="C414" s="816" t="s">
        <v>1935</v>
      </c>
      <c r="D414" s="816" t="s">
        <v>1948</v>
      </c>
      <c r="E414" s="816" t="s">
        <v>7962</v>
      </c>
      <c r="F414" s="826">
        <v>0</v>
      </c>
      <c r="G414" s="880">
        <v>1</v>
      </c>
      <c r="H414" s="465"/>
      <c r="I414" s="465"/>
      <c r="J414" s="826">
        <v>0</v>
      </c>
      <c r="K414" s="878">
        <v>0</v>
      </c>
    </row>
    <row r="415" spans="1:11" ht="22.5" customHeight="1" x14ac:dyDescent="0.25">
      <c r="A415" s="816" t="s">
        <v>209</v>
      </c>
      <c r="B415" s="880">
        <v>2025</v>
      </c>
      <c r="C415" s="816" t="s">
        <v>1935</v>
      </c>
      <c r="D415" s="816" t="s">
        <v>1949</v>
      </c>
      <c r="E415" s="816" t="s">
        <v>7963</v>
      </c>
      <c r="F415" s="826">
        <v>0</v>
      </c>
      <c r="G415" s="880">
        <v>1</v>
      </c>
      <c r="H415" s="826">
        <v>4652.18</v>
      </c>
      <c r="I415" s="826">
        <v>564.26</v>
      </c>
      <c r="J415" s="826">
        <v>5216.4399999999996</v>
      </c>
      <c r="K415" s="878">
        <v>5216.4399999999996</v>
      </c>
    </row>
    <row r="416" spans="1:11" ht="22.5" customHeight="1" x14ac:dyDescent="0.25">
      <c r="A416" s="816" t="s">
        <v>209</v>
      </c>
      <c r="B416" s="880">
        <v>2025</v>
      </c>
      <c r="C416" s="816" t="s">
        <v>1935</v>
      </c>
      <c r="D416" s="816" t="s">
        <v>1950</v>
      </c>
      <c r="E416" s="816" t="s">
        <v>7964</v>
      </c>
      <c r="F416" s="826">
        <v>0</v>
      </c>
      <c r="G416" s="880">
        <v>1</v>
      </c>
      <c r="H416" s="826">
        <v>-7377.65</v>
      </c>
      <c r="I416" s="826">
        <v>-1028.46</v>
      </c>
      <c r="J416" s="826">
        <v>-8406.11</v>
      </c>
      <c r="K416" s="878">
        <v>-8406.11</v>
      </c>
    </row>
    <row r="417" spans="1:11" ht="22.5" customHeight="1" x14ac:dyDescent="0.25">
      <c r="A417" s="816" t="s">
        <v>209</v>
      </c>
      <c r="B417" s="880">
        <v>2025</v>
      </c>
      <c r="C417" s="816" t="s">
        <v>1935</v>
      </c>
      <c r="D417" s="816" t="s">
        <v>1951</v>
      </c>
      <c r="E417" s="816" t="s">
        <v>7965</v>
      </c>
      <c r="F417" s="826">
        <v>0</v>
      </c>
      <c r="G417" s="880">
        <v>1</v>
      </c>
      <c r="H417" s="826">
        <v>-63.4</v>
      </c>
      <c r="I417" s="826">
        <v>-1996.37</v>
      </c>
      <c r="J417" s="826">
        <v>-2059.77</v>
      </c>
      <c r="K417" s="878">
        <v>-2059.77</v>
      </c>
    </row>
    <row r="418" spans="1:11" ht="22.5" customHeight="1" x14ac:dyDescent="0.25">
      <c r="A418" s="816" t="s">
        <v>209</v>
      </c>
      <c r="B418" s="880">
        <v>2025</v>
      </c>
      <c r="C418" s="816" t="s">
        <v>1935</v>
      </c>
      <c r="D418" s="816" t="s">
        <v>7801</v>
      </c>
      <c r="E418" s="816" t="s">
        <v>7966</v>
      </c>
      <c r="F418" s="826">
        <v>0</v>
      </c>
      <c r="G418" s="880">
        <v>1</v>
      </c>
      <c r="H418" s="826">
        <v>2314.21</v>
      </c>
      <c r="I418" s="826">
        <v>4702.1400000000003</v>
      </c>
      <c r="J418" s="826">
        <v>7016.35</v>
      </c>
      <c r="K418" s="878">
        <v>7016.35</v>
      </c>
    </row>
    <row r="419" spans="1:11" ht="22.5" customHeight="1" x14ac:dyDescent="0.25">
      <c r="A419" s="816" t="s">
        <v>209</v>
      </c>
      <c r="B419" s="880">
        <v>2025</v>
      </c>
      <c r="C419" s="816" t="s">
        <v>1935</v>
      </c>
      <c r="D419" s="816" t="s">
        <v>1952</v>
      </c>
      <c r="E419" s="816" t="s">
        <v>7967</v>
      </c>
      <c r="F419" s="826">
        <v>7661.45</v>
      </c>
      <c r="G419" s="880">
        <v>0</v>
      </c>
      <c r="H419" s="465"/>
      <c r="I419" s="465"/>
      <c r="J419" s="826">
        <v>0</v>
      </c>
      <c r="K419" s="878">
        <v>7661.45</v>
      </c>
    </row>
    <row r="420" spans="1:11" ht="22.5" customHeight="1" x14ac:dyDescent="0.25">
      <c r="A420" s="816" t="s">
        <v>209</v>
      </c>
      <c r="B420" s="880">
        <v>2025</v>
      </c>
      <c r="C420" s="816" t="s">
        <v>1953</v>
      </c>
      <c r="D420" s="816" t="s">
        <v>1954</v>
      </c>
      <c r="E420" s="816" t="s">
        <v>2153</v>
      </c>
      <c r="F420" s="826">
        <v>0</v>
      </c>
      <c r="G420" s="880">
        <v>0</v>
      </c>
      <c r="H420" s="465"/>
      <c r="I420" s="465"/>
      <c r="J420" s="826">
        <v>0</v>
      </c>
      <c r="K420" s="878">
        <v>0</v>
      </c>
    </row>
    <row r="421" spans="1:11" ht="22.5" customHeight="1" x14ac:dyDescent="0.25">
      <c r="A421" s="816" t="s">
        <v>212</v>
      </c>
      <c r="B421" s="880">
        <v>2025</v>
      </c>
      <c r="C421" s="816" t="s">
        <v>1854</v>
      </c>
      <c r="D421" s="816" t="s">
        <v>1855</v>
      </c>
      <c r="E421" s="816" t="s">
        <v>2154</v>
      </c>
      <c r="F421" s="826">
        <v>569426.97</v>
      </c>
      <c r="G421" s="880">
        <v>0</v>
      </c>
      <c r="H421" s="465"/>
      <c r="I421" s="465"/>
      <c r="J421" s="826">
        <v>0</v>
      </c>
      <c r="K421" s="878">
        <v>569426.97</v>
      </c>
    </row>
    <row r="422" spans="1:11" ht="22.5" customHeight="1" x14ac:dyDescent="0.25">
      <c r="A422" s="816" t="s">
        <v>212</v>
      </c>
      <c r="B422" s="880">
        <v>2025</v>
      </c>
      <c r="C422" s="816" t="s">
        <v>7746</v>
      </c>
      <c r="D422" s="816" t="s">
        <v>7747</v>
      </c>
      <c r="E422" s="816" t="s">
        <v>7756</v>
      </c>
      <c r="F422" s="826">
        <v>0</v>
      </c>
      <c r="G422" s="880">
        <v>0</v>
      </c>
      <c r="H422" s="465"/>
      <c r="I422" s="465"/>
      <c r="J422" s="826">
        <v>0</v>
      </c>
      <c r="K422" s="878">
        <v>0</v>
      </c>
    </row>
    <row r="423" spans="1:11" ht="22.5" customHeight="1" x14ac:dyDescent="0.25">
      <c r="A423" s="816" t="s">
        <v>212</v>
      </c>
      <c r="B423" s="880">
        <v>2025</v>
      </c>
      <c r="C423" s="816" t="s">
        <v>1857</v>
      </c>
      <c r="D423" s="816" t="s">
        <v>1858</v>
      </c>
      <c r="E423" s="816" t="s">
        <v>2155</v>
      </c>
      <c r="F423" s="826">
        <v>-1809.52</v>
      </c>
      <c r="G423" s="880">
        <v>0</v>
      </c>
      <c r="H423" s="465"/>
      <c r="I423" s="465"/>
      <c r="J423" s="826">
        <v>0</v>
      </c>
      <c r="K423" s="878">
        <v>-1809.52</v>
      </c>
    </row>
    <row r="424" spans="1:11" ht="22.5" customHeight="1" x14ac:dyDescent="0.25">
      <c r="A424" s="816" t="s">
        <v>212</v>
      </c>
      <c r="B424" s="880">
        <v>2025</v>
      </c>
      <c r="C424" s="816" t="s">
        <v>1860</v>
      </c>
      <c r="D424" s="816" t="s">
        <v>1861</v>
      </c>
      <c r="E424" s="816" t="s">
        <v>2156</v>
      </c>
      <c r="F424" s="826">
        <v>0</v>
      </c>
      <c r="G424" s="880">
        <v>0</v>
      </c>
      <c r="H424" s="465"/>
      <c r="I424" s="465"/>
      <c r="J424" s="826">
        <v>0</v>
      </c>
      <c r="K424" s="878">
        <v>0</v>
      </c>
    </row>
    <row r="425" spans="1:11" ht="22.5" customHeight="1" x14ac:dyDescent="0.25">
      <c r="A425" s="816" t="s">
        <v>212</v>
      </c>
      <c r="B425" s="880">
        <v>2025</v>
      </c>
      <c r="C425" s="816" t="s">
        <v>1863</v>
      </c>
      <c r="D425" s="816" t="s">
        <v>1864</v>
      </c>
      <c r="E425" s="816" t="s">
        <v>2157</v>
      </c>
      <c r="F425" s="826">
        <v>0.15</v>
      </c>
      <c r="G425" s="880">
        <v>0</v>
      </c>
      <c r="H425" s="465"/>
      <c r="I425" s="465"/>
      <c r="J425" s="826">
        <v>0</v>
      </c>
      <c r="K425" s="878">
        <v>0.15</v>
      </c>
    </row>
    <row r="426" spans="1:11" ht="22.5" customHeight="1" x14ac:dyDescent="0.25">
      <c r="A426" s="816" t="s">
        <v>212</v>
      </c>
      <c r="B426" s="880">
        <v>2025</v>
      </c>
      <c r="C426" s="816" t="s">
        <v>1866</v>
      </c>
      <c r="D426" s="816" t="s">
        <v>1867</v>
      </c>
      <c r="E426" s="816" t="s">
        <v>2158</v>
      </c>
      <c r="F426" s="826">
        <v>176493</v>
      </c>
      <c r="G426" s="880">
        <v>0</v>
      </c>
      <c r="H426" s="465"/>
      <c r="I426" s="465"/>
      <c r="J426" s="826">
        <v>0</v>
      </c>
      <c r="K426" s="878">
        <v>176493</v>
      </c>
    </row>
    <row r="427" spans="1:11" ht="22.5" customHeight="1" x14ac:dyDescent="0.25">
      <c r="A427" s="816" t="s">
        <v>212</v>
      </c>
      <c r="B427" s="880">
        <v>2025</v>
      </c>
      <c r="C427" s="816" t="s">
        <v>1869</v>
      </c>
      <c r="D427" s="816" t="s">
        <v>1870</v>
      </c>
      <c r="E427" s="816" t="s">
        <v>2159</v>
      </c>
      <c r="F427" s="826">
        <v>0</v>
      </c>
      <c r="G427" s="880">
        <v>0</v>
      </c>
      <c r="H427" s="465"/>
      <c r="I427" s="465"/>
      <c r="J427" s="826">
        <v>0</v>
      </c>
      <c r="K427" s="878">
        <v>0</v>
      </c>
    </row>
    <row r="428" spans="1:11" ht="22.5" customHeight="1" x14ac:dyDescent="0.25">
      <c r="A428" s="816" t="s">
        <v>212</v>
      </c>
      <c r="B428" s="880">
        <v>2025</v>
      </c>
      <c r="C428" s="816" t="s">
        <v>1872</v>
      </c>
      <c r="D428" s="816" t="s">
        <v>1873</v>
      </c>
      <c r="E428" s="816" t="s">
        <v>2160</v>
      </c>
      <c r="F428" s="826">
        <v>0</v>
      </c>
      <c r="G428" s="880">
        <v>0</v>
      </c>
      <c r="H428" s="465"/>
      <c r="I428" s="465"/>
      <c r="J428" s="826">
        <v>0</v>
      </c>
      <c r="K428" s="878">
        <v>0</v>
      </c>
    </row>
    <row r="429" spans="1:11" ht="22.5" customHeight="1" x14ac:dyDescent="0.25">
      <c r="A429" s="816" t="s">
        <v>212</v>
      </c>
      <c r="B429" s="880">
        <v>2025</v>
      </c>
      <c r="C429" s="816" t="s">
        <v>1875</v>
      </c>
      <c r="D429" s="816" t="s">
        <v>1876</v>
      </c>
      <c r="E429" s="816" t="s">
        <v>2161</v>
      </c>
      <c r="F429" s="826">
        <v>0</v>
      </c>
      <c r="G429" s="880">
        <v>0</v>
      </c>
      <c r="H429" s="465"/>
      <c r="I429" s="465"/>
      <c r="J429" s="826">
        <v>0</v>
      </c>
      <c r="K429" s="878">
        <v>0</v>
      </c>
    </row>
    <row r="430" spans="1:11" ht="22.5" customHeight="1" x14ac:dyDescent="0.25">
      <c r="A430" s="816" t="s">
        <v>212</v>
      </c>
      <c r="B430" s="880">
        <v>2025</v>
      </c>
      <c r="C430" s="816" t="s">
        <v>1878</v>
      </c>
      <c r="D430" s="816" t="s">
        <v>1879</v>
      </c>
      <c r="E430" s="816" t="s">
        <v>2162</v>
      </c>
      <c r="F430" s="826">
        <v>0</v>
      </c>
      <c r="G430" s="880">
        <v>0</v>
      </c>
      <c r="H430" s="465"/>
      <c r="I430" s="465"/>
      <c r="J430" s="826">
        <v>0</v>
      </c>
      <c r="K430" s="878">
        <v>0</v>
      </c>
    </row>
    <row r="431" spans="1:11" ht="22.5" customHeight="1" x14ac:dyDescent="0.25">
      <c r="A431" s="816" t="s">
        <v>212</v>
      </c>
      <c r="B431" s="880">
        <v>2025</v>
      </c>
      <c r="C431" s="816" t="s">
        <v>1881</v>
      </c>
      <c r="D431" s="816" t="s">
        <v>1882</v>
      </c>
      <c r="E431" s="816" t="s">
        <v>2163</v>
      </c>
      <c r="F431" s="826">
        <v>0</v>
      </c>
      <c r="G431" s="880">
        <v>0</v>
      </c>
      <c r="H431" s="465"/>
      <c r="I431" s="465"/>
      <c r="J431" s="826">
        <v>0</v>
      </c>
      <c r="K431" s="878">
        <v>0</v>
      </c>
    </row>
    <row r="432" spans="1:11" ht="22.5" customHeight="1" x14ac:dyDescent="0.25">
      <c r="A432" s="816" t="s">
        <v>212</v>
      </c>
      <c r="B432" s="880">
        <v>2025</v>
      </c>
      <c r="C432" s="816" t="s">
        <v>1884</v>
      </c>
      <c r="D432" s="816" t="s">
        <v>1885</v>
      </c>
      <c r="E432" s="816" t="s">
        <v>2164</v>
      </c>
      <c r="F432" s="826">
        <v>681.01</v>
      </c>
      <c r="G432" s="880">
        <v>0</v>
      </c>
      <c r="H432" s="465"/>
      <c r="I432" s="465"/>
      <c r="J432" s="826">
        <v>0</v>
      </c>
      <c r="K432" s="878">
        <v>681.01</v>
      </c>
    </row>
    <row r="433" spans="1:11" ht="22.5" customHeight="1" x14ac:dyDescent="0.25">
      <c r="A433" s="816" t="s">
        <v>212</v>
      </c>
      <c r="B433" s="880">
        <v>2025</v>
      </c>
      <c r="C433" s="816" t="s">
        <v>1887</v>
      </c>
      <c r="D433" s="816" t="s">
        <v>138</v>
      </c>
      <c r="E433" s="816" t="s">
        <v>2165</v>
      </c>
      <c r="F433" s="826">
        <v>1521245.26</v>
      </c>
      <c r="G433" s="880">
        <v>1</v>
      </c>
      <c r="H433" s="826">
        <v>1478276.77</v>
      </c>
      <c r="I433" s="826">
        <v>42968.49</v>
      </c>
      <c r="J433" s="826">
        <v>1521245.26</v>
      </c>
      <c r="K433" s="878">
        <v>1521245.26</v>
      </c>
    </row>
    <row r="434" spans="1:11" ht="22.5" customHeight="1" x14ac:dyDescent="0.25">
      <c r="A434" s="816" t="s">
        <v>212</v>
      </c>
      <c r="B434" s="880">
        <v>2025</v>
      </c>
      <c r="C434" s="816" t="s">
        <v>1889</v>
      </c>
      <c r="D434" s="816" t="s">
        <v>139</v>
      </c>
      <c r="E434" s="816" t="s">
        <v>2166</v>
      </c>
      <c r="F434" s="826">
        <v>-96449.81</v>
      </c>
      <c r="G434" s="880">
        <v>1</v>
      </c>
      <c r="H434" s="826">
        <v>-92725.75</v>
      </c>
      <c r="I434" s="826">
        <v>-3724.06</v>
      </c>
      <c r="J434" s="826">
        <v>-96449.81</v>
      </c>
      <c r="K434" s="878">
        <v>-96449.81</v>
      </c>
    </row>
    <row r="435" spans="1:11" ht="22.5" customHeight="1" x14ac:dyDescent="0.25">
      <c r="A435" s="816" t="s">
        <v>212</v>
      </c>
      <c r="B435" s="880">
        <v>2025</v>
      </c>
      <c r="C435" s="816" t="s">
        <v>1891</v>
      </c>
      <c r="D435" s="816" t="s">
        <v>1892</v>
      </c>
      <c r="E435" s="816" t="s">
        <v>2167</v>
      </c>
      <c r="F435" s="826">
        <v>-11.15</v>
      </c>
      <c r="G435" s="880">
        <v>0</v>
      </c>
      <c r="H435" s="465"/>
      <c r="I435" s="465"/>
      <c r="J435" s="826">
        <v>0</v>
      </c>
      <c r="K435" s="878">
        <v>-11.15</v>
      </c>
    </row>
    <row r="436" spans="1:11" ht="22.5" customHeight="1" x14ac:dyDescent="0.25">
      <c r="A436" s="816" t="s">
        <v>212</v>
      </c>
      <c r="B436" s="880">
        <v>2025</v>
      </c>
      <c r="C436" s="816" t="s">
        <v>1891</v>
      </c>
      <c r="D436" s="816" t="s">
        <v>1894</v>
      </c>
      <c r="E436" s="816" t="s">
        <v>2167</v>
      </c>
      <c r="F436" s="826">
        <v>0</v>
      </c>
      <c r="G436" s="880">
        <v>0</v>
      </c>
      <c r="H436" s="465"/>
      <c r="I436" s="465"/>
      <c r="J436" s="826">
        <v>0</v>
      </c>
      <c r="K436" s="881">
        <v>0</v>
      </c>
    </row>
    <row r="437" spans="1:11" ht="22.5" customHeight="1" x14ac:dyDescent="0.25">
      <c r="A437" s="816" t="s">
        <v>212</v>
      </c>
      <c r="B437" s="880">
        <v>2025</v>
      </c>
      <c r="C437" s="816" t="s">
        <v>1895</v>
      </c>
      <c r="D437" s="816" t="s">
        <v>1896</v>
      </c>
      <c r="E437" s="816" t="s">
        <v>2168</v>
      </c>
      <c r="F437" s="826">
        <v>0</v>
      </c>
      <c r="G437" s="880">
        <v>0</v>
      </c>
      <c r="H437" s="465"/>
      <c r="I437" s="465"/>
      <c r="J437" s="826">
        <v>0</v>
      </c>
      <c r="K437" s="878">
        <v>0</v>
      </c>
    </row>
    <row r="438" spans="1:11" ht="22.5" customHeight="1" x14ac:dyDescent="0.25">
      <c r="A438" s="816" t="s">
        <v>212</v>
      </c>
      <c r="B438" s="880">
        <v>2025</v>
      </c>
      <c r="C438" s="816" t="s">
        <v>1898</v>
      </c>
      <c r="D438" s="816" t="s">
        <v>1899</v>
      </c>
      <c r="E438" s="816" t="s">
        <v>2169</v>
      </c>
      <c r="F438" s="826">
        <v>0</v>
      </c>
      <c r="G438" s="880">
        <v>0</v>
      </c>
      <c r="H438" s="465"/>
      <c r="I438" s="465"/>
      <c r="J438" s="826">
        <v>0</v>
      </c>
      <c r="K438" s="878">
        <v>0</v>
      </c>
    </row>
    <row r="439" spans="1:11" ht="22.5" customHeight="1" x14ac:dyDescent="0.25">
      <c r="A439" s="816" t="s">
        <v>212</v>
      </c>
      <c r="B439" s="880">
        <v>2025</v>
      </c>
      <c r="C439" s="816" t="s">
        <v>1901</v>
      </c>
      <c r="D439" s="816" t="s">
        <v>1902</v>
      </c>
      <c r="E439" s="816" t="s">
        <v>2170</v>
      </c>
      <c r="F439" s="826">
        <v>499364</v>
      </c>
      <c r="G439" s="880">
        <v>0</v>
      </c>
      <c r="H439" s="465"/>
      <c r="I439" s="465"/>
      <c r="J439" s="826">
        <v>0</v>
      </c>
      <c r="K439" s="878">
        <v>499364</v>
      </c>
    </row>
    <row r="440" spans="1:11" ht="22.5" customHeight="1" x14ac:dyDescent="0.25">
      <c r="A440" s="816" t="s">
        <v>212</v>
      </c>
      <c r="B440" s="880">
        <v>2025</v>
      </c>
      <c r="C440" s="816" t="s">
        <v>1904</v>
      </c>
      <c r="D440" s="816" t="s">
        <v>1905</v>
      </c>
      <c r="E440" s="816" t="s">
        <v>2171</v>
      </c>
      <c r="F440" s="826">
        <v>0</v>
      </c>
      <c r="G440" s="880">
        <v>0</v>
      </c>
      <c r="H440" s="465"/>
      <c r="I440" s="465"/>
      <c r="J440" s="826">
        <v>0</v>
      </c>
      <c r="K440" s="878">
        <v>0</v>
      </c>
    </row>
    <row r="441" spans="1:11" ht="22.5" customHeight="1" x14ac:dyDescent="0.25">
      <c r="A441" s="816" t="s">
        <v>212</v>
      </c>
      <c r="B441" s="880">
        <v>2025</v>
      </c>
      <c r="C441" s="816" t="s">
        <v>1907</v>
      </c>
      <c r="D441" s="816" t="s">
        <v>1908</v>
      </c>
      <c r="E441" s="816" t="s">
        <v>2172</v>
      </c>
      <c r="F441" s="826">
        <v>0</v>
      </c>
      <c r="G441" s="880">
        <v>0</v>
      </c>
      <c r="H441" s="465"/>
      <c r="I441" s="465"/>
      <c r="J441" s="826">
        <v>0</v>
      </c>
      <c r="K441" s="878">
        <v>0</v>
      </c>
    </row>
    <row r="442" spans="1:11" ht="22.5" customHeight="1" x14ac:dyDescent="0.25">
      <c r="A442" s="816" t="s">
        <v>212</v>
      </c>
      <c r="B442" s="880">
        <v>2025</v>
      </c>
      <c r="C442" s="816" t="s">
        <v>1910</v>
      </c>
      <c r="D442" s="816" t="s">
        <v>1911</v>
      </c>
      <c r="E442" s="816" t="s">
        <v>2173</v>
      </c>
      <c r="F442" s="826">
        <v>0</v>
      </c>
      <c r="G442" s="880">
        <v>0</v>
      </c>
      <c r="H442" s="465"/>
      <c r="I442" s="465"/>
      <c r="J442" s="826">
        <v>0</v>
      </c>
      <c r="K442" s="878">
        <v>0</v>
      </c>
    </row>
    <row r="443" spans="1:11" ht="22.5" customHeight="1" x14ac:dyDescent="0.25">
      <c r="A443" s="816" t="s">
        <v>212</v>
      </c>
      <c r="B443" s="880">
        <v>2025</v>
      </c>
      <c r="C443" s="816" t="s">
        <v>1913</v>
      </c>
      <c r="D443" s="816" t="s">
        <v>1914</v>
      </c>
      <c r="E443" s="816" t="s">
        <v>2174</v>
      </c>
      <c r="F443" s="826">
        <v>639257.19999999995</v>
      </c>
      <c r="G443" s="880">
        <v>1</v>
      </c>
      <c r="H443" s="826">
        <v>611707.17000000004</v>
      </c>
      <c r="I443" s="826">
        <v>27550.03</v>
      </c>
      <c r="J443" s="826">
        <v>639257.19999999995</v>
      </c>
      <c r="K443" s="878">
        <v>639257.19999999995</v>
      </c>
    </row>
    <row r="444" spans="1:11" ht="22.5" customHeight="1" x14ac:dyDescent="0.25">
      <c r="A444" s="816" t="s">
        <v>212</v>
      </c>
      <c r="B444" s="880">
        <v>2025</v>
      </c>
      <c r="C444" s="816" t="s">
        <v>1913</v>
      </c>
      <c r="D444" s="816" t="s">
        <v>1916</v>
      </c>
      <c r="E444" s="816" t="s">
        <v>2174</v>
      </c>
      <c r="F444" s="826">
        <v>0</v>
      </c>
      <c r="G444" s="880">
        <v>0</v>
      </c>
      <c r="H444" s="465"/>
      <c r="I444" s="465"/>
      <c r="J444" s="826">
        <v>0</v>
      </c>
      <c r="K444" s="881">
        <v>0</v>
      </c>
    </row>
    <row r="445" spans="1:11" ht="22.5" customHeight="1" x14ac:dyDescent="0.25">
      <c r="A445" s="816" t="s">
        <v>212</v>
      </c>
      <c r="B445" s="880">
        <v>2025</v>
      </c>
      <c r="C445" s="816" t="s">
        <v>1913</v>
      </c>
      <c r="D445" s="816" t="s">
        <v>1917</v>
      </c>
      <c r="E445" s="816" t="s">
        <v>2174</v>
      </c>
      <c r="F445" s="826">
        <v>0</v>
      </c>
      <c r="G445" s="880">
        <v>0</v>
      </c>
      <c r="H445" s="465"/>
      <c r="I445" s="465"/>
      <c r="J445" s="826">
        <v>0</v>
      </c>
      <c r="K445" s="881">
        <v>-35.770000000000003</v>
      </c>
    </row>
    <row r="446" spans="1:11" ht="22.5" customHeight="1" x14ac:dyDescent="0.25">
      <c r="A446" s="816" t="s">
        <v>212</v>
      </c>
      <c r="B446" s="880">
        <v>2025</v>
      </c>
      <c r="C446" s="816" t="s">
        <v>1913</v>
      </c>
      <c r="D446" s="816" t="s">
        <v>1918</v>
      </c>
      <c r="E446" s="816" t="s">
        <v>2174</v>
      </c>
      <c r="F446" s="826">
        <v>0</v>
      </c>
      <c r="G446" s="880">
        <v>0</v>
      </c>
      <c r="H446" s="465"/>
      <c r="I446" s="465"/>
      <c r="J446" s="826">
        <v>0</v>
      </c>
      <c r="K446" s="881">
        <v>27550.03</v>
      </c>
    </row>
    <row r="447" spans="1:11" ht="22.5" customHeight="1" x14ac:dyDescent="0.25">
      <c r="A447" s="816" t="s">
        <v>212</v>
      </c>
      <c r="B447" s="880">
        <v>2025</v>
      </c>
      <c r="C447" s="816" t="s">
        <v>1913</v>
      </c>
      <c r="D447" s="816" t="s">
        <v>1919</v>
      </c>
      <c r="E447" s="816" t="s">
        <v>2174</v>
      </c>
      <c r="F447" s="826">
        <v>0</v>
      </c>
      <c r="G447" s="880">
        <v>0</v>
      </c>
      <c r="H447" s="465"/>
      <c r="I447" s="465"/>
      <c r="J447" s="826">
        <v>0</v>
      </c>
      <c r="K447" s="881">
        <v>639292.97</v>
      </c>
    </row>
    <row r="448" spans="1:11" ht="22.5" customHeight="1" x14ac:dyDescent="0.25">
      <c r="A448" s="816" t="s">
        <v>212</v>
      </c>
      <c r="B448" s="880">
        <v>2025</v>
      </c>
      <c r="C448" s="816" t="s">
        <v>1920</v>
      </c>
      <c r="D448" s="816" t="s">
        <v>1921</v>
      </c>
      <c r="E448" s="816" t="s">
        <v>2175</v>
      </c>
      <c r="F448" s="826">
        <v>0</v>
      </c>
      <c r="G448" s="880">
        <v>0</v>
      </c>
      <c r="H448" s="465"/>
      <c r="I448" s="465"/>
      <c r="J448" s="826">
        <v>0</v>
      </c>
      <c r="K448" s="878">
        <v>0</v>
      </c>
    </row>
    <row r="449" spans="1:11" ht="22.5" customHeight="1" x14ac:dyDescent="0.25">
      <c r="A449" s="816" t="s">
        <v>212</v>
      </c>
      <c r="B449" s="880">
        <v>2025</v>
      </c>
      <c r="C449" s="816" t="s">
        <v>1923</v>
      </c>
      <c r="D449" s="816" t="s">
        <v>143</v>
      </c>
      <c r="E449" s="816" t="s">
        <v>2176</v>
      </c>
      <c r="F449" s="826">
        <v>-1080262.74</v>
      </c>
      <c r="G449" s="880">
        <v>1</v>
      </c>
      <c r="H449" s="826">
        <v>-1058355.6599999999</v>
      </c>
      <c r="I449" s="826">
        <v>-21907.08</v>
      </c>
      <c r="J449" s="826">
        <v>-1080262.74</v>
      </c>
      <c r="K449" s="878">
        <v>-1080262.74</v>
      </c>
    </row>
    <row r="450" spans="1:11" ht="22.5" customHeight="1" x14ac:dyDescent="0.25">
      <c r="A450" s="816" t="s">
        <v>212</v>
      </c>
      <c r="B450" s="880">
        <v>2025</v>
      </c>
      <c r="C450" s="816" t="s">
        <v>1925</v>
      </c>
      <c r="D450" s="816" t="s">
        <v>144</v>
      </c>
      <c r="E450" s="816" t="s">
        <v>2177</v>
      </c>
      <c r="F450" s="826">
        <v>-993272.97</v>
      </c>
      <c r="G450" s="880">
        <v>1</v>
      </c>
      <c r="H450" s="826">
        <v>-979989.08</v>
      </c>
      <c r="I450" s="826">
        <v>-13283.89</v>
      </c>
      <c r="J450" s="826">
        <v>-993272.97</v>
      </c>
      <c r="K450" s="878">
        <v>-993272.97</v>
      </c>
    </row>
    <row r="451" spans="1:11" ht="22.5" customHeight="1" x14ac:dyDescent="0.25">
      <c r="A451" s="816" t="s">
        <v>212</v>
      </c>
      <c r="B451" s="880">
        <v>2025</v>
      </c>
      <c r="C451" s="816" t="s">
        <v>1927</v>
      </c>
      <c r="D451" s="816" t="s">
        <v>1928</v>
      </c>
      <c r="E451" s="816" t="s">
        <v>2178</v>
      </c>
      <c r="F451" s="826">
        <v>-3202528.51</v>
      </c>
      <c r="G451" s="880">
        <v>1</v>
      </c>
      <c r="H451" s="826">
        <v>-2762305.93</v>
      </c>
      <c r="I451" s="826">
        <v>-440222.58</v>
      </c>
      <c r="J451" s="826">
        <v>-3202528.51</v>
      </c>
      <c r="K451" s="878">
        <v>-3202528.51</v>
      </c>
    </row>
    <row r="452" spans="1:11" ht="22.5" customHeight="1" x14ac:dyDescent="0.25">
      <c r="A452" s="816" t="s">
        <v>212</v>
      </c>
      <c r="B452" s="880">
        <v>2025</v>
      </c>
      <c r="C452" s="816" t="s">
        <v>1930</v>
      </c>
      <c r="D452" s="816" t="s">
        <v>156</v>
      </c>
      <c r="E452" s="816" t="s">
        <v>2179</v>
      </c>
      <c r="F452" s="826">
        <v>-2994934.02</v>
      </c>
      <c r="G452" s="880">
        <v>1</v>
      </c>
      <c r="H452" s="826">
        <v>-2593686.5499999998</v>
      </c>
      <c r="I452" s="826">
        <v>-401247.47</v>
      </c>
      <c r="J452" s="826">
        <v>-2994934.02</v>
      </c>
      <c r="K452" s="878">
        <v>-2994934.02</v>
      </c>
    </row>
    <row r="453" spans="1:11" ht="22.5" customHeight="1" x14ac:dyDescent="0.25">
      <c r="A453" s="816" t="s">
        <v>212</v>
      </c>
      <c r="B453" s="880">
        <v>2025</v>
      </c>
      <c r="C453" s="816" t="s">
        <v>1932</v>
      </c>
      <c r="D453" s="816" t="s">
        <v>1933</v>
      </c>
      <c r="E453" s="816" t="s">
        <v>2180</v>
      </c>
      <c r="F453" s="826">
        <v>230580</v>
      </c>
      <c r="G453" s="880">
        <v>0</v>
      </c>
      <c r="H453" s="465"/>
      <c r="I453" s="465"/>
      <c r="J453" s="826">
        <v>0</v>
      </c>
      <c r="K453" s="878">
        <v>230580</v>
      </c>
    </row>
    <row r="454" spans="1:11" ht="22.5" customHeight="1" x14ac:dyDescent="0.25">
      <c r="A454" s="816" t="s">
        <v>212</v>
      </c>
      <c r="B454" s="880">
        <v>2025</v>
      </c>
      <c r="C454" s="816" t="s">
        <v>1935</v>
      </c>
      <c r="D454" s="816" t="s">
        <v>1936</v>
      </c>
      <c r="E454" s="816" t="s">
        <v>7968</v>
      </c>
      <c r="F454" s="826">
        <v>0</v>
      </c>
      <c r="G454" s="880">
        <v>1</v>
      </c>
      <c r="H454" s="465"/>
      <c r="I454" s="465"/>
      <c r="J454" s="826">
        <v>0</v>
      </c>
      <c r="K454" s="878">
        <v>0</v>
      </c>
    </row>
    <row r="455" spans="1:11" ht="22.5" customHeight="1" x14ac:dyDescent="0.25">
      <c r="A455" s="816" t="s">
        <v>212</v>
      </c>
      <c r="B455" s="880">
        <v>2025</v>
      </c>
      <c r="C455" s="816" t="s">
        <v>1935</v>
      </c>
      <c r="D455" s="816" t="s">
        <v>1937</v>
      </c>
      <c r="E455" s="816" t="s">
        <v>7969</v>
      </c>
      <c r="F455" s="826">
        <v>0</v>
      </c>
      <c r="G455" s="880">
        <v>1</v>
      </c>
      <c r="H455" s="465"/>
      <c r="I455" s="465"/>
      <c r="J455" s="826">
        <v>0</v>
      </c>
      <c r="K455" s="878">
        <v>0</v>
      </c>
    </row>
    <row r="456" spans="1:11" ht="22.5" customHeight="1" x14ac:dyDescent="0.25">
      <c r="A456" s="816" t="s">
        <v>212</v>
      </c>
      <c r="B456" s="880">
        <v>2025</v>
      </c>
      <c r="C456" s="816" t="s">
        <v>1935</v>
      </c>
      <c r="D456" s="816" t="s">
        <v>1938</v>
      </c>
      <c r="E456" s="816" t="s">
        <v>7970</v>
      </c>
      <c r="F456" s="826">
        <v>0</v>
      </c>
      <c r="G456" s="880">
        <v>1</v>
      </c>
      <c r="H456" s="465"/>
      <c r="I456" s="465"/>
      <c r="J456" s="826">
        <v>0</v>
      </c>
      <c r="K456" s="878">
        <v>0</v>
      </c>
    </row>
    <row r="457" spans="1:11" ht="22.5" customHeight="1" x14ac:dyDescent="0.25">
      <c r="A457" s="816" t="s">
        <v>212</v>
      </c>
      <c r="B457" s="880">
        <v>2025</v>
      </c>
      <c r="C457" s="816" t="s">
        <v>1935</v>
      </c>
      <c r="D457" s="816" t="s">
        <v>1939</v>
      </c>
      <c r="E457" s="816" t="s">
        <v>7971</v>
      </c>
      <c r="F457" s="826">
        <v>0</v>
      </c>
      <c r="G457" s="880">
        <v>1</v>
      </c>
      <c r="H457" s="465"/>
      <c r="I457" s="465"/>
      <c r="J457" s="826">
        <v>0</v>
      </c>
      <c r="K457" s="878">
        <v>0</v>
      </c>
    </row>
    <row r="458" spans="1:11" ht="22.5" customHeight="1" x14ac:dyDescent="0.25">
      <c r="A458" s="816" t="s">
        <v>212</v>
      </c>
      <c r="B458" s="880">
        <v>2025</v>
      </c>
      <c r="C458" s="816" t="s">
        <v>1935</v>
      </c>
      <c r="D458" s="816" t="s">
        <v>1940</v>
      </c>
      <c r="E458" s="816" t="s">
        <v>7972</v>
      </c>
      <c r="F458" s="826">
        <v>0</v>
      </c>
      <c r="G458" s="880">
        <v>1</v>
      </c>
      <c r="H458" s="465"/>
      <c r="I458" s="465"/>
      <c r="J458" s="826">
        <v>0</v>
      </c>
      <c r="K458" s="878">
        <v>0</v>
      </c>
    </row>
    <row r="459" spans="1:11" ht="22.5" customHeight="1" x14ac:dyDescent="0.25">
      <c r="A459" s="816" t="s">
        <v>212</v>
      </c>
      <c r="B459" s="880">
        <v>2025</v>
      </c>
      <c r="C459" s="816" t="s">
        <v>1935</v>
      </c>
      <c r="D459" s="816" t="s">
        <v>1941</v>
      </c>
      <c r="E459" s="816" t="s">
        <v>7973</v>
      </c>
      <c r="F459" s="826">
        <v>0</v>
      </c>
      <c r="G459" s="880">
        <v>1</v>
      </c>
      <c r="H459" s="826">
        <v>73.989999999999995</v>
      </c>
      <c r="I459" s="465"/>
      <c r="J459" s="826">
        <v>73.989999999999995</v>
      </c>
      <c r="K459" s="878">
        <v>73.989999999999995</v>
      </c>
    </row>
    <row r="460" spans="1:11" ht="22.5" customHeight="1" x14ac:dyDescent="0.25">
      <c r="A460" s="816" t="s">
        <v>212</v>
      </c>
      <c r="B460" s="880">
        <v>2025</v>
      </c>
      <c r="C460" s="816" t="s">
        <v>1935</v>
      </c>
      <c r="D460" s="816" t="s">
        <v>1942</v>
      </c>
      <c r="E460" s="816" t="s">
        <v>7974</v>
      </c>
      <c r="F460" s="826">
        <v>0</v>
      </c>
      <c r="G460" s="880">
        <v>1</v>
      </c>
      <c r="H460" s="465"/>
      <c r="I460" s="465"/>
      <c r="J460" s="826">
        <v>0</v>
      </c>
      <c r="K460" s="878">
        <v>0</v>
      </c>
    </row>
    <row r="461" spans="1:11" ht="22.5" customHeight="1" x14ac:dyDescent="0.25">
      <c r="A461" s="816" t="s">
        <v>212</v>
      </c>
      <c r="B461" s="880">
        <v>2025</v>
      </c>
      <c r="C461" s="816" t="s">
        <v>1935</v>
      </c>
      <c r="D461" s="816" t="s">
        <v>1943</v>
      </c>
      <c r="E461" s="816" t="s">
        <v>7975</v>
      </c>
      <c r="F461" s="826">
        <v>0</v>
      </c>
      <c r="G461" s="880">
        <v>1</v>
      </c>
      <c r="H461" s="465"/>
      <c r="I461" s="465"/>
      <c r="J461" s="826">
        <v>0</v>
      </c>
      <c r="K461" s="878">
        <v>0</v>
      </c>
    </row>
    <row r="462" spans="1:11" ht="22.5" customHeight="1" x14ac:dyDescent="0.25">
      <c r="A462" s="816" t="s">
        <v>212</v>
      </c>
      <c r="B462" s="880">
        <v>2025</v>
      </c>
      <c r="C462" s="816" t="s">
        <v>1935</v>
      </c>
      <c r="D462" s="816" t="s">
        <v>1944</v>
      </c>
      <c r="E462" s="816" t="s">
        <v>7976</v>
      </c>
      <c r="F462" s="826">
        <v>0</v>
      </c>
      <c r="G462" s="880">
        <v>1</v>
      </c>
      <c r="H462" s="826">
        <v>-12420.35</v>
      </c>
      <c r="I462" s="465"/>
      <c r="J462" s="826">
        <v>-12420.35</v>
      </c>
      <c r="K462" s="878">
        <v>-12420.35</v>
      </c>
    </row>
    <row r="463" spans="1:11" ht="22.5" customHeight="1" x14ac:dyDescent="0.25">
      <c r="A463" s="816" t="s">
        <v>212</v>
      </c>
      <c r="B463" s="880">
        <v>2025</v>
      </c>
      <c r="C463" s="816" t="s">
        <v>1935</v>
      </c>
      <c r="D463" s="816" t="s">
        <v>1945</v>
      </c>
      <c r="E463" s="816" t="s">
        <v>7977</v>
      </c>
      <c r="F463" s="826">
        <v>0</v>
      </c>
      <c r="G463" s="880">
        <v>1</v>
      </c>
      <c r="H463" s="826">
        <v>-17236.14</v>
      </c>
      <c r="I463" s="465"/>
      <c r="J463" s="826">
        <v>-17236.14</v>
      </c>
      <c r="K463" s="878">
        <v>-17236.14</v>
      </c>
    </row>
    <row r="464" spans="1:11" ht="22.5" customHeight="1" x14ac:dyDescent="0.25">
      <c r="A464" s="816" t="s">
        <v>212</v>
      </c>
      <c r="B464" s="880">
        <v>2025</v>
      </c>
      <c r="C464" s="816" t="s">
        <v>1935</v>
      </c>
      <c r="D464" s="816" t="s">
        <v>1946</v>
      </c>
      <c r="E464" s="816" t="s">
        <v>7978</v>
      </c>
      <c r="F464" s="826">
        <v>0</v>
      </c>
      <c r="G464" s="880">
        <v>1</v>
      </c>
      <c r="H464" s="826">
        <v>-5.72</v>
      </c>
      <c r="I464" s="465"/>
      <c r="J464" s="826">
        <v>-5.72</v>
      </c>
      <c r="K464" s="878">
        <v>-5.72</v>
      </c>
    </row>
    <row r="465" spans="1:11" ht="22.5" customHeight="1" x14ac:dyDescent="0.25">
      <c r="A465" s="816" t="s">
        <v>212</v>
      </c>
      <c r="B465" s="880">
        <v>2025</v>
      </c>
      <c r="C465" s="816" t="s">
        <v>1935</v>
      </c>
      <c r="D465" s="816" t="s">
        <v>1947</v>
      </c>
      <c r="E465" s="816" t="s">
        <v>7979</v>
      </c>
      <c r="F465" s="826">
        <v>0</v>
      </c>
      <c r="G465" s="880">
        <v>1</v>
      </c>
      <c r="H465" s="826">
        <v>-610.98</v>
      </c>
      <c r="I465" s="465"/>
      <c r="J465" s="826">
        <v>-610.98</v>
      </c>
      <c r="K465" s="878">
        <v>-610.98</v>
      </c>
    </row>
    <row r="466" spans="1:11" ht="22.5" customHeight="1" x14ac:dyDescent="0.25">
      <c r="A466" s="816" t="s">
        <v>212</v>
      </c>
      <c r="B466" s="880">
        <v>2025</v>
      </c>
      <c r="C466" s="816" t="s">
        <v>1935</v>
      </c>
      <c r="D466" s="816" t="s">
        <v>1948</v>
      </c>
      <c r="E466" s="816" t="s">
        <v>7980</v>
      </c>
      <c r="F466" s="826">
        <v>0</v>
      </c>
      <c r="G466" s="880">
        <v>1</v>
      </c>
      <c r="H466" s="826">
        <v>-57176.88</v>
      </c>
      <c r="I466" s="465"/>
      <c r="J466" s="826">
        <v>-57176.88</v>
      </c>
      <c r="K466" s="878">
        <v>-57176.88</v>
      </c>
    </row>
    <row r="467" spans="1:11" ht="22.5" customHeight="1" x14ac:dyDescent="0.25">
      <c r="A467" s="816" t="s">
        <v>212</v>
      </c>
      <c r="B467" s="880">
        <v>2025</v>
      </c>
      <c r="C467" s="816" t="s">
        <v>1935</v>
      </c>
      <c r="D467" s="816" t="s">
        <v>1949</v>
      </c>
      <c r="E467" s="816" t="s">
        <v>7981</v>
      </c>
      <c r="F467" s="826">
        <v>0</v>
      </c>
      <c r="G467" s="880">
        <v>1</v>
      </c>
      <c r="H467" s="826">
        <v>-288677.98</v>
      </c>
      <c r="I467" s="465"/>
      <c r="J467" s="826">
        <v>-288677.98</v>
      </c>
      <c r="K467" s="878">
        <v>-288677.98</v>
      </c>
    </row>
    <row r="468" spans="1:11" ht="22.5" customHeight="1" x14ac:dyDescent="0.25">
      <c r="A468" s="816" t="s">
        <v>212</v>
      </c>
      <c r="B468" s="880">
        <v>2025</v>
      </c>
      <c r="C468" s="816" t="s">
        <v>1935</v>
      </c>
      <c r="D468" s="816" t="s">
        <v>1950</v>
      </c>
      <c r="E468" s="816" t="s">
        <v>7982</v>
      </c>
      <c r="F468" s="826">
        <v>0</v>
      </c>
      <c r="G468" s="880">
        <v>1</v>
      </c>
      <c r="H468" s="465"/>
      <c r="I468" s="465"/>
      <c r="J468" s="826">
        <v>0</v>
      </c>
      <c r="K468" s="878">
        <v>0</v>
      </c>
    </row>
    <row r="469" spans="1:11" ht="22.5" customHeight="1" x14ac:dyDescent="0.25">
      <c r="A469" s="816" t="s">
        <v>212</v>
      </c>
      <c r="B469" s="880">
        <v>2025</v>
      </c>
      <c r="C469" s="816" t="s">
        <v>1935</v>
      </c>
      <c r="D469" s="816" t="s">
        <v>1951</v>
      </c>
      <c r="E469" s="816" t="s">
        <v>7983</v>
      </c>
      <c r="F469" s="826">
        <v>0</v>
      </c>
      <c r="G469" s="880">
        <v>1</v>
      </c>
      <c r="H469" s="465"/>
      <c r="I469" s="465"/>
      <c r="J469" s="826">
        <v>0</v>
      </c>
      <c r="K469" s="878">
        <v>0</v>
      </c>
    </row>
    <row r="470" spans="1:11" ht="22.5" customHeight="1" x14ac:dyDescent="0.25">
      <c r="A470" s="816" t="s">
        <v>212</v>
      </c>
      <c r="B470" s="880">
        <v>2025</v>
      </c>
      <c r="C470" s="816" t="s">
        <v>1935</v>
      </c>
      <c r="D470" s="816" t="s">
        <v>7801</v>
      </c>
      <c r="E470" s="816" t="s">
        <v>7984</v>
      </c>
      <c r="F470" s="826">
        <v>0</v>
      </c>
      <c r="G470" s="880">
        <v>1</v>
      </c>
      <c r="H470" s="826">
        <v>-77968.179999999993</v>
      </c>
      <c r="I470" s="465"/>
      <c r="J470" s="826">
        <v>-77968.179999999993</v>
      </c>
      <c r="K470" s="878">
        <v>-77968.179999999993</v>
      </c>
    </row>
    <row r="471" spans="1:11" ht="22.5" customHeight="1" x14ac:dyDescent="0.25">
      <c r="A471" s="816" t="s">
        <v>212</v>
      </c>
      <c r="B471" s="880">
        <v>2025</v>
      </c>
      <c r="C471" s="816" t="s">
        <v>1935</v>
      </c>
      <c r="D471" s="816" t="s">
        <v>1952</v>
      </c>
      <c r="E471" s="816" t="s">
        <v>7985</v>
      </c>
      <c r="F471" s="826">
        <v>-454022.24</v>
      </c>
      <c r="G471" s="880">
        <v>0</v>
      </c>
      <c r="H471" s="465"/>
      <c r="I471" s="465"/>
      <c r="J471" s="826">
        <v>0</v>
      </c>
      <c r="K471" s="878">
        <v>-454022.24</v>
      </c>
    </row>
    <row r="472" spans="1:11" ht="22.5" customHeight="1" x14ac:dyDescent="0.25">
      <c r="A472" s="816" t="s">
        <v>212</v>
      </c>
      <c r="B472" s="880">
        <v>2025</v>
      </c>
      <c r="C472" s="816" t="s">
        <v>1953</v>
      </c>
      <c r="D472" s="816" t="s">
        <v>1954</v>
      </c>
      <c r="E472" s="816" t="s">
        <v>2181</v>
      </c>
      <c r="F472" s="826">
        <v>0</v>
      </c>
      <c r="G472" s="880">
        <v>0</v>
      </c>
      <c r="H472" s="465"/>
      <c r="I472" s="465"/>
      <c r="J472" s="826">
        <v>0</v>
      </c>
      <c r="K472" s="878">
        <v>0</v>
      </c>
    </row>
    <row r="473" spans="1:11" ht="22.5" customHeight="1" x14ac:dyDescent="0.25">
      <c r="A473" s="816" t="s">
        <v>214</v>
      </c>
      <c r="B473" s="880">
        <v>2025</v>
      </c>
      <c r="C473" s="816" t="s">
        <v>1854</v>
      </c>
      <c r="D473" s="816" t="s">
        <v>1855</v>
      </c>
      <c r="E473" s="816" t="s">
        <v>2182</v>
      </c>
      <c r="F473" s="826">
        <v>52880265.159999996</v>
      </c>
      <c r="G473" s="880">
        <v>0</v>
      </c>
      <c r="H473" s="465"/>
      <c r="I473" s="465"/>
      <c r="J473" s="826">
        <v>0</v>
      </c>
      <c r="K473" s="878">
        <v>52880265.159999996</v>
      </c>
    </row>
    <row r="474" spans="1:11" ht="22.5" customHeight="1" x14ac:dyDescent="0.25">
      <c r="A474" s="816" t="s">
        <v>214</v>
      </c>
      <c r="B474" s="880">
        <v>2025</v>
      </c>
      <c r="C474" s="816" t="s">
        <v>7746</v>
      </c>
      <c r="D474" s="816" t="s">
        <v>7747</v>
      </c>
      <c r="E474" s="816" t="s">
        <v>7757</v>
      </c>
      <c r="F474" s="826">
        <v>-4374.42</v>
      </c>
      <c r="G474" s="880">
        <v>0</v>
      </c>
      <c r="H474" s="465"/>
      <c r="I474" s="465"/>
      <c r="J474" s="826">
        <v>0</v>
      </c>
      <c r="K474" s="878">
        <v>-4374.42</v>
      </c>
    </row>
    <row r="475" spans="1:11" ht="22.5" customHeight="1" x14ac:dyDescent="0.25">
      <c r="A475" s="816" t="s">
        <v>214</v>
      </c>
      <c r="B475" s="880">
        <v>2025</v>
      </c>
      <c r="C475" s="816" t="s">
        <v>1857</v>
      </c>
      <c r="D475" s="816" t="s">
        <v>1858</v>
      </c>
      <c r="E475" s="816" t="s">
        <v>2183</v>
      </c>
      <c r="F475" s="826">
        <v>669161.05000000005</v>
      </c>
      <c r="G475" s="880">
        <v>0</v>
      </c>
      <c r="H475" s="465"/>
      <c r="I475" s="465"/>
      <c r="J475" s="826">
        <v>0</v>
      </c>
      <c r="K475" s="878">
        <v>669161.05000000005</v>
      </c>
    </row>
    <row r="476" spans="1:11" ht="22.5" customHeight="1" x14ac:dyDescent="0.25">
      <c r="A476" s="816" t="s">
        <v>214</v>
      </c>
      <c r="B476" s="880">
        <v>2025</v>
      </c>
      <c r="C476" s="816" t="s">
        <v>1860</v>
      </c>
      <c r="D476" s="816" t="s">
        <v>1861</v>
      </c>
      <c r="E476" s="816" t="s">
        <v>2184</v>
      </c>
      <c r="F476" s="826">
        <v>0</v>
      </c>
      <c r="G476" s="880">
        <v>0</v>
      </c>
      <c r="H476" s="465"/>
      <c r="I476" s="465"/>
      <c r="J476" s="826">
        <v>0</v>
      </c>
      <c r="K476" s="878">
        <v>0</v>
      </c>
    </row>
    <row r="477" spans="1:11" ht="22.5" customHeight="1" x14ac:dyDescent="0.25">
      <c r="A477" s="816" t="s">
        <v>214</v>
      </c>
      <c r="B477" s="880">
        <v>2025</v>
      </c>
      <c r="C477" s="816" t="s">
        <v>1863</v>
      </c>
      <c r="D477" s="816" t="s">
        <v>1864</v>
      </c>
      <c r="E477" s="816" t="s">
        <v>2185</v>
      </c>
      <c r="F477" s="826">
        <v>-4073981.81</v>
      </c>
      <c r="G477" s="880">
        <v>0</v>
      </c>
      <c r="H477" s="465"/>
      <c r="I477" s="465"/>
      <c r="J477" s="826">
        <v>0</v>
      </c>
      <c r="K477" s="878">
        <v>-4073981.81</v>
      </c>
    </row>
    <row r="478" spans="1:11" ht="22.5" customHeight="1" x14ac:dyDescent="0.25">
      <c r="A478" s="816" t="s">
        <v>214</v>
      </c>
      <c r="B478" s="880">
        <v>2025</v>
      </c>
      <c r="C478" s="816" t="s">
        <v>1866</v>
      </c>
      <c r="D478" s="816" t="s">
        <v>1867</v>
      </c>
      <c r="E478" s="816" t="s">
        <v>2186</v>
      </c>
      <c r="F478" s="826">
        <v>0</v>
      </c>
      <c r="G478" s="880">
        <v>0</v>
      </c>
      <c r="H478" s="465"/>
      <c r="I478" s="465"/>
      <c r="J478" s="826">
        <v>0</v>
      </c>
      <c r="K478" s="878">
        <v>0</v>
      </c>
    </row>
    <row r="479" spans="1:11" ht="22.5" customHeight="1" x14ac:dyDescent="0.25">
      <c r="A479" s="816" t="s">
        <v>214</v>
      </c>
      <c r="B479" s="880">
        <v>2025</v>
      </c>
      <c r="C479" s="816" t="s">
        <v>1869</v>
      </c>
      <c r="D479" s="816" t="s">
        <v>1870</v>
      </c>
      <c r="E479" s="816" t="s">
        <v>2187</v>
      </c>
      <c r="F479" s="826">
        <v>0</v>
      </c>
      <c r="G479" s="880">
        <v>0</v>
      </c>
      <c r="H479" s="465"/>
      <c r="I479" s="465"/>
      <c r="J479" s="826">
        <v>0</v>
      </c>
      <c r="K479" s="878">
        <v>0</v>
      </c>
    </row>
    <row r="480" spans="1:11" ht="22.5" customHeight="1" x14ac:dyDescent="0.25">
      <c r="A480" s="816" t="s">
        <v>214</v>
      </c>
      <c r="B480" s="880">
        <v>2025</v>
      </c>
      <c r="C480" s="816" t="s">
        <v>1872</v>
      </c>
      <c r="D480" s="816" t="s">
        <v>1873</v>
      </c>
      <c r="E480" s="816" t="s">
        <v>2188</v>
      </c>
      <c r="F480" s="826">
        <v>0</v>
      </c>
      <c r="G480" s="880">
        <v>0</v>
      </c>
      <c r="H480" s="465"/>
      <c r="I480" s="465"/>
      <c r="J480" s="826">
        <v>0</v>
      </c>
      <c r="K480" s="878">
        <v>0</v>
      </c>
    </row>
    <row r="481" spans="1:11" ht="22.5" customHeight="1" x14ac:dyDescent="0.25">
      <c r="A481" s="816" t="s">
        <v>214</v>
      </c>
      <c r="B481" s="880">
        <v>2025</v>
      </c>
      <c r="C481" s="816" t="s">
        <v>1875</v>
      </c>
      <c r="D481" s="816" t="s">
        <v>1876</v>
      </c>
      <c r="E481" s="816" t="s">
        <v>2189</v>
      </c>
      <c r="F481" s="826">
        <v>0</v>
      </c>
      <c r="G481" s="880">
        <v>0</v>
      </c>
      <c r="H481" s="465"/>
      <c r="I481" s="465"/>
      <c r="J481" s="826">
        <v>0</v>
      </c>
      <c r="K481" s="878">
        <v>0</v>
      </c>
    </row>
    <row r="482" spans="1:11" ht="22.5" customHeight="1" x14ac:dyDescent="0.25">
      <c r="A482" s="816" t="s">
        <v>214</v>
      </c>
      <c r="B482" s="880">
        <v>2025</v>
      </c>
      <c r="C482" s="816" t="s">
        <v>1878</v>
      </c>
      <c r="D482" s="816" t="s">
        <v>1879</v>
      </c>
      <c r="E482" s="816" t="s">
        <v>2190</v>
      </c>
      <c r="F482" s="826">
        <v>0</v>
      </c>
      <c r="G482" s="880">
        <v>0</v>
      </c>
      <c r="H482" s="465"/>
      <c r="I482" s="465"/>
      <c r="J482" s="826">
        <v>0</v>
      </c>
      <c r="K482" s="878">
        <v>0</v>
      </c>
    </row>
    <row r="483" spans="1:11" ht="22.5" customHeight="1" x14ac:dyDescent="0.25">
      <c r="A483" s="816" t="s">
        <v>214</v>
      </c>
      <c r="B483" s="880">
        <v>2025</v>
      </c>
      <c r="C483" s="816" t="s">
        <v>1881</v>
      </c>
      <c r="D483" s="816" t="s">
        <v>1882</v>
      </c>
      <c r="E483" s="816" t="s">
        <v>2191</v>
      </c>
      <c r="F483" s="826">
        <v>0</v>
      </c>
      <c r="G483" s="880">
        <v>0</v>
      </c>
      <c r="H483" s="465"/>
      <c r="I483" s="465"/>
      <c r="J483" s="826">
        <v>0</v>
      </c>
      <c r="K483" s="878">
        <v>0</v>
      </c>
    </row>
    <row r="484" spans="1:11" ht="22.5" customHeight="1" x14ac:dyDescent="0.25">
      <c r="A484" s="816" t="s">
        <v>214</v>
      </c>
      <c r="B484" s="880">
        <v>2025</v>
      </c>
      <c r="C484" s="816" t="s">
        <v>1884</v>
      </c>
      <c r="D484" s="816" t="s">
        <v>1885</v>
      </c>
      <c r="E484" s="816" t="s">
        <v>2192</v>
      </c>
      <c r="F484" s="826">
        <v>125568.6</v>
      </c>
      <c r="G484" s="880">
        <v>0</v>
      </c>
      <c r="H484" s="465"/>
      <c r="I484" s="465"/>
      <c r="J484" s="826">
        <v>0</v>
      </c>
      <c r="K484" s="878">
        <v>125568.6</v>
      </c>
    </row>
    <row r="485" spans="1:11" ht="22.5" customHeight="1" x14ac:dyDescent="0.25">
      <c r="A485" s="816" t="s">
        <v>214</v>
      </c>
      <c r="B485" s="880">
        <v>2025</v>
      </c>
      <c r="C485" s="816" t="s">
        <v>1887</v>
      </c>
      <c r="D485" s="816" t="s">
        <v>138</v>
      </c>
      <c r="E485" s="816" t="s">
        <v>2193</v>
      </c>
      <c r="F485" s="826">
        <v>749630.39</v>
      </c>
      <c r="G485" s="880">
        <v>1</v>
      </c>
      <c r="H485" s="826">
        <v>708752.71</v>
      </c>
      <c r="I485" s="826">
        <v>40877.68</v>
      </c>
      <c r="J485" s="826">
        <v>749630.39</v>
      </c>
      <c r="K485" s="878">
        <v>749630.39</v>
      </c>
    </row>
    <row r="486" spans="1:11" ht="22.5" customHeight="1" x14ac:dyDescent="0.25">
      <c r="A486" s="816" t="s">
        <v>214</v>
      </c>
      <c r="B486" s="880">
        <v>2025</v>
      </c>
      <c r="C486" s="816" t="s">
        <v>1889</v>
      </c>
      <c r="D486" s="816" t="s">
        <v>139</v>
      </c>
      <c r="E486" s="816" t="s">
        <v>2194</v>
      </c>
      <c r="F486" s="826">
        <v>-388125.88</v>
      </c>
      <c r="G486" s="880">
        <v>1</v>
      </c>
      <c r="H486" s="826">
        <v>-371406.44</v>
      </c>
      <c r="I486" s="826">
        <v>-16719.439999999999</v>
      </c>
      <c r="J486" s="826">
        <v>-388125.88</v>
      </c>
      <c r="K486" s="878">
        <v>-388125.88</v>
      </c>
    </row>
    <row r="487" spans="1:11" ht="22.5" customHeight="1" x14ac:dyDescent="0.25">
      <c r="A487" s="816" t="s">
        <v>214</v>
      </c>
      <c r="B487" s="880">
        <v>2025</v>
      </c>
      <c r="C487" s="816" t="s">
        <v>1891</v>
      </c>
      <c r="D487" s="816" t="s">
        <v>1892</v>
      </c>
      <c r="E487" s="816" t="s">
        <v>2195</v>
      </c>
      <c r="F487" s="826">
        <v>-35179.86</v>
      </c>
      <c r="G487" s="880">
        <v>0</v>
      </c>
      <c r="H487" s="465"/>
      <c r="I487" s="465"/>
      <c r="J487" s="826">
        <v>0</v>
      </c>
      <c r="K487" s="878">
        <v>-35179.86</v>
      </c>
    </row>
    <row r="488" spans="1:11" ht="22.5" customHeight="1" x14ac:dyDescent="0.25">
      <c r="A488" s="816" t="s">
        <v>214</v>
      </c>
      <c r="B488" s="880">
        <v>2025</v>
      </c>
      <c r="C488" s="816" t="s">
        <v>1891</v>
      </c>
      <c r="D488" s="816" t="s">
        <v>1894</v>
      </c>
      <c r="E488" s="816" t="s">
        <v>2195</v>
      </c>
      <c r="F488" s="826">
        <v>0</v>
      </c>
      <c r="G488" s="880">
        <v>0</v>
      </c>
      <c r="H488" s="465"/>
      <c r="I488" s="465"/>
      <c r="J488" s="826">
        <v>0</v>
      </c>
      <c r="K488" s="881">
        <v>-35179.86</v>
      </c>
    </row>
    <row r="489" spans="1:11" ht="22.5" customHeight="1" x14ac:dyDescent="0.25">
      <c r="A489" s="816" t="s">
        <v>214</v>
      </c>
      <c r="B489" s="880">
        <v>2025</v>
      </c>
      <c r="C489" s="816" t="s">
        <v>1895</v>
      </c>
      <c r="D489" s="816" t="s">
        <v>1896</v>
      </c>
      <c r="E489" s="816" t="s">
        <v>2196</v>
      </c>
      <c r="F489" s="826">
        <v>0</v>
      </c>
      <c r="G489" s="880">
        <v>0</v>
      </c>
      <c r="H489" s="465"/>
      <c r="I489" s="465"/>
      <c r="J489" s="826">
        <v>0</v>
      </c>
      <c r="K489" s="878">
        <v>0</v>
      </c>
    </row>
    <row r="490" spans="1:11" ht="22.5" customHeight="1" x14ac:dyDescent="0.25">
      <c r="A490" s="816" t="s">
        <v>214</v>
      </c>
      <c r="B490" s="880">
        <v>2025</v>
      </c>
      <c r="C490" s="816" t="s">
        <v>1898</v>
      </c>
      <c r="D490" s="816" t="s">
        <v>1899</v>
      </c>
      <c r="E490" s="816" t="s">
        <v>2197</v>
      </c>
      <c r="F490" s="826">
        <v>0</v>
      </c>
      <c r="G490" s="880">
        <v>0</v>
      </c>
      <c r="H490" s="465"/>
      <c r="I490" s="465"/>
      <c r="J490" s="826">
        <v>0</v>
      </c>
      <c r="K490" s="878">
        <v>0</v>
      </c>
    </row>
    <row r="491" spans="1:11" ht="22.5" customHeight="1" x14ac:dyDescent="0.25">
      <c r="A491" s="816" t="s">
        <v>214</v>
      </c>
      <c r="B491" s="880">
        <v>2025</v>
      </c>
      <c r="C491" s="816" t="s">
        <v>1901</v>
      </c>
      <c r="D491" s="816" t="s">
        <v>1902</v>
      </c>
      <c r="E491" s="816" t="s">
        <v>2198</v>
      </c>
      <c r="F491" s="826">
        <v>0</v>
      </c>
      <c r="G491" s="880">
        <v>0</v>
      </c>
      <c r="H491" s="465"/>
      <c r="I491" s="465"/>
      <c r="J491" s="826">
        <v>0</v>
      </c>
      <c r="K491" s="878">
        <v>0</v>
      </c>
    </row>
    <row r="492" spans="1:11" ht="22.5" customHeight="1" x14ac:dyDescent="0.25">
      <c r="A492" s="816" t="s">
        <v>214</v>
      </c>
      <c r="B492" s="880">
        <v>2025</v>
      </c>
      <c r="C492" s="816" t="s">
        <v>1904</v>
      </c>
      <c r="D492" s="816" t="s">
        <v>1905</v>
      </c>
      <c r="E492" s="816" t="s">
        <v>2199</v>
      </c>
      <c r="F492" s="826">
        <v>0</v>
      </c>
      <c r="G492" s="880">
        <v>0</v>
      </c>
      <c r="H492" s="465"/>
      <c r="I492" s="465"/>
      <c r="J492" s="826">
        <v>0</v>
      </c>
      <c r="K492" s="878">
        <v>0</v>
      </c>
    </row>
    <row r="493" spans="1:11" ht="22.5" customHeight="1" x14ac:dyDescent="0.25">
      <c r="A493" s="816" t="s">
        <v>214</v>
      </c>
      <c r="B493" s="880">
        <v>2025</v>
      </c>
      <c r="C493" s="816" t="s">
        <v>1907</v>
      </c>
      <c r="D493" s="816" t="s">
        <v>1908</v>
      </c>
      <c r="E493" s="816" t="s">
        <v>2200</v>
      </c>
      <c r="F493" s="826">
        <v>6033118.4400000004</v>
      </c>
      <c r="G493" s="880">
        <v>0</v>
      </c>
      <c r="H493" s="465"/>
      <c r="I493" s="465"/>
      <c r="J493" s="826">
        <v>0</v>
      </c>
      <c r="K493" s="878">
        <v>6033118.4400000004</v>
      </c>
    </row>
    <row r="494" spans="1:11" ht="22.5" customHeight="1" x14ac:dyDescent="0.25">
      <c r="A494" s="816" t="s">
        <v>214</v>
      </c>
      <c r="B494" s="880">
        <v>2025</v>
      </c>
      <c r="C494" s="816" t="s">
        <v>1910</v>
      </c>
      <c r="D494" s="816" t="s">
        <v>1911</v>
      </c>
      <c r="E494" s="816" t="s">
        <v>2201</v>
      </c>
      <c r="F494" s="826">
        <v>0</v>
      </c>
      <c r="G494" s="880">
        <v>0</v>
      </c>
      <c r="H494" s="465"/>
      <c r="I494" s="465"/>
      <c r="J494" s="826">
        <v>0</v>
      </c>
      <c r="K494" s="878">
        <v>0</v>
      </c>
    </row>
    <row r="495" spans="1:11" ht="22.5" customHeight="1" x14ac:dyDescent="0.25">
      <c r="A495" s="816" t="s">
        <v>214</v>
      </c>
      <c r="B495" s="880">
        <v>2025</v>
      </c>
      <c r="C495" s="816" t="s">
        <v>1913</v>
      </c>
      <c r="D495" s="816" t="s">
        <v>1914</v>
      </c>
      <c r="E495" s="816" t="s">
        <v>2202</v>
      </c>
      <c r="F495" s="826">
        <v>-3241391.93</v>
      </c>
      <c r="G495" s="880">
        <v>1</v>
      </c>
      <c r="H495" s="826">
        <v>-3031315.27</v>
      </c>
      <c r="I495" s="826">
        <v>-210076.66</v>
      </c>
      <c r="J495" s="826">
        <v>-3241391.93</v>
      </c>
      <c r="K495" s="878">
        <v>-3241391.93</v>
      </c>
    </row>
    <row r="496" spans="1:11" ht="22.5" customHeight="1" x14ac:dyDescent="0.25">
      <c r="A496" s="816" t="s">
        <v>214</v>
      </c>
      <c r="B496" s="880">
        <v>2025</v>
      </c>
      <c r="C496" s="816" t="s">
        <v>1913</v>
      </c>
      <c r="D496" s="816" t="s">
        <v>1916</v>
      </c>
      <c r="E496" s="816" t="s">
        <v>2202</v>
      </c>
      <c r="F496" s="826">
        <v>0</v>
      </c>
      <c r="G496" s="880">
        <v>0</v>
      </c>
      <c r="H496" s="465"/>
      <c r="I496" s="465"/>
      <c r="J496" s="826">
        <v>0</v>
      </c>
      <c r="K496" s="881">
        <v>0</v>
      </c>
    </row>
    <row r="497" spans="1:11" ht="22.5" customHeight="1" x14ac:dyDescent="0.25">
      <c r="A497" s="816" t="s">
        <v>214</v>
      </c>
      <c r="B497" s="880">
        <v>2025</v>
      </c>
      <c r="C497" s="816" t="s">
        <v>1913</v>
      </c>
      <c r="D497" s="816" t="s">
        <v>1917</v>
      </c>
      <c r="E497" s="816" t="s">
        <v>2202</v>
      </c>
      <c r="F497" s="826">
        <v>0</v>
      </c>
      <c r="G497" s="880">
        <v>0</v>
      </c>
      <c r="H497" s="465"/>
      <c r="I497" s="465"/>
      <c r="J497" s="826">
        <v>0</v>
      </c>
      <c r="K497" s="881">
        <v>0</v>
      </c>
    </row>
    <row r="498" spans="1:11" ht="22.5" customHeight="1" x14ac:dyDescent="0.25">
      <c r="A498" s="816" t="s">
        <v>214</v>
      </c>
      <c r="B498" s="880">
        <v>2025</v>
      </c>
      <c r="C498" s="816" t="s">
        <v>1913</v>
      </c>
      <c r="D498" s="816" t="s">
        <v>1918</v>
      </c>
      <c r="E498" s="816" t="s">
        <v>2202</v>
      </c>
      <c r="F498" s="826">
        <v>0</v>
      </c>
      <c r="G498" s="880">
        <v>0</v>
      </c>
      <c r="H498" s="465"/>
      <c r="I498" s="465"/>
      <c r="J498" s="826">
        <v>0</v>
      </c>
      <c r="K498" s="881">
        <v>25890.959999999999</v>
      </c>
    </row>
    <row r="499" spans="1:11" ht="22.5" customHeight="1" x14ac:dyDescent="0.25">
      <c r="A499" s="816" t="s">
        <v>214</v>
      </c>
      <c r="B499" s="880">
        <v>2025</v>
      </c>
      <c r="C499" s="816" t="s">
        <v>1913</v>
      </c>
      <c r="D499" s="816" t="s">
        <v>1919</v>
      </c>
      <c r="E499" s="816" t="s">
        <v>2202</v>
      </c>
      <c r="F499" s="826">
        <v>0</v>
      </c>
      <c r="G499" s="880">
        <v>0</v>
      </c>
      <c r="H499" s="465"/>
      <c r="I499" s="465"/>
      <c r="J499" s="826">
        <v>0</v>
      </c>
      <c r="K499" s="881">
        <v>1638685.2</v>
      </c>
    </row>
    <row r="500" spans="1:11" ht="22.5" customHeight="1" x14ac:dyDescent="0.25">
      <c r="A500" s="816" t="s">
        <v>214</v>
      </c>
      <c r="B500" s="880">
        <v>2025</v>
      </c>
      <c r="C500" s="816" t="s">
        <v>1920</v>
      </c>
      <c r="D500" s="816" t="s">
        <v>1921</v>
      </c>
      <c r="E500" s="816" t="s">
        <v>2203</v>
      </c>
      <c r="F500" s="826">
        <v>0</v>
      </c>
      <c r="G500" s="880">
        <v>0</v>
      </c>
      <c r="H500" s="465"/>
      <c r="I500" s="465"/>
      <c r="J500" s="826">
        <v>0</v>
      </c>
      <c r="K500" s="878">
        <v>0</v>
      </c>
    </row>
    <row r="501" spans="1:11" ht="22.5" customHeight="1" x14ac:dyDescent="0.25">
      <c r="A501" s="816" t="s">
        <v>214</v>
      </c>
      <c r="B501" s="880">
        <v>2025</v>
      </c>
      <c r="C501" s="816" t="s">
        <v>1923</v>
      </c>
      <c r="D501" s="816" t="s">
        <v>143</v>
      </c>
      <c r="E501" s="816" t="s">
        <v>2204</v>
      </c>
      <c r="F501" s="826">
        <v>2838922.64</v>
      </c>
      <c r="G501" s="880">
        <v>1</v>
      </c>
      <c r="H501" s="826">
        <v>2740763.36</v>
      </c>
      <c r="I501" s="826">
        <v>98159.28</v>
      </c>
      <c r="J501" s="826">
        <v>2838922.64</v>
      </c>
      <c r="K501" s="878">
        <v>2838922.64</v>
      </c>
    </row>
    <row r="502" spans="1:11" ht="22.5" customHeight="1" x14ac:dyDescent="0.25">
      <c r="A502" s="816" t="s">
        <v>214</v>
      </c>
      <c r="B502" s="880">
        <v>2025</v>
      </c>
      <c r="C502" s="816" t="s">
        <v>1925</v>
      </c>
      <c r="D502" s="816" t="s">
        <v>144</v>
      </c>
      <c r="E502" s="816" t="s">
        <v>2205</v>
      </c>
      <c r="F502" s="826">
        <v>1116468.08</v>
      </c>
      <c r="G502" s="880">
        <v>1</v>
      </c>
      <c r="H502" s="826">
        <v>1044428.52</v>
      </c>
      <c r="I502" s="826">
        <v>72039.56</v>
      </c>
      <c r="J502" s="826">
        <v>1116468.08</v>
      </c>
      <c r="K502" s="878">
        <v>1116468.08</v>
      </c>
    </row>
    <row r="503" spans="1:11" ht="22.5" customHeight="1" x14ac:dyDescent="0.25">
      <c r="A503" s="816" t="s">
        <v>214</v>
      </c>
      <c r="B503" s="880">
        <v>2025</v>
      </c>
      <c r="C503" s="816" t="s">
        <v>1927</v>
      </c>
      <c r="D503" s="816" t="s">
        <v>1928</v>
      </c>
      <c r="E503" s="816" t="s">
        <v>2206</v>
      </c>
      <c r="F503" s="826">
        <v>-2840513.06</v>
      </c>
      <c r="G503" s="880">
        <v>1</v>
      </c>
      <c r="H503" s="826">
        <v>-2593422.91</v>
      </c>
      <c r="I503" s="826">
        <v>-247090.15</v>
      </c>
      <c r="J503" s="826">
        <v>-2840513.06</v>
      </c>
      <c r="K503" s="878">
        <v>-2840513.06</v>
      </c>
    </row>
    <row r="504" spans="1:11" ht="22.5" customHeight="1" x14ac:dyDescent="0.25">
      <c r="A504" s="816" t="s">
        <v>214</v>
      </c>
      <c r="B504" s="880">
        <v>2025</v>
      </c>
      <c r="C504" s="816" t="s">
        <v>1930</v>
      </c>
      <c r="D504" s="816" t="s">
        <v>156</v>
      </c>
      <c r="E504" s="816" t="s">
        <v>2207</v>
      </c>
      <c r="F504" s="826">
        <v>6548238.1699999999</v>
      </c>
      <c r="G504" s="880">
        <v>1</v>
      </c>
      <c r="H504" s="826">
        <v>6177594.0800000001</v>
      </c>
      <c r="I504" s="826">
        <v>370644.09</v>
      </c>
      <c r="J504" s="826">
        <v>6548238.1699999999</v>
      </c>
      <c r="K504" s="878">
        <v>6548238.1699999999</v>
      </c>
    </row>
    <row r="505" spans="1:11" ht="22.5" customHeight="1" x14ac:dyDescent="0.25">
      <c r="A505" s="816" t="s">
        <v>214</v>
      </c>
      <c r="B505" s="880">
        <v>2025</v>
      </c>
      <c r="C505" s="816" t="s">
        <v>1932</v>
      </c>
      <c r="D505" s="816" t="s">
        <v>1933</v>
      </c>
      <c r="E505" s="816" t="s">
        <v>2208</v>
      </c>
      <c r="F505" s="826">
        <v>-8041723.7599999998</v>
      </c>
      <c r="G505" s="880">
        <v>0</v>
      </c>
      <c r="H505" s="465"/>
      <c r="I505" s="465"/>
      <c r="J505" s="826">
        <v>0</v>
      </c>
      <c r="K505" s="878">
        <v>-8041723.7599999998</v>
      </c>
    </row>
    <row r="506" spans="1:11" ht="22.5" customHeight="1" x14ac:dyDescent="0.25">
      <c r="A506" s="816" t="s">
        <v>214</v>
      </c>
      <c r="B506" s="880">
        <v>2025</v>
      </c>
      <c r="C506" s="816" t="s">
        <v>1935</v>
      </c>
      <c r="D506" s="816" t="s">
        <v>1936</v>
      </c>
      <c r="E506" s="816" t="s">
        <v>7986</v>
      </c>
      <c r="F506" s="826">
        <v>0</v>
      </c>
      <c r="G506" s="880">
        <v>1</v>
      </c>
      <c r="H506" s="465"/>
      <c r="I506" s="465"/>
      <c r="J506" s="826">
        <v>0</v>
      </c>
      <c r="K506" s="878">
        <v>0</v>
      </c>
    </row>
    <row r="507" spans="1:11" ht="22.5" customHeight="1" x14ac:dyDescent="0.25">
      <c r="A507" s="816" t="s">
        <v>214</v>
      </c>
      <c r="B507" s="880">
        <v>2025</v>
      </c>
      <c r="C507" s="816" t="s">
        <v>1935</v>
      </c>
      <c r="D507" s="816" t="s">
        <v>1937</v>
      </c>
      <c r="E507" s="816" t="s">
        <v>7987</v>
      </c>
      <c r="F507" s="826">
        <v>0</v>
      </c>
      <c r="G507" s="880">
        <v>1</v>
      </c>
      <c r="H507" s="465"/>
      <c r="I507" s="465"/>
      <c r="J507" s="826">
        <v>0</v>
      </c>
      <c r="K507" s="878">
        <v>0</v>
      </c>
    </row>
    <row r="508" spans="1:11" ht="22.5" customHeight="1" x14ac:dyDescent="0.25">
      <c r="A508" s="816" t="s">
        <v>214</v>
      </c>
      <c r="B508" s="880">
        <v>2025</v>
      </c>
      <c r="C508" s="816" t="s">
        <v>1935</v>
      </c>
      <c r="D508" s="816" t="s">
        <v>1938</v>
      </c>
      <c r="E508" s="816" t="s">
        <v>7988</v>
      </c>
      <c r="F508" s="826">
        <v>0</v>
      </c>
      <c r="G508" s="880">
        <v>1</v>
      </c>
      <c r="H508" s="465"/>
      <c r="I508" s="465"/>
      <c r="J508" s="826">
        <v>0</v>
      </c>
      <c r="K508" s="878">
        <v>0</v>
      </c>
    </row>
    <row r="509" spans="1:11" ht="22.5" customHeight="1" x14ac:dyDescent="0.25">
      <c r="A509" s="816" t="s">
        <v>214</v>
      </c>
      <c r="B509" s="880">
        <v>2025</v>
      </c>
      <c r="C509" s="816" t="s">
        <v>1935</v>
      </c>
      <c r="D509" s="816" t="s">
        <v>1939</v>
      </c>
      <c r="E509" s="816" t="s">
        <v>7989</v>
      </c>
      <c r="F509" s="826">
        <v>0</v>
      </c>
      <c r="G509" s="880">
        <v>1</v>
      </c>
      <c r="H509" s="465"/>
      <c r="I509" s="465"/>
      <c r="J509" s="826">
        <v>0</v>
      </c>
      <c r="K509" s="878">
        <v>0</v>
      </c>
    </row>
    <row r="510" spans="1:11" ht="22.5" customHeight="1" x14ac:dyDescent="0.25">
      <c r="A510" s="816" t="s">
        <v>214</v>
      </c>
      <c r="B510" s="880">
        <v>2025</v>
      </c>
      <c r="C510" s="816" t="s">
        <v>1935</v>
      </c>
      <c r="D510" s="816" t="s">
        <v>1940</v>
      </c>
      <c r="E510" s="816" t="s">
        <v>7990</v>
      </c>
      <c r="F510" s="826">
        <v>0</v>
      </c>
      <c r="G510" s="880">
        <v>1</v>
      </c>
      <c r="H510" s="465"/>
      <c r="I510" s="465"/>
      <c r="J510" s="826">
        <v>0</v>
      </c>
      <c r="K510" s="878">
        <v>0</v>
      </c>
    </row>
    <row r="511" spans="1:11" ht="22.5" customHeight="1" x14ac:dyDescent="0.25">
      <c r="A511" s="816" t="s">
        <v>214</v>
      </c>
      <c r="B511" s="880">
        <v>2025</v>
      </c>
      <c r="C511" s="816" t="s">
        <v>1935</v>
      </c>
      <c r="D511" s="816" t="s">
        <v>1941</v>
      </c>
      <c r="E511" s="816" t="s">
        <v>7991</v>
      </c>
      <c r="F511" s="826">
        <v>0</v>
      </c>
      <c r="G511" s="880">
        <v>1</v>
      </c>
      <c r="H511" s="465"/>
      <c r="I511" s="465"/>
      <c r="J511" s="826">
        <v>0</v>
      </c>
      <c r="K511" s="878">
        <v>0</v>
      </c>
    </row>
    <row r="512" spans="1:11" ht="22.5" customHeight="1" x14ac:dyDescent="0.25">
      <c r="A512" s="816" t="s">
        <v>214</v>
      </c>
      <c r="B512" s="880">
        <v>2025</v>
      </c>
      <c r="C512" s="816" t="s">
        <v>1935</v>
      </c>
      <c r="D512" s="816" t="s">
        <v>1942</v>
      </c>
      <c r="E512" s="816" t="s">
        <v>7992</v>
      </c>
      <c r="F512" s="826">
        <v>0</v>
      </c>
      <c r="G512" s="880">
        <v>1</v>
      </c>
      <c r="H512" s="465"/>
      <c r="I512" s="465"/>
      <c r="J512" s="826">
        <v>0</v>
      </c>
      <c r="K512" s="878">
        <v>0</v>
      </c>
    </row>
    <row r="513" spans="1:11" ht="22.5" customHeight="1" x14ac:dyDescent="0.25">
      <c r="A513" s="816" t="s">
        <v>214</v>
      </c>
      <c r="B513" s="880">
        <v>2025</v>
      </c>
      <c r="C513" s="816" t="s">
        <v>1935</v>
      </c>
      <c r="D513" s="816" t="s">
        <v>1943</v>
      </c>
      <c r="E513" s="816" t="s">
        <v>7993</v>
      </c>
      <c r="F513" s="826">
        <v>0</v>
      </c>
      <c r="G513" s="880">
        <v>1</v>
      </c>
      <c r="H513" s="465"/>
      <c r="I513" s="465"/>
      <c r="J513" s="826">
        <v>0</v>
      </c>
      <c r="K513" s="878">
        <v>0</v>
      </c>
    </row>
    <row r="514" spans="1:11" ht="22.5" customHeight="1" x14ac:dyDescent="0.25">
      <c r="A514" s="816" t="s">
        <v>214</v>
      </c>
      <c r="B514" s="880">
        <v>2025</v>
      </c>
      <c r="C514" s="816" t="s">
        <v>1935</v>
      </c>
      <c r="D514" s="816" t="s">
        <v>1944</v>
      </c>
      <c r="E514" s="816" t="s">
        <v>7994</v>
      </c>
      <c r="F514" s="826">
        <v>0</v>
      </c>
      <c r="G514" s="880">
        <v>1</v>
      </c>
      <c r="H514" s="465"/>
      <c r="I514" s="465"/>
      <c r="J514" s="826">
        <v>0</v>
      </c>
      <c r="K514" s="878">
        <v>0</v>
      </c>
    </row>
    <row r="515" spans="1:11" ht="22.5" customHeight="1" x14ac:dyDescent="0.25">
      <c r="A515" s="816" t="s">
        <v>214</v>
      </c>
      <c r="B515" s="880">
        <v>2025</v>
      </c>
      <c r="C515" s="816" t="s">
        <v>1935</v>
      </c>
      <c r="D515" s="816" t="s">
        <v>1945</v>
      </c>
      <c r="E515" s="816" t="s">
        <v>7995</v>
      </c>
      <c r="F515" s="826">
        <v>0</v>
      </c>
      <c r="G515" s="880">
        <v>1</v>
      </c>
      <c r="H515" s="465"/>
      <c r="I515" s="465"/>
      <c r="J515" s="826">
        <v>0</v>
      </c>
      <c r="K515" s="878">
        <v>0</v>
      </c>
    </row>
    <row r="516" spans="1:11" ht="22.5" customHeight="1" x14ac:dyDescent="0.25">
      <c r="A516" s="816" t="s">
        <v>214</v>
      </c>
      <c r="B516" s="880">
        <v>2025</v>
      </c>
      <c r="C516" s="816" t="s">
        <v>1935</v>
      </c>
      <c r="D516" s="816" t="s">
        <v>1946</v>
      </c>
      <c r="E516" s="816" t="s">
        <v>7996</v>
      </c>
      <c r="F516" s="826">
        <v>0</v>
      </c>
      <c r="G516" s="880">
        <v>1</v>
      </c>
      <c r="H516" s="465"/>
      <c r="I516" s="465"/>
      <c r="J516" s="826">
        <v>0</v>
      </c>
      <c r="K516" s="878">
        <v>0</v>
      </c>
    </row>
    <row r="517" spans="1:11" ht="22.5" customHeight="1" x14ac:dyDescent="0.25">
      <c r="A517" s="816" t="s">
        <v>214</v>
      </c>
      <c r="B517" s="880">
        <v>2025</v>
      </c>
      <c r="C517" s="816" t="s">
        <v>1935</v>
      </c>
      <c r="D517" s="816" t="s">
        <v>1947</v>
      </c>
      <c r="E517" s="816" t="s">
        <v>7997</v>
      </c>
      <c r="F517" s="826">
        <v>0</v>
      </c>
      <c r="G517" s="880">
        <v>1</v>
      </c>
      <c r="H517" s="465"/>
      <c r="I517" s="465"/>
      <c r="J517" s="826">
        <v>0</v>
      </c>
      <c r="K517" s="878">
        <v>0</v>
      </c>
    </row>
    <row r="518" spans="1:11" ht="22.5" customHeight="1" x14ac:dyDescent="0.25">
      <c r="A518" s="816" t="s">
        <v>214</v>
      </c>
      <c r="B518" s="880">
        <v>2025</v>
      </c>
      <c r="C518" s="816" t="s">
        <v>1935</v>
      </c>
      <c r="D518" s="816" t="s">
        <v>1948</v>
      </c>
      <c r="E518" s="816" t="s">
        <v>7998</v>
      </c>
      <c r="F518" s="826">
        <v>0</v>
      </c>
      <c r="G518" s="880">
        <v>1</v>
      </c>
      <c r="H518" s="465"/>
      <c r="I518" s="465"/>
      <c r="J518" s="826">
        <v>0</v>
      </c>
      <c r="K518" s="878">
        <v>0</v>
      </c>
    </row>
    <row r="519" spans="1:11" ht="22.5" customHeight="1" x14ac:dyDescent="0.25">
      <c r="A519" s="816" t="s">
        <v>214</v>
      </c>
      <c r="B519" s="880">
        <v>2025</v>
      </c>
      <c r="C519" s="816" t="s">
        <v>1935</v>
      </c>
      <c r="D519" s="816" t="s">
        <v>1949</v>
      </c>
      <c r="E519" s="816" t="s">
        <v>7999</v>
      </c>
      <c r="F519" s="826">
        <v>0</v>
      </c>
      <c r="G519" s="880">
        <v>1</v>
      </c>
      <c r="H519" s="826">
        <v>-15899.13</v>
      </c>
      <c r="I519" s="826">
        <v>76034.86</v>
      </c>
      <c r="J519" s="826">
        <v>60135.73</v>
      </c>
      <c r="K519" s="878">
        <v>60135.73</v>
      </c>
    </row>
    <row r="520" spans="1:11" ht="22.5" customHeight="1" x14ac:dyDescent="0.25">
      <c r="A520" s="816" t="s">
        <v>214</v>
      </c>
      <c r="B520" s="880">
        <v>2025</v>
      </c>
      <c r="C520" s="816" t="s">
        <v>1935</v>
      </c>
      <c r="D520" s="816" t="s">
        <v>1950</v>
      </c>
      <c r="E520" s="816" t="s">
        <v>8000</v>
      </c>
      <c r="F520" s="826">
        <v>0</v>
      </c>
      <c r="G520" s="880">
        <v>1</v>
      </c>
      <c r="H520" s="826">
        <v>-71624.81</v>
      </c>
      <c r="I520" s="826">
        <v>-591.67999999999995</v>
      </c>
      <c r="J520" s="826">
        <v>-72216.490000000005</v>
      </c>
      <c r="K520" s="878">
        <v>-72216.490000000005</v>
      </c>
    </row>
    <row r="521" spans="1:11" ht="22.5" customHeight="1" x14ac:dyDescent="0.25">
      <c r="A521" s="816" t="s">
        <v>214</v>
      </c>
      <c r="B521" s="880">
        <v>2025</v>
      </c>
      <c r="C521" s="816" t="s">
        <v>1935</v>
      </c>
      <c r="D521" s="816" t="s">
        <v>1951</v>
      </c>
      <c r="E521" s="816" t="s">
        <v>8001</v>
      </c>
      <c r="F521" s="826">
        <v>0</v>
      </c>
      <c r="G521" s="880">
        <v>1</v>
      </c>
      <c r="H521" s="826">
        <v>-23637.17</v>
      </c>
      <c r="I521" s="826">
        <v>534184.09</v>
      </c>
      <c r="J521" s="826">
        <v>510546.92</v>
      </c>
      <c r="K521" s="878">
        <v>510546.92</v>
      </c>
    </row>
    <row r="522" spans="1:11" ht="22.5" customHeight="1" x14ac:dyDescent="0.25">
      <c r="A522" s="816" t="s">
        <v>214</v>
      </c>
      <c r="B522" s="880">
        <v>2025</v>
      </c>
      <c r="C522" s="816" t="s">
        <v>1935</v>
      </c>
      <c r="D522" s="816" t="s">
        <v>7801</v>
      </c>
      <c r="E522" s="816" t="s">
        <v>8002</v>
      </c>
      <c r="F522" s="826">
        <v>0</v>
      </c>
      <c r="G522" s="880">
        <v>1</v>
      </c>
      <c r="H522" s="826">
        <v>-1054027.32</v>
      </c>
      <c r="I522" s="826">
        <v>1278332.01</v>
      </c>
      <c r="J522" s="826">
        <v>224304.69</v>
      </c>
      <c r="K522" s="878">
        <v>224304.69</v>
      </c>
    </row>
    <row r="523" spans="1:11" ht="22.5" customHeight="1" x14ac:dyDescent="0.25">
      <c r="A523" s="816" t="s">
        <v>214</v>
      </c>
      <c r="B523" s="880">
        <v>2025</v>
      </c>
      <c r="C523" s="816" t="s">
        <v>1935</v>
      </c>
      <c r="D523" s="816" t="s">
        <v>1952</v>
      </c>
      <c r="E523" s="816" t="s">
        <v>8003</v>
      </c>
      <c r="F523" s="826">
        <v>722770.85</v>
      </c>
      <c r="G523" s="880">
        <v>0</v>
      </c>
      <c r="H523" s="465"/>
      <c r="I523" s="465"/>
      <c r="J523" s="826">
        <v>0</v>
      </c>
      <c r="K523" s="878">
        <v>722770.85</v>
      </c>
    </row>
    <row r="524" spans="1:11" ht="22.5" customHeight="1" x14ac:dyDescent="0.25">
      <c r="A524" s="816" t="s">
        <v>214</v>
      </c>
      <c r="B524" s="880">
        <v>2025</v>
      </c>
      <c r="C524" s="816" t="s">
        <v>1953</v>
      </c>
      <c r="D524" s="816" t="s">
        <v>1954</v>
      </c>
      <c r="E524" s="816" t="s">
        <v>2209</v>
      </c>
      <c r="F524" s="826">
        <v>0</v>
      </c>
      <c r="G524" s="880">
        <v>0</v>
      </c>
      <c r="H524" s="465"/>
      <c r="I524" s="465"/>
      <c r="J524" s="826">
        <v>0</v>
      </c>
      <c r="K524" s="878">
        <v>0</v>
      </c>
    </row>
    <row r="525" spans="1:11" ht="22.5" customHeight="1" x14ac:dyDescent="0.25">
      <c r="A525" s="816" t="s">
        <v>217</v>
      </c>
      <c r="B525" s="880">
        <v>2025</v>
      </c>
      <c r="C525" s="816" t="s">
        <v>1854</v>
      </c>
      <c r="D525" s="816" t="s">
        <v>1855</v>
      </c>
      <c r="E525" s="816" t="s">
        <v>2210</v>
      </c>
      <c r="F525" s="826">
        <v>1590950.65</v>
      </c>
      <c r="G525" s="880">
        <v>0</v>
      </c>
      <c r="H525" s="465"/>
      <c r="I525" s="465"/>
      <c r="J525" s="826">
        <v>0</v>
      </c>
      <c r="K525" s="878">
        <v>1590950.65</v>
      </c>
    </row>
    <row r="526" spans="1:11" ht="22.5" customHeight="1" x14ac:dyDescent="0.25">
      <c r="A526" s="816" t="s">
        <v>217</v>
      </c>
      <c r="B526" s="880">
        <v>2025</v>
      </c>
      <c r="C526" s="816" t="s">
        <v>7746</v>
      </c>
      <c r="D526" s="816" t="s">
        <v>7747</v>
      </c>
      <c r="E526" s="816" t="s">
        <v>7758</v>
      </c>
      <c r="F526" s="826">
        <v>31053.96</v>
      </c>
      <c r="G526" s="880">
        <v>0</v>
      </c>
      <c r="H526" s="465"/>
      <c r="I526" s="465"/>
      <c r="J526" s="826">
        <v>0</v>
      </c>
      <c r="K526" s="878">
        <v>31053.96</v>
      </c>
    </row>
    <row r="527" spans="1:11" ht="22.5" customHeight="1" x14ac:dyDescent="0.25">
      <c r="A527" s="816" t="s">
        <v>217</v>
      </c>
      <c r="B527" s="880">
        <v>2025</v>
      </c>
      <c r="C527" s="816" t="s">
        <v>1857</v>
      </c>
      <c r="D527" s="816" t="s">
        <v>1858</v>
      </c>
      <c r="E527" s="816" t="s">
        <v>2211</v>
      </c>
      <c r="F527" s="826">
        <v>0</v>
      </c>
      <c r="G527" s="880">
        <v>0</v>
      </c>
      <c r="H527" s="465"/>
      <c r="I527" s="465"/>
      <c r="J527" s="826">
        <v>0</v>
      </c>
      <c r="K527" s="878">
        <v>0</v>
      </c>
    </row>
    <row r="528" spans="1:11" ht="22.5" customHeight="1" x14ac:dyDescent="0.25">
      <c r="A528" s="816" t="s">
        <v>217</v>
      </c>
      <c r="B528" s="880">
        <v>2025</v>
      </c>
      <c r="C528" s="816" t="s">
        <v>1860</v>
      </c>
      <c r="D528" s="816" t="s">
        <v>1861</v>
      </c>
      <c r="E528" s="816" t="s">
        <v>2212</v>
      </c>
      <c r="F528" s="826">
        <v>-42253.34</v>
      </c>
      <c r="G528" s="880">
        <v>0</v>
      </c>
      <c r="H528" s="465"/>
      <c r="I528" s="465"/>
      <c r="J528" s="826">
        <v>0</v>
      </c>
      <c r="K528" s="878">
        <v>-42253.34</v>
      </c>
    </row>
    <row r="529" spans="1:11" ht="22.5" customHeight="1" x14ac:dyDescent="0.25">
      <c r="A529" s="816" t="s">
        <v>217</v>
      </c>
      <c r="B529" s="880">
        <v>2025</v>
      </c>
      <c r="C529" s="816" t="s">
        <v>1863</v>
      </c>
      <c r="D529" s="816" t="s">
        <v>1864</v>
      </c>
      <c r="E529" s="816" t="s">
        <v>2213</v>
      </c>
      <c r="F529" s="826">
        <v>0</v>
      </c>
      <c r="G529" s="880">
        <v>0</v>
      </c>
      <c r="H529" s="465"/>
      <c r="I529" s="465"/>
      <c r="J529" s="826">
        <v>0</v>
      </c>
      <c r="K529" s="878">
        <v>0</v>
      </c>
    </row>
    <row r="530" spans="1:11" ht="22.5" customHeight="1" x14ac:dyDescent="0.25">
      <c r="A530" s="816" t="s">
        <v>217</v>
      </c>
      <c r="B530" s="880">
        <v>2025</v>
      </c>
      <c r="C530" s="816" t="s">
        <v>1866</v>
      </c>
      <c r="D530" s="816" t="s">
        <v>1867</v>
      </c>
      <c r="E530" s="816" t="s">
        <v>2214</v>
      </c>
      <c r="F530" s="826">
        <v>0</v>
      </c>
      <c r="G530" s="880">
        <v>0</v>
      </c>
      <c r="H530" s="465"/>
      <c r="I530" s="465"/>
      <c r="J530" s="826">
        <v>0</v>
      </c>
      <c r="K530" s="878">
        <v>0</v>
      </c>
    </row>
    <row r="531" spans="1:11" ht="22.5" customHeight="1" x14ac:dyDescent="0.25">
      <c r="A531" s="816" t="s">
        <v>217</v>
      </c>
      <c r="B531" s="880">
        <v>2025</v>
      </c>
      <c r="C531" s="816" t="s">
        <v>1869</v>
      </c>
      <c r="D531" s="816" t="s">
        <v>1870</v>
      </c>
      <c r="E531" s="816" t="s">
        <v>2215</v>
      </c>
      <c r="F531" s="826">
        <v>0</v>
      </c>
      <c r="G531" s="880">
        <v>0</v>
      </c>
      <c r="H531" s="465"/>
      <c r="I531" s="465"/>
      <c r="J531" s="826">
        <v>0</v>
      </c>
      <c r="K531" s="878">
        <v>0</v>
      </c>
    </row>
    <row r="532" spans="1:11" ht="22.5" customHeight="1" x14ac:dyDescent="0.25">
      <c r="A532" s="816" t="s">
        <v>217</v>
      </c>
      <c r="B532" s="880">
        <v>2025</v>
      </c>
      <c r="C532" s="816" t="s">
        <v>1872</v>
      </c>
      <c r="D532" s="816" t="s">
        <v>1873</v>
      </c>
      <c r="E532" s="816" t="s">
        <v>2216</v>
      </c>
      <c r="F532" s="826">
        <v>0</v>
      </c>
      <c r="G532" s="880">
        <v>0</v>
      </c>
      <c r="H532" s="465"/>
      <c r="I532" s="465"/>
      <c r="J532" s="826">
        <v>0</v>
      </c>
      <c r="K532" s="878">
        <v>0</v>
      </c>
    </row>
    <row r="533" spans="1:11" ht="22.5" customHeight="1" x14ac:dyDescent="0.25">
      <c r="A533" s="816" t="s">
        <v>217</v>
      </c>
      <c r="B533" s="880">
        <v>2025</v>
      </c>
      <c r="C533" s="816" t="s">
        <v>1875</v>
      </c>
      <c r="D533" s="816" t="s">
        <v>1876</v>
      </c>
      <c r="E533" s="816" t="s">
        <v>2217</v>
      </c>
      <c r="F533" s="826">
        <v>0</v>
      </c>
      <c r="G533" s="880">
        <v>0</v>
      </c>
      <c r="H533" s="465"/>
      <c r="I533" s="465"/>
      <c r="J533" s="826">
        <v>0</v>
      </c>
      <c r="K533" s="878">
        <v>0</v>
      </c>
    </row>
    <row r="534" spans="1:11" ht="22.5" customHeight="1" x14ac:dyDescent="0.25">
      <c r="A534" s="816" t="s">
        <v>217</v>
      </c>
      <c r="B534" s="880">
        <v>2025</v>
      </c>
      <c r="C534" s="816" t="s">
        <v>1878</v>
      </c>
      <c r="D534" s="816" t="s">
        <v>1879</v>
      </c>
      <c r="E534" s="816" t="s">
        <v>2218</v>
      </c>
      <c r="F534" s="826">
        <v>0</v>
      </c>
      <c r="G534" s="880">
        <v>0</v>
      </c>
      <c r="H534" s="465"/>
      <c r="I534" s="465"/>
      <c r="J534" s="826">
        <v>0</v>
      </c>
      <c r="K534" s="878">
        <v>0</v>
      </c>
    </row>
    <row r="535" spans="1:11" ht="22.5" customHeight="1" x14ac:dyDescent="0.25">
      <c r="A535" s="816" t="s">
        <v>217</v>
      </c>
      <c r="B535" s="880">
        <v>2025</v>
      </c>
      <c r="C535" s="816" t="s">
        <v>1881</v>
      </c>
      <c r="D535" s="816" t="s">
        <v>1882</v>
      </c>
      <c r="E535" s="816" t="s">
        <v>2219</v>
      </c>
      <c r="F535" s="826">
        <v>0</v>
      </c>
      <c r="G535" s="880">
        <v>0</v>
      </c>
      <c r="H535" s="465"/>
      <c r="I535" s="465"/>
      <c r="J535" s="826">
        <v>0</v>
      </c>
      <c r="K535" s="878">
        <v>0</v>
      </c>
    </row>
    <row r="536" spans="1:11" ht="22.5" customHeight="1" x14ac:dyDescent="0.25">
      <c r="A536" s="816" t="s">
        <v>217</v>
      </c>
      <c r="B536" s="880">
        <v>2025</v>
      </c>
      <c r="C536" s="816" t="s">
        <v>1884</v>
      </c>
      <c r="D536" s="816" t="s">
        <v>1885</v>
      </c>
      <c r="E536" s="816" t="s">
        <v>2220</v>
      </c>
      <c r="F536" s="826">
        <v>0</v>
      </c>
      <c r="G536" s="880">
        <v>0</v>
      </c>
      <c r="H536" s="465"/>
      <c r="I536" s="465"/>
      <c r="J536" s="826">
        <v>0</v>
      </c>
      <c r="K536" s="878">
        <v>0</v>
      </c>
    </row>
    <row r="537" spans="1:11" ht="22.5" customHeight="1" x14ac:dyDescent="0.25">
      <c r="A537" s="816" t="s">
        <v>217</v>
      </c>
      <c r="B537" s="880">
        <v>2025</v>
      </c>
      <c r="C537" s="816" t="s">
        <v>1887</v>
      </c>
      <c r="D537" s="816" t="s">
        <v>138</v>
      </c>
      <c r="E537" s="816" t="s">
        <v>2221</v>
      </c>
      <c r="F537" s="826">
        <v>184173.33</v>
      </c>
      <c r="G537" s="880">
        <v>1</v>
      </c>
      <c r="H537" s="826">
        <v>171474.43</v>
      </c>
      <c r="I537" s="826">
        <v>12698.9</v>
      </c>
      <c r="J537" s="826">
        <v>184173.33</v>
      </c>
      <c r="K537" s="878">
        <v>184173.33</v>
      </c>
    </row>
    <row r="538" spans="1:11" ht="22.5" customHeight="1" x14ac:dyDescent="0.25">
      <c r="A538" s="816" t="s">
        <v>217</v>
      </c>
      <c r="B538" s="880">
        <v>2025</v>
      </c>
      <c r="C538" s="816" t="s">
        <v>1889</v>
      </c>
      <c r="D538" s="816" t="s">
        <v>139</v>
      </c>
      <c r="E538" s="816" t="s">
        <v>2222</v>
      </c>
      <c r="F538" s="826">
        <v>-469346.96</v>
      </c>
      <c r="G538" s="880">
        <v>1</v>
      </c>
      <c r="H538" s="826">
        <v>-445488.89</v>
      </c>
      <c r="I538" s="826">
        <v>-23858.07</v>
      </c>
      <c r="J538" s="826">
        <v>-469346.96</v>
      </c>
      <c r="K538" s="878">
        <v>-469346.96</v>
      </c>
    </row>
    <row r="539" spans="1:11" ht="22.5" customHeight="1" x14ac:dyDescent="0.25">
      <c r="A539" s="816" t="s">
        <v>217</v>
      </c>
      <c r="B539" s="880">
        <v>2025</v>
      </c>
      <c r="C539" s="816" t="s">
        <v>1891</v>
      </c>
      <c r="D539" s="816" t="s">
        <v>1892</v>
      </c>
      <c r="E539" s="816" t="s">
        <v>2223</v>
      </c>
      <c r="F539" s="826">
        <v>0</v>
      </c>
      <c r="G539" s="880">
        <v>0</v>
      </c>
      <c r="H539" s="465"/>
      <c r="I539" s="465"/>
      <c r="J539" s="826">
        <v>0</v>
      </c>
      <c r="K539" s="878">
        <v>0</v>
      </c>
    </row>
    <row r="540" spans="1:11" ht="22.5" customHeight="1" x14ac:dyDescent="0.25">
      <c r="A540" s="816" t="s">
        <v>217</v>
      </c>
      <c r="B540" s="880">
        <v>2025</v>
      </c>
      <c r="C540" s="816" t="s">
        <v>1891</v>
      </c>
      <c r="D540" s="816" t="s">
        <v>1894</v>
      </c>
      <c r="E540" s="816" t="s">
        <v>2223</v>
      </c>
      <c r="F540" s="826">
        <v>0</v>
      </c>
      <c r="G540" s="880">
        <v>0</v>
      </c>
      <c r="H540" s="465"/>
      <c r="I540" s="465"/>
      <c r="J540" s="826">
        <v>0</v>
      </c>
      <c r="K540" s="881">
        <v>0</v>
      </c>
    </row>
    <row r="541" spans="1:11" ht="22.5" customHeight="1" x14ac:dyDescent="0.25">
      <c r="A541" s="816" t="s">
        <v>217</v>
      </c>
      <c r="B541" s="880">
        <v>2025</v>
      </c>
      <c r="C541" s="816" t="s">
        <v>1895</v>
      </c>
      <c r="D541" s="816" t="s">
        <v>1896</v>
      </c>
      <c r="E541" s="816" t="s">
        <v>2224</v>
      </c>
      <c r="F541" s="826">
        <v>0</v>
      </c>
      <c r="G541" s="880">
        <v>0</v>
      </c>
      <c r="H541" s="465"/>
      <c r="I541" s="465"/>
      <c r="J541" s="826">
        <v>0</v>
      </c>
      <c r="K541" s="878">
        <v>0</v>
      </c>
    </row>
    <row r="542" spans="1:11" ht="22.5" customHeight="1" x14ac:dyDescent="0.25">
      <c r="A542" s="816" t="s">
        <v>217</v>
      </c>
      <c r="B542" s="880">
        <v>2025</v>
      </c>
      <c r="C542" s="816" t="s">
        <v>1898</v>
      </c>
      <c r="D542" s="816" t="s">
        <v>1899</v>
      </c>
      <c r="E542" s="816" t="s">
        <v>2225</v>
      </c>
      <c r="F542" s="826">
        <v>0</v>
      </c>
      <c r="G542" s="880">
        <v>0</v>
      </c>
      <c r="H542" s="465"/>
      <c r="I542" s="465"/>
      <c r="J542" s="826">
        <v>0</v>
      </c>
      <c r="K542" s="878">
        <v>0</v>
      </c>
    </row>
    <row r="543" spans="1:11" ht="22.5" customHeight="1" x14ac:dyDescent="0.25">
      <c r="A543" s="816" t="s">
        <v>217</v>
      </c>
      <c r="B543" s="880">
        <v>2025</v>
      </c>
      <c r="C543" s="816" t="s">
        <v>1901</v>
      </c>
      <c r="D543" s="816" t="s">
        <v>1902</v>
      </c>
      <c r="E543" s="816" t="s">
        <v>2226</v>
      </c>
      <c r="F543" s="826">
        <v>0</v>
      </c>
      <c r="G543" s="880">
        <v>0</v>
      </c>
      <c r="H543" s="465"/>
      <c r="I543" s="465"/>
      <c r="J543" s="826">
        <v>0</v>
      </c>
      <c r="K543" s="878">
        <v>0</v>
      </c>
    </row>
    <row r="544" spans="1:11" ht="22.5" customHeight="1" x14ac:dyDescent="0.25">
      <c r="A544" s="816" t="s">
        <v>217</v>
      </c>
      <c r="B544" s="880">
        <v>2025</v>
      </c>
      <c r="C544" s="816" t="s">
        <v>1904</v>
      </c>
      <c r="D544" s="816" t="s">
        <v>1905</v>
      </c>
      <c r="E544" s="816" t="s">
        <v>2227</v>
      </c>
      <c r="F544" s="826">
        <v>0</v>
      </c>
      <c r="G544" s="880">
        <v>0</v>
      </c>
      <c r="H544" s="465"/>
      <c r="I544" s="465"/>
      <c r="J544" s="826">
        <v>0</v>
      </c>
      <c r="K544" s="878">
        <v>0</v>
      </c>
    </row>
    <row r="545" spans="1:11" ht="22.5" customHeight="1" x14ac:dyDescent="0.25">
      <c r="A545" s="816" t="s">
        <v>217</v>
      </c>
      <c r="B545" s="880">
        <v>2025</v>
      </c>
      <c r="C545" s="816" t="s">
        <v>1907</v>
      </c>
      <c r="D545" s="816" t="s">
        <v>1908</v>
      </c>
      <c r="E545" s="816" t="s">
        <v>2228</v>
      </c>
      <c r="F545" s="826">
        <v>0</v>
      </c>
      <c r="G545" s="880">
        <v>0</v>
      </c>
      <c r="H545" s="465"/>
      <c r="I545" s="465"/>
      <c r="J545" s="826">
        <v>0</v>
      </c>
      <c r="K545" s="878">
        <v>0</v>
      </c>
    </row>
    <row r="546" spans="1:11" ht="22.5" customHeight="1" x14ac:dyDescent="0.25">
      <c r="A546" s="816" t="s">
        <v>217</v>
      </c>
      <c r="B546" s="880">
        <v>2025</v>
      </c>
      <c r="C546" s="816" t="s">
        <v>1910</v>
      </c>
      <c r="D546" s="816" t="s">
        <v>1911</v>
      </c>
      <c r="E546" s="816" t="s">
        <v>2229</v>
      </c>
      <c r="F546" s="826">
        <v>0</v>
      </c>
      <c r="G546" s="880">
        <v>0</v>
      </c>
      <c r="H546" s="465"/>
      <c r="I546" s="465"/>
      <c r="J546" s="826">
        <v>0</v>
      </c>
      <c r="K546" s="878">
        <v>0</v>
      </c>
    </row>
    <row r="547" spans="1:11" ht="22.5" customHeight="1" x14ac:dyDescent="0.25">
      <c r="A547" s="816" t="s">
        <v>217</v>
      </c>
      <c r="B547" s="880">
        <v>2025</v>
      </c>
      <c r="C547" s="816" t="s">
        <v>1913</v>
      </c>
      <c r="D547" s="816" t="s">
        <v>1914</v>
      </c>
      <c r="E547" s="816" t="s">
        <v>2230</v>
      </c>
      <c r="F547" s="826">
        <v>-3245188</v>
      </c>
      <c r="G547" s="880">
        <v>1</v>
      </c>
      <c r="H547" s="826">
        <v>-2994170.54</v>
      </c>
      <c r="I547" s="826">
        <v>-251017.46</v>
      </c>
      <c r="J547" s="826">
        <v>-3245188</v>
      </c>
      <c r="K547" s="878">
        <v>-3245188</v>
      </c>
    </row>
    <row r="548" spans="1:11" ht="22.5" customHeight="1" x14ac:dyDescent="0.25">
      <c r="A548" s="816" t="s">
        <v>217</v>
      </c>
      <c r="B548" s="880">
        <v>2025</v>
      </c>
      <c r="C548" s="816" t="s">
        <v>1913</v>
      </c>
      <c r="D548" s="816" t="s">
        <v>1916</v>
      </c>
      <c r="E548" s="816" t="s">
        <v>2230</v>
      </c>
      <c r="F548" s="826">
        <v>0</v>
      </c>
      <c r="G548" s="880">
        <v>0</v>
      </c>
      <c r="H548" s="465"/>
      <c r="I548" s="465"/>
      <c r="J548" s="826">
        <v>0</v>
      </c>
      <c r="K548" s="881">
        <v>0</v>
      </c>
    </row>
    <row r="549" spans="1:11" ht="22.5" customHeight="1" x14ac:dyDescent="0.25">
      <c r="A549" s="816" t="s">
        <v>217</v>
      </c>
      <c r="B549" s="880">
        <v>2025</v>
      </c>
      <c r="C549" s="816" t="s">
        <v>1913</v>
      </c>
      <c r="D549" s="816" t="s">
        <v>1917</v>
      </c>
      <c r="E549" s="816" t="s">
        <v>2230</v>
      </c>
      <c r="F549" s="826">
        <v>0</v>
      </c>
      <c r="G549" s="880">
        <v>0</v>
      </c>
      <c r="H549" s="465"/>
      <c r="I549" s="465"/>
      <c r="J549" s="826">
        <v>0</v>
      </c>
      <c r="K549" s="881">
        <v>0</v>
      </c>
    </row>
    <row r="550" spans="1:11" ht="22.5" customHeight="1" x14ac:dyDescent="0.25">
      <c r="A550" s="816" t="s">
        <v>217</v>
      </c>
      <c r="B550" s="880">
        <v>2025</v>
      </c>
      <c r="C550" s="816" t="s">
        <v>1913</v>
      </c>
      <c r="D550" s="816" t="s">
        <v>1918</v>
      </c>
      <c r="E550" s="816" t="s">
        <v>2230</v>
      </c>
      <c r="F550" s="826">
        <v>0</v>
      </c>
      <c r="G550" s="880">
        <v>0</v>
      </c>
      <c r="H550" s="465"/>
      <c r="I550" s="465"/>
      <c r="J550" s="826">
        <v>0</v>
      </c>
      <c r="K550" s="881">
        <v>24384.15</v>
      </c>
    </row>
    <row r="551" spans="1:11" ht="22.5" customHeight="1" x14ac:dyDescent="0.25">
      <c r="A551" s="816" t="s">
        <v>217</v>
      </c>
      <c r="B551" s="880">
        <v>2025</v>
      </c>
      <c r="C551" s="816" t="s">
        <v>1913</v>
      </c>
      <c r="D551" s="816" t="s">
        <v>1919</v>
      </c>
      <c r="E551" s="816" t="s">
        <v>2230</v>
      </c>
      <c r="F551" s="826">
        <v>0</v>
      </c>
      <c r="G551" s="880">
        <v>0</v>
      </c>
      <c r="H551" s="465"/>
      <c r="I551" s="465"/>
      <c r="J551" s="826">
        <v>0</v>
      </c>
      <c r="K551" s="881">
        <v>1728309.78</v>
      </c>
    </row>
    <row r="552" spans="1:11" ht="22.5" customHeight="1" x14ac:dyDescent="0.25">
      <c r="A552" s="816" t="s">
        <v>217</v>
      </c>
      <c r="B552" s="880">
        <v>2025</v>
      </c>
      <c r="C552" s="816" t="s">
        <v>1920</v>
      </c>
      <c r="D552" s="816" t="s">
        <v>1921</v>
      </c>
      <c r="E552" s="816" t="s">
        <v>2231</v>
      </c>
      <c r="F552" s="826">
        <v>0</v>
      </c>
      <c r="G552" s="880">
        <v>0</v>
      </c>
      <c r="H552" s="465"/>
      <c r="I552" s="465"/>
      <c r="J552" s="826">
        <v>0</v>
      </c>
      <c r="K552" s="878">
        <v>0</v>
      </c>
    </row>
    <row r="553" spans="1:11" ht="22.5" customHeight="1" x14ac:dyDescent="0.25">
      <c r="A553" s="816" t="s">
        <v>217</v>
      </c>
      <c r="B553" s="880">
        <v>2025</v>
      </c>
      <c r="C553" s="816" t="s">
        <v>1923</v>
      </c>
      <c r="D553" s="816" t="s">
        <v>143</v>
      </c>
      <c r="E553" s="816" t="s">
        <v>2232</v>
      </c>
      <c r="F553" s="826">
        <v>2861135.12</v>
      </c>
      <c r="G553" s="880">
        <v>1</v>
      </c>
      <c r="H553" s="826">
        <v>2745221.46</v>
      </c>
      <c r="I553" s="826">
        <v>115913.66</v>
      </c>
      <c r="J553" s="826">
        <v>2861135.12</v>
      </c>
      <c r="K553" s="878">
        <v>2861135.12</v>
      </c>
    </row>
    <row r="554" spans="1:11" ht="22.5" customHeight="1" x14ac:dyDescent="0.25">
      <c r="A554" s="816" t="s">
        <v>217</v>
      </c>
      <c r="B554" s="880">
        <v>2025</v>
      </c>
      <c r="C554" s="816" t="s">
        <v>1925</v>
      </c>
      <c r="D554" s="816" t="s">
        <v>144</v>
      </c>
      <c r="E554" s="816" t="s">
        <v>2233</v>
      </c>
      <c r="F554" s="826">
        <v>343576.82</v>
      </c>
      <c r="G554" s="880">
        <v>1</v>
      </c>
      <c r="H554" s="826">
        <v>321506.33</v>
      </c>
      <c r="I554" s="826">
        <v>22070.49</v>
      </c>
      <c r="J554" s="826">
        <v>343576.82</v>
      </c>
      <c r="K554" s="878">
        <v>343576.82</v>
      </c>
    </row>
    <row r="555" spans="1:11" ht="22.5" customHeight="1" x14ac:dyDescent="0.25">
      <c r="A555" s="816" t="s">
        <v>217</v>
      </c>
      <c r="B555" s="880">
        <v>2025</v>
      </c>
      <c r="C555" s="816" t="s">
        <v>1927</v>
      </c>
      <c r="D555" s="816" t="s">
        <v>1928</v>
      </c>
      <c r="E555" s="816" t="s">
        <v>2234</v>
      </c>
      <c r="F555" s="826">
        <v>2065598.2</v>
      </c>
      <c r="G555" s="880">
        <v>1</v>
      </c>
      <c r="H555" s="826">
        <v>2125475.75</v>
      </c>
      <c r="I555" s="826">
        <v>-59877.55</v>
      </c>
      <c r="J555" s="826">
        <v>2065598.2</v>
      </c>
      <c r="K555" s="878">
        <v>2065598.2</v>
      </c>
    </row>
    <row r="556" spans="1:11" ht="22.5" customHeight="1" x14ac:dyDescent="0.25">
      <c r="A556" s="816" t="s">
        <v>217</v>
      </c>
      <c r="B556" s="880">
        <v>2025</v>
      </c>
      <c r="C556" s="816" t="s">
        <v>1930</v>
      </c>
      <c r="D556" s="816" t="s">
        <v>156</v>
      </c>
      <c r="E556" s="816" t="s">
        <v>2235</v>
      </c>
      <c r="F556" s="826">
        <v>7538969.5499999998</v>
      </c>
      <c r="G556" s="880">
        <v>1</v>
      </c>
      <c r="H556" s="826">
        <v>7161548.8600000003</v>
      </c>
      <c r="I556" s="826">
        <v>377420.69</v>
      </c>
      <c r="J556" s="826">
        <v>7538969.5499999998</v>
      </c>
      <c r="K556" s="878">
        <v>7538969.5499999998</v>
      </c>
    </row>
    <row r="557" spans="1:11" ht="22.5" customHeight="1" x14ac:dyDescent="0.25">
      <c r="A557" s="816" t="s">
        <v>217</v>
      </c>
      <c r="B557" s="880">
        <v>2025</v>
      </c>
      <c r="C557" s="816" t="s">
        <v>1932</v>
      </c>
      <c r="D557" s="816" t="s">
        <v>1933</v>
      </c>
      <c r="E557" s="816" t="s">
        <v>2236</v>
      </c>
      <c r="F557" s="826">
        <v>-554594.29</v>
      </c>
      <c r="G557" s="880">
        <v>0</v>
      </c>
      <c r="H557" s="465"/>
      <c r="I557" s="465"/>
      <c r="J557" s="826">
        <v>0</v>
      </c>
      <c r="K557" s="878">
        <v>-554594.29</v>
      </c>
    </row>
    <row r="558" spans="1:11" ht="22.5" customHeight="1" x14ac:dyDescent="0.25">
      <c r="A558" s="816" t="s">
        <v>217</v>
      </c>
      <c r="B558" s="880">
        <v>2025</v>
      </c>
      <c r="C558" s="816" t="s">
        <v>1935</v>
      </c>
      <c r="D558" s="816" t="s">
        <v>1936</v>
      </c>
      <c r="E558" s="816" t="s">
        <v>8004</v>
      </c>
      <c r="F558" s="826">
        <v>0</v>
      </c>
      <c r="G558" s="880">
        <v>1</v>
      </c>
      <c r="H558" s="465"/>
      <c r="I558" s="465"/>
      <c r="J558" s="826">
        <v>0</v>
      </c>
      <c r="K558" s="878">
        <v>0</v>
      </c>
    </row>
    <row r="559" spans="1:11" ht="22.5" customHeight="1" x14ac:dyDescent="0.25">
      <c r="A559" s="816" t="s">
        <v>217</v>
      </c>
      <c r="B559" s="880">
        <v>2025</v>
      </c>
      <c r="C559" s="816" t="s">
        <v>1935</v>
      </c>
      <c r="D559" s="816" t="s">
        <v>1937</v>
      </c>
      <c r="E559" s="816" t="s">
        <v>8005</v>
      </c>
      <c r="F559" s="826">
        <v>0</v>
      </c>
      <c r="G559" s="880">
        <v>1</v>
      </c>
      <c r="H559" s="465"/>
      <c r="I559" s="465"/>
      <c r="J559" s="826">
        <v>0</v>
      </c>
      <c r="K559" s="878">
        <v>0</v>
      </c>
    </row>
    <row r="560" spans="1:11" ht="22.5" customHeight="1" x14ac:dyDescent="0.25">
      <c r="A560" s="816" t="s">
        <v>217</v>
      </c>
      <c r="B560" s="880">
        <v>2025</v>
      </c>
      <c r="C560" s="816" t="s">
        <v>1935</v>
      </c>
      <c r="D560" s="816" t="s">
        <v>1938</v>
      </c>
      <c r="E560" s="816" t="s">
        <v>8006</v>
      </c>
      <c r="F560" s="826">
        <v>0</v>
      </c>
      <c r="G560" s="880">
        <v>1</v>
      </c>
      <c r="H560" s="465"/>
      <c r="I560" s="465"/>
      <c r="J560" s="826">
        <v>0</v>
      </c>
      <c r="K560" s="878">
        <v>0</v>
      </c>
    </row>
    <row r="561" spans="1:11" ht="22.5" customHeight="1" x14ac:dyDescent="0.25">
      <c r="A561" s="816" t="s">
        <v>217</v>
      </c>
      <c r="B561" s="880">
        <v>2025</v>
      </c>
      <c r="C561" s="816" t="s">
        <v>1935</v>
      </c>
      <c r="D561" s="816" t="s">
        <v>1939</v>
      </c>
      <c r="E561" s="816" t="s">
        <v>8007</v>
      </c>
      <c r="F561" s="826">
        <v>0</v>
      </c>
      <c r="G561" s="880">
        <v>1</v>
      </c>
      <c r="H561" s="465"/>
      <c r="I561" s="465"/>
      <c r="J561" s="826">
        <v>0</v>
      </c>
      <c r="K561" s="878">
        <v>0</v>
      </c>
    </row>
    <row r="562" spans="1:11" ht="22.5" customHeight="1" x14ac:dyDescent="0.25">
      <c r="A562" s="816" t="s">
        <v>217</v>
      </c>
      <c r="B562" s="880">
        <v>2025</v>
      </c>
      <c r="C562" s="816" t="s">
        <v>1935</v>
      </c>
      <c r="D562" s="816" t="s">
        <v>1940</v>
      </c>
      <c r="E562" s="816" t="s">
        <v>8008</v>
      </c>
      <c r="F562" s="826">
        <v>0</v>
      </c>
      <c r="G562" s="880">
        <v>1</v>
      </c>
      <c r="H562" s="465"/>
      <c r="I562" s="465"/>
      <c r="J562" s="826">
        <v>0</v>
      </c>
      <c r="K562" s="878">
        <v>0</v>
      </c>
    </row>
    <row r="563" spans="1:11" ht="22.5" customHeight="1" x14ac:dyDescent="0.25">
      <c r="A563" s="816" t="s">
        <v>217</v>
      </c>
      <c r="B563" s="880">
        <v>2025</v>
      </c>
      <c r="C563" s="816" t="s">
        <v>1935</v>
      </c>
      <c r="D563" s="816" t="s">
        <v>1941</v>
      </c>
      <c r="E563" s="816" t="s">
        <v>8009</v>
      </c>
      <c r="F563" s="826">
        <v>0</v>
      </c>
      <c r="G563" s="880">
        <v>1</v>
      </c>
      <c r="H563" s="465"/>
      <c r="I563" s="465"/>
      <c r="J563" s="826">
        <v>0</v>
      </c>
      <c r="K563" s="878">
        <v>0</v>
      </c>
    </row>
    <row r="564" spans="1:11" ht="22.5" customHeight="1" x14ac:dyDescent="0.25">
      <c r="A564" s="816" t="s">
        <v>217</v>
      </c>
      <c r="B564" s="880">
        <v>2025</v>
      </c>
      <c r="C564" s="816" t="s">
        <v>1935</v>
      </c>
      <c r="D564" s="816" t="s">
        <v>1942</v>
      </c>
      <c r="E564" s="816" t="s">
        <v>8010</v>
      </c>
      <c r="F564" s="826">
        <v>0</v>
      </c>
      <c r="G564" s="880">
        <v>1</v>
      </c>
      <c r="H564" s="465"/>
      <c r="I564" s="465"/>
      <c r="J564" s="826">
        <v>0</v>
      </c>
      <c r="K564" s="878">
        <v>0</v>
      </c>
    </row>
    <row r="565" spans="1:11" ht="22.5" customHeight="1" x14ac:dyDescent="0.25">
      <c r="A565" s="816" t="s">
        <v>217</v>
      </c>
      <c r="B565" s="880">
        <v>2025</v>
      </c>
      <c r="C565" s="816" t="s">
        <v>1935</v>
      </c>
      <c r="D565" s="816" t="s">
        <v>1943</v>
      </c>
      <c r="E565" s="816" t="s">
        <v>8011</v>
      </c>
      <c r="F565" s="826">
        <v>0</v>
      </c>
      <c r="G565" s="880">
        <v>1</v>
      </c>
      <c r="H565" s="465"/>
      <c r="I565" s="465"/>
      <c r="J565" s="826">
        <v>0</v>
      </c>
      <c r="K565" s="878">
        <v>0</v>
      </c>
    </row>
    <row r="566" spans="1:11" ht="22.5" customHeight="1" x14ac:dyDescent="0.25">
      <c r="A566" s="816" t="s">
        <v>217</v>
      </c>
      <c r="B566" s="880">
        <v>2025</v>
      </c>
      <c r="C566" s="816" t="s">
        <v>1935</v>
      </c>
      <c r="D566" s="816" t="s">
        <v>1944</v>
      </c>
      <c r="E566" s="816" t="s">
        <v>8012</v>
      </c>
      <c r="F566" s="826">
        <v>0</v>
      </c>
      <c r="G566" s="880">
        <v>1</v>
      </c>
      <c r="H566" s="465"/>
      <c r="I566" s="465"/>
      <c r="J566" s="826">
        <v>0</v>
      </c>
      <c r="K566" s="878">
        <v>0</v>
      </c>
    </row>
    <row r="567" spans="1:11" ht="22.5" customHeight="1" x14ac:dyDescent="0.25">
      <c r="A567" s="816" t="s">
        <v>217</v>
      </c>
      <c r="B567" s="880">
        <v>2025</v>
      </c>
      <c r="C567" s="816" t="s">
        <v>1935</v>
      </c>
      <c r="D567" s="816" t="s">
        <v>1945</v>
      </c>
      <c r="E567" s="816" t="s">
        <v>8013</v>
      </c>
      <c r="F567" s="826">
        <v>0</v>
      </c>
      <c r="G567" s="880">
        <v>1</v>
      </c>
      <c r="H567" s="465"/>
      <c r="I567" s="465"/>
      <c r="J567" s="826">
        <v>0</v>
      </c>
      <c r="K567" s="878">
        <v>0</v>
      </c>
    </row>
    <row r="568" spans="1:11" ht="22.5" customHeight="1" x14ac:dyDescent="0.25">
      <c r="A568" s="816" t="s">
        <v>217</v>
      </c>
      <c r="B568" s="880">
        <v>2025</v>
      </c>
      <c r="C568" s="816" t="s">
        <v>1935</v>
      </c>
      <c r="D568" s="816" t="s">
        <v>1946</v>
      </c>
      <c r="E568" s="816" t="s">
        <v>8014</v>
      </c>
      <c r="F568" s="826">
        <v>0</v>
      </c>
      <c r="G568" s="880">
        <v>1</v>
      </c>
      <c r="H568" s="465"/>
      <c r="I568" s="465"/>
      <c r="J568" s="826">
        <v>0</v>
      </c>
      <c r="K568" s="878">
        <v>0</v>
      </c>
    </row>
    <row r="569" spans="1:11" ht="22.5" customHeight="1" x14ac:dyDescent="0.25">
      <c r="A569" s="816" t="s">
        <v>217</v>
      </c>
      <c r="B569" s="880">
        <v>2025</v>
      </c>
      <c r="C569" s="816" t="s">
        <v>1935</v>
      </c>
      <c r="D569" s="816" t="s">
        <v>1947</v>
      </c>
      <c r="E569" s="816" t="s">
        <v>8015</v>
      </c>
      <c r="F569" s="826">
        <v>0</v>
      </c>
      <c r="G569" s="880">
        <v>1</v>
      </c>
      <c r="H569" s="465"/>
      <c r="I569" s="465"/>
      <c r="J569" s="826">
        <v>0</v>
      </c>
      <c r="K569" s="878">
        <v>0</v>
      </c>
    </row>
    <row r="570" spans="1:11" ht="22.5" customHeight="1" x14ac:dyDescent="0.25">
      <c r="A570" s="816" t="s">
        <v>217</v>
      </c>
      <c r="B570" s="880">
        <v>2025</v>
      </c>
      <c r="C570" s="816" t="s">
        <v>1935</v>
      </c>
      <c r="D570" s="816" t="s">
        <v>1948</v>
      </c>
      <c r="E570" s="816" t="s">
        <v>8016</v>
      </c>
      <c r="F570" s="826">
        <v>0</v>
      </c>
      <c r="G570" s="880">
        <v>1</v>
      </c>
      <c r="H570" s="465"/>
      <c r="I570" s="465"/>
      <c r="J570" s="826">
        <v>0</v>
      </c>
      <c r="K570" s="878">
        <v>0</v>
      </c>
    </row>
    <row r="571" spans="1:11" ht="22.5" customHeight="1" x14ac:dyDescent="0.25">
      <c r="A571" s="816" t="s">
        <v>217</v>
      </c>
      <c r="B571" s="880">
        <v>2025</v>
      </c>
      <c r="C571" s="816" t="s">
        <v>1935</v>
      </c>
      <c r="D571" s="816" t="s">
        <v>1949</v>
      </c>
      <c r="E571" s="816" t="s">
        <v>8017</v>
      </c>
      <c r="F571" s="826">
        <v>0</v>
      </c>
      <c r="G571" s="880">
        <v>1</v>
      </c>
      <c r="H571" s="826">
        <v>-25476.51</v>
      </c>
      <c r="I571" s="826">
        <v>-23816.49</v>
      </c>
      <c r="J571" s="826">
        <v>-49293</v>
      </c>
      <c r="K571" s="878">
        <v>-49293</v>
      </c>
    </row>
    <row r="572" spans="1:11" ht="22.5" customHeight="1" x14ac:dyDescent="0.25">
      <c r="A572" s="816" t="s">
        <v>217</v>
      </c>
      <c r="B572" s="880">
        <v>2025</v>
      </c>
      <c r="C572" s="816" t="s">
        <v>1935</v>
      </c>
      <c r="D572" s="816" t="s">
        <v>1950</v>
      </c>
      <c r="E572" s="816" t="s">
        <v>8018</v>
      </c>
      <c r="F572" s="826">
        <v>0</v>
      </c>
      <c r="G572" s="880">
        <v>1</v>
      </c>
      <c r="H572" s="826">
        <v>-140533.64000000001</v>
      </c>
      <c r="I572" s="826">
        <v>31404.78</v>
      </c>
      <c r="J572" s="826">
        <v>-109128.86</v>
      </c>
      <c r="K572" s="878">
        <v>-109128.86</v>
      </c>
    </row>
    <row r="573" spans="1:11" ht="22.5" customHeight="1" x14ac:dyDescent="0.25">
      <c r="A573" s="816" t="s">
        <v>217</v>
      </c>
      <c r="B573" s="880">
        <v>2025</v>
      </c>
      <c r="C573" s="816" t="s">
        <v>1935</v>
      </c>
      <c r="D573" s="816" t="s">
        <v>1951</v>
      </c>
      <c r="E573" s="816" t="s">
        <v>8019</v>
      </c>
      <c r="F573" s="826">
        <v>0</v>
      </c>
      <c r="G573" s="880">
        <v>1</v>
      </c>
      <c r="H573" s="826">
        <v>54907.65</v>
      </c>
      <c r="I573" s="826">
        <v>125120.23</v>
      </c>
      <c r="J573" s="826">
        <v>180027.88</v>
      </c>
      <c r="K573" s="878">
        <v>180027.88</v>
      </c>
    </row>
    <row r="574" spans="1:11" ht="22.5" customHeight="1" x14ac:dyDescent="0.25">
      <c r="A574" s="816" t="s">
        <v>217</v>
      </c>
      <c r="B574" s="880">
        <v>2025</v>
      </c>
      <c r="C574" s="816" t="s">
        <v>1935</v>
      </c>
      <c r="D574" s="816" t="s">
        <v>7801</v>
      </c>
      <c r="E574" s="816" t="s">
        <v>8020</v>
      </c>
      <c r="F574" s="826">
        <v>0</v>
      </c>
      <c r="G574" s="880">
        <v>1</v>
      </c>
      <c r="H574" s="826">
        <v>-97853.72</v>
      </c>
      <c r="I574" s="826">
        <v>306097.87</v>
      </c>
      <c r="J574" s="826">
        <v>208244.15</v>
      </c>
      <c r="K574" s="878">
        <v>208244.15</v>
      </c>
    </row>
    <row r="575" spans="1:11" ht="22.5" customHeight="1" x14ac:dyDescent="0.25">
      <c r="A575" s="816" t="s">
        <v>217</v>
      </c>
      <c r="B575" s="880">
        <v>2025</v>
      </c>
      <c r="C575" s="816" t="s">
        <v>1935</v>
      </c>
      <c r="D575" s="816" t="s">
        <v>1952</v>
      </c>
      <c r="E575" s="816" t="s">
        <v>8021</v>
      </c>
      <c r="F575" s="826">
        <v>229850.17</v>
      </c>
      <c r="G575" s="880">
        <v>0</v>
      </c>
      <c r="H575" s="465"/>
      <c r="I575" s="465"/>
      <c r="J575" s="826">
        <v>0</v>
      </c>
      <c r="K575" s="878">
        <v>229850.17</v>
      </c>
    </row>
    <row r="576" spans="1:11" ht="22.5" customHeight="1" x14ac:dyDescent="0.25">
      <c r="A576" s="816" t="s">
        <v>217</v>
      </c>
      <c r="B576" s="880">
        <v>2025</v>
      </c>
      <c r="C576" s="816" t="s">
        <v>1953</v>
      </c>
      <c r="D576" s="816" t="s">
        <v>1954</v>
      </c>
      <c r="E576" s="816" t="s">
        <v>2237</v>
      </c>
      <c r="F576" s="826">
        <v>0</v>
      </c>
      <c r="G576" s="880">
        <v>0</v>
      </c>
      <c r="H576" s="465"/>
      <c r="I576" s="465"/>
      <c r="J576" s="826">
        <v>0</v>
      </c>
      <c r="K576" s="878">
        <v>0</v>
      </c>
    </row>
    <row r="577" spans="1:11" ht="22.5" customHeight="1" x14ac:dyDescent="0.25">
      <c r="A577" s="816" t="s">
        <v>220</v>
      </c>
      <c r="B577" s="880">
        <v>2025</v>
      </c>
      <c r="C577" s="816" t="s">
        <v>1854</v>
      </c>
      <c r="D577" s="816" t="s">
        <v>1855</v>
      </c>
      <c r="E577" s="816" t="s">
        <v>2238</v>
      </c>
      <c r="F577" s="826">
        <v>125680.9</v>
      </c>
      <c r="G577" s="880">
        <v>0</v>
      </c>
      <c r="H577" s="465"/>
      <c r="I577" s="465"/>
      <c r="J577" s="826">
        <v>0</v>
      </c>
      <c r="K577" s="878">
        <v>125680.9</v>
      </c>
    </row>
    <row r="578" spans="1:11" ht="22.5" customHeight="1" x14ac:dyDescent="0.25">
      <c r="A578" s="816" t="s">
        <v>220</v>
      </c>
      <c r="B578" s="880">
        <v>2025</v>
      </c>
      <c r="C578" s="816" t="s">
        <v>7746</v>
      </c>
      <c r="D578" s="816" t="s">
        <v>7747</v>
      </c>
      <c r="E578" s="816" t="s">
        <v>7759</v>
      </c>
      <c r="F578" s="826">
        <v>0</v>
      </c>
      <c r="G578" s="880">
        <v>0</v>
      </c>
      <c r="H578" s="465"/>
      <c r="I578" s="465"/>
      <c r="J578" s="826">
        <v>0</v>
      </c>
      <c r="K578" s="878">
        <v>0</v>
      </c>
    </row>
    <row r="579" spans="1:11" ht="22.5" customHeight="1" x14ac:dyDescent="0.25">
      <c r="A579" s="816" t="s">
        <v>220</v>
      </c>
      <c r="B579" s="880">
        <v>2025</v>
      </c>
      <c r="C579" s="816" t="s">
        <v>1857</v>
      </c>
      <c r="D579" s="816" t="s">
        <v>1858</v>
      </c>
      <c r="E579" s="816" t="s">
        <v>2239</v>
      </c>
      <c r="F579" s="826">
        <v>137263.01</v>
      </c>
      <c r="G579" s="880">
        <v>0</v>
      </c>
      <c r="H579" s="465"/>
      <c r="I579" s="465"/>
      <c r="J579" s="826">
        <v>0</v>
      </c>
      <c r="K579" s="878">
        <v>137263.01</v>
      </c>
    </row>
    <row r="580" spans="1:11" ht="22.5" customHeight="1" x14ac:dyDescent="0.25">
      <c r="A580" s="816" t="s">
        <v>220</v>
      </c>
      <c r="B580" s="880">
        <v>2025</v>
      </c>
      <c r="C580" s="816" t="s">
        <v>1860</v>
      </c>
      <c r="D580" s="816" t="s">
        <v>1861</v>
      </c>
      <c r="E580" s="816" t="s">
        <v>2240</v>
      </c>
      <c r="F580" s="826">
        <v>0</v>
      </c>
      <c r="G580" s="880">
        <v>0</v>
      </c>
      <c r="H580" s="465"/>
      <c r="I580" s="465"/>
      <c r="J580" s="826">
        <v>0</v>
      </c>
      <c r="K580" s="878">
        <v>0</v>
      </c>
    </row>
    <row r="581" spans="1:11" ht="22.5" customHeight="1" x14ac:dyDescent="0.25">
      <c r="A581" s="816" t="s">
        <v>220</v>
      </c>
      <c r="B581" s="880">
        <v>2025</v>
      </c>
      <c r="C581" s="816" t="s">
        <v>1863</v>
      </c>
      <c r="D581" s="816" t="s">
        <v>1864</v>
      </c>
      <c r="E581" s="816" t="s">
        <v>2241</v>
      </c>
      <c r="F581" s="826">
        <v>0</v>
      </c>
      <c r="G581" s="880">
        <v>0</v>
      </c>
      <c r="H581" s="465"/>
      <c r="I581" s="465"/>
      <c r="J581" s="826">
        <v>0</v>
      </c>
      <c r="K581" s="878">
        <v>0</v>
      </c>
    </row>
    <row r="582" spans="1:11" ht="22.5" customHeight="1" x14ac:dyDescent="0.25">
      <c r="A582" s="816" t="s">
        <v>220</v>
      </c>
      <c r="B582" s="880">
        <v>2025</v>
      </c>
      <c r="C582" s="816" t="s">
        <v>1866</v>
      </c>
      <c r="D582" s="816" t="s">
        <v>1867</v>
      </c>
      <c r="E582" s="816" t="s">
        <v>2242</v>
      </c>
      <c r="F582" s="826">
        <v>0</v>
      </c>
      <c r="G582" s="880">
        <v>0</v>
      </c>
      <c r="H582" s="465"/>
      <c r="I582" s="465"/>
      <c r="J582" s="826">
        <v>0</v>
      </c>
      <c r="K582" s="878">
        <v>0</v>
      </c>
    </row>
    <row r="583" spans="1:11" ht="22.5" customHeight="1" x14ac:dyDescent="0.25">
      <c r="A583" s="816" t="s">
        <v>220</v>
      </c>
      <c r="B583" s="880">
        <v>2025</v>
      </c>
      <c r="C583" s="816" t="s">
        <v>1869</v>
      </c>
      <c r="D583" s="816" t="s">
        <v>1870</v>
      </c>
      <c r="E583" s="816" t="s">
        <v>2243</v>
      </c>
      <c r="F583" s="826">
        <v>0</v>
      </c>
      <c r="G583" s="880">
        <v>0</v>
      </c>
      <c r="H583" s="465"/>
      <c r="I583" s="465"/>
      <c r="J583" s="826">
        <v>0</v>
      </c>
      <c r="K583" s="878">
        <v>0</v>
      </c>
    </row>
    <row r="584" spans="1:11" ht="22.5" customHeight="1" x14ac:dyDescent="0.25">
      <c r="A584" s="816" t="s">
        <v>220</v>
      </c>
      <c r="B584" s="880">
        <v>2025</v>
      </c>
      <c r="C584" s="816" t="s">
        <v>1872</v>
      </c>
      <c r="D584" s="816" t="s">
        <v>1873</v>
      </c>
      <c r="E584" s="816" t="s">
        <v>2244</v>
      </c>
      <c r="F584" s="826">
        <v>0</v>
      </c>
      <c r="G584" s="880">
        <v>0</v>
      </c>
      <c r="H584" s="465"/>
      <c r="I584" s="465"/>
      <c r="J584" s="826">
        <v>0</v>
      </c>
      <c r="K584" s="878">
        <v>0</v>
      </c>
    </row>
    <row r="585" spans="1:11" ht="22.5" customHeight="1" x14ac:dyDescent="0.25">
      <c r="A585" s="816" t="s">
        <v>220</v>
      </c>
      <c r="B585" s="880">
        <v>2025</v>
      </c>
      <c r="C585" s="816" t="s">
        <v>1875</v>
      </c>
      <c r="D585" s="816" t="s">
        <v>1876</v>
      </c>
      <c r="E585" s="816" t="s">
        <v>2245</v>
      </c>
      <c r="F585" s="826">
        <v>0</v>
      </c>
      <c r="G585" s="880">
        <v>0</v>
      </c>
      <c r="H585" s="465"/>
      <c r="I585" s="465"/>
      <c r="J585" s="826">
        <v>0</v>
      </c>
      <c r="K585" s="878">
        <v>0</v>
      </c>
    </row>
    <row r="586" spans="1:11" ht="22.5" customHeight="1" x14ac:dyDescent="0.25">
      <c r="A586" s="816" t="s">
        <v>220</v>
      </c>
      <c r="B586" s="880">
        <v>2025</v>
      </c>
      <c r="C586" s="816" t="s">
        <v>1878</v>
      </c>
      <c r="D586" s="816" t="s">
        <v>1879</v>
      </c>
      <c r="E586" s="816" t="s">
        <v>2246</v>
      </c>
      <c r="F586" s="826">
        <v>0</v>
      </c>
      <c r="G586" s="880">
        <v>0</v>
      </c>
      <c r="H586" s="465"/>
      <c r="I586" s="465"/>
      <c r="J586" s="826">
        <v>0</v>
      </c>
      <c r="K586" s="878">
        <v>0</v>
      </c>
    </row>
    <row r="587" spans="1:11" ht="22.5" customHeight="1" x14ac:dyDescent="0.25">
      <c r="A587" s="816" t="s">
        <v>220</v>
      </c>
      <c r="B587" s="880">
        <v>2025</v>
      </c>
      <c r="C587" s="816" t="s">
        <v>1881</v>
      </c>
      <c r="D587" s="816" t="s">
        <v>1882</v>
      </c>
      <c r="E587" s="816" t="s">
        <v>2247</v>
      </c>
      <c r="F587" s="826">
        <v>0</v>
      </c>
      <c r="G587" s="880">
        <v>0</v>
      </c>
      <c r="H587" s="465"/>
      <c r="I587" s="465"/>
      <c r="J587" s="826">
        <v>0</v>
      </c>
      <c r="K587" s="878">
        <v>0</v>
      </c>
    </row>
    <row r="588" spans="1:11" ht="22.5" customHeight="1" x14ac:dyDescent="0.25">
      <c r="A588" s="816" t="s">
        <v>220</v>
      </c>
      <c r="B588" s="880">
        <v>2025</v>
      </c>
      <c r="C588" s="816" t="s">
        <v>1884</v>
      </c>
      <c r="D588" s="816" t="s">
        <v>1885</v>
      </c>
      <c r="E588" s="816" t="s">
        <v>2248</v>
      </c>
      <c r="F588" s="826">
        <v>124477.79</v>
      </c>
      <c r="G588" s="880">
        <v>0</v>
      </c>
      <c r="H588" s="465"/>
      <c r="I588" s="465"/>
      <c r="J588" s="826">
        <v>0</v>
      </c>
      <c r="K588" s="878">
        <v>124477.79</v>
      </c>
    </row>
    <row r="589" spans="1:11" ht="22.5" customHeight="1" x14ac:dyDescent="0.25">
      <c r="A589" s="816" t="s">
        <v>220</v>
      </c>
      <c r="B589" s="880">
        <v>2025</v>
      </c>
      <c r="C589" s="816" t="s">
        <v>1887</v>
      </c>
      <c r="D589" s="816" t="s">
        <v>138</v>
      </c>
      <c r="E589" s="816" t="s">
        <v>2249</v>
      </c>
      <c r="F589" s="826">
        <v>1134055.47</v>
      </c>
      <c r="G589" s="880">
        <v>1</v>
      </c>
      <c r="H589" s="826">
        <v>1030478.35</v>
      </c>
      <c r="I589" s="826">
        <v>103577.12</v>
      </c>
      <c r="J589" s="826">
        <v>1134055.47</v>
      </c>
      <c r="K589" s="878">
        <v>1134055.47</v>
      </c>
    </row>
    <row r="590" spans="1:11" ht="22.5" customHeight="1" x14ac:dyDescent="0.25">
      <c r="A590" s="816" t="s">
        <v>220</v>
      </c>
      <c r="B590" s="880">
        <v>2025</v>
      </c>
      <c r="C590" s="816" t="s">
        <v>1889</v>
      </c>
      <c r="D590" s="816" t="s">
        <v>139</v>
      </c>
      <c r="E590" s="816" t="s">
        <v>2250</v>
      </c>
      <c r="F590" s="826">
        <v>-184390.94</v>
      </c>
      <c r="G590" s="880">
        <v>1</v>
      </c>
      <c r="H590" s="826">
        <v>-173584.24</v>
      </c>
      <c r="I590" s="826">
        <v>-10806.7</v>
      </c>
      <c r="J590" s="826">
        <v>-184390.94</v>
      </c>
      <c r="K590" s="878">
        <v>-184390.94</v>
      </c>
    </row>
    <row r="591" spans="1:11" ht="22.5" customHeight="1" x14ac:dyDescent="0.25">
      <c r="A591" s="816" t="s">
        <v>220</v>
      </c>
      <c r="B591" s="880">
        <v>2025</v>
      </c>
      <c r="C591" s="816" t="s">
        <v>1891</v>
      </c>
      <c r="D591" s="816" t="s">
        <v>1892</v>
      </c>
      <c r="E591" s="816" t="s">
        <v>2251</v>
      </c>
      <c r="F591" s="826">
        <v>-9204.84</v>
      </c>
      <c r="G591" s="880">
        <v>0</v>
      </c>
      <c r="H591" s="465"/>
      <c r="I591" s="465"/>
      <c r="J591" s="826">
        <v>0</v>
      </c>
      <c r="K591" s="878">
        <v>-9204.84</v>
      </c>
    </row>
    <row r="592" spans="1:11" ht="22.5" customHeight="1" x14ac:dyDescent="0.25">
      <c r="A592" s="816" t="s">
        <v>220</v>
      </c>
      <c r="B592" s="880">
        <v>2025</v>
      </c>
      <c r="C592" s="816" t="s">
        <v>1891</v>
      </c>
      <c r="D592" s="816" t="s">
        <v>1894</v>
      </c>
      <c r="E592" s="816" t="s">
        <v>2251</v>
      </c>
      <c r="F592" s="826">
        <v>0</v>
      </c>
      <c r="G592" s="880">
        <v>0</v>
      </c>
      <c r="H592" s="465"/>
      <c r="I592" s="465"/>
      <c r="J592" s="826">
        <v>0</v>
      </c>
      <c r="K592" s="881">
        <v>0</v>
      </c>
    </row>
    <row r="593" spans="1:11" ht="22.5" customHeight="1" x14ac:dyDescent="0.25">
      <c r="A593" s="816" t="s">
        <v>220</v>
      </c>
      <c r="B593" s="880">
        <v>2025</v>
      </c>
      <c r="C593" s="816" t="s">
        <v>1895</v>
      </c>
      <c r="D593" s="816" t="s">
        <v>1896</v>
      </c>
      <c r="E593" s="816" t="s">
        <v>2252</v>
      </c>
      <c r="F593" s="826">
        <v>0</v>
      </c>
      <c r="G593" s="880">
        <v>0</v>
      </c>
      <c r="H593" s="465"/>
      <c r="I593" s="465"/>
      <c r="J593" s="826">
        <v>0</v>
      </c>
      <c r="K593" s="878">
        <v>0</v>
      </c>
    </row>
    <row r="594" spans="1:11" ht="22.5" customHeight="1" x14ac:dyDescent="0.25">
      <c r="A594" s="816" t="s">
        <v>220</v>
      </c>
      <c r="B594" s="880">
        <v>2025</v>
      </c>
      <c r="C594" s="816" t="s">
        <v>1898</v>
      </c>
      <c r="D594" s="816" t="s">
        <v>1899</v>
      </c>
      <c r="E594" s="816" t="s">
        <v>2253</v>
      </c>
      <c r="F594" s="826">
        <v>0.33</v>
      </c>
      <c r="G594" s="880">
        <v>0</v>
      </c>
      <c r="H594" s="465"/>
      <c r="I594" s="465"/>
      <c r="J594" s="826">
        <v>0</v>
      </c>
      <c r="K594" s="878">
        <v>0.33</v>
      </c>
    </row>
    <row r="595" spans="1:11" ht="22.5" customHeight="1" x14ac:dyDescent="0.25">
      <c r="A595" s="816" t="s">
        <v>220</v>
      </c>
      <c r="B595" s="880">
        <v>2025</v>
      </c>
      <c r="C595" s="816" t="s">
        <v>1901</v>
      </c>
      <c r="D595" s="816" t="s">
        <v>1902</v>
      </c>
      <c r="E595" s="816" t="s">
        <v>2254</v>
      </c>
      <c r="F595" s="826">
        <v>0</v>
      </c>
      <c r="G595" s="880">
        <v>0</v>
      </c>
      <c r="H595" s="465"/>
      <c r="I595" s="465"/>
      <c r="J595" s="826">
        <v>0</v>
      </c>
      <c r="K595" s="878">
        <v>0</v>
      </c>
    </row>
    <row r="596" spans="1:11" ht="22.5" customHeight="1" x14ac:dyDescent="0.25">
      <c r="A596" s="816" t="s">
        <v>220</v>
      </c>
      <c r="B596" s="880">
        <v>2025</v>
      </c>
      <c r="C596" s="816" t="s">
        <v>1904</v>
      </c>
      <c r="D596" s="816" t="s">
        <v>1905</v>
      </c>
      <c r="E596" s="816" t="s">
        <v>2255</v>
      </c>
      <c r="F596" s="826">
        <v>0</v>
      </c>
      <c r="G596" s="880">
        <v>0</v>
      </c>
      <c r="H596" s="465"/>
      <c r="I596" s="465"/>
      <c r="J596" s="826">
        <v>0</v>
      </c>
      <c r="K596" s="878">
        <v>0</v>
      </c>
    </row>
    <row r="597" spans="1:11" ht="22.5" customHeight="1" x14ac:dyDescent="0.25">
      <c r="A597" s="816" t="s">
        <v>220</v>
      </c>
      <c r="B597" s="880">
        <v>2025</v>
      </c>
      <c r="C597" s="816" t="s">
        <v>1907</v>
      </c>
      <c r="D597" s="816" t="s">
        <v>1908</v>
      </c>
      <c r="E597" s="816" t="s">
        <v>2256</v>
      </c>
      <c r="F597" s="826">
        <v>0</v>
      </c>
      <c r="G597" s="880">
        <v>0</v>
      </c>
      <c r="H597" s="465"/>
      <c r="I597" s="465"/>
      <c r="J597" s="826">
        <v>0</v>
      </c>
      <c r="K597" s="878">
        <v>0</v>
      </c>
    </row>
    <row r="598" spans="1:11" ht="22.5" customHeight="1" x14ac:dyDescent="0.25">
      <c r="A598" s="816" t="s">
        <v>220</v>
      </c>
      <c r="B598" s="880">
        <v>2025</v>
      </c>
      <c r="C598" s="816" t="s">
        <v>1910</v>
      </c>
      <c r="D598" s="816" t="s">
        <v>1911</v>
      </c>
      <c r="E598" s="816" t="s">
        <v>2257</v>
      </c>
      <c r="F598" s="826">
        <v>-95664.73</v>
      </c>
      <c r="G598" s="880">
        <v>0</v>
      </c>
      <c r="H598" s="465"/>
      <c r="I598" s="465"/>
      <c r="J598" s="826">
        <v>0</v>
      </c>
      <c r="K598" s="878">
        <v>-95664.73</v>
      </c>
    </row>
    <row r="599" spans="1:11" ht="22.5" customHeight="1" x14ac:dyDescent="0.25">
      <c r="A599" s="816" t="s">
        <v>220</v>
      </c>
      <c r="B599" s="880">
        <v>2025</v>
      </c>
      <c r="C599" s="816" t="s">
        <v>1913</v>
      </c>
      <c r="D599" s="816" t="s">
        <v>1914</v>
      </c>
      <c r="E599" s="816" t="s">
        <v>2258</v>
      </c>
      <c r="F599" s="826">
        <v>-1134179.9099999999</v>
      </c>
      <c r="G599" s="880">
        <v>1</v>
      </c>
      <c r="H599" s="826">
        <v>-1071807.06</v>
      </c>
      <c r="I599" s="826">
        <v>-62372.85</v>
      </c>
      <c r="J599" s="826">
        <v>-1134179.9099999999</v>
      </c>
      <c r="K599" s="878">
        <v>-1134179.9099999999</v>
      </c>
    </row>
    <row r="600" spans="1:11" ht="22.5" customHeight="1" x14ac:dyDescent="0.25">
      <c r="A600" s="816" t="s">
        <v>220</v>
      </c>
      <c r="B600" s="880">
        <v>2025</v>
      </c>
      <c r="C600" s="816" t="s">
        <v>1913</v>
      </c>
      <c r="D600" s="816" t="s">
        <v>1916</v>
      </c>
      <c r="E600" s="816" t="s">
        <v>2258</v>
      </c>
      <c r="F600" s="826">
        <v>0</v>
      </c>
      <c r="G600" s="880">
        <v>0</v>
      </c>
      <c r="H600" s="465"/>
      <c r="I600" s="465"/>
      <c r="J600" s="826">
        <v>0</v>
      </c>
      <c r="K600" s="881">
        <v>0</v>
      </c>
    </row>
    <row r="601" spans="1:11" ht="22.5" customHeight="1" x14ac:dyDescent="0.25">
      <c r="A601" s="816" t="s">
        <v>220</v>
      </c>
      <c r="B601" s="880">
        <v>2025</v>
      </c>
      <c r="C601" s="816" t="s">
        <v>1913</v>
      </c>
      <c r="D601" s="816" t="s">
        <v>1917</v>
      </c>
      <c r="E601" s="816" t="s">
        <v>2258</v>
      </c>
      <c r="F601" s="826">
        <v>0</v>
      </c>
      <c r="G601" s="880">
        <v>0</v>
      </c>
      <c r="H601" s="465"/>
      <c r="I601" s="465"/>
      <c r="J601" s="826">
        <v>0</v>
      </c>
      <c r="K601" s="881">
        <v>0</v>
      </c>
    </row>
    <row r="602" spans="1:11" ht="22.5" customHeight="1" x14ac:dyDescent="0.25">
      <c r="A602" s="816" t="s">
        <v>220</v>
      </c>
      <c r="B602" s="880">
        <v>2025</v>
      </c>
      <c r="C602" s="816" t="s">
        <v>1913</v>
      </c>
      <c r="D602" s="816" t="s">
        <v>1918</v>
      </c>
      <c r="E602" s="816" t="s">
        <v>2258</v>
      </c>
      <c r="F602" s="826">
        <v>0</v>
      </c>
      <c r="G602" s="880">
        <v>0</v>
      </c>
      <c r="H602" s="465"/>
      <c r="I602" s="465"/>
      <c r="J602" s="826">
        <v>0</v>
      </c>
      <c r="K602" s="881">
        <v>2631.9</v>
      </c>
    </row>
    <row r="603" spans="1:11" ht="22.5" customHeight="1" x14ac:dyDescent="0.25">
      <c r="A603" s="816" t="s">
        <v>220</v>
      </c>
      <c r="B603" s="880">
        <v>2025</v>
      </c>
      <c r="C603" s="816" t="s">
        <v>1913</v>
      </c>
      <c r="D603" s="816" t="s">
        <v>1919</v>
      </c>
      <c r="E603" s="816" t="s">
        <v>2258</v>
      </c>
      <c r="F603" s="826">
        <v>0</v>
      </c>
      <c r="G603" s="880">
        <v>0</v>
      </c>
      <c r="H603" s="465"/>
      <c r="I603" s="465"/>
      <c r="J603" s="826">
        <v>0</v>
      </c>
      <c r="K603" s="881">
        <v>613262.17000000004</v>
      </c>
    </row>
    <row r="604" spans="1:11" ht="22.5" customHeight="1" x14ac:dyDescent="0.25">
      <c r="A604" s="816" t="s">
        <v>220</v>
      </c>
      <c r="B604" s="880">
        <v>2025</v>
      </c>
      <c r="C604" s="816" t="s">
        <v>1920</v>
      </c>
      <c r="D604" s="816" t="s">
        <v>1921</v>
      </c>
      <c r="E604" s="816" t="s">
        <v>2259</v>
      </c>
      <c r="F604" s="826">
        <v>0</v>
      </c>
      <c r="G604" s="880">
        <v>0</v>
      </c>
      <c r="H604" s="465"/>
      <c r="I604" s="465"/>
      <c r="J604" s="826">
        <v>0</v>
      </c>
      <c r="K604" s="878">
        <v>0</v>
      </c>
    </row>
    <row r="605" spans="1:11" ht="22.5" customHeight="1" x14ac:dyDescent="0.25">
      <c r="A605" s="816" t="s">
        <v>220</v>
      </c>
      <c r="B605" s="880">
        <v>2025</v>
      </c>
      <c r="C605" s="816" t="s">
        <v>1923</v>
      </c>
      <c r="D605" s="816" t="s">
        <v>143</v>
      </c>
      <c r="E605" s="816" t="s">
        <v>2260</v>
      </c>
      <c r="F605" s="826">
        <v>2018589.4</v>
      </c>
      <c r="G605" s="880">
        <v>1</v>
      </c>
      <c r="H605" s="826">
        <v>1872333.43</v>
      </c>
      <c r="I605" s="826">
        <v>146255.97</v>
      </c>
      <c r="J605" s="826">
        <v>2018589.4</v>
      </c>
      <c r="K605" s="878">
        <v>2018589.4</v>
      </c>
    </row>
    <row r="606" spans="1:11" ht="22.5" customHeight="1" x14ac:dyDescent="0.25">
      <c r="A606" s="816" t="s">
        <v>220</v>
      </c>
      <c r="B606" s="880">
        <v>2025</v>
      </c>
      <c r="C606" s="816" t="s">
        <v>1925</v>
      </c>
      <c r="D606" s="816" t="s">
        <v>144</v>
      </c>
      <c r="E606" s="816" t="s">
        <v>2261</v>
      </c>
      <c r="F606" s="826">
        <v>1323544.67</v>
      </c>
      <c r="G606" s="880">
        <v>1</v>
      </c>
      <c r="H606" s="826">
        <v>1244429.75</v>
      </c>
      <c r="I606" s="826">
        <v>79114.92</v>
      </c>
      <c r="J606" s="826">
        <v>1323544.67</v>
      </c>
      <c r="K606" s="878">
        <v>1323544.67</v>
      </c>
    </row>
    <row r="607" spans="1:11" ht="22.5" customHeight="1" x14ac:dyDescent="0.25">
      <c r="A607" s="816" t="s">
        <v>220</v>
      </c>
      <c r="B607" s="880">
        <v>2025</v>
      </c>
      <c r="C607" s="816" t="s">
        <v>1927</v>
      </c>
      <c r="D607" s="816" t="s">
        <v>1928</v>
      </c>
      <c r="E607" s="816" t="s">
        <v>2262</v>
      </c>
      <c r="F607" s="826">
        <v>437823.2</v>
      </c>
      <c r="G607" s="880">
        <v>1</v>
      </c>
      <c r="H607" s="826">
        <v>400216.23</v>
      </c>
      <c r="I607" s="826">
        <v>37606.97</v>
      </c>
      <c r="J607" s="826">
        <v>437823.2</v>
      </c>
      <c r="K607" s="878">
        <v>437823.2</v>
      </c>
    </row>
    <row r="608" spans="1:11" ht="22.5" customHeight="1" x14ac:dyDescent="0.25">
      <c r="A608" s="816" t="s">
        <v>220</v>
      </c>
      <c r="B608" s="880">
        <v>2025</v>
      </c>
      <c r="C608" s="816" t="s">
        <v>1930</v>
      </c>
      <c r="D608" s="816" t="s">
        <v>156</v>
      </c>
      <c r="E608" s="816" t="s">
        <v>2263</v>
      </c>
      <c r="F608" s="826">
        <v>1055138.22</v>
      </c>
      <c r="G608" s="880">
        <v>1</v>
      </c>
      <c r="H608" s="826">
        <v>960266</v>
      </c>
      <c r="I608" s="826">
        <v>94872.22</v>
      </c>
      <c r="J608" s="826">
        <v>1055138.22</v>
      </c>
      <c r="K608" s="878">
        <v>1055138.22</v>
      </c>
    </row>
    <row r="609" spans="1:11" ht="22.5" customHeight="1" x14ac:dyDescent="0.25">
      <c r="A609" s="816" t="s">
        <v>220</v>
      </c>
      <c r="B609" s="880">
        <v>2025</v>
      </c>
      <c r="C609" s="816" t="s">
        <v>1932</v>
      </c>
      <c r="D609" s="816" t="s">
        <v>1933</v>
      </c>
      <c r="E609" s="816" t="s">
        <v>2264</v>
      </c>
      <c r="F609" s="826">
        <v>-4301667.05</v>
      </c>
      <c r="G609" s="880">
        <v>0</v>
      </c>
      <c r="H609" s="465"/>
      <c r="I609" s="465"/>
      <c r="J609" s="826">
        <v>0</v>
      </c>
      <c r="K609" s="878">
        <v>-4301667.05</v>
      </c>
    </row>
    <row r="610" spans="1:11" ht="22.5" customHeight="1" x14ac:dyDescent="0.25">
      <c r="A610" s="816" t="s">
        <v>220</v>
      </c>
      <c r="B610" s="880">
        <v>2025</v>
      </c>
      <c r="C610" s="816" t="s">
        <v>1935</v>
      </c>
      <c r="D610" s="816" t="s">
        <v>1936</v>
      </c>
      <c r="E610" s="816" t="s">
        <v>8022</v>
      </c>
      <c r="F610" s="826">
        <v>0</v>
      </c>
      <c r="G610" s="880">
        <v>1</v>
      </c>
      <c r="H610" s="465"/>
      <c r="I610" s="465"/>
      <c r="J610" s="826">
        <v>0</v>
      </c>
      <c r="K610" s="878">
        <v>0</v>
      </c>
    </row>
    <row r="611" spans="1:11" ht="22.5" customHeight="1" x14ac:dyDescent="0.25">
      <c r="A611" s="816" t="s">
        <v>220</v>
      </c>
      <c r="B611" s="880">
        <v>2025</v>
      </c>
      <c r="C611" s="816" t="s">
        <v>1935</v>
      </c>
      <c r="D611" s="816" t="s">
        <v>1937</v>
      </c>
      <c r="E611" s="816" t="s">
        <v>8023</v>
      </c>
      <c r="F611" s="826">
        <v>0</v>
      </c>
      <c r="G611" s="880">
        <v>1</v>
      </c>
      <c r="H611" s="465"/>
      <c r="I611" s="465"/>
      <c r="J611" s="826">
        <v>0</v>
      </c>
      <c r="K611" s="878">
        <v>0</v>
      </c>
    </row>
    <row r="612" spans="1:11" ht="22.5" customHeight="1" x14ac:dyDescent="0.25">
      <c r="A612" s="816" t="s">
        <v>220</v>
      </c>
      <c r="B612" s="880">
        <v>2025</v>
      </c>
      <c r="C612" s="816" t="s">
        <v>1935</v>
      </c>
      <c r="D612" s="816" t="s">
        <v>1938</v>
      </c>
      <c r="E612" s="816" t="s">
        <v>8024</v>
      </c>
      <c r="F612" s="826">
        <v>0</v>
      </c>
      <c r="G612" s="880">
        <v>1</v>
      </c>
      <c r="H612" s="465"/>
      <c r="I612" s="465"/>
      <c r="J612" s="826">
        <v>0</v>
      </c>
      <c r="K612" s="878">
        <v>0</v>
      </c>
    </row>
    <row r="613" spans="1:11" ht="22.5" customHeight="1" x14ac:dyDescent="0.25">
      <c r="A613" s="816" t="s">
        <v>220</v>
      </c>
      <c r="B613" s="880">
        <v>2025</v>
      </c>
      <c r="C613" s="816" t="s">
        <v>1935</v>
      </c>
      <c r="D613" s="816" t="s">
        <v>1939</v>
      </c>
      <c r="E613" s="816" t="s">
        <v>8025</v>
      </c>
      <c r="F613" s="826">
        <v>0</v>
      </c>
      <c r="G613" s="880">
        <v>1</v>
      </c>
      <c r="H613" s="465"/>
      <c r="I613" s="465"/>
      <c r="J613" s="826">
        <v>0</v>
      </c>
      <c r="K613" s="878">
        <v>0</v>
      </c>
    </row>
    <row r="614" spans="1:11" ht="22.5" customHeight="1" x14ac:dyDescent="0.25">
      <c r="A614" s="816" t="s">
        <v>220</v>
      </c>
      <c r="B614" s="880">
        <v>2025</v>
      </c>
      <c r="C614" s="816" t="s">
        <v>1935</v>
      </c>
      <c r="D614" s="816" t="s">
        <v>1940</v>
      </c>
      <c r="E614" s="816" t="s">
        <v>8026</v>
      </c>
      <c r="F614" s="826">
        <v>0</v>
      </c>
      <c r="G614" s="880">
        <v>1</v>
      </c>
      <c r="H614" s="465"/>
      <c r="I614" s="465"/>
      <c r="J614" s="826">
        <v>0</v>
      </c>
      <c r="K614" s="878">
        <v>0</v>
      </c>
    </row>
    <row r="615" spans="1:11" ht="22.5" customHeight="1" x14ac:dyDescent="0.25">
      <c r="A615" s="816" t="s">
        <v>220</v>
      </c>
      <c r="B615" s="880">
        <v>2025</v>
      </c>
      <c r="C615" s="816" t="s">
        <v>1935</v>
      </c>
      <c r="D615" s="816" t="s">
        <v>1941</v>
      </c>
      <c r="E615" s="816" t="s">
        <v>8027</v>
      </c>
      <c r="F615" s="826">
        <v>0</v>
      </c>
      <c r="G615" s="880">
        <v>1</v>
      </c>
      <c r="H615" s="465"/>
      <c r="I615" s="465"/>
      <c r="J615" s="826">
        <v>0</v>
      </c>
      <c r="K615" s="878">
        <v>0</v>
      </c>
    </row>
    <row r="616" spans="1:11" ht="22.5" customHeight="1" x14ac:dyDescent="0.25">
      <c r="A616" s="816" t="s">
        <v>220</v>
      </c>
      <c r="B616" s="880">
        <v>2025</v>
      </c>
      <c r="C616" s="816" t="s">
        <v>1935</v>
      </c>
      <c r="D616" s="816" t="s">
        <v>1942</v>
      </c>
      <c r="E616" s="816" t="s">
        <v>8028</v>
      </c>
      <c r="F616" s="826">
        <v>0</v>
      </c>
      <c r="G616" s="880">
        <v>1</v>
      </c>
      <c r="H616" s="465"/>
      <c r="I616" s="465"/>
      <c r="J616" s="826">
        <v>0</v>
      </c>
      <c r="K616" s="878">
        <v>0</v>
      </c>
    </row>
    <row r="617" spans="1:11" ht="22.5" customHeight="1" x14ac:dyDescent="0.25">
      <c r="A617" s="816" t="s">
        <v>220</v>
      </c>
      <c r="B617" s="880">
        <v>2025</v>
      </c>
      <c r="C617" s="816" t="s">
        <v>1935</v>
      </c>
      <c r="D617" s="816" t="s">
        <v>1943</v>
      </c>
      <c r="E617" s="816" t="s">
        <v>8029</v>
      </c>
      <c r="F617" s="826">
        <v>0</v>
      </c>
      <c r="G617" s="880">
        <v>1</v>
      </c>
      <c r="H617" s="465"/>
      <c r="I617" s="465"/>
      <c r="J617" s="826">
        <v>0</v>
      </c>
      <c r="K617" s="878">
        <v>0</v>
      </c>
    </row>
    <row r="618" spans="1:11" ht="22.5" customHeight="1" x14ac:dyDescent="0.25">
      <c r="A618" s="816" t="s">
        <v>220</v>
      </c>
      <c r="B618" s="880">
        <v>2025</v>
      </c>
      <c r="C618" s="816" t="s">
        <v>1935</v>
      </c>
      <c r="D618" s="816" t="s">
        <v>1944</v>
      </c>
      <c r="E618" s="816" t="s">
        <v>8030</v>
      </c>
      <c r="F618" s="826">
        <v>0</v>
      </c>
      <c r="G618" s="880">
        <v>1</v>
      </c>
      <c r="H618" s="465"/>
      <c r="I618" s="465"/>
      <c r="J618" s="826">
        <v>0</v>
      </c>
      <c r="K618" s="878">
        <v>0</v>
      </c>
    </row>
    <row r="619" spans="1:11" ht="22.5" customHeight="1" x14ac:dyDescent="0.25">
      <c r="A619" s="816" t="s">
        <v>220</v>
      </c>
      <c r="B619" s="880">
        <v>2025</v>
      </c>
      <c r="C619" s="816" t="s">
        <v>1935</v>
      </c>
      <c r="D619" s="816" t="s">
        <v>1945</v>
      </c>
      <c r="E619" s="816" t="s">
        <v>8031</v>
      </c>
      <c r="F619" s="826">
        <v>0</v>
      </c>
      <c r="G619" s="880">
        <v>1</v>
      </c>
      <c r="H619" s="465"/>
      <c r="I619" s="465"/>
      <c r="J619" s="826">
        <v>0</v>
      </c>
      <c r="K619" s="878">
        <v>0</v>
      </c>
    </row>
    <row r="620" spans="1:11" ht="22.5" customHeight="1" x14ac:dyDescent="0.25">
      <c r="A620" s="816" t="s">
        <v>220</v>
      </c>
      <c r="B620" s="880">
        <v>2025</v>
      </c>
      <c r="C620" s="816" t="s">
        <v>1935</v>
      </c>
      <c r="D620" s="816" t="s">
        <v>1946</v>
      </c>
      <c r="E620" s="816" t="s">
        <v>8032</v>
      </c>
      <c r="F620" s="826">
        <v>0</v>
      </c>
      <c r="G620" s="880">
        <v>1</v>
      </c>
      <c r="H620" s="465"/>
      <c r="I620" s="465"/>
      <c r="J620" s="826">
        <v>0</v>
      </c>
      <c r="K620" s="878">
        <v>0</v>
      </c>
    </row>
    <row r="621" spans="1:11" ht="22.5" customHeight="1" x14ac:dyDescent="0.25">
      <c r="A621" s="816" t="s">
        <v>220</v>
      </c>
      <c r="B621" s="880">
        <v>2025</v>
      </c>
      <c r="C621" s="816" t="s">
        <v>1935</v>
      </c>
      <c r="D621" s="816" t="s">
        <v>1947</v>
      </c>
      <c r="E621" s="816" t="s">
        <v>8033</v>
      </c>
      <c r="F621" s="826">
        <v>0</v>
      </c>
      <c r="G621" s="880">
        <v>1</v>
      </c>
      <c r="H621" s="826">
        <v>0.02</v>
      </c>
      <c r="I621" s="465"/>
      <c r="J621" s="826">
        <v>0.02</v>
      </c>
      <c r="K621" s="878">
        <v>0.02</v>
      </c>
    </row>
    <row r="622" spans="1:11" ht="22.5" customHeight="1" x14ac:dyDescent="0.25">
      <c r="A622" s="816" t="s">
        <v>220</v>
      </c>
      <c r="B622" s="880">
        <v>2025</v>
      </c>
      <c r="C622" s="816" t="s">
        <v>1935</v>
      </c>
      <c r="D622" s="816" t="s">
        <v>1948</v>
      </c>
      <c r="E622" s="816" t="s">
        <v>8034</v>
      </c>
      <c r="F622" s="826">
        <v>0</v>
      </c>
      <c r="G622" s="880">
        <v>1</v>
      </c>
      <c r="H622" s="826">
        <v>81901.91</v>
      </c>
      <c r="I622" s="465"/>
      <c r="J622" s="826">
        <v>81901.91</v>
      </c>
      <c r="K622" s="878">
        <v>81901.91</v>
      </c>
    </row>
    <row r="623" spans="1:11" ht="22.5" customHeight="1" x14ac:dyDescent="0.25">
      <c r="A623" s="816" t="s">
        <v>220</v>
      </c>
      <c r="B623" s="880">
        <v>2025</v>
      </c>
      <c r="C623" s="816" t="s">
        <v>1935</v>
      </c>
      <c r="D623" s="816" t="s">
        <v>1949</v>
      </c>
      <c r="E623" s="816" t="s">
        <v>8035</v>
      </c>
      <c r="F623" s="826">
        <v>0</v>
      </c>
      <c r="G623" s="880">
        <v>1</v>
      </c>
      <c r="H623" s="826">
        <v>-1399.79</v>
      </c>
      <c r="I623" s="826">
        <v>20127.66</v>
      </c>
      <c r="J623" s="826">
        <v>18727.87</v>
      </c>
      <c r="K623" s="878">
        <v>18727.87</v>
      </c>
    </row>
    <row r="624" spans="1:11" ht="22.5" customHeight="1" x14ac:dyDescent="0.25">
      <c r="A624" s="816" t="s">
        <v>220</v>
      </c>
      <c r="B624" s="880">
        <v>2025</v>
      </c>
      <c r="C624" s="816" t="s">
        <v>1935</v>
      </c>
      <c r="D624" s="816" t="s">
        <v>1950</v>
      </c>
      <c r="E624" s="816" t="s">
        <v>8036</v>
      </c>
      <c r="F624" s="826">
        <v>0</v>
      </c>
      <c r="G624" s="880">
        <v>1</v>
      </c>
      <c r="H624" s="826">
        <v>7575.48</v>
      </c>
      <c r="I624" s="826">
        <v>6672.01</v>
      </c>
      <c r="J624" s="826">
        <v>14247.49</v>
      </c>
      <c r="K624" s="878">
        <v>14247.49</v>
      </c>
    </row>
    <row r="625" spans="1:11" ht="22.5" customHeight="1" x14ac:dyDescent="0.25">
      <c r="A625" s="816" t="s">
        <v>220</v>
      </c>
      <c r="B625" s="880">
        <v>2025</v>
      </c>
      <c r="C625" s="816" t="s">
        <v>1935</v>
      </c>
      <c r="D625" s="816" t="s">
        <v>1951</v>
      </c>
      <c r="E625" s="816" t="s">
        <v>8037</v>
      </c>
      <c r="F625" s="826">
        <v>0</v>
      </c>
      <c r="G625" s="880">
        <v>1</v>
      </c>
      <c r="H625" s="826">
        <v>-113021.2</v>
      </c>
      <c r="I625" s="826">
        <v>116854.91</v>
      </c>
      <c r="J625" s="826">
        <v>3833.71000000001</v>
      </c>
      <c r="K625" s="878">
        <v>3833.71000000001</v>
      </c>
    </row>
    <row r="626" spans="1:11" ht="22.5" customHeight="1" x14ac:dyDescent="0.25">
      <c r="A626" s="816" t="s">
        <v>220</v>
      </c>
      <c r="B626" s="880">
        <v>2025</v>
      </c>
      <c r="C626" s="816" t="s">
        <v>1935</v>
      </c>
      <c r="D626" s="816" t="s">
        <v>7801</v>
      </c>
      <c r="E626" s="816" t="s">
        <v>8038</v>
      </c>
      <c r="F626" s="826">
        <v>0</v>
      </c>
      <c r="G626" s="880">
        <v>1</v>
      </c>
      <c r="H626" s="826">
        <v>1876891.93</v>
      </c>
      <c r="I626" s="826">
        <v>119186.61</v>
      </c>
      <c r="J626" s="826">
        <v>1996078.54</v>
      </c>
      <c r="K626" s="878">
        <v>1996078.54</v>
      </c>
    </row>
    <row r="627" spans="1:11" ht="22.5" customHeight="1" x14ac:dyDescent="0.25">
      <c r="A627" s="816" t="s">
        <v>220</v>
      </c>
      <c r="B627" s="880">
        <v>2025</v>
      </c>
      <c r="C627" s="816" t="s">
        <v>1935</v>
      </c>
      <c r="D627" s="816" t="s">
        <v>1952</v>
      </c>
      <c r="E627" s="816" t="s">
        <v>8039</v>
      </c>
      <c r="F627" s="826">
        <v>2114789.54</v>
      </c>
      <c r="G627" s="880">
        <v>0</v>
      </c>
      <c r="H627" s="465"/>
      <c r="I627" s="465"/>
      <c r="J627" s="826">
        <v>0</v>
      </c>
      <c r="K627" s="878">
        <v>2114789.54</v>
      </c>
    </row>
    <row r="628" spans="1:11" ht="22.5" customHeight="1" x14ac:dyDescent="0.25">
      <c r="A628" s="816" t="s">
        <v>220</v>
      </c>
      <c r="B628" s="880">
        <v>2025</v>
      </c>
      <c r="C628" s="816" t="s">
        <v>1953</v>
      </c>
      <c r="D628" s="816" t="s">
        <v>1954</v>
      </c>
      <c r="E628" s="816" t="s">
        <v>2265</v>
      </c>
      <c r="F628" s="826">
        <v>-28416.240000000002</v>
      </c>
      <c r="G628" s="880">
        <v>0</v>
      </c>
      <c r="H628" s="465"/>
      <c r="I628" s="465"/>
      <c r="J628" s="826">
        <v>0</v>
      </c>
      <c r="K628" s="878">
        <v>-28416.240000000002</v>
      </c>
    </row>
    <row r="629" spans="1:11" ht="22.5" customHeight="1" x14ac:dyDescent="0.25">
      <c r="A629" s="816" t="s">
        <v>222</v>
      </c>
      <c r="B629" s="880">
        <v>2025</v>
      </c>
      <c r="C629" s="816" t="s">
        <v>1854</v>
      </c>
      <c r="D629" s="816" t="s">
        <v>1855</v>
      </c>
      <c r="E629" s="816" t="s">
        <v>2266</v>
      </c>
      <c r="F629" s="826">
        <v>176096.39</v>
      </c>
      <c r="G629" s="880">
        <v>0</v>
      </c>
      <c r="H629" s="465"/>
      <c r="I629" s="465"/>
      <c r="J629" s="826">
        <v>0</v>
      </c>
      <c r="K629" s="878">
        <v>176096.39</v>
      </c>
    </row>
    <row r="630" spans="1:11" ht="22.5" customHeight="1" x14ac:dyDescent="0.25">
      <c r="A630" s="816" t="s">
        <v>222</v>
      </c>
      <c r="B630" s="880">
        <v>2025</v>
      </c>
      <c r="C630" s="816" t="s">
        <v>7746</v>
      </c>
      <c r="D630" s="816" t="s">
        <v>7747</v>
      </c>
      <c r="E630" s="816" t="s">
        <v>7760</v>
      </c>
      <c r="F630" s="826">
        <v>112939.29</v>
      </c>
      <c r="G630" s="880">
        <v>0</v>
      </c>
      <c r="H630" s="465"/>
      <c r="I630" s="465"/>
      <c r="J630" s="826">
        <v>0</v>
      </c>
      <c r="K630" s="878">
        <v>112939.29</v>
      </c>
    </row>
    <row r="631" spans="1:11" ht="22.5" customHeight="1" x14ac:dyDescent="0.25">
      <c r="A631" s="816" t="s">
        <v>222</v>
      </c>
      <c r="B631" s="880">
        <v>2025</v>
      </c>
      <c r="C631" s="816" t="s">
        <v>1857</v>
      </c>
      <c r="D631" s="816" t="s">
        <v>1858</v>
      </c>
      <c r="E631" s="816" t="s">
        <v>2267</v>
      </c>
      <c r="F631" s="826">
        <v>0</v>
      </c>
      <c r="G631" s="880">
        <v>0</v>
      </c>
      <c r="H631" s="465"/>
      <c r="I631" s="465"/>
      <c r="J631" s="826">
        <v>0</v>
      </c>
      <c r="K631" s="878">
        <v>0</v>
      </c>
    </row>
    <row r="632" spans="1:11" ht="22.5" customHeight="1" x14ac:dyDescent="0.25">
      <c r="A632" s="816" t="s">
        <v>222</v>
      </c>
      <c r="B632" s="880">
        <v>2025</v>
      </c>
      <c r="C632" s="816" t="s">
        <v>1860</v>
      </c>
      <c r="D632" s="816" t="s">
        <v>1861</v>
      </c>
      <c r="E632" s="816" t="s">
        <v>2268</v>
      </c>
      <c r="F632" s="826">
        <v>-1143447.72</v>
      </c>
      <c r="G632" s="880">
        <v>0</v>
      </c>
      <c r="H632" s="465"/>
      <c r="I632" s="465"/>
      <c r="J632" s="826">
        <v>0</v>
      </c>
      <c r="K632" s="878">
        <v>-1143447.72</v>
      </c>
    </row>
    <row r="633" spans="1:11" ht="22.5" customHeight="1" x14ac:dyDescent="0.25">
      <c r="A633" s="816" t="s">
        <v>222</v>
      </c>
      <c r="B633" s="880">
        <v>2025</v>
      </c>
      <c r="C633" s="816" t="s">
        <v>1863</v>
      </c>
      <c r="D633" s="816" t="s">
        <v>1864</v>
      </c>
      <c r="E633" s="816" t="s">
        <v>2269</v>
      </c>
      <c r="F633" s="826">
        <v>0</v>
      </c>
      <c r="G633" s="880">
        <v>0</v>
      </c>
      <c r="H633" s="465"/>
      <c r="I633" s="465"/>
      <c r="J633" s="826">
        <v>0</v>
      </c>
      <c r="K633" s="878">
        <v>0</v>
      </c>
    </row>
    <row r="634" spans="1:11" ht="22.5" customHeight="1" x14ac:dyDescent="0.25">
      <c r="A634" s="816" t="s">
        <v>222</v>
      </c>
      <c r="B634" s="880">
        <v>2025</v>
      </c>
      <c r="C634" s="816" t="s">
        <v>1866</v>
      </c>
      <c r="D634" s="816" t="s">
        <v>1867</v>
      </c>
      <c r="E634" s="816" t="s">
        <v>2270</v>
      </c>
      <c r="F634" s="826">
        <v>0</v>
      </c>
      <c r="G634" s="880">
        <v>0</v>
      </c>
      <c r="H634" s="465"/>
      <c r="I634" s="465"/>
      <c r="J634" s="826">
        <v>0</v>
      </c>
      <c r="K634" s="878">
        <v>0</v>
      </c>
    </row>
    <row r="635" spans="1:11" ht="22.5" customHeight="1" x14ac:dyDescent="0.25">
      <c r="A635" s="816" t="s">
        <v>222</v>
      </c>
      <c r="B635" s="880">
        <v>2025</v>
      </c>
      <c r="C635" s="816" t="s">
        <v>1869</v>
      </c>
      <c r="D635" s="816" t="s">
        <v>1870</v>
      </c>
      <c r="E635" s="816" t="s">
        <v>2271</v>
      </c>
      <c r="F635" s="826">
        <v>0</v>
      </c>
      <c r="G635" s="880">
        <v>0</v>
      </c>
      <c r="H635" s="465"/>
      <c r="I635" s="465"/>
      <c r="J635" s="826">
        <v>0</v>
      </c>
      <c r="K635" s="878">
        <v>0</v>
      </c>
    </row>
    <row r="636" spans="1:11" ht="22.5" customHeight="1" x14ac:dyDescent="0.25">
      <c r="A636" s="816" t="s">
        <v>222</v>
      </c>
      <c r="B636" s="880">
        <v>2025</v>
      </c>
      <c r="C636" s="816" t="s">
        <v>1872</v>
      </c>
      <c r="D636" s="816" t="s">
        <v>1873</v>
      </c>
      <c r="E636" s="816" t="s">
        <v>2272</v>
      </c>
      <c r="F636" s="826">
        <v>0</v>
      </c>
      <c r="G636" s="880">
        <v>0</v>
      </c>
      <c r="H636" s="465"/>
      <c r="I636" s="465"/>
      <c r="J636" s="826">
        <v>0</v>
      </c>
      <c r="K636" s="878">
        <v>0</v>
      </c>
    </row>
    <row r="637" spans="1:11" ht="22.5" customHeight="1" x14ac:dyDescent="0.25">
      <c r="A637" s="816" t="s">
        <v>222</v>
      </c>
      <c r="B637" s="880">
        <v>2025</v>
      </c>
      <c r="C637" s="816" t="s">
        <v>1875</v>
      </c>
      <c r="D637" s="816" t="s">
        <v>1876</v>
      </c>
      <c r="E637" s="816" t="s">
        <v>2273</v>
      </c>
      <c r="F637" s="826">
        <v>0</v>
      </c>
      <c r="G637" s="880">
        <v>0</v>
      </c>
      <c r="H637" s="465"/>
      <c r="I637" s="465"/>
      <c r="J637" s="826">
        <v>0</v>
      </c>
      <c r="K637" s="878">
        <v>0</v>
      </c>
    </row>
    <row r="638" spans="1:11" ht="22.5" customHeight="1" x14ac:dyDescent="0.25">
      <c r="A638" s="816" t="s">
        <v>222</v>
      </c>
      <c r="B638" s="880">
        <v>2025</v>
      </c>
      <c r="C638" s="816" t="s">
        <v>1878</v>
      </c>
      <c r="D638" s="816" t="s">
        <v>1879</v>
      </c>
      <c r="E638" s="816" t="s">
        <v>2274</v>
      </c>
      <c r="F638" s="826">
        <v>0</v>
      </c>
      <c r="G638" s="880">
        <v>0</v>
      </c>
      <c r="H638" s="465"/>
      <c r="I638" s="465"/>
      <c r="J638" s="826">
        <v>0</v>
      </c>
      <c r="K638" s="878">
        <v>0</v>
      </c>
    </row>
    <row r="639" spans="1:11" ht="22.5" customHeight="1" x14ac:dyDescent="0.25">
      <c r="A639" s="816" t="s">
        <v>222</v>
      </c>
      <c r="B639" s="880">
        <v>2025</v>
      </c>
      <c r="C639" s="816" t="s">
        <v>1881</v>
      </c>
      <c r="D639" s="816" t="s">
        <v>1882</v>
      </c>
      <c r="E639" s="816" t="s">
        <v>2275</v>
      </c>
      <c r="F639" s="826">
        <v>0</v>
      </c>
      <c r="G639" s="880">
        <v>0</v>
      </c>
      <c r="H639" s="465"/>
      <c r="I639" s="465"/>
      <c r="J639" s="826">
        <v>0</v>
      </c>
      <c r="K639" s="878">
        <v>0</v>
      </c>
    </row>
    <row r="640" spans="1:11" ht="22.5" customHeight="1" x14ac:dyDescent="0.25">
      <c r="A640" s="816" t="s">
        <v>222</v>
      </c>
      <c r="B640" s="880">
        <v>2025</v>
      </c>
      <c r="C640" s="816" t="s">
        <v>1884</v>
      </c>
      <c r="D640" s="816" t="s">
        <v>1885</v>
      </c>
      <c r="E640" s="816" t="s">
        <v>2276</v>
      </c>
      <c r="F640" s="826">
        <v>0</v>
      </c>
      <c r="G640" s="880">
        <v>0</v>
      </c>
      <c r="H640" s="465"/>
      <c r="I640" s="465"/>
      <c r="J640" s="826">
        <v>0</v>
      </c>
      <c r="K640" s="878">
        <v>0</v>
      </c>
    </row>
    <row r="641" spans="1:11" ht="22.5" customHeight="1" x14ac:dyDescent="0.25">
      <c r="A641" s="816" t="s">
        <v>222</v>
      </c>
      <c r="B641" s="880">
        <v>2025</v>
      </c>
      <c r="C641" s="816" t="s">
        <v>1887</v>
      </c>
      <c r="D641" s="816" t="s">
        <v>138</v>
      </c>
      <c r="E641" s="816" t="s">
        <v>2277</v>
      </c>
      <c r="F641" s="826">
        <v>0</v>
      </c>
      <c r="G641" s="880">
        <v>1</v>
      </c>
      <c r="H641" s="465"/>
      <c r="I641" s="465"/>
      <c r="J641" s="826">
        <v>0</v>
      </c>
      <c r="K641" s="878">
        <v>0</v>
      </c>
    </row>
    <row r="642" spans="1:11" ht="22.5" customHeight="1" x14ac:dyDescent="0.25">
      <c r="A642" s="816" t="s">
        <v>222</v>
      </c>
      <c r="B642" s="880">
        <v>2025</v>
      </c>
      <c r="C642" s="816" t="s">
        <v>1889</v>
      </c>
      <c r="D642" s="816" t="s">
        <v>139</v>
      </c>
      <c r="E642" s="816" t="s">
        <v>2278</v>
      </c>
      <c r="F642" s="826">
        <v>-265477.32</v>
      </c>
      <c r="G642" s="880">
        <v>1</v>
      </c>
      <c r="H642" s="826">
        <v>-252659.17</v>
      </c>
      <c r="I642" s="826">
        <v>-12818.15</v>
      </c>
      <c r="J642" s="826">
        <v>-265477.32</v>
      </c>
      <c r="K642" s="878">
        <v>-265477.32</v>
      </c>
    </row>
    <row r="643" spans="1:11" ht="22.5" customHeight="1" x14ac:dyDescent="0.25">
      <c r="A643" s="816" t="s">
        <v>222</v>
      </c>
      <c r="B643" s="880">
        <v>2025</v>
      </c>
      <c r="C643" s="816" t="s">
        <v>1891</v>
      </c>
      <c r="D643" s="816" t="s">
        <v>1892</v>
      </c>
      <c r="E643" s="816" t="s">
        <v>2279</v>
      </c>
      <c r="F643" s="826">
        <v>21708.880000000001</v>
      </c>
      <c r="G643" s="880">
        <v>0</v>
      </c>
      <c r="H643" s="465"/>
      <c r="I643" s="465"/>
      <c r="J643" s="826">
        <v>0</v>
      </c>
      <c r="K643" s="878">
        <v>21708.880000000001</v>
      </c>
    </row>
    <row r="644" spans="1:11" ht="22.5" customHeight="1" x14ac:dyDescent="0.25">
      <c r="A644" s="816" t="s">
        <v>222</v>
      </c>
      <c r="B644" s="880">
        <v>2025</v>
      </c>
      <c r="C644" s="816" t="s">
        <v>1891</v>
      </c>
      <c r="D644" s="816" t="s">
        <v>1894</v>
      </c>
      <c r="E644" s="816" t="s">
        <v>2279</v>
      </c>
      <c r="F644" s="826">
        <v>0</v>
      </c>
      <c r="G644" s="880">
        <v>0</v>
      </c>
      <c r="H644" s="465"/>
      <c r="I644" s="465"/>
      <c r="J644" s="826">
        <v>0</v>
      </c>
      <c r="K644" s="881">
        <v>21708.880000000001</v>
      </c>
    </row>
    <row r="645" spans="1:11" ht="22.5" customHeight="1" x14ac:dyDescent="0.25">
      <c r="A645" s="816" t="s">
        <v>222</v>
      </c>
      <c r="B645" s="880">
        <v>2025</v>
      </c>
      <c r="C645" s="816" t="s">
        <v>1895</v>
      </c>
      <c r="D645" s="816" t="s">
        <v>1896</v>
      </c>
      <c r="E645" s="816" t="s">
        <v>2280</v>
      </c>
      <c r="F645" s="826">
        <v>1167787.68</v>
      </c>
      <c r="G645" s="880">
        <v>0</v>
      </c>
      <c r="H645" s="465"/>
      <c r="I645" s="465"/>
      <c r="J645" s="826">
        <v>0</v>
      </c>
      <c r="K645" s="878">
        <v>1167787.68</v>
      </c>
    </row>
    <row r="646" spans="1:11" ht="22.5" customHeight="1" x14ac:dyDescent="0.25">
      <c r="A646" s="816" t="s">
        <v>222</v>
      </c>
      <c r="B646" s="880">
        <v>2025</v>
      </c>
      <c r="C646" s="816" t="s">
        <v>1898</v>
      </c>
      <c r="D646" s="816" t="s">
        <v>1899</v>
      </c>
      <c r="E646" s="816" t="s">
        <v>2281</v>
      </c>
      <c r="F646" s="826">
        <v>0</v>
      </c>
      <c r="G646" s="880">
        <v>0</v>
      </c>
      <c r="H646" s="465"/>
      <c r="I646" s="465"/>
      <c r="J646" s="826">
        <v>0</v>
      </c>
      <c r="K646" s="878">
        <v>0</v>
      </c>
    </row>
    <row r="647" spans="1:11" ht="22.5" customHeight="1" x14ac:dyDescent="0.25">
      <c r="A647" s="816" t="s">
        <v>222</v>
      </c>
      <c r="B647" s="880">
        <v>2025</v>
      </c>
      <c r="C647" s="816" t="s">
        <v>1901</v>
      </c>
      <c r="D647" s="816" t="s">
        <v>1902</v>
      </c>
      <c r="E647" s="816" t="s">
        <v>2282</v>
      </c>
      <c r="F647" s="826">
        <v>0</v>
      </c>
      <c r="G647" s="880">
        <v>0</v>
      </c>
      <c r="H647" s="465"/>
      <c r="I647" s="465"/>
      <c r="J647" s="826">
        <v>0</v>
      </c>
      <c r="K647" s="878">
        <v>0</v>
      </c>
    </row>
    <row r="648" spans="1:11" ht="22.5" customHeight="1" x14ac:dyDescent="0.25">
      <c r="A648" s="816" t="s">
        <v>222</v>
      </c>
      <c r="B648" s="880">
        <v>2025</v>
      </c>
      <c r="C648" s="816" t="s">
        <v>1904</v>
      </c>
      <c r="D648" s="816" t="s">
        <v>1905</v>
      </c>
      <c r="E648" s="816" t="s">
        <v>2283</v>
      </c>
      <c r="F648" s="826">
        <v>0</v>
      </c>
      <c r="G648" s="880">
        <v>0</v>
      </c>
      <c r="H648" s="465"/>
      <c r="I648" s="465"/>
      <c r="J648" s="826">
        <v>0</v>
      </c>
      <c r="K648" s="878">
        <v>0</v>
      </c>
    </row>
    <row r="649" spans="1:11" ht="22.5" customHeight="1" x14ac:dyDescent="0.25">
      <c r="A649" s="816" t="s">
        <v>222</v>
      </c>
      <c r="B649" s="880">
        <v>2025</v>
      </c>
      <c r="C649" s="816" t="s">
        <v>1907</v>
      </c>
      <c r="D649" s="816" t="s">
        <v>1908</v>
      </c>
      <c r="E649" s="816" t="s">
        <v>2284</v>
      </c>
      <c r="F649" s="826">
        <v>-1692596.98</v>
      </c>
      <c r="G649" s="880">
        <v>0</v>
      </c>
      <c r="H649" s="465"/>
      <c r="I649" s="465"/>
      <c r="J649" s="826">
        <v>0</v>
      </c>
      <c r="K649" s="878">
        <v>-1692596.98</v>
      </c>
    </row>
    <row r="650" spans="1:11" ht="22.5" customHeight="1" x14ac:dyDescent="0.25">
      <c r="A650" s="816" t="s">
        <v>222</v>
      </c>
      <c r="B650" s="880">
        <v>2025</v>
      </c>
      <c r="C650" s="816" t="s">
        <v>1910</v>
      </c>
      <c r="D650" s="816" t="s">
        <v>1911</v>
      </c>
      <c r="E650" s="816" t="s">
        <v>2285</v>
      </c>
      <c r="F650" s="826">
        <v>0</v>
      </c>
      <c r="G650" s="880">
        <v>0</v>
      </c>
      <c r="H650" s="465"/>
      <c r="I650" s="465"/>
      <c r="J650" s="826">
        <v>0</v>
      </c>
      <c r="K650" s="878">
        <v>0</v>
      </c>
    </row>
    <row r="651" spans="1:11" ht="22.5" customHeight="1" x14ac:dyDescent="0.25">
      <c r="A651" s="816" t="s">
        <v>222</v>
      </c>
      <c r="B651" s="880">
        <v>2025</v>
      </c>
      <c r="C651" s="816" t="s">
        <v>1913</v>
      </c>
      <c r="D651" s="816" t="s">
        <v>1914</v>
      </c>
      <c r="E651" s="816" t="s">
        <v>2286</v>
      </c>
      <c r="F651" s="826">
        <v>-1757859.07</v>
      </c>
      <c r="G651" s="880">
        <v>1</v>
      </c>
      <c r="H651" s="826">
        <v>-1642593.1</v>
      </c>
      <c r="I651" s="826">
        <v>-115265.97</v>
      </c>
      <c r="J651" s="826">
        <v>-1757859.07</v>
      </c>
      <c r="K651" s="878">
        <v>-1757859.07</v>
      </c>
    </row>
    <row r="652" spans="1:11" ht="22.5" customHeight="1" x14ac:dyDescent="0.25">
      <c r="A652" s="816" t="s">
        <v>222</v>
      </c>
      <c r="B652" s="880">
        <v>2025</v>
      </c>
      <c r="C652" s="816" t="s">
        <v>1913</v>
      </c>
      <c r="D652" s="816" t="s">
        <v>1916</v>
      </c>
      <c r="E652" s="816" t="s">
        <v>2286</v>
      </c>
      <c r="F652" s="826">
        <v>0</v>
      </c>
      <c r="G652" s="880">
        <v>0</v>
      </c>
      <c r="H652" s="465"/>
      <c r="I652" s="465"/>
      <c r="J652" s="826">
        <v>0</v>
      </c>
      <c r="K652" s="881">
        <v>0</v>
      </c>
    </row>
    <row r="653" spans="1:11" ht="22.5" customHeight="1" x14ac:dyDescent="0.25">
      <c r="A653" s="816" t="s">
        <v>222</v>
      </c>
      <c r="B653" s="880">
        <v>2025</v>
      </c>
      <c r="C653" s="816" t="s">
        <v>1913</v>
      </c>
      <c r="D653" s="816" t="s">
        <v>1917</v>
      </c>
      <c r="E653" s="816" t="s">
        <v>2286</v>
      </c>
      <c r="F653" s="826">
        <v>0</v>
      </c>
      <c r="G653" s="880">
        <v>0</v>
      </c>
      <c r="H653" s="465"/>
      <c r="I653" s="465"/>
      <c r="J653" s="826">
        <v>0</v>
      </c>
      <c r="K653" s="881">
        <v>0</v>
      </c>
    </row>
    <row r="654" spans="1:11" ht="22.5" customHeight="1" x14ac:dyDescent="0.25">
      <c r="A654" s="816" t="s">
        <v>222</v>
      </c>
      <c r="B654" s="880">
        <v>2025</v>
      </c>
      <c r="C654" s="816" t="s">
        <v>1913</v>
      </c>
      <c r="D654" s="816" t="s">
        <v>1918</v>
      </c>
      <c r="E654" s="816" t="s">
        <v>2286</v>
      </c>
      <c r="F654" s="826">
        <v>0</v>
      </c>
      <c r="G654" s="880">
        <v>0</v>
      </c>
      <c r="H654" s="465"/>
      <c r="I654" s="465"/>
      <c r="J654" s="826">
        <v>0</v>
      </c>
      <c r="K654" s="881">
        <v>12382.75</v>
      </c>
    </row>
    <row r="655" spans="1:11" ht="22.5" customHeight="1" x14ac:dyDescent="0.25">
      <c r="A655" s="816" t="s">
        <v>222</v>
      </c>
      <c r="B655" s="880">
        <v>2025</v>
      </c>
      <c r="C655" s="816" t="s">
        <v>1913</v>
      </c>
      <c r="D655" s="816" t="s">
        <v>1919</v>
      </c>
      <c r="E655" s="816" t="s">
        <v>2286</v>
      </c>
      <c r="F655" s="826">
        <v>0</v>
      </c>
      <c r="G655" s="880">
        <v>0</v>
      </c>
      <c r="H655" s="465"/>
      <c r="I655" s="465"/>
      <c r="J655" s="826">
        <v>0</v>
      </c>
      <c r="K655" s="881">
        <v>978310.58</v>
      </c>
    </row>
    <row r="656" spans="1:11" ht="22.5" customHeight="1" x14ac:dyDescent="0.25">
      <c r="A656" s="816" t="s">
        <v>222</v>
      </c>
      <c r="B656" s="880">
        <v>2025</v>
      </c>
      <c r="C656" s="816" t="s">
        <v>1920</v>
      </c>
      <c r="D656" s="816" t="s">
        <v>1921</v>
      </c>
      <c r="E656" s="816" t="s">
        <v>2287</v>
      </c>
      <c r="F656" s="826">
        <v>0</v>
      </c>
      <c r="G656" s="880">
        <v>0</v>
      </c>
      <c r="H656" s="465"/>
      <c r="I656" s="465"/>
      <c r="J656" s="826">
        <v>0</v>
      </c>
      <c r="K656" s="878">
        <v>0</v>
      </c>
    </row>
    <row r="657" spans="1:11" ht="22.5" customHeight="1" x14ac:dyDescent="0.25">
      <c r="A657" s="816" t="s">
        <v>222</v>
      </c>
      <c r="B657" s="880">
        <v>2025</v>
      </c>
      <c r="C657" s="816" t="s">
        <v>1923</v>
      </c>
      <c r="D657" s="816" t="s">
        <v>143</v>
      </c>
      <c r="E657" s="816" t="s">
        <v>2288</v>
      </c>
      <c r="F657" s="826">
        <v>3161927.56</v>
      </c>
      <c r="G657" s="880">
        <v>1</v>
      </c>
      <c r="H657" s="826">
        <v>3014691.45</v>
      </c>
      <c r="I657" s="826">
        <v>147236.10999999999</v>
      </c>
      <c r="J657" s="826">
        <v>3161927.56</v>
      </c>
      <c r="K657" s="878">
        <v>3161927.56</v>
      </c>
    </row>
    <row r="658" spans="1:11" ht="22.5" customHeight="1" x14ac:dyDescent="0.25">
      <c r="A658" s="816" t="s">
        <v>222</v>
      </c>
      <c r="B658" s="880">
        <v>2025</v>
      </c>
      <c r="C658" s="816" t="s">
        <v>1925</v>
      </c>
      <c r="D658" s="816" t="s">
        <v>144</v>
      </c>
      <c r="E658" s="816" t="s">
        <v>2289</v>
      </c>
      <c r="F658" s="826">
        <v>1541882.76</v>
      </c>
      <c r="G658" s="880">
        <v>1</v>
      </c>
      <c r="H658" s="826">
        <v>1413089.31</v>
      </c>
      <c r="I658" s="826">
        <v>128793.45</v>
      </c>
      <c r="J658" s="826">
        <v>1541882.76</v>
      </c>
      <c r="K658" s="878">
        <v>1541882.76</v>
      </c>
    </row>
    <row r="659" spans="1:11" ht="22.5" customHeight="1" x14ac:dyDescent="0.25">
      <c r="A659" s="816" t="s">
        <v>222</v>
      </c>
      <c r="B659" s="880">
        <v>2025</v>
      </c>
      <c r="C659" s="816" t="s">
        <v>1927</v>
      </c>
      <c r="D659" s="816" t="s">
        <v>1928</v>
      </c>
      <c r="E659" s="816" t="s">
        <v>2290</v>
      </c>
      <c r="F659" s="826">
        <v>-1640.58</v>
      </c>
      <c r="G659" s="880">
        <v>1</v>
      </c>
      <c r="H659" s="826">
        <v>-24645.91</v>
      </c>
      <c r="I659" s="826">
        <v>23005.33</v>
      </c>
      <c r="J659" s="826">
        <v>-1640.58</v>
      </c>
      <c r="K659" s="878">
        <v>-1640.58</v>
      </c>
    </row>
    <row r="660" spans="1:11" ht="22.5" customHeight="1" x14ac:dyDescent="0.25">
      <c r="A660" s="816" t="s">
        <v>222</v>
      </c>
      <c r="B660" s="880">
        <v>2025</v>
      </c>
      <c r="C660" s="816" t="s">
        <v>1930</v>
      </c>
      <c r="D660" s="816" t="s">
        <v>156</v>
      </c>
      <c r="E660" s="816" t="s">
        <v>2291</v>
      </c>
      <c r="F660" s="826">
        <v>3479099.16</v>
      </c>
      <c r="G660" s="880">
        <v>1</v>
      </c>
      <c r="H660" s="826">
        <v>3308472.13</v>
      </c>
      <c r="I660" s="826">
        <v>170627.03</v>
      </c>
      <c r="J660" s="826">
        <v>3479099.16</v>
      </c>
      <c r="K660" s="878">
        <v>3479099.16</v>
      </c>
    </row>
    <row r="661" spans="1:11" ht="22.5" customHeight="1" x14ac:dyDescent="0.25">
      <c r="A661" s="816" t="s">
        <v>222</v>
      </c>
      <c r="B661" s="880">
        <v>2025</v>
      </c>
      <c r="C661" s="816" t="s">
        <v>1932</v>
      </c>
      <c r="D661" s="816" t="s">
        <v>1933</v>
      </c>
      <c r="E661" s="816" t="s">
        <v>2292</v>
      </c>
      <c r="F661" s="826">
        <v>-504805.22</v>
      </c>
      <c r="G661" s="880">
        <v>0</v>
      </c>
      <c r="H661" s="465"/>
      <c r="I661" s="465"/>
      <c r="J661" s="826">
        <v>0</v>
      </c>
      <c r="K661" s="878">
        <v>-504805.22</v>
      </c>
    </row>
    <row r="662" spans="1:11" ht="22.5" customHeight="1" x14ac:dyDescent="0.25">
      <c r="A662" s="816" t="s">
        <v>222</v>
      </c>
      <c r="B662" s="880">
        <v>2025</v>
      </c>
      <c r="C662" s="816" t="s">
        <v>1935</v>
      </c>
      <c r="D662" s="816" t="s">
        <v>1936</v>
      </c>
      <c r="E662" s="816" t="s">
        <v>8040</v>
      </c>
      <c r="F662" s="826">
        <v>0</v>
      </c>
      <c r="G662" s="880">
        <v>1</v>
      </c>
      <c r="H662" s="465"/>
      <c r="I662" s="465"/>
      <c r="J662" s="826">
        <v>0</v>
      </c>
      <c r="K662" s="878">
        <v>0</v>
      </c>
    </row>
    <row r="663" spans="1:11" ht="22.5" customHeight="1" x14ac:dyDescent="0.25">
      <c r="A663" s="816" t="s">
        <v>222</v>
      </c>
      <c r="B663" s="880">
        <v>2025</v>
      </c>
      <c r="C663" s="816" t="s">
        <v>1935</v>
      </c>
      <c r="D663" s="816" t="s">
        <v>1937</v>
      </c>
      <c r="E663" s="816" t="s">
        <v>8041</v>
      </c>
      <c r="F663" s="826">
        <v>0</v>
      </c>
      <c r="G663" s="880">
        <v>1</v>
      </c>
      <c r="H663" s="465"/>
      <c r="I663" s="465"/>
      <c r="J663" s="826">
        <v>0</v>
      </c>
      <c r="K663" s="878">
        <v>0</v>
      </c>
    </row>
    <row r="664" spans="1:11" ht="22.5" customHeight="1" x14ac:dyDescent="0.25">
      <c r="A664" s="816" t="s">
        <v>222</v>
      </c>
      <c r="B664" s="880">
        <v>2025</v>
      </c>
      <c r="C664" s="816" t="s">
        <v>1935</v>
      </c>
      <c r="D664" s="816" t="s">
        <v>1938</v>
      </c>
      <c r="E664" s="816" t="s">
        <v>8042</v>
      </c>
      <c r="F664" s="826">
        <v>0</v>
      </c>
      <c r="G664" s="880">
        <v>1</v>
      </c>
      <c r="H664" s="465"/>
      <c r="I664" s="465"/>
      <c r="J664" s="826">
        <v>0</v>
      </c>
      <c r="K664" s="878">
        <v>0</v>
      </c>
    </row>
    <row r="665" spans="1:11" ht="22.5" customHeight="1" x14ac:dyDescent="0.25">
      <c r="A665" s="816" t="s">
        <v>222</v>
      </c>
      <c r="B665" s="880">
        <v>2025</v>
      </c>
      <c r="C665" s="816" t="s">
        <v>1935</v>
      </c>
      <c r="D665" s="816" t="s">
        <v>1939</v>
      </c>
      <c r="E665" s="816" t="s">
        <v>8043</v>
      </c>
      <c r="F665" s="826">
        <v>0</v>
      </c>
      <c r="G665" s="880">
        <v>1</v>
      </c>
      <c r="H665" s="465"/>
      <c r="I665" s="465"/>
      <c r="J665" s="826">
        <v>0</v>
      </c>
      <c r="K665" s="878">
        <v>0</v>
      </c>
    </row>
    <row r="666" spans="1:11" ht="22.5" customHeight="1" x14ac:dyDescent="0.25">
      <c r="A666" s="816" t="s">
        <v>222</v>
      </c>
      <c r="B666" s="880">
        <v>2025</v>
      </c>
      <c r="C666" s="816" t="s">
        <v>1935</v>
      </c>
      <c r="D666" s="816" t="s">
        <v>1940</v>
      </c>
      <c r="E666" s="816" t="s">
        <v>8044</v>
      </c>
      <c r="F666" s="826">
        <v>0</v>
      </c>
      <c r="G666" s="880">
        <v>1</v>
      </c>
      <c r="H666" s="465"/>
      <c r="I666" s="465"/>
      <c r="J666" s="826">
        <v>0</v>
      </c>
      <c r="K666" s="878">
        <v>0</v>
      </c>
    </row>
    <row r="667" spans="1:11" ht="22.5" customHeight="1" x14ac:dyDescent="0.25">
      <c r="A667" s="816" t="s">
        <v>222</v>
      </c>
      <c r="B667" s="880">
        <v>2025</v>
      </c>
      <c r="C667" s="816" t="s">
        <v>1935</v>
      </c>
      <c r="D667" s="816" t="s">
        <v>1941</v>
      </c>
      <c r="E667" s="816" t="s">
        <v>8045</v>
      </c>
      <c r="F667" s="826">
        <v>0</v>
      </c>
      <c r="G667" s="880">
        <v>1</v>
      </c>
      <c r="H667" s="465"/>
      <c r="I667" s="465"/>
      <c r="J667" s="826">
        <v>0</v>
      </c>
      <c r="K667" s="878">
        <v>0</v>
      </c>
    </row>
    <row r="668" spans="1:11" ht="22.5" customHeight="1" x14ac:dyDescent="0.25">
      <c r="A668" s="816" t="s">
        <v>222</v>
      </c>
      <c r="B668" s="880">
        <v>2025</v>
      </c>
      <c r="C668" s="816" t="s">
        <v>1935</v>
      </c>
      <c r="D668" s="816" t="s">
        <v>1942</v>
      </c>
      <c r="E668" s="816" t="s">
        <v>8046</v>
      </c>
      <c r="F668" s="826">
        <v>0</v>
      </c>
      <c r="G668" s="880">
        <v>1</v>
      </c>
      <c r="H668" s="465"/>
      <c r="I668" s="465"/>
      <c r="J668" s="826">
        <v>0</v>
      </c>
      <c r="K668" s="878">
        <v>0</v>
      </c>
    </row>
    <row r="669" spans="1:11" ht="22.5" customHeight="1" x14ac:dyDescent="0.25">
      <c r="A669" s="816" t="s">
        <v>222</v>
      </c>
      <c r="B669" s="880">
        <v>2025</v>
      </c>
      <c r="C669" s="816" t="s">
        <v>1935</v>
      </c>
      <c r="D669" s="816" t="s">
        <v>1943</v>
      </c>
      <c r="E669" s="816" t="s">
        <v>8047</v>
      </c>
      <c r="F669" s="826">
        <v>0</v>
      </c>
      <c r="G669" s="880">
        <v>1</v>
      </c>
      <c r="H669" s="465"/>
      <c r="I669" s="465"/>
      <c r="J669" s="826">
        <v>0</v>
      </c>
      <c r="K669" s="878">
        <v>0</v>
      </c>
    </row>
    <row r="670" spans="1:11" ht="22.5" customHeight="1" x14ac:dyDescent="0.25">
      <c r="A670" s="816" t="s">
        <v>222</v>
      </c>
      <c r="B670" s="880">
        <v>2025</v>
      </c>
      <c r="C670" s="816" t="s">
        <v>1935</v>
      </c>
      <c r="D670" s="816" t="s">
        <v>1944</v>
      </c>
      <c r="E670" s="816" t="s">
        <v>8048</v>
      </c>
      <c r="F670" s="826">
        <v>0</v>
      </c>
      <c r="G670" s="880">
        <v>1</v>
      </c>
      <c r="H670" s="465"/>
      <c r="I670" s="465"/>
      <c r="J670" s="826">
        <v>0</v>
      </c>
      <c r="K670" s="878">
        <v>0</v>
      </c>
    </row>
    <row r="671" spans="1:11" ht="22.5" customHeight="1" x14ac:dyDescent="0.25">
      <c r="A671" s="816" t="s">
        <v>222</v>
      </c>
      <c r="B671" s="880">
        <v>2025</v>
      </c>
      <c r="C671" s="816" t="s">
        <v>1935</v>
      </c>
      <c r="D671" s="816" t="s">
        <v>1945</v>
      </c>
      <c r="E671" s="816" t="s">
        <v>8049</v>
      </c>
      <c r="F671" s="826">
        <v>0</v>
      </c>
      <c r="G671" s="880">
        <v>1</v>
      </c>
      <c r="H671" s="465"/>
      <c r="I671" s="465"/>
      <c r="J671" s="826">
        <v>0</v>
      </c>
      <c r="K671" s="878">
        <v>0</v>
      </c>
    </row>
    <row r="672" spans="1:11" ht="22.5" customHeight="1" x14ac:dyDescent="0.25">
      <c r="A672" s="816" t="s">
        <v>222</v>
      </c>
      <c r="B672" s="880">
        <v>2025</v>
      </c>
      <c r="C672" s="816" t="s">
        <v>1935</v>
      </c>
      <c r="D672" s="816" t="s">
        <v>1946</v>
      </c>
      <c r="E672" s="816" t="s">
        <v>8050</v>
      </c>
      <c r="F672" s="826">
        <v>0</v>
      </c>
      <c r="G672" s="880">
        <v>1</v>
      </c>
      <c r="H672" s="465"/>
      <c r="I672" s="465"/>
      <c r="J672" s="826">
        <v>0</v>
      </c>
      <c r="K672" s="878">
        <v>0</v>
      </c>
    </row>
    <row r="673" spans="1:11" ht="22.5" customHeight="1" x14ac:dyDescent="0.25">
      <c r="A673" s="816" t="s">
        <v>222</v>
      </c>
      <c r="B673" s="880">
        <v>2025</v>
      </c>
      <c r="C673" s="816" t="s">
        <v>1935</v>
      </c>
      <c r="D673" s="816" t="s">
        <v>1947</v>
      </c>
      <c r="E673" s="816" t="s">
        <v>8051</v>
      </c>
      <c r="F673" s="826">
        <v>0</v>
      </c>
      <c r="G673" s="880">
        <v>1</v>
      </c>
      <c r="H673" s="465"/>
      <c r="I673" s="465"/>
      <c r="J673" s="826">
        <v>0</v>
      </c>
      <c r="K673" s="878">
        <v>0</v>
      </c>
    </row>
    <row r="674" spans="1:11" ht="22.5" customHeight="1" x14ac:dyDescent="0.25">
      <c r="A674" s="816" t="s">
        <v>222</v>
      </c>
      <c r="B674" s="880">
        <v>2025</v>
      </c>
      <c r="C674" s="816" t="s">
        <v>1935</v>
      </c>
      <c r="D674" s="816" t="s">
        <v>1948</v>
      </c>
      <c r="E674" s="816" t="s">
        <v>8052</v>
      </c>
      <c r="F674" s="826">
        <v>0</v>
      </c>
      <c r="G674" s="880">
        <v>1</v>
      </c>
      <c r="H674" s="465"/>
      <c r="I674" s="465"/>
      <c r="J674" s="826">
        <v>0</v>
      </c>
      <c r="K674" s="878">
        <v>0</v>
      </c>
    </row>
    <row r="675" spans="1:11" ht="22.5" customHeight="1" x14ac:dyDescent="0.25">
      <c r="A675" s="816" t="s">
        <v>222</v>
      </c>
      <c r="B675" s="880">
        <v>2025</v>
      </c>
      <c r="C675" s="816" t="s">
        <v>1935</v>
      </c>
      <c r="D675" s="816" t="s">
        <v>1949</v>
      </c>
      <c r="E675" s="816" t="s">
        <v>8053</v>
      </c>
      <c r="F675" s="826">
        <v>0</v>
      </c>
      <c r="G675" s="880">
        <v>1</v>
      </c>
      <c r="H675" s="826">
        <v>-17769.88</v>
      </c>
      <c r="I675" s="826">
        <v>55279</v>
      </c>
      <c r="J675" s="826">
        <v>37509.120000000003</v>
      </c>
      <c r="K675" s="878">
        <v>37509.120000000003</v>
      </c>
    </row>
    <row r="676" spans="1:11" ht="22.5" customHeight="1" x14ac:dyDescent="0.25">
      <c r="A676" s="816" t="s">
        <v>222</v>
      </c>
      <c r="B676" s="880">
        <v>2025</v>
      </c>
      <c r="C676" s="816" t="s">
        <v>1935</v>
      </c>
      <c r="D676" s="816" t="s">
        <v>1950</v>
      </c>
      <c r="E676" s="816" t="s">
        <v>8054</v>
      </c>
      <c r="F676" s="826">
        <v>0</v>
      </c>
      <c r="G676" s="880">
        <v>1</v>
      </c>
      <c r="H676" s="826">
        <v>48129.68</v>
      </c>
      <c r="I676" s="826">
        <v>1770.07</v>
      </c>
      <c r="J676" s="826">
        <v>49899.75</v>
      </c>
      <c r="K676" s="878">
        <v>49899.75</v>
      </c>
    </row>
    <row r="677" spans="1:11" ht="22.5" customHeight="1" x14ac:dyDescent="0.25">
      <c r="A677" s="816" t="s">
        <v>222</v>
      </c>
      <c r="B677" s="880">
        <v>2025</v>
      </c>
      <c r="C677" s="816" t="s">
        <v>1935</v>
      </c>
      <c r="D677" s="816" t="s">
        <v>1951</v>
      </c>
      <c r="E677" s="816" t="s">
        <v>8055</v>
      </c>
      <c r="F677" s="826">
        <v>0</v>
      </c>
      <c r="G677" s="880">
        <v>1</v>
      </c>
      <c r="H677" s="826">
        <v>75095.179999999993</v>
      </c>
      <c r="I677" s="826">
        <v>174674.92</v>
      </c>
      <c r="J677" s="826">
        <v>249770.1</v>
      </c>
      <c r="K677" s="878">
        <v>249770.1</v>
      </c>
    </row>
    <row r="678" spans="1:11" ht="22.5" customHeight="1" x14ac:dyDescent="0.25">
      <c r="A678" s="816" t="s">
        <v>222</v>
      </c>
      <c r="B678" s="880">
        <v>2025</v>
      </c>
      <c r="C678" s="816" t="s">
        <v>1935</v>
      </c>
      <c r="D678" s="816" t="s">
        <v>7801</v>
      </c>
      <c r="E678" s="816" t="s">
        <v>8056</v>
      </c>
      <c r="F678" s="826">
        <v>0</v>
      </c>
      <c r="G678" s="880">
        <v>1</v>
      </c>
      <c r="H678" s="826">
        <v>605133.42000000004</v>
      </c>
      <c r="I678" s="826">
        <v>285746.24</v>
      </c>
      <c r="J678" s="826">
        <v>890879.66</v>
      </c>
      <c r="K678" s="878">
        <v>890879.66</v>
      </c>
    </row>
    <row r="679" spans="1:11" ht="22.5" customHeight="1" x14ac:dyDescent="0.25">
      <c r="A679" s="816" t="s">
        <v>222</v>
      </c>
      <c r="B679" s="880">
        <v>2025</v>
      </c>
      <c r="C679" s="816" t="s">
        <v>1935</v>
      </c>
      <c r="D679" s="816" t="s">
        <v>1952</v>
      </c>
      <c r="E679" s="816" t="s">
        <v>8057</v>
      </c>
      <c r="F679" s="826">
        <v>1228058.6299999999</v>
      </c>
      <c r="G679" s="880">
        <v>0</v>
      </c>
      <c r="H679" s="465"/>
      <c r="I679" s="465"/>
      <c r="J679" s="826">
        <v>0</v>
      </c>
      <c r="K679" s="878">
        <v>1228058.6299999999</v>
      </c>
    </row>
    <row r="680" spans="1:11" ht="22.5" customHeight="1" x14ac:dyDescent="0.25">
      <c r="A680" s="816" t="s">
        <v>222</v>
      </c>
      <c r="B680" s="880">
        <v>2025</v>
      </c>
      <c r="C680" s="816" t="s">
        <v>1953</v>
      </c>
      <c r="D680" s="816" t="s">
        <v>1954</v>
      </c>
      <c r="E680" s="816" t="s">
        <v>2293</v>
      </c>
      <c r="F680" s="826">
        <v>0</v>
      </c>
      <c r="G680" s="880">
        <v>0</v>
      </c>
      <c r="H680" s="465"/>
      <c r="I680" s="465"/>
      <c r="J680" s="826">
        <v>0</v>
      </c>
      <c r="K680" s="878">
        <v>0</v>
      </c>
    </row>
    <row r="681" spans="1:11" ht="22.5" customHeight="1" x14ac:dyDescent="0.25">
      <c r="A681" s="816" t="s">
        <v>224</v>
      </c>
      <c r="B681" s="880">
        <v>2025</v>
      </c>
      <c r="C681" s="816" t="s">
        <v>1854</v>
      </c>
      <c r="D681" s="816" t="s">
        <v>1855</v>
      </c>
      <c r="E681" s="816" t="s">
        <v>2294</v>
      </c>
      <c r="F681" s="826">
        <v>76288.800000000003</v>
      </c>
      <c r="G681" s="880">
        <v>0</v>
      </c>
      <c r="H681" s="465"/>
      <c r="I681" s="465"/>
      <c r="J681" s="826">
        <v>0</v>
      </c>
      <c r="K681" s="878">
        <v>76288.800000000003</v>
      </c>
    </row>
    <row r="682" spans="1:11" ht="22.5" customHeight="1" x14ac:dyDescent="0.25">
      <c r="A682" s="816" t="s">
        <v>224</v>
      </c>
      <c r="B682" s="880">
        <v>2025</v>
      </c>
      <c r="C682" s="816" t="s">
        <v>7746</v>
      </c>
      <c r="D682" s="816" t="s">
        <v>7747</v>
      </c>
      <c r="E682" s="816" t="s">
        <v>7761</v>
      </c>
      <c r="F682" s="826">
        <v>0</v>
      </c>
      <c r="G682" s="880">
        <v>0</v>
      </c>
      <c r="H682" s="465"/>
      <c r="I682" s="465"/>
      <c r="J682" s="826">
        <v>0</v>
      </c>
      <c r="K682" s="878">
        <v>0</v>
      </c>
    </row>
    <row r="683" spans="1:11" ht="22.5" customHeight="1" x14ac:dyDescent="0.25">
      <c r="A683" s="816" t="s">
        <v>224</v>
      </c>
      <c r="B683" s="880">
        <v>2025</v>
      </c>
      <c r="C683" s="816" t="s">
        <v>1857</v>
      </c>
      <c r="D683" s="816" t="s">
        <v>1858</v>
      </c>
      <c r="E683" s="816" t="s">
        <v>2295</v>
      </c>
      <c r="F683" s="826">
        <v>0</v>
      </c>
      <c r="G683" s="880">
        <v>0</v>
      </c>
      <c r="H683" s="465"/>
      <c r="I683" s="465"/>
      <c r="J683" s="826">
        <v>0</v>
      </c>
      <c r="K683" s="878">
        <v>0</v>
      </c>
    </row>
    <row r="684" spans="1:11" ht="22.5" customHeight="1" x14ac:dyDescent="0.25">
      <c r="A684" s="816" t="s">
        <v>224</v>
      </c>
      <c r="B684" s="880">
        <v>2025</v>
      </c>
      <c r="C684" s="816" t="s">
        <v>1860</v>
      </c>
      <c r="D684" s="816" t="s">
        <v>1861</v>
      </c>
      <c r="E684" s="816" t="s">
        <v>2296</v>
      </c>
      <c r="F684" s="826">
        <v>0</v>
      </c>
      <c r="G684" s="880">
        <v>0</v>
      </c>
      <c r="H684" s="465"/>
      <c r="I684" s="465"/>
      <c r="J684" s="826">
        <v>0</v>
      </c>
      <c r="K684" s="878">
        <v>0</v>
      </c>
    </row>
    <row r="685" spans="1:11" ht="22.5" customHeight="1" x14ac:dyDescent="0.25">
      <c r="A685" s="816" t="s">
        <v>224</v>
      </c>
      <c r="B685" s="880">
        <v>2025</v>
      </c>
      <c r="C685" s="816" t="s">
        <v>1863</v>
      </c>
      <c r="D685" s="816" t="s">
        <v>1864</v>
      </c>
      <c r="E685" s="816" t="s">
        <v>2297</v>
      </c>
      <c r="F685" s="826">
        <v>234081.71</v>
      </c>
      <c r="G685" s="880">
        <v>0</v>
      </c>
      <c r="H685" s="465"/>
      <c r="I685" s="465"/>
      <c r="J685" s="826">
        <v>0</v>
      </c>
      <c r="K685" s="878">
        <v>234081.71</v>
      </c>
    </row>
    <row r="686" spans="1:11" ht="22.5" customHeight="1" x14ac:dyDescent="0.25">
      <c r="A686" s="816" t="s">
        <v>224</v>
      </c>
      <c r="B686" s="880">
        <v>2025</v>
      </c>
      <c r="C686" s="816" t="s">
        <v>1866</v>
      </c>
      <c r="D686" s="816" t="s">
        <v>1867</v>
      </c>
      <c r="E686" s="816" t="s">
        <v>2298</v>
      </c>
      <c r="F686" s="826">
        <v>0</v>
      </c>
      <c r="G686" s="880">
        <v>0</v>
      </c>
      <c r="H686" s="465"/>
      <c r="I686" s="465"/>
      <c r="J686" s="826">
        <v>0</v>
      </c>
      <c r="K686" s="878">
        <v>0</v>
      </c>
    </row>
    <row r="687" spans="1:11" ht="22.5" customHeight="1" x14ac:dyDescent="0.25">
      <c r="A687" s="816" t="s">
        <v>224</v>
      </c>
      <c r="B687" s="880">
        <v>2025</v>
      </c>
      <c r="C687" s="816" t="s">
        <v>1869</v>
      </c>
      <c r="D687" s="816" t="s">
        <v>1870</v>
      </c>
      <c r="E687" s="816" t="s">
        <v>2299</v>
      </c>
      <c r="F687" s="826">
        <v>0</v>
      </c>
      <c r="G687" s="880">
        <v>0</v>
      </c>
      <c r="H687" s="465"/>
      <c r="I687" s="465"/>
      <c r="J687" s="826">
        <v>0</v>
      </c>
      <c r="K687" s="878">
        <v>0</v>
      </c>
    </row>
    <row r="688" spans="1:11" ht="22.5" customHeight="1" x14ac:dyDescent="0.25">
      <c r="A688" s="816" t="s">
        <v>224</v>
      </c>
      <c r="B688" s="880">
        <v>2025</v>
      </c>
      <c r="C688" s="816" t="s">
        <v>1872</v>
      </c>
      <c r="D688" s="816" t="s">
        <v>1873</v>
      </c>
      <c r="E688" s="816" t="s">
        <v>2300</v>
      </c>
      <c r="F688" s="826">
        <v>0</v>
      </c>
      <c r="G688" s="880">
        <v>0</v>
      </c>
      <c r="H688" s="465"/>
      <c r="I688" s="465"/>
      <c r="J688" s="826">
        <v>0</v>
      </c>
      <c r="K688" s="878">
        <v>0</v>
      </c>
    </row>
    <row r="689" spans="1:11" ht="22.5" customHeight="1" x14ac:dyDescent="0.25">
      <c r="A689" s="816" t="s">
        <v>224</v>
      </c>
      <c r="B689" s="880">
        <v>2025</v>
      </c>
      <c r="C689" s="816" t="s">
        <v>1875</v>
      </c>
      <c r="D689" s="816" t="s">
        <v>1876</v>
      </c>
      <c r="E689" s="816" t="s">
        <v>2301</v>
      </c>
      <c r="F689" s="826">
        <v>0</v>
      </c>
      <c r="G689" s="880">
        <v>0</v>
      </c>
      <c r="H689" s="465"/>
      <c r="I689" s="465"/>
      <c r="J689" s="826">
        <v>0</v>
      </c>
      <c r="K689" s="878">
        <v>0</v>
      </c>
    </row>
    <row r="690" spans="1:11" ht="22.5" customHeight="1" x14ac:dyDescent="0.25">
      <c r="A690" s="816" t="s">
        <v>224</v>
      </c>
      <c r="B690" s="880">
        <v>2025</v>
      </c>
      <c r="C690" s="816" t="s">
        <v>1878</v>
      </c>
      <c r="D690" s="816" t="s">
        <v>1879</v>
      </c>
      <c r="E690" s="816" t="s">
        <v>2302</v>
      </c>
      <c r="F690" s="826">
        <v>0</v>
      </c>
      <c r="G690" s="880">
        <v>0</v>
      </c>
      <c r="H690" s="465"/>
      <c r="I690" s="465"/>
      <c r="J690" s="826">
        <v>0</v>
      </c>
      <c r="K690" s="878">
        <v>0</v>
      </c>
    </row>
    <row r="691" spans="1:11" ht="22.5" customHeight="1" x14ac:dyDescent="0.25">
      <c r="A691" s="816" t="s">
        <v>224</v>
      </c>
      <c r="B691" s="880">
        <v>2025</v>
      </c>
      <c r="C691" s="816" t="s">
        <v>1881</v>
      </c>
      <c r="D691" s="816" t="s">
        <v>1882</v>
      </c>
      <c r="E691" s="816" t="s">
        <v>2303</v>
      </c>
      <c r="F691" s="826">
        <v>0</v>
      </c>
      <c r="G691" s="880">
        <v>0</v>
      </c>
      <c r="H691" s="465"/>
      <c r="I691" s="465"/>
      <c r="J691" s="826">
        <v>0</v>
      </c>
      <c r="K691" s="878">
        <v>0</v>
      </c>
    </row>
    <row r="692" spans="1:11" ht="22.5" customHeight="1" x14ac:dyDescent="0.25">
      <c r="A692" s="816" t="s">
        <v>224</v>
      </c>
      <c r="B692" s="880">
        <v>2025</v>
      </c>
      <c r="C692" s="816" t="s">
        <v>1884</v>
      </c>
      <c r="D692" s="816" t="s">
        <v>1885</v>
      </c>
      <c r="E692" s="816" t="s">
        <v>2304</v>
      </c>
      <c r="F692" s="826">
        <v>0</v>
      </c>
      <c r="G692" s="880">
        <v>0</v>
      </c>
      <c r="H692" s="465"/>
      <c r="I692" s="465"/>
      <c r="J692" s="826">
        <v>0</v>
      </c>
      <c r="K692" s="878">
        <v>0</v>
      </c>
    </row>
    <row r="693" spans="1:11" ht="22.5" customHeight="1" x14ac:dyDescent="0.25">
      <c r="A693" s="816" t="s">
        <v>224</v>
      </c>
      <c r="B693" s="880">
        <v>2025</v>
      </c>
      <c r="C693" s="816" t="s">
        <v>1887</v>
      </c>
      <c r="D693" s="816" t="s">
        <v>138</v>
      </c>
      <c r="E693" s="816" t="s">
        <v>2305</v>
      </c>
      <c r="F693" s="826">
        <v>516430.68</v>
      </c>
      <c r="G693" s="880">
        <v>1</v>
      </c>
      <c r="H693" s="826">
        <v>432115.98</v>
      </c>
      <c r="I693" s="826">
        <v>84314.7</v>
      </c>
      <c r="J693" s="826">
        <v>516430.68</v>
      </c>
      <c r="K693" s="878">
        <v>516430.68</v>
      </c>
    </row>
    <row r="694" spans="1:11" ht="22.5" customHeight="1" x14ac:dyDescent="0.25">
      <c r="A694" s="816" t="s">
        <v>224</v>
      </c>
      <c r="B694" s="880">
        <v>2025</v>
      </c>
      <c r="C694" s="816" t="s">
        <v>1889</v>
      </c>
      <c r="D694" s="816" t="s">
        <v>139</v>
      </c>
      <c r="E694" s="816" t="s">
        <v>2306</v>
      </c>
      <c r="F694" s="826">
        <v>-47876.14</v>
      </c>
      <c r="G694" s="880">
        <v>1</v>
      </c>
      <c r="H694" s="826">
        <v>-44858.01</v>
      </c>
      <c r="I694" s="826">
        <v>-3018.13</v>
      </c>
      <c r="J694" s="826">
        <v>-47876.14</v>
      </c>
      <c r="K694" s="878">
        <v>-47876.14</v>
      </c>
    </row>
    <row r="695" spans="1:11" ht="22.5" customHeight="1" x14ac:dyDescent="0.25">
      <c r="A695" s="816" t="s">
        <v>224</v>
      </c>
      <c r="B695" s="880">
        <v>2025</v>
      </c>
      <c r="C695" s="816" t="s">
        <v>1891</v>
      </c>
      <c r="D695" s="816" t="s">
        <v>1892</v>
      </c>
      <c r="E695" s="816" t="s">
        <v>2307</v>
      </c>
      <c r="F695" s="826">
        <v>0</v>
      </c>
      <c r="G695" s="880">
        <v>0</v>
      </c>
      <c r="H695" s="465"/>
      <c r="I695" s="465"/>
      <c r="J695" s="826">
        <v>0</v>
      </c>
      <c r="K695" s="878">
        <v>0</v>
      </c>
    </row>
    <row r="696" spans="1:11" ht="22.5" customHeight="1" x14ac:dyDescent="0.25">
      <c r="A696" s="816" t="s">
        <v>224</v>
      </c>
      <c r="B696" s="880">
        <v>2025</v>
      </c>
      <c r="C696" s="816" t="s">
        <v>1891</v>
      </c>
      <c r="D696" s="816" t="s">
        <v>1894</v>
      </c>
      <c r="E696" s="816" t="s">
        <v>2307</v>
      </c>
      <c r="F696" s="826">
        <v>0</v>
      </c>
      <c r="G696" s="880">
        <v>0</v>
      </c>
      <c r="H696" s="465"/>
      <c r="I696" s="465"/>
      <c r="J696" s="826">
        <v>0</v>
      </c>
      <c r="K696" s="881">
        <v>0</v>
      </c>
    </row>
    <row r="697" spans="1:11" ht="22.5" customHeight="1" x14ac:dyDescent="0.25">
      <c r="A697" s="816" t="s">
        <v>224</v>
      </c>
      <c r="B697" s="880">
        <v>2025</v>
      </c>
      <c r="C697" s="816" t="s">
        <v>1895</v>
      </c>
      <c r="D697" s="816" t="s">
        <v>1896</v>
      </c>
      <c r="E697" s="816" t="s">
        <v>2308</v>
      </c>
      <c r="F697" s="826">
        <v>0</v>
      </c>
      <c r="G697" s="880">
        <v>0</v>
      </c>
      <c r="H697" s="465"/>
      <c r="I697" s="465"/>
      <c r="J697" s="826">
        <v>0</v>
      </c>
      <c r="K697" s="878">
        <v>0</v>
      </c>
    </row>
    <row r="698" spans="1:11" ht="22.5" customHeight="1" x14ac:dyDescent="0.25">
      <c r="A698" s="816" t="s">
        <v>224</v>
      </c>
      <c r="B698" s="880">
        <v>2025</v>
      </c>
      <c r="C698" s="816" t="s">
        <v>1898</v>
      </c>
      <c r="D698" s="816" t="s">
        <v>1899</v>
      </c>
      <c r="E698" s="816" t="s">
        <v>2309</v>
      </c>
      <c r="F698" s="826">
        <v>0</v>
      </c>
      <c r="G698" s="880">
        <v>0</v>
      </c>
      <c r="H698" s="465"/>
      <c r="I698" s="465"/>
      <c r="J698" s="826">
        <v>0</v>
      </c>
      <c r="K698" s="878">
        <v>0</v>
      </c>
    </row>
    <row r="699" spans="1:11" ht="22.5" customHeight="1" x14ac:dyDescent="0.25">
      <c r="A699" s="816" t="s">
        <v>224</v>
      </c>
      <c r="B699" s="880">
        <v>2025</v>
      </c>
      <c r="C699" s="816" t="s">
        <v>1901</v>
      </c>
      <c r="D699" s="816" t="s">
        <v>1902</v>
      </c>
      <c r="E699" s="816" t="s">
        <v>2310</v>
      </c>
      <c r="F699" s="826">
        <v>0</v>
      </c>
      <c r="G699" s="880">
        <v>0</v>
      </c>
      <c r="H699" s="465"/>
      <c r="I699" s="465"/>
      <c r="J699" s="826">
        <v>0</v>
      </c>
      <c r="K699" s="878">
        <v>0</v>
      </c>
    </row>
    <row r="700" spans="1:11" ht="22.5" customHeight="1" x14ac:dyDescent="0.25">
      <c r="A700" s="816" t="s">
        <v>224</v>
      </c>
      <c r="B700" s="880">
        <v>2025</v>
      </c>
      <c r="C700" s="816" t="s">
        <v>1904</v>
      </c>
      <c r="D700" s="816" t="s">
        <v>1905</v>
      </c>
      <c r="E700" s="816" t="s">
        <v>2311</v>
      </c>
      <c r="F700" s="826">
        <v>0</v>
      </c>
      <c r="G700" s="880">
        <v>0</v>
      </c>
      <c r="H700" s="465"/>
      <c r="I700" s="465"/>
      <c r="J700" s="826">
        <v>0</v>
      </c>
      <c r="K700" s="878">
        <v>0</v>
      </c>
    </row>
    <row r="701" spans="1:11" ht="22.5" customHeight="1" x14ac:dyDescent="0.25">
      <c r="A701" s="816" t="s">
        <v>224</v>
      </c>
      <c r="B701" s="880">
        <v>2025</v>
      </c>
      <c r="C701" s="816" t="s">
        <v>1907</v>
      </c>
      <c r="D701" s="816" t="s">
        <v>1908</v>
      </c>
      <c r="E701" s="816" t="s">
        <v>2312</v>
      </c>
      <c r="F701" s="826">
        <v>0</v>
      </c>
      <c r="G701" s="880">
        <v>0</v>
      </c>
      <c r="H701" s="465"/>
      <c r="I701" s="465"/>
      <c r="J701" s="826">
        <v>0</v>
      </c>
      <c r="K701" s="878">
        <v>0</v>
      </c>
    </row>
    <row r="702" spans="1:11" ht="22.5" customHeight="1" x14ac:dyDescent="0.25">
      <c r="A702" s="816" t="s">
        <v>224</v>
      </c>
      <c r="B702" s="880">
        <v>2025</v>
      </c>
      <c r="C702" s="816" t="s">
        <v>1910</v>
      </c>
      <c r="D702" s="816" t="s">
        <v>1911</v>
      </c>
      <c r="E702" s="816" t="s">
        <v>2313</v>
      </c>
      <c r="F702" s="826">
        <v>0</v>
      </c>
      <c r="G702" s="880">
        <v>0</v>
      </c>
      <c r="H702" s="465"/>
      <c r="I702" s="465"/>
      <c r="J702" s="826">
        <v>0</v>
      </c>
      <c r="K702" s="878">
        <v>0</v>
      </c>
    </row>
    <row r="703" spans="1:11" ht="22.5" customHeight="1" x14ac:dyDescent="0.25">
      <c r="A703" s="816" t="s">
        <v>224</v>
      </c>
      <c r="B703" s="880">
        <v>2025</v>
      </c>
      <c r="C703" s="816" t="s">
        <v>1913</v>
      </c>
      <c r="D703" s="816" t="s">
        <v>1914</v>
      </c>
      <c r="E703" s="816" t="s">
        <v>2314</v>
      </c>
      <c r="F703" s="826">
        <v>-250745.88</v>
      </c>
      <c r="G703" s="880">
        <v>1</v>
      </c>
      <c r="H703" s="826">
        <v>-241900.85</v>
      </c>
      <c r="I703" s="826">
        <v>-8845.0300000000007</v>
      </c>
      <c r="J703" s="826">
        <v>-250745.88</v>
      </c>
      <c r="K703" s="878">
        <v>-250745.88</v>
      </c>
    </row>
    <row r="704" spans="1:11" ht="22.5" customHeight="1" x14ac:dyDescent="0.25">
      <c r="A704" s="816" t="s">
        <v>224</v>
      </c>
      <c r="B704" s="880">
        <v>2025</v>
      </c>
      <c r="C704" s="816" t="s">
        <v>1913</v>
      </c>
      <c r="D704" s="816" t="s">
        <v>1916</v>
      </c>
      <c r="E704" s="816" t="s">
        <v>2314</v>
      </c>
      <c r="F704" s="826">
        <v>0</v>
      </c>
      <c r="G704" s="880">
        <v>0</v>
      </c>
      <c r="H704" s="465"/>
      <c r="I704" s="465"/>
      <c r="J704" s="826">
        <v>0</v>
      </c>
      <c r="K704" s="881">
        <v>-10.52</v>
      </c>
    </row>
    <row r="705" spans="1:11" ht="22.5" customHeight="1" x14ac:dyDescent="0.25">
      <c r="A705" s="816" t="s">
        <v>224</v>
      </c>
      <c r="B705" s="880">
        <v>2025</v>
      </c>
      <c r="C705" s="816" t="s">
        <v>1913</v>
      </c>
      <c r="D705" s="816" t="s">
        <v>1917</v>
      </c>
      <c r="E705" s="816" t="s">
        <v>2314</v>
      </c>
      <c r="F705" s="826">
        <v>0</v>
      </c>
      <c r="G705" s="880">
        <v>0</v>
      </c>
      <c r="H705" s="465"/>
      <c r="I705" s="465"/>
      <c r="J705" s="826">
        <v>0</v>
      </c>
      <c r="K705" s="881">
        <v>-8.27</v>
      </c>
    </row>
    <row r="706" spans="1:11" ht="22.5" customHeight="1" x14ac:dyDescent="0.25">
      <c r="A706" s="816" t="s">
        <v>224</v>
      </c>
      <c r="B706" s="880">
        <v>2025</v>
      </c>
      <c r="C706" s="816" t="s">
        <v>1913</v>
      </c>
      <c r="D706" s="816" t="s">
        <v>1918</v>
      </c>
      <c r="E706" s="816" t="s">
        <v>2314</v>
      </c>
      <c r="F706" s="826">
        <v>0</v>
      </c>
      <c r="G706" s="880">
        <v>0</v>
      </c>
      <c r="H706" s="465"/>
      <c r="I706" s="465"/>
      <c r="J706" s="826">
        <v>0</v>
      </c>
      <c r="K706" s="881">
        <v>-747.39</v>
      </c>
    </row>
    <row r="707" spans="1:11" ht="22.5" customHeight="1" x14ac:dyDescent="0.25">
      <c r="A707" s="816" t="s">
        <v>224</v>
      </c>
      <c r="B707" s="880">
        <v>2025</v>
      </c>
      <c r="C707" s="816" t="s">
        <v>1913</v>
      </c>
      <c r="D707" s="816" t="s">
        <v>1919</v>
      </c>
      <c r="E707" s="816" t="s">
        <v>2314</v>
      </c>
      <c r="F707" s="826">
        <v>0</v>
      </c>
      <c r="G707" s="880">
        <v>0</v>
      </c>
      <c r="H707" s="465"/>
      <c r="I707" s="465"/>
      <c r="J707" s="826">
        <v>0</v>
      </c>
      <c r="K707" s="881">
        <v>134682.65</v>
      </c>
    </row>
    <row r="708" spans="1:11" ht="22.5" customHeight="1" x14ac:dyDescent="0.25">
      <c r="A708" s="816" t="s">
        <v>224</v>
      </c>
      <c r="B708" s="880">
        <v>2025</v>
      </c>
      <c r="C708" s="816" t="s">
        <v>1920</v>
      </c>
      <c r="D708" s="816" t="s">
        <v>1921</v>
      </c>
      <c r="E708" s="816" t="s">
        <v>2315</v>
      </c>
      <c r="F708" s="826">
        <v>0</v>
      </c>
      <c r="G708" s="880">
        <v>0</v>
      </c>
      <c r="H708" s="465"/>
      <c r="I708" s="465"/>
      <c r="J708" s="826">
        <v>0</v>
      </c>
      <c r="K708" s="878">
        <v>0</v>
      </c>
    </row>
    <row r="709" spans="1:11" ht="22.5" customHeight="1" x14ac:dyDescent="0.25">
      <c r="A709" s="816" t="s">
        <v>224</v>
      </c>
      <c r="B709" s="880">
        <v>2025</v>
      </c>
      <c r="C709" s="816" t="s">
        <v>1923</v>
      </c>
      <c r="D709" s="816" t="s">
        <v>143</v>
      </c>
      <c r="E709" s="816" t="s">
        <v>2316</v>
      </c>
      <c r="F709" s="826">
        <v>393280.37</v>
      </c>
      <c r="G709" s="880">
        <v>1</v>
      </c>
      <c r="H709" s="826">
        <v>370349.49</v>
      </c>
      <c r="I709" s="826">
        <v>22930.880000000001</v>
      </c>
      <c r="J709" s="826">
        <v>393280.37</v>
      </c>
      <c r="K709" s="878">
        <v>393280.37</v>
      </c>
    </row>
    <row r="710" spans="1:11" ht="22.5" customHeight="1" x14ac:dyDescent="0.25">
      <c r="A710" s="816" t="s">
        <v>224</v>
      </c>
      <c r="B710" s="880">
        <v>2025</v>
      </c>
      <c r="C710" s="816" t="s">
        <v>1925</v>
      </c>
      <c r="D710" s="816" t="s">
        <v>144</v>
      </c>
      <c r="E710" s="816" t="s">
        <v>2317</v>
      </c>
      <c r="F710" s="826">
        <v>614519.44999999995</v>
      </c>
      <c r="G710" s="880">
        <v>1</v>
      </c>
      <c r="H710" s="826">
        <v>578750.47</v>
      </c>
      <c r="I710" s="826">
        <v>35768.980000000003</v>
      </c>
      <c r="J710" s="826">
        <v>614519.44999999995</v>
      </c>
      <c r="K710" s="878">
        <v>614519.44999999995</v>
      </c>
    </row>
    <row r="711" spans="1:11" ht="22.5" customHeight="1" x14ac:dyDescent="0.25">
      <c r="A711" s="816" t="s">
        <v>224</v>
      </c>
      <c r="B711" s="880">
        <v>2025</v>
      </c>
      <c r="C711" s="816" t="s">
        <v>1927</v>
      </c>
      <c r="D711" s="816" t="s">
        <v>1928</v>
      </c>
      <c r="E711" s="816" t="s">
        <v>2318</v>
      </c>
      <c r="F711" s="826">
        <v>470591.95</v>
      </c>
      <c r="G711" s="880">
        <v>1</v>
      </c>
      <c r="H711" s="826">
        <v>449520.32</v>
      </c>
      <c r="I711" s="826">
        <v>21071.63</v>
      </c>
      <c r="J711" s="826">
        <v>470591.95</v>
      </c>
      <c r="K711" s="878">
        <v>470591.95</v>
      </c>
    </row>
    <row r="712" spans="1:11" ht="22.5" customHeight="1" x14ac:dyDescent="0.25">
      <c r="A712" s="816" t="s">
        <v>224</v>
      </c>
      <c r="B712" s="880">
        <v>2025</v>
      </c>
      <c r="C712" s="816" t="s">
        <v>1930</v>
      </c>
      <c r="D712" s="816" t="s">
        <v>156</v>
      </c>
      <c r="E712" s="816" t="s">
        <v>2319</v>
      </c>
      <c r="F712" s="826">
        <v>782412.2</v>
      </c>
      <c r="G712" s="880">
        <v>1</v>
      </c>
      <c r="H712" s="826">
        <v>758494.98</v>
      </c>
      <c r="I712" s="826">
        <v>23917.22</v>
      </c>
      <c r="J712" s="826">
        <v>782412.2</v>
      </c>
      <c r="K712" s="878">
        <v>782412.2</v>
      </c>
    </row>
    <row r="713" spans="1:11" ht="22.5" customHeight="1" x14ac:dyDescent="0.25">
      <c r="A713" s="816" t="s">
        <v>224</v>
      </c>
      <c r="B713" s="880">
        <v>2025</v>
      </c>
      <c r="C713" s="816" t="s">
        <v>1932</v>
      </c>
      <c r="D713" s="816" t="s">
        <v>1933</v>
      </c>
      <c r="E713" s="816" t="s">
        <v>2320</v>
      </c>
      <c r="F713" s="826">
        <v>0</v>
      </c>
      <c r="G713" s="880">
        <v>0</v>
      </c>
      <c r="H713" s="465"/>
      <c r="I713" s="465"/>
      <c r="J713" s="826">
        <v>0</v>
      </c>
      <c r="K713" s="878">
        <v>0</v>
      </c>
    </row>
    <row r="714" spans="1:11" ht="22.5" customHeight="1" x14ac:dyDescent="0.25">
      <c r="A714" s="816" t="s">
        <v>224</v>
      </c>
      <c r="B714" s="880">
        <v>2025</v>
      </c>
      <c r="C714" s="816" t="s">
        <v>1935</v>
      </c>
      <c r="D714" s="816" t="s">
        <v>1936</v>
      </c>
      <c r="E714" s="816" t="s">
        <v>8058</v>
      </c>
      <c r="F714" s="826">
        <v>0</v>
      </c>
      <c r="G714" s="880">
        <v>1</v>
      </c>
      <c r="H714" s="465"/>
      <c r="I714" s="465"/>
      <c r="J714" s="826">
        <v>0</v>
      </c>
      <c r="K714" s="878">
        <v>0</v>
      </c>
    </row>
    <row r="715" spans="1:11" ht="22.5" customHeight="1" x14ac:dyDescent="0.25">
      <c r="A715" s="816" t="s">
        <v>224</v>
      </c>
      <c r="B715" s="880">
        <v>2025</v>
      </c>
      <c r="C715" s="816" t="s">
        <v>1935</v>
      </c>
      <c r="D715" s="816" t="s">
        <v>1937</v>
      </c>
      <c r="E715" s="816" t="s">
        <v>8059</v>
      </c>
      <c r="F715" s="826">
        <v>0</v>
      </c>
      <c r="G715" s="880">
        <v>1</v>
      </c>
      <c r="H715" s="465"/>
      <c r="I715" s="465"/>
      <c r="J715" s="826">
        <v>0</v>
      </c>
      <c r="K715" s="878">
        <v>0</v>
      </c>
    </row>
    <row r="716" spans="1:11" ht="22.5" customHeight="1" x14ac:dyDescent="0.25">
      <c r="A716" s="816" t="s">
        <v>224</v>
      </c>
      <c r="B716" s="880">
        <v>2025</v>
      </c>
      <c r="C716" s="816" t="s">
        <v>1935</v>
      </c>
      <c r="D716" s="816" t="s">
        <v>1938</v>
      </c>
      <c r="E716" s="816" t="s">
        <v>8060</v>
      </c>
      <c r="F716" s="826">
        <v>0</v>
      </c>
      <c r="G716" s="880">
        <v>1</v>
      </c>
      <c r="H716" s="465"/>
      <c r="I716" s="465"/>
      <c r="J716" s="826">
        <v>0</v>
      </c>
      <c r="K716" s="878">
        <v>0</v>
      </c>
    </row>
    <row r="717" spans="1:11" ht="22.5" customHeight="1" x14ac:dyDescent="0.25">
      <c r="A717" s="816" t="s">
        <v>224</v>
      </c>
      <c r="B717" s="880">
        <v>2025</v>
      </c>
      <c r="C717" s="816" t="s">
        <v>1935</v>
      </c>
      <c r="D717" s="816" t="s">
        <v>1939</v>
      </c>
      <c r="E717" s="816" t="s">
        <v>8061</v>
      </c>
      <c r="F717" s="826">
        <v>0</v>
      </c>
      <c r="G717" s="880">
        <v>1</v>
      </c>
      <c r="H717" s="465"/>
      <c r="I717" s="465"/>
      <c r="J717" s="826">
        <v>0</v>
      </c>
      <c r="K717" s="878">
        <v>0</v>
      </c>
    </row>
    <row r="718" spans="1:11" ht="22.5" customHeight="1" x14ac:dyDescent="0.25">
      <c r="A718" s="816" t="s">
        <v>224</v>
      </c>
      <c r="B718" s="880">
        <v>2025</v>
      </c>
      <c r="C718" s="816" t="s">
        <v>1935</v>
      </c>
      <c r="D718" s="816" t="s">
        <v>1940</v>
      </c>
      <c r="E718" s="816" t="s">
        <v>8062</v>
      </c>
      <c r="F718" s="826">
        <v>0</v>
      </c>
      <c r="G718" s="880">
        <v>1</v>
      </c>
      <c r="H718" s="465"/>
      <c r="I718" s="465"/>
      <c r="J718" s="826">
        <v>0</v>
      </c>
      <c r="K718" s="878">
        <v>0</v>
      </c>
    </row>
    <row r="719" spans="1:11" ht="22.5" customHeight="1" x14ac:dyDescent="0.25">
      <c r="A719" s="816" t="s">
        <v>224</v>
      </c>
      <c r="B719" s="880">
        <v>2025</v>
      </c>
      <c r="C719" s="816" t="s">
        <v>1935</v>
      </c>
      <c r="D719" s="816" t="s">
        <v>1941</v>
      </c>
      <c r="E719" s="816" t="s">
        <v>8063</v>
      </c>
      <c r="F719" s="826">
        <v>0</v>
      </c>
      <c r="G719" s="880">
        <v>1</v>
      </c>
      <c r="H719" s="465"/>
      <c r="I719" s="465"/>
      <c r="J719" s="826">
        <v>0</v>
      </c>
      <c r="K719" s="878">
        <v>0</v>
      </c>
    </row>
    <row r="720" spans="1:11" ht="22.5" customHeight="1" x14ac:dyDescent="0.25">
      <c r="A720" s="816" t="s">
        <v>224</v>
      </c>
      <c r="B720" s="880">
        <v>2025</v>
      </c>
      <c r="C720" s="816" t="s">
        <v>1935</v>
      </c>
      <c r="D720" s="816" t="s">
        <v>1942</v>
      </c>
      <c r="E720" s="816" t="s">
        <v>8064</v>
      </c>
      <c r="F720" s="826">
        <v>0</v>
      </c>
      <c r="G720" s="880">
        <v>1</v>
      </c>
      <c r="H720" s="465"/>
      <c r="I720" s="465"/>
      <c r="J720" s="826">
        <v>0</v>
      </c>
      <c r="K720" s="878">
        <v>0</v>
      </c>
    </row>
    <row r="721" spans="1:11" ht="22.5" customHeight="1" x14ac:dyDescent="0.25">
      <c r="A721" s="816" t="s">
        <v>224</v>
      </c>
      <c r="B721" s="880">
        <v>2025</v>
      </c>
      <c r="C721" s="816" t="s">
        <v>1935</v>
      </c>
      <c r="D721" s="816" t="s">
        <v>1943</v>
      </c>
      <c r="E721" s="816" t="s">
        <v>8065</v>
      </c>
      <c r="F721" s="826">
        <v>0</v>
      </c>
      <c r="G721" s="880">
        <v>1</v>
      </c>
      <c r="H721" s="465"/>
      <c r="I721" s="465"/>
      <c r="J721" s="826">
        <v>0</v>
      </c>
      <c r="K721" s="878">
        <v>0</v>
      </c>
    </row>
    <row r="722" spans="1:11" ht="22.5" customHeight="1" x14ac:dyDescent="0.25">
      <c r="A722" s="816" t="s">
        <v>224</v>
      </c>
      <c r="B722" s="880">
        <v>2025</v>
      </c>
      <c r="C722" s="816" t="s">
        <v>1935</v>
      </c>
      <c r="D722" s="816" t="s">
        <v>1944</v>
      </c>
      <c r="E722" s="816" t="s">
        <v>8066</v>
      </c>
      <c r="F722" s="826">
        <v>0</v>
      </c>
      <c r="G722" s="880">
        <v>1</v>
      </c>
      <c r="H722" s="465"/>
      <c r="I722" s="465"/>
      <c r="J722" s="826">
        <v>0</v>
      </c>
      <c r="K722" s="878">
        <v>0</v>
      </c>
    </row>
    <row r="723" spans="1:11" ht="22.5" customHeight="1" x14ac:dyDescent="0.25">
      <c r="A723" s="816" t="s">
        <v>224</v>
      </c>
      <c r="B723" s="880">
        <v>2025</v>
      </c>
      <c r="C723" s="816" t="s">
        <v>1935</v>
      </c>
      <c r="D723" s="816" t="s">
        <v>1945</v>
      </c>
      <c r="E723" s="816" t="s">
        <v>8067</v>
      </c>
      <c r="F723" s="826">
        <v>0</v>
      </c>
      <c r="G723" s="880">
        <v>1</v>
      </c>
      <c r="H723" s="465"/>
      <c r="I723" s="465"/>
      <c r="J723" s="826">
        <v>0</v>
      </c>
      <c r="K723" s="878">
        <v>0</v>
      </c>
    </row>
    <row r="724" spans="1:11" ht="22.5" customHeight="1" x14ac:dyDescent="0.25">
      <c r="A724" s="816" t="s">
        <v>224</v>
      </c>
      <c r="B724" s="880">
        <v>2025</v>
      </c>
      <c r="C724" s="816" t="s">
        <v>1935</v>
      </c>
      <c r="D724" s="816" t="s">
        <v>1946</v>
      </c>
      <c r="E724" s="816" t="s">
        <v>8068</v>
      </c>
      <c r="F724" s="826">
        <v>0</v>
      </c>
      <c r="G724" s="880">
        <v>1</v>
      </c>
      <c r="H724" s="465"/>
      <c r="I724" s="465"/>
      <c r="J724" s="826">
        <v>0</v>
      </c>
      <c r="K724" s="878">
        <v>0</v>
      </c>
    </row>
    <row r="725" spans="1:11" ht="22.5" customHeight="1" x14ac:dyDescent="0.25">
      <c r="A725" s="816" t="s">
        <v>224</v>
      </c>
      <c r="B725" s="880">
        <v>2025</v>
      </c>
      <c r="C725" s="816" t="s">
        <v>1935</v>
      </c>
      <c r="D725" s="816" t="s">
        <v>1947</v>
      </c>
      <c r="E725" s="816" t="s">
        <v>8069</v>
      </c>
      <c r="F725" s="826">
        <v>0</v>
      </c>
      <c r="G725" s="880">
        <v>1</v>
      </c>
      <c r="H725" s="826">
        <v>1612.07</v>
      </c>
      <c r="I725" s="826">
        <v>17719.669999999998</v>
      </c>
      <c r="J725" s="826">
        <v>19331.740000000002</v>
      </c>
      <c r="K725" s="878">
        <v>19331.740000000002</v>
      </c>
    </row>
    <row r="726" spans="1:11" ht="22.5" customHeight="1" x14ac:dyDescent="0.25">
      <c r="A726" s="816" t="s">
        <v>224</v>
      </c>
      <c r="B726" s="880">
        <v>2025</v>
      </c>
      <c r="C726" s="816" t="s">
        <v>1935</v>
      </c>
      <c r="D726" s="816" t="s">
        <v>1948</v>
      </c>
      <c r="E726" s="816" t="s">
        <v>8070</v>
      </c>
      <c r="F726" s="826">
        <v>0</v>
      </c>
      <c r="G726" s="880">
        <v>1</v>
      </c>
      <c r="H726" s="826">
        <v>20309.07</v>
      </c>
      <c r="I726" s="826">
        <v>43440.85</v>
      </c>
      <c r="J726" s="826">
        <v>63749.919999999998</v>
      </c>
      <c r="K726" s="878">
        <v>63749.919999999998</v>
      </c>
    </row>
    <row r="727" spans="1:11" ht="22.5" customHeight="1" x14ac:dyDescent="0.25">
      <c r="A727" s="816" t="s">
        <v>224</v>
      </c>
      <c r="B727" s="880">
        <v>2025</v>
      </c>
      <c r="C727" s="816" t="s">
        <v>1935</v>
      </c>
      <c r="D727" s="816" t="s">
        <v>1949</v>
      </c>
      <c r="E727" s="816" t="s">
        <v>8071</v>
      </c>
      <c r="F727" s="826">
        <v>0</v>
      </c>
      <c r="G727" s="880">
        <v>1</v>
      </c>
      <c r="H727" s="826">
        <v>-73882.58</v>
      </c>
      <c r="I727" s="826">
        <v>17417.169999999998</v>
      </c>
      <c r="J727" s="826">
        <v>-56465.41</v>
      </c>
      <c r="K727" s="878">
        <v>-56465.41</v>
      </c>
    </row>
    <row r="728" spans="1:11" ht="22.5" customHeight="1" x14ac:dyDescent="0.25">
      <c r="A728" s="816" t="s">
        <v>224</v>
      </c>
      <c r="B728" s="880">
        <v>2025</v>
      </c>
      <c r="C728" s="816" t="s">
        <v>1935</v>
      </c>
      <c r="D728" s="816" t="s">
        <v>1950</v>
      </c>
      <c r="E728" s="816" t="s">
        <v>8072</v>
      </c>
      <c r="F728" s="826">
        <v>0</v>
      </c>
      <c r="G728" s="880">
        <v>1</v>
      </c>
      <c r="H728" s="826">
        <v>-81396.789999999994</v>
      </c>
      <c r="I728" s="826">
        <v>35755.78</v>
      </c>
      <c r="J728" s="826">
        <v>-45641.01</v>
      </c>
      <c r="K728" s="878">
        <v>-45641.01</v>
      </c>
    </row>
    <row r="729" spans="1:11" ht="22.5" customHeight="1" x14ac:dyDescent="0.25">
      <c r="A729" s="816" t="s">
        <v>224</v>
      </c>
      <c r="B729" s="880">
        <v>2025</v>
      </c>
      <c r="C729" s="816" t="s">
        <v>1935</v>
      </c>
      <c r="D729" s="816" t="s">
        <v>1951</v>
      </c>
      <c r="E729" s="816" t="s">
        <v>8073</v>
      </c>
      <c r="F729" s="826">
        <v>0</v>
      </c>
      <c r="G729" s="880">
        <v>1</v>
      </c>
      <c r="H729" s="826">
        <v>749444.46</v>
      </c>
      <c r="I729" s="826">
        <v>279705.71999999997</v>
      </c>
      <c r="J729" s="826">
        <v>1029150.18</v>
      </c>
      <c r="K729" s="878">
        <v>1029150.18</v>
      </c>
    </row>
    <row r="730" spans="1:11" ht="22.5" customHeight="1" x14ac:dyDescent="0.25">
      <c r="A730" s="816" t="s">
        <v>224</v>
      </c>
      <c r="B730" s="880">
        <v>2025</v>
      </c>
      <c r="C730" s="816" t="s">
        <v>1935</v>
      </c>
      <c r="D730" s="816" t="s">
        <v>7801</v>
      </c>
      <c r="E730" s="816" t="s">
        <v>8074</v>
      </c>
      <c r="F730" s="826">
        <v>0</v>
      </c>
      <c r="G730" s="880">
        <v>1</v>
      </c>
      <c r="H730" s="826">
        <v>379389.22</v>
      </c>
      <c r="I730" s="826">
        <v>157606.79</v>
      </c>
      <c r="J730" s="826">
        <v>536996.01</v>
      </c>
      <c r="K730" s="878">
        <v>536996.01</v>
      </c>
    </row>
    <row r="731" spans="1:11" ht="22.5" customHeight="1" x14ac:dyDescent="0.25">
      <c r="A731" s="816" t="s">
        <v>224</v>
      </c>
      <c r="B731" s="880">
        <v>2025</v>
      </c>
      <c r="C731" s="816" t="s">
        <v>1935</v>
      </c>
      <c r="D731" s="816" t="s">
        <v>1952</v>
      </c>
      <c r="E731" s="816" t="s">
        <v>8075</v>
      </c>
      <c r="F731" s="826">
        <v>1547121.43</v>
      </c>
      <c r="G731" s="880">
        <v>0</v>
      </c>
      <c r="H731" s="465"/>
      <c r="I731" s="465"/>
      <c r="J731" s="826">
        <v>0</v>
      </c>
      <c r="K731" s="878">
        <v>1547121.43</v>
      </c>
    </row>
    <row r="732" spans="1:11" ht="22.5" customHeight="1" x14ac:dyDescent="0.25">
      <c r="A732" s="816" t="s">
        <v>224</v>
      </c>
      <c r="B732" s="880">
        <v>2025</v>
      </c>
      <c r="C732" s="816" t="s">
        <v>1953</v>
      </c>
      <c r="D732" s="816" t="s">
        <v>1954</v>
      </c>
      <c r="E732" s="816" t="s">
        <v>2321</v>
      </c>
      <c r="F732" s="826">
        <v>0</v>
      </c>
      <c r="G732" s="880">
        <v>0</v>
      </c>
      <c r="H732" s="465"/>
      <c r="I732" s="465"/>
      <c r="J732" s="826">
        <v>0</v>
      </c>
      <c r="K732" s="878">
        <v>0</v>
      </c>
    </row>
    <row r="733" spans="1:11" ht="22.5" customHeight="1" x14ac:dyDescent="0.25">
      <c r="A733" s="816" t="s">
        <v>227</v>
      </c>
      <c r="B733" s="880">
        <v>2025</v>
      </c>
      <c r="C733" s="816" t="s">
        <v>1854</v>
      </c>
      <c r="D733" s="816" t="s">
        <v>1855</v>
      </c>
      <c r="E733" s="816" t="s">
        <v>2322</v>
      </c>
      <c r="F733" s="826">
        <v>174950.25</v>
      </c>
      <c r="G733" s="880">
        <v>0</v>
      </c>
      <c r="H733" s="465"/>
      <c r="I733" s="465"/>
      <c r="J733" s="826">
        <v>0</v>
      </c>
      <c r="K733" s="878">
        <v>174950.25</v>
      </c>
    </row>
    <row r="734" spans="1:11" ht="22.5" customHeight="1" x14ac:dyDescent="0.25">
      <c r="A734" s="816" t="s">
        <v>227</v>
      </c>
      <c r="B734" s="880">
        <v>2025</v>
      </c>
      <c r="C734" s="816" t="s">
        <v>7746</v>
      </c>
      <c r="D734" s="816" t="s">
        <v>7747</v>
      </c>
      <c r="E734" s="816" t="s">
        <v>7762</v>
      </c>
      <c r="F734" s="826">
        <v>-0.05</v>
      </c>
      <c r="G734" s="880">
        <v>0</v>
      </c>
      <c r="H734" s="465"/>
      <c r="I734" s="465"/>
      <c r="J734" s="826">
        <v>0</v>
      </c>
      <c r="K734" s="878">
        <v>-0.05</v>
      </c>
    </row>
    <row r="735" spans="1:11" ht="22.5" customHeight="1" x14ac:dyDescent="0.25">
      <c r="A735" s="816" t="s">
        <v>227</v>
      </c>
      <c r="B735" s="880">
        <v>2025</v>
      </c>
      <c r="C735" s="816" t="s">
        <v>1857</v>
      </c>
      <c r="D735" s="816" t="s">
        <v>1858</v>
      </c>
      <c r="E735" s="816" t="s">
        <v>2323</v>
      </c>
      <c r="F735" s="826">
        <v>0</v>
      </c>
      <c r="G735" s="880">
        <v>0</v>
      </c>
      <c r="H735" s="465"/>
      <c r="I735" s="465"/>
      <c r="J735" s="826">
        <v>0</v>
      </c>
      <c r="K735" s="878">
        <v>0</v>
      </c>
    </row>
    <row r="736" spans="1:11" ht="22.5" customHeight="1" x14ac:dyDescent="0.25">
      <c r="A736" s="816" t="s">
        <v>227</v>
      </c>
      <c r="B736" s="880">
        <v>2025</v>
      </c>
      <c r="C736" s="816" t="s">
        <v>1860</v>
      </c>
      <c r="D736" s="816" t="s">
        <v>1861</v>
      </c>
      <c r="E736" s="816" t="s">
        <v>2324</v>
      </c>
      <c r="F736" s="826">
        <v>0</v>
      </c>
      <c r="G736" s="880">
        <v>0</v>
      </c>
      <c r="H736" s="465"/>
      <c r="I736" s="465"/>
      <c r="J736" s="826">
        <v>0</v>
      </c>
      <c r="K736" s="878">
        <v>0</v>
      </c>
    </row>
    <row r="737" spans="1:11" ht="22.5" customHeight="1" x14ac:dyDescent="0.25">
      <c r="A737" s="816" t="s">
        <v>227</v>
      </c>
      <c r="B737" s="880">
        <v>2025</v>
      </c>
      <c r="C737" s="816" t="s">
        <v>1863</v>
      </c>
      <c r="D737" s="816" t="s">
        <v>1864</v>
      </c>
      <c r="E737" s="816" t="s">
        <v>2325</v>
      </c>
      <c r="F737" s="826">
        <v>0</v>
      </c>
      <c r="G737" s="880">
        <v>0</v>
      </c>
      <c r="H737" s="465"/>
      <c r="I737" s="465"/>
      <c r="J737" s="826">
        <v>0</v>
      </c>
      <c r="K737" s="878">
        <v>0</v>
      </c>
    </row>
    <row r="738" spans="1:11" ht="22.5" customHeight="1" x14ac:dyDescent="0.25">
      <c r="A738" s="816" t="s">
        <v>227</v>
      </c>
      <c r="B738" s="880">
        <v>2025</v>
      </c>
      <c r="C738" s="816" t="s">
        <v>1866</v>
      </c>
      <c r="D738" s="816" t="s">
        <v>1867</v>
      </c>
      <c r="E738" s="816" t="s">
        <v>2326</v>
      </c>
      <c r="F738" s="826">
        <v>0</v>
      </c>
      <c r="G738" s="880">
        <v>0</v>
      </c>
      <c r="H738" s="465"/>
      <c r="I738" s="465"/>
      <c r="J738" s="826">
        <v>0</v>
      </c>
      <c r="K738" s="878">
        <v>0</v>
      </c>
    </row>
    <row r="739" spans="1:11" ht="22.5" customHeight="1" x14ac:dyDescent="0.25">
      <c r="A739" s="816" t="s">
        <v>227</v>
      </c>
      <c r="B739" s="880">
        <v>2025</v>
      </c>
      <c r="C739" s="816" t="s">
        <v>1869</v>
      </c>
      <c r="D739" s="816" t="s">
        <v>1870</v>
      </c>
      <c r="E739" s="816" t="s">
        <v>2327</v>
      </c>
      <c r="F739" s="826">
        <v>0</v>
      </c>
      <c r="G739" s="880">
        <v>0</v>
      </c>
      <c r="H739" s="465"/>
      <c r="I739" s="465"/>
      <c r="J739" s="826">
        <v>0</v>
      </c>
      <c r="K739" s="878">
        <v>0</v>
      </c>
    </row>
    <row r="740" spans="1:11" ht="22.5" customHeight="1" x14ac:dyDescent="0.25">
      <c r="A740" s="816" t="s">
        <v>227</v>
      </c>
      <c r="B740" s="880">
        <v>2025</v>
      </c>
      <c r="C740" s="816" t="s">
        <v>1872</v>
      </c>
      <c r="D740" s="816" t="s">
        <v>1873</v>
      </c>
      <c r="E740" s="816" t="s">
        <v>2328</v>
      </c>
      <c r="F740" s="826">
        <v>0</v>
      </c>
      <c r="G740" s="880">
        <v>0</v>
      </c>
      <c r="H740" s="465"/>
      <c r="I740" s="465"/>
      <c r="J740" s="826">
        <v>0</v>
      </c>
      <c r="K740" s="878">
        <v>0</v>
      </c>
    </row>
    <row r="741" spans="1:11" ht="22.5" customHeight="1" x14ac:dyDescent="0.25">
      <c r="A741" s="816" t="s">
        <v>227</v>
      </c>
      <c r="B741" s="880">
        <v>2025</v>
      </c>
      <c r="C741" s="816" t="s">
        <v>1875</v>
      </c>
      <c r="D741" s="816" t="s">
        <v>1876</v>
      </c>
      <c r="E741" s="816" t="s">
        <v>2329</v>
      </c>
      <c r="F741" s="826">
        <v>0</v>
      </c>
      <c r="G741" s="880">
        <v>0</v>
      </c>
      <c r="H741" s="465"/>
      <c r="I741" s="465"/>
      <c r="J741" s="826">
        <v>0</v>
      </c>
      <c r="K741" s="878">
        <v>0</v>
      </c>
    </row>
    <row r="742" spans="1:11" ht="22.5" customHeight="1" x14ac:dyDescent="0.25">
      <c r="A742" s="816" t="s">
        <v>227</v>
      </c>
      <c r="B742" s="880">
        <v>2025</v>
      </c>
      <c r="C742" s="816" t="s">
        <v>1878</v>
      </c>
      <c r="D742" s="816" t="s">
        <v>1879</v>
      </c>
      <c r="E742" s="816" t="s">
        <v>2330</v>
      </c>
      <c r="F742" s="826">
        <v>0</v>
      </c>
      <c r="G742" s="880">
        <v>0</v>
      </c>
      <c r="H742" s="465"/>
      <c r="I742" s="465"/>
      <c r="J742" s="826">
        <v>0</v>
      </c>
      <c r="K742" s="878">
        <v>0</v>
      </c>
    </row>
    <row r="743" spans="1:11" ht="22.5" customHeight="1" x14ac:dyDescent="0.25">
      <c r="A743" s="816" t="s">
        <v>227</v>
      </c>
      <c r="B743" s="880">
        <v>2025</v>
      </c>
      <c r="C743" s="816" t="s">
        <v>1881</v>
      </c>
      <c r="D743" s="816" t="s">
        <v>1882</v>
      </c>
      <c r="E743" s="816" t="s">
        <v>2331</v>
      </c>
      <c r="F743" s="826">
        <v>0</v>
      </c>
      <c r="G743" s="880">
        <v>0</v>
      </c>
      <c r="H743" s="465"/>
      <c r="I743" s="465"/>
      <c r="J743" s="826">
        <v>0</v>
      </c>
      <c r="K743" s="878">
        <v>0</v>
      </c>
    </row>
    <row r="744" spans="1:11" ht="22.5" customHeight="1" x14ac:dyDescent="0.25">
      <c r="A744" s="816" t="s">
        <v>227</v>
      </c>
      <c r="B744" s="880">
        <v>2025</v>
      </c>
      <c r="C744" s="816" t="s">
        <v>1884</v>
      </c>
      <c r="D744" s="816" t="s">
        <v>1885</v>
      </c>
      <c r="E744" s="816" t="s">
        <v>2332</v>
      </c>
      <c r="F744" s="826">
        <v>0</v>
      </c>
      <c r="G744" s="880">
        <v>0</v>
      </c>
      <c r="H744" s="465"/>
      <c r="I744" s="465"/>
      <c r="J744" s="826">
        <v>0</v>
      </c>
      <c r="K744" s="878">
        <v>0</v>
      </c>
    </row>
    <row r="745" spans="1:11" ht="22.5" customHeight="1" x14ac:dyDescent="0.25">
      <c r="A745" s="816" t="s">
        <v>227</v>
      </c>
      <c r="B745" s="880">
        <v>2025</v>
      </c>
      <c r="C745" s="816" t="s">
        <v>1887</v>
      </c>
      <c r="D745" s="816" t="s">
        <v>138</v>
      </c>
      <c r="E745" s="816" t="s">
        <v>2333</v>
      </c>
      <c r="F745" s="826">
        <v>-36564.46</v>
      </c>
      <c r="G745" s="880">
        <v>1</v>
      </c>
      <c r="H745" s="826">
        <v>-43290.7</v>
      </c>
      <c r="I745" s="826">
        <v>6726.24</v>
      </c>
      <c r="J745" s="826">
        <v>-36564.46</v>
      </c>
      <c r="K745" s="878">
        <v>-36564.46</v>
      </c>
    </row>
    <row r="746" spans="1:11" ht="22.5" customHeight="1" x14ac:dyDescent="0.25">
      <c r="A746" s="816" t="s">
        <v>227</v>
      </c>
      <c r="B746" s="880">
        <v>2025</v>
      </c>
      <c r="C746" s="816" t="s">
        <v>1889</v>
      </c>
      <c r="D746" s="816" t="s">
        <v>139</v>
      </c>
      <c r="E746" s="816" t="s">
        <v>2334</v>
      </c>
      <c r="F746" s="826">
        <v>-73586.28</v>
      </c>
      <c r="G746" s="880">
        <v>1</v>
      </c>
      <c r="H746" s="826">
        <v>-68917.34</v>
      </c>
      <c r="I746" s="826">
        <v>-4668.9399999999996</v>
      </c>
      <c r="J746" s="826">
        <v>-73586.28</v>
      </c>
      <c r="K746" s="878">
        <v>-73586.28</v>
      </c>
    </row>
    <row r="747" spans="1:11" ht="22.5" customHeight="1" x14ac:dyDescent="0.25">
      <c r="A747" s="816" t="s">
        <v>227</v>
      </c>
      <c r="B747" s="880">
        <v>2025</v>
      </c>
      <c r="C747" s="816" t="s">
        <v>1891</v>
      </c>
      <c r="D747" s="816" t="s">
        <v>1892</v>
      </c>
      <c r="E747" s="816" t="s">
        <v>2335</v>
      </c>
      <c r="F747" s="826">
        <v>0</v>
      </c>
      <c r="G747" s="880">
        <v>0</v>
      </c>
      <c r="H747" s="465"/>
      <c r="I747" s="465"/>
      <c r="J747" s="826">
        <v>0</v>
      </c>
      <c r="K747" s="878">
        <v>0</v>
      </c>
    </row>
    <row r="748" spans="1:11" ht="22.5" customHeight="1" x14ac:dyDescent="0.25">
      <c r="A748" s="816" t="s">
        <v>227</v>
      </c>
      <c r="B748" s="880">
        <v>2025</v>
      </c>
      <c r="C748" s="816" t="s">
        <v>1891</v>
      </c>
      <c r="D748" s="816" t="s">
        <v>1894</v>
      </c>
      <c r="E748" s="816" t="s">
        <v>2335</v>
      </c>
      <c r="F748" s="826">
        <v>0</v>
      </c>
      <c r="G748" s="880">
        <v>0</v>
      </c>
      <c r="H748" s="465"/>
      <c r="I748" s="465"/>
      <c r="J748" s="826">
        <v>0</v>
      </c>
      <c r="K748" s="881">
        <v>0</v>
      </c>
    </row>
    <row r="749" spans="1:11" ht="22.5" customHeight="1" x14ac:dyDescent="0.25">
      <c r="A749" s="816" t="s">
        <v>227</v>
      </c>
      <c r="B749" s="880">
        <v>2025</v>
      </c>
      <c r="C749" s="816" t="s">
        <v>1895</v>
      </c>
      <c r="D749" s="816" t="s">
        <v>1896</v>
      </c>
      <c r="E749" s="816" t="s">
        <v>2336</v>
      </c>
      <c r="F749" s="826">
        <v>0</v>
      </c>
      <c r="G749" s="880">
        <v>0</v>
      </c>
      <c r="H749" s="465"/>
      <c r="I749" s="465"/>
      <c r="J749" s="826">
        <v>0</v>
      </c>
      <c r="K749" s="878">
        <v>0</v>
      </c>
    </row>
    <row r="750" spans="1:11" ht="22.5" customHeight="1" x14ac:dyDescent="0.25">
      <c r="A750" s="816" t="s">
        <v>227</v>
      </c>
      <c r="B750" s="880">
        <v>2025</v>
      </c>
      <c r="C750" s="816" t="s">
        <v>1898</v>
      </c>
      <c r="D750" s="816" t="s">
        <v>1899</v>
      </c>
      <c r="E750" s="816" t="s">
        <v>2337</v>
      </c>
      <c r="F750" s="826">
        <v>0</v>
      </c>
      <c r="G750" s="880">
        <v>0</v>
      </c>
      <c r="H750" s="465"/>
      <c r="I750" s="465"/>
      <c r="J750" s="826">
        <v>0</v>
      </c>
      <c r="K750" s="878">
        <v>0</v>
      </c>
    </row>
    <row r="751" spans="1:11" ht="22.5" customHeight="1" x14ac:dyDescent="0.25">
      <c r="A751" s="816" t="s">
        <v>227</v>
      </c>
      <c r="B751" s="880">
        <v>2025</v>
      </c>
      <c r="C751" s="816" t="s">
        <v>1901</v>
      </c>
      <c r="D751" s="816" t="s">
        <v>1902</v>
      </c>
      <c r="E751" s="816" t="s">
        <v>2338</v>
      </c>
      <c r="F751" s="826">
        <v>0</v>
      </c>
      <c r="G751" s="880">
        <v>0</v>
      </c>
      <c r="H751" s="465"/>
      <c r="I751" s="465"/>
      <c r="J751" s="826">
        <v>0</v>
      </c>
      <c r="K751" s="878">
        <v>0</v>
      </c>
    </row>
    <row r="752" spans="1:11" ht="22.5" customHeight="1" x14ac:dyDescent="0.25">
      <c r="A752" s="816" t="s">
        <v>227</v>
      </c>
      <c r="B752" s="880">
        <v>2025</v>
      </c>
      <c r="C752" s="816" t="s">
        <v>1904</v>
      </c>
      <c r="D752" s="816" t="s">
        <v>1905</v>
      </c>
      <c r="E752" s="816" t="s">
        <v>2339</v>
      </c>
      <c r="F752" s="826">
        <v>0</v>
      </c>
      <c r="G752" s="880">
        <v>0</v>
      </c>
      <c r="H752" s="465"/>
      <c r="I752" s="465"/>
      <c r="J752" s="826">
        <v>0</v>
      </c>
      <c r="K752" s="878">
        <v>0</v>
      </c>
    </row>
    <row r="753" spans="1:11" ht="22.5" customHeight="1" x14ac:dyDescent="0.25">
      <c r="A753" s="816" t="s">
        <v>227</v>
      </c>
      <c r="B753" s="880">
        <v>2025</v>
      </c>
      <c r="C753" s="816" t="s">
        <v>1907</v>
      </c>
      <c r="D753" s="816" t="s">
        <v>1908</v>
      </c>
      <c r="E753" s="816" t="s">
        <v>2340</v>
      </c>
      <c r="F753" s="826">
        <v>0</v>
      </c>
      <c r="G753" s="880">
        <v>0</v>
      </c>
      <c r="H753" s="465"/>
      <c r="I753" s="465"/>
      <c r="J753" s="826">
        <v>0</v>
      </c>
      <c r="K753" s="878">
        <v>0</v>
      </c>
    </row>
    <row r="754" spans="1:11" ht="22.5" customHeight="1" x14ac:dyDescent="0.25">
      <c r="A754" s="816" t="s">
        <v>227</v>
      </c>
      <c r="B754" s="880">
        <v>2025</v>
      </c>
      <c r="C754" s="816" t="s">
        <v>1910</v>
      </c>
      <c r="D754" s="816" t="s">
        <v>1911</v>
      </c>
      <c r="E754" s="816" t="s">
        <v>2341</v>
      </c>
      <c r="F754" s="826">
        <v>67815.070000000007</v>
      </c>
      <c r="G754" s="880">
        <v>0</v>
      </c>
      <c r="H754" s="465"/>
      <c r="I754" s="465"/>
      <c r="J754" s="826">
        <v>0</v>
      </c>
      <c r="K754" s="878">
        <v>67815.070000000007</v>
      </c>
    </row>
    <row r="755" spans="1:11" ht="22.5" customHeight="1" x14ac:dyDescent="0.25">
      <c r="A755" s="816" t="s">
        <v>227</v>
      </c>
      <c r="B755" s="880">
        <v>2025</v>
      </c>
      <c r="C755" s="816" t="s">
        <v>1913</v>
      </c>
      <c r="D755" s="816" t="s">
        <v>1914</v>
      </c>
      <c r="E755" s="816" t="s">
        <v>2342</v>
      </c>
      <c r="F755" s="826">
        <v>-520001.49</v>
      </c>
      <c r="G755" s="880">
        <v>1</v>
      </c>
      <c r="H755" s="826">
        <v>-487550.91</v>
      </c>
      <c r="I755" s="826">
        <v>-32450.58</v>
      </c>
      <c r="J755" s="826">
        <v>-520001.49</v>
      </c>
      <c r="K755" s="878">
        <v>-520001.49</v>
      </c>
    </row>
    <row r="756" spans="1:11" ht="22.5" customHeight="1" x14ac:dyDescent="0.25">
      <c r="A756" s="816" t="s">
        <v>227</v>
      </c>
      <c r="B756" s="880">
        <v>2025</v>
      </c>
      <c r="C756" s="816" t="s">
        <v>1913</v>
      </c>
      <c r="D756" s="816" t="s">
        <v>1916</v>
      </c>
      <c r="E756" s="816" t="s">
        <v>2342</v>
      </c>
      <c r="F756" s="826">
        <v>0</v>
      </c>
      <c r="G756" s="880">
        <v>0</v>
      </c>
      <c r="H756" s="465"/>
      <c r="I756" s="465"/>
      <c r="J756" s="826">
        <v>0</v>
      </c>
      <c r="K756" s="881">
        <v>0</v>
      </c>
    </row>
    <row r="757" spans="1:11" ht="22.5" customHeight="1" x14ac:dyDescent="0.25">
      <c r="A757" s="816" t="s">
        <v>227</v>
      </c>
      <c r="B757" s="880">
        <v>2025</v>
      </c>
      <c r="C757" s="816" t="s">
        <v>1913</v>
      </c>
      <c r="D757" s="816" t="s">
        <v>1917</v>
      </c>
      <c r="E757" s="816" t="s">
        <v>2342</v>
      </c>
      <c r="F757" s="826">
        <v>0</v>
      </c>
      <c r="G757" s="880">
        <v>0</v>
      </c>
      <c r="H757" s="465"/>
      <c r="I757" s="465"/>
      <c r="J757" s="826">
        <v>0</v>
      </c>
      <c r="K757" s="881">
        <v>0</v>
      </c>
    </row>
    <row r="758" spans="1:11" ht="22.5" customHeight="1" x14ac:dyDescent="0.25">
      <c r="A758" s="816" t="s">
        <v>227</v>
      </c>
      <c r="B758" s="880">
        <v>2025</v>
      </c>
      <c r="C758" s="816" t="s">
        <v>1913</v>
      </c>
      <c r="D758" s="816" t="s">
        <v>1918</v>
      </c>
      <c r="E758" s="816" t="s">
        <v>2342</v>
      </c>
      <c r="F758" s="826">
        <v>0</v>
      </c>
      <c r="G758" s="880">
        <v>0</v>
      </c>
      <c r="H758" s="465"/>
      <c r="I758" s="465"/>
      <c r="J758" s="826">
        <v>0</v>
      </c>
      <c r="K758" s="881">
        <v>0</v>
      </c>
    </row>
    <row r="759" spans="1:11" ht="22.5" customHeight="1" x14ac:dyDescent="0.25">
      <c r="A759" s="816" t="s">
        <v>227</v>
      </c>
      <c r="B759" s="880">
        <v>2025</v>
      </c>
      <c r="C759" s="816" t="s">
        <v>1913</v>
      </c>
      <c r="D759" s="816" t="s">
        <v>1919</v>
      </c>
      <c r="E759" s="816" t="s">
        <v>2342</v>
      </c>
      <c r="F759" s="826">
        <v>0</v>
      </c>
      <c r="G759" s="880">
        <v>0</v>
      </c>
      <c r="H759" s="465"/>
      <c r="I759" s="465"/>
      <c r="J759" s="826">
        <v>0</v>
      </c>
      <c r="K759" s="881">
        <v>0</v>
      </c>
    </row>
    <row r="760" spans="1:11" ht="22.5" customHeight="1" x14ac:dyDescent="0.25">
      <c r="A760" s="816" t="s">
        <v>227</v>
      </c>
      <c r="B760" s="880">
        <v>2025</v>
      </c>
      <c r="C760" s="816" t="s">
        <v>1920</v>
      </c>
      <c r="D760" s="816" t="s">
        <v>1921</v>
      </c>
      <c r="E760" s="816" t="s">
        <v>2343</v>
      </c>
      <c r="F760" s="826">
        <v>0</v>
      </c>
      <c r="G760" s="880">
        <v>0</v>
      </c>
      <c r="H760" s="465"/>
      <c r="I760" s="465"/>
      <c r="J760" s="826">
        <v>0</v>
      </c>
      <c r="K760" s="878">
        <v>0</v>
      </c>
    </row>
    <row r="761" spans="1:11" ht="22.5" customHeight="1" x14ac:dyDescent="0.25">
      <c r="A761" s="816" t="s">
        <v>227</v>
      </c>
      <c r="B761" s="880">
        <v>2025</v>
      </c>
      <c r="C761" s="816" t="s">
        <v>1923</v>
      </c>
      <c r="D761" s="816" t="s">
        <v>143</v>
      </c>
      <c r="E761" s="816" t="s">
        <v>2344</v>
      </c>
      <c r="F761" s="826">
        <v>455290.14</v>
      </c>
      <c r="G761" s="880">
        <v>1</v>
      </c>
      <c r="H761" s="826">
        <v>417518.73</v>
      </c>
      <c r="I761" s="826">
        <v>37771.410000000003</v>
      </c>
      <c r="J761" s="826">
        <v>455290.14</v>
      </c>
      <c r="K761" s="878">
        <v>455290.14</v>
      </c>
    </row>
    <row r="762" spans="1:11" ht="22.5" customHeight="1" x14ac:dyDescent="0.25">
      <c r="A762" s="816" t="s">
        <v>227</v>
      </c>
      <c r="B762" s="880">
        <v>2025</v>
      </c>
      <c r="C762" s="816" t="s">
        <v>1925</v>
      </c>
      <c r="D762" s="816" t="s">
        <v>144</v>
      </c>
      <c r="E762" s="816" t="s">
        <v>2345</v>
      </c>
      <c r="F762" s="826">
        <v>249238.11</v>
      </c>
      <c r="G762" s="880">
        <v>1</v>
      </c>
      <c r="H762" s="826">
        <v>220617.85</v>
      </c>
      <c r="I762" s="826">
        <v>28620.26</v>
      </c>
      <c r="J762" s="826">
        <v>249238.11</v>
      </c>
      <c r="K762" s="878">
        <v>249238.11</v>
      </c>
    </row>
    <row r="763" spans="1:11" ht="22.5" customHeight="1" x14ac:dyDescent="0.25">
      <c r="A763" s="816" t="s">
        <v>227</v>
      </c>
      <c r="B763" s="880">
        <v>2025</v>
      </c>
      <c r="C763" s="816" t="s">
        <v>1927</v>
      </c>
      <c r="D763" s="816" t="s">
        <v>1928</v>
      </c>
      <c r="E763" s="816" t="s">
        <v>2346</v>
      </c>
      <c r="F763" s="826">
        <v>1383353.89</v>
      </c>
      <c r="G763" s="880">
        <v>1</v>
      </c>
      <c r="H763" s="826">
        <v>1546114.79</v>
      </c>
      <c r="I763" s="826">
        <v>-162760.9</v>
      </c>
      <c r="J763" s="826">
        <v>1383353.89</v>
      </c>
      <c r="K763" s="878">
        <v>1383353.89</v>
      </c>
    </row>
    <row r="764" spans="1:11" ht="22.5" customHeight="1" x14ac:dyDescent="0.25">
      <c r="A764" s="816" t="s">
        <v>227</v>
      </c>
      <c r="B764" s="880">
        <v>2025</v>
      </c>
      <c r="C764" s="816" t="s">
        <v>1930</v>
      </c>
      <c r="D764" s="816" t="s">
        <v>156</v>
      </c>
      <c r="E764" s="816" t="s">
        <v>2347</v>
      </c>
      <c r="F764" s="826">
        <v>2048752.73</v>
      </c>
      <c r="G764" s="880">
        <v>1</v>
      </c>
      <c r="H764" s="826">
        <v>1684097.25</v>
      </c>
      <c r="I764" s="826">
        <v>364655.48</v>
      </c>
      <c r="J764" s="826">
        <v>2048752.73</v>
      </c>
      <c r="K764" s="878">
        <v>2048752.73</v>
      </c>
    </row>
    <row r="765" spans="1:11" ht="22.5" customHeight="1" x14ac:dyDescent="0.25">
      <c r="A765" s="816" t="s">
        <v>227</v>
      </c>
      <c r="B765" s="880">
        <v>2025</v>
      </c>
      <c r="C765" s="816" t="s">
        <v>1932</v>
      </c>
      <c r="D765" s="816" t="s">
        <v>1933</v>
      </c>
      <c r="E765" s="816" t="s">
        <v>2348</v>
      </c>
      <c r="F765" s="826">
        <v>-390822.65</v>
      </c>
      <c r="G765" s="880">
        <v>0</v>
      </c>
      <c r="H765" s="465"/>
      <c r="I765" s="465"/>
      <c r="J765" s="826">
        <v>0</v>
      </c>
      <c r="K765" s="878">
        <v>-390822.65</v>
      </c>
    </row>
    <row r="766" spans="1:11" ht="22.5" customHeight="1" x14ac:dyDescent="0.25">
      <c r="A766" s="816" t="s">
        <v>227</v>
      </c>
      <c r="B766" s="880">
        <v>2025</v>
      </c>
      <c r="C766" s="816" t="s">
        <v>1935</v>
      </c>
      <c r="D766" s="816" t="s">
        <v>1936</v>
      </c>
      <c r="E766" s="816" t="s">
        <v>8076</v>
      </c>
      <c r="F766" s="826">
        <v>0</v>
      </c>
      <c r="G766" s="880">
        <v>1</v>
      </c>
      <c r="H766" s="465"/>
      <c r="I766" s="465"/>
      <c r="J766" s="826">
        <v>0</v>
      </c>
      <c r="K766" s="878">
        <v>0</v>
      </c>
    </row>
    <row r="767" spans="1:11" ht="22.5" customHeight="1" x14ac:dyDescent="0.25">
      <c r="A767" s="816" t="s">
        <v>227</v>
      </c>
      <c r="B767" s="880">
        <v>2025</v>
      </c>
      <c r="C767" s="816" t="s">
        <v>1935</v>
      </c>
      <c r="D767" s="816" t="s">
        <v>1937</v>
      </c>
      <c r="E767" s="816" t="s">
        <v>8077</v>
      </c>
      <c r="F767" s="826">
        <v>0</v>
      </c>
      <c r="G767" s="880">
        <v>1</v>
      </c>
      <c r="H767" s="465"/>
      <c r="I767" s="465"/>
      <c r="J767" s="826">
        <v>0</v>
      </c>
      <c r="K767" s="878">
        <v>0</v>
      </c>
    </row>
    <row r="768" spans="1:11" ht="22.5" customHeight="1" x14ac:dyDescent="0.25">
      <c r="A768" s="816" t="s">
        <v>227</v>
      </c>
      <c r="B768" s="880">
        <v>2025</v>
      </c>
      <c r="C768" s="816" t="s">
        <v>1935</v>
      </c>
      <c r="D768" s="816" t="s">
        <v>1938</v>
      </c>
      <c r="E768" s="816" t="s">
        <v>8078</v>
      </c>
      <c r="F768" s="826">
        <v>0</v>
      </c>
      <c r="G768" s="880">
        <v>1</v>
      </c>
      <c r="H768" s="465"/>
      <c r="I768" s="465"/>
      <c r="J768" s="826">
        <v>0</v>
      </c>
      <c r="K768" s="878">
        <v>0</v>
      </c>
    </row>
    <row r="769" spans="1:11" ht="22.5" customHeight="1" x14ac:dyDescent="0.25">
      <c r="A769" s="816" t="s">
        <v>227</v>
      </c>
      <c r="B769" s="880">
        <v>2025</v>
      </c>
      <c r="C769" s="816" t="s">
        <v>1935</v>
      </c>
      <c r="D769" s="816" t="s">
        <v>1939</v>
      </c>
      <c r="E769" s="816" t="s">
        <v>8079</v>
      </c>
      <c r="F769" s="826">
        <v>0</v>
      </c>
      <c r="G769" s="880">
        <v>1</v>
      </c>
      <c r="H769" s="465"/>
      <c r="I769" s="465"/>
      <c r="J769" s="826">
        <v>0</v>
      </c>
      <c r="K769" s="878">
        <v>0</v>
      </c>
    </row>
    <row r="770" spans="1:11" ht="22.5" customHeight="1" x14ac:dyDescent="0.25">
      <c r="A770" s="816" t="s">
        <v>227</v>
      </c>
      <c r="B770" s="880">
        <v>2025</v>
      </c>
      <c r="C770" s="816" t="s">
        <v>1935</v>
      </c>
      <c r="D770" s="816" t="s">
        <v>1940</v>
      </c>
      <c r="E770" s="816" t="s">
        <v>8080</v>
      </c>
      <c r="F770" s="826">
        <v>0</v>
      </c>
      <c r="G770" s="880">
        <v>1</v>
      </c>
      <c r="H770" s="465"/>
      <c r="I770" s="465"/>
      <c r="J770" s="826">
        <v>0</v>
      </c>
      <c r="K770" s="878">
        <v>0</v>
      </c>
    </row>
    <row r="771" spans="1:11" ht="22.5" customHeight="1" x14ac:dyDescent="0.25">
      <c r="A771" s="816" t="s">
        <v>227</v>
      </c>
      <c r="B771" s="880">
        <v>2025</v>
      </c>
      <c r="C771" s="816" t="s">
        <v>1935</v>
      </c>
      <c r="D771" s="816" t="s">
        <v>1941</v>
      </c>
      <c r="E771" s="816" t="s">
        <v>8081</v>
      </c>
      <c r="F771" s="826">
        <v>0</v>
      </c>
      <c r="G771" s="880">
        <v>1</v>
      </c>
      <c r="H771" s="465"/>
      <c r="I771" s="465"/>
      <c r="J771" s="826">
        <v>0</v>
      </c>
      <c r="K771" s="878">
        <v>0</v>
      </c>
    </row>
    <row r="772" spans="1:11" ht="22.5" customHeight="1" x14ac:dyDescent="0.25">
      <c r="A772" s="816" t="s">
        <v>227</v>
      </c>
      <c r="B772" s="880">
        <v>2025</v>
      </c>
      <c r="C772" s="816" t="s">
        <v>1935</v>
      </c>
      <c r="D772" s="816" t="s">
        <v>1942</v>
      </c>
      <c r="E772" s="816" t="s">
        <v>8082</v>
      </c>
      <c r="F772" s="826">
        <v>0</v>
      </c>
      <c r="G772" s="880">
        <v>1</v>
      </c>
      <c r="H772" s="465"/>
      <c r="I772" s="465"/>
      <c r="J772" s="826">
        <v>0</v>
      </c>
      <c r="K772" s="878">
        <v>0</v>
      </c>
    </row>
    <row r="773" spans="1:11" ht="22.5" customHeight="1" x14ac:dyDescent="0.25">
      <c r="A773" s="816" t="s">
        <v>227</v>
      </c>
      <c r="B773" s="880">
        <v>2025</v>
      </c>
      <c r="C773" s="816" t="s">
        <v>1935</v>
      </c>
      <c r="D773" s="816" t="s">
        <v>1943</v>
      </c>
      <c r="E773" s="816" t="s">
        <v>8083</v>
      </c>
      <c r="F773" s="826">
        <v>0</v>
      </c>
      <c r="G773" s="880">
        <v>1</v>
      </c>
      <c r="H773" s="465"/>
      <c r="I773" s="465"/>
      <c r="J773" s="826">
        <v>0</v>
      </c>
      <c r="K773" s="878">
        <v>0</v>
      </c>
    </row>
    <row r="774" spans="1:11" ht="22.5" customHeight="1" x14ac:dyDescent="0.25">
      <c r="A774" s="816" t="s">
        <v>227</v>
      </c>
      <c r="B774" s="880">
        <v>2025</v>
      </c>
      <c r="C774" s="816" t="s">
        <v>1935</v>
      </c>
      <c r="D774" s="816" t="s">
        <v>1944</v>
      </c>
      <c r="E774" s="816" t="s">
        <v>8084</v>
      </c>
      <c r="F774" s="826">
        <v>0</v>
      </c>
      <c r="G774" s="880">
        <v>1</v>
      </c>
      <c r="H774" s="465"/>
      <c r="I774" s="465"/>
      <c r="J774" s="826">
        <v>0</v>
      </c>
      <c r="K774" s="878">
        <v>0</v>
      </c>
    </row>
    <row r="775" spans="1:11" ht="22.5" customHeight="1" x14ac:dyDescent="0.25">
      <c r="A775" s="816" t="s">
        <v>227</v>
      </c>
      <c r="B775" s="880">
        <v>2025</v>
      </c>
      <c r="C775" s="816" t="s">
        <v>1935</v>
      </c>
      <c r="D775" s="816" t="s">
        <v>1945</v>
      </c>
      <c r="E775" s="816" t="s">
        <v>8085</v>
      </c>
      <c r="F775" s="826">
        <v>0</v>
      </c>
      <c r="G775" s="880">
        <v>1</v>
      </c>
      <c r="H775" s="465"/>
      <c r="I775" s="465"/>
      <c r="J775" s="826">
        <v>0</v>
      </c>
      <c r="K775" s="878">
        <v>0</v>
      </c>
    </row>
    <row r="776" spans="1:11" ht="22.5" customHeight="1" x14ac:dyDescent="0.25">
      <c r="A776" s="816" t="s">
        <v>227</v>
      </c>
      <c r="B776" s="880">
        <v>2025</v>
      </c>
      <c r="C776" s="816" t="s">
        <v>1935</v>
      </c>
      <c r="D776" s="816" t="s">
        <v>1946</v>
      </c>
      <c r="E776" s="816" t="s">
        <v>8086</v>
      </c>
      <c r="F776" s="826">
        <v>0</v>
      </c>
      <c r="G776" s="880">
        <v>1</v>
      </c>
      <c r="H776" s="465"/>
      <c r="I776" s="465"/>
      <c r="J776" s="826">
        <v>0</v>
      </c>
      <c r="K776" s="878">
        <v>0</v>
      </c>
    </row>
    <row r="777" spans="1:11" ht="22.5" customHeight="1" x14ac:dyDescent="0.25">
      <c r="A777" s="816" t="s">
        <v>227</v>
      </c>
      <c r="B777" s="880">
        <v>2025</v>
      </c>
      <c r="C777" s="816" t="s">
        <v>1935</v>
      </c>
      <c r="D777" s="816" t="s">
        <v>1947</v>
      </c>
      <c r="E777" s="816" t="s">
        <v>8087</v>
      </c>
      <c r="F777" s="826">
        <v>0</v>
      </c>
      <c r="G777" s="880">
        <v>1</v>
      </c>
      <c r="H777" s="465"/>
      <c r="I777" s="465"/>
      <c r="J777" s="826">
        <v>0</v>
      </c>
      <c r="K777" s="878">
        <v>0</v>
      </c>
    </row>
    <row r="778" spans="1:11" ht="22.5" customHeight="1" x14ac:dyDescent="0.25">
      <c r="A778" s="816" t="s">
        <v>227</v>
      </c>
      <c r="B778" s="880">
        <v>2025</v>
      </c>
      <c r="C778" s="816" t="s">
        <v>1935</v>
      </c>
      <c r="D778" s="816" t="s">
        <v>1948</v>
      </c>
      <c r="E778" s="816" t="s">
        <v>8088</v>
      </c>
      <c r="F778" s="826">
        <v>0</v>
      </c>
      <c r="G778" s="880">
        <v>1</v>
      </c>
      <c r="H778" s="826">
        <v>-70038.2</v>
      </c>
      <c r="I778" s="826">
        <v>24326.27</v>
      </c>
      <c r="J778" s="826">
        <v>-45711.93</v>
      </c>
      <c r="K778" s="878">
        <v>-45711.93</v>
      </c>
    </row>
    <row r="779" spans="1:11" ht="22.5" customHeight="1" x14ac:dyDescent="0.25">
      <c r="A779" s="816" t="s">
        <v>227</v>
      </c>
      <c r="B779" s="880">
        <v>2025</v>
      </c>
      <c r="C779" s="816" t="s">
        <v>1935</v>
      </c>
      <c r="D779" s="816" t="s">
        <v>1949</v>
      </c>
      <c r="E779" s="816" t="s">
        <v>8089</v>
      </c>
      <c r="F779" s="826">
        <v>0</v>
      </c>
      <c r="G779" s="880">
        <v>1</v>
      </c>
      <c r="H779" s="826">
        <v>8990.4599999999991</v>
      </c>
      <c r="I779" s="826">
        <v>-6260.64</v>
      </c>
      <c r="J779" s="826">
        <v>2729.82</v>
      </c>
      <c r="K779" s="878">
        <v>2729.82</v>
      </c>
    </row>
    <row r="780" spans="1:11" ht="22.5" customHeight="1" x14ac:dyDescent="0.25">
      <c r="A780" s="816" t="s">
        <v>227</v>
      </c>
      <c r="B780" s="880">
        <v>2025</v>
      </c>
      <c r="C780" s="816" t="s">
        <v>1935</v>
      </c>
      <c r="D780" s="816" t="s">
        <v>1950</v>
      </c>
      <c r="E780" s="816" t="s">
        <v>8090</v>
      </c>
      <c r="F780" s="826">
        <v>0</v>
      </c>
      <c r="G780" s="880">
        <v>1</v>
      </c>
      <c r="H780" s="826">
        <v>909759.06</v>
      </c>
      <c r="I780" s="826">
        <v>166520.64000000001</v>
      </c>
      <c r="J780" s="826">
        <v>1076279.7</v>
      </c>
      <c r="K780" s="878">
        <v>1076279.7</v>
      </c>
    </row>
    <row r="781" spans="1:11" ht="22.5" customHeight="1" x14ac:dyDescent="0.25">
      <c r="A781" s="816" t="s">
        <v>227</v>
      </c>
      <c r="B781" s="880">
        <v>2025</v>
      </c>
      <c r="C781" s="816" t="s">
        <v>1935</v>
      </c>
      <c r="D781" s="816" t="s">
        <v>1951</v>
      </c>
      <c r="E781" s="816" t="s">
        <v>8091</v>
      </c>
      <c r="F781" s="826">
        <v>0</v>
      </c>
      <c r="G781" s="880">
        <v>1</v>
      </c>
      <c r="H781" s="826">
        <v>1571544.27</v>
      </c>
      <c r="I781" s="826">
        <v>59267.13</v>
      </c>
      <c r="J781" s="826">
        <v>1630811.4</v>
      </c>
      <c r="K781" s="878">
        <v>1630811.4</v>
      </c>
    </row>
    <row r="782" spans="1:11" ht="22.5" customHeight="1" x14ac:dyDescent="0.25">
      <c r="A782" s="816" t="s">
        <v>227</v>
      </c>
      <c r="B782" s="880">
        <v>2025</v>
      </c>
      <c r="C782" s="816" t="s">
        <v>1935</v>
      </c>
      <c r="D782" s="816" t="s">
        <v>7801</v>
      </c>
      <c r="E782" s="816" t="s">
        <v>8092</v>
      </c>
      <c r="F782" s="826">
        <v>0</v>
      </c>
      <c r="G782" s="880">
        <v>1</v>
      </c>
      <c r="H782" s="465"/>
      <c r="I782" s="465"/>
      <c r="J782" s="826">
        <v>0</v>
      </c>
      <c r="K782" s="878">
        <v>0</v>
      </c>
    </row>
    <row r="783" spans="1:11" ht="22.5" customHeight="1" x14ac:dyDescent="0.25">
      <c r="A783" s="816" t="s">
        <v>227</v>
      </c>
      <c r="B783" s="880">
        <v>2025</v>
      </c>
      <c r="C783" s="816" t="s">
        <v>1935</v>
      </c>
      <c r="D783" s="816" t="s">
        <v>1952</v>
      </c>
      <c r="E783" s="816" t="s">
        <v>8093</v>
      </c>
      <c r="F783" s="826">
        <v>2664108.9900000002</v>
      </c>
      <c r="G783" s="880">
        <v>0</v>
      </c>
      <c r="H783" s="465"/>
      <c r="I783" s="465"/>
      <c r="J783" s="826">
        <v>0</v>
      </c>
      <c r="K783" s="878">
        <v>2664108.9900000002</v>
      </c>
    </row>
    <row r="784" spans="1:11" ht="22.5" customHeight="1" x14ac:dyDescent="0.25">
      <c r="A784" s="816" t="s">
        <v>227</v>
      </c>
      <c r="B784" s="880">
        <v>2025</v>
      </c>
      <c r="C784" s="816" t="s">
        <v>1953</v>
      </c>
      <c r="D784" s="816" t="s">
        <v>1954</v>
      </c>
      <c r="E784" s="816" t="s">
        <v>2349</v>
      </c>
      <c r="F784" s="826">
        <v>0</v>
      </c>
      <c r="G784" s="880">
        <v>0</v>
      </c>
      <c r="H784" s="465"/>
      <c r="I784" s="465"/>
      <c r="J784" s="826">
        <v>0</v>
      </c>
      <c r="K784" s="878">
        <v>0</v>
      </c>
    </row>
    <row r="785" spans="1:11" ht="22.5" customHeight="1" x14ac:dyDescent="0.25">
      <c r="A785" s="816" t="s">
        <v>232</v>
      </c>
      <c r="B785" s="880">
        <v>2025</v>
      </c>
      <c r="C785" s="816" t="s">
        <v>1854</v>
      </c>
      <c r="D785" s="816" t="s">
        <v>1855</v>
      </c>
      <c r="E785" s="816" t="s">
        <v>2350</v>
      </c>
      <c r="F785" s="826">
        <v>-888579.22</v>
      </c>
      <c r="G785" s="880">
        <v>0</v>
      </c>
      <c r="H785" s="465"/>
      <c r="I785" s="465"/>
      <c r="J785" s="826">
        <v>0</v>
      </c>
      <c r="K785" s="878">
        <v>-888579.22</v>
      </c>
    </row>
    <row r="786" spans="1:11" ht="22.5" customHeight="1" x14ac:dyDescent="0.25">
      <c r="A786" s="816" t="s">
        <v>232</v>
      </c>
      <c r="B786" s="880">
        <v>2025</v>
      </c>
      <c r="C786" s="816" t="s">
        <v>7746</v>
      </c>
      <c r="D786" s="816" t="s">
        <v>7747</v>
      </c>
      <c r="E786" s="816" t="s">
        <v>7763</v>
      </c>
      <c r="F786" s="826">
        <v>107877.99</v>
      </c>
      <c r="G786" s="880">
        <v>0</v>
      </c>
      <c r="H786" s="465"/>
      <c r="I786" s="465"/>
      <c r="J786" s="826">
        <v>0</v>
      </c>
      <c r="K786" s="878">
        <v>107877.99</v>
      </c>
    </row>
    <row r="787" spans="1:11" ht="22.5" customHeight="1" x14ac:dyDescent="0.25">
      <c r="A787" s="816" t="s">
        <v>232</v>
      </c>
      <c r="B787" s="880">
        <v>2025</v>
      </c>
      <c r="C787" s="816" t="s">
        <v>1857</v>
      </c>
      <c r="D787" s="816" t="s">
        <v>1858</v>
      </c>
      <c r="E787" s="816" t="s">
        <v>2351</v>
      </c>
      <c r="F787" s="826">
        <v>0</v>
      </c>
      <c r="G787" s="880">
        <v>0</v>
      </c>
      <c r="H787" s="465"/>
      <c r="I787" s="465"/>
      <c r="J787" s="826">
        <v>0</v>
      </c>
      <c r="K787" s="878">
        <v>0</v>
      </c>
    </row>
    <row r="788" spans="1:11" ht="22.5" customHeight="1" x14ac:dyDescent="0.25">
      <c r="A788" s="816" t="s">
        <v>232</v>
      </c>
      <c r="B788" s="880">
        <v>2025</v>
      </c>
      <c r="C788" s="816" t="s">
        <v>1860</v>
      </c>
      <c r="D788" s="816" t="s">
        <v>1861</v>
      </c>
      <c r="E788" s="816" t="s">
        <v>2352</v>
      </c>
      <c r="F788" s="826">
        <v>0</v>
      </c>
      <c r="G788" s="880">
        <v>0</v>
      </c>
      <c r="H788" s="465"/>
      <c r="I788" s="465"/>
      <c r="J788" s="826">
        <v>0</v>
      </c>
      <c r="K788" s="878">
        <v>0</v>
      </c>
    </row>
    <row r="789" spans="1:11" ht="22.5" customHeight="1" x14ac:dyDescent="0.25">
      <c r="A789" s="816" t="s">
        <v>232</v>
      </c>
      <c r="B789" s="880">
        <v>2025</v>
      </c>
      <c r="C789" s="816" t="s">
        <v>1863</v>
      </c>
      <c r="D789" s="816" t="s">
        <v>1864</v>
      </c>
      <c r="E789" s="816" t="s">
        <v>2353</v>
      </c>
      <c r="F789" s="826">
        <v>700083.02</v>
      </c>
      <c r="G789" s="880">
        <v>0</v>
      </c>
      <c r="H789" s="465"/>
      <c r="I789" s="465"/>
      <c r="J789" s="826">
        <v>0</v>
      </c>
      <c r="K789" s="878">
        <v>700083.02</v>
      </c>
    </row>
    <row r="790" spans="1:11" ht="22.5" customHeight="1" x14ac:dyDescent="0.25">
      <c r="A790" s="816" t="s">
        <v>232</v>
      </c>
      <c r="B790" s="880">
        <v>2025</v>
      </c>
      <c r="C790" s="816" t="s">
        <v>1866</v>
      </c>
      <c r="D790" s="816" t="s">
        <v>1867</v>
      </c>
      <c r="E790" s="816" t="s">
        <v>2354</v>
      </c>
      <c r="F790" s="826">
        <v>0</v>
      </c>
      <c r="G790" s="880">
        <v>0</v>
      </c>
      <c r="H790" s="465"/>
      <c r="I790" s="465"/>
      <c r="J790" s="826">
        <v>0</v>
      </c>
      <c r="K790" s="878">
        <v>0</v>
      </c>
    </row>
    <row r="791" spans="1:11" ht="22.5" customHeight="1" x14ac:dyDescent="0.25">
      <c r="A791" s="816" t="s">
        <v>232</v>
      </c>
      <c r="B791" s="880">
        <v>2025</v>
      </c>
      <c r="C791" s="816" t="s">
        <v>1869</v>
      </c>
      <c r="D791" s="816" t="s">
        <v>1870</v>
      </c>
      <c r="E791" s="816" t="s">
        <v>2355</v>
      </c>
      <c r="F791" s="826">
        <v>0</v>
      </c>
      <c r="G791" s="880">
        <v>0</v>
      </c>
      <c r="H791" s="465"/>
      <c r="I791" s="465"/>
      <c r="J791" s="826">
        <v>0</v>
      </c>
      <c r="K791" s="878">
        <v>0</v>
      </c>
    </row>
    <row r="792" spans="1:11" ht="22.5" customHeight="1" x14ac:dyDescent="0.25">
      <c r="A792" s="816" t="s">
        <v>232</v>
      </c>
      <c r="B792" s="880">
        <v>2025</v>
      </c>
      <c r="C792" s="816" t="s">
        <v>1872</v>
      </c>
      <c r="D792" s="816" t="s">
        <v>1873</v>
      </c>
      <c r="E792" s="816" t="s">
        <v>2356</v>
      </c>
      <c r="F792" s="826">
        <v>0</v>
      </c>
      <c r="G792" s="880">
        <v>0</v>
      </c>
      <c r="H792" s="465"/>
      <c r="I792" s="465"/>
      <c r="J792" s="826">
        <v>0</v>
      </c>
      <c r="K792" s="878">
        <v>0</v>
      </c>
    </row>
    <row r="793" spans="1:11" ht="22.5" customHeight="1" x14ac:dyDescent="0.25">
      <c r="A793" s="816" t="s">
        <v>232</v>
      </c>
      <c r="B793" s="880">
        <v>2025</v>
      </c>
      <c r="C793" s="816" t="s">
        <v>1875</v>
      </c>
      <c r="D793" s="816" t="s">
        <v>1876</v>
      </c>
      <c r="E793" s="816" t="s">
        <v>2357</v>
      </c>
      <c r="F793" s="826">
        <v>0</v>
      </c>
      <c r="G793" s="880">
        <v>0</v>
      </c>
      <c r="H793" s="465"/>
      <c r="I793" s="465"/>
      <c r="J793" s="826">
        <v>0</v>
      </c>
      <c r="K793" s="878">
        <v>0</v>
      </c>
    </row>
    <row r="794" spans="1:11" ht="22.5" customHeight="1" x14ac:dyDescent="0.25">
      <c r="A794" s="816" t="s">
        <v>232</v>
      </c>
      <c r="B794" s="880">
        <v>2025</v>
      </c>
      <c r="C794" s="816" t="s">
        <v>1878</v>
      </c>
      <c r="D794" s="816" t="s">
        <v>1879</v>
      </c>
      <c r="E794" s="816" t="s">
        <v>2358</v>
      </c>
      <c r="F794" s="826">
        <v>0</v>
      </c>
      <c r="G794" s="880">
        <v>0</v>
      </c>
      <c r="H794" s="465"/>
      <c r="I794" s="465"/>
      <c r="J794" s="826">
        <v>0</v>
      </c>
      <c r="K794" s="878">
        <v>0</v>
      </c>
    </row>
    <row r="795" spans="1:11" ht="22.5" customHeight="1" x14ac:dyDescent="0.25">
      <c r="A795" s="816" t="s">
        <v>232</v>
      </c>
      <c r="B795" s="880">
        <v>2025</v>
      </c>
      <c r="C795" s="816" t="s">
        <v>1881</v>
      </c>
      <c r="D795" s="816" t="s">
        <v>1882</v>
      </c>
      <c r="E795" s="816" t="s">
        <v>2359</v>
      </c>
      <c r="F795" s="826">
        <v>0</v>
      </c>
      <c r="G795" s="880">
        <v>0</v>
      </c>
      <c r="H795" s="465"/>
      <c r="I795" s="465"/>
      <c r="J795" s="826">
        <v>0</v>
      </c>
      <c r="K795" s="878">
        <v>0</v>
      </c>
    </row>
    <row r="796" spans="1:11" ht="22.5" customHeight="1" x14ac:dyDescent="0.25">
      <c r="A796" s="816" t="s">
        <v>232</v>
      </c>
      <c r="B796" s="880">
        <v>2025</v>
      </c>
      <c r="C796" s="816" t="s">
        <v>1884</v>
      </c>
      <c r="D796" s="816" t="s">
        <v>1885</v>
      </c>
      <c r="E796" s="816" t="s">
        <v>2360</v>
      </c>
      <c r="F796" s="826">
        <v>0</v>
      </c>
      <c r="G796" s="880">
        <v>0</v>
      </c>
      <c r="H796" s="465"/>
      <c r="I796" s="465"/>
      <c r="J796" s="826">
        <v>0</v>
      </c>
      <c r="K796" s="878">
        <v>0</v>
      </c>
    </row>
    <row r="797" spans="1:11" ht="22.5" customHeight="1" x14ac:dyDescent="0.25">
      <c r="A797" s="816" t="s">
        <v>232</v>
      </c>
      <c r="B797" s="880">
        <v>2025</v>
      </c>
      <c r="C797" s="816" t="s">
        <v>1887</v>
      </c>
      <c r="D797" s="816" t="s">
        <v>138</v>
      </c>
      <c r="E797" s="816" t="s">
        <v>2361</v>
      </c>
      <c r="F797" s="826">
        <v>-142582.79999999999</v>
      </c>
      <c r="G797" s="880">
        <v>1</v>
      </c>
      <c r="H797" s="826">
        <v>-139468.54</v>
      </c>
      <c r="I797" s="826">
        <v>-3114.26</v>
      </c>
      <c r="J797" s="826">
        <v>-142582.79999999999</v>
      </c>
      <c r="K797" s="878">
        <v>-142582.79999999999</v>
      </c>
    </row>
    <row r="798" spans="1:11" ht="22.5" customHeight="1" x14ac:dyDescent="0.25">
      <c r="A798" s="816" t="s">
        <v>232</v>
      </c>
      <c r="B798" s="880">
        <v>2025</v>
      </c>
      <c r="C798" s="816" t="s">
        <v>1889</v>
      </c>
      <c r="D798" s="816" t="s">
        <v>139</v>
      </c>
      <c r="E798" s="816" t="s">
        <v>2362</v>
      </c>
      <c r="F798" s="826">
        <v>-83359.22</v>
      </c>
      <c r="G798" s="880">
        <v>1</v>
      </c>
      <c r="H798" s="826">
        <v>-78497.52</v>
      </c>
      <c r="I798" s="826">
        <v>-4861.7</v>
      </c>
      <c r="J798" s="826">
        <v>-83359.22</v>
      </c>
      <c r="K798" s="878">
        <v>-83359.22</v>
      </c>
    </row>
    <row r="799" spans="1:11" ht="22.5" customHeight="1" x14ac:dyDescent="0.25">
      <c r="A799" s="816" t="s">
        <v>232</v>
      </c>
      <c r="B799" s="880">
        <v>2025</v>
      </c>
      <c r="C799" s="816" t="s">
        <v>1891</v>
      </c>
      <c r="D799" s="816" t="s">
        <v>1892</v>
      </c>
      <c r="E799" s="816" t="s">
        <v>2363</v>
      </c>
      <c r="F799" s="826">
        <v>0</v>
      </c>
      <c r="G799" s="880">
        <v>0</v>
      </c>
      <c r="H799" s="465"/>
      <c r="I799" s="465"/>
      <c r="J799" s="826">
        <v>0</v>
      </c>
      <c r="K799" s="878">
        <v>0</v>
      </c>
    </row>
    <row r="800" spans="1:11" ht="22.5" customHeight="1" x14ac:dyDescent="0.25">
      <c r="A800" s="816" t="s">
        <v>232</v>
      </c>
      <c r="B800" s="880">
        <v>2025</v>
      </c>
      <c r="C800" s="816" t="s">
        <v>1891</v>
      </c>
      <c r="D800" s="816" t="s">
        <v>1894</v>
      </c>
      <c r="E800" s="816" t="s">
        <v>2363</v>
      </c>
      <c r="F800" s="826">
        <v>0</v>
      </c>
      <c r="G800" s="880">
        <v>0</v>
      </c>
      <c r="H800" s="465"/>
      <c r="I800" s="465"/>
      <c r="J800" s="826">
        <v>0</v>
      </c>
      <c r="K800" s="881">
        <v>0</v>
      </c>
    </row>
    <row r="801" spans="1:11" ht="22.5" customHeight="1" x14ac:dyDescent="0.25">
      <c r="A801" s="816" t="s">
        <v>232</v>
      </c>
      <c r="B801" s="880">
        <v>2025</v>
      </c>
      <c r="C801" s="816" t="s">
        <v>1895</v>
      </c>
      <c r="D801" s="816" t="s">
        <v>1896</v>
      </c>
      <c r="E801" s="816" t="s">
        <v>2364</v>
      </c>
      <c r="F801" s="826">
        <v>0</v>
      </c>
      <c r="G801" s="880">
        <v>0</v>
      </c>
      <c r="H801" s="465"/>
      <c r="I801" s="465"/>
      <c r="J801" s="826">
        <v>0</v>
      </c>
      <c r="K801" s="878">
        <v>0</v>
      </c>
    </row>
    <row r="802" spans="1:11" ht="22.5" customHeight="1" x14ac:dyDescent="0.25">
      <c r="A802" s="816" t="s">
        <v>232</v>
      </c>
      <c r="B802" s="880">
        <v>2025</v>
      </c>
      <c r="C802" s="816" t="s">
        <v>1898</v>
      </c>
      <c r="D802" s="816" t="s">
        <v>1899</v>
      </c>
      <c r="E802" s="816" t="s">
        <v>2365</v>
      </c>
      <c r="F802" s="826">
        <v>0</v>
      </c>
      <c r="G802" s="880">
        <v>0</v>
      </c>
      <c r="H802" s="465"/>
      <c r="I802" s="465"/>
      <c r="J802" s="826">
        <v>0</v>
      </c>
      <c r="K802" s="878">
        <v>0</v>
      </c>
    </row>
    <row r="803" spans="1:11" ht="22.5" customHeight="1" x14ac:dyDescent="0.25">
      <c r="A803" s="816" t="s">
        <v>232</v>
      </c>
      <c r="B803" s="880">
        <v>2025</v>
      </c>
      <c r="C803" s="816" t="s">
        <v>1901</v>
      </c>
      <c r="D803" s="816" t="s">
        <v>1902</v>
      </c>
      <c r="E803" s="816" t="s">
        <v>2366</v>
      </c>
      <c r="F803" s="826">
        <v>209862.74</v>
      </c>
      <c r="G803" s="880">
        <v>0</v>
      </c>
      <c r="H803" s="465"/>
      <c r="I803" s="465"/>
      <c r="J803" s="826">
        <v>0</v>
      </c>
      <c r="K803" s="878">
        <v>209862.74</v>
      </c>
    </row>
    <row r="804" spans="1:11" ht="22.5" customHeight="1" x14ac:dyDescent="0.25">
      <c r="A804" s="816" t="s">
        <v>232</v>
      </c>
      <c r="B804" s="880">
        <v>2025</v>
      </c>
      <c r="C804" s="816" t="s">
        <v>1904</v>
      </c>
      <c r="D804" s="816" t="s">
        <v>1905</v>
      </c>
      <c r="E804" s="816" t="s">
        <v>2367</v>
      </c>
      <c r="F804" s="826">
        <v>0</v>
      </c>
      <c r="G804" s="880">
        <v>0</v>
      </c>
      <c r="H804" s="465"/>
      <c r="I804" s="465"/>
      <c r="J804" s="826">
        <v>0</v>
      </c>
      <c r="K804" s="878">
        <v>0</v>
      </c>
    </row>
    <row r="805" spans="1:11" ht="22.5" customHeight="1" x14ac:dyDescent="0.25">
      <c r="A805" s="816" t="s">
        <v>232</v>
      </c>
      <c r="B805" s="880">
        <v>2025</v>
      </c>
      <c r="C805" s="816" t="s">
        <v>1907</v>
      </c>
      <c r="D805" s="816" t="s">
        <v>1908</v>
      </c>
      <c r="E805" s="816" t="s">
        <v>2368</v>
      </c>
      <c r="F805" s="826">
        <v>0</v>
      </c>
      <c r="G805" s="880">
        <v>0</v>
      </c>
      <c r="H805" s="465"/>
      <c r="I805" s="465"/>
      <c r="J805" s="826">
        <v>0</v>
      </c>
      <c r="K805" s="878">
        <v>0</v>
      </c>
    </row>
    <row r="806" spans="1:11" ht="22.5" customHeight="1" x14ac:dyDescent="0.25">
      <c r="A806" s="816" t="s">
        <v>232</v>
      </c>
      <c r="B806" s="880">
        <v>2025</v>
      </c>
      <c r="C806" s="816" t="s">
        <v>1910</v>
      </c>
      <c r="D806" s="816" t="s">
        <v>1911</v>
      </c>
      <c r="E806" s="816" t="s">
        <v>2369</v>
      </c>
      <c r="F806" s="826">
        <v>0</v>
      </c>
      <c r="G806" s="880">
        <v>0</v>
      </c>
      <c r="H806" s="465"/>
      <c r="I806" s="465"/>
      <c r="J806" s="826">
        <v>0</v>
      </c>
      <c r="K806" s="878">
        <v>0</v>
      </c>
    </row>
    <row r="807" spans="1:11" ht="22.5" customHeight="1" x14ac:dyDescent="0.25">
      <c r="A807" s="816" t="s">
        <v>232</v>
      </c>
      <c r="B807" s="880">
        <v>2025</v>
      </c>
      <c r="C807" s="816" t="s">
        <v>1913</v>
      </c>
      <c r="D807" s="816" t="s">
        <v>1914</v>
      </c>
      <c r="E807" s="816" t="s">
        <v>2370</v>
      </c>
      <c r="F807" s="826">
        <v>-471555.19</v>
      </c>
      <c r="G807" s="880">
        <v>1</v>
      </c>
      <c r="H807" s="826">
        <v>-445393.18</v>
      </c>
      <c r="I807" s="826">
        <v>-26162.01</v>
      </c>
      <c r="J807" s="826">
        <v>-471555.19</v>
      </c>
      <c r="K807" s="878">
        <v>-471555.19</v>
      </c>
    </row>
    <row r="808" spans="1:11" ht="22.5" customHeight="1" x14ac:dyDescent="0.25">
      <c r="A808" s="816" t="s">
        <v>232</v>
      </c>
      <c r="B808" s="880">
        <v>2025</v>
      </c>
      <c r="C808" s="816" t="s">
        <v>1913</v>
      </c>
      <c r="D808" s="816" t="s">
        <v>1916</v>
      </c>
      <c r="E808" s="816" t="s">
        <v>2370</v>
      </c>
      <c r="F808" s="826">
        <v>0</v>
      </c>
      <c r="G808" s="880">
        <v>0</v>
      </c>
      <c r="H808" s="465"/>
      <c r="I808" s="465"/>
      <c r="J808" s="826">
        <v>0</v>
      </c>
      <c r="K808" s="881">
        <v>0</v>
      </c>
    </row>
    <row r="809" spans="1:11" ht="22.5" customHeight="1" x14ac:dyDescent="0.25">
      <c r="A809" s="816" t="s">
        <v>232</v>
      </c>
      <c r="B809" s="880">
        <v>2025</v>
      </c>
      <c r="C809" s="816" t="s">
        <v>1913</v>
      </c>
      <c r="D809" s="816" t="s">
        <v>1917</v>
      </c>
      <c r="E809" s="816" t="s">
        <v>2370</v>
      </c>
      <c r="F809" s="826">
        <v>0</v>
      </c>
      <c r="G809" s="880">
        <v>0</v>
      </c>
      <c r="H809" s="465"/>
      <c r="I809" s="465"/>
      <c r="J809" s="826">
        <v>0</v>
      </c>
      <c r="K809" s="881">
        <v>0</v>
      </c>
    </row>
    <row r="810" spans="1:11" ht="22.5" customHeight="1" x14ac:dyDescent="0.25">
      <c r="A810" s="816" t="s">
        <v>232</v>
      </c>
      <c r="B810" s="880">
        <v>2025</v>
      </c>
      <c r="C810" s="816" t="s">
        <v>1913</v>
      </c>
      <c r="D810" s="816" t="s">
        <v>1918</v>
      </c>
      <c r="E810" s="816" t="s">
        <v>2370</v>
      </c>
      <c r="F810" s="826">
        <v>0</v>
      </c>
      <c r="G810" s="880">
        <v>0</v>
      </c>
      <c r="H810" s="465"/>
      <c r="I810" s="465"/>
      <c r="J810" s="826">
        <v>0</v>
      </c>
      <c r="K810" s="881">
        <v>0</v>
      </c>
    </row>
    <row r="811" spans="1:11" ht="22.5" customHeight="1" x14ac:dyDescent="0.25">
      <c r="A811" s="816" t="s">
        <v>232</v>
      </c>
      <c r="B811" s="880">
        <v>2025</v>
      </c>
      <c r="C811" s="816" t="s">
        <v>1913</v>
      </c>
      <c r="D811" s="816" t="s">
        <v>1919</v>
      </c>
      <c r="E811" s="816" t="s">
        <v>2370</v>
      </c>
      <c r="F811" s="826">
        <v>0</v>
      </c>
      <c r="G811" s="880">
        <v>0</v>
      </c>
      <c r="H811" s="465"/>
      <c r="I811" s="465"/>
      <c r="J811" s="826">
        <v>0</v>
      </c>
      <c r="K811" s="881">
        <v>359372.71</v>
      </c>
    </row>
    <row r="812" spans="1:11" ht="22.5" customHeight="1" x14ac:dyDescent="0.25">
      <c r="A812" s="816" t="s">
        <v>232</v>
      </c>
      <c r="B812" s="880">
        <v>2025</v>
      </c>
      <c r="C812" s="816" t="s">
        <v>1920</v>
      </c>
      <c r="D812" s="816" t="s">
        <v>1921</v>
      </c>
      <c r="E812" s="816" t="s">
        <v>2371</v>
      </c>
      <c r="F812" s="826">
        <v>0</v>
      </c>
      <c r="G812" s="880">
        <v>0</v>
      </c>
      <c r="H812" s="465"/>
      <c r="I812" s="465"/>
      <c r="J812" s="826">
        <v>0</v>
      </c>
      <c r="K812" s="878">
        <v>0</v>
      </c>
    </row>
    <row r="813" spans="1:11" ht="22.5" customHeight="1" x14ac:dyDescent="0.25">
      <c r="A813" s="816" t="s">
        <v>232</v>
      </c>
      <c r="B813" s="880">
        <v>2025</v>
      </c>
      <c r="C813" s="816" t="s">
        <v>1923</v>
      </c>
      <c r="D813" s="816" t="s">
        <v>143</v>
      </c>
      <c r="E813" s="816" t="s">
        <v>2372</v>
      </c>
      <c r="F813" s="826">
        <v>335836.34</v>
      </c>
      <c r="G813" s="880">
        <v>1</v>
      </c>
      <c r="H813" s="826">
        <v>314976.86</v>
      </c>
      <c r="I813" s="826">
        <v>20859.48</v>
      </c>
      <c r="J813" s="826">
        <v>335836.34</v>
      </c>
      <c r="K813" s="878">
        <v>335836.34</v>
      </c>
    </row>
    <row r="814" spans="1:11" ht="22.5" customHeight="1" x14ac:dyDescent="0.25">
      <c r="A814" s="816" t="s">
        <v>232</v>
      </c>
      <c r="B814" s="880">
        <v>2025</v>
      </c>
      <c r="C814" s="816" t="s">
        <v>1925</v>
      </c>
      <c r="D814" s="816" t="s">
        <v>144</v>
      </c>
      <c r="E814" s="816" t="s">
        <v>2373</v>
      </c>
      <c r="F814" s="826">
        <v>356261.4</v>
      </c>
      <c r="G814" s="880">
        <v>1</v>
      </c>
      <c r="H814" s="826">
        <v>330059.15000000002</v>
      </c>
      <c r="I814" s="826">
        <v>26202.25</v>
      </c>
      <c r="J814" s="826">
        <v>356261.4</v>
      </c>
      <c r="K814" s="878">
        <v>356261.4</v>
      </c>
    </row>
    <row r="815" spans="1:11" ht="22.5" customHeight="1" x14ac:dyDescent="0.25">
      <c r="A815" s="816" t="s">
        <v>232</v>
      </c>
      <c r="B815" s="880">
        <v>2025</v>
      </c>
      <c r="C815" s="816" t="s">
        <v>1927</v>
      </c>
      <c r="D815" s="816" t="s">
        <v>1928</v>
      </c>
      <c r="E815" s="816" t="s">
        <v>2374</v>
      </c>
      <c r="F815" s="826">
        <v>-343347.47</v>
      </c>
      <c r="G815" s="880">
        <v>1</v>
      </c>
      <c r="H815" s="826">
        <v>-258770.31</v>
      </c>
      <c r="I815" s="826">
        <v>-84577.16</v>
      </c>
      <c r="J815" s="826">
        <v>-343347.47</v>
      </c>
      <c r="K815" s="878">
        <v>-343347.47</v>
      </c>
    </row>
    <row r="816" spans="1:11" ht="22.5" customHeight="1" x14ac:dyDescent="0.25">
      <c r="A816" s="816" t="s">
        <v>232</v>
      </c>
      <c r="B816" s="880">
        <v>2025</v>
      </c>
      <c r="C816" s="816" t="s">
        <v>1930</v>
      </c>
      <c r="D816" s="816" t="s">
        <v>156</v>
      </c>
      <c r="E816" s="816" t="s">
        <v>2375</v>
      </c>
      <c r="F816" s="826">
        <v>1915852</v>
      </c>
      <c r="G816" s="880">
        <v>1</v>
      </c>
      <c r="H816" s="826">
        <v>1783787.8</v>
      </c>
      <c r="I816" s="826">
        <v>132064.20000000001</v>
      </c>
      <c r="J816" s="826">
        <v>1915852</v>
      </c>
      <c r="K816" s="878">
        <v>1915852</v>
      </c>
    </row>
    <row r="817" spans="1:11" ht="22.5" customHeight="1" x14ac:dyDescent="0.25">
      <c r="A817" s="816" t="s">
        <v>232</v>
      </c>
      <c r="B817" s="880">
        <v>2025</v>
      </c>
      <c r="C817" s="816" t="s">
        <v>1932</v>
      </c>
      <c r="D817" s="816" t="s">
        <v>1933</v>
      </c>
      <c r="E817" s="816" t="s">
        <v>2376</v>
      </c>
      <c r="F817" s="826">
        <v>-1629756.25</v>
      </c>
      <c r="G817" s="880">
        <v>0</v>
      </c>
      <c r="H817" s="465"/>
      <c r="I817" s="465"/>
      <c r="J817" s="826">
        <v>0</v>
      </c>
      <c r="K817" s="878">
        <v>-1629756.25</v>
      </c>
    </row>
    <row r="818" spans="1:11" ht="22.5" customHeight="1" x14ac:dyDescent="0.25">
      <c r="A818" s="816" t="s">
        <v>232</v>
      </c>
      <c r="B818" s="880">
        <v>2025</v>
      </c>
      <c r="C818" s="816" t="s">
        <v>1935</v>
      </c>
      <c r="D818" s="816" t="s">
        <v>1936</v>
      </c>
      <c r="E818" s="816" t="s">
        <v>8094</v>
      </c>
      <c r="F818" s="826">
        <v>0</v>
      </c>
      <c r="G818" s="880">
        <v>1</v>
      </c>
      <c r="H818" s="465"/>
      <c r="I818" s="465"/>
      <c r="J818" s="826">
        <v>0</v>
      </c>
      <c r="K818" s="878">
        <v>0</v>
      </c>
    </row>
    <row r="819" spans="1:11" ht="22.5" customHeight="1" x14ac:dyDescent="0.25">
      <c r="A819" s="816" t="s">
        <v>232</v>
      </c>
      <c r="B819" s="880">
        <v>2025</v>
      </c>
      <c r="C819" s="816" t="s">
        <v>1935</v>
      </c>
      <c r="D819" s="816" t="s">
        <v>1937</v>
      </c>
      <c r="E819" s="816" t="s">
        <v>8095</v>
      </c>
      <c r="F819" s="826">
        <v>0</v>
      </c>
      <c r="G819" s="880">
        <v>1</v>
      </c>
      <c r="H819" s="465"/>
      <c r="I819" s="465"/>
      <c r="J819" s="826">
        <v>0</v>
      </c>
      <c r="K819" s="878">
        <v>0</v>
      </c>
    </row>
    <row r="820" spans="1:11" ht="22.5" customHeight="1" x14ac:dyDescent="0.25">
      <c r="A820" s="816" t="s">
        <v>232</v>
      </c>
      <c r="B820" s="880">
        <v>2025</v>
      </c>
      <c r="C820" s="816" t="s">
        <v>1935</v>
      </c>
      <c r="D820" s="816" t="s">
        <v>1938</v>
      </c>
      <c r="E820" s="816" t="s">
        <v>8096</v>
      </c>
      <c r="F820" s="826">
        <v>0</v>
      </c>
      <c r="G820" s="880">
        <v>1</v>
      </c>
      <c r="H820" s="465"/>
      <c r="I820" s="465"/>
      <c r="J820" s="826">
        <v>0</v>
      </c>
      <c r="K820" s="878">
        <v>0</v>
      </c>
    </row>
    <row r="821" spans="1:11" ht="22.5" customHeight="1" x14ac:dyDescent="0.25">
      <c r="A821" s="816" t="s">
        <v>232</v>
      </c>
      <c r="B821" s="880">
        <v>2025</v>
      </c>
      <c r="C821" s="816" t="s">
        <v>1935</v>
      </c>
      <c r="D821" s="816" t="s">
        <v>1939</v>
      </c>
      <c r="E821" s="816" t="s">
        <v>8097</v>
      </c>
      <c r="F821" s="826">
        <v>0</v>
      </c>
      <c r="G821" s="880">
        <v>1</v>
      </c>
      <c r="H821" s="465"/>
      <c r="I821" s="465"/>
      <c r="J821" s="826">
        <v>0</v>
      </c>
      <c r="K821" s="878">
        <v>0</v>
      </c>
    </row>
    <row r="822" spans="1:11" ht="22.5" customHeight="1" x14ac:dyDescent="0.25">
      <c r="A822" s="816" t="s">
        <v>232</v>
      </c>
      <c r="B822" s="880">
        <v>2025</v>
      </c>
      <c r="C822" s="816" t="s">
        <v>1935</v>
      </c>
      <c r="D822" s="816" t="s">
        <v>1940</v>
      </c>
      <c r="E822" s="816" t="s">
        <v>8098</v>
      </c>
      <c r="F822" s="826">
        <v>0</v>
      </c>
      <c r="G822" s="880">
        <v>1</v>
      </c>
      <c r="H822" s="465"/>
      <c r="I822" s="465"/>
      <c r="J822" s="826">
        <v>0</v>
      </c>
      <c r="K822" s="878">
        <v>0</v>
      </c>
    </row>
    <row r="823" spans="1:11" ht="22.5" customHeight="1" x14ac:dyDescent="0.25">
      <c r="A823" s="816" t="s">
        <v>232</v>
      </c>
      <c r="B823" s="880">
        <v>2025</v>
      </c>
      <c r="C823" s="816" t="s">
        <v>1935</v>
      </c>
      <c r="D823" s="816" t="s">
        <v>1941</v>
      </c>
      <c r="E823" s="816" t="s">
        <v>8099</v>
      </c>
      <c r="F823" s="826">
        <v>0</v>
      </c>
      <c r="G823" s="880">
        <v>1</v>
      </c>
      <c r="H823" s="465"/>
      <c r="I823" s="465"/>
      <c r="J823" s="826">
        <v>0</v>
      </c>
      <c r="K823" s="878">
        <v>0</v>
      </c>
    </row>
    <row r="824" spans="1:11" ht="22.5" customHeight="1" x14ac:dyDescent="0.25">
      <c r="A824" s="816" t="s">
        <v>232</v>
      </c>
      <c r="B824" s="880">
        <v>2025</v>
      </c>
      <c r="C824" s="816" t="s">
        <v>1935</v>
      </c>
      <c r="D824" s="816" t="s">
        <v>1942</v>
      </c>
      <c r="E824" s="816" t="s">
        <v>8100</v>
      </c>
      <c r="F824" s="826">
        <v>0</v>
      </c>
      <c r="G824" s="880">
        <v>1</v>
      </c>
      <c r="H824" s="465"/>
      <c r="I824" s="465"/>
      <c r="J824" s="826">
        <v>0</v>
      </c>
      <c r="K824" s="878">
        <v>0</v>
      </c>
    </row>
    <row r="825" spans="1:11" ht="22.5" customHeight="1" x14ac:dyDescent="0.25">
      <c r="A825" s="816" t="s">
        <v>232</v>
      </c>
      <c r="B825" s="880">
        <v>2025</v>
      </c>
      <c r="C825" s="816" t="s">
        <v>1935</v>
      </c>
      <c r="D825" s="816" t="s">
        <v>1943</v>
      </c>
      <c r="E825" s="816" t="s">
        <v>8101</v>
      </c>
      <c r="F825" s="826">
        <v>0</v>
      </c>
      <c r="G825" s="880">
        <v>1</v>
      </c>
      <c r="H825" s="465"/>
      <c r="I825" s="465"/>
      <c r="J825" s="826">
        <v>0</v>
      </c>
      <c r="K825" s="878">
        <v>0</v>
      </c>
    </row>
    <row r="826" spans="1:11" ht="22.5" customHeight="1" x14ac:dyDescent="0.25">
      <c r="A826" s="816" t="s">
        <v>232</v>
      </c>
      <c r="B826" s="880">
        <v>2025</v>
      </c>
      <c r="C826" s="816" t="s">
        <v>1935</v>
      </c>
      <c r="D826" s="816" t="s">
        <v>1944</v>
      </c>
      <c r="E826" s="816" t="s">
        <v>8102</v>
      </c>
      <c r="F826" s="826">
        <v>0</v>
      </c>
      <c r="G826" s="880">
        <v>1</v>
      </c>
      <c r="H826" s="465"/>
      <c r="I826" s="465"/>
      <c r="J826" s="826">
        <v>0</v>
      </c>
      <c r="K826" s="878">
        <v>0</v>
      </c>
    </row>
    <row r="827" spans="1:11" ht="22.5" customHeight="1" x14ac:dyDescent="0.25">
      <c r="A827" s="816" t="s">
        <v>232</v>
      </c>
      <c r="B827" s="880">
        <v>2025</v>
      </c>
      <c r="C827" s="816" t="s">
        <v>1935</v>
      </c>
      <c r="D827" s="816" t="s">
        <v>1945</v>
      </c>
      <c r="E827" s="816" t="s">
        <v>8103</v>
      </c>
      <c r="F827" s="826">
        <v>0</v>
      </c>
      <c r="G827" s="880">
        <v>1</v>
      </c>
      <c r="H827" s="465"/>
      <c r="I827" s="465"/>
      <c r="J827" s="826">
        <v>0</v>
      </c>
      <c r="K827" s="878">
        <v>0</v>
      </c>
    </row>
    <row r="828" spans="1:11" ht="22.5" customHeight="1" x14ac:dyDescent="0.25">
      <c r="A828" s="816" t="s">
        <v>232</v>
      </c>
      <c r="B828" s="880">
        <v>2025</v>
      </c>
      <c r="C828" s="816" t="s">
        <v>1935</v>
      </c>
      <c r="D828" s="816" t="s">
        <v>1946</v>
      </c>
      <c r="E828" s="816" t="s">
        <v>8104</v>
      </c>
      <c r="F828" s="826">
        <v>0</v>
      </c>
      <c r="G828" s="880">
        <v>1</v>
      </c>
      <c r="H828" s="826">
        <v>-106513.94</v>
      </c>
      <c r="I828" s="826">
        <v>79761.3</v>
      </c>
      <c r="J828" s="826">
        <v>-26752.639999999999</v>
      </c>
      <c r="K828" s="878">
        <v>-26752.639999999999</v>
      </c>
    </row>
    <row r="829" spans="1:11" ht="22.5" customHeight="1" x14ac:dyDescent="0.25">
      <c r="A829" s="816" t="s">
        <v>232</v>
      </c>
      <c r="B829" s="880">
        <v>2025</v>
      </c>
      <c r="C829" s="816" t="s">
        <v>1935</v>
      </c>
      <c r="D829" s="816" t="s">
        <v>1947</v>
      </c>
      <c r="E829" s="816" t="s">
        <v>8105</v>
      </c>
      <c r="F829" s="826">
        <v>0</v>
      </c>
      <c r="G829" s="880">
        <v>1</v>
      </c>
      <c r="H829" s="465"/>
      <c r="I829" s="465"/>
      <c r="J829" s="826">
        <v>0</v>
      </c>
      <c r="K829" s="878">
        <v>0</v>
      </c>
    </row>
    <row r="830" spans="1:11" ht="22.5" customHeight="1" x14ac:dyDescent="0.25">
      <c r="A830" s="816" t="s">
        <v>232</v>
      </c>
      <c r="B830" s="880">
        <v>2025</v>
      </c>
      <c r="C830" s="816" t="s">
        <v>1935</v>
      </c>
      <c r="D830" s="816" t="s">
        <v>1948</v>
      </c>
      <c r="E830" s="816" t="s">
        <v>8106</v>
      </c>
      <c r="F830" s="826">
        <v>0</v>
      </c>
      <c r="G830" s="880">
        <v>1</v>
      </c>
      <c r="H830" s="826">
        <v>-173520.61</v>
      </c>
      <c r="I830" s="826">
        <v>66181.53</v>
      </c>
      <c r="J830" s="826">
        <v>-107339.08</v>
      </c>
      <c r="K830" s="878">
        <v>-107339.08</v>
      </c>
    </row>
    <row r="831" spans="1:11" ht="22.5" customHeight="1" x14ac:dyDescent="0.25">
      <c r="A831" s="816" t="s">
        <v>232</v>
      </c>
      <c r="B831" s="880">
        <v>2025</v>
      </c>
      <c r="C831" s="816" t="s">
        <v>1935</v>
      </c>
      <c r="D831" s="816" t="s">
        <v>1949</v>
      </c>
      <c r="E831" s="816" t="s">
        <v>8107</v>
      </c>
      <c r="F831" s="826">
        <v>0</v>
      </c>
      <c r="G831" s="880">
        <v>1</v>
      </c>
      <c r="H831" s="826">
        <v>-152493.95000000001</v>
      </c>
      <c r="I831" s="826">
        <v>-31931.25</v>
      </c>
      <c r="J831" s="826">
        <v>-184425.2</v>
      </c>
      <c r="K831" s="878">
        <v>-184425.2</v>
      </c>
    </row>
    <row r="832" spans="1:11" ht="22.5" customHeight="1" x14ac:dyDescent="0.25">
      <c r="A832" s="816" t="s">
        <v>232</v>
      </c>
      <c r="B832" s="880">
        <v>2025</v>
      </c>
      <c r="C832" s="816" t="s">
        <v>1935</v>
      </c>
      <c r="D832" s="816" t="s">
        <v>1950</v>
      </c>
      <c r="E832" s="816" t="s">
        <v>8108</v>
      </c>
      <c r="F832" s="826">
        <v>0</v>
      </c>
      <c r="G832" s="880">
        <v>1</v>
      </c>
      <c r="H832" s="826">
        <v>-169962.22</v>
      </c>
      <c r="I832" s="826">
        <v>908.98</v>
      </c>
      <c r="J832" s="826">
        <v>-169053.24</v>
      </c>
      <c r="K832" s="878">
        <v>-169053.24</v>
      </c>
    </row>
    <row r="833" spans="1:11" ht="22.5" customHeight="1" x14ac:dyDescent="0.25">
      <c r="A833" s="816" t="s">
        <v>232</v>
      </c>
      <c r="B833" s="880">
        <v>2025</v>
      </c>
      <c r="C833" s="816" t="s">
        <v>1935</v>
      </c>
      <c r="D833" s="816" t="s">
        <v>1951</v>
      </c>
      <c r="E833" s="816" t="s">
        <v>8109</v>
      </c>
      <c r="F833" s="826">
        <v>0</v>
      </c>
      <c r="G833" s="880">
        <v>1</v>
      </c>
      <c r="H833" s="826">
        <v>104413.58</v>
      </c>
      <c r="I833" s="826">
        <v>39581.17</v>
      </c>
      <c r="J833" s="826">
        <v>143994.75</v>
      </c>
      <c r="K833" s="878">
        <v>143994.75</v>
      </c>
    </row>
    <row r="834" spans="1:11" ht="22.5" customHeight="1" x14ac:dyDescent="0.25">
      <c r="A834" s="816" t="s">
        <v>232</v>
      </c>
      <c r="B834" s="880">
        <v>2025</v>
      </c>
      <c r="C834" s="816" t="s">
        <v>1935</v>
      </c>
      <c r="D834" s="816" t="s">
        <v>7801</v>
      </c>
      <c r="E834" s="816" t="s">
        <v>8110</v>
      </c>
      <c r="F834" s="826">
        <v>0</v>
      </c>
      <c r="G834" s="880">
        <v>1</v>
      </c>
      <c r="H834" s="826">
        <v>-2693.7</v>
      </c>
      <c r="I834" s="826">
        <v>68527.789999999994</v>
      </c>
      <c r="J834" s="826">
        <v>65834.09</v>
      </c>
      <c r="K834" s="878">
        <v>65834.09</v>
      </c>
    </row>
    <row r="835" spans="1:11" ht="22.5" customHeight="1" x14ac:dyDescent="0.25">
      <c r="A835" s="816" t="s">
        <v>232</v>
      </c>
      <c r="B835" s="880">
        <v>2025</v>
      </c>
      <c r="C835" s="816" t="s">
        <v>1935</v>
      </c>
      <c r="D835" s="816" t="s">
        <v>1952</v>
      </c>
      <c r="E835" s="816" t="s">
        <v>8111</v>
      </c>
      <c r="F835" s="826">
        <v>-277741.32</v>
      </c>
      <c r="G835" s="880">
        <v>0</v>
      </c>
      <c r="H835" s="465"/>
      <c r="I835" s="465"/>
      <c r="J835" s="826">
        <v>0</v>
      </c>
      <c r="K835" s="878">
        <v>-277741.32</v>
      </c>
    </row>
    <row r="836" spans="1:11" ht="22.5" customHeight="1" x14ac:dyDescent="0.25">
      <c r="A836" s="816" t="s">
        <v>232</v>
      </c>
      <c r="B836" s="880">
        <v>2025</v>
      </c>
      <c r="C836" s="816" t="s">
        <v>1953</v>
      </c>
      <c r="D836" s="816" t="s">
        <v>1954</v>
      </c>
      <c r="E836" s="816" t="s">
        <v>2377</v>
      </c>
      <c r="F836" s="826">
        <v>0</v>
      </c>
      <c r="G836" s="880">
        <v>0</v>
      </c>
      <c r="H836" s="465"/>
      <c r="I836" s="465"/>
      <c r="J836" s="826">
        <v>0</v>
      </c>
      <c r="K836" s="878">
        <v>0</v>
      </c>
    </row>
    <row r="837" spans="1:11" ht="22.5" customHeight="1" x14ac:dyDescent="0.25">
      <c r="A837" s="816" t="s">
        <v>234</v>
      </c>
      <c r="B837" s="880">
        <v>2025</v>
      </c>
      <c r="C837" s="816" t="s">
        <v>1854</v>
      </c>
      <c r="D837" s="816" t="s">
        <v>1855</v>
      </c>
      <c r="E837" s="816" t="s">
        <v>2378</v>
      </c>
      <c r="F837" s="826">
        <v>-326761</v>
      </c>
      <c r="G837" s="880">
        <v>0</v>
      </c>
      <c r="H837" s="465"/>
      <c r="I837" s="465"/>
      <c r="J837" s="826">
        <v>0</v>
      </c>
      <c r="K837" s="878">
        <v>-326761</v>
      </c>
    </row>
    <row r="838" spans="1:11" ht="22.5" customHeight="1" x14ac:dyDescent="0.25">
      <c r="A838" s="816" t="s">
        <v>234</v>
      </c>
      <c r="B838" s="880">
        <v>2025</v>
      </c>
      <c r="C838" s="816" t="s">
        <v>7746</v>
      </c>
      <c r="D838" s="816" t="s">
        <v>7747</v>
      </c>
      <c r="E838" s="816" t="s">
        <v>7764</v>
      </c>
      <c r="F838" s="826">
        <v>0</v>
      </c>
      <c r="G838" s="880">
        <v>0</v>
      </c>
      <c r="H838" s="465"/>
      <c r="I838" s="465"/>
      <c r="J838" s="826">
        <v>0</v>
      </c>
      <c r="K838" s="878">
        <v>0</v>
      </c>
    </row>
    <row r="839" spans="1:11" ht="22.5" customHeight="1" x14ac:dyDescent="0.25">
      <c r="A839" s="816" t="s">
        <v>234</v>
      </c>
      <c r="B839" s="880">
        <v>2025</v>
      </c>
      <c r="C839" s="816" t="s">
        <v>1857</v>
      </c>
      <c r="D839" s="816" t="s">
        <v>1858</v>
      </c>
      <c r="E839" s="816" t="s">
        <v>2379</v>
      </c>
      <c r="F839" s="826">
        <v>0</v>
      </c>
      <c r="G839" s="880">
        <v>0</v>
      </c>
      <c r="H839" s="465"/>
      <c r="I839" s="465"/>
      <c r="J839" s="826">
        <v>0</v>
      </c>
      <c r="K839" s="878">
        <v>0</v>
      </c>
    </row>
    <row r="840" spans="1:11" ht="22.5" customHeight="1" x14ac:dyDescent="0.25">
      <c r="A840" s="816" t="s">
        <v>234</v>
      </c>
      <c r="B840" s="880">
        <v>2025</v>
      </c>
      <c r="C840" s="816" t="s">
        <v>1860</v>
      </c>
      <c r="D840" s="816" t="s">
        <v>1861</v>
      </c>
      <c r="E840" s="816" t="s">
        <v>2380</v>
      </c>
      <c r="F840" s="826">
        <v>0</v>
      </c>
      <c r="G840" s="880">
        <v>0</v>
      </c>
      <c r="H840" s="465"/>
      <c r="I840" s="465"/>
      <c r="J840" s="826">
        <v>0</v>
      </c>
      <c r="K840" s="878">
        <v>0</v>
      </c>
    </row>
    <row r="841" spans="1:11" ht="22.5" customHeight="1" x14ac:dyDescent="0.25">
      <c r="A841" s="816" t="s">
        <v>234</v>
      </c>
      <c r="B841" s="880">
        <v>2025</v>
      </c>
      <c r="C841" s="816" t="s">
        <v>1863</v>
      </c>
      <c r="D841" s="816" t="s">
        <v>1864</v>
      </c>
      <c r="E841" s="816" t="s">
        <v>2381</v>
      </c>
      <c r="F841" s="826">
        <v>0</v>
      </c>
      <c r="G841" s="880">
        <v>0</v>
      </c>
      <c r="H841" s="465"/>
      <c r="I841" s="465"/>
      <c r="J841" s="826">
        <v>0</v>
      </c>
      <c r="K841" s="878">
        <v>0</v>
      </c>
    </row>
    <row r="842" spans="1:11" ht="22.5" customHeight="1" x14ac:dyDescent="0.25">
      <c r="A842" s="816" t="s">
        <v>234</v>
      </c>
      <c r="B842" s="880">
        <v>2025</v>
      </c>
      <c r="C842" s="816" t="s">
        <v>1866</v>
      </c>
      <c r="D842" s="816" t="s">
        <v>1867</v>
      </c>
      <c r="E842" s="816" t="s">
        <v>2382</v>
      </c>
      <c r="F842" s="826">
        <v>0</v>
      </c>
      <c r="G842" s="880">
        <v>0</v>
      </c>
      <c r="H842" s="465"/>
      <c r="I842" s="465"/>
      <c r="J842" s="826">
        <v>0</v>
      </c>
      <c r="K842" s="878">
        <v>0</v>
      </c>
    </row>
    <row r="843" spans="1:11" ht="22.5" customHeight="1" x14ac:dyDescent="0.25">
      <c r="A843" s="816" t="s">
        <v>234</v>
      </c>
      <c r="B843" s="880">
        <v>2025</v>
      </c>
      <c r="C843" s="816" t="s">
        <v>1869</v>
      </c>
      <c r="D843" s="816" t="s">
        <v>1870</v>
      </c>
      <c r="E843" s="816" t="s">
        <v>2383</v>
      </c>
      <c r="F843" s="826">
        <v>0</v>
      </c>
      <c r="G843" s="880">
        <v>0</v>
      </c>
      <c r="H843" s="465"/>
      <c r="I843" s="465"/>
      <c r="J843" s="826">
        <v>0</v>
      </c>
      <c r="K843" s="878">
        <v>0</v>
      </c>
    </row>
    <row r="844" spans="1:11" ht="22.5" customHeight="1" x14ac:dyDescent="0.25">
      <c r="A844" s="816" t="s">
        <v>234</v>
      </c>
      <c r="B844" s="880">
        <v>2025</v>
      </c>
      <c r="C844" s="816" t="s">
        <v>1872</v>
      </c>
      <c r="D844" s="816" t="s">
        <v>1873</v>
      </c>
      <c r="E844" s="816" t="s">
        <v>2384</v>
      </c>
      <c r="F844" s="826">
        <v>0</v>
      </c>
      <c r="G844" s="880">
        <v>0</v>
      </c>
      <c r="H844" s="465"/>
      <c r="I844" s="465"/>
      <c r="J844" s="826">
        <v>0</v>
      </c>
      <c r="K844" s="878">
        <v>0</v>
      </c>
    </row>
    <row r="845" spans="1:11" ht="22.5" customHeight="1" x14ac:dyDescent="0.25">
      <c r="A845" s="816" t="s">
        <v>234</v>
      </c>
      <c r="B845" s="880">
        <v>2025</v>
      </c>
      <c r="C845" s="816" t="s">
        <v>1875</v>
      </c>
      <c r="D845" s="816" t="s">
        <v>1876</v>
      </c>
      <c r="E845" s="816" t="s">
        <v>2385</v>
      </c>
      <c r="F845" s="826">
        <v>0</v>
      </c>
      <c r="G845" s="880">
        <v>0</v>
      </c>
      <c r="H845" s="465"/>
      <c r="I845" s="465"/>
      <c r="J845" s="826">
        <v>0</v>
      </c>
      <c r="K845" s="878">
        <v>0</v>
      </c>
    </row>
    <row r="846" spans="1:11" ht="22.5" customHeight="1" x14ac:dyDescent="0.25">
      <c r="A846" s="816" t="s">
        <v>234</v>
      </c>
      <c r="B846" s="880">
        <v>2025</v>
      </c>
      <c r="C846" s="816" t="s">
        <v>1878</v>
      </c>
      <c r="D846" s="816" t="s">
        <v>1879</v>
      </c>
      <c r="E846" s="816" t="s">
        <v>2386</v>
      </c>
      <c r="F846" s="826">
        <v>0</v>
      </c>
      <c r="G846" s="880">
        <v>0</v>
      </c>
      <c r="H846" s="465"/>
      <c r="I846" s="465"/>
      <c r="J846" s="826">
        <v>0</v>
      </c>
      <c r="K846" s="878">
        <v>0</v>
      </c>
    </row>
    <row r="847" spans="1:11" ht="22.5" customHeight="1" x14ac:dyDescent="0.25">
      <c r="A847" s="816" t="s">
        <v>234</v>
      </c>
      <c r="B847" s="880">
        <v>2025</v>
      </c>
      <c r="C847" s="816" t="s">
        <v>1881</v>
      </c>
      <c r="D847" s="816" t="s">
        <v>1882</v>
      </c>
      <c r="E847" s="816" t="s">
        <v>2387</v>
      </c>
      <c r="F847" s="826">
        <v>0</v>
      </c>
      <c r="G847" s="880">
        <v>0</v>
      </c>
      <c r="H847" s="465"/>
      <c r="I847" s="465"/>
      <c r="J847" s="826">
        <v>0</v>
      </c>
      <c r="K847" s="878">
        <v>0</v>
      </c>
    </row>
    <row r="848" spans="1:11" ht="22.5" customHeight="1" x14ac:dyDescent="0.25">
      <c r="A848" s="816" t="s">
        <v>234</v>
      </c>
      <c r="B848" s="880">
        <v>2025</v>
      </c>
      <c r="C848" s="816" t="s">
        <v>1884</v>
      </c>
      <c r="D848" s="816" t="s">
        <v>1885</v>
      </c>
      <c r="E848" s="816" t="s">
        <v>2388</v>
      </c>
      <c r="F848" s="826">
        <v>0</v>
      </c>
      <c r="G848" s="880">
        <v>0</v>
      </c>
      <c r="H848" s="465"/>
      <c r="I848" s="465"/>
      <c r="J848" s="826">
        <v>0</v>
      </c>
      <c r="K848" s="878">
        <v>0</v>
      </c>
    </row>
    <row r="849" spans="1:11" ht="22.5" customHeight="1" x14ac:dyDescent="0.25">
      <c r="A849" s="816" t="s">
        <v>234</v>
      </c>
      <c r="B849" s="880">
        <v>2025</v>
      </c>
      <c r="C849" s="816" t="s">
        <v>1887</v>
      </c>
      <c r="D849" s="816" t="s">
        <v>138</v>
      </c>
      <c r="E849" s="816" t="s">
        <v>2389</v>
      </c>
      <c r="F849" s="826">
        <v>164407.6</v>
      </c>
      <c r="G849" s="880">
        <v>1</v>
      </c>
      <c r="H849" s="826">
        <v>156034.85999999999</v>
      </c>
      <c r="I849" s="826">
        <v>8372.74</v>
      </c>
      <c r="J849" s="826">
        <v>164407.6</v>
      </c>
      <c r="K849" s="878">
        <v>164407.6</v>
      </c>
    </row>
    <row r="850" spans="1:11" ht="22.5" customHeight="1" x14ac:dyDescent="0.25">
      <c r="A850" s="816" t="s">
        <v>234</v>
      </c>
      <c r="B850" s="880">
        <v>2025</v>
      </c>
      <c r="C850" s="816" t="s">
        <v>1889</v>
      </c>
      <c r="D850" s="816" t="s">
        <v>139</v>
      </c>
      <c r="E850" s="816" t="s">
        <v>2390</v>
      </c>
      <c r="F850" s="826">
        <v>-78068.039999999994</v>
      </c>
      <c r="G850" s="880">
        <v>1</v>
      </c>
      <c r="H850" s="826">
        <v>-73384.02</v>
      </c>
      <c r="I850" s="826">
        <v>-4684.0200000000004</v>
      </c>
      <c r="J850" s="826">
        <v>-78068.039999999994</v>
      </c>
      <c r="K850" s="878">
        <v>-78068.039999999994</v>
      </c>
    </row>
    <row r="851" spans="1:11" ht="22.5" customHeight="1" x14ac:dyDescent="0.25">
      <c r="A851" s="816" t="s">
        <v>234</v>
      </c>
      <c r="B851" s="880">
        <v>2025</v>
      </c>
      <c r="C851" s="816" t="s">
        <v>1891</v>
      </c>
      <c r="D851" s="816" t="s">
        <v>1892</v>
      </c>
      <c r="E851" s="816" t="s">
        <v>2391</v>
      </c>
      <c r="F851" s="826">
        <v>0</v>
      </c>
      <c r="G851" s="880">
        <v>0</v>
      </c>
      <c r="H851" s="465"/>
      <c r="I851" s="465"/>
      <c r="J851" s="826">
        <v>0</v>
      </c>
      <c r="K851" s="878">
        <v>0</v>
      </c>
    </row>
    <row r="852" spans="1:11" ht="22.5" customHeight="1" x14ac:dyDescent="0.25">
      <c r="A852" s="816" t="s">
        <v>234</v>
      </c>
      <c r="B852" s="880">
        <v>2025</v>
      </c>
      <c r="C852" s="816" t="s">
        <v>1891</v>
      </c>
      <c r="D852" s="816" t="s">
        <v>1894</v>
      </c>
      <c r="E852" s="816" t="s">
        <v>2391</v>
      </c>
      <c r="F852" s="826">
        <v>0</v>
      </c>
      <c r="G852" s="880">
        <v>0</v>
      </c>
      <c r="H852" s="465"/>
      <c r="I852" s="465"/>
      <c r="J852" s="826">
        <v>0</v>
      </c>
      <c r="K852" s="881">
        <v>0</v>
      </c>
    </row>
    <row r="853" spans="1:11" ht="22.5" customHeight="1" x14ac:dyDescent="0.25">
      <c r="A853" s="816" t="s">
        <v>234</v>
      </c>
      <c r="B853" s="880">
        <v>2025</v>
      </c>
      <c r="C853" s="816" t="s">
        <v>1895</v>
      </c>
      <c r="D853" s="816" t="s">
        <v>1896</v>
      </c>
      <c r="E853" s="816" t="s">
        <v>2392</v>
      </c>
      <c r="F853" s="826">
        <v>0</v>
      </c>
      <c r="G853" s="880">
        <v>0</v>
      </c>
      <c r="H853" s="465"/>
      <c r="I853" s="465"/>
      <c r="J853" s="826">
        <v>0</v>
      </c>
      <c r="K853" s="878">
        <v>0</v>
      </c>
    </row>
    <row r="854" spans="1:11" ht="22.5" customHeight="1" x14ac:dyDescent="0.25">
      <c r="A854" s="816" t="s">
        <v>234</v>
      </c>
      <c r="B854" s="880">
        <v>2025</v>
      </c>
      <c r="C854" s="816" t="s">
        <v>1898</v>
      </c>
      <c r="D854" s="816" t="s">
        <v>1899</v>
      </c>
      <c r="E854" s="816" t="s">
        <v>2393</v>
      </c>
      <c r="F854" s="826">
        <v>34128.81</v>
      </c>
      <c r="G854" s="880">
        <v>0</v>
      </c>
      <c r="H854" s="465"/>
      <c r="I854" s="465"/>
      <c r="J854" s="826">
        <v>0</v>
      </c>
      <c r="K854" s="878">
        <v>34128.81</v>
      </c>
    </row>
    <row r="855" spans="1:11" ht="22.5" customHeight="1" x14ac:dyDescent="0.25">
      <c r="A855" s="816" t="s">
        <v>234</v>
      </c>
      <c r="B855" s="880">
        <v>2025</v>
      </c>
      <c r="C855" s="816" t="s">
        <v>1901</v>
      </c>
      <c r="D855" s="816" t="s">
        <v>1902</v>
      </c>
      <c r="E855" s="816" t="s">
        <v>2394</v>
      </c>
      <c r="F855" s="826">
        <v>0</v>
      </c>
      <c r="G855" s="880">
        <v>0</v>
      </c>
      <c r="H855" s="465"/>
      <c r="I855" s="465"/>
      <c r="J855" s="826">
        <v>0</v>
      </c>
      <c r="K855" s="878">
        <v>0</v>
      </c>
    </row>
    <row r="856" spans="1:11" ht="22.5" customHeight="1" x14ac:dyDescent="0.25">
      <c r="A856" s="816" t="s">
        <v>234</v>
      </c>
      <c r="B856" s="880">
        <v>2025</v>
      </c>
      <c r="C856" s="816" t="s">
        <v>1904</v>
      </c>
      <c r="D856" s="816" t="s">
        <v>1905</v>
      </c>
      <c r="E856" s="816" t="s">
        <v>2395</v>
      </c>
      <c r="F856" s="826">
        <v>0</v>
      </c>
      <c r="G856" s="880">
        <v>0</v>
      </c>
      <c r="H856" s="465"/>
      <c r="I856" s="465"/>
      <c r="J856" s="826">
        <v>0</v>
      </c>
      <c r="K856" s="878">
        <v>0</v>
      </c>
    </row>
    <row r="857" spans="1:11" ht="22.5" customHeight="1" x14ac:dyDescent="0.25">
      <c r="A857" s="816" t="s">
        <v>234</v>
      </c>
      <c r="B857" s="880">
        <v>2025</v>
      </c>
      <c r="C857" s="816" t="s">
        <v>1907</v>
      </c>
      <c r="D857" s="816" t="s">
        <v>1908</v>
      </c>
      <c r="E857" s="816" t="s">
        <v>2396</v>
      </c>
      <c r="F857" s="826">
        <v>40531.46</v>
      </c>
      <c r="G857" s="880">
        <v>0</v>
      </c>
      <c r="H857" s="465"/>
      <c r="I857" s="465"/>
      <c r="J857" s="826">
        <v>0</v>
      </c>
      <c r="K857" s="878">
        <v>40531.46</v>
      </c>
    </row>
    <row r="858" spans="1:11" ht="22.5" customHeight="1" x14ac:dyDescent="0.25">
      <c r="A858" s="816" t="s">
        <v>234</v>
      </c>
      <c r="B858" s="880">
        <v>2025</v>
      </c>
      <c r="C858" s="816" t="s">
        <v>1910</v>
      </c>
      <c r="D858" s="816" t="s">
        <v>1911</v>
      </c>
      <c r="E858" s="816" t="s">
        <v>2397</v>
      </c>
      <c r="F858" s="826">
        <v>0</v>
      </c>
      <c r="G858" s="880">
        <v>0</v>
      </c>
      <c r="H858" s="465"/>
      <c r="I858" s="465"/>
      <c r="J858" s="826">
        <v>0</v>
      </c>
      <c r="K858" s="878">
        <v>0</v>
      </c>
    </row>
    <row r="859" spans="1:11" ht="22.5" customHeight="1" x14ac:dyDescent="0.25">
      <c r="A859" s="816" t="s">
        <v>234</v>
      </c>
      <c r="B859" s="880">
        <v>2025</v>
      </c>
      <c r="C859" s="816" t="s">
        <v>1913</v>
      </c>
      <c r="D859" s="816" t="s">
        <v>1914</v>
      </c>
      <c r="E859" s="816" t="s">
        <v>2398</v>
      </c>
      <c r="F859" s="826">
        <v>-680705.91</v>
      </c>
      <c r="G859" s="880">
        <v>1</v>
      </c>
      <c r="H859" s="826">
        <v>-643263.52</v>
      </c>
      <c r="I859" s="826">
        <v>-37442.39</v>
      </c>
      <c r="J859" s="826">
        <v>-680705.91</v>
      </c>
      <c r="K859" s="878">
        <v>-680705.91</v>
      </c>
    </row>
    <row r="860" spans="1:11" ht="22.5" customHeight="1" x14ac:dyDescent="0.25">
      <c r="A860" s="816" t="s">
        <v>234</v>
      </c>
      <c r="B860" s="880">
        <v>2025</v>
      </c>
      <c r="C860" s="816" t="s">
        <v>1913</v>
      </c>
      <c r="D860" s="816" t="s">
        <v>1916</v>
      </c>
      <c r="E860" s="816" t="s">
        <v>2398</v>
      </c>
      <c r="F860" s="826">
        <v>0</v>
      </c>
      <c r="G860" s="880">
        <v>0</v>
      </c>
      <c r="H860" s="465"/>
      <c r="I860" s="465"/>
      <c r="J860" s="826">
        <v>0</v>
      </c>
      <c r="K860" s="881">
        <v>0</v>
      </c>
    </row>
    <row r="861" spans="1:11" ht="22.5" customHeight="1" x14ac:dyDescent="0.25">
      <c r="A861" s="816" t="s">
        <v>234</v>
      </c>
      <c r="B861" s="880">
        <v>2025</v>
      </c>
      <c r="C861" s="816" t="s">
        <v>1913</v>
      </c>
      <c r="D861" s="816" t="s">
        <v>1917</v>
      </c>
      <c r="E861" s="816" t="s">
        <v>2398</v>
      </c>
      <c r="F861" s="826">
        <v>0</v>
      </c>
      <c r="G861" s="880">
        <v>0</v>
      </c>
      <c r="H861" s="465"/>
      <c r="I861" s="465"/>
      <c r="J861" s="826">
        <v>0</v>
      </c>
      <c r="K861" s="881">
        <v>0</v>
      </c>
    </row>
    <row r="862" spans="1:11" ht="22.5" customHeight="1" x14ac:dyDescent="0.25">
      <c r="A862" s="816" t="s">
        <v>234</v>
      </c>
      <c r="B862" s="880">
        <v>2025</v>
      </c>
      <c r="C862" s="816" t="s">
        <v>1913</v>
      </c>
      <c r="D862" s="816" t="s">
        <v>1918</v>
      </c>
      <c r="E862" s="816" t="s">
        <v>2398</v>
      </c>
      <c r="F862" s="826">
        <v>0</v>
      </c>
      <c r="G862" s="880">
        <v>0</v>
      </c>
      <c r="H862" s="465"/>
      <c r="I862" s="465"/>
      <c r="J862" s="826">
        <v>0</v>
      </c>
      <c r="K862" s="881">
        <v>2099.17</v>
      </c>
    </row>
    <row r="863" spans="1:11" ht="22.5" customHeight="1" x14ac:dyDescent="0.25">
      <c r="A863" s="816" t="s">
        <v>234</v>
      </c>
      <c r="B863" s="880">
        <v>2025</v>
      </c>
      <c r="C863" s="816" t="s">
        <v>1913</v>
      </c>
      <c r="D863" s="816" t="s">
        <v>1919</v>
      </c>
      <c r="E863" s="816" t="s">
        <v>2398</v>
      </c>
      <c r="F863" s="826">
        <v>0</v>
      </c>
      <c r="G863" s="880">
        <v>0</v>
      </c>
      <c r="H863" s="465"/>
      <c r="I863" s="465"/>
      <c r="J863" s="826">
        <v>0</v>
      </c>
      <c r="K863" s="881">
        <v>217979.75</v>
      </c>
    </row>
    <row r="864" spans="1:11" ht="22.5" customHeight="1" x14ac:dyDescent="0.25">
      <c r="A864" s="816" t="s">
        <v>234</v>
      </c>
      <c r="B864" s="880">
        <v>2025</v>
      </c>
      <c r="C864" s="816" t="s">
        <v>1920</v>
      </c>
      <c r="D864" s="816" t="s">
        <v>1921</v>
      </c>
      <c r="E864" s="816" t="s">
        <v>2399</v>
      </c>
      <c r="F864" s="826">
        <v>0</v>
      </c>
      <c r="G864" s="880">
        <v>0</v>
      </c>
      <c r="H864" s="465"/>
      <c r="I864" s="465"/>
      <c r="J864" s="826">
        <v>0</v>
      </c>
      <c r="K864" s="878">
        <v>0</v>
      </c>
    </row>
    <row r="865" spans="1:11" ht="22.5" customHeight="1" x14ac:dyDescent="0.25">
      <c r="A865" s="816" t="s">
        <v>234</v>
      </c>
      <c r="B865" s="880">
        <v>2025</v>
      </c>
      <c r="C865" s="816" t="s">
        <v>1923</v>
      </c>
      <c r="D865" s="816" t="s">
        <v>143</v>
      </c>
      <c r="E865" s="816" t="s">
        <v>2400</v>
      </c>
      <c r="F865" s="826">
        <v>1447602.47</v>
      </c>
      <c r="G865" s="880">
        <v>1</v>
      </c>
      <c r="H865" s="826">
        <v>1394153.7</v>
      </c>
      <c r="I865" s="826">
        <v>53448.77</v>
      </c>
      <c r="J865" s="826">
        <v>1447602.47</v>
      </c>
      <c r="K865" s="878">
        <v>1447602.47</v>
      </c>
    </row>
    <row r="866" spans="1:11" ht="22.5" customHeight="1" x14ac:dyDescent="0.25">
      <c r="A866" s="816" t="s">
        <v>234</v>
      </c>
      <c r="B866" s="880">
        <v>2025</v>
      </c>
      <c r="C866" s="816" t="s">
        <v>1925</v>
      </c>
      <c r="D866" s="816" t="s">
        <v>144</v>
      </c>
      <c r="E866" s="816" t="s">
        <v>2401</v>
      </c>
      <c r="F866" s="826">
        <v>890358.02</v>
      </c>
      <c r="G866" s="880">
        <v>1</v>
      </c>
      <c r="H866" s="826">
        <v>847372.49</v>
      </c>
      <c r="I866" s="826">
        <v>42985.53</v>
      </c>
      <c r="J866" s="826">
        <v>890358.02</v>
      </c>
      <c r="K866" s="878">
        <v>890358.02</v>
      </c>
    </row>
    <row r="867" spans="1:11" ht="22.5" customHeight="1" x14ac:dyDescent="0.25">
      <c r="A867" s="816" t="s">
        <v>234</v>
      </c>
      <c r="B867" s="880">
        <v>2025</v>
      </c>
      <c r="C867" s="816" t="s">
        <v>1927</v>
      </c>
      <c r="D867" s="816" t="s">
        <v>1928</v>
      </c>
      <c r="E867" s="816" t="s">
        <v>2402</v>
      </c>
      <c r="F867" s="826">
        <v>509201.86</v>
      </c>
      <c r="G867" s="880">
        <v>1</v>
      </c>
      <c r="H867" s="826">
        <v>563731.21</v>
      </c>
      <c r="I867" s="826">
        <v>-54529.35</v>
      </c>
      <c r="J867" s="826">
        <v>509201.86</v>
      </c>
      <c r="K867" s="878">
        <v>509201.86</v>
      </c>
    </row>
    <row r="868" spans="1:11" ht="22.5" customHeight="1" x14ac:dyDescent="0.25">
      <c r="A868" s="816" t="s">
        <v>234</v>
      </c>
      <c r="B868" s="880">
        <v>2025</v>
      </c>
      <c r="C868" s="816" t="s">
        <v>1930</v>
      </c>
      <c r="D868" s="816" t="s">
        <v>156</v>
      </c>
      <c r="E868" s="816" t="s">
        <v>2403</v>
      </c>
      <c r="F868" s="826">
        <v>1177861.6499999999</v>
      </c>
      <c r="G868" s="880">
        <v>1</v>
      </c>
      <c r="H868" s="826">
        <v>1114135.18</v>
      </c>
      <c r="I868" s="826">
        <v>63726.47</v>
      </c>
      <c r="J868" s="826">
        <v>1177861.6499999999</v>
      </c>
      <c r="K868" s="878">
        <v>1177861.6499999999</v>
      </c>
    </row>
    <row r="869" spans="1:11" ht="22.5" customHeight="1" x14ac:dyDescent="0.25">
      <c r="A869" s="816" t="s">
        <v>234</v>
      </c>
      <c r="B869" s="880">
        <v>2025</v>
      </c>
      <c r="C869" s="816" t="s">
        <v>1932</v>
      </c>
      <c r="D869" s="816" t="s">
        <v>1933</v>
      </c>
      <c r="E869" s="816" t="s">
        <v>2404</v>
      </c>
      <c r="F869" s="826">
        <v>-472621.99</v>
      </c>
      <c r="G869" s="880">
        <v>0</v>
      </c>
      <c r="H869" s="465"/>
      <c r="I869" s="465"/>
      <c r="J869" s="826">
        <v>0</v>
      </c>
      <c r="K869" s="878">
        <v>-472621.99</v>
      </c>
    </row>
    <row r="870" spans="1:11" ht="22.5" customHeight="1" x14ac:dyDescent="0.25">
      <c r="A870" s="816" t="s">
        <v>234</v>
      </c>
      <c r="B870" s="880">
        <v>2025</v>
      </c>
      <c r="C870" s="816" t="s">
        <v>1935</v>
      </c>
      <c r="D870" s="816" t="s">
        <v>1936</v>
      </c>
      <c r="E870" s="816" t="s">
        <v>8112</v>
      </c>
      <c r="F870" s="826">
        <v>0</v>
      </c>
      <c r="G870" s="880">
        <v>1</v>
      </c>
      <c r="H870" s="465"/>
      <c r="I870" s="465"/>
      <c r="J870" s="826">
        <v>0</v>
      </c>
      <c r="K870" s="878">
        <v>0</v>
      </c>
    </row>
    <row r="871" spans="1:11" ht="22.5" customHeight="1" x14ac:dyDescent="0.25">
      <c r="A871" s="816" t="s">
        <v>234</v>
      </c>
      <c r="B871" s="880">
        <v>2025</v>
      </c>
      <c r="C871" s="816" t="s">
        <v>1935</v>
      </c>
      <c r="D871" s="816" t="s">
        <v>1937</v>
      </c>
      <c r="E871" s="816" t="s">
        <v>8113</v>
      </c>
      <c r="F871" s="826">
        <v>0</v>
      </c>
      <c r="G871" s="880">
        <v>1</v>
      </c>
      <c r="H871" s="465"/>
      <c r="I871" s="465"/>
      <c r="J871" s="826">
        <v>0</v>
      </c>
      <c r="K871" s="878">
        <v>0</v>
      </c>
    </row>
    <row r="872" spans="1:11" ht="22.5" customHeight="1" x14ac:dyDescent="0.25">
      <c r="A872" s="816" t="s">
        <v>234</v>
      </c>
      <c r="B872" s="880">
        <v>2025</v>
      </c>
      <c r="C872" s="816" t="s">
        <v>1935</v>
      </c>
      <c r="D872" s="816" t="s">
        <v>1938</v>
      </c>
      <c r="E872" s="816" t="s">
        <v>8114</v>
      </c>
      <c r="F872" s="826">
        <v>0</v>
      </c>
      <c r="G872" s="880">
        <v>1</v>
      </c>
      <c r="H872" s="465"/>
      <c r="I872" s="465"/>
      <c r="J872" s="826">
        <v>0</v>
      </c>
      <c r="K872" s="878">
        <v>0</v>
      </c>
    </row>
    <row r="873" spans="1:11" ht="22.5" customHeight="1" x14ac:dyDescent="0.25">
      <c r="A873" s="816" t="s">
        <v>234</v>
      </c>
      <c r="B873" s="880">
        <v>2025</v>
      </c>
      <c r="C873" s="816" t="s">
        <v>1935</v>
      </c>
      <c r="D873" s="816" t="s">
        <v>1939</v>
      </c>
      <c r="E873" s="816" t="s">
        <v>8115</v>
      </c>
      <c r="F873" s="826">
        <v>0</v>
      </c>
      <c r="G873" s="880">
        <v>1</v>
      </c>
      <c r="H873" s="465"/>
      <c r="I873" s="465"/>
      <c r="J873" s="826">
        <v>0</v>
      </c>
      <c r="K873" s="878">
        <v>0</v>
      </c>
    </row>
    <row r="874" spans="1:11" ht="22.5" customHeight="1" x14ac:dyDescent="0.25">
      <c r="A874" s="816" t="s">
        <v>234</v>
      </c>
      <c r="B874" s="880">
        <v>2025</v>
      </c>
      <c r="C874" s="816" t="s">
        <v>1935</v>
      </c>
      <c r="D874" s="816" t="s">
        <v>1940</v>
      </c>
      <c r="E874" s="816" t="s">
        <v>8116</v>
      </c>
      <c r="F874" s="826">
        <v>0</v>
      </c>
      <c r="G874" s="880">
        <v>1</v>
      </c>
      <c r="H874" s="465"/>
      <c r="I874" s="465"/>
      <c r="J874" s="826">
        <v>0</v>
      </c>
      <c r="K874" s="878">
        <v>0</v>
      </c>
    </row>
    <row r="875" spans="1:11" ht="22.5" customHeight="1" x14ac:dyDescent="0.25">
      <c r="A875" s="816" t="s">
        <v>234</v>
      </c>
      <c r="B875" s="880">
        <v>2025</v>
      </c>
      <c r="C875" s="816" t="s">
        <v>1935</v>
      </c>
      <c r="D875" s="816" t="s">
        <v>1941</v>
      </c>
      <c r="E875" s="816" t="s">
        <v>8117</v>
      </c>
      <c r="F875" s="826">
        <v>0</v>
      </c>
      <c r="G875" s="880">
        <v>1</v>
      </c>
      <c r="H875" s="465"/>
      <c r="I875" s="465"/>
      <c r="J875" s="826">
        <v>0</v>
      </c>
      <c r="K875" s="878">
        <v>0</v>
      </c>
    </row>
    <row r="876" spans="1:11" ht="22.5" customHeight="1" x14ac:dyDescent="0.25">
      <c r="A876" s="816" t="s">
        <v>234</v>
      </c>
      <c r="B876" s="880">
        <v>2025</v>
      </c>
      <c r="C876" s="816" t="s">
        <v>1935</v>
      </c>
      <c r="D876" s="816" t="s">
        <v>1942</v>
      </c>
      <c r="E876" s="816" t="s">
        <v>8118</v>
      </c>
      <c r="F876" s="826">
        <v>0</v>
      </c>
      <c r="G876" s="880">
        <v>1</v>
      </c>
      <c r="H876" s="465"/>
      <c r="I876" s="465"/>
      <c r="J876" s="826">
        <v>0</v>
      </c>
      <c r="K876" s="878">
        <v>0</v>
      </c>
    </row>
    <row r="877" spans="1:11" ht="22.5" customHeight="1" x14ac:dyDescent="0.25">
      <c r="A877" s="816" t="s">
        <v>234</v>
      </c>
      <c r="B877" s="880">
        <v>2025</v>
      </c>
      <c r="C877" s="816" t="s">
        <v>1935</v>
      </c>
      <c r="D877" s="816" t="s">
        <v>1943</v>
      </c>
      <c r="E877" s="816" t="s">
        <v>8119</v>
      </c>
      <c r="F877" s="826">
        <v>0</v>
      </c>
      <c r="G877" s="880">
        <v>1</v>
      </c>
      <c r="H877" s="465"/>
      <c r="I877" s="826">
        <v>0.35</v>
      </c>
      <c r="J877" s="826">
        <v>0.35</v>
      </c>
      <c r="K877" s="878">
        <v>0.35</v>
      </c>
    </row>
    <row r="878" spans="1:11" ht="22.5" customHeight="1" x14ac:dyDescent="0.25">
      <c r="A878" s="816" t="s">
        <v>234</v>
      </c>
      <c r="B878" s="880">
        <v>2025</v>
      </c>
      <c r="C878" s="816" t="s">
        <v>1935</v>
      </c>
      <c r="D878" s="816" t="s">
        <v>1944</v>
      </c>
      <c r="E878" s="816" t="s">
        <v>8120</v>
      </c>
      <c r="F878" s="826">
        <v>0</v>
      </c>
      <c r="G878" s="880">
        <v>1</v>
      </c>
      <c r="H878" s="826">
        <v>-19622.36</v>
      </c>
      <c r="I878" s="826">
        <v>-1480.32</v>
      </c>
      <c r="J878" s="826">
        <v>-21102.68</v>
      </c>
      <c r="K878" s="878">
        <v>-21102.68</v>
      </c>
    </row>
    <row r="879" spans="1:11" ht="22.5" customHeight="1" x14ac:dyDescent="0.25">
      <c r="A879" s="816" t="s">
        <v>234</v>
      </c>
      <c r="B879" s="880">
        <v>2025</v>
      </c>
      <c r="C879" s="816" t="s">
        <v>1935</v>
      </c>
      <c r="D879" s="816" t="s">
        <v>1945</v>
      </c>
      <c r="E879" s="816" t="s">
        <v>8121</v>
      </c>
      <c r="F879" s="826">
        <v>0</v>
      </c>
      <c r="G879" s="880">
        <v>1</v>
      </c>
      <c r="H879" s="826">
        <v>-65.5</v>
      </c>
      <c r="I879" s="826">
        <v>-5682.44</v>
      </c>
      <c r="J879" s="826">
        <v>-5747.94</v>
      </c>
      <c r="K879" s="878">
        <v>-5747.94</v>
      </c>
    </row>
    <row r="880" spans="1:11" ht="22.5" customHeight="1" x14ac:dyDescent="0.25">
      <c r="A880" s="816" t="s">
        <v>234</v>
      </c>
      <c r="B880" s="880">
        <v>2025</v>
      </c>
      <c r="C880" s="816" t="s">
        <v>1935</v>
      </c>
      <c r="D880" s="816" t="s">
        <v>1946</v>
      </c>
      <c r="E880" s="816" t="s">
        <v>8122</v>
      </c>
      <c r="F880" s="826">
        <v>0</v>
      </c>
      <c r="G880" s="880">
        <v>1</v>
      </c>
      <c r="H880" s="826">
        <v>-29790.51</v>
      </c>
      <c r="I880" s="826">
        <v>22957.05</v>
      </c>
      <c r="J880" s="826">
        <v>-6833.46</v>
      </c>
      <c r="K880" s="878">
        <v>-6833.46</v>
      </c>
    </row>
    <row r="881" spans="1:11" ht="22.5" customHeight="1" x14ac:dyDescent="0.25">
      <c r="A881" s="816" t="s">
        <v>234</v>
      </c>
      <c r="B881" s="880">
        <v>2025</v>
      </c>
      <c r="C881" s="816" t="s">
        <v>1935</v>
      </c>
      <c r="D881" s="816" t="s">
        <v>1947</v>
      </c>
      <c r="E881" s="816" t="s">
        <v>8123</v>
      </c>
      <c r="F881" s="826">
        <v>0</v>
      </c>
      <c r="G881" s="880">
        <v>1</v>
      </c>
      <c r="H881" s="826">
        <v>31645.73</v>
      </c>
      <c r="I881" s="826">
        <v>78417.86</v>
      </c>
      <c r="J881" s="826">
        <v>110063.59</v>
      </c>
      <c r="K881" s="878">
        <v>110063.59</v>
      </c>
    </row>
    <row r="882" spans="1:11" ht="22.5" customHeight="1" x14ac:dyDescent="0.25">
      <c r="A882" s="816" t="s">
        <v>234</v>
      </c>
      <c r="B882" s="880">
        <v>2025</v>
      </c>
      <c r="C882" s="816" t="s">
        <v>1935</v>
      </c>
      <c r="D882" s="816" t="s">
        <v>1948</v>
      </c>
      <c r="E882" s="816" t="s">
        <v>8124</v>
      </c>
      <c r="F882" s="826">
        <v>0</v>
      </c>
      <c r="G882" s="880">
        <v>1</v>
      </c>
      <c r="H882" s="826">
        <v>-1363913.93</v>
      </c>
      <c r="I882" s="826">
        <v>172568.95</v>
      </c>
      <c r="J882" s="826">
        <v>-1191344.98</v>
      </c>
      <c r="K882" s="878">
        <v>-1191344.98</v>
      </c>
    </row>
    <row r="883" spans="1:11" ht="22.5" customHeight="1" x14ac:dyDescent="0.25">
      <c r="A883" s="816" t="s">
        <v>234</v>
      </c>
      <c r="B883" s="880">
        <v>2025</v>
      </c>
      <c r="C883" s="816" t="s">
        <v>1935</v>
      </c>
      <c r="D883" s="816" t="s">
        <v>1949</v>
      </c>
      <c r="E883" s="816" t="s">
        <v>8125</v>
      </c>
      <c r="F883" s="826">
        <v>0</v>
      </c>
      <c r="G883" s="880">
        <v>1</v>
      </c>
      <c r="H883" s="465"/>
      <c r="I883" s="465"/>
      <c r="J883" s="826">
        <v>0</v>
      </c>
      <c r="K883" s="878">
        <v>0</v>
      </c>
    </row>
    <row r="884" spans="1:11" ht="22.5" customHeight="1" x14ac:dyDescent="0.25">
      <c r="A884" s="816" t="s">
        <v>234</v>
      </c>
      <c r="B884" s="880">
        <v>2025</v>
      </c>
      <c r="C884" s="816" t="s">
        <v>1935</v>
      </c>
      <c r="D884" s="816" t="s">
        <v>1950</v>
      </c>
      <c r="E884" s="816" t="s">
        <v>8126</v>
      </c>
      <c r="F884" s="826">
        <v>0</v>
      </c>
      <c r="G884" s="880">
        <v>1</v>
      </c>
      <c r="H884" s="465"/>
      <c r="I884" s="465"/>
      <c r="J884" s="826">
        <v>0</v>
      </c>
      <c r="K884" s="878">
        <v>0</v>
      </c>
    </row>
    <row r="885" spans="1:11" ht="22.5" customHeight="1" x14ac:dyDescent="0.25">
      <c r="A885" s="816" t="s">
        <v>234</v>
      </c>
      <c r="B885" s="880">
        <v>2025</v>
      </c>
      <c r="C885" s="816" t="s">
        <v>1935</v>
      </c>
      <c r="D885" s="816" t="s">
        <v>1951</v>
      </c>
      <c r="E885" s="816" t="s">
        <v>8127</v>
      </c>
      <c r="F885" s="826">
        <v>0</v>
      </c>
      <c r="G885" s="880">
        <v>1</v>
      </c>
      <c r="H885" s="465"/>
      <c r="I885" s="465"/>
      <c r="J885" s="826">
        <v>0</v>
      </c>
      <c r="K885" s="878">
        <v>0</v>
      </c>
    </row>
    <row r="886" spans="1:11" ht="22.5" customHeight="1" x14ac:dyDescent="0.25">
      <c r="A886" s="816" t="s">
        <v>234</v>
      </c>
      <c r="B886" s="880">
        <v>2025</v>
      </c>
      <c r="C886" s="816" t="s">
        <v>1935</v>
      </c>
      <c r="D886" s="816" t="s">
        <v>7801</v>
      </c>
      <c r="E886" s="816" t="s">
        <v>8128</v>
      </c>
      <c r="F886" s="826">
        <v>0</v>
      </c>
      <c r="G886" s="880">
        <v>1</v>
      </c>
      <c r="H886" s="465"/>
      <c r="I886" s="465"/>
      <c r="J886" s="826">
        <v>0</v>
      </c>
      <c r="K886" s="878">
        <v>0</v>
      </c>
    </row>
    <row r="887" spans="1:11" ht="22.5" customHeight="1" x14ac:dyDescent="0.25">
      <c r="A887" s="816" t="s">
        <v>234</v>
      </c>
      <c r="B887" s="880">
        <v>2025</v>
      </c>
      <c r="C887" s="816" t="s">
        <v>1935</v>
      </c>
      <c r="D887" s="816" t="s">
        <v>1952</v>
      </c>
      <c r="E887" s="816" t="s">
        <v>8129</v>
      </c>
      <c r="F887" s="826">
        <v>-1114965.1200000001</v>
      </c>
      <c r="G887" s="880">
        <v>0</v>
      </c>
      <c r="H887" s="465"/>
      <c r="I887" s="465"/>
      <c r="J887" s="826">
        <v>0</v>
      </c>
      <c r="K887" s="878">
        <v>-1114965.1200000001</v>
      </c>
    </row>
    <row r="888" spans="1:11" ht="22.5" customHeight="1" x14ac:dyDescent="0.25">
      <c r="A888" s="816" t="s">
        <v>234</v>
      </c>
      <c r="B888" s="880">
        <v>2025</v>
      </c>
      <c r="C888" s="816" t="s">
        <v>1953</v>
      </c>
      <c r="D888" s="816" t="s">
        <v>1954</v>
      </c>
      <c r="E888" s="816" t="s">
        <v>2405</v>
      </c>
      <c r="F888" s="826">
        <v>0</v>
      </c>
      <c r="G888" s="880">
        <v>0</v>
      </c>
      <c r="H888" s="465"/>
      <c r="I888" s="465"/>
      <c r="J888" s="826">
        <v>0</v>
      </c>
      <c r="K888" s="878">
        <v>0</v>
      </c>
    </row>
    <row r="889" spans="1:11" ht="22.5" customHeight="1" x14ac:dyDescent="0.25">
      <c r="A889" s="816" t="s">
        <v>237</v>
      </c>
      <c r="B889" s="880">
        <v>2025</v>
      </c>
      <c r="C889" s="816" t="s">
        <v>1854</v>
      </c>
      <c r="D889" s="816" t="s">
        <v>1855</v>
      </c>
      <c r="E889" s="816" t="s">
        <v>2406</v>
      </c>
      <c r="F889" s="826">
        <v>-190992.13</v>
      </c>
      <c r="G889" s="880">
        <v>0</v>
      </c>
      <c r="H889" s="465"/>
      <c r="I889" s="465"/>
      <c r="J889" s="826">
        <v>0</v>
      </c>
      <c r="K889" s="878">
        <v>-190992.13</v>
      </c>
    </row>
    <row r="890" spans="1:11" ht="22.5" customHeight="1" x14ac:dyDescent="0.25">
      <c r="A890" s="816" t="s">
        <v>237</v>
      </c>
      <c r="B890" s="880">
        <v>2025</v>
      </c>
      <c r="C890" s="816" t="s">
        <v>7746</v>
      </c>
      <c r="D890" s="816" t="s">
        <v>7747</v>
      </c>
      <c r="E890" s="816" t="s">
        <v>7765</v>
      </c>
      <c r="F890" s="826">
        <v>0</v>
      </c>
      <c r="G890" s="880">
        <v>0</v>
      </c>
      <c r="H890" s="465"/>
      <c r="I890" s="465"/>
      <c r="J890" s="826">
        <v>0</v>
      </c>
      <c r="K890" s="878">
        <v>0</v>
      </c>
    </row>
    <row r="891" spans="1:11" ht="22.5" customHeight="1" x14ac:dyDescent="0.25">
      <c r="A891" s="816" t="s">
        <v>237</v>
      </c>
      <c r="B891" s="880">
        <v>2025</v>
      </c>
      <c r="C891" s="816" t="s">
        <v>1857</v>
      </c>
      <c r="D891" s="816" t="s">
        <v>1858</v>
      </c>
      <c r="E891" s="816" t="s">
        <v>2407</v>
      </c>
      <c r="F891" s="826">
        <v>0</v>
      </c>
      <c r="G891" s="880">
        <v>0</v>
      </c>
      <c r="H891" s="465"/>
      <c r="I891" s="465"/>
      <c r="J891" s="826">
        <v>0</v>
      </c>
      <c r="K891" s="878">
        <v>0</v>
      </c>
    </row>
    <row r="892" spans="1:11" ht="22.5" customHeight="1" x14ac:dyDescent="0.25">
      <c r="A892" s="816" t="s">
        <v>237</v>
      </c>
      <c r="B892" s="880">
        <v>2025</v>
      </c>
      <c r="C892" s="816" t="s">
        <v>1860</v>
      </c>
      <c r="D892" s="816" t="s">
        <v>1861</v>
      </c>
      <c r="E892" s="816" t="s">
        <v>2408</v>
      </c>
      <c r="F892" s="826">
        <v>0</v>
      </c>
      <c r="G892" s="880">
        <v>0</v>
      </c>
      <c r="H892" s="465"/>
      <c r="I892" s="465"/>
      <c r="J892" s="826">
        <v>0</v>
      </c>
      <c r="K892" s="878">
        <v>0</v>
      </c>
    </row>
    <row r="893" spans="1:11" ht="22.5" customHeight="1" x14ac:dyDescent="0.25">
      <c r="A893" s="816" t="s">
        <v>237</v>
      </c>
      <c r="B893" s="880">
        <v>2025</v>
      </c>
      <c r="C893" s="816" t="s">
        <v>1863</v>
      </c>
      <c r="D893" s="816" t="s">
        <v>1864</v>
      </c>
      <c r="E893" s="816" t="s">
        <v>2409</v>
      </c>
      <c r="F893" s="826">
        <v>0</v>
      </c>
      <c r="G893" s="880">
        <v>0</v>
      </c>
      <c r="H893" s="465"/>
      <c r="I893" s="465"/>
      <c r="J893" s="826">
        <v>0</v>
      </c>
      <c r="K893" s="878">
        <v>0</v>
      </c>
    </row>
    <row r="894" spans="1:11" ht="22.5" customHeight="1" x14ac:dyDescent="0.25">
      <c r="A894" s="816" t="s">
        <v>237</v>
      </c>
      <c r="B894" s="880">
        <v>2025</v>
      </c>
      <c r="C894" s="816" t="s">
        <v>1866</v>
      </c>
      <c r="D894" s="816" t="s">
        <v>1867</v>
      </c>
      <c r="E894" s="816" t="s">
        <v>2410</v>
      </c>
      <c r="F894" s="826">
        <v>100896.35</v>
      </c>
      <c r="G894" s="880">
        <v>0</v>
      </c>
      <c r="H894" s="465"/>
      <c r="I894" s="465"/>
      <c r="J894" s="826">
        <v>0</v>
      </c>
      <c r="K894" s="878">
        <v>100896.35</v>
      </c>
    </row>
    <row r="895" spans="1:11" ht="22.5" customHeight="1" x14ac:dyDescent="0.25">
      <c r="A895" s="816" t="s">
        <v>237</v>
      </c>
      <c r="B895" s="880">
        <v>2025</v>
      </c>
      <c r="C895" s="816" t="s">
        <v>1869</v>
      </c>
      <c r="D895" s="816" t="s">
        <v>1870</v>
      </c>
      <c r="E895" s="816" t="s">
        <v>2411</v>
      </c>
      <c r="F895" s="826">
        <v>50638.16</v>
      </c>
      <c r="G895" s="880">
        <v>0</v>
      </c>
      <c r="H895" s="465"/>
      <c r="I895" s="465"/>
      <c r="J895" s="826">
        <v>0</v>
      </c>
      <c r="K895" s="878">
        <v>50638.16</v>
      </c>
    </row>
    <row r="896" spans="1:11" ht="22.5" customHeight="1" x14ac:dyDescent="0.25">
      <c r="A896" s="816" t="s">
        <v>237</v>
      </c>
      <c r="B896" s="880">
        <v>2025</v>
      </c>
      <c r="C896" s="816" t="s">
        <v>1872</v>
      </c>
      <c r="D896" s="816" t="s">
        <v>1873</v>
      </c>
      <c r="E896" s="816" t="s">
        <v>2412</v>
      </c>
      <c r="F896" s="826">
        <v>-22444</v>
      </c>
      <c r="G896" s="880">
        <v>0</v>
      </c>
      <c r="H896" s="465"/>
      <c r="I896" s="465"/>
      <c r="J896" s="826">
        <v>0</v>
      </c>
      <c r="K896" s="878">
        <v>-22444</v>
      </c>
    </row>
    <row r="897" spans="1:11" ht="22.5" customHeight="1" x14ac:dyDescent="0.25">
      <c r="A897" s="816" t="s">
        <v>237</v>
      </c>
      <c r="B897" s="880">
        <v>2025</v>
      </c>
      <c r="C897" s="816" t="s">
        <v>1875</v>
      </c>
      <c r="D897" s="816" t="s">
        <v>1876</v>
      </c>
      <c r="E897" s="816" t="s">
        <v>2413</v>
      </c>
      <c r="F897" s="826">
        <v>0</v>
      </c>
      <c r="G897" s="880">
        <v>0</v>
      </c>
      <c r="H897" s="465"/>
      <c r="I897" s="465"/>
      <c r="J897" s="826">
        <v>0</v>
      </c>
      <c r="K897" s="878">
        <v>0</v>
      </c>
    </row>
    <row r="898" spans="1:11" ht="22.5" customHeight="1" x14ac:dyDescent="0.25">
      <c r="A898" s="816" t="s">
        <v>237</v>
      </c>
      <c r="B898" s="880">
        <v>2025</v>
      </c>
      <c r="C898" s="816" t="s">
        <v>1878</v>
      </c>
      <c r="D898" s="816" t="s">
        <v>1879</v>
      </c>
      <c r="E898" s="816" t="s">
        <v>2414</v>
      </c>
      <c r="F898" s="826">
        <v>0</v>
      </c>
      <c r="G898" s="880">
        <v>0</v>
      </c>
      <c r="H898" s="465"/>
      <c r="I898" s="465"/>
      <c r="J898" s="826">
        <v>0</v>
      </c>
      <c r="K898" s="878">
        <v>0</v>
      </c>
    </row>
    <row r="899" spans="1:11" ht="22.5" customHeight="1" x14ac:dyDescent="0.25">
      <c r="A899" s="816" t="s">
        <v>237</v>
      </c>
      <c r="B899" s="880">
        <v>2025</v>
      </c>
      <c r="C899" s="816" t="s">
        <v>1881</v>
      </c>
      <c r="D899" s="816" t="s">
        <v>1882</v>
      </c>
      <c r="E899" s="816" t="s">
        <v>2415</v>
      </c>
      <c r="F899" s="826">
        <v>0</v>
      </c>
      <c r="G899" s="880">
        <v>0</v>
      </c>
      <c r="H899" s="465"/>
      <c r="I899" s="465"/>
      <c r="J899" s="826">
        <v>0</v>
      </c>
      <c r="K899" s="878">
        <v>0</v>
      </c>
    </row>
    <row r="900" spans="1:11" ht="22.5" customHeight="1" x14ac:dyDescent="0.25">
      <c r="A900" s="816" t="s">
        <v>237</v>
      </c>
      <c r="B900" s="880">
        <v>2025</v>
      </c>
      <c r="C900" s="816" t="s">
        <v>1884</v>
      </c>
      <c r="D900" s="816" t="s">
        <v>1885</v>
      </c>
      <c r="E900" s="816" t="s">
        <v>2416</v>
      </c>
      <c r="F900" s="826">
        <v>0</v>
      </c>
      <c r="G900" s="880">
        <v>0</v>
      </c>
      <c r="H900" s="465"/>
      <c r="I900" s="465"/>
      <c r="J900" s="826">
        <v>0</v>
      </c>
      <c r="K900" s="878">
        <v>0</v>
      </c>
    </row>
    <row r="901" spans="1:11" ht="22.5" customHeight="1" x14ac:dyDescent="0.25">
      <c r="A901" s="816" t="s">
        <v>237</v>
      </c>
      <c r="B901" s="880">
        <v>2025</v>
      </c>
      <c r="C901" s="816" t="s">
        <v>1887</v>
      </c>
      <c r="D901" s="816" t="s">
        <v>138</v>
      </c>
      <c r="E901" s="816" t="s">
        <v>2417</v>
      </c>
      <c r="F901" s="826">
        <v>0</v>
      </c>
      <c r="G901" s="880">
        <v>1</v>
      </c>
      <c r="H901" s="465"/>
      <c r="I901" s="465"/>
      <c r="J901" s="826">
        <v>0</v>
      </c>
      <c r="K901" s="878">
        <v>0</v>
      </c>
    </row>
    <row r="902" spans="1:11" ht="22.5" customHeight="1" x14ac:dyDescent="0.25">
      <c r="A902" s="816" t="s">
        <v>237</v>
      </c>
      <c r="B902" s="880">
        <v>2025</v>
      </c>
      <c r="C902" s="816" t="s">
        <v>1889</v>
      </c>
      <c r="D902" s="816" t="s">
        <v>139</v>
      </c>
      <c r="E902" s="816" t="s">
        <v>2418</v>
      </c>
      <c r="F902" s="826">
        <v>-10559.84</v>
      </c>
      <c r="G902" s="880">
        <v>1</v>
      </c>
      <c r="H902" s="826">
        <v>-9916.7000000000007</v>
      </c>
      <c r="I902" s="826">
        <v>-643.14</v>
      </c>
      <c r="J902" s="826">
        <v>-10559.84</v>
      </c>
      <c r="K902" s="878">
        <v>-10559.84</v>
      </c>
    </row>
    <row r="903" spans="1:11" ht="22.5" customHeight="1" x14ac:dyDescent="0.25">
      <c r="A903" s="816" t="s">
        <v>237</v>
      </c>
      <c r="B903" s="880">
        <v>2025</v>
      </c>
      <c r="C903" s="816" t="s">
        <v>1891</v>
      </c>
      <c r="D903" s="816" t="s">
        <v>1892</v>
      </c>
      <c r="E903" s="816" t="s">
        <v>2419</v>
      </c>
      <c r="F903" s="826">
        <v>2168.06</v>
      </c>
      <c r="G903" s="880">
        <v>0</v>
      </c>
      <c r="H903" s="465"/>
      <c r="I903" s="465"/>
      <c r="J903" s="826">
        <v>0</v>
      </c>
      <c r="K903" s="878">
        <v>2168.06</v>
      </c>
    </row>
    <row r="904" spans="1:11" ht="22.5" customHeight="1" x14ac:dyDescent="0.25">
      <c r="A904" s="816" t="s">
        <v>237</v>
      </c>
      <c r="B904" s="880">
        <v>2025</v>
      </c>
      <c r="C904" s="816" t="s">
        <v>1891</v>
      </c>
      <c r="D904" s="816" t="s">
        <v>1894</v>
      </c>
      <c r="E904" s="816" t="s">
        <v>2419</v>
      </c>
      <c r="F904" s="826">
        <v>0</v>
      </c>
      <c r="G904" s="880">
        <v>0</v>
      </c>
      <c r="H904" s="465"/>
      <c r="I904" s="465"/>
      <c r="J904" s="826">
        <v>0</v>
      </c>
      <c r="K904" s="881">
        <v>0</v>
      </c>
    </row>
    <row r="905" spans="1:11" ht="22.5" customHeight="1" x14ac:dyDescent="0.25">
      <c r="A905" s="816" t="s">
        <v>237</v>
      </c>
      <c r="B905" s="880">
        <v>2025</v>
      </c>
      <c r="C905" s="816" t="s">
        <v>1895</v>
      </c>
      <c r="D905" s="816" t="s">
        <v>1896</v>
      </c>
      <c r="E905" s="816" t="s">
        <v>2420</v>
      </c>
      <c r="F905" s="826">
        <v>0</v>
      </c>
      <c r="G905" s="880">
        <v>0</v>
      </c>
      <c r="H905" s="465"/>
      <c r="I905" s="465"/>
      <c r="J905" s="826">
        <v>0</v>
      </c>
      <c r="K905" s="878">
        <v>0</v>
      </c>
    </row>
    <row r="906" spans="1:11" ht="22.5" customHeight="1" x14ac:dyDescent="0.25">
      <c r="A906" s="816" t="s">
        <v>237</v>
      </c>
      <c r="B906" s="880">
        <v>2025</v>
      </c>
      <c r="C906" s="816" t="s">
        <v>1898</v>
      </c>
      <c r="D906" s="816" t="s">
        <v>1899</v>
      </c>
      <c r="E906" s="816" t="s">
        <v>2421</v>
      </c>
      <c r="F906" s="826">
        <v>-3646.97</v>
      </c>
      <c r="G906" s="880">
        <v>0</v>
      </c>
      <c r="H906" s="465"/>
      <c r="I906" s="465"/>
      <c r="J906" s="826">
        <v>0</v>
      </c>
      <c r="K906" s="878">
        <v>-3646.97</v>
      </c>
    </row>
    <row r="907" spans="1:11" ht="22.5" customHeight="1" x14ac:dyDescent="0.25">
      <c r="A907" s="816" t="s">
        <v>237</v>
      </c>
      <c r="B907" s="880">
        <v>2025</v>
      </c>
      <c r="C907" s="816" t="s">
        <v>1901</v>
      </c>
      <c r="D907" s="816" t="s">
        <v>1902</v>
      </c>
      <c r="E907" s="816" t="s">
        <v>2422</v>
      </c>
      <c r="F907" s="826">
        <v>0</v>
      </c>
      <c r="G907" s="880">
        <v>0</v>
      </c>
      <c r="H907" s="465"/>
      <c r="I907" s="465"/>
      <c r="J907" s="826">
        <v>0</v>
      </c>
      <c r="K907" s="878">
        <v>0</v>
      </c>
    </row>
    <row r="908" spans="1:11" ht="22.5" customHeight="1" x14ac:dyDescent="0.25">
      <c r="A908" s="816" t="s">
        <v>237</v>
      </c>
      <c r="B908" s="880">
        <v>2025</v>
      </c>
      <c r="C908" s="816" t="s">
        <v>1904</v>
      </c>
      <c r="D908" s="816" t="s">
        <v>1905</v>
      </c>
      <c r="E908" s="816" t="s">
        <v>2423</v>
      </c>
      <c r="F908" s="826">
        <v>0</v>
      </c>
      <c r="G908" s="880">
        <v>0</v>
      </c>
      <c r="H908" s="465"/>
      <c r="I908" s="465"/>
      <c r="J908" s="826">
        <v>0</v>
      </c>
      <c r="K908" s="878">
        <v>0</v>
      </c>
    </row>
    <row r="909" spans="1:11" ht="22.5" customHeight="1" x14ac:dyDescent="0.25">
      <c r="A909" s="816" t="s">
        <v>237</v>
      </c>
      <c r="B909" s="880">
        <v>2025</v>
      </c>
      <c r="C909" s="816" t="s">
        <v>1907</v>
      </c>
      <c r="D909" s="816" t="s">
        <v>1908</v>
      </c>
      <c r="E909" s="816" t="s">
        <v>2424</v>
      </c>
      <c r="F909" s="826">
        <v>0</v>
      </c>
      <c r="G909" s="880">
        <v>0</v>
      </c>
      <c r="H909" s="465"/>
      <c r="I909" s="465"/>
      <c r="J909" s="826">
        <v>0</v>
      </c>
      <c r="K909" s="878">
        <v>0</v>
      </c>
    </row>
    <row r="910" spans="1:11" ht="22.5" customHeight="1" x14ac:dyDescent="0.25">
      <c r="A910" s="816" t="s">
        <v>237</v>
      </c>
      <c r="B910" s="880">
        <v>2025</v>
      </c>
      <c r="C910" s="816" t="s">
        <v>1910</v>
      </c>
      <c r="D910" s="816" t="s">
        <v>1911</v>
      </c>
      <c r="E910" s="816" t="s">
        <v>2425</v>
      </c>
      <c r="F910" s="826">
        <v>21410.59</v>
      </c>
      <c r="G910" s="880">
        <v>0</v>
      </c>
      <c r="H910" s="465"/>
      <c r="I910" s="465"/>
      <c r="J910" s="826">
        <v>0</v>
      </c>
      <c r="K910" s="878">
        <v>21410.59</v>
      </c>
    </row>
    <row r="911" spans="1:11" ht="22.5" customHeight="1" x14ac:dyDescent="0.25">
      <c r="A911" s="816" t="s">
        <v>237</v>
      </c>
      <c r="B911" s="880">
        <v>2025</v>
      </c>
      <c r="C911" s="816" t="s">
        <v>1913</v>
      </c>
      <c r="D911" s="816" t="s">
        <v>1914</v>
      </c>
      <c r="E911" s="816" t="s">
        <v>2426</v>
      </c>
      <c r="F911" s="826">
        <v>1610.67</v>
      </c>
      <c r="G911" s="880">
        <v>1</v>
      </c>
      <c r="H911" s="826">
        <v>-1293.55</v>
      </c>
      <c r="I911" s="826">
        <v>2904.22</v>
      </c>
      <c r="J911" s="826">
        <v>1610.67</v>
      </c>
      <c r="K911" s="878">
        <v>1610.67</v>
      </c>
    </row>
    <row r="912" spans="1:11" ht="22.5" customHeight="1" x14ac:dyDescent="0.25">
      <c r="A912" s="816" t="s">
        <v>237</v>
      </c>
      <c r="B912" s="880">
        <v>2025</v>
      </c>
      <c r="C912" s="816" t="s">
        <v>1913</v>
      </c>
      <c r="D912" s="816" t="s">
        <v>1916</v>
      </c>
      <c r="E912" s="816" t="s">
        <v>2426</v>
      </c>
      <c r="F912" s="826">
        <v>0</v>
      </c>
      <c r="G912" s="880">
        <v>0</v>
      </c>
      <c r="H912" s="465"/>
      <c r="I912" s="465"/>
      <c r="J912" s="826">
        <v>0</v>
      </c>
      <c r="K912" s="881">
        <v>0</v>
      </c>
    </row>
    <row r="913" spans="1:11" ht="22.5" customHeight="1" x14ac:dyDescent="0.25">
      <c r="A913" s="816" t="s">
        <v>237</v>
      </c>
      <c r="B913" s="880">
        <v>2025</v>
      </c>
      <c r="C913" s="816" t="s">
        <v>1913</v>
      </c>
      <c r="D913" s="816" t="s">
        <v>1917</v>
      </c>
      <c r="E913" s="816" t="s">
        <v>2426</v>
      </c>
      <c r="F913" s="826">
        <v>0</v>
      </c>
      <c r="G913" s="880">
        <v>0</v>
      </c>
      <c r="H913" s="465"/>
      <c r="I913" s="465"/>
      <c r="J913" s="826">
        <v>0</v>
      </c>
      <c r="K913" s="881">
        <v>0</v>
      </c>
    </row>
    <row r="914" spans="1:11" ht="22.5" customHeight="1" x14ac:dyDescent="0.25">
      <c r="A914" s="816" t="s">
        <v>237</v>
      </c>
      <c r="B914" s="880">
        <v>2025</v>
      </c>
      <c r="C914" s="816" t="s">
        <v>1913</v>
      </c>
      <c r="D914" s="816" t="s">
        <v>1918</v>
      </c>
      <c r="E914" s="816" t="s">
        <v>2426</v>
      </c>
      <c r="F914" s="826">
        <v>0</v>
      </c>
      <c r="G914" s="880">
        <v>0</v>
      </c>
      <c r="H914" s="465"/>
      <c r="I914" s="465"/>
      <c r="J914" s="826">
        <v>0</v>
      </c>
      <c r="K914" s="881">
        <v>-1376.75</v>
      </c>
    </row>
    <row r="915" spans="1:11" ht="22.5" customHeight="1" x14ac:dyDescent="0.25">
      <c r="A915" s="816" t="s">
        <v>237</v>
      </c>
      <c r="B915" s="880">
        <v>2025</v>
      </c>
      <c r="C915" s="816" t="s">
        <v>1913</v>
      </c>
      <c r="D915" s="816" t="s">
        <v>1919</v>
      </c>
      <c r="E915" s="816" t="s">
        <v>2426</v>
      </c>
      <c r="F915" s="826">
        <v>0</v>
      </c>
      <c r="G915" s="880">
        <v>0</v>
      </c>
      <c r="H915" s="465"/>
      <c r="I915" s="465"/>
      <c r="J915" s="826">
        <v>0</v>
      </c>
      <c r="K915" s="881">
        <v>-5098.62</v>
      </c>
    </row>
    <row r="916" spans="1:11" ht="22.5" customHeight="1" x14ac:dyDescent="0.25">
      <c r="A916" s="816" t="s">
        <v>237</v>
      </c>
      <c r="B916" s="880">
        <v>2025</v>
      </c>
      <c r="C916" s="816" t="s">
        <v>1920</v>
      </c>
      <c r="D916" s="816" t="s">
        <v>1921</v>
      </c>
      <c r="E916" s="816" t="s">
        <v>2427</v>
      </c>
      <c r="F916" s="826">
        <v>0</v>
      </c>
      <c r="G916" s="880">
        <v>0</v>
      </c>
      <c r="H916" s="465"/>
      <c r="I916" s="465"/>
      <c r="J916" s="826">
        <v>0</v>
      </c>
      <c r="K916" s="878">
        <v>0</v>
      </c>
    </row>
    <row r="917" spans="1:11" ht="22.5" customHeight="1" x14ac:dyDescent="0.25">
      <c r="A917" s="816" t="s">
        <v>237</v>
      </c>
      <c r="B917" s="880">
        <v>2025</v>
      </c>
      <c r="C917" s="816" t="s">
        <v>1923</v>
      </c>
      <c r="D917" s="816" t="s">
        <v>143</v>
      </c>
      <c r="E917" s="816" t="s">
        <v>2428</v>
      </c>
      <c r="F917" s="826">
        <v>65941.75</v>
      </c>
      <c r="G917" s="880">
        <v>1</v>
      </c>
      <c r="H917" s="826">
        <v>62987.94</v>
      </c>
      <c r="I917" s="826">
        <v>2953.81</v>
      </c>
      <c r="J917" s="826">
        <v>65941.75</v>
      </c>
      <c r="K917" s="878">
        <v>65941.75</v>
      </c>
    </row>
    <row r="918" spans="1:11" ht="22.5" customHeight="1" x14ac:dyDescent="0.25">
      <c r="A918" s="816" t="s">
        <v>237</v>
      </c>
      <c r="B918" s="880">
        <v>2025</v>
      </c>
      <c r="C918" s="816" t="s">
        <v>1925</v>
      </c>
      <c r="D918" s="816" t="s">
        <v>144</v>
      </c>
      <c r="E918" s="816" t="s">
        <v>2429</v>
      </c>
      <c r="F918" s="826">
        <v>-7592.89</v>
      </c>
      <c r="G918" s="880">
        <v>1</v>
      </c>
      <c r="H918" s="826">
        <v>-7170.4</v>
      </c>
      <c r="I918" s="826">
        <v>-422.49</v>
      </c>
      <c r="J918" s="826">
        <v>-7592.89</v>
      </c>
      <c r="K918" s="878">
        <v>-7592.89</v>
      </c>
    </row>
    <row r="919" spans="1:11" ht="22.5" customHeight="1" x14ac:dyDescent="0.25">
      <c r="A919" s="816" t="s">
        <v>237</v>
      </c>
      <c r="B919" s="880">
        <v>2025</v>
      </c>
      <c r="C919" s="816" t="s">
        <v>1927</v>
      </c>
      <c r="D919" s="816" t="s">
        <v>1928</v>
      </c>
      <c r="E919" s="816" t="s">
        <v>2430</v>
      </c>
      <c r="F919" s="826">
        <v>54573.93</v>
      </c>
      <c r="G919" s="880">
        <v>1</v>
      </c>
      <c r="H919" s="826">
        <v>50122.74</v>
      </c>
      <c r="I919" s="826">
        <v>4451.1899999999996</v>
      </c>
      <c r="J919" s="826">
        <v>54573.93</v>
      </c>
      <c r="K919" s="878">
        <v>54573.93</v>
      </c>
    </row>
    <row r="920" spans="1:11" ht="22.5" customHeight="1" x14ac:dyDescent="0.25">
      <c r="A920" s="816" t="s">
        <v>237</v>
      </c>
      <c r="B920" s="880">
        <v>2025</v>
      </c>
      <c r="C920" s="816" t="s">
        <v>1930</v>
      </c>
      <c r="D920" s="816" t="s">
        <v>156</v>
      </c>
      <c r="E920" s="816" t="s">
        <v>2431</v>
      </c>
      <c r="F920" s="826">
        <v>142104.04999999999</v>
      </c>
      <c r="G920" s="880">
        <v>1</v>
      </c>
      <c r="H920" s="826">
        <v>134716.65</v>
      </c>
      <c r="I920" s="826">
        <v>7387.4</v>
      </c>
      <c r="J920" s="826">
        <v>142104.04999999999</v>
      </c>
      <c r="K920" s="878">
        <v>142104.04999999999</v>
      </c>
    </row>
    <row r="921" spans="1:11" ht="22.5" customHeight="1" x14ac:dyDescent="0.25">
      <c r="A921" s="816" t="s">
        <v>237</v>
      </c>
      <c r="B921" s="880">
        <v>2025</v>
      </c>
      <c r="C921" s="816" t="s">
        <v>1932</v>
      </c>
      <c r="D921" s="816" t="s">
        <v>1933</v>
      </c>
      <c r="E921" s="816" t="s">
        <v>2432</v>
      </c>
      <c r="F921" s="826">
        <v>-69904.149999999994</v>
      </c>
      <c r="G921" s="880">
        <v>0</v>
      </c>
      <c r="H921" s="465"/>
      <c r="I921" s="465"/>
      <c r="J921" s="826">
        <v>0</v>
      </c>
      <c r="K921" s="878">
        <v>-69904.149999999994</v>
      </c>
    </row>
    <row r="922" spans="1:11" ht="22.5" customHeight="1" x14ac:dyDescent="0.25">
      <c r="A922" s="816" t="s">
        <v>237</v>
      </c>
      <c r="B922" s="880">
        <v>2025</v>
      </c>
      <c r="C922" s="816" t="s">
        <v>1935</v>
      </c>
      <c r="D922" s="816" t="s">
        <v>1936</v>
      </c>
      <c r="E922" s="816" t="s">
        <v>8130</v>
      </c>
      <c r="F922" s="826">
        <v>0</v>
      </c>
      <c r="G922" s="880">
        <v>1</v>
      </c>
      <c r="H922" s="465"/>
      <c r="I922" s="465"/>
      <c r="J922" s="826">
        <v>0</v>
      </c>
      <c r="K922" s="878">
        <v>0</v>
      </c>
    </row>
    <row r="923" spans="1:11" ht="22.5" customHeight="1" x14ac:dyDescent="0.25">
      <c r="A923" s="816" t="s">
        <v>237</v>
      </c>
      <c r="B923" s="880">
        <v>2025</v>
      </c>
      <c r="C923" s="816" t="s">
        <v>1935</v>
      </c>
      <c r="D923" s="816" t="s">
        <v>1937</v>
      </c>
      <c r="E923" s="816" t="s">
        <v>8131</v>
      </c>
      <c r="F923" s="826">
        <v>0</v>
      </c>
      <c r="G923" s="880">
        <v>1</v>
      </c>
      <c r="H923" s="465"/>
      <c r="I923" s="465"/>
      <c r="J923" s="826">
        <v>0</v>
      </c>
      <c r="K923" s="878">
        <v>0</v>
      </c>
    </row>
    <row r="924" spans="1:11" ht="22.5" customHeight="1" x14ac:dyDescent="0.25">
      <c r="A924" s="816" t="s">
        <v>237</v>
      </c>
      <c r="B924" s="880">
        <v>2025</v>
      </c>
      <c r="C924" s="816" t="s">
        <v>1935</v>
      </c>
      <c r="D924" s="816" t="s">
        <v>1938</v>
      </c>
      <c r="E924" s="816" t="s">
        <v>8132</v>
      </c>
      <c r="F924" s="826">
        <v>0</v>
      </c>
      <c r="G924" s="880">
        <v>1</v>
      </c>
      <c r="H924" s="465"/>
      <c r="I924" s="465"/>
      <c r="J924" s="826">
        <v>0</v>
      </c>
      <c r="K924" s="878">
        <v>0</v>
      </c>
    </row>
    <row r="925" spans="1:11" ht="22.5" customHeight="1" x14ac:dyDescent="0.25">
      <c r="A925" s="816" t="s">
        <v>237</v>
      </c>
      <c r="B925" s="880">
        <v>2025</v>
      </c>
      <c r="C925" s="816" t="s">
        <v>1935</v>
      </c>
      <c r="D925" s="816" t="s">
        <v>1939</v>
      </c>
      <c r="E925" s="816" t="s">
        <v>8133</v>
      </c>
      <c r="F925" s="826">
        <v>0</v>
      </c>
      <c r="G925" s="880">
        <v>1</v>
      </c>
      <c r="H925" s="465"/>
      <c r="I925" s="465"/>
      <c r="J925" s="826">
        <v>0</v>
      </c>
      <c r="K925" s="878">
        <v>0</v>
      </c>
    </row>
    <row r="926" spans="1:11" ht="22.5" customHeight="1" x14ac:dyDescent="0.25">
      <c r="A926" s="816" t="s">
        <v>237</v>
      </c>
      <c r="B926" s="880">
        <v>2025</v>
      </c>
      <c r="C926" s="816" t="s">
        <v>1935</v>
      </c>
      <c r="D926" s="816" t="s">
        <v>1940</v>
      </c>
      <c r="E926" s="816" t="s">
        <v>8134</v>
      </c>
      <c r="F926" s="826">
        <v>0</v>
      </c>
      <c r="G926" s="880">
        <v>1</v>
      </c>
      <c r="H926" s="465"/>
      <c r="I926" s="465"/>
      <c r="J926" s="826">
        <v>0</v>
      </c>
      <c r="K926" s="878">
        <v>0</v>
      </c>
    </row>
    <row r="927" spans="1:11" ht="22.5" customHeight="1" x14ac:dyDescent="0.25">
      <c r="A927" s="816" t="s">
        <v>237</v>
      </c>
      <c r="B927" s="880">
        <v>2025</v>
      </c>
      <c r="C927" s="816" t="s">
        <v>1935</v>
      </c>
      <c r="D927" s="816" t="s">
        <v>1941</v>
      </c>
      <c r="E927" s="816" t="s">
        <v>8135</v>
      </c>
      <c r="F927" s="826">
        <v>0</v>
      </c>
      <c r="G927" s="880">
        <v>1</v>
      </c>
      <c r="H927" s="465"/>
      <c r="I927" s="465"/>
      <c r="J927" s="826">
        <v>0</v>
      </c>
      <c r="K927" s="878">
        <v>0</v>
      </c>
    </row>
    <row r="928" spans="1:11" ht="22.5" customHeight="1" x14ac:dyDescent="0.25">
      <c r="A928" s="816" t="s">
        <v>237</v>
      </c>
      <c r="B928" s="880">
        <v>2025</v>
      </c>
      <c r="C928" s="816" t="s">
        <v>1935</v>
      </c>
      <c r="D928" s="816" t="s">
        <v>1942</v>
      </c>
      <c r="E928" s="816" t="s">
        <v>8136</v>
      </c>
      <c r="F928" s="826">
        <v>0</v>
      </c>
      <c r="G928" s="880">
        <v>1</v>
      </c>
      <c r="H928" s="465"/>
      <c r="I928" s="465"/>
      <c r="J928" s="826">
        <v>0</v>
      </c>
      <c r="K928" s="878">
        <v>0</v>
      </c>
    </row>
    <row r="929" spans="1:11" ht="22.5" customHeight="1" x14ac:dyDescent="0.25">
      <c r="A929" s="816" t="s">
        <v>237</v>
      </c>
      <c r="B929" s="880">
        <v>2025</v>
      </c>
      <c r="C929" s="816" t="s">
        <v>1935</v>
      </c>
      <c r="D929" s="816" t="s">
        <v>1943</v>
      </c>
      <c r="E929" s="816" t="s">
        <v>8137</v>
      </c>
      <c r="F929" s="826">
        <v>0</v>
      </c>
      <c r="G929" s="880">
        <v>1</v>
      </c>
      <c r="H929" s="465"/>
      <c r="I929" s="465"/>
      <c r="J929" s="826">
        <v>0</v>
      </c>
      <c r="K929" s="878">
        <v>0</v>
      </c>
    </row>
    <row r="930" spans="1:11" ht="22.5" customHeight="1" x14ac:dyDescent="0.25">
      <c r="A930" s="816" t="s">
        <v>237</v>
      </c>
      <c r="B930" s="880">
        <v>2025</v>
      </c>
      <c r="C930" s="816" t="s">
        <v>1935</v>
      </c>
      <c r="D930" s="816" t="s">
        <v>1944</v>
      </c>
      <c r="E930" s="816" t="s">
        <v>8138</v>
      </c>
      <c r="F930" s="826">
        <v>0</v>
      </c>
      <c r="G930" s="880">
        <v>1</v>
      </c>
      <c r="H930" s="465"/>
      <c r="I930" s="465"/>
      <c r="J930" s="826">
        <v>0</v>
      </c>
      <c r="K930" s="878">
        <v>0</v>
      </c>
    </row>
    <row r="931" spans="1:11" ht="22.5" customHeight="1" x14ac:dyDescent="0.25">
      <c r="A931" s="816" t="s">
        <v>237</v>
      </c>
      <c r="B931" s="880">
        <v>2025</v>
      </c>
      <c r="C931" s="816" t="s">
        <v>1935</v>
      </c>
      <c r="D931" s="816" t="s">
        <v>1945</v>
      </c>
      <c r="E931" s="816" t="s">
        <v>8139</v>
      </c>
      <c r="F931" s="826">
        <v>0</v>
      </c>
      <c r="G931" s="880">
        <v>1</v>
      </c>
      <c r="H931" s="465"/>
      <c r="I931" s="465"/>
      <c r="J931" s="826">
        <v>0</v>
      </c>
      <c r="K931" s="878">
        <v>0</v>
      </c>
    </row>
    <row r="932" spans="1:11" ht="22.5" customHeight="1" x14ac:dyDescent="0.25">
      <c r="A932" s="816" t="s">
        <v>237</v>
      </c>
      <c r="B932" s="880">
        <v>2025</v>
      </c>
      <c r="C932" s="816" t="s">
        <v>1935</v>
      </c>
      <c r="D932" s="816" t="s">
        <v>1946</v>
      </c>
      <c r="E932" s="816" t="s">
        <v>8140</v>
      </c>
      <c r="F932" s="826">
        <v>0</v>
      </c>
      <c r="G932" s="880">
        <v>1</v>
      </c>
      <c r="H932" s="465"/>
      <c r="I932" s="465"/>
      <c r="J932" s="826">
        <v>0</v>
      </c>
      <c r="K932" s="878">
        <v>0</v>
      </c>
    </row>
    <row r="933" spans="1:11" ht="22.5" customHeight="1" x14ac:dyDescent="0.25">
      <c r="A933" s="816" t="s">
        <v>237</v>
      </c>
      <c r="B933" s="880">
        <v>2025</v>
      </c>
      <c r="C933" s="816" t="s">
        <v>1935</v>
      </c>
      <c r="D933" s="816" t="s">
        <v>1947</v>
      </c>
      <c r="E933" s="816" t="s">
        <v>8141</v>
      </c>
      <c r="F933" s="826">
        <v>0</v>
      </c>
      <c r="G933" s="880">
        <v>1</v>
      </c>
      <c r="H933" s="465"/>
      <c r="I933" s="465"/>
      <c r="J933" s="826">
        <v>0</v>
      </c>
      <c r="K933" s="878">
        <v>0</v>
      </c>
    </row>
    <row r="934" spans="1:11" ht="22.5" customHeight="1" x14ac:dyDescent="0.25">
      <c r="A934" s="816" t="s">
        <v>237</v>
      </c>
      <c r="B934" s="880">
        <v>2025</v>
      </c>
      <c r="C934" s="816" t="s">
        <v>1935</v>
      </c>
      <c r="D934" s="816" t="s">
        <v>1948</v>
      </c>
      <c r="E934" s="816" t="s">
        <v>8142</v>
      </c>
      <c r="F934" s="826">
        <v>0</v>
      </c>
      <c r="G934" s="880">
        <v>1</v>
      </c>
      <c r="H934" s="465"/>
      <c r="I934" s="465"/>
      <c r="J934" s="826">
        <v>0</v>
      </c>
      <c r="K934" s="878">
        <v>0</v>
      </c>
    </row>
    <row r="935" spans="1:11" ht="22.5" customHeight="1" x14ac:dyDescent="0.25">
      <c r="A935" s="816" t="s">
        <v>237</v>
      </c>
      <c r="B935" s="880">
        <v>2025</v>
      </c>
      <c r="C935" s="816" t="s">
        <v>1935</v>
      </c>
      <c r="D935" s="816" t="s">
        <v>1949</v>
      </c>
      <c r="E935" s="816" t="s">
        <v>8143</v>
      </c>
      <c r="F935" s="826">
        <v>0</v>
      </c>
      <c r="G935" s="880">
        <v>1</v>
      </c>
      <c r="H935" s="826">
        <v>-836.74</v>
      </c>
      <c r="I935" s="826">
        <v>-27601.66</v>
      </c>
      <c r="J935" s="826">
        <v>-28438.400000000001</v>
      </c>
      <c r="K935" s="878">
        <v>-28438.400000000001</v>
      </c>
    </row>
    <row r="936" spans="1:11" ht="22.5" customHeight="1" x14ac:dyDescent="0.25">
      <c r="A936" s="816" t="s">
        <v>237</v>
      </c>
      <c r="B936" s="880">
        <v>2025</v>
      </c>
      <c r="C936" s="816" t="s">
        <v>1935</v>
      </c>
      <c r="D936" s="816" t="s">
        <v>1950</v>
      </c>
      <c r="E936" s="816" t="s">
        <v>8144</v>
      </c>
      <c r="F936" s="826">
        <v>0</v>
      </c>
      <c r="G936" s="880">
        <v>1</v>
      </c>
      <c r="H936" s="826">
        <v>-196357.02</v>
      </c>
      <c r="I936" s="826">
        <v>16883.939999999999</v>
      </c>
      <c r="J936" s="826">
        <v>-179473.08</v>
      </c>
      <c r="K936" s="878">
        <v>-179473.08</v>
      </c>
    </row>
    <row r="937" spans="1:11" ht="22.5" customHeight="1" x14ac:dyDescent="0.25">
      <c r="A937" s="816" t="s">
        <v>237</v>
      </c>
      <c r="B937" s="880">
        <v>2025</v>
      </c>
      <c r="C937" s="816" t="s">
        <v>1935</v>
      </c>
      <c r="D937" s="816" t="s">
        <v>1951</v>
      </c>
      <c r="E937" s="816" t="s">
        <v>8145</v>
      </c>
      <c r="F937" s="826">
        <v>0</v>
      </c>
      <c r="G937" s="880">
        <v>1</v>
      </c>
      <c r="H937" s="465"/>
      <c r="I937" s="465"/>
      <c r="J937" s="826">
        <v>0</v>
      </c>
      <c r="K937" s="878">
        <v>0</v>
      </c>
    </row>
    <row r="938" spans="1:11" ht="22.5" customHeight="1" x14ac:dyDescent="0.25">
      <c r="A938" s="816" t="s">
        <v>237</v>
      </c>
      <c r="B938" s="880">
        <v>2025</v>
      </c>
      <c r="C938" s="816" t="s">
        <v>1935</v>
      </c>
      <c r="D938" s="816" t="s">
        <v>7801</v>
      </c>
      <c r="E938" s="816" t="s">
        <v>8146</v>
      </c>
      <c r="F938" s="826">
        <v>0</v>
      </c>
      <c r="G938" s="880">
        <v>1</v>
      </c>
      <c r="H938" s="826">
        <v>88070.25</v>
      </c>
      <c r="I938" s="826">
        <v>3296.19</v>
      </c>
      <c r="J938" s="826">
        <v>91366.44</v>
      </c>
      <c r="K938" s="878">
        <v>91366.44</v>
      </c>
    </row>
    <row r="939" spans="1:11" ht="22.5" customHeight="1" x14ac:dyDescent="0.25">
      <c r="A939" s="816" t="s">
        <v>237</v>
      </c>
      <c r="B939" s="880">
        <v>2025</v>
      </c>
      <c r="C939" s="816" t="s">
        <v>1935</v>
      </c>
      <c r="D939" s="816" t="s">
        <v>1952</v>
      </c>
      <c r="E939" s="816" t="s">
        <v>8147</v>
      </c>
      <c r="F939" s="826">
        <v>-116545.04</v>
      </c>
      <c r="G939" s="880">
        <v>0</v>
      </c>
      <c r="H939" s="465"/>
      <c r="I939" s="465"/>
      <c r="J939" s="826">
        <v>0</v>
      </c>
      <c r="K939" s="878">
        <v>-116545.04</v>
      </c>
    </row>
    <row r="940" spans="1:11" ht="22.5" customHeight="1" x14ac:dyDescent="0.25">
      <c r="A940" s="816" t="s">
        <v>237</v>
      </c>
      <c r="B940" s="880">
        <v>2025</v>
      </c>
      <c r="C940" s="816" t="s">
        <v>1953</v>
      </c>
      <c r="D940" s="816" t="s">
        <v>1954</v>
      </c>
      <c r="E940" s="816" t="s">
        <v>2433</v>
      </c>
      <c r="F940" s="826">
        <v>-59334.37</v>
      </c>
      <c r="G940" s="880">
        <v>0</v>
      </c>
      <c r="H940" s="465"/>
      <c r="I940" s="465"/>
      <c r="J940" s="826">
        <v>0</v>
      </c>
      <c r="K940" s="878">
        <v>-59334.37</v>
      </c>
    </row>
    <row r="941" spans="1:11" ht="22.5" customHeight="1" x14ac:dyDescent="0.25">
      <c r="A941" s="816" t="s">
        <v>186</v>
      </c>
      <c r="B941" s="880">
        <v>2025</v>
      </c>
      <c r="C941" s="816" t="s">
        <v>1854</v>
      </c>
      <c r="D941" s="816" t="s">
        <v>1855</v>
      </c>
      <c r="E941" s="816" t="s">
        <v>2434</v>
      </c>
      <c r="F941" s="826">
        <v>9372174.8000000007</v>
      </c>
      <c r="G941" s="880">
        <v>0</v>
      </c>
      <c r="H941" s="465"/>
      <c r="I941" s="465"/>
      <c r="J941" s="826">
        <v>0</v>
      </c>
      <c r="K941" s="878">
        <v>9372174.8000000007</v>
      </c>
    </row>
    <row r="942" spans="1:11" ht="22.5" customHeight="1" x14ac:dyDescent="0.25">
      <c r="A942" s="816" t="s">
        <v>186</v>
      </c>
      <c r="B942" s="880">
        <v>2025</v>
      </c>
      <c r="C942" s="816" t="s">
        <v>7746</v>
      </c>
      <c r="D942" s="816" t="s">
        <v>7747</v>
      </c>
      <c r="E942" s="816" t="s">
        <v>7766</v>
      </c>
      <c r="F942" s="826">
        <v>215924.43</v>
      </c>
      <c r="G942" s="880">
        <v>0</v>
      </c>
      <c r="H942" s="465"/>
      <c r="I942" s="465"/>
      <c r="J942" s="826">
        <v>0</v>
      </c>
      <c r="K942" s="878">
        <v>215924.43</v>
      </c>
    </row>
    <row r="943" spans="1:11" ht="22.5" customHeight="1" x14ac:dyDescent="0.25">
      <c r="A943" s="816" t="s">
        <v>186</v>
      </c>
      <c r="B943" s="880">
        <v>2025</v>
      </c>
      <c r="C943" s="816" t="s">
        <v>1857</v>
      </c>
      <c r="D943" s="816" t="s">
        <v>1858</v>
      </c>
      <c r="E943" s="816" t="s">
        <v>2435</v>
      </c>
      <c r="F943" s="826">
        <v>250134.36</v>
      </c>
      <c r="G943" s="880">
        <v>0</v>
      </c>
      <c r="H943" s="465"/>
      <c r="I943" s="465"/>
      <c r="J943" s="826">
        <v>0</v>
      </c>
      <c r="K943" s="878">
        <v>250134.36</v>
      </c>
    </row>
    <row r="944" spans="1:11" ht="22.5" customHeight="1" x14ac:dyDescent="0.25">
      <c r="A944" s="816" t="s">
        <v>186</v>
      </c>
      <c r="B944" s="880">
        <v>2025</v>
      </c>
      <c r="C944" s="816" t="s">
        <v>1860</v>
      </c>
      <c r="D944" s="816" t="s">
        <v>1861</v>
      </c>
      <c r="E944" s="816" t="s">
        <v>2436</v>
      </c>
      <c r="F944" s="826">
        <v>0</v>
      </c>
      <c r="G944" s="880">
        <v>0</v>
      </c>
      <c r="H944" s="465"/>
      <c r="I944" s="465"/>
      <c r="J944" s="826">
        <v>0</v>
      </c>
      <c r="K944" s="878">
        <v>0</v>
      </c>
    </row>
    <row r="945" spans="1:11" ht="22.5" customHeight="1" x14ac:dyDescent="0.25">
      <c r="A945" s="816" t="s">
        <v>186</v>
      </c>
      <c r="B945" s="880">
        <v>2025</v>
      </c>
      <c r="C945" s="816" t="s">
        <v>1863</v>
      </c>
      <c r="D945" s="816" t="s">
        <v>1864</v>
      </c>
      <c r="E945" s="816" t="s">
        <v>2437</v>
      </c>
      <c r="F945" s="826">
        <v>0</v>
      </c>
      <c r="G945" s="880">
        <v>0</v>
      </c>
      <c r="H945" s="465"/>
      <c r="I945" s="465"/>
      <c r="J945" s="826">
        <v>0</v>
      </c>
      <c r="K945" s="878">
        <v>0</v>
      </c>
    </row>
    <row r="946" spans="1:11" ht="22.5" customHeight="1" x14ac:dyDescent="0.25">
      <c r="A946" s="816" t="s">
        <v>186</v>
      </c>
      <c r="B946" s="880">
        <v>2025</v>
      </c>
      <c r="C946" s="816" t="s">
        <v>1866</v>
      </c>
      <c r="D946" s="816" t="s">
        <v>1867</v>
      </c>
      <c r="E946" s="816" t="s">
        <v>2438</v>
      </c>
      <c r="F946" s="826">
        <v>0</v>
      </c>
      <c r="G946" s="880">
        <v>0</v>
      </c>
      <c r="H946" s="465"/>
      <c r="I946" s="465"/>
      <c r="J946" s="826">
        <v>0</v>
      </c>
      <c r="K946" s="878">
        <v>0</v>
      </c>
    </row>
    <row r="947" spans="1:11" ht="22.5" customHeight="1" x14ac:dyDescent="0.25">
      <c r="A947" s="816" t="s">
        <v>186</v>
      </c>
      <c r="B947" s="880">
        <v>2025</v>
      </c>
      <c r="C947" s="816" t="s">
        <v>1869</v>
      </c>
      <c r="D947" s="816" t="s">
        <v>1870</v>
      </c>
      <c r="E947" s="816" t="s">
        <v>2439</v>
      </c>
      <c r="F947" s="826">
        <v>0</v>
      </c>
      <c r="G947" s="880">
        <v>0</v>
      </c>
      <c r="H947" s="465"/>
      <c r="I947" s="465"/>
      <c r="J947" s="826">
        <v>0</v>
      </c>
      <c r="K947" s="878">
        <v>0</v>
      </c>
    </row>
    <row r="948" spans="1:11" ht="22.5" customHeight="1" x14ac:dyDescent="0.25">
      <c r="A948" s="816" t="s">
        <v>186</v>
      </c>
      <c r="B948" s="880">
        <v>2025</v>
      </c>
      <c r="C948" s="816" t="s">
        <v>1872</v>
      </c>
      <c r="D948" s="816" t="s">
        <v>1873</v>
      </c>
      <c r="E948" s="816" t="s">
        <v>2440</v>
      </c>
      <c r="F948" s="826">
        <v>0</v>
      </c>
      <c r="G948" s="880">
        <v>0</v>
      </c>
      <c r="H948" s="465"/>
      <c r="I948" s="465"/>
      <c r="J948" s="826">
        <v>0</v>
      </c>
      <c r="K948" s="878">
        <v>0</v>
      </c>
    </row>
    <row r="949" spans="1:11" ht="22.5" customHeight="1" x14ac:dyDescent="0.25">
      <c r="A949" s="816" t="s">
        <v>186</v>
      </c>
      <c r="B949" s="880">
        <v>2025</v>
      </c>
      <c r="C949" s="816" t="s">
        <v>1875</v>
      </c>
      <c r="D949" s="816" t="s">
        <v>1876</v>
      </c>
      <c r="E949" s="816" t="s">
        <v>2441</v>
      </c>
      <c r="F949" s="826">
        <v>0</v>
      </c>
      <c r="G949" s="880">
        <v>0</v>
      </c>
      <c r="H949" s="465"/>
      <c r="I949" s="465"/>
      <c r="J949" s="826">
        <v>0</v>
      </c>
      <c r="K949" s="878">
        <v>0</v>
      </c>
    </row>
    <row r="950" spans="1:11" ht="22.5" customHeight="1" x14ac:dyDescent="0.25">
      <c r="A950" s="816" t="s">
        <v>186</v>
      </c>
      <c r="B950" s="880">
        <v>2025</v>
      </c>
      <c r="C950" s="816" t="s">
        <v>1878</v>
      </c>
      <c r="D950" s="816" t="s">
        <v>1879</v>
      </c>
      <c r="E950" s="816" t="s">
        <v>2442</v>
      </c>
      <c r="F950" s="826">
        <v>0</v>
      </c>
      <c r="G950" s="880">
        <v>0</v>
      </c>
      <c r="H950" s="465"/>
      <c r="I950" s="465"/>
      <c r="J950" s="826">
        <v>0</v>
      </c>
      <c r="K950" s="878">
        <v>0</v>
      </c>
    </row>
    <row r="951" spans="1:11" ht="22.5" customHeight="1" x14ac:dyDescent="0.25">
      <c r="A951" s="816" t="s">
        <v>186</v>
      </c>
      <c r="B951" s="880">
        <v>2025</v>
      </c>
      <c r="C951" s="816" t="s">
        <v>1881</v>
      </c>
      <c r="D951" s="816" t="s">
        <v>1882</v>
      </c>
      <c r="E951" s="816" t="s">
        <v>2443</v>
      </c>
      <c r="F951" s="826">
        <v>0</v>
      </c>
      <c r="G951" s="880">
        <v>0</v>
      </c>
      <c r="H951" s="465"/>
      <c r="I951" s="465"/>
      <c r="J951" s="826">
        <v>0</v>
      </c>
      <c r="K951" s="878">
        <v>0</v>
      </c>
    </row>
    <row r="952" spans="1:11" ht="22.5" customHeight="1" x14ac:dyDescent="0.25">
      <c r="A952" s="816" t="s">
        <v>186</v>
      </c>
      <c r="B952" s="880">
        <v>2025</v>
      </c>
      <c r="C952" s="816" t="s">
        <v>1884</v>
      </c>
      <c r="D952" s="816" t="s">
        <v>1885</v>
      </c>
      <c r="E952" s="816" t="s">
        <v>2444</v>
      </c>
      <c r="F952" s="826">
        <v>5308.44</v>
      </c>
      <c r="G952" s="880">
        <v>0</v>
      </c>
      <c r="H952" s="465"/>
      <c r="I952" s="465"/>
      <c r="J952" s="826">
        <v>0</v>
      </c>
      <c r="K952" s="878">
        <v>5308.44</v>
      </c>
    </row>
    <row r="953" spans="1:11" ht="22.5" customHeight="1" x14ac:dyDescent="0.25">
      <c r="A953" s="816" t="s">
        <v>186</v>
      </c>
      <c r="B953" s="880">
        <v>2025</v>
      </c>
      <c r="C953" s="816" t="s">
        <v>1887</v>
      </c>
      <c r="D953" s="816" t="s">
        <v>138</v>
      </c>
      <c r="E953" s="816" t="s">
        <v>2445</v>
      </c>
      <c r="F953" s="826">
        <v>196415.57</v>
      </c>
      <c r="G953" s="880">
        <v>1</v>
      </c>
      <c r="H953" s="826">
        <v>190957.57</v>
      </c>
      <c r="I953" s="826">
        <v>5458</v>
      </c>
      <c r="J953" s="826">
        <v>196415.57</v>
      </c>
      <c r="K953" s="878">
        <v>196415.57</v>
      </c>
    </row>
    <row r="954" spans="1:11" ht="22.5" customHeight="1" x14ac:dyDescent="0.25">
      <c r="A954" s="816" t="s">
        <v>186</v>
      </c>
      <c r="B954" s="880">
        <v>2025</v>
      </c>
      <c r="C954" s="816" t="s">
        <v>1889</v>
      </c>
      <c r="D954" s="816" t="s">
        <v>139</v>
      </c>
      <c r="E954" s="816" t="s">
        <v>2446</v>
      </c>
      <c r="F954" s="826">
        <v>-343315.68</v>
      </c>
      <c r="G954" s="880">
        <v>1</v>
      </c>
      <c r="H954" s="826">
        <v>-323770.68</v>
      </c>
      <c r="I954" s="826">
        <v>-19545</v>
      </c>
      <c r="J954" s="826">
        <v>-343315.68</v>
      </c>
      <c r="K954" s="878">
        <v>-343315.68</v>
      </c>
    </row>
    <row r="955" spans="1:11" ht="22.5" customHeight="1" x14ac:dyDescent="0.25">
      <c r="A955" s="816" t="s">
        <v>186</v>
      </c>
      <c r="B955" s="880">
        <v>2025</v>
      </c>
      <c r="C955" s="816" t="s">
        <v>1891</v>
      </c>
      <c r="D955" s="816" t="s">
        <v>1892</v>
      </c>
      <c r="E955" s="816" t="s">
        <v>2447</v>
      </c>
      <c r="F955" s="826">
        <v>-190734.53</v>
      </c>
      <c r="G955" s="880">
        <v>0</v>
      </c>
      <c r="H955" s="465"/>
      <c r="I955" s="465"/>
      <c r="J955" s="826">
        <v>0</v>
      </c>
      <c r="K955" s="878">
        <v>-190734.53</v>
      </c>
    </row>
    <row r="956" spans="1:11" ht="22.5" customHeight="1" x14ac:dyDescent="0.25">
      <c r="A956" s="816" t="s">
        <v>186</v>
      </c>
      <c r="B956" s="880">
        <v>2025</v>
      </c>
      <c r="C956" s="816" t="s">
        <v>1891</v>
      </c>
      <c r="D956" s="816" t="s">
        <v>1894</v>
      </c>
      <c r="E956" s="816" t="s">
        <v>2447</v>
      </c>
      <c r="F956" s="826">
        <v>0</v>
      </c>
      <c r="G956" s="880">
        <v>0</v>
      </c>
      <c r="H956" s="465"/>
      <c r="I956" s="465"/>
      <c r="J956" s="826">
        <v>0</v>
      </c>
      <c r="K956" s="881">
        <v>0</v>
      </c>
    </row>
    <row r="957" spans="1:11" ht="22.5" customHeight="1" x14ac:dyDescent="0.25">
      <c r="A957" s="816" t="s">
        <v>186</v>
      </c>
      <c r="B957" s="880">
        <v>2025</v>
      </c>
      <c r="C957" s="816" t="s">
        <v>1895</v>
      </c>
      <c r="D957" s="816" t="s">
        <v>1896</v>
      </c>
      <c r="E957" s="816" t="s">
        <v>2448</v>
      </c>
      <c r="F957" s="826">
        <v>0.39</v>
      </c>
      <c r="G957" s="880">
        <v>0</v>
      </c>
      <c r="H957" s="465"/>
      <c r="I957" s="465"/>
      <c r="J957" s="826">
        <v>0</v>
      </c>
      <c r="K957" s="878">
        <v>0.39</v>
      </c>
    </row>
    <row r="958" spans="1:11" ht="22.5" customHeight="1" x14ac:dyDescent="0.25">
      <c r="A958" s="816" t="s">
        <v>186</v>
      </c>
      <c r="B958" s="880">
        <v>2025</v>
      </c>
      <c r="C958" s="816" t="s">
        <v>1898</v>
      </c>
      <c r="D958" s="816" t="s">
        <v>1899</v>
      </c>
      <c r="E958" s="816" t="s">
        <v>2449</v>
      </c>
      <c r="F958" s="826">
        <v>129622</v>
      </c>
      <c r="G958" s="880">
        <v>0</v>
      </c>
      <c r="H958" s="465"/>
      <c r="I958" s="465"/>
      <c r="J958" s="826">
        <v>0</v>
      </c>
      <c r="K958" s="878">
        <v>129622</v>
      </c>
    </row>
    <row r="959" spans="1:11" ht="22.5" customHeight="1" x14ac:dyDescent="0.25">
      <c r="A959" s="816" t="s">
        <v>186</v>
      </c>
      <c r="B959" s="880">
        <v>2025</v>
      </c>
      <c r="C959" s="816" t="s">
        <v>1901</v>
      </c>
      <c r="D959" s="816" t="s">
        <v>1902</v>
      </c>
      <c r="E959" s="816" t="s">
        <v>2450</v>
      </c>
      <c r="F959" s="826">
        <v>0</v>
      </c>
      <c r="G959" s="880">
        <v>0</v>
      </c>
      <c r="H959" s="465"/>
      <c r="I959" s="465"/>
      <c r="J959" s="826">
        <v>0</v>
      </c>
      <c r="K959" s="878">
        <v>0</v>
      </c>
    </row>
    <row r="960" spans="1:11" ht="22.5" customHeight="1" x14ac:dyDescent="0.25">
      <c r="A960" s="816" t="s">
        <v>186</v>
      </c>
      <c r="B960" s="880">
        <v>2025</v>
      </c>
      <c r="C960" s="816" t="s">
        <v>1904</v>
      </c>
      <c r="D960" s="816" t="s">
        <v>1905</v>
      </c>
      <c r="E960" s="816" t="s">
        <v>2451</v>
      </c>
      <c r="F960" s="826">
        <v>0</v>
      </c>
      <c r="G960" s="880">
        <v>0</v>
      </c>
      <c r="H960" s="465"/>
      <c r="I960" s="465"/>
      <c r="J960" s="826">
        <v>0</v>
      </c>
      <c r="K960" s="878">
        <v>0</v>
      </c>
    </row>
    <row r="961" spans="1:11" ht="22.5" customHeight="1" x14ac:dyDescent="0.25">
      <c r="A961" s="816" t="s">
        <v>186</v>
      </c>
      <c r="B961" s="880">
        <v>2025</v>
      </c>
      <c r="C961" s="816" t="s">
        <v>1907</v>
      </c>
      <c r="D961" s="816" t="s">
        <v>1908</v>
      </c>
      <c r="E961" s="816" t="s">
        <v>2452</v>
      </c>
      <c r="F961" s="826">
        <v>178387.41</v>
      </c>
      <c r="G961" s="880">
        <v>0</v>
      </c>
      <c r="H961" s="465"/>
      <c r="I961" s="465"/>
      <c r="J961" s="826">
        <v>0</v>
      </c>
      <c r="K961" s="878">
        <v>178387.41</v>
      </c>
    </row>
    <row r="962" spans="1:11" ht="22.5" customHeight="1" x14ac:dyDescent="0.25">
      <c r="A962" s="816" t="s">
        <v>186</v>
      </c>
      <c r="B962" s="880">
        <v>2025</v>
      </c>
      <c r="C962" s="816" t="s">
        <v>1910</v>
      </c>
      <c r="D962" s="816" t="s">
        <v>1911</v>
      </c>
      <c r="E962" s="816" t="s">
        <v>2453</v>
      </c>
      <c r="F962" s="826">
        <v>-105700.88</v>
      </c>
      <c r="G962" s="880">
        <v>0</v>
      </c>
      <c r="H962" s="465"/>
      <c r="I962" s="465"/>
      <c r="J962" s="826">
        <v>0</v>
      </c>
      <c r="K962" s="878">
        <v>-105700.88</v>
      </c>
    </row>
    <row r="963" spans="1:11" ht="22.5" customHeight="1" x14ac:dyDescent="0.25">
      <c r="A963" s="816" t="s">
        <v>186</v>
      </c>
      <c r="B963" s="880">
        <v>2025</v>
      </c>
      <c r="C963" s="816" t="s">
        <v>1913</v>
      </c>
      <c r="D963" s="816" t="s">
        <v>1914</v>
      </c>
      <c r="E963" s="816" t="s">
        <v>2454</v>
      </c>
      <c r="F963" s="826">
        <v>-886826.85</v>
      </c>
      <c r="G963" s="880">
        <v>1</v>
      </c>
      <c r="H963" s="826">
        <v>-810080.85</v>
      </c>
      <c r="I963" s="826">
        <v>-76746</v>
      </c>
      <c r="J963" s="826">
        <v>-886826.85</v>
      </c>
      <c r="K963" s="878">
        <v>-886826.85</v>
      </c>
    </row>
    <row r="964" spans="1:11" ht="22.5" customHeight="1" x14ac:dyDescent="0.25">
      <c r="A964" s="816" t="s">
        <v>186</v>
      </c>
      <c r="B964" s="880">
        <v>2025</v>
      </c>
      <c r="C964" s="816" t="s">
        <v>1913</v>
      </c>
      <c r="D964" s="816" t="s">
        <v>1916</v>
      </c>
      <c r="E964" s="816" t="s">
        <v>2454</v>
      </c>
      <c r="F964" s="826">
        <v>0</v>
      </c>
      <c r="G964" s="880">
        <v>0</v>
      </c>
      <c r="H964" s="465"/>
      <c r="I964" s="465"/>
      <c r="J964" s="826">
        <v>0</v>
      </c>
      <c r="K964" s="881">
        <v>0</v>
      </c>
    </row>
    <row r="965" spans="1:11" ht="22.5" customHeight="1" x14ac:dyDescent="0.25">
      <c r="A965" s="816" t="s">
        <v>186</v>
      </c>
      <c r="B965" s="880">
        <v>2025</v>
      </c>
      <c r="C965" s="816" t="s">
        <v>1913</v>
      </c>
      <c r="D965" s="816" t="s">
        <v>1917</v>
      </c>
      <c r="E965" s="816" t="s">
        <v>2454</v>
      </c>
      <c r="F965" s="826">
        <v>0</v>
      </c>
      <c r="G965" s="880">
        <v>0</v>
      </c>
      <c r="H965" s="465"/>
      <c r="I965" s="465"/>
      <c r="J965" s="826">
        <v>0</v>
      </c>
      <c r="K965" s="881">
        <v>0</v>
      </c>
    </row>
    <row r="966" spans="1:11" ht="22.5" customHeight="1" x14ac:dyDescent="0.25">
      <c r="A966" s="816" t="s">
        <v>186</v>
      </c>
      <c r="B966" s="880">
        <v>2025</v>
      </c>
      <c r="C966" s="816" t="s">
        <v>1913</v>
      </c>
      <c r="D966" s="816" t="s">
        <v>1918</v>
      </c>
      <c r="E966" s="816" t="s">
        <v>2454</v>
      </c>
      <c r="F966" s="826">
        <v>0</v>
      </c>
      <c r="G966" s="880">
        <v>0</v>
      </c>
      <c r="H966" s="465"/>
      <c r="I966" s="465"/>
      <c r="J966" s="826">
        <v>0</v>
      </c>
      <c r="K966" s="881">
        <v>16474</v>
      </c>
    </row>
    <row r="967" spans="1:11" ht="22.5" customHeight="1" x14ac:dyDescent="0.25">
      <c r="A967" s="816" t="s">
        <v>186</v>
      </c>
      <c r="B967" s="880">
        <v>2025</v>
      </c>
      <c r="C967" s="816" t="s">
        <v>1913</v>
      </c>
      <c r="D967" s="816" t="s">
        <v>1919</v>
      </c>
      <c r="E967" s="816" t="s">
        <v>2454</v>
      </c>
      <c r="F967" s="826">
        <v>0</v>
      </c>
      <c r="G967" s="880">
        <v>0</v>
      </c>
      <c r="H967" s="465"/>
      <c r="I967" s="465"/>
      <c r="J967" s="826">
        <v>0</v>
      </c>
      <c r="K967" s="881">
        <v>1334752</v>
      </c>
    </row>
    <row r="968" spans="1:11" ht="22.5" customHeight="1" x14ac:dyDescent="0.25">
      <c r="A968" s="816" t="s">
        <v>186</v>
      </c>
      <c r="B968" s="880">
        <v>2025</v>
      </c>
      <c r="C968" s="816" t="s">
        <v>1920</v>
      </c>
      <c r="D968" s="816" t="s">
        <v>1921</v>
      </c>
      <c r="E968" s="816" t="s">
        <v>2455</v>
      </c>
      <c r="F968" s="826">
        <v>0</v>
      </c>
      <c r="G968" s="880">
        <v>0</v>
      </c>
      <c r="H968" s="465"/>
      <c r="I968" s="465"/>
      <c r="J968" s="826">
        <v>0</v>
      </c>
      <c r="K968" s="878">
        <v>0</v>
      </c>
    </row>
    <row r="969" spans="1:11" ht="22.5" customHeight="1" x14ac:dyDescent="0.25">
      <c r="A969" s="816" t="s">
        <v>186</v>
      </c>
      <c r="B969" s="880">
        <v>2025</v>
      </c>
      <c r="C969" s="816" t="s">
        <v>1923</v>
      </c>
      <c r="D969" s="816" t="s">
        <v>143</v>
      </c>
      <c r="E969" s="816" t="s">
        <v>2456</v>
      </c>
      <c r="F969" s="826">
        <v>4730321.49</v>
      </c>
      <c r="G969" s="880">
        <v>1</v>
      </c>
      <c r="H969" s="826">
        <v>4502740.49</v>
      </c>
      <c r="I969" s="826">
        <v>227581</v>
      </c>
      <c r="J969" s="826">
        <v>4730321.49</v>
      </c>
      <c r="K969" s="878">
        <v>4730321.49</v>
      </c>
    </row>
    <row r="970" spans="1:11" ht="22.5" customHeight="1" x14ac:dyDescent="0.25">
      <c r="A970" s="816" t="s">
        <v>186</v>
      </c>
      <c r="B970" s="880">
        <v>2025</v>
      </c>
      <c r="C970" s="816" t="s">
        <v>1925</v>
      </c>
      <c r="D970" s="816" t="s">
        <v>144</v>
      </c>
      <c r="E970" s="816" t="s">
        <v>2457</v>
      </c>
      <c r="F970" s="826">
        <v>3365631.22</v>
      </c>
      <c r="G970" s="880">
        <v>1</v>
      </c>
      <c r="H970" s="826">
        <v>3169179.22</v>
      </c>
      <c r="I970" s="826">
        <v>196452</v>
      </c>
      <c r="J970" s="826">
        <v>3365631.22</v>
      </c>
      <c r="K970" s="878">
        <v>3365631.22</v>
      </c>
    </row>
    <row r="971" spans="1:11" ht="22.5" customHeight="1" x14ac:dyDescent="0.25">
      <c r="A971" s="816" t="s">
        <v>186</v>
      </c>
      <c r="B971" s="880">
        <v>2025</v>
      </c>
      <c r="C971" s="816" t="s">
        <v>1927</v>
      </c>
      <c r="D971" s="816" t="s">
        <v>1928</v>
      </c>
      <c r="E971" s="816" t="s">
        <v>2458</v>
      </c>
      <c r="F971" s="826">
        <v>994486.89</v>
      </c>
      <c r="G971" s="880">
        <v>1</v>
      </c>
      <c r="H971" s="826">
        <v>1021323.89</v>
      </c>
      <c r="I971" s="826">
        <v>-26837</v>
      </c>
      <c r="J971" s="826">
        <v>994486.89</v>
      </c>
      <c r="K971" s="878">
        <v>994486.89</v>
      </c>
    </row>
    <row r="972" spans="1:11" ht="22.5" customHeight="1" x14ac:dyDescent="0.25">
      <c r="A972" s="816" t="s">
        <v>186</v>
      </c>
      <c r="B972" s="880">
        <v>2025</v>
      </c>
      <c r="C972" s="816" t="s">
        <v>1930</v>
      </c>
      <c r="D972" s="816" t="s">
        <v>156</v>
      </c>
      <c r="E972" s="816" t="s">
        <v>2459</v>
      </c>
      <c r="F972" s="826">
        <v>6692422.0700000003</v>
      </c>
      <c r="G972" s="880">
        <v>1</v>
      </c>
      <c r="H972" s="826">
        <v>6425128.0700000003</v>
      </c>
      <c r="I972" s="826">
        <v>267294</v>
      </c>
      <c r="J972" s="826">
        <v>6692422.0700000003</v>
      </c>
      <c r="K972" s="878">
        <v>6692422.0700000003</v>
      </c>
    </row>
    <row r="973" spans="1:11" ht="22.5" customHeight="1" x14ac:dyDescent="0.25">
      <c r="A973" s="816" t="s">
        <v>186</v>
      </c>
      <c r="B973" s="880">
        <v>2025</v>
      </c>
      <c r="C973" s="816" t="s">
        <v>1932</v>
      </c>
      <c r="D973" s="816" t="s">
        <v>1933</v>
      </c>
      <c r="E973" s="816" t="s">
        <v>2460</v>
      </c>
      <c r="F973" s="826">
        <v>-1370775.92</v>
      </c>
      <c r="G973" s="880">
        <v>0</v>
      </c>
      <c r="H973" s="465"/>
      <c r="I973" s="465"/>
      <c r="J973" s="826">
        <v>0</v>
      </c>
      <c r="K973" s="878">
        <v>-1370775.92</v>
      </c>
    </row>
    <row r="974" spans="1:11" ht="22.5" customHeight="1" x14ac:dyDescent="0.25">
      <c r="A974" s="816" t="s">
        <v>186</v>
      </c>
      <c r="B974" s="880">
        <v>2025</v>
      </c>
      <c r="C974" s="816" t="s">
        <v>1935</v>
      </c>
      <c r="D974" s="816" t="s">
        <v>1936</v>
      </c>
      <c r="E974" s="816" t="s">
        <v>8148</v>
      </c>
      <c r="F974" s="826">
        <v>0</v>
      </c>
      <c r="G974" s="880">
        <v>1</v>
      </c>
      <c r="H974" s="465"/>
      <c r="I974" s="465"/>
      <c r="J974" s="826">
        <v>0</v>
      </c>
      <c r="K974" s="878">
        <v>0</v>
      </c>
    </row>
    <row r="975" spans="1:11" ht="22.5" customHeight="1" x14ac:dyDescent="0.25">
      <c r="A975" s="816" t="s">
        <v>186</v>
      </c>
      <c r="B975" s="880">
        <v>2025</v>
      </c>
      <c r="C975" s="816" t="s">
        <v>1935</v>
      </c>
      <c r="D975" s="816" t="s">
        <v>1937</v>
      </c>
      <c r="E975" s="816" t="s">
        <v>8149</v>
      </c>
      <c r="F975" s="826">
        <v>0</v>
      </c>
      <c r="G975" s="880">
        <v>1</v>
      </c>
      <c r="H975" s="465"/>
      <c r="I975" s="465"/>
      <c r="J975" s="826">
        <v>0</v>
      </c>
      <c r="K975" s="878">
        <v>0</v>
      </c>
    </row>
    <row r="976" spans="1:11" ht="22.5" customHeight="1" x14ac:dyDescent="0.25">
      <c r="A976" s="816" t="s">
        <v>186</v>
      </c>
      <c r="B976" s="880">
        <v>2025</v>
      </c>
      <c r="C976" s="816" t="s">
        <v>1935</v>
      </c>
      <c r="D976" s="816" t="s">
        <v>1938</v>
      </c>
      <c r="E976" s="816" t="s">
        <v>8150</v>
      </c>
      <c r="F976" s="826">
        <v>0</v>
      </c>
      <c r="G976" s="880">
        <v>1</v>
      </c>
      <c r="H976" s="465"/>
      <c r="I976" s="465"/>
      <c r="J976" s="826">
        <v>0</v>
      </c>
      <c r="K976" s="878">
        <v>0</v>
      </c>
    </row>
    <row r="977" spans="1:11" ht="22.5" customHeight="1" x14ac:dyDescent="0.25">
      <c r="A977" s="816" t="s">
        <v>186</v>
      </c>
      <c r="B977" s="880">
        <v>2025</v>
      </c>
      <c r="C977" s="816" t="s">
        <v>1935</v>
      </c>
      <c r="D977" s="816" t="s">
        <v>1939</v>
      </c>
      <c r="E977" s="816" t="s">
        <v>8151</v>
      </c>
      <c r="F977" s="826">
        <v>0</v>
      </c>
      <c r="G977" s="880">
        <v>1</v>
      </c>
      <c r="H977" s="465"/>
      <c r="I977" s="465"/>
      <c r="J977" s="826">
        <v>0</v>
      </c>
      <c r="K977" s="878">
        <v>0</v>
      </c>
    </row>
    <row r="978" spans="1:11" ht="22.5" customHeight="1" x14ac:dyDescent="0.25">
      <c r="A978" s="816" t="s">
        <v>186</v>
      </c>
      <c r="B978" s="880">
        <v>2025</v>
      </c>
      <c r="C978" s="816" t="s">
        <v>1935</v>
      </c>
      <c r="D978" s="816" t="s">
        <v>1940</v>
      </c>
      <c r="E978" s="816" t="s">
        <v>8152</v>
      </c>
      <c r="F978" s="826">
        <v>0</v>
      </c>
      <c r="G978" s="880">
        <v>1</v>
      </c>
      <c r="H978" s="465"/>
      <c r="I978" s="465"/>
      <c r="J978" s="826">
        <v>0</v>
      </c>
      <c r="K978" s="878">
        <v>0</v>
      </c>
    </row>
    <row r="979" spans="1:11" ht="22.5" customHeight="1" x14ac:dyDescent="0.25">
      <c r="A979" s="816" t="s">
        <v>186</v>
      </c>
      <c r="B979" s="880">
        <v>2025</v>
      </c>
      <c r="C979" s="816" t="s">
        <v>1935</v>
      </c>
      <c r="D979" s="816" t="s">
        <v>1941</v>
      </c>
      <c r="E979" s="816" t="s">
        <v>8153</v>
      </c>
      <c r="F979" s="826">
        <v>0</v>
      </c>
      <c r="G979" s="880">
        <v>1</v>
      </c>
      <c r="H979" s="465"/>
      <c r="I979" s="465"/>
      <c r="J979" s="826">
        <v>0</v>
      </c>
      <c r="K979" s="878">
        <v>0</v>
      </c>
    </row>
    <row r="980" spans="1:11" ht="22.5" customHeight="1" x14ac:dyDescent="0.25">
      <c r="A980" s="816" t="s">
        <v>186</v>
      </c>
      <c r="B980" s="880">
        <v>2025</v>
      </c>
      <c r="C980" s="816" t="s">
        <v>1935</v>
      </c>
      <c r="D980" s="816" t="s">
        <v>1942</v>
      </c>
      <c r="E980" s="816" t="s">
        <v>8154</v>
      </c>
      <c r="F980" s="826">
        <v>0</v>
      </c>
      <c r="G980" s="880">
        <v>1</v>
      </c>
      <c r="H980" s="465"/>
      <c r="I980" s="465"/>
      <c r="J980" s="826">
        <v>0</v>
      </c>
      <c r="K980" s="878">
        <v>0</v>
      </c>
    </row>
    <row r="981" spans="1:11" ht="22.5" customHeight="1" x14ac:dyDescent="0.25">
      <c r="A981" s="816" t="s">
        <v>186</v>
      </c>
      <c r="B981" s="880">
        <v>2025</v>
      </c>
      <c r="C981" s="816" t="s">
        <v>1935</v>
      </c>
      <c r="D981" s="816" t="s">
        <v>1943</v>
      </c>
      <c r="E981" s="816" t="s">
        <v>8155</v>
      </c>
      <c r="F981" s="826">
        <v>0</v>
      </c>
      <c r="G981" s="880">
        <v>1</v>
      </c>
      <c r="H981" s="465"/>
      <c r="I981" s="465"/>
      <c r="J981" s="826">
        <v>0</v>
      </c>
      <c r="K981" s="878">
        <v>0</v>
      </c>
    </row>
    <row r="982" spans="1:11" ht="22.5" customHeight="1" x14ac:dyDescent="0.25">
      <c r="A982" s="816" t="s">
        <v>186</v>
      </c>
      <c r="B982" s="880">
        <v>2025</v>
      </c>
      <c r="C982" s="816" t="s">
        <v>1935</v>
      </c>
      <c r="D982" s="816" t="s">
        <v>1944</v>
      </c>
      <c r="E982" s="816" t="s">
        <v>8156</v>
      </c>
      <c r="F982" s="826">
        <v>0</v>
      </c>
      <c r="G982" s="880">
        <v>1</v>
      </c>
      <c r="H982" s="465"/>
      <c r="I982" s="465"/>
      <c r="J982" s="826">
        <v>0</v>
      </c>
      <c r="K982" s="878">
        <v>0</v>
      </c>
    </row>
    <row r="983" spans="1:11" ht="22.5" customHeight="1" x14ac:dyDescent="0.25">
      <c r="A983" s="816" t="s">
        <v>186</v>
      </c>
      <c r="B983" s="880">
        <v>2025</v>
      </c>
      <c r="C983" s="816" t="s">
        <v>1935</v>
      </c>
      <c r="D983" s="816" t="s">
        <v>1945</v>
      </c>
      <c r="E983" s="816" t="s">
        <v>8157</v>
      </c>
      <c r="F983" s="826">
        <v>0</v>
      </c>
      <c r="G983" s="880">
        <v>1</v>
      </c>
      <c r="H983" s="465"/>
      <c r="I983" s="465"/>
      <c r="J983" s="826">
        <v>0</v>
      </c>
      <c r="K983" s="878">
        <v>0</v>
      </c>
    </row>
    <row r="984" spans="1:11" ht="22.5" customHeight="1" x14ac:dyDescent="0.25">
      <c r="A984" s="816" t="s">
        <v>186</v>
      </c>
      <c r="B984" s="880">
        <v>2025</v>
      </c>
      <c r="C984" s="816" t="s">
        <v>1935</v>
      </c>
      <c r="D984" s="816" t="s">
        <v>1946</v>
      </c>
      <c r="E984" s="816" t="s">
        <v>8158</v>
      </c>
      <c r="F984" s="826">
        <v>0</v>
      </c>
      <c r="G984" s="880">
        <v>1</v>
      </c>
      <c r="H984" s="465"/>
      <c r="I984" s="465"/>
      <c r="J984" s="826">
        <v>0</v>
      </c>
      <c r="K984" s="878">
        <v>0</v>
      </c>
    </row>
    <row r="985" spans="1:11" ht="22.5" customHeight="1" x14ac:dyDescent="0.25">
      <c r="A985" s="816" t="s">
        <v>186</v>
      </c>
      <c r="B985" s="880">
        <v>2025</v>
      </c>
      <c r="C985" s="816" t="s">
        <v>1935</v>
      </c>
      <c r="D985" s="816" t="s">
        <v>1947</v>
      </c>
      <c r="E985" s="816" t="s">
        <v>8159</v>
      </c>
      <c r="F985" s="826">
        <v>0</v>
      </c>
      <c r="G985" s="880">
        <v>1</v>
      </c>
      <c r="H985" s="465"/>
      <c r="I985" s="465"/>
      <c r="J985" s="826">
        <v>0</v>
      </c>
      <c r="K985" s="878">
        <v>0</v>
      </c>
    </row>
    <row r="986" spans="1:11" ht="22.5" customHeight="1" x14ac:dyDescent="0.25">
      <c r="A986" s="816" t="s">
        <v>186</v>
      </c>
      <c r="B986" s="880">
        <v>2025</v>
      </c>
      <c r="C986" s="816" t="s">
        <v>1935</v>
      </c>
      <c r="D986" s="816" t="s">
        <v>1948</v>
      </c>
      <c r="E986" s="816" t="s">
        <v>8160</v>
      </c>
      <c r="F986" s="826">
        <v>0</v>
      </c>
      <c r="G986" s="880">
        <v>1</v>
      </c>
      <c r="H986" s="826">
        <v>-158384</v>
      </c>
      <c r="I986" s="826">
        <v>-88920</v>
      </c>
      <c r="J986" s="826">
        <v>-247304</v>
      </c>
      <c r="K986" s="878">
        <v>-247304</v>
      </c>
    </row>
    <row r="987" spans="1:11" ht="22.5" customHeight="1" x14ac:dyDescent="0.25">
      <c r="A987" s="816" t="s">
        <v>186</v>
      </c>
      <c r="B987" s="880">
        <v>2025</v>
      </c>
      <c r="C987" s="816" t="s">
        <v>1935</v>
      </c>
      <c r="D987" s="816" t="s">
        <v>1949</v>
      </c>
      <c r="E987" s="816" t="s">
        <v>8161</v>
      </c>
      <c r="F987" s="826">
        <v>0</v>
      </c>
      <c r="G987" s="880">
        <v>1</v>
      </c>
      <c r="H987" s="826">
        <v>-37701</v>
      </c>
      <c r="I987" s="826">
        <v>44646</v>
      </c>
      <c r="J987" s="826">
        <v>6945</v>
      </c>
      <c r="K987" s="878">
        <v>6945</v>
      </c>
    </row>
    <row r="988" spans="1:11" ht="22.5" customHeight="1" x14ac:dyDescent="0.25">
      <c r="A988" s="816" t="s">
        <v>186</v>
      </c>
      <c r="B988" s="880">
        <v>2025</v>
      </c>
      <c r="C988" s="816" t="s">
        <v>1935</v>
      </c>
      <c r="D988" s="816" t="s">
        <v>1950</v>
      </c>
      <c r="E988" s="816" t="s">
        <v>8162</v>
      </c>
      <c r="F988" s="826">
        <v>0</v>
      </c>
      <c r="G988" s="880">
        <v>1</v>
      </c>
      <c r="H988" s="826">
        <v>-319717</v>
      </c>
      <c r="I988" s="826">
        <v>243816</v>
      </c>
      <c r="J988" s="826">
        <v>-75901</v>
      </c>
      <c r="K988" s="878">
        <v>-75901</v>
      </c>
    </row>
    <row r="989" spans="1:11" ht="22.5" customHeight="1" x14ac:dyDescent="0.25">
      <c r="A989" s="816" t="s">
        <v>186</v>
      </c>
      <c r="B989" s="880">
        <v>2025</v>
      </c>
      <c r="C989" s="816" t="s">
        <v>1935</v>
      </c>
      <c r="D989" s="816" t="s">
        <v>1951</v>
      </c>
      <c r="E989" s="816" t="s">
        <v>8163</v>
      </c>
      <c r="F989" s="826">
        <v>0</v>
      </c>
      <c r="G989" s="880">
        <v>1</v>
      </c>
      <c r="H989" s="826">
        <v>384250</v>
      </c>
      <c r="I989" s="826">
        <v>-192042</v>
      </c>
      <c r="J989" s="826">
        <v>192208</v>
      </c>
      <c r="K989" s="878">
        <v>192208</v>
      </c>
    </row>
    <row r="990" spans="1:11" ht="22.5" customHeight="1" x14ac:dyDescent="0.25">
      <c r="A990" s="816" t="s">
        <v>186</v>
      </c>
      <c r="B990" s="880">
        <v>2025</v>
      </c>
      <c r="C990" s="816" t="s">
        <v>1935</v>
      </c>
      <c r="D990" s="816" t="s">
        <v>7801</v>
      </c>
      <c r="E990" s="816" t="s">
        <v>8164</v>
      </c>
      <c r="F990" s="826">
        <v>0</v>
      </c>
      <c r="G990" s="880">
        <v>1</v>
      </c>
      <c r="H990" s="826">
        <v>-90934.29</v>
      </c>
      <c r="I990" s="826">
        <v>132852</v>
      </c>
      <c r="J990" s="826">
        <v>41917.71</v>
      </c>
      <c r="K990" s="878">
        <v>41917.71</v>
      </c>
    </row>
    <row r="991" spans="1:11" ht="22.5" customHeight="1" x14ac:dyDescent="0.25">
      <c r="A991" s="816" t="s">
        <v>186</v>
      </c>
      <c r="B991" s="880">
        <v>2025</v>
      </c>
      <c r="C991" s="816" t="s">
        <v>1935</v>
      </c>
      <c r="D991" s="816" t="s">
        <v>1952</v>
      </c>
      <c r="E991" s="816" t="s">
        <v>8165</v>
      </c>
      <c r="F991" s="826">
        <v>-82134.289999999994</v>
      </c>
      <c r="G991" s="880">
        <v>0</v>
      </c>
      <c r="H991" s="465"/>
      <c r="I991" s="465"/>
      <c r="J991" s="826">
        <v>0</v>
      </c>
      <c r="K991" s="878">
        <v>-82134.289999999994</v>
      </c>
    </row>
    <row r="992" spans="1:11" ht="22.5" customHeight="1" x14ac:dyDescent="0.25">
      <c r="A992" s="816" t="s">
        <v>186</v>
      </c>
      <c r="B992" s="880">
        <v>2025</v>
      </c>
      <c r="C992" s="816" t="s">
        <v>1953</v>
      </c>
      <c r="D992" s="816" t="s">
        <v>1954</v>
      </c>
      <c r="E992" s="816" t="s">
        <v>2461</v>
      </c>
      <c r="F992" s="826">
        <v>0</v>
      </c>
      <c r="G992" s="880">
        <v>0</v>
      </c>
      <c r="H992" s="465"/>
      <c r="I992" s="465"/>
      <c r="J992" s="826">
        <v>0</v>
      </c>
      <c r="K992" s="878">
        <v>0</v>
      </c>
    </row>
    <row r="993" spans="1:11" ht="22.5" customHeight="1" x14ac:dyDescent="0.25">
      <c r="A993" s="816" t="s">
        <v>240</v>
      </c>
      <c r="B993" s="880">
        <v>2025</v>
      </c>
      <c r="C993" s="816" t="s">
        <v>1854</v>
      </c>
      <c r="D993" s="816" t="s">
        <v>1855</v>
      </c>
      <c r="E993" s="816" t="s">
        <v>2462</v>
      </c>
      <c r="F993" s="826">
        <v>18099456.030000001</v>
      </c>
      <c r="G993" s="880">
        <v>0</v>
      </c>
      <c r="H993" s="465"/>
      <c r="I993" s="465"/>
      <c r="J993" s="826">
        <v>0</v>
      </c>
      <c r="K993" s="878">
        <v>18099456.030000001</v>
      </c>
    </row>
    <row r="994" spans="1:11" ht="22.5" customHeight="1" x14ac:dyDescent="0.25">
      <c r="A994" s="816" t="s">
        <v>240</v>
      </c>
      <c r="B994" s="880">
        <v>2025</v>
      </c>
      <c r="C994" s="816" t="s">
        <v>7746</v>
      </c>
      <c r="D994" s="816" t="s">
        <v>7747</v>
      </c>
      <c r="E994" s="816" t="s">
        <v>7767</v>
      </c>
      <c r="F994" s="826">
        <v>0</v>
      </c>
      <c r="G994" s="880">
        <v>0</v>
      </c>
      <c r="H994" s="465"/>
      <c r="I994" s="465"/>
      <c r="J994" s="826">
        <v>0</v>
      </c>
      <c r="K994" s="878">
        <v>0</v>
      </c>
    </row>
    <row r="995" spans="1:11" ht="22.5" customHeight="1" x14ac:dyDescent="0.25">
      <c r="A995" s="816" t="s">
        <v>240</v>
      </c>
      <c r="B995" s="880">
        <v>2025</v>
      </c>
      <c r="C995" s="816" t="s">
        <v>1857</v>
      </c>
      <c r="D995" s="816" t="s">
        <v>1858</v>
      </c>
      <c r="E995" s="816" t="s">
        <v>2463</v>
      </c>
      <c r="F995" s="826">
        <v>0</v>
      </c>
      <c r="G995" s="880">
        <v>0</v>
      </c>
      <c r="H995" s="465"/>
      <c r="I995" s="465"/>
      <c r="J995" s="826">
        <v>0</v>
      </c>
      <c r="K995" s="878">
        <v>0</v>
      </c>
    </row>
    <row r="996" spans="1:11" ht="22.5" customHeight="1" x14ac:dyDescent="0.25">
      <c r="A996" s="816" t="s">
        <v>240</v>
      </c>
      <c r="B996" s="880">
        <v>2025</v>
      </c>
      <c r="C996" s="816" t="s">
        <v>1860</v>
      </c>
      <c r="D996" s="816" t="s">
        <v>1861</v>
      </c>
      <c r="E996" s="816" t="s">
        <v>2464</v>
      </c>
      <c r="F996" s="826">
        <v>-103039.18</v>
      </c>
      <c r="G996" s="880">
        <v>0</v>
      </c>
      <c r="H996" s="465"/>
      <c r="I996" s="465"/>
      <c r="J996" s="826">
        <v>0</v>
      </c>
      <c r="K996" s="878">
        <v>-103039.18</v>
      </c>
    </row>
    <row r="997" spans="1:11" ht="22.5" customHeight="1" x14ac:dyDescent="0.25">
      <c r="A997" s="816" t="s">
        <v>240</v>
      </c>
      <c r="B997" s="880">
        <v>2025</v>
      </c>
      <c r="C997" s="816" t="s">
        <v>1863</v>
      </c>
      <c r="D997" s="816" t="s">
        <v>1864</v>
      </c>
      <c r="E997" s="816" t="s">
        <v>2465</v>
      </c>
      <c r="F997" s="826">
        <v>445658.48</v>
      </c>
      <c r="G997" s="880">
        <v>0</v>
      </c>
      <c r="H997" s="465"/>
      <c r="I997" s="465"/>
      <c r="J997" s="826">
        <v>0</v>
      </c>
      <c r="K997" s="878">
        <v>445658.48</v>
      </c>
    </row>
    <row r="998" spans="1:11" ht="22.5" customHeight="1" x14ac:dyDescent="0.25">
      <c r="A998" s="816" t="s">
        <v>240</v>
      </c>
      <c r="B998" s="880">
        <v>2025</v>
      </c>
      <c r="C998" s="816" t="s">
        <v>1866</v>
      </c>
      <c r="D998" s="816" t="s">
        <v>1867</v>
      </c>
      <c r="E998" s="816" t="s">
        <v>2466</v>
      </c>
      <c r="F998" s="826">
        <v>0</v>
      </c>
      <c r="G998" s="880">
        <v>0</v>
      </c>
      <c r="H998" s="465"/>
      <c r="I998" s="465"/>
      <c r="J998" s="826">
        <v>0</v>
      </c>
      <c r="K998" s="878">
        <v>0</v>
      </c>
    </row>
    <row r="999" spans="1:11" ht="22.5" customHeight="1" x14ac:dyDescent="0.25">
      <c r="A999" s="816" t="s">
        <v>240</v>
      </c>
      <c r="B999" s="880">
        <v>2025</v>
      </c>
      <c r="C999" s="816" t="s">
        <v>1869</v>
      </c>
      <c r="D999" s="816" t="s">
        <v>1870</v>
      </c>
      <c r="E999" s="816" t="s">
        <v>2467</v>
      </c>
      <c r="F999" s="826">
        <v>0</v>
      </c>
      <c r="G999" s="880">
        <v>0</v>
      </c>
      <c r="H999" s="465"/>
      <c r="I999" s="465"/>
      <c r="J999" s="826">
        <v>0</v>
      </c>
      <c r="K999" s="878">
        <v>0</v>
      </c>
    </row>
    <row r="1000" spans="1:11" ht="22.5" customHeight="1" x14ac:dyDescent="0.25">
      <c r="A1000" s="816" t="s">
        <v>240</v>
      </c>
      <c r="B1000" s="880">
        <v>2025</v>
      </c>
      <c r="C1000" s="816" t="s">
        <v>1872</v>
      </c>
      <c r="D1000" s="816" t="s">
        <v>1873</v>
      </c>
      <c r="E1000" s="816" t="s">
        <v>2468</v>
      </c>
      <c r="F1000" s="826">
        <v>0</v>
      </c>
      <c r="G1000" s="880">
        <v>0</v>
      </c>
      <c r="H1000" s="465"/>
      <c r="I1000" s="465"/>
      <c r="J1000" s="826">
        <v>0</v>
      </c>
      <c r="K1000" s="878">
        <v>0</v>
      </c>
    </row>
    <row r="1001" spans="1:11" ht="22.5" customHeight="1" x14ac:dyDescent="0.25">
      <c r="A1001" s="816" t="s">
        <v>240</v>
      </c>
      <c r="B1001" s="880">
        <v>2025</v>
      </c>
      <c r="C1001" s="816" t="s">
        <v>1875</v>
      </c>
      <c r="D1001" s="816" t="s">
        <v>1876</v>
      </c>
      <c r="E1001" s="816" t="s">
        <v>2469</v>
      </c>
      <c r="F1001" s="826">
        <v>0</v>
      </c>
      <c r="G1001" s="880">
        <v>0</v>
      </c>
      <c r="H1001" s="465"/>
      <c r="I1001" s="465"/>
      <c r="J1001" s="826">
        <v>0</v>
      </c>
      <c r="K1001" s="878">
        <v>0</v>
      </c>
    </row>
    <row r="1002" spans="1:11" ht="22.5" customHeight="1" x14ac:dyDescent="0.25">
      <c r="A1002" s="816" t="s">
        <v>240</v>
      </c>
      <c r="B1002" s="880">
        <v>2025</v>
      </c>
      <c r="C1002" s="816" t="s">
        <v>1878</v>
      </c>
      <c r="D1002" s="816" t="s">
        <v>1879</v>
      </c>
      <c r="E1002" s="816" t="s">
        <v>2470</v>
      </c>
      <c r="F1002" s="826">
        <v>0</v>
      </c>
      <c r="G1002" s="880">
        <v>0</v>
      </c>
      <c r="H1002" s="465"/>
      <c r="I1002" s="465"/>
      <c r="J1002" s="826">
        <v>0</v>
      </c>
      <c r="K1002" s="878">
        <v>0</v>
      </c>
    </row>
    <row r="1003" spans="1:11" ht="22.5" customHeight="1" x14ac:dyDescent="0.25">
      <c r="A1003" s="816" t="s">
        <v>240</v>
      </c>
      <c r="B1003" s="880">
        <v>2025</v>
      </c>
      <c r="C1003" s="816" t="s">
        <v>1881</v>
      </c>
      <c r="D1003" s="816" t="s">
        <v>1882</v>
      </c>
      <c r="E1003" s="816" t="s">
        <v>2471</v>
      </c>
      <c r="F1003" s="826">
        <v>0</v>
      </c>
      <c r="G1003" s="880">
        <v>0</v>
      </c>
      <c r="H1003" s="465"/>
      <c r="I1003" s="465"/>
      <c r="J1003" s="826">
        <v>0</v>
      </c>
      <c r="K1003" s="878">
        <v>0</v>
      </c>
    </row>
    <row r="1004" spans="1:11" ht="22.5" customHeight="1" x14ac:dyDescent="0.25">
      <c r="A1004" s="816" t="s">
        <v>240</v>
      </c>
      <c r="B1004" s="880">
        <v>2025</v>
      </c>
      <c r="C1004" s="816" t="s">
        <v>1884</v>
      </c>
      <c r="D1004" s="816" t="s">
        <v>1885</v>
      </c>
      <c r="E1004" s="816" t="s">
        <v>2472</v>
      </c>
      <c r="F1004" s="826">
        <v>0</v>
      </c>
      <c r="G1004" s="880">
        <v>0</v>
      </c>
      <c r="H1004" s="465"/>
      <c r="I1004" s="465"/>
      <c r="J1004" s="826">
        <v>0</v>
      </c>
      <c r="K1004" s="878">
        <v>0</v>
      </c>
    </row>
    <row r="1005" spans="1:11" ht="22.5" customHeight="1" x14ac:dyDescent="0.25">
      <c r="A1005" s="816" t="s">
        <v>240</v>
      </c>
      <c r="B1005" s="880">
        <v>2025</v>
      </c>
      <c r="C1005" s="816" t="s">
        <v>1887</v>
      </c>
      <c r="D1005" s="816" t="s">
        <v>138</v>
      </c>
      <c r="E1005" s="816" t="s">
        <v>2473</v>
      </c>
      <c r="F1005" s="826">
        <v>87930.58</v>
      </c>
      <c r="G1005" s="880">
        <v>1</v>
      </c>
      <c r="H1005" s="826">
        <v>83323.77</v>
      </c>
      <c r="I1005" s="826">
        <v>4606.8100000000004</v>
      </c>
      <c r="J1005" s="826">
        <v>87930.58</v>
      </c>
      <c r="K1005" s="878">
        <v>87930.58</v>
      </c>
    </row>
    <row r="1006" spans="1:11" ht="22.5" customHeight="1" x14ac:dyDescent="0.25">
      <c r="A1006" s="816" t="s">
        <v>240</v>
      </c>
      <c r="B1006" s="880">
        <v>2025</v>
      </c>
      <c r="C1006" s="816" t="s">
        <v>1889</v>
      </c>
      <c r="D1006" s="816" t="s">
        <v>139</v>
      </c>
      <c r="E1006" s="816" t="s">
        <v>2474</v>
      </c>
      <c r="F1006" s="826">
        <v>-130406.84</v>
      </c>
      <c r="G1006" s="880">
        <v>1</v>
      </c>
      <c r="H1006" s="826">
        <v>-122977.47</v>
      </c>
      <c r="I1006" s="826">
        <v>-7429.37</v>
      </c>
      <c r="J1006" s="826">
        <v>-130406.84</v>
      </c>
      <c r="K1006" s="878">
        <v>-130406.84</v>
      </c>
    </row>
    <row r="1007" spans="1:11" ht="22.5" customHeight="1" x14ac:dyDescent="0.25">
      <c r="A1007" s="816" t="s">
        <v>240</v>
      </c>
      <c r="B1007" s="880">
        <v>2025</v>
      </c>
      <c r="C1007" s="816" t="s">
        <v>1891</v>
      </c>
      <c r="D1007" s="816" t="s">
        <v>1892</v>
      </c>
      <c r="E1007" s="816" t="s">
        <v>2475</v>
      </c>
      <c r="F1007" s="826">
        <v>0</v>
      </c>
      <c r="G1007" s="880">
        <v>0</v>
      </c>
      <c r="H1007" s="465"/>
      <c r="I1007" s="465"/>
      <c r="J1007" s="826">
        <v>0</v>
      </c>
      <c r="K1007" s="878">
        <v>0</v>
      </c>
    </row>
    <row r="1008" spans="1:11" ht="22.5" customHeight="1" x14ac:dyDescent="0.25">
      <c r="A1008" s="816" t="s">
        <v>240</v>
      </c>
      <c r="B1008" s="880">
        <v>2025</v>
      </c>
      <c r="C1008" s="816" t="s">
        <v>1891</v>
      </c>
      <c r="D1008" s="816" t="s">
        <v>1894</v>
      </c>
      <c r="E1008" s="816" t="s">
        <v>2475</v>
      </c>
      <c r="F1008" s="826">
        <v>0</v>
      </c>
      <c r="G1008" s="880">
        <v>0</v>
      </c>
      <c r="H1008" s="465"/>
      <c r="I1008" s="465"/>
      <c r="J1008" s="826">
        <v>0</v>
      </c>
      <c r="K1008" s="881">
        <v>0</v>
      </c>
    </row>
    <row r="1009" spans="1:11" ht="22.5" customHeight="1" x14ac:dyDescent="0.25">
      <c r="A1009" s="816" t="s">
        <v>240</v>
      </c>
      <c r="B1009" s="880">
        <v>2025</v>
      </c>
      <c r="C1009" s="816" t="s">
        <v>1895</v>
      </c>
      <c r="D1009" s="816" t="s">
        <v>1896</v>
      </c>
      <c r="E1009" s="816" t="s">
        <v>2476</v>
      </c>
      <c r="F1009" s="826">
        <v>0</v>
      </c>
      <c r="G1009" s="880">
        <v>0</v>
      </c>
      <c r="H1009" s="465"/>
      <c r="I1009" s="465"/>
      <c r="J1009" s="826">
        <v>0</v>
      </c>
      <c r="K1009" s="878">
        <v>0</v>
      </c>
    </row>
    <row r="1010" spans="1:11" ht="22.5" customHeight="1" x14ac:dyDescent="0.25">
      <c r="A1010" s="816" t="s">
        <v>240</v>
      </c>
      <c r="B1010" s="880">
        <v>2025</v>
      </c>
      <c r="C1010" s="816" t="s">
        <v>1898</v>
      </c>
      <c r="D1010" s="816" t="s">
        <v>1899</v>
      </c>
      <c r="E1010" s="816" t="s">
        <v>2477</v>
      </c>
      <c r="F1010" s="826">
        <v>0</v>
      </c>
      <c r="G1010" s="880">
        <v>0</v>
      </c>
      <c r="H1010" s="465"/>
      <c r="I1010" s="465"/>
      <c r="J1010" s="826">
        <v>0</v>
      </c>
      <c r="K1010" s="878">
        <v>0</v>
      </c>
    </row>
    <row r="1011" spans="1:11" ht="22.5" customHeight="1" x14ac:dyDescent="0.25">
      <c r="A1011" s="816" t="s">
        <v>240</v>
      </c>
      <c r="B1011" s="880">
        <v>2025</v>
      </c>
      <c r="C1011" s="816" t="s">
        <v>1901</v>
      </c>
      <c r="D1011" s="816" t="s">
        <v>1902</v>
      </c>
      <c r="E1011" s="816" t="s">
        <v>2478</v>
      </c>
      <c r="F1011" s="826">
        <v>0</v>
      </c>
      <c r="G1011" s="880">
        <v>0</v>
      </c>
      <c r="H1011" s="465"/>
      <c r="I1011" s="465"/>
      <c r="J1011" s="826">
        <v>0</v>
      </c>
      <c r="K1011" s="878">
        <v>0</v>
      </c>
    </row>
    <row r="1012" spans="1:11" ht="22.5" customHeight="1" x14ac:dyDescent="0.25">
      <c r="A1012" s="816" t="s">
        <v>240</v>
      </c>
      <c r="B1012" s="880">
        <v>2025</v>
      </c>
      <c r="C1012" s="816" t="s">
        <v>1904</v>
      </c>
      <c r="D1012" s="816" t="s">
        <v>1905</v>
      </c>
      <c r="E1012" s="816" t="s">
        <v>2479</v>
      </c>
      <c r="F1012" s="826">
        <v>0</v>
      </c>
      <c r="G1012" s="880">
        <v>0</v>
      </c>
      <c r="H1012" s="465"/>
      <c r="I1012" s="465"/>
      <c r="J1012" s="826">
        <v>0</v>
      </c>
      <c r="K1012" s="878">
        <v>0</v>
      </c>
    </row>
    <row r="1013" spans="1:11" ht="22.5" customHeight="1" x14ac:dyDescent="0.25">
      <c r="A1013" s="816" t="s">
        <v>240</v>
      </c>
      <c r="B1013" s="880">
        <v>2025</v>
      </c>
      <c r="C1013" s="816" t="s">
        <v>1907</v>
      </c>
      <c r="D1013" s="816" t="s">
        <v>1908</v>
      </c>
      <c r="E1013" s="816" t="s">
        <v>2480</v>
      </c>
      <c r="F1013" s="826">
        <v>215141.67</v>
      </c>
      <c r="G1013" s="880">
        <v>0</v>
      </c>
      <c r="H1013" s="465"/>
      <c r="I1013" s="465"/>
      <c r="J1013" s="826">
        <v>0</v>
      </c>
      <c r="K1013" s="878">
        <v>215141.67</v>
      </c>
    </row>
    <row r="1014" spans="1:11" ht="22.5" customHeight="1" x14ac:dyDescent="0.25">
      <c r="A1014" s="816" t="s">
        <v>240</v>
      </c>
      <c r="B1014" s="880">
        <v>2025</v>
      </c>
      <c r="C1014" s="816" t="s">
        <v>1910</v>
      </c>
      <c r="D1014" s="816" t="s">
        <v>1911</v>
      </c>
      <c r="E1014" s="816" t="s">
        <v>2481</v>
      </c>
      <c r="F1014" s="826">
        <v>0</v>
      </c>
      <c r="G1014" s="880">
        <v>0</v>
      </c>
      <c r="H1014" s="465"/>
      <c r="I1014" s="465"/>
      <c r="J1014" s="826">
        <v>0</v>
      </c>
      <c r="K1014" s="878">
        <v>0</v>
      </c>
    </row>
    <row r="1015" spans="1:11" ht="22.5" customHeight="1" x14ac:dyDescent="0.25">
      <c r="A1015" s="816" t="s">
        <v>240</v>
      </c>
      <c r="B1015" s="880">
        <v>2025</v>
      </c>
      <c r="C1015" s="816" t="s">
        <v>1913</v>
      </c>
      <c r="D1015" s="816" t="s">
        <v>1914</v>
      </c>
      <c r="E1015" s="816" t="s">
        <v>2482</v>
      </c>
      <c r="F1015" s="826">
        <v>-927346.93</v>
      </c>
      <c r="G1015" s="880">
        <v>1</v>
      </c>
      <c r="H1015" s="826">
        <v>-880117.8</v>
      </c>
      <c r="I1015" s="826">
        <v>-47229.13</v>
      </c>
      <c r="J1015" s="826">
        <v>-927346.93</v>
      </c>
      <c r="K1015" s="878">
        <v>-927346.93</v>
      </c>
    </row>
    <row r="1016" spans="1:11" ht="22.5" customHeight="1" x14ac:dyDescent="0.25">
      <c r="A1016" s="816" t="s">
        <v>240</v>
      </c>
      <c r="B1016" s="880">
        <v>2025</v>
      </c>
      <c r="C1016" s="816" t="s">
        <v>1913</v>
      </c>
      <c r="D1016" s="816" t="s">
        <v>1916</v>
      </c>
      <c r="E1016" s="816" t="s">
        <v>2482</v>
      </c>
      <c r="F1016" s="826">
        <v>0</v>
      </c>
      <c r="G1016" s="880">
        <v>0</v>
      </c>
      <c r="H1016" s="465"/>
      <c r="I1016" s="465"/>
      <c r="J1016" s="826">
        <v>0</v>
      </c>
      <c r="K1016" s="881">
        <v>0</v>
      </c>
    </row>
    <row r="1017" spans="1:11" ht="22.5" customHeight="1" x14ac:dyDescent="0.25">
      <c r="A1017" s="816" t="s">
        <v>240</v>
      </c>
      <c r="B1017" s="880">
        <v>2025</v>
      </c>
      <c r="C1017" s="816" t="s">
        <v>1913</v>
      </c>
      <c r="D1017" s="816" t="s">
        <v>1917</v>
      </c>
      <c r="E1017" s="816" t="s">
        <v>2482</v>
      </c>
      <c r="F1017" s="826">
        <v>0</v>
      </c>
      <c r="G1017" s="880">
        <v>0</v>
      </c>
      <c r="H1017" s="465"/>
      <c r="I1017" s="465"/>
      <c r="J1017" s="826">
        <v>0</v>
      </c>
      <c r="K1017" s="881">
        <v>0</v>
      </c>
    </row>
    <row r="1018" spans="1:11" ht="22.5" customHeight="1" x14ac:dyDescent="0.25">
      <c r="A1018" s="816" t="s">
        <v>240</v>
      </c>
      <c r="B1018" s="880">
        <v>2025</v>
      </c>
      <c r="C1018" s="816" t="s">
        <v>1913</v>
      </c>
      <c r="D1018" s="816" t="s">
        <v>1918</v>
      </c>
      <c r="E1018" s="816" t="s">
        <v>2482</v>
      </c>
      <c r="F1018" s="826">
        <v>0</v>
      </c>
      <c r="G1018" s="880">
        <v>0</v>
      </c>
      <c r="H1018" s="465"/>
      <c r="I1018" s="465"/>
      <c r="J1018" s="826">
        <v>0</v>
      </c>
      <c r="K1018" s="881">
        <v>-4895.8500000000004</v>
      </c>
    </row>
    <row r="1019" spans="1:11" ht="22.5" customHeight="1" x14ac:dyDescent="0.25">
      <c r="A1019" s="816" t="s">
        <v>240</v>
      </c>
      <c r="B1019" s="880">
        <v>2025</v>
      </c>
      <c r="C1019" s="816" t="s">
        <v>1913</v>
      </c>
      <c r="D1019" s="816" t="s">
        <v>1919</v>
      </c>
      <c r="E1019" s="816" t="s">
        <v>2482</v>
      </c>
      <c r="F1019" s="826">
        <v>0</v>
      </c>
      <c r="G1019" s="880">
        <v>0</v>
      </c>
      <c r="H1019" s="465"/>
      <c r="I1019" s="465"/>
      <c r="J1019" s="826">
        <v>0</v>
      </c>
      <c r="K1019" s="881">
        <v>288360.51</v>
      </c>
    </row>
    <row r="1020" spans="1:11" ht="22.5" customHeight="1" x14ac:dyDescent="0.25">
      <c r="A1020" s="816" t="s">
        <v>240</v>
      </c>
      <c r="B1020" s="880">
        <v>2025</v>
      </c>
      <c r="C1020" s="816" t="s">
        <v>1920</v>
      </c>
      <c r="D1020" s="816" t="s">
        <v>1921</v>
      </c>
      <c r="E1020" s="816" t="s">
        <v>2483</v>
      </c>
      <c r="F1020" s="826">
        <v>0</v>
      </c>
      <c r="G1020" s="880">
        <v>0</v>
      </c>
      <c r="H1020" s="465"/>
      <c r="I1020" s="465"/>
      <c r="J1020" s="826">
        <v>0</v>
      </c>
      <c r="K1020" s="878">
        <v>0</v>
      </c>
    </row>
    <row r="1021" spans="1:11" ht="22.5" customHeight="1" x14ac:dyDescent="0.25">
      <c r="A1021" s="816" t="s">
        <v>240</v>
      </c>
      <c r="B1021" s="880">
        <v>2025</v>
      </c>
      <c r="C1021" s="816" t="s">
        <v>1923</v>
      </c>
      <c r="D1021" s="816" t="s">
        <v>143</v>
      </c>
      <c r="E1021" s="816" t="s">
        <v>2484</v>
      </c>
      <c r="F1021" s="826">
        <v>1359036.22</v>
      </c>
      <c r="G1021" s="880">
        <v>1</v>
      </c>
      <c r="H1021" s="826">
        <v>1315472.05</v>
      </c>
      <c r="I1021" s="826">
        <v>43564.17</v>
      </c>
      <c r="J1021" s="826">
        <v>1359036.22</v>
      </c>
      <c r="K1021" s="878">
        <v>1359036.22</v>
      </c>
    </row>
    <row r="1022" spans="1:11" ht="22.5" customHeight="1" x14ac:dyDescent="0.25">
      <c r="A1022" s="816" t="s">
        <v>240</v>
      </c>
      <c r="B1022" s="880">
        <v>2025</v>
      </c>
      <c r="C1022" s="816" t="s">
        <v>1925</v>
      </c>
      <c r="D1022" s="816" t="s">
        <v>144</v>
      </c>
      <c r="E1022" s="816" t="s">
        <v>2485</v>
      </c>
      <c r="F1022" s="826">
        <v>527333.39</v>
      </c>
      <c r="G1022" s="880">
        <v>1</v>
      </c>
      <c r="H1022" s="826">
        <v>524434.81999999995</v>
      </c>
      <c r="I1022" s="826">
        <v>2898.57</v>
      </c>
      <c r="J1022" s="826">
        <v>527333.39</v>
      </c>
      <c r="K1022" s="878">
        <v>527333.39</v>
      </c>
    </row>
    <row r="1023" spans="1:11" ht="22.5" customHeight="1" x14ac:dyDescent="0.25">
      <c r="A1023" s="816" t="s">
        <v>240</v>
      </c>
      <c r="B1023" s="880">
        <v>2025</v>
      </c>
      <c r="C1023" s="816" t="s">
        <v>1927</v>
      </c>
      <c r="D1023" s="816" t="s">
        <v>1928</v>
      </c>
      <c r="E1023" s="816" t="s">
        <v>2486</v>
      </c>
      <c r="F1023" s="826">
        <v>-320611.3</v>
      </c>
      <c r="G1023" s="880">
        <v>1</v>
      </c>
      <c r="H1023" s="826">
        <v>-311046.09999999998</v>
      </c>
      <c r="I1023" s="826">
        <v>-9565.2000000000007</v>
      </c>
      <c r="J1023" s="826">
        <v>-320611.3</v>
      </c>
      <c r="K1023" s="878">
        <v>-320611.3</v>
      </c>
    </row>
    <row r="1024" spans="1:11" ht="22.5" customHeight="1" x14ac:dyDescent="0.25">
      <c r="A1024" s="816" t="s">
        <v>240</v>
      </c>
      <c r="B1024" s="880">
        <v>2025</v>
      </c>
      <c r="C1024" s="816" t="s">
        <v>1930</v>
      </c>
      <c r="D1024" s="816" t="s">
        <v>156</v>
      </c>
      <c r="E1024" s="816" t="s">
        <v>2487</v>
      </c>
      <c r="F1024" s="826">
        <v>1401382.02</v>
      </c>
      <c r="G1024" s="880">
        <v>1</v>
      </c>
      <c r="H1024" s="826">
        <v>1344412.59</v>
      </c>
      <c r="I1024" s="826">
        <v>56969.43</v>
      </c>
      <c r="J1024" s="826">
        <v>1401382.02</v>
      </c>
      <c r="K1024" s="878">
        <v>1401382.02</v>
      </c>
    </row>
    <row r="1025" spans="1:11" ht="22.5" customHeight="1" x14ac:dyDescent="0.25">
      <c r="A1025" s="816" t="s">
        <v>240</v>
      </c>
      <c r="B1025" s="880">
        <v>2025</v>
      </c>
      <c r="C1025" s="816" t="s">
        <v>1932</v>
      </c>
      <c r="D1025" s="816" t="s">
        <v>1933</v>
      </c>
      <c r="E1025" s="816" t="s">
        <v>2488</v>
      </c>
      <c r="F1025" s="826">
        <v>-351298.1</v>
      </c>
      <c r="G1025" s="880">
        <v>0</v>
      </c>
      <c r="H1025" s="465"/>
      <c r="I1025" s="465"/>
      <c r="J1025" s="826">
        <v>0</v>
      </c>
      <c r="K1025" s="878">
        <v>-351298.1</v>
      </c>
    </row>
    <row r="1026" spans="1:11" ht="22.5" customHeight="1" x14ac:dyDescent="0.25">
      <c r="A1026" s="816" t="s">
        <v>240</v>
      </c>
      <c r="B1026" s="880">
        <v>2025</v>
      </c>
      <c r="C1026" s="816" t="s">
        <v>1935</v>
      </c>
      <c r="D1026" s="816" t="s">
        <v>1936</v>
      </c>
      <c r="E1026" s="816" t="s">
        <v>8166</v>
      </c>
      <c r="F1026" s="826">
        <v>0</v>
      </c>
      <c r="G1026" s="880">
        <v>1</v>
      </c>
      <c r="H1026" s="465"/>
      <c r="I1026" s="465"/>
      <c r="J1026" s="826">
        <v>0</v>
      </c>
      <c r="K1026" s="878">
        <v>0</v>
      </c>
    </row>
    <row r="1027" spans="1:11" ht="22.5" customHeight="1" x14ac:dyDescent="0.25">
      <c r="A1027" s="816" t="s">
        <v>240</v>
      </c>
      <c r="B1027" s="880">
        <v>2025</v>
      </c>
      <c r="C1027" s="816" t="s">
        <v>1935</v>
      </c>
      <c r="D1027" s="816" t="s">
        <v>1937</v>
      </c>
      <c r="E1027" s="816" t="s">
        <v>8167</v>
      </c>
      <c r="F1027" s="826">
        <v>0</v>
      </c>
      <c r="G1027" s="880">
        <v>1</v>
      </c>
      <c r="H1027" s="465"/>
      <c r="I1027" s="465"/>
      <c r="J1027" s="826">
        <v>0</v>
      </c>
      <c r="K1027" s="878">
        <v>0</v>
      </c>
    </row>
    <row r="1028" spans="1:11" ht="22.5" customHeight="1" x14ac:dyDescent="0.25">
      <c r="A1028" s="816" t="s">
        <v>240</v>
      </c>
      <c r="B1028" s="880">
        <v>2025</v>
      </c>
      <c r="C1028" s="816" t="s">
        <v>1935</v>
      </c>
      <c r="D1028" s="816" t="s">
        <v>1938</v>
      </c>
      <c r="E1028" s="816" t="s">
        <v>8168</v>
      </c>
      <c r="F1028" s="826">
        <v>0</v>
      </c>
      <c r="G1028" s="880">
        <v>1</v>
      </c>
      <c r="H1028" s="465"/>
      <c r="I1028" s="465"/>
      <c r="J1028" s="826">
        <v>0</v>
      </c>
      <c r="K1028" s="878">
        <v>0</v>
      </c>
    </row>
    <row r="1029" spans="1:11" ht="22.5" customHeight="1" x14ac:dyDescent="0.25">
      <c r="A1029" s="816" t="s">
        <v>240</v>
      </c>
      <c r="B1029" s="880">
        <v>2025</v>
      </c>
      <c r="C1029" s="816" t="s">
        <v>1935</v>
      </c>
      <c r="D1029" s="816" t="s">
        <v>1939</v>
      </c>
      <c r="E1029" s="816" t="s">
        <v>8169</v>
      </c>
      <c r="F1029" s="826">
        <v>0</v>
      </c>
      <c r="G1029" s="880">
        <v>1</v>
      </c>
      <c r="H1029" s="465"/>
      <c r="I1029" s="465"/>
      <c r="J1029" s="826">
        <v>0</v>
      </c>
      <c r="K1029" s="878">
        <v>0</v>
      </c>
    </row>
    <row r="1030" spans="1:11" ht="22.5" customHeight="1" x14ac:dyDescent="0.25">
      <c r="A1030" s="816" t="s">
        <v>240</v>
      </c>
      <c r="B1030" s="880">
        <v>2025</v>
      </c>
      <c r="C1030" s="816" t="s">
        <v>1935</v>
      </c>
      <c r="D1030" s="816" t="s">
        <v>1940</v>
      </c>
      <c r="E1030" s="816" t="s">
        <v>8170</v>
      </c>
      <c r="F1030" s="826">
        <v>0</v>
      </c>
      <c r="G1030" s="880">
        <v>1</v>
      </c>
      <c r="H1030" s="465"/>
      <c r="I1030" s="465"/>
      <c r="J1030" s="826">
        <v>0</v>
      </c>
      <c r="K1030" s="878">
        <v>0</v>
      </c>
    </row>
    <row r="1031" spans="1:11" ht="22.5" customHeight="1" x14ac:dyDescent="0.25">
      <c r="A1031" s="816" t="s">
        <v>240</v>
      </c>
      <c r="B1031" s="880">
        <v>2025</v>
      </c>
      <c r="C1031" s="816" t="s">
        <v>1935</v>
      </c>
      <c r="D1031" s="816" t="s">
        <v>1941</v>
      </c>
      <c r="E1031" s="816" t="s">
        <v>8171</v>
      </c>
      <c r="F1031" s="826">
        <v>0</v>
      </c>
      <c r="G1031" s="880">
        <v>1</v>
      </c>
      <c r="H1031" s="465"/>
      <c r="I1031" s="465"/>
      <c r="J1031" s="826">
        <v>0</v>
      </c>
      <c r="K1031" s="878">
        <v>0</v>
      </c>
    </row>
    <row r="1032" spans="1:11" ht="22.5" customHeight="1" x14ac:dyDescent="0.25">
      <c r="A1032" s="816" t="s">
        <v>240</v>
      </c>
      <c r="B1032" s="880">
        <v>2025</v>
      </c>
      <c r="C1032" s="816" t="s">
        <v>1935</v>
      </c>
      <c r="D1032" s="816" t="s">
        <v>1942</v>
      </c>
      <c r="E1032" s="816" t="s">
        <v>8172</v>
      </c>
      <c r="F1032" s="826">
        <v>0</v>
      </c>
      <c r="G1032" s="880">
        <v>1</v>
      </c>
      <c r="H1032" s="465"/>
      <c r="I1032" s="465"/>
      <c r="J1032" s="826">
        <v>0</v>
      </c>
      <c r="K1032" s="878">
        <v>0</v>
      </c>
    </row>
    <row r="1033" spans="1:11" ht="22.5" customHeight="1" x14ac:dyDescent="0.25">
      <c r="A1033" s="816" t="s">
        <v>240</v>
      </c>
      <c r="B1033" s="880">
        <v>2025</v>
      </c>
      <c r="C1033" s="816" t="s">
        <v>1935</v>
      </c>
      <c r="D1033" s="816" t="s">
        <v>1943</v>
      </c>
      <c r="E1033" s="816" t="s">
        <v>8173</v>
      </c>
      <c r="F1033" s="826">
        <v>0</v>
      </c>
      <c r="G1033" s="880">
        <v>1</v>
      </c>
      <c r="H1033" s="465"/>
      <c r="I1033" s="465"/>
      <c r="J1033" s="826">
        <v>0</v>
      </c>
      <c r="K1033" s="878">
        <v>0</v>
      </c>
    </row>
    <row r="1034" spans="1:11" ht="22.5" customHeight="1" x14ac:dyDescent="0.25">
      <c r="A1034" s="816" t="s">
        <v>240</v>
      </c>
      <c r="B1034" s="880">
        <v>2025</v>
      </c>
      <c r="C1034" s="816" t="s">
        <v>1935</v>
      </c>
      <c r="D1034" s="816" t="s">
        <v>1944</v>
      </c>
      <c r="E1034" s="816" t="s">
        <v>8174</v>
      </c>
      <c r="F1034" s="826">
        <v>0</v>
      </c>
      <c r="G1034" s="880">
        <v>1</v>
      </c>
      <c r="H1034" s="465"/>
      <c r="I1034" s="465"/>
      <c r="J1034" s="826">
        <v>0</v>
      </c>
      <c r="K1034" s="878">
        <v>0</v>
      </c>
    </row>
    <row r="1035" spans="1:11" ht="22.5" customHeight="1" x14ac:dyDescent="0.25">
      <c r="A1035" s="816" t="s">
        <v>240</v>
      </c>
      <c r="B1035" s="880">
        <v>2025</v>
      </c>
      <c r="C1035" s="816" t="s">
        <v>1935</v>
      </c>
      <c r="D1035" s="816" t="s">
        <v>1945</v>
      </c>
      <c r="E1035" s="816" t="s">
        <v>8175</v>
      </c>
      <c r="F1035" s="826">
        <v>0</v>
      </c>
      <c r="G1035" s="880">
        <v>1</v>
      </c>
      <c r="H1035" s="465"/>
      <c r="I1035" s="465"/>
      <c r="J1035" s="826">
        <v>0</v>
      </c>
      <c r="K1035" s="878">
        <v>0</v>
      </c>
    </row>
    <row r="1036" spans="1:11" ht="22.5" customHeight="1" x14ac:dyDescent="0.25">
      <c r="A1036" s="816" t="s">
        <v>240</v>
      </c>
      <c r="B1036" s="880">
        <v>2025</v>
      </c>
      <c r="C1036" s="816" t="s">
        <v>1935</v>
      </c>
      <c r="D1036" s="816" t="s">
        <v>1946</v>
      </c>
      <c r="E1036" s="816" t="s">
        <v>8176</v>
      </c>
      <c r="F1036" s="826">
        <v>0</v>
      </c>
      <c r="G1036" s="880">
        <v>1</v>
      </c>
      <c r="H1036" s="465"/>
      <c r="I1036" s="465"/>
      <c r="J1036" s="826">
        <v>0</v>
      </c>
      <c r="K1036" s="878">
        <v>0</v>
      </c>
    </row>
    <row r="1037" spans="1:11" ht="22.5" customHeight="1" x14ac:dyDescent="0.25">
      <c r="A1037" s="816" t="s">
        <v>240</v>
      </c>
      <c r="B1037" s="880">
        <v>2025</v>
      </c>
      <c r="C1037" s="816" t="s">
        <v>1935</v>
      </c>
      <c r="D1037" s="816" t="s">
        <v>1947</v>
      </c>
      <c r="E1037" s="816" t="s">
        <v>8177</v>
      </c>
      <c r="F1037" s="826">
        <v>0</v>
      </c>
      <c r="G1037" s="880">
        <v>1</v>
      </c>
      <c r="H1037" s="465"/>
      <c r="I1037" s="465"/>
      <c r="J1037" s="826">
        <v>0</v>
      </c>
      <c r="K1037" s="878">
        <v>0</v>
      </c>
    </row>
    <row r="1038" spans="1:11" ht="22.5" customHeight="1" x14ac:dyDescent="0.25">
      <c r="A1038" s="816" t="s">
        <v>240</v>
      </c>
      <c r="B1038" s="880">
        <v>2025</v>
      </c>
      <c r="C1038" s="816" t="s">
        <v>1935</v>
      </c>
      <c r="D1038" s="816" t="s">
        <v>1948</v>
      </c>
      <c r="E1038" s="816" t="s">
        <v>8178</v>
      </c>
      <c r="F1038" s="826">
        <v>0</v>
      </c>
      <c r="G1038" s="880">
        <v>1</v>
      </c>
      <c r="H1038" s="826">
        <v>-129577.93</v>
      </c>
      <c r="I1038" s="826">
        <v>-7382.42</v>
      </c>
      <c r="J1038" s="826">
        <v>-136960.35</v>
      </c>
      <c r="K1038" s="878">
        <v>-136960.35</v>
      </c>
    </row>
    <row r="1039" spans="1:11" ht="22.5" customHeight="1" x14ac:dyDescent="0.25">
      <c r="A1039" s="816" t="s">
        <v>240</v>
      </c>
      <c r="B1039" s="880">
        <v>2025</v>
      </c>
      <c r="C1039" s="816" t="s">
        <v>1935</v>
      </c>
      <c r="D1039" s="816" t="s">
        <v>1949</v>
      </c>
      <c r="E1039" s="816" t="s">
        <v>8179</v>
      </c>
      <c r="F1039" s="826">
        <v>0</v>
      </c>
      <c r="G1039" s="880">
        <v>1</v>
      </c>
      <c r="H1039" s="826">
        <v>74851.199999999997</v>
      </c>
      <c r="I1039" s="826">
        <v>13269.72</v>
      </c>
      <c r="J1039" s="826">
        <v>88120.92</v>
      </c>
      <c r="K1039" s="878">
        <v>88120.92</v>
      </c>
    </row>
    <row r="1040" spans="1:11" ht="22.5" customHeight="1" x14ac:dyDescent="0.25">
      <c r="A1040" s="816" t="s">
        <v>240</v>
      </c>
      <c r="B1040" s="880">
        <v>2025</v>
      </c>
      <c r="C1040" s="816" t="s">
        <v>1935</v>
      </c>
      <c r="D1040" s="816" t="s">
        <v>1950</v>
      </c>
      <c r="E1040" s="816" t="s">
        <v>8180</v>
      </c>
      <c r="F1040" s="826">
        <v>0</v>
      </c>
      <c r="G1040" s="880">
        <v>1</v>
      </c>
      <c r="H1040" s="826">
        <v>23173.34</v>
      </c>
      <c r="I1040" s="826">
        <v>22193.9</v>
      </c>
      <c r="J1040" s="826">
        <v>45367.24</v>
      </c>
      <c r="K1040" s="878">
        <v>45367.24</v>
      </c>
    </row>
    <row r="1041" spans="1:11" ht="22.5" customHeight="1" x14ac:dyDescent="0.25">
      <c r="A1041" s="816" t="s">
        <v>240</v>
      </c>
      <c r="B1041" s="880">
        <v>2025</v>
      </c>
      <c r="C1041" s="816" t="s">
        <v>1935</v>
      </c>
      <c r="D1041" s="816" t="s">
        <v>1951</v>
      </c>
      <c r="E1041" s="816" t="s">
        <v>8181</v>
      </c>
      <c r="F1041" s="826">
        <v>0</v>
      </c>
      <c r="G1041" s="880">
        <v>1</v>
      </c>
      <c r="H1041" s="826">
        <v>7716.12</v>
      </c>
      <c r="I1041" s="826">
        <v>-1358.85</v>
      </c>
      <c r="J1041" s="826">
        <v>6357.27</v>
      </c>
      <c r="K1041" s="878">
        <v>6357.27</v>
      </c>
    </row>
    <row r="1042" spans="1:11" ht="22.5" customHeight="1" x14ac:dyDescent="0.25">
      <c r="A1042" s="816" t="s">
        <v>240</v>
      </c>
      <c r="B1042" s="880">
        <v>2025</v>
      </c>
      <c r="C1042" s="816" t="s">
        <v>1935</v>
      </c>
      <c r="D1042" s="816" t="s">
        <v>7801</v>
      </c>
      <c r="E1042" s="816" t="s">
        <v>8182</v>
      </c>
      <c r="F1042" s="826">
        <v>0</v>
      </c>
      <c r="G1042" s="880">
        <v>1</v>
      </c>
      <c r="H1042" s="826">
        <v>893412.89</v>
      </c>
      <c r="I1042" s="826">
        <v>51450.66</v>
      </c>
      <c r="J1042" s="826">
        <v>944863.55</v>
      </c>
      <c r="K1042" s="878">
        <v>944863.55</v>
      </c>
    </row>
    <row r="1043" spans="1:11" ht="22.5" customHeight="1" x14ac:dyDescent="0.25">
      <c r="A1043" s="816" t="s">
        <v>240</v>
      </c>
      <c r="B1043" s="880">
        <v>2025</v>
      </c>
      <c r="C1043" s="816" t="s">
        <v>1935</v>
      </c>
      <c r="D1043" s="816" t="s">
        <v>1952</v>
      </c>
      <c r="E1043" s="816" t="s">
        <v>8183</v>
      </c>
      <c r="F1043" s="826">
        <v>947748.63</v>
      </c>
      <c r="G1043" s="880">
        <v>0</v>
      </c>
      <c r="H1043" s="465"/>
      <c r="I1043" s="465"/>
      <c r="J1043" s="826">
        <v>0</v>
      </c>
      <c r="K1043" s="878">
        <v>947748.63</v>
      </c>
    </row>
    <row r="1044" spans="1:11" ht="22.5" customHeight="1" x14ac:dyDescent="0.25">
      <c r="A1044" s="816" t="s">
        <v>240</v>
      </c>
      <c r="B1044" s="880">
        <v>2025</v>
      </c>
      <c r="C1044" s="816" t="s">
        <v>1953</v>
      </c>
      <c r="D1044" s="816" t="s">
        <v>1954</v>
      </c>
      <c r="E1044" s="816" t="s">
        <v>2489</v>
      </c>
      <c r="F1044" s="826">
        <v>-334067.05</v>
      </c>
      <c r="G1044" s="880">
        <v>0</v>
      </c>
      <c r="H1044" s="465"/>
      <c r="I1044" s="465"/>
      <c r="J1044" s="826">
        <v>0</v>
      </c>
      <c r="K1044" s="878">
        <v>-334067.05</v>
      </c>
    </row>
    <row r="1045" spans="1:11" ht="22.5" customHeight="1" x14ac:dyDescent="0.25">
      <c r="A1045" s="816" t="s">
        <v>244</v>
      </c>
      <c r="B1045" s="880">
        <v>2025</v>
      </c>
      <c r="C1045" s="816" t="s">
        <v>1854</v>
      </c>
      <c r="D1045" s="816" t="s">
        <v>1855</v>
      </c>
      <c r="E1045" s="816" t="s">
        <v>2490</v>
      </c>
      <c r="F1045" s="826">
        <v>113430.8</v>
      </c>
      <c r="G1045" s="880">
        <v>0</v>
      </c>
      <c r="H1045" s="465"/>
      <c r="I1045" s="465"/>
      <c r="J1045" s="826">
        <v>0</v>
      </c>
      <c r="K1045" s="878">
        <v>113430.8</v>
      </c>
    </row>
    <row r="1046" spans="1:11" ht="22.5" customHeight="1" x14ac:dyDescent="0.25">
      <c r="A1046" s="816" t="s">
        <v>244</v>
      </c>
      <c r="B1046" s="880">
        <v>2025</v>
      </c>
      <c r="C1046" s="816" t="s">
        <v>7746</v>
      </c>
      <c r="D1046" s="816" t="s">
        <v>7747</v>
      </c>
      <c r="E1046" s="816" t="s">
        <v>7768</v>
      </c>
      <c r="F1046" s="826">
        <v>0</v>
      </c>
      <c r="G1046" s="880">
        <v>0</v>
      </c>
      <c r="H1046" s="465"/>
      <c r="I1046" s="465"/>
      <c r="J1046" s="826">
        <v>0</v>
      </c>
      <c r="K1046" s="878">
        <v>0</v>
      </c>
    </row>
    <row r="1047" spans="1:11" ht="22.5" customHeight="1" x14ac:dyDescent="0.25">
      <c r="A1047" s="816" t="s">
        <v>244</v>
      </c>
      <c r="B1047" s="880">
        <v>2025</v>
      </c>
      <c r="C1047" s="816" t="s">
        <v>1857</v>
      </c>
      <c r="D1047" s="816" t="s">
        <v>1858</v>
      </c>
      <c r="E1047" s="816" t="s">
        <v>2491</v>
      </c>
      <c r="F1047" s="826">
        <v>0</v>
      </c>
      <c r="G1047" s="880">
        <v>0</v>
      </c>
      <c r="H1047" s="465"/>
      <c r="I1047" s="465"/>
      <c r="J1047" s="826">
        <v>0</v>
      </c>
      <c r="K1047" s="878">
        <v>0</v>
      </c>
    </row>
    <row r="1048" spans="1:11" ht="22.5" customHeight="1" x14ac:dyDescent="0.25">
      <c r="A1048" s="816" t="s">
        <v>244</v>
      </c>
      <c r="B1048" s="880">
        <v>2025</v>
      </c>
      <c r="C1048" s="816" t="s">
        <v>1860</v>
      </c>
      <c r="D1048" s="816" t="s">
        <v>1861</v>
      </c>
      <c r="E1048" s="816" t="s">
        <v>2492</v>
      </c>
      <c r="F1048" s="826">
        <v>0</v>
      </c>
      <c r="G1048" s="880">
        <v>0</v>
      </c>
      <c r="H1048" s="465"/>
      <c r="I1048" s="465"/>
      <c r="J1048" s="826">
        <v>0</v>
      </c>
      <c r="K1048" s="878">
        <v>0</v>
      </c>
    </row>
    <row r="1049" spans="1:11" ht="22.5" customHeight="1" x14ac:dyDescent="0.25">
      <c r="A1049" s="816" t="s">
        <v>244</v>
      </c>
      <c r="B1049" s="880">
        <v>2025</v>
      </c>
      <c r="C1049" s="816" t="s">
        <v>1863</v>
      </c>
      <c r="D1049" s="816" t="s">
        <v>1864</v>
      </c>
      <c r="E1049" s="816" t="s">
        <v>2493</v>
      </c>
      <c r="F1049" s="826">
        <v>0</v>
      </c>
      <c r="G1049" s="880">
        <v>0</v>
      </c>
      <c r="H1049" s="465"/>
      <c r="I1049" s="465"/>
      <c r="J1049" s="826">
        <v>0</v>
      </c>
      <c r="K1049" s="878">
        <v>0</v>
      </c>
    </row>
    <row r="1050" spans="1:11" ht="22.5" customHeight="1" x14ac:dyDescent="0.25">
      <c r="A1050" s="816" t="s">
        <v>244</v>
      </c>
      <c r="B1050" s="880">
        <v>2025</v>
      </c>
      <c r="C1050" s="816" t="s">
        <v>1866</v>
      </c>
      <c r="D1050" s="816" t="s">
        <v>1867</v>
      </c>
      <c r="E1050" s="816" t="s">
        <v>2494</v>
      </c>
      <c r="F1050" s="826">
        <v>0</v>
      </c>
      <c r="G1050" s="880">
        <v>0</v>
      </c>
      <c r="H1050" s="465"/>
      <c r="I1050" s="465"/>
      <c r="J1050" s="826">
        <v>0</v>
      </c>
      <c r="K1050" s="878">
        <v>0</v>
      </c>
    </row>
    <row r="1051" spans="1:11" ht="22.5" customHeight="1" x14ac:dyDescent="0.25">
      <c r="A1051" s="816" t="s">
        <v>244</v>
      </c>
      <c r="B1051" s="880">
        <v>2025</v>
      </c>
      <c r="C1051" s="816" t="s">
        <v>1869</v>
      </c>
      <c r="D1051" s="816" t="s">
        <v>1870</v>
      </c>
      <c r="E1051" s="816" t="s">
        <v>2495</v>
      </c>
      <c r="F1051" s="826">
        <v>0</v>
      </c>
      <c r="G1051" s="880">
        <v>0</v>
      </c>
      <c r="H1051" s="465"/>
      <c r="I1051" s="465"/>
      <c r="J1051" s="826">
        <v>0</v>
      </c>
      <c r="K1051" s="878">
        <v>0</v>
      </c>
    </row>
    <row r="1052" spans="1:11" ht="22.5" customHeight="1" x14ac:dyDescent="0.25">
      <c r="A1052" s="816" t="s">
        <v>244</v>
      </c>
      <c r="B1052" s="880">
        <v>2025</v>
      </c>
      <c r="C1052" s="816" t="s">
        <v>1872</v>
      </c>
      <c r="D1052" s="816" t="s">
        <v>1873</v>
      </c>
      <c r="E1052" s="816" t="s">
        <v>2496</v>
      </c>
      <c r="F1052" s="826">
        <v>0</v>
      </c>
      <c r="G1052" s="880">
        <v>0</v>
      </c>
      <c r="H1052" s="465"/>
      <c r="I1052" s="465"/>
      <c r="J1052" s="826">
        <v>0</v>
      </c>
      <c r="K1052" s="878">
        <v>0</v>
      </c>
    </row>
    <row r="1053" spans="1:11" ht="22.5" customHeight="1" x14ac:dyDescent="0.25">
      <c r="A1053" s="816" t="s">
        <v>244</v>
      </c>
      <c r="B1053" s="880">
        <v>2025</v>
      </c>
      <c r="C1053" s="816" t="s">
        <v>1875</v>
      </c>
      <c r="D1053" s="816" t="s">
        <v>1876</v>
      </c>
      <c r="E1053" s="816" t="s">
        <v>2497</v>
      </c>
      <c r="F1053" s="826">
        <v>0</v>
      </c>
      <c r="G1053" s="880">
        <v>0</v>
      </c>
      <c r="H1053" s="465"/>
      <c r="I1053" s="465"/>
      <c r="J1053" s="826">
        <v>0</v>
      </c>
      <c r="K1053" s="878">
        <v>0</v>
      </c>
    </row>
    <row r="1054" spans="1:11" ht="22.5" customHeight="1" x14ac:dyDescent="0.25">
      <c r="A1054" s="816" t="s">
        <v>244</v>
      </c>
      <c r="B1054" s="880">
        <v>2025</v>
      </c>
      <c r="C1054" s="816" t="s">
        <v>1878</v>
      </c>
      <c r="D1054" s="816" t="s">
        <v>1879</v>
      </c>
      <c r="E1054" s="816" t="s">
        <v>2498</v>
      </c>
      <c r="F1054" s="826">
        <v>0</v>
      </c>
      <c r="G1054" s="880">
        <v>0</v>
      </c>
      <c r="H1054" s="465"/>
      <c r="I1054" s="465"/>
      <c r="J1054" s="826">
        <v>0</v>
      </c>
      <c r="K1054" s="878">
        <v>0</v>
      </c>
    </row>
    <row r="1055" spans="1:11" ht="22.5" customHeight="1" x14ac:dyDescent="0.25">
      <c r="A1055" s="816" t="s">
        <v>244</v>
      </c>
      <c r="B1055" s="880">
        <v>2025</v>
      </c>
      <c r="C1055" s="816" t="s">
        <v>1881</v>
      </c>
      <c r="D1055" s="816" t="s">
        <v>1882</v>
      </c>
      <c r="E1055" s="816" t="s">
        <v>2499</v>
      </c>
      <c r="F1055" s="826">
        <v>0</v>
      </c>
      <c r="G1055" s="880">
        <v>0</v>
      </c>
      <c r="H1055" s="465"/>
      <c r="I1055" s="465"/>
      <c r="J1055" s="826">
        <v>0</v>
      </c>
      <c r="K1055" s="878">
        <v>0</v>
      </c>
    </row>
    <row r="1056" spans="1:11" ht="22.5" customHeight="1" x14ac:dyDescent="0.25">
      <c r="A1056" s="816" t="s">
        <v>244</v>
      </c>
      <c r="B1056" s="880">
        <v>2025</v>
      </c>
      <c r="C1056" s="816" t="s">
        <v>1884</v>
      </c>
      <c r="D1056" s="816" t="s">
        <v>1885</v>
      </c>
      <c r="E1056" s="816" t="s">
        <v>2500</v>
      </c>
      <c r="F1056" s="826">
        <v>0</v>
      </c>
      <c r="G1056" s="880">
        <v>0</v>
      </c>
      <c r="H1056" s="465"/>
      <c r="I1056" s="465"/>
      <c r="J1056" s="826">
        <v>0</v>
      </c>
      <c r="K1056" s="878">
        <v>0</v>
      </c>
    </row>
    <row r="1057" spans="1:11" ht="22.5" customHeight="1" x14ac:dyDescent="0.25">
      <c r="A1057" s="816" t="s">
        <v>244</v>
      </c>
      <c r="B1057" s="880">
        <v>2025</v>
      </c>
      <c r="C1057" s="816" t="s">
        <v>1887</v>
      </c>
      <c r="D1057" s="816" t="s">
        <v>138</v>
      </c>
      <c r="E1057" s="816" t="s">
        <v>2501</v>
      </c>
      <c r="F1057" s="826">
        <v>-329583.56</v>
      </c>
      <c r="G1057" s="880">
        <v>1</v>
      </c>
      <c r="H1057" s="826">
        <v>-313005.34000000003</v>
      </c>
      <c r="I1057" s="826">
        <v>-16578.22</v>
      </c>
      <c r="J1057" s="826">
        <v>-329583.56</v>
      </c>
      <c r="K1057" s="878">
        <v>-329583.56</v>
      </c>
    </row>
    <row r="1058" spans="1:11" ht="22.5" customHeight="1" x14ac:dyDescent="0.25">
      <c r="A1058" s="816" t="s">
        <v>244</v>
      </c>
      <c r="B1058" s="880">
        <v>2025</v>
      </c>
      <c r="C1058" s="816" t="s">
        <v>1889</v>
      </c>
      <c r="D1058" s="816" t="s">
        <v>139</v>
      </c>
      <c r="E1058" s="816" t="s">
        <v>2502</v>
      </c>
      <c r="F1058" s="826">
        <v>-34455.93</v>
      </c>
      <c r="G1058" s="880">
        <v>1</v>
      </c>
      <c r="H1058" s="826">
        <v>-32196.63</v>
      </c>
      <c r="I1058" s="826">
        <v>-2259.3000000000002</v>
      </c>
      <c r="J1058" s="826">
        <v>-34455.93</v>
      </c>
      <c r="K1058" s="878">
        <v>-34455.93</v>
      </c>
    </row>
    <row r="1059" spans="1:11" ht="22.5" customHeight="1" x14ac:dyDescent="0.25">
      <c r="A1059" s="816" t="s">
        <v>244</v>
      </c>
      <c r="B1059" s="880">
        <v>2025</v>
      </c>
      <c r="C1059" s="816" t="s">
        <v>1891</v>
      </c>
      <c r="D1059" s="816" t="s">
        <v>1892</v>
      </c>
      <c r="E1059" s="816" t="s">
        <v>2503</v>
      </c>
      <c r="F1059" s="826">
        <v>0</v>
      </c>
      <c r="G1059" s="880">
        <v>0</v>
      </c>
      <c r="H1059" s="465"/>
      <c r="I1059" s="465"/>
      <c r="J1059" s="826">
        <v>0</v>
      </c>
      <c r="K1059" s="878">
        <v>0</v>
      </c>
    </row>
    <row r="1060" spans="1:11" ht="22.5" customHeight="1" x14ac:dyDescent="0.25">
      <c r="A1060" s="816" t="s">
        <v>244</v>
      </c>
      <c r="B1060" s="880">
        <v>2025</v>
      </c>
      <c r="C1060" s="816" t="s">
        <v>1891</v>
      </c>
      <c r="D1060" s="816" t="s">
        <v>1894</v>
      </c>
      <c r="E1060" s="816" t="s">
        <v>2503</v>
      </c>
      <c r="F1060" s="826">
        <v>0</v>
      </c>
      <c r="G1060" s="880">
        <v>0</v>
      </c>
      <c r="H1060" s="465"/>
      <c r="I1060" s="465"/>
      <c r="J1060" s="826">
        <v>0</v>
      </c>
      <c r="K1060" s="881">
        <v>0</v>
      </c>
    </row>
    <row r="1061" spans="1:11" ht="22.5" customHeight="1" x14ac:dyDescent="0.25">
      <c r="A1061" s="816" t="s">
        <v>244</v>
      </c>
      <c r="B1061" s="880">
        <v>2025</v>
      </c>
      <c r="C1061" s="816" t="s">
        <v>1895</v>
      </c>
      <c r="D1061" s="816" t="s">
        <v>1896</v>
      </c>
      <c r="E1061" s="816" t="s">
        <v>2504</v>
      </c>
      <c r="F1061" s="826">
        <v>0</v>
      </c>
      <c r="G1061" s="880">
        <v>0</v>
      </c>
      <c r="H1061" s="465"/>
      <c r="I1061" s="465"/>
      <c r="J1061" s="826">
        <v>0</v>
      </c>
      <c r="K1061" s="878">
        <v>0</v>
      </c>
    </row>
    <row r="1062" spans="1:11" ht="22.5" customHeight="1" x14ac:dyDescent="0.25">
      <c r="A1062" s="816" t="s">
        <v>244</v>
      </c>
      <c r="B1062" s="880">
        <v>2025</v>
      </c>
      <c r="C1062" s="816" t="s">
        <v>1898</v>
      </c>
      <c r="D1062" s="816" t="s">
        <v>1899</v>
      </c>
      <c r="E1062" s="816" t="s">
        <v>2505</v>
      </c>
      <c r="F1062" s="826">
        <v>0</v>
      </c>
      <c r="G1062" s="880">
        <v>0</v>
      </c>
      <c r="H1062" s="465"/>
      <c r="I1062" s="465"/>
      <c r="J1062" s="826">
        <v>0</v>
      </c>
      <c r="K1062" s="878">
        <v>0</v>
      </c>
    </row>
    <row r="1063" spans="1:11" ht="22.5" customHeight="1" x14ac:dyDescent="0.25">
      <c r="A1063" s="816" t="s">
        <v>244</v>
      </c>
      <c r="B1063" s="880">
        <v>2025</v>
      </c>
      <c r="C1063" s="816" t="s">
        <v>1901</v>
      </c>
      <c r="D1063" s="816" t="s">
        <v>1902</v>
      </c>
      <c r="E1063" s="816" t="s">
        <v>2506</v>
      </c>
      <c r="F1063" s="826">
        <v>0</v>
      </c>
      <c r="G1063" s="880">
        <v>0</v>
      </c>
      <c r="H1063" s="465"/>
      <c r="I1063" s="465"/>
      <c r="J1063" s="826">
        <v>0</v>
      </c>
      <c r="K1063" s="878">
        <v>0</v>
      </c>
    </row>
    <row r="1064" spans="1:11" ht="22.5" customHeight="1" x14ac:dyDescent="0.25">
      <c r="A1064" s="816" t="s">
        <v>244</v>
      </c>
      <c r="B1064" s="880">
        <v>2025</v>
      </c>
      <c r="C1064" s="816" t="s">
        <v>1904</v>
      </c>
      <c r="D1064" s="816" t="s">
        <v>1905</v>
      </c>
      <c r="E1064" s="816" t="s">
        <v>2507</v>
      </c>
      <c r="F1064" s="826">
        <v>0</v>
      </c>
      <c r="G1064" s="880">
        <v>0</v>
      </c>
      <c r="H1064" s="465"/>
      <c r="I1064" s="465"/>
      <c r="J1064" s="826">
        <v>0</v>
      </c>
      <c r="K1064" s="878">
        <v>0</v>
      </c>
    </row>
    <row r="1065" spans="1:11" ht="22.5" customHeight="1" x14ac:dyDescent="0.25">
      <c r="A1065" s="816" t="s">
        <v>244</v>
      </c>
      <c r="B1065" s="880">
        <v>2025</v>
      </c>
      <c r="C1065" s="816" t="s">
        <v>1907</v>
      </c>
      <c r="D1065" s="816" t="s">
        <v>1908</v>
      </c>
      <c r="E1065" s="816" t="s">
        <v>2508</v>
      </c>
      <c r="F1065" s="826">
        <v>0</v>
      </c>
      <c r="G1065" s="880">
        <v>0</v>
      </c>
      <c r="H1065" s="465"/>
      <c r="I1065" s="465"/>
      <c r="J1065" s="826">
        <v>0</v>
      </c>
      <c r="K1065" s="878">
        <v>0</v>
      </c>
    </row>
    <row r="1066" spans="1:11" ht="22.5" customHeight="1" x14ac:dyDescent="0.25">
      <c r="A1066" s="816" t="s">
        <v>244</v>
      </c>
      <c r="B1066" s="880">
        <v>2025</v>
      </c>
      <c r="C1066" s="816" t="s">
        <v>1910</v>
      </c>
      <c r="D1066" s="816" t="s">
        <v>1911</v>
      </c>
      <c r="E1066" s="816" t="s">
        <v>2509</v>
      </c>
      <c r="F1066" s="826">
        <v>0</v>
      </c>
      <c r="G1066" s="880">
        <v>0</v>
      </c>
      <c r="H1066" s="465"/>
      <c r="I1066" s="465"/>
      <c r="J1066" s="826">
        <v>0</v>
      </c>
      <c r="K1066" s="878">
        <v>0</v>
      </c>
    </row>
    <row r="1067" spans="1:11" ht="22.5" customHeight="1" x14ac:dyDescent="0.25">
      <c r="A1067" s="816" t="s">
        <v>244</v>
      </c>
      <c r="B1067" s="880">
        <v>2025</v>
      </c>
      <c r="C1067" s="816" t="s">
        <v>1913</v>
      </c>
      <c r="D1067" s="816" t="s">
        <v>1914</v>
      </c>
      <c r="E1067" s="816" t="s">
        <v>2510</v>
      </c>
      <c r="F1067" s="826">
        <v>-135086.34</v>
      </c>
      <c r="G1067" s="880">
        <v>1</v>
      </c>
      <c r="H1067" s="826">
        <v>-125660.82</v>
      </c>
      <c r="I1067" s="826">
        <v>-9425.52</v>
      </c>
      <c r="J1067" s="826">
        <v>-135086.34</v>
      </c>
      <c r="K1067" s="878">
        <v>-135086.34</v>
      </c>
    </row>
    <row r="1068" spans="1:11" ht="22.5" customHeight="1" x14ac:dyDescent="0.25">
      <c r="A1068" s="816" t="s">
        <v>244</v>
      </c>
      <c r="B1068" s="880">
        <v>2025</v>
      </c>
      <c r="C1068" s="816" t="s">
        <v>1913</v>
      </c>
      <c r="D1068" s="816" t="s">
        <v>1916</v>
      </c>
      <c r="E1068" s="816" t="s">
        <v>2510</v>
      </c>
      <c r="F1068" s="826">
        <v>0</v>
      </c>
      <c r="G1068" s="880">
        <v>0</v>
      </c>
      <c r="H1068" s="465"/>
      <c r="I1068" s="465"/>
      <c r="J1068" s="826">
        <v>0</v>
      </c>
      <c r="K1068" s="881">
        <v>0</v>
      </c>
    </row>
    <row r="1069" spans="1:11" ht="22.5" customHeight="1" x14ac:dyDescent="0.25">
      <c r="A1069" s="816" t="s">
        <v>244</v>
      </c>
      <c r="B1069" s="880">
        <v>2025</v>
      </c>
      <c r="C1069" s="816" t="s">
        <v>1913</v>
      </c>
      <c r="D1069" s="816" t="s">
        <v>1917</v>
      </c>
      <c r="E1069" s="816" t="s">
        <v>2510</v>
      </c>
      <c r="F1069" s="826">
        <v>0</v>
      </c>
      <c r="G1069" s="880">
        <v>0</v>
      </c>
      <c r="H1069" s="465"/>
      <c r="I1069" s="465"/>
      <c r="J1069" s="826">
        <v>0</v>
      </c>
      <c r="K1069" s="881">
        <v>0</v>
      </c>
    </row>
    <row r="1070" spans="1:11" ht="22.5" customHeight="1" x14ac:dyDescent="0.25">
      <c r="A1070" s="816" t="s">
        <v>244</v>
      </c>
      <c r="B1070" s="880">
        <v>2025</v>
      </c>
      <c r="C1070" s="816" t="s">
        <v>1913</v>
      </c>
      <c r="D1070" s="816" t="s">
        <v>1918</v>
      </c>
      <c r="E1070" s="816" t="s">
        <v>2510</v>
      </c>
      <c r="F1070" s="826">
        <v>0</v>
      </c>
      <c r="G1070" s="880">
        <v>0</v>
      </c>
      <c r="H1070" s="465"/>
      <c r="I1070" s="465"/>
      <c r="J1070" s="826">
        <v>0</v>
      </c>
      <c r="K1070" s="881">
        <v>0</v>
      </c>
    </row>
    <row r="1071" spans="1:11" ht="22.5" customHeight="1" x14ac:dyDescent="0.25">
      <c r="A1071" s="816" t="s">
        <v>244</v>
      </c>
      <c r="B1071" s="880">
        <v>2025</v>
      </c>
      <c r="C1071" s="816" t="s">
        <v>1913</v>
      </c>
      <c r="D1071" s="816" t="s">
        <v>1919</v>
      </c>
      <c r="E1071" s="816" t="s">
        <v>2510</v>
      </c>
      <c r="F1071" s="826">
        <v>0</v>
      </c>
      <c r="G1071" s="880">
        <v>0</v>
      </c>
      <c r="H1071" s="465"/>
      <c r="I1071" s="465"/>
      <c r="J1071" s="826">
        <v>0</v>
      </c>
      <c r="K1071" s="881">
        <v>0</v>
      </c>
    </row>
    <row r="1072" spans="1:11" ht="22.5" customHeight="1" x14ac:dyDescent="0.25">
      <c r="A1072" s="816" t="s">
        <v>244</v>
      </c>
      <c r="B1072" s="880">
        <v>2025</v>
      </c>
      <c r="C1072" s="816" t="s">
        <v>1920</v>
      </c>
      <c r="D1072" s="816" t="s">
        <v>1921</v>
      </c>
      <c r="E1072" s="816" t="s">
        <v>2511</v>
      </c>
      <c r="F1072" s="826">
        <v>0</v>
      </c>
      <c r="G1072" s="880">
        <v>0</v>
      </c>
      <c r="H1072" s="465"/>
      <c r="I1072" s="465"/>
      <c r="J1072" s="826">
        <v>0</v>
      </c>
      <c r="K1072" s="878">
        <v>0</v>
      </c>
    </row>
    <row r="1073" spans="1:11" ht="22.5" customHeight="1" x14ac:dyDescent="0.25">
      <c r="A1073" s="816" t="s">
        <v>244</v>
      </c>
      <c r="B1073" s="880">
        <v>2025</v>
      </c>
      <c r="C1073" s="816" t="s">
        <v>1923</v>
      </c>
      <c r="D1073" s="816" t="s">
        <v>143</v>
      </c>
      <c r="E1073" s="816" t="s">
        <v>2512</v>
      </c>
      <c r="F1073" s="826">
        <v>680612.48</v>
      </c>
      <c r="G1073" s="880">
        <v>1</v>
      </c>
      <c r="H1073" s="826">
        <v>650388.68000000005</v>
      </c>
      <c r="I1073" s="826">
        <v>30223.8</v>
      </c>
      <c r="J1073" s="826">
        <v>680612.48</v>
      </c>
      <c r="K1073" s="878">
        <v>680612.48</v>
      </c>
    </row>
    <row r="1074" spans="1:11" ht="22.5" customHeight="1" x14ac:dyDescent="0.25">
      <c r="A1074" s="816" t="s">
        <v>244</v>
      </c>
      <c r="B1074" s="880">
        <v>2025</v>
      </c>
      <c r="C1074" s="816" t="s">
        <v>1925</v>
      </c>
      <c r="D1074" s="816" t="s">
        <v>144</v>
      </c>
      <c r="E1074" s="816" t="s">
        <v>2513</v>
      </c>
      <c r="F1074" s="826">
        <v>-18880.11</v>
      </c>
      <c r="G1074" s="880">
        <v>1</v>
      </c>
      <c r="H1074" s="826">
        <v>-13579.11</v>
      </c>
      <c r="I1074" s="826">
        <v>-5301</v>
      </c>
      <c r="J1074" s="826">
        <v>-18880.11</v>
      </c>
      <c r="K1074" s="878">
        <v>-18880.11</v>
      </c>
    </row>
    <row r="1075" spans="1:11" ht="22.5" customHeight="1" x14ac:dyDescent="0.25">
      <c r="A1075" s="816" t="s">
        <v>244</v>
      </c>
      <c r="B1075" s="880">
        <v>2025</v>
      </c>
      <c r="C1075" s="816" t="s">
        <v>1927</v>
      </c>
      <c r="D1075" s="816" t="s">
        <v>1928</v>
      </c>
      <c r="E1075" s="816" t="s">
        <v>2514</v>
      </c>
      <c r="F1075" s="826">
        <v>-14182.23</v>
      </c>
      <c r="G1075" s="880">
        <v>1</v>
      </c>
      <c r="H1075" s="826">
        <v>-4555.1000000000004</v>
      </c>
      <c r="I1075" s="826">
        <v>-9627.1299999999992</v>
      </c>
      <c r="J1075" s="826">
        <v>-14182.23</v>
      </c>
      <c r="K1075" s="878">
        <v>-14182.23</v>
      </c>
    </row>
    <row r="1076" spans="1:11" ht="22.5" customHeight="1" x14ac:dyDescent="0.25">
      <c r="A1076" s="816" t="s">
        <v>244</v>
      </c>
      <c r="B1076" s="880">
        <v>2025</v>
      </c>
      <c r="C1076" s="816" t="s">
        <v>1930</v>
      </c>
      <c r="D1076" s="816" t="s">
        <v>156</v>
      </c>
      <c r="E1076" s="816" t="s">
        <v>2515</v>
      </c>
      <c r="F1076" s="826">
        <v>241425.42</v>
      </c>
      <c r="G1076" s="880">
        <v>1</v>
      </c>
      <c r="H1076" s="826">
        <v>232996.99</v>
      </c>
      <c r="I1076" s="826">
        <v>8428.43</v>
      </c>
      <c r="J1076" s="826">
        <v>241425.42</v>
      </c>
      <c r="K1076" s="878">
        <v>241425.42</v>
      </c>
    </row>
    <row r="1077" spans="1:11" ht="22.5" customHeight="1" x14ac:dyDescent="0.25">
      <c r="A1077" s="816" t="s">
        <v>244</v>
      </c>
      <c r="B1077" s="880">
        <v>2025</v>
      </c>
      <c r="C1077" s="816" t="s">
        <v>1932</v>
      </c>
      <c r="D1077" s="816" t="s">
        <v>1933</v>
      </c>
      <c r="E1077" s="816" t="s">
        <v>2516</v>
      </c>
      <c r="F1077" s="826">
        <v>-57771.48</v>
      </c>
      <c r="G1077" s="880">
        <v>0</v>
      </c>
      <c r="H1077" s="465"/>
      <c r="I1077" s="465"/>
      <c r="J1077" s="826">
        <v>0</v>
      </c>
      <c r="K1077" s="878">
        <v>-57771.48</v>
      </c>
    </row>
    <row r="1078" spans="1:11" ht="22.5" customHeight="1" x14ac:dyDescent="0.25">
      <c r="A1078" s="816" t="s">
        <v>244</v>
      </c>
      <c r="B1078" s="880">
        <v>2025</v>
      </c>
      <c r="C1078" s="816" t="s">
        <v>1935</v>
      </c>
      <c r="D1078" s="816" t="s">
        <v>1936</v>
      </c>
      <c r="E1078" s="816" t="s">
        <v>8184</v>
      </c>
      <c r="F1078" s="826">
        <v>0</v>
      </c>
      <c r="G1078" s="880">
        <v>1</v>
      </c>
      <c r="H1078" s="465"/>
      <c r="I1078" s="465"/>
      <c r="J1078" s="826">
        <v>0</v>
      </c>
      <c r="K1078" s="878">
        <v>0</v>
      </c>
    </row>
    <row r="1079" spans="1:11" ht="22.5" customHeight="1" x14ac:dyDescent="0.25">
      <c r="A1079" s="816" t="s">
        <v>244</v>
      </c>
      <c r="B1079" s="880">
        <v>2025</v>
      </c>
      <c r="C1079" s="816" t="s">
        <v>1935</v>
      </c>
      <c r="D1079" s="816" t="s">
        <v>1937</v>
      </c>
      <c r="E1079" s="816" t="s">
        <v>8185</v>
      </c>
      <c r="F1079" s="826">
        <v>0</v>
      </c>
      <c r="G1079" s="880">
        <v>1</v>
      </c>
      <c r="H1079" s="465"/>
      <c r="I1079" s="465"/>
      <c r="J1079" s="826">
        <v>0</v>
      </c>
      <c r="K1079" s="878">
        <v>0</v>
      </c>
    </row>
    <row r="1080" spans="1:11" ht="22.5" customHeight="1" x14ac:dyDescent="0.25">
      <c r="A1080" s="816" t="s">
        <v>244</v>
      </c>
      <c r="B1080" s="880">
        <v>2025</v>
      </c>
      <c r="C1080" s="816" t="s">
        <v>1935</v>
      </c>
      <c r="D1080" s="816" t="s">
        <v>1938</v>
      </c>
      <c r="E1080" s="816" t="s">
        <v>8186</v>
      </c>
      <c r="F1080" s="826">
        <v>0</v>
      </c>
      <c r="G1080" s="880">
        <v>1</v>
      </c>
      <c r="H1080" s="465"/>
      <c r="I1080" s="465"/>
      <c r="J1080" s="826">
        <v>0</v>
      </c>
      <c r="K1080" s="878">
        <v>0</v>
      </c>
    </row>
    <row r="1081" spans="1:11" ht="22.5" customHeight="1" x14ac:dyDescent="0.25">
      <c r="A1081" s="816" t="s">
        <v>244</v>
      </c>
      <c r="B1081" s="880">
        <v>2025</v>
      </c>
      <c r="C1081" s="816" t="s">
        <v>1935</v>
      </c>
      <c r="D1081" s="816" t="s">
        <v>1939</v>
      </c>
      <c r="E1081" s="816" t="s">
        <v>8187</v>
      </c>
      <c r="F1081" s="826">
        <v>0</v>
      </c>
      <c r="G1081" s="880">
        <v>1</v>
      </c>
      <c r="H1081" s="465"/>
      <c r="I1081" s="465"/>
      <c r="J1081" s="826">
        <v>0</v>
      </c>
      <c r="K1081" s="878">
        <v>0</v>
      </c>
    </row>
    <row r="1082" spans="1:11" ht="22.5" customHeight="1" x14ac:dyDescent="0.25">
      <c r="A1082" s="816" t="s">
        <v>244</v>
      </c>
      <c r="B1082" s="880">
        <v>2025</v>
      </c>
      <c r="C1082" s="816" t="s">
        <v>1935</v>
      </c>
      <c r="D1082" s="816" t="s">
        <v>1940</v>
      </c>
      <c r="E1082" s="816" t="s">
        <v>8188</v>
      </c>
      <c r="F1082" s="826">
        <v>0</v>
      </c>
      <c r="G1082" s="880">
        <v>1</v>
      </c>
      <c r="H1082" s="465"/>
      <c r="I1082" s="465"/>
      <c r="J1082" s="826">
        <v>0</v>
      </c>
      <c r="K1082" s="878">
        <v>0</v>
      </c>
    </row>
    <row r="1083" spans="1:11" ht="22.5" customHeight="1" x14ac:dyDescent="0.25">
      <c r="A1083" s="816" t="s">
        <v>244</v>
      </c>
      <c r="B1083" s="880">
        <v>2025</v>
      </c>
      <c r="C1083" s="816" t="s">
        <v>1935</v>
      </c>
      <c r="D1083" s="816" t="s">
        <v>1941</v>
      </c>
      <c r="E1083" s="816" t="s">
        <v>8189</v>
      </c>
      <c r="F1083" s="826">
        <v>0</v>
      </c>
      <c r="G1083" s="880">
        <v>1</v>
      </c>
      <c r="H1083" s="465"/>
      <c r="I1083" s="465"/>
      <c r="J1083" s="826">
        <v>0</v>
      </c>
      <c r="K1083" s="878">
        <v>0</v>
      </c>
    </row>
    <row r="1084" spans="1:11" ht="22.5" customHeight="1" x14ac:dyDescent="0.25">
      <c r="A1084" s="816" t="s">
        <v>244</v>
      </c>
      <c r="B1084" s="880">
        <v>2025</v>
      </c>
      <c r="C1084" s="816" t="s">
        <v>1935</v>
      </c>
      <c r="D1084" s="816" t="s">
        <v>1942</v>
      </c>
      <c r="E1084" s="816" t="s">
        <v>8190</v>
      </c>
      <c r="F1084" s="826">
        <v>0</v>
      </c>
      <c r="G1084" s="880">
        <v>1</v>
      </c>
      <c r="H1084" s="465"/>
      <c r="I1084" s="465"/>
      <c r="J1084" s="826">
        <v>0</v>
      </c>
      <c r="K1084" s="878">
        <v>0</v>
      </c>
    </row>
    <row r="1085" spans="1:11" ht="22.5" customHeight="1" x14ac:dyDescent="0.25">
      <c r="A1085" s="816" t="s">
        <v>244</v>
      </c>
      <c r="B1085" s="880">
        <v>2025</v>
      </c>
      <c r="C1085" s="816" t="s">
        <v>1935</v>
      </c>
      <c r="D1085" s="816" t="s">
        <v>1943</v>
      </c>
      <c r="E1085" s="816" t="s">
        <v>8191</v>
      </c>
      <c r="F1085" s="826">
        <v>0</v>
      </c>
      <c r="G1085" s="880">
        <v>1</v>
      </c>
      <c r="H1085" s="465"/>
      <c r="I1085" s="465"/>
      <c r="J1085" s="826">
        <v>0</v>
      </c>
      <c r="K1085" s="878">
        <v>0</v>
      </c>
    </row>
    <row r="1086" spans="1:11" ht="22.5" customHeight="1" x14ac:dyDescent="0.25">
      <c r="A1086" s="816" t="s">
        <v>244</v>
      </c>
      <c r="B1086" s="880">
        <v>2025</v>
      </c>
      <c r="C1086" s="816" t="s">
        <v>1935</v>
      </c>
      <c r="D1086" s="816" t="s">
        <v>1944</v>
      </c>
      <c r="E1086" s="816" t="s">
        <v>8192</v>
      </c>
      <c r="F1086" s="826">
        <v>0</v>
      </c>
      <c r="G1086" s="880">
        <v>1</v>
      </c>
      <c r="H1086" s="465"/>
      <c r="I1086" s="465"/>
      <c r="J1086" s="826">
        <v>0</v>
      </c>
      <c r="K1086" s="878">
        <v>0</v>
      </c>
    </row>
    <row r="1087" spans="1:11" ht="22.5" customHeight="1" x14ac:dyDescent="0.25">
      <c r="A1087" s="816" t="s">
        <v>244</v>
      </c>
      <c r="B1087" s="880">
        <v>2025</v>
      </c>
      <c r="C1087" s="816" t="s">
        <v>1935</v>
      </c>
      <c r="D1087" s="816" t="s">
        <v>1945</v>
      </c>
      <c r="E1087" s="816" t="s">
        <v>8193</v>
      </c>
      <c r="F1087" s="826">
        <v>0</v>
      </c>
      <c r="G1087" s="880">
        <v>1</v>
      </c>
      <c r="H1087" s="465"/>
      <c r="I1087" s="465"/>
      <c r="J1087" s="826">
        <v>0</v>
      </c>
      <c r="K1087" s="878">
        <v>0</v>
      </c>
    </row>
    <row r="1088" spans="1:11" ht="22.5" customHeight="1" x14ac:dyDescent="0.25">
      <c r="A1088" s="816" t="s">
        <v>244</v>
      </c>
      <c r="B1088" s="880">
        <v>2025</v>
      </c>
      <c r="C1088" s="816" t="s">
        <v>1935</v>
      </c>
      <c r="D1088" s="816" t="s">
        <v>1946</v>
      </c>
      <c r="E1088" s="816" t="s">
        <v>8194</v>
      </c>
      <c r="F1088" s="826">
        <v>0</v>
      </c>
      <c r="G1088" s="880">
        <v>1</v>
      </c>
      <c r="H1088" s="465"/>
      <c r="I1088" s="465"/>
      <c r="J1088" s="826">
        <v>0</v>
      </c>
      <c r="K1088" s="878">
        <v>0</v>
      </c>
    </row>
    <row r="1089" spans="1:11" ht="22.5" customHeight="1" x14ac:dyDescent="0.25">
      <c r="A1089" s="816" t="s">
        <v>244</v>
      </c>
      <c r="B1089" s="880">
        <v>2025</v>
      </c>
      <c r="C1089" s="816" t="s">
        <v>1935</v>
      </c>
      <c r="D1089" s="816" t="s">
        <v>1947</v>
      </c>
      <c r="E1089" s="816" t="s">
        <v>8195</v>
      </c>
      <c r="F1089" s="826">
        <v>0</v>
      </c>
      <c r="G1089" s="880">
        <v>1</v>
      </c>
      <c r="H1089" s="465"/>
      <c r="I1089" s="465"/>
      <c r="J1089" s="826">
        <v>0</v>
      </c>
      <c r="K1089" s="878">
        <v>0</v>
      </c>
    </row>
    <row r="1090" spans="1:11" ht="22.5" customHeight="1" x14ac:dyDescent="0.25">
      <c r="A1090" s="816" t="s">
        <v>244</v>
      </c>
      <c r="B1090" s="880">
        <v>2025</v>
      </c>
      <c r="C1090" s="816" t="s">
        <v>1935</v>
      </c>
      <c r="D1090" s="816" t="s">
        <v>1948</v>
      </c>
      <c r="E1090" s="816" t="s">
        <v>8196</v>
      </c>
      <c r="F1090" s="826">
        <v>0</v>
      </c>
      <c r="G1090" s="880">
        <v>1</v>
      </c>
      <c r="H1090" s="465"/>
      <c r="I1090" s="465"/>
      <c r="J1090" s="826">
        <v>0</v>
      </c>
      <c r="K1090" s="878">
        <v>0</v>
      </c>
    </row>
    <row r="1091" spans="1:11" ht="22.5" customHeight="1" x14ac:dyDescent="0.25">
      <c r="A1091" s="816" t="s">
        <v>244</v>
      </c>
      <c r="B1091" s="880">
        <v>2025</v>
      </c>
      <c r="C1091" s="816" t="s">
        <v>1935</v>
      </c>
      <c r="D1091" s="816" t="s">
        <v>1949</v>
      </c>
      <c r="E1091" s="816" t="s">
        <v>8197</v>
      </c>
      <c r="F1091" s="826">
        <v>0</v>
      </c>
      <c r="G1091" s="880">
        <v>1</v>
      </c>
      <c r="H1091" s="826">
        <v>-53519.92</v>
      </c>
      <c r="I1091" s="826">
        <v>-5317.79</v>
      </c>
      <c r="J1091" s="826">
        <v>-58837.71</v>
      </c>
      <c r="K1091" s="878">
        <v>-58837.71</v>
      </c>
    </row>
    <row r="1092" spans="1:11" ht="22.5" customHeight="1" x14ac:dyDescent="0.25">
      <c r="A1092" s="816" t="s">
        <v>244</v>
      </c>
      <c r="B1092" s="880">
        <v>2025</v>
      </c>
      <c r="C1092" s="816" t="s">
        <v>1935</v>
      </c>
      <c r="D1092" s="816" t="s">
        <v>1950</v>
      </c>
      <c r="E1092" s="816" t="s">
        <v>8198</v>
      </c>
      <c r="F1092" s="826">
        <v>0</v>
      </c>
      <c r="G1092" s="880">
        <v>1</v>
      </c>
      <c r="H1092" s="826">
        <v>5844.92</v>
      </c>
      <c r="I1092" s="826">
        <v>13380.43</v>
      </c>
      <c r="J1092" s="826">
        <v>19225.349999999999</v>
      </c>
      <c r="K1092" s="878">
        <v>19225.349999999999</v>
      </c>
    </row>
    <row r="1093" spans="1:11" ht="22.5" customHeight="1" x14ac:dyDescent="0.25">
      <c r="A1093" s="816" t="s">
        <v>244</v>
      </c>
      <c r="B1093" s="880">
        <v>2025</v>
      </c>
      <c r="C1093" s="816" t="s">
        <v>1935</v>
      </c>
      <c r="D1093" s="816" t="s">
        <v>1951</v>
      </c>
      <c r="E1093" s="816" t="s">
        <v>8199</v>
      </c>
      <c r="F1093" s="826">
        <v>0</v>
      </c>
      <c r="G1093" s="880">
        <v>1</v>
      </c>
      <c r="H1093" s="826">
        <v>38391.08</v>
      </c>
      <c r="I1093" s="826">
        <v>17142.36</v>
      </c>
      <c r="J1093" s="826">
        <v>55533.440000000002</v>
      </c>
      <c r="K1093" s="878">
        <v>55533.440000000002</v>
      </c>
    </row>
    <row r="1094" spans="1:11" ht="22.5" customHeight="1" x14ac:dyDescent="0.25">
      <c r="A1094" s="816" t="s">
        <v>244</v>
      </c>
      <c r="B1094" s="880">
        <v>2025</v>
      </c>
      <c r="C1094" s="816" t="s">
        <v>1935</v>
      </c>
      <c r="D1094" s="816" t="s">
        <v>7801</v>
      </c>
      <c r="E1094" s="816" t="s">
        <v>8200</v>
      </c>
      <c r="F1094" s="826">
        <v>0</v>
      </c>
      <c r="G1094" s="880">
        <v>1</v>
      </c>
      <c r="H1094" s="826">
        <v>7826.15</v>
      </c>
      <c r="I1094" s="826">
        <v>97544.55</v>
      </c>
      <c r="J1094" s="826">
        <v>105370.7</v>
      </c>
      <c r="K1094" s="878">
        <v>105370.7</v>
      </c>
    </row>
    <row r="1095" spans="1:11" ht="22.5" customHeight="1" x14ac:dyDescent="0.25">
      <c r="A1095" s="816" t="s">
        <v>244</v>
      </c>
      <c r="B1095" s="880">
        <v>2025</v>
      </c>
      <c r="C1095" s="816" t="s">
        <v>1935</v>
      </c>
      <c r="D1095" s="816" t="s">
        <v>1952</v>
      </c>
      <c r="E1095" s="816" t="s">
        <v>8201</v>
      </c>
      <c r="F1095" s="826">
        <v>121291.78</v>
      </c>
      <c r="G1095" s="880">
        <v>0</v>
      </c>
      <c r="H1095" s="465"/>
      <c r="I1095" s="465"/>
      <c r="J1095" s="826">
        <v>0</v>
      </c>
      <c r="K1095" s="878">
        <v>121291.78</v>
      </c>
    </row>
    <row r="1096" spans="1:11" ht="22.5" customHeight="1" x14ac:dyDescent="0.25">
      <c r="A1096" s="816" t="s">
        <v>244</v>
      </c>
      <c r="B1096" s="880">
        <v>2025</v>
      </c>
      <c r="C1096" s="816" t="s">
        <v>1953</v>
      </c>
      <c r="D1096" s="816" t="s">
        <v>1954</v>
      </c>
      <c r="E1096" s="816" t="s">
        <v>2517</v>
      </c>
      <c r="F1096" s="826">
        <v>0</v>
      </c>
      <c r="G1096" s="880">
        <v>0</v>
      </c>
      <c r="H1096" s="465"/>
      <c r="I1096" s="465"/>
      <c r="J1096" s="826">
        <v>0</v>
      </c>
      <c r="K1096" s="878">
        <v>0</v>
      </c>
    </row>
    <row r="1097" spans="1:11" ht="22.5" customHeight="1" x14ac:dyDescent="0.25">
      <c r="A1097" s="816" t="s">
        <v>248</v>
      </c>
      <c r="B1097" s="880">
        <v>2025</v>
      </c>
      <c r="C1097" s="816" t="s">
        <v>1854</v>
      </c>
      <c r="D1097" s="816" t="s">
        <v>1855</v>
      </c>
      <c r="E1097" s="816" t="s">
        <v>2518</v>
      </c>
      <c r="F1097" s="826">
        <v>371692.93</v>
      </c>
      <c r="G1097" s="880">
        <v>0</v>
      </c>
      <c r="H1097" s="465"/>
      <c r="I1097" s="465"/>
      <c r="J1097" s="826">
        <v>0</v>
      </c>
      <c r="K1097" s="878">
        <v>371692.93</v>
      </c>
    </row>
    <row r="1098" spans="1:11" ht="22.5" customHeight="1" x14ac:dyDescent="0.25">
      <c r="A1098" s="816" t="s">
        <v>248</v>
      </c>
      <c r="B1098" s="880">
        <v>2025</v>
      </c>
      <c r="C1098" s="816" t="s">
        <v>7746</v>
      </c>
      <c r="D1098" s="816" t="s">
        <v>7747</v>
      </c>
      <c r="E1098" s="816" t="s">
        <v>7769</v>
      </c>
      <c r="F1098" s="826">
        <v>0</v>
      </c>
      <c r="G1098" s="880">
        <v>0</v>
      </c>
      <c r="H1098" s="465"/>
      <c r="I1098" s="465"/>
      <c r="J1098" s="826">
        <v>0</v>
      </c>
      <c r="K1098" s="878">
        <v>0</v>
      </c>
    </row>
    <row r="1099" spans="1:11" ht="22.5" customHeight="1" x14ac:dyDescent="0.25">
      <c r="A1099" s="816" t="s">
        <v>248</v>
      </c>
      <c r="B1099" s="880">
        <v>2025</v>
      </c>
      <c r="C1099" s="816" t="s">
        <v>1857</v>
      </c>
      <c r="D1099" s="816" t="s">
        <v>1858</v>
      </c>
      <c r="E1099" s="816" t="s">
        <v>2519</v>
      </c>
      <c r="F1099" s="826">
        <v>0</v>
      </c>
      <c r="G1099" s="880">
        <v>0</v>
      </c>
      <c r="H1099" s="465"/>
      <c r="I1099" s="465"/>
      <c r="J1099" s="826">
        <v>0</v>
      </c>
      <c r="K1099" s="878">
        <v>0</v>
      </c>
    </row>
    <row r="1100" spans="1:11" ht="22.5" customHeight="1" x14ac:dyDescent="0.25">
      <c r="A1100" s="816" t="s">
        <v>248</v>
      </c>
      <c r="B1100" s="880">
        <v>2025</v>
      </c>
      <c r="C1100" s="816" t="s">
        <v>1860</v>
      </c>
      <c r="D1100" s="816" t="s">
        <v>1861</v>
      </c>
      <c r="E1100" s="816" t="s">
        <v>2520</v>
      </c>
      <c r="F1100" s="826">
        <v>0</v>
      </c>
      <c r="G1100" s="880">
        <v>0</v>
      </c>
      <c r="H1100" s="465"/>
      <c r="I1100" s="465"/>
      <c r="J1100" s="826">
        <v>0</v>
      </c>
      <c r="K1100" s="878">
        <v>0</v>
      </c>
    </row>
    <row r="1101" spans="1:11" ht="22.5" customHeight="1" x14ac:dyDescent="0.25">
      <c r="A1101" s="816" t="s">
        <v>248</v>
      </c>
      <c r="B1101" s="880">
        <v>2025</v>
      </c>
      <c r="C1101" s="816" t="s">
        <v>1863</v>
      </c>
      <c r="D1101" s="816" t="s">
        <v>1864</v>
      </c>
      <c r="E1101" s="816" t="s">
        <v>2521</v>
      </c>
      <c r="F1101" s="826">
        <v>0</v>
      </c>
      <c r="G1101" s="880">
        <v>0</v>
      </c>
      <c r="H1101" s="465"/>
      <c r="I1101" s="465"/>
      <c r="J1101" s="826">
        <v>0</v>
      </c>
      <c r="K1101" s="878">
        <v>0</v>
      </c>
    </row>
    <row r="1102" spans="1:11" ht="22.5" customHeight="1" x14ac:dyDescent="0.25">
      <c r="A1102" s="816" t="s">
        <v>248</v>
      </c>
      <c r="B1102" s="880">
        <v>2025</v>
      </c>
      <c r="C1102" s="816" t="s">
        <v>1866</v>
      </c>
      <c r="D1102" s="816" t="s">
        <v>1867</v>
      </c>
      <c r="E1102" s="816" t="s">
        <v>2522</v>
      </c>
      <c r="F1102" s="826">
        <v>0</v>
      </c>
      <c r="G1102" s="880">
        <v>0</v>
      </c>
      <c r="H1102" s="465"/>
      <c r="I1102" s="465"/>
      <c r="J1102" s="826">
        <v>0</v>
      </c>
      <c r="K1102" s="878">
        <v>0</v>
      </c>
    </row>
    <row r="1103" spans="1:11" ht="22.5" customHeight="1" x14ac:dyDescent="0.25">
      <c r="A1103" s="816" t="s">
        <v>248</v>
      </c>
      <c r="B1103" s="880">
        <v>2025</v>
      </c>
      <c r="C1103" s="816" t="s">
        <v>1869</v>
      </c>
      <c r="D1103" s="816" t="s">
        <v>1870</v>
      </c>
      <c r="E1103" s="816" t="s">
        <v>2523</v>
      </c>
      <c r="F1103" s="826">
        <v>0</v>
      </c>
      <c r="G1103" s="880">
        <v>0</v>
      </c>
      <c r="H1103" s="465"/>
      <c r="I1103" s="465"/>
      <c r="J1103" s="826">
        <v>0</v>
      </c>
      <c r="K1103" s="878">
        <v>0</v>
      </c>
    </row>
    <row r="1104" spans="1:11" ht="22.5" customHeight="1" x14ac:dyDescent="0.25">
      <c r="A1104" s="816" t="s">
        <v>248</v>
      </c>
      <c r="B1104" s="880">
        <v>2025</v>
      </c>
      <c r="C1104" s="816" t="s">
        <v>1872</v>
      </c>
      <c r="D1104" s="816" t="s">
        <v>1873</v>
      </c>
      <c r="E1104" s="816" t="s">
        <v>2524</v>
      </c>
      <c r="F1104" s="826">
        <v>0</v>
      </c>
      <c r="G1104" s="880">
        <v>0</v>
      </c>
      <c r="H1104" s="465"/>
      <c r="I1104" s="465"/>
      <c r="J1104" s="826">
        <v>0</v>
      </c>
      <c r="K1104" s="878">
        <v>0</v>
      </c>
    </row>
    <row r="1105" spans="1:11" ht="22.5" customHeight="1" x14ac:dyDescent="0.25">
      <c r="A1105" s="816" t="s">
        <v>248</v>
      </c>
      <c r="B1105" s="880">
        <v>2025</v>
      </c>
      <c r="C1105" s="816" t="s">
        <v>1875</v>
      </c>
      <c r="D1105" s="816" t="s">
        <v>1876</v>
      </c>
      <c r="E1105" s="816" t="s">
        <v>2525</v>
      </c>
      <c r="F1105" s="826">
        <v>0</v>
      </c>
      <c r="G1105" s="880">
        <v>0</v>
      </c>
      <c r="H1105" s="465"/>
      <c r="I1105" s="465"/>
      <c r="J1105" s="826">
        <v>0</v>
      </c>
      <c r="K1105" s="878">
        <v>0</v>
      </c>
    </row>
    <row r="1106" spans="1:11" ht="22.5" customHeight="1" x14ac:dyDescent="0.25">
      <c r="A1106" s="816" t="s">
        <v>248</v>
      </c>
      <c r="B1106" s="880">
        <v>2025</v>
      </c>
      <c r="C1106" s="816" t="s">
        <v>1878</v>
      </c>
      <c r="D1106" s="816" t="s">
        <v>1879</v>
      </c>
      <c r="E1106" s="816" t="s">
        <v>2526</v>
      </c>
      <c r="F1106" s="826">
        <v>0</v>
      </c>
      <c r="G1106" s="880">
        <v>0</v>
      </c>
      <c r="H1106" s="465"/>
      <c r="I1106" s="465"/>
      <c r="J1106" s="826">
        <v>0</v>
      </c>
      <c r="K1106" s="878">
        <v>0</v>
      </c>
    </row>
    <row r="1107" spans="1:11" ht="22.5" customHeight="1" x14ac:dyDescent="0.25">
      <c r="A1107" s="816" t="s">
        <v>248</v>
      </c>
      <c r="B1107" s="880">
        <v>2025</v>
      </c>
      <c r="C1107" s="816" t="s">
        <v>1881</v>
      </c>
      <c r="D1107" s="816" t="s">
        <v>1882</v>
      </c>
      <c r="E1107" s="816" t="s">
        <v>2527</v>
      </c>
      <c r="F1107" s="826">
        <v>0</v>
      </c>
      <c r="G1107" s="880">
        <v>0</v>
      </c>
      <c r="H1107" s="465"/>
      <c r="I1107" s="465"/>
      <c r="J1107" s="826">
        <v>0</v>
      </c>
      <c r="K1107" s="878">
        <v>0</v>
      </c>
    </row>
    <row r="1108" spans="1:11" ht="22.5" customHeight="1" x14ac:dyDescent="0.25">
      <c r="A1108" s="816" t="s">
        <v>248</v>
      </c>
      <c r="B1108" s="880">
        <v>2025</v>
      </c>
      <c r="C1108" s="816" t="s">
        <v>1884</v>
      </c>
      <c r="D1108" s="816" t="s">
        <v>1885</v>
      </c>
      <c r="E1108" s="816" t="s">
        <v>2528</v>
      </c>
      <c r="F1108" s="826">
        <v>0</v>
      </c>
      <c r="G1108" s="880">
        <v>0</v>
      </c>
      <c r="H1108" s="465"/>
      <c r="I1108" s="465"/>
      <c r="J1108" s="826">
        <v>0</v>
      </c>
      <c r="K1108" s="878">
        <v>0</v>
      </c>
    </row>
    <row r="1109" spans="1:11" ht="22.5" customHeight="1" x14ac:dyDescent="0.25">
      <c r="A1109" s="816" t="s">
        <v>248</v>
      </c>
      <c r="B1109" s="880">
        <v>2025</v>
      </c>
      <c r="C1109" s="816" t="s">
        <v>1887</v>
      </c>
      <c r="D1109" s="816" t="s">
        <v>138</v>
      </c>
      <c r="E1109" s="816" t="s">
        <v>2529</v>
      </c>
      <c r="F1109" s="826">
        <v>-1195891.46</v>
      </c>
      <c r="G1109" s="880">
        <v>1</v>
      </c>
      <c r="H1109" s="826">
        <v>-1139606.73</v>
      </c>
      <c r="I1109" s="826">
        <v>-56284.73</v>
      </c>
      <c r="J1109" s="826">
        <v>-1195891.46</v>
      </c>
      <c r="K1109" s="878">
        <v>-1195891.46</v>
      </c>
    </row>
    <row r="1110" spans="1:11" ht="22.5" customHeight="1" x14ac:dyDescent="0.25">
      <c r="A1110" s="816" t="s">
        <v>248</v>
      </c>
      <c r="B1110" s="880">
        <v>2025</v>
      </c>
      <c r="C1110" s="816" t="s">
        <v>1889</v>
      </c>
      <c r="D1110" s="816" t="s">
        <v>139</v>
      </c>
      <c r="E1110" s="816" t="s">
        <v>2530</v>
      </c>
      <c r="F1110" s="826">
        <v>-66712.86</v>
      </c>
      <c r="G1110" s="880">
        <v>1</v>
      </c>
      <c r="H1110" s="826">
        <v>-62457.07</v>
      </c>
      <c r="I1110" s="826">
        <v>-4255.79</v>
      </c>
      <c r="J1110" s="826">
        <v>-66712.86</v>
      </c>
      <c r="K1110" s="878">
        <v>-66712.86</v>
      </c>
    </row>
    <row r="1111" spans="1:11" ht="22.5" customHeight="1" x14ac:dyDescent="0.25">
      <c r="A1111" s="816" t="s">
        <v>248</v>
      </c>
      <c r="B1111" s="880">
        <v>2025</v>
      </c>
      <c r="C1111" s="816" t="s">
        <v>1891</v>
      </c>
      <c r="D1111" s="816" t="s">
        <v>1892</v>
      </c>
      <c r="E1111" s="816" t="s">
        <v>2531</v>
      </c>
      <c r="F1111" s="826">
        <v>0</v>
      </c>
      <c r="G1111" s="880">
        <v>0</v>
      </c>
      <c r="H1111" s="465"/>
      <c r="I1111" s="465"/>
      <c r="J1111" s="826">
        <v>0</v>
      </c>
      <c r="K1111" s="878">
        <v>0</v>
      </c>
    </row>
    <row r="1112" spans="1:11" ht="22.5" customHeight="1" x14ac:dyDescent="0.25">
      <c r="A1112" s="816" t="s">
        <v>248</v>
      </c>
      <c r="B1112" s="880">
        <v>2025</v>
      </c>
      <c r="C1112" s="816" t="s">
        <v>1891</v>
      </c>
      <c r="D1112" s="816" t="s">
        <v>1894</v>
      </c>
      <c r="E1112" s="816" t="s">
        <v>2531</v>
      </c>
      <c r="F1112" s="826">
        <v>0</v>
      </c>
      <c r="G1112" s="880">
        <v>0</v>
      </c>
      <c r="H1112" s="465"/>
      <c r="I1112" s="465"/>
      <c r="J1112" s="826">
        <v>0</v>
      </c>
      <c r="K1112" s="881">
        <v>0</v>
      </c>
    </row>
    <row r="1113" spans="1:11" ht="22.5" customHeight="1" x14ac:dyDescent="0.25">
      <c r="A1113" s="816" t="s">
        <v>248</v>
      </c>
      <c r="B1113" s="880">
        <v>2025</v>
      </c>
      <c r="C1113" s="816" t="s">
        <v>1895</v>
      </c>
      <c r="D1113" s="816" t="s">
        <v>1896</v>
      </c>
      <c r="E1113" s="816" t="s">
        <v>2532</v>
      </c>
      <c r="F1113" s="826">
        <v>0</v>
      </c>
      <c r="G1113" s="880">
        <v>0</v>
      </c>
      <c r="H1113" s="465"/>
      <c r="I1113" s="465"/>
      <c r="J1113" s="826">
        <v>0</v>
      </c>
      <c r="K1113" s="878">
        <v>0</v>
      </c>
    </row>
    <row r="1114" spans="1:11" ht="22.5" customHeight="1" x14ac:dyDescent="0.25">
      <c r="A1114" s="816" t="s">
        <v>248</v>
      </c>
      <c r="B1114" s="880">
        <v>2025</v>
      </c>
      <c r="C1114" s="816" t="s">
        <v>1898</v>
      </c>
      <c r="D1114" s="816" t="s">
        <v>1899</v>
      </c>
      <c r="E1114" s="816" t="s">
        <v>2533</v>
      </c>
      <c r="F1114" s="826">
        <v>0</v>
      </c>
      <c r="G1114" s="880">
        <v>0</v>
      </c>
      <c r="H1114" s="465"/>
      <c r="I1114" s="465"/>
      <c r="J1114" s="826">
        <v>0</v>
      </c>
      <c r="K1114" s="878">
        <v>0</v>
      </c>
    </row>
    <row r="1115" spans="1:11" ht="22.5" customHeight="1" x14ac:dyDescent="0.25">
      <c r="A1115" s="816" t="s">
        <v>248</v>
      </c>
      <c r="B1115" s="880">
        <v>2025</v>
      </c>
      <c r="C1115" s="816" t="s">
        <v>1901</v>
      </c>
      <c r="D1115" s="816" t="s">
        <v>1902</v>
      </c>
      <c r="E1115" s="816" t="s">
        <v>2534</v>
      </c>
      <c r="F1115" s="826">
        <v>0</v>
      </c>
      <c r="G1115" s="880">
        <v>0</v>
      </c>
      <c r="H1115" s="465"/>
      <c r="I1115" s="465"/>
      <c r="J1115" s="826">
        <v>0</v>
      </c>
      <c r="K1115" s="878">
        <v>0</v>
      </c>
    </row>
    <row r="1116" spans="1:11" ht="22.5" customHeight="1" x14ac:dyDescent="0.25">
      <c r="A1116" s="816" t="s">
        <v>248</v>
      </c>
      <c r="B1116" s="880">
        <v>2025</v>
      </c>
      <c r="C1116" s="816" t="s">
        <v>1904</v>
      </c>
      <c r="D1116" s="816" t="s">
        <v>1905</v>
      </c>
      <c r="E1116" s="816" t="s">
        <v>2535</v>
      </c>
      <c r="F1116" s="826">
        <v>0</v>
      </c>
      <c r="G1116" s="880">
        <v>0</v>
      </c>
      <c r="H1116" s="465"/>
      <c r="I1116" s="465"/>
      <c r="J1116" s="826">
        <v>0</v>
      </c>
      <c r="K1116" s="878">
        <v>0</v>
      </c>
    </row>
    <row r="1117" spans="1:11" ht="22.5" customHeight="1" x14ac:dyDescent="0.25">
      <c r="A1117" s="816" t="s">
        <v>248</v>
      </c>
      <c r="B1117" s="880">
        <v>2025</v>
      </c>
      <c r="C1117" s="816" t="s">
        <v>1907</v>
      </c>
      <c r="D1117" s="816" t="s">
        <v>1908</v>
      </c>
      <c r="E1117" s="816" t="s">
        <v>2536</v>
      </c>
      <c r="F1117" s="826">
        <v>0</v>
      </c>
      <c r="G1117" s="880">
        <v>0</v>
      </c>
      <c r="H1117" s="465"/>
      <c r="I1117" s="465"/>
      <c r="J1117" s="826">
        <v>0</v>
      </c>
      <c r="K1117" s="878">
        <v>0</v>
      </c>
    </row>
    <row r="1118" spans="1:11" ht="22.5" customHeight="1" x14ac:dyDescent="0.25">
      <c r="A1118" s="816" t="s">
        <v>248</v>
      </c>
      <c r="B1118" s="880">
        <v>2025</v>
      </c>
      <c r="C1118" s="816" t="s">
        <v>1910</v>
      </c>
      <c r="D1118" s="816" t="s">
        <v>1911</v>
      </c>
      <c r="E1118" s="816" t="s">
        <v>2537</v>
      </c>
      <c r="F1118" s="826">
        <v>0</v>
      </c>
      <c r="G1118" s="880">
        <v>0</v>
      </c>
      <c r="H1118" s="465"/>
      <c r="I1118" s="465"/>
      <c r="J1118" s="826">
        <v>0</v>
      </c>
      <c r="K1118" s="878">
        <v>0</v>
      </c>
    </row>
    <row r="1119" spans="1:11" ht="22.5" customHeight="1" x14ac:dyDescent="0.25">
      <c r="A1119" s="816" t="s">
        <v>248</v>
      </c>
      <c r="B1119" s="880">
        <v>2025</v>
      </c>
      <c r="C1119" s="816" t="s">
        <v>1913</v>
      </c>
      <c r="D1119" s="816" t="s">
        <v>1914</v>
      </c>
      <c r="E1119" s="816" t="s">
        <v>2538</v>
      </c>
      <c r="F1119" s="826">
        <v>-324402.17</v>
      </c>
      <c r="G1119" s="880">
        <v>1</v>
      </c>
      <c r="H1119" s="826">
        <v>-304231.11</v>
      </c>
      <c r="I1119" s="826">
        <v>-20171.060000000001</v>
      </c>
      <c r="J1119" s="826">
        <v>-324402.17</v>
      </c>
      <c r="K1119" s="878">
        <v>-324402.17</v>
      </c>
    </row>
    <row r="1120" spans="1:11" ht="22.5" customHeight="1" x14ac:dyDescent="0.25">
      <c r="A1120" s="816" t="s">
        <v>248</v>
      </c>
      <c r="B1120" s="880">
        <v>2025</v>
      </c>
      <c r="C1120" s="816" t="s">
        <v>1913</v>
      </c>
      <c r="D1120" s="816" t="s">
        <v>1916</v>
      </c>
      <c r="E1120" s="816" t="s">
        <v>2538</v>
      </c>
      <c r="F1120" s="826">
        <v>0</v>
      </c>
      <c r="G1120" s="880">
        <v>0</v>
      </c>
      <c r="H1120" s="465"/>
      <c r="I1120" s="465"/>
      <c r="J1120" s="826">
        <v>0</v>
      </c>
      <c r="K1120" s="881">
        <v>0</v>
      </c>
    </row>
    <row r="1121" spans="1:11" ht="22.5" customHeight="1" x14ac:dyDescent="0.25">
      <c r="A1121" s="816" t="s">
        <v>248</v>
      </c>
      <c r="B1121" s="880">
        <v>2025</v>
      </c>
      <c r="C1121" s="816" t="s">
        <v>1913</v>
      </c>
      <c r="D1121" s="816" t="s">
        <v>1917</v>
      </c>
      <c r="E1121" s="816" t="s">
        <v>2538</v>
      </c>
      <c r="F1121" s="826">
        <v>0</v>
      </c>
      <c r="G1121" s="880">
        <v>0</v>
      </c>
      <c r="H1121" s="465"/>
      <c r="I1121" s="465"/>
      <c r="J1121" s="826">
        <v>0</v>
      </c>
      <c r="K1121" s="881">
        <v>0</v>
      </c>
    </row>
    <row r="1122" spans="1:11" ht="22.5" customHeight="1" x14ac:dyDescent="0.25">
      <c r="A1122" s="816" t="s">
        <v>248</v>
      </c>
      <c r="B1122" s="880">
        <v>2025</v>
      </c>
      <c r="C1122" s="816" t="s">
        <v>1913</v>
      </c>
      <c r="D1122" s="816" t="s">
        <v>1918</v>
      </c>
      <c r="E1122" s="816" t="s">
        <v>2538</v>
      </c>
      <c r="F1122" s="826">
        <v>0</v>
      </c>
      <c r="G1122" s="880">
        <v>0</v>
      </c>
      <c r="H1122" s="465"/>
      <c r="I1122" s="465"/>
      <c r="J1122" s="826">
        <v>0</v>
      </c>
      <c r="K1122" s="881">
        <v>-3634</v>
      </c>
    </row>
    <row r="1123" spans="1:11" ht="22.5" customHeight="1" x14ac:dyDescent="0.25">
      <c r="A1123" s="816" t="s">
        <v>248</v>
      </c>
      <c r="B1123" s="880">
        <v>2025</v>
      </c>
      <c r="C1123" s="816" t="s">
        <v>1913</v>
      </c>
      <c r="D1123" s="816" t="s">
        <v>1919</v>
      </c>
      <c r="E1123" s="816" t="s">
        <v>2538</v>
      </c>
      <c r="F1123" s="826">
        <v>0</v>
      </c>
      <c r="G1123" s="880">
        <v>0</v>
      </c>
      <c r="H1123" s="465"/>
      <c r="I1123" s="465"/>
      <c r="J1123" s="826">
        <v>0</v>
      </c>
      <c r="K1123" s="881">
        <v>37582</v>
      </c>
    </row>
    <row r="1124" spans="1:11" ht="22.5" customHeight="1" x14ac:dyDescent="0.25">
      <c r="A1124" s="816" t="s">
        <v>248</v>
      </c>
      <c r="B1124" s="880">
        <v>2025</v>
      </c>
      <c r="C1124" s="816" t="s">
        <v>1920</v>
      </c>
      <c r="D1124" s="816" t="s">
        <v>1921</v>
      </c>
      <c r="E1124" s="816" t="s">
        <v>2539</v>
      </c>
      <c r="F1124" s="826">
        <v>0</v>
      </c>
      <c r="G1124" s="880">
        <v>0</v>
      </c>
      <c r="H1124" s="465"/>
      <c r="I1124" s="465"/>
      <c r="J1124" s="826">
        <v>0</v>
      </c>
      <c r="K1124" s="878">
        <v>0</v>
      </c>
    </row>
    <row r="1125" spans="1:11" ht="22.5" customHeight="1" x14ac:dyDescent="0.25">
      <c r="A1125" s="816" t="s">
        <v>248</v>
      </c>
      <c r="B1125" s="880">
        <v>2025</v>
      </c>
      <c r="C1125" s="816" t="s">
        <v>1923</v>
      </c>
      <c r="D1125" s="816" t="s">
        <v>143</v>
      </c>
      <c r="E1125" s="816" t="s">
        <v>2540</v>
      </c>
      <c r="F1125" s="826">
        <v>431426.17</v>
      </c>
      <c r="G1125" s="880">
        <v>1</v>
      </c>
      <c r="H1125" s="826">
        <v>397274.46</v>
      </c>
      <c r="I1125" s="826">
        <v>34151.71</v>
      </c>
      <c r="J1125" s="826">
        <v>431426.17</v>
      </c>
      <c r="K1125" s="878">
        <v>431426.17</v>
      </c>
    </row>
    <row r="1126" spans="1:11" ht="22.5" customHeight="1" x14ac:dyDescent="0.25">
      <c r="A1126" s="816" t="s">
        <v>248</v>
      </c>
      <c r="B1126" s="880">
        <v>2025</v>
      </c>
      <c r="C1126" s="816" t="s">
        <v>1925</v>
      </c>
      <c r="D1126" s="816" t="s">
        <v>144</v>
      </c>
      <c r="E1126" s="816" t="s">
        <v>2541</v>
      </c>
      <c r="F1126" s="826">
        <v>11547.58</v>
      </c>
      <c r="G1126" s="880">
        <v>1</v>
      </c>
      <c r="H1126" s="826">
        <v>-1097.97</v>
      </c>
      <c r="I1126" s="826">
        <v>12645.55</v>
      </c>
      <c r="J1126" s="826">
        <v>11547.58</v>
      </c>
      <c r="K1126" s="878">
        <v>11547.58</v>
      </c>
    </row>
    <row r="1127" spans="1:11" ht="22.5" customHeight="1" x14ac:dyDescent="0.25">
      <c r="A1127" s="816" t="s">
        <v>248</v>
      </c>
      <c r="B1127" s="880">
        <v>2025</v>
      </c>
      <c r="C1127" s="816" t="s">
        <v>1927</v>
      </c>
      <c r="D1127" s="816" t="s">
        <v>1928</v>
      </c>
      <c r="E1127" s="816" t="s">
        <v>2542</v>
      </c>
      <c r="F1127" s="826">
        <v>1387979.33</v>
      </c>
      <c r="G1127" s="880">
        <v>1</v>
      </c>
      <c r="H1127" s="826">
        <v>1326486.47</v>
      </c>
      <c r="I1127" s="826">
        <v>61492.86</v>
      </c>
      <c r="J1127" s="826">
        <v>1387979.33</v>
      </c>
      <c r="K1127" s="878">
        <v>1387979.33</v>
      </c>
    </row>
    <row r="1128" spans="1:11" ht="22.5" customHeight="1" x14ac:dyDescent="0.25">
      <c r="A1128" s="816" t="s">
        <v>248</v>
      </c>
      <c r="B1128" s="880">
        <v>2025</v>
      </c>
      <c r="C1128" s="816" t="s">
        <v>1930</v>
      </c>
      <c r="D1128" s="816" t="s">
        <v>156</v>
      </c>
      <c r="E1128" s="816" t="s">
        <v>2543</v>
      </c>
      <c r="F1128" s="826">
        <v>406146</v>
      </c>
      <c r="G1128" s="880">
        <v>1</v>
      </c>
      <c r="H1128" s="826">
        <v>380497.74</v>
      </c>
      <c r="I1128" s="826">
        <v>25648.26</v>
      </c>
      <c r="J1128" s="826">
        <v>406146</v>
      </c>
      <c r="K1128" s="878">
        <v>406146</v>
      </c>
    </row>
    <row r="1129" spans="1:11" ht="22.5" customHeight="1" x14ac:dyDescent="0.25">
      <c r="A1129" s="816" t="s">
        <v>248</v>
      </c>
      <c r="B1129" s="880">
        <v>2025</v>
      </c>
      <c r="C1129" s="816" t="s">
        <v>1932</v>
      </c>
      <c r="D1129" s="816" t="s">
        <v>1933</v>
      </c>
      <c r="E1129" s="816" t="s">
        <v>2544</v>
      </c>
      <c r="F1129" s="826">
        <v>0</v>
      </c>
      <c r="G1129" s="880">
        <v>0</v>
      </c>
      <c r="H1129" s="465"/>
      <c r="I1129" s="465"/>
      <c r="J1129" s="826">
        <v>0</v>
      </c>
      <c r="K1129" s="878">
        <v>0</v>
      </c>
    </row>
    <row r="1130" spans="1:11" ht="22.5" customHeight="1" x14ac:dyDescent="0.25">
      <c r="A1130" s="816" t="s">
        <v>248</v>
      </c>
      <c r="B1130" s="880">
        <v>2025</v>
      </c>
      <c r="C1130" s="816" t="s">
        <v>1935</v>
      </c>
      <c r="D1130" s="816" t="s">
        <v>1936</v>
      </c>
      <c r="E1130" s="816" t="s">
        <v>8202</v>
      </c>
      <c r="F1130" s="826">
        <v>0</v>
      </c>
      <c r="G1130" s="880">
        <v>1</v>
      </c>
      <c r="H1130" s="465"/>
      <c r="I1130" s="465"/>
      <c r="J1130" s="826">
        <v>0</v>
      </c>
      <c r="K1130" s="878">
        <v>0</v>
      </c>
    </row>
    <row r="1131" spans="1:11" ht="22.5" customHeight="1" x14ac:dyDescent="0.25">
      <c r="A1131" s="816" t="s">
        <v>248</v>
      </c>
      <c r="B1131" s="880">
        <v>2025</v>
      </c>
      <c r="C1131" s="816" t="s">
        <v>1935</v>
      </c>
      <c r="D1131" s="816" t="s">
        <v>1937</v>
      </c>
      <c r="E1131" s="816" t="s">
        <v>8203</v>
      </c>
      <c r="F1131" s="826">
        <v>0</v>
      </c>
      <c r="G1131" s="880">
        <v>1</v>
      </c>
      <c r="H1131" s="465"/>
      <c r="I1131" s="465"/>
      <c r="J1131" s="826">
        <v>0</v>
      </c>
      <c r="K1131" s="878">
        <v>0</v>
      </c>
    </row>
    <row r="1132" spans="1:11" ht="22.5" customHeight="1" x14ac:dyDescent="0.25">
      <c r="A1132" s="816" t="s">
        <v>248</v>
      </c>
      <c r="B1132" s="880">
        <v>2025</v>
      </c>
      <c r="C1132" s="816" t="s">
        <v>1935</v>
      </c>
      <c r="D1132" s="816" t="s">
        <v>1938</v>
      </c>
      <c r="E1132" s="816" t="s">
        <v>8204</v>
      </c>
      <c r="F1132" s="826">
        <v>0</v>
      </c>
      <c r="G1132" s="880">
        <v>1</v>
      </c>
      <c r="H1132" s="465"/>
      <c r="I1132" s="465"/>
      <c r="J1132" s="826">
        <v>0</v>
      </c>
      <c r="K1132" s="878">
        <v>0</v>
      </c>
    </row>
    <row r="1133" spans="1:11" ht="22.5" customHeight="1" x14ac:dyDescent="0.25">
      <c r="A1133" s="816" t="s">
        <v>248</v>
      </c>
      <c r="B1133" s="880">
        <v>2025</v>
      </c>
      <c r="C1133" s="816" t="s">
        <v>1935</v>
      </c>
      <c r="D1133" s="816" t="s">
        <v>1939</v>
      </c>
      <c r="E1133" s="816" t="s">
        <v>8205</v>
      </c>
      <c r="F1133" s="826">
        <v>0</v>
      </c>
      <c r="G1133" s="880">
        <v>1</v>
      </c>
      <c r="H1133" s="465"/>
      <c r="I1133" s="465"/>
      <c r="J1133" s="826">
        <v>0</v>
      </c>
      <c r="K1133" s="878">
        <v>0</v>
      </c>
    </row>
    <row r="1134" spans="1:11" ht="22.5" customHeight="1" x14ac:dyDescent="0.25">
      <c r="A1134" s="816" t="s">
        <v>248</v>
      </c>
      <c r="B1134" s="880">
        <v>2025</v>
      </c>
      <c r="C1134" s="816" t="s">
        <v>1935</v>
      </c>
      <c r="D1134" s="816" t="s">
        <v>1940</v>
      </c>
      <c r="E1134" s="816" t="s">
        <v>8206</v>
      </c>
      <c r="F1134" s="826">
        <v>0</v>
      </c>
      <c r="G1134" s="880">
        <v>1</v>
      </c>
      <c r="H1134" s="465"/>
      <c r="I1134" s="465"/>
      <c r="J1134" s="826">
        <v>0</v>
      </c>
      <c r="K1134" s="878">
        <v>0</v>
      </c>
    </row>
    <row r="1135" spans="1:11" ht="22.5" customHeight="1" x14ac:dyDescent="0.25">
      <c r="A1135" s="816" t="s">
        <v>248</v>
      </c>
      <c r="B1135" s="880">
        <v>2025</v>
      </c>
      <c r="C1135" s="816" t="s">
        <v>1935</v>
      </c>
      <c r="D1135" s="816" t="s">
        <v>1941</v>
      </c>
      <c r="E1135" s="816" t="s">
        <v>8207</v>
      </c>
      <c r="F1135" s="826">
        <v>0</v>
      </c>
      <c r="G1135" s="880">
        <v>1</v>
      </c>
      <c r="H1135" s="465"/>
      <c r="I1135" s="465"/>
      <c r="J1135" s="826">
        <v>0</v>
      </c>
      <c r="K1135" s="878">
        <v>0</v>
      </c>
    </row>
    <row r="1136" spans="1:11" ht="22.5" customHeight="1" x14ac:dyDescent="0.25">
      <c r="A1136" s="816" t="s">
        <v>248</v>
      </c>
      <c r="B1136" s="880">
        <v>2025</v>
      </c>
      <c r="C1136" s="816" t="s">
        <v>1935</v>
      </c>
      <c r="D1136" s="816" t="s">
        <v>1942</v>
      </c>
      <c r="E1136" s="816" t="s">
        <v>8208</v>
      </c>
      <c r="F1136" s="826">
        <v>0</v>
      </c>
      <c r="G1136" s="880">
        <v>1</v>
      </c>
      <c r="H1136" s="465"/>
      <c r="I1136" s="465"/>
      <c r="J1136" s="826">
        <v>0</v>
      </c>
      <c r="K1136" s="878">
        <v>0</v>
      </c>
    </row>
    <row r="1137" spans="1:11" ht="22.5" customHeight="1" x14ac:dyDescent="0.25">
      <c r="A1137" s="816" t="s">
        <v>248</v>
      </c>
      <c r="B1137" s="880">
        <v>2025</v>
      </c>
      <c r="C1137" s="816" t="s">
        <v>1935</v>
      </c>
      <c r="D1137" s="816" t="s">
        <v>1943</v>
      </c>
      <c r="E1137" s="816" t="s">
        <v>8209</v>
      </c>
      <c r="F1137" s="826">
        <v>0</v>
      </c>
      <c r="G1137" s="880">
        <v>1</v>
      </c>
      <c r="H1137" s="465"/>
      <c r="I1137" s="465"/>
      <c r="J1137" s="826">
        <v>0</v>
      </c>
      <c r="K1137" s="878">
        <v>0</v>
      </c>
    </row>
    <row r="1138" spans="1:11" ht="22.5" customHeight="1" x14ac:dyDescent="0.25">
      <c r="A1138" s="816" t="s">
        <v>248</v>
      </c>
      <c r="B1138" s="880">
        <v>2025</v>
      </c>
      <c r="C1138" s="816" t="s">
        <v>1935</v>
      </c>
      <c r="D1138" s="816" t="s">
        <v>1944</v>
      </c>
      <c r="E1138" s="816" t="s">
        <v>8210</v>
      </c>
      <c r="F1138" s="826">
        <v>0</v>
      </c>
      <c r="G1138" s="880">
        <v>1</v>
      </c>
      <c r="H1138" s="465"/>
      <c r="I1138" s="465"/>
      <c r="J1138" s="826">
        <v>0</v>
      </c>
      <c r="K1138" s="878">
        <v>0</v>
      </c>
    </row>
    <row r="1139" spans="1:11" ht="22.5" customHeight="1" x14ac:dyDescent="0.25">
      <c r="A1139" s="816" t="s">
        <v>248</v>
      </c>
      <c r="B1139" s="880">
        <v>2025</v>
      </c>
      <c r="C1139" s="816" t="s">
        <v>1935</v>
      </c>
      <c r="D1139" s="816" t="s">
        <v>1945</v>
      </c>
      <c r="E1139" s="816" t="s">
        <v>8211</v>
      </c>
      <c r="F1139" s="826">
        <v>0</v>
      </c>
      <c r="G1139" s="880">
        <v>1</v>
      </c>
      <c r="H1139" s="465"/>
      <c r="I1139" s="465"/>
      <c r="J1139" s="826">
        <v>0</v>
      </c>
      <c r="K1139" s="878">
        <v>0</v>
      </c>
    </row>
    <row r="1140" spans="1:11" ht="22.5" customHeight="1" x14ac:dyDescent="0.25">
      <c r="A1140" s="816" t="s">
        <v>248</v>
      </c>
      <c r="B1140" s="880">
        <v>2025</v>
      </c>
      <c r="C1140" s="816" t="s">
        <v>1935</v>
      </c>
      <c r="D1140" s="816" t="s">
        <v>1946</v>
      </c>
      <c r="E1140" s="816" t="s">
        <v>8212</v>
      </c>
      <c r="F1140" s="826">
        <v>0</v>
      </c>
      <c r="G1140" s="880">
        <v>1</v>
      </c>
      <c r="H1140" s="465"/>
      <c r="I1140" s="465"/>
      <c r="J1140" s="826">
        <v>0</v>
      </c>
      <c r="K1140" s="878">
        <v>0</v>
      </c>
    </row>
    <row r="1141" spans="1:11" ht="22.5" customHeight="1" x14ac:dyDescent="0.25">
      <c r="A1141" s="816" t="s">
        <v>248</v>
      </c>
      <c r="B1141" s="880">
        <v>2025</v>
      </c>
      <c r="C1141" s="816" t="s">
        <v>1935</v>
      </c>
      <c r="D1141" s="816" t="s">
        <v>1947</v>
      </c>
      <c r="E1141" s="816" t="s">
        <v>8213</v>
      </c>
      <c r="F1141" s="826">
        <v>0</v>
      </c>
      <c r="G1141" s="880">
        <v>1</v>
      </c>
      <c r="H1141" s="826">
        <v>-28305</v>
      </c>
      <c r="I1141" s="826">
        <v>-24047</v>
      </c>
      <c r="J1141" s="826">
        <v>-52352</v>
      </c>
      <c r="K1141" s="878">
        <v>-52352</v>
      </c>
    </row>
    <row r="1142" spans="1:11" ht="22.5" customHeight="1" x14ac:dyDescent="0.25">
      <c r="A1142" s="816" t="s">
        <v>248</v>
      </c>
      <c r="B1142" s="880">
        <v>2025</v>
      </c>
      <c r="C1142" s="816" t="s">
        <v>1935</v>
      </c>
      <c r="D1142" s="816" t="s">
        <v>1948</v>
      </c>
      <c r="E1142" s="816" t="s">
        <v>8214</v>
      </c>
      <c r="F1142" s="826">
        <v>0</v>
      </c>
      <c r="G1142" s="880">
        <v>1</v>
      </c>
      <c r="H1142" s="465"/>
      <c r="I1142" s="465"/>
      <c r="J1142" s="826">
        <v>0</v>
      </c>
      <c r="K1142" s="878">
        <v>0</v>
      </c>
    </row>
    <row r="1143" spans="1:11" ht="22.5" customHeight="1" x14ac:dyDescent="0.25">
      <c r="A1143" s="816" t="s">
        <v>248</v>
      </c>
      <c r="B1143" s="880">
        <v>2025</v>
      </c>
      <c r="C1143" s="816" t="s">
        <v>1935</v>
      </c>
      <c r="D1143" s="816" t="s">
        <v>1949</v>
      </c>
      <c r="E1143" s="816" t="s">
        <v>8215</v>
      </c>
      <c r="F1143" s="826">
        <v>0</v>
      </c>
      <c r="G1143" s="880">
        <v>1</v>
      </c>
      <c r="H1143" s="826">
        <v>-972776</v>
      </c>
      <c r="I1143" s="826">
        <v>-62540.11</v>
      </c>
      <c r="J1143" s="826">
        <v>-1035316.11</v>
      </c>
      <c r="K1143" s="878">
        <v>-1035316.11</v>
      </c>
    </row>
    <row r="1144" spans="1:11" ht="22.5" customHeight="1" x14ac:dyDescent="0.25">
      <c r="A1144" s="816" t="s">
        <v>248</v>
      </c>
      <c r="B1144" s="880">
        <v>2025</v>
      </c>
      <c r="C1144" s="816" t="s">
        <v>1935</v>
      </c>
      <c r="D1144" s="816" t="s">
        <v>1950</v>
      </c>
      <c r="E1144" s="816" t="s">
        <v>8216</v>
      </c>
      <c r="F1144" s="826">
        <v>0</v>
      </c>
      <c r="G1144" s="880">
        <v>1</v>
      </c>
      <c r="H1144" s="465"/>
      <c r="I1144" s="465"/>
      <c r="J1144" s="826">
        <v>0</v>
      </c>
      <c r="K1144" s="878">
        <v>0</v>
      </c>
    </row>
    <row r="1145" spans="1:11" ht="22.5" customHeight="1" x14ac:dyDescent="0.25">
      <c r="A1145" s="816" t="s">
        <v>248</v>
      </c>
      <c r="B1145" s="880">
        <v>2025</v>
      </c>
      <c r="C1145" s="816" t="s">
        <v>1935</v>
      </c>
      <c r="D1145" s="816" t="s">
        <v>1951</v>
      </c>
      <c r="E1145" s="816" t="s">
        <v>8217</v>
      </c>
      <c r="F1145" s="826">
        <v>0</v>
      </c>
      <c r="G1145" s="880">
        <v>1</v>
      </c>
      <c r="H1145" s="826">
        <v>-52966</v>
      </c>
      <c r="I1145" s="826">
        <v>133085.92000000001</v>
      </c>
      <c r="J1145" s="826">
        <v>80119.92</v>
      </c>
      <c r="K1145" s="878">
        <v>80119.92</v>
      </c>
    </row>
    <row r="1146" spans="1:11" ht="22.5" customHeight="1" x14ac:dyDescent="0.25">
      <c r="A1146" s="816" t="s">
        <v>248</v>
      </c>
      <c r="B1146" s="880">
        <v>2025</v>
      </c>
      <c r="C1146" s="816" t="s">
        <v>1935</v>
      </c>
      <c r="D1146" s="816" t="s">
        <v>7801</v>
      </c>
      <c r="E1146" s="816" t="s">
        <v>8218</v>
      </c>
      <c r="F1146" s="826">
        <v>0</v>
      </c>
      <c r="G1146" s="880">
        <v>1</v>
      </c>
      <c r="H1146" s="826">
        <v>-104717</v>
      </c>
      <c r="I1146" s="826">
        <v>259043</v>
      </c>
      <c r="J1146" s="826">
        <v>154326</v>
      </c>
      <c r="K1146" s="878">
        <v>154326</v>
      </c>
    </row>
    <row r="1147" spans="1:11" ht="22.5" customHeight="1" x14ac:dyDescent="0.25">
      <c r="A1147" s="816" t="s">
        <v>248</v>
      </c>
      <c r="B1147" s="880">
        <v>2025</v>
      </c>
      <c r="C1147" s="816" t="s">
        <v>1935</v>
      </c>
      <c r="D1147" s="816" t="s">
        <v>1952</v>
      </c>
      <c r="E1147" s="816" t="s">
        <v>8219</v>
      </c>
      <c r="F1147" s="826">
        <v>-853222.19</v>
      </c>
      <c r="G1147" s="880">
        <v>0</v>
      </c>
      <c r="H1147" s="465"/>
      <c r="I1147" s="465"/>
      <c r="J1147" s="826">
        <v>0</v>
      </c>
      <c r="K1147" s="878">
        <v>-853222.19</v>
      </c>
    </row>
    <row r="1148" spans="1:11" ht="22.5" customHeight="1" x14ac:dyDescent="0.25">
      <c r="A1148" s="816" t="s">
        <v>248</v>
      </c>
      <c r="B1148" s="880">
        <v>2025</v>
      </c>
      <c r="C1148" s="816" t="s">
        <v>1953</v>
      </c>
      <c r="D1148" s="816" t="s">
        <v>1954</v>
      </c>
      <c r="E1148" s="816" t="s">
        <v>2545</v>
      </c>
      <c r="F1148" s="826">
        <v>-38107.18</v>
      </c>
      <c r="G1148" s="880">
        <v>0</v>
      </c>
      <c r="H1148" s="465"/>
      <c r="I1148" s="465"/>
      <c r="J1148" s="826">
        <v>0</v>
      </c>
      <c r="K1148" s="878">
        <v>-38107.18</v>
      </c>
    </row>
    <row r="1149" spans="1:11" ht="22.5" customHeight="1" x14ac:dyDescent="0.25">
      <c r="A1149" s="816" t="s">
        <v>252</v>
      </c>
      <c r="B1149" s="880">
        <v>2025</v>
      </c>
      <c r="C1149" s="816" t="s">
        <v>1854</v>
      </c>
      <c r="D1149" s="816" t="s">
        <v>1855</v>
      </c>
      <c r="E1149" s="816" t="s">
        <v>9617</v>
      </c>
      <c r="F1149" s="826">
        <v>49283.19</v>
      </c>
      <c r="G1149" s="880">
        <v>0</v>
      </c>
      <c r="H1149" s="465"/>
      <c r="I1149" s="465"/>
      <c r="J1149" s="826">
        <v>0</v>
      </c>
      <c r="K1149" s="878">
        <v>49283.19</v>
      </c>
    </row>
    <row r="1150" spans="1:11" ht="22.5" customHeight="1" x14ac:dyDescent="0.25">
      <c r="A1150" s="816" t="s">
        <v>252</v>
      </c>
      <c r="B1150" s="880">
        <v>2025</v>
      </c>
      <c r="C1150" s="816" t="s">
        <v>7746</v>
      </c>
      <c r="D1150" s="816" t="s">
        <v>7747</v>
      </c>
      <c r="E1150" s="816" t="s">
        <v>9618</v>
      </c>
      <c r="F1150" s="826">
        <v>0</v>
      </c>
      <c r="G1150" s="880">
        <v>0</v>
      </c>
      <c r="H1150" s="465"/>
      <c r="I1150" s="465"/>
      <c r="J1150" s="826">
        <v>0</v>
      </c>
      <c r="K1150" s="878">
        <v>0</v>
      </c>
    </row>
    <row r="1151" spans="1:11" ht="22.5" customHeight="1" x14ac:dyDescent="0.25">
      <c r="A1151" s="816" t="s">
        <v>252</v>
      </c>
      <c r="B1151" s="880">
        <v>2025</v>
      </c>
      <c r="C1151" s="816" t="s">
        <v>1857</v>
      </c>
      <c r="D1151" s="816" t="s">
        <v>1858</v>
      </c>
      <c r="E1151" s="816" t="s">
        <v>9619</v>
      </c>
      <c r="F1151" s="826">
        <v>0</v>
      </c>
      <c r="G1151" s="880">
        <v>0</v>
      </c>
      <c r="H1151" s="465"/>
      <c r="I1151" s="465"/>
      <c r="J1151" s="826">
        <v>0</v>
      </c>
      <c r="K1151" s="878">
        <v>0</v>
      </c>
    </row>
    <row r="1152" spans="1:11" ht="22.5" customHeight="1" x14ac:dyDescent="0.25">
      <c r="A1152" s="816" t="s">
        <v>252</v>
      </c>
      <c r="B1152" s="880">
        <v>2025</v>
      </c>
      <c r="C1152" s="816" t="s">
        <v>1860</v>
      </c>
      <c r="D1152" s="816" t="s">
        <v>1861</v>
      </c>
      <c r="E1152" s="816" t="s">
        <v>9620</v>
      </c>
      <c r="F1152" s="826">
        <v>0</v>
      </c>
      <c r="G1152" s="880">
        <v>0</v>
      </c>
      <c r="H1152" s="465"/>
      <c r="I1152" s="465"/>
      <c r="J1152" s="826">
        <v>0</v>
      </c>
      <c r="K1152" s="878">
        <v>0</v>
      </c>
    </row>
    <row r="1153" spans="1:11" ht="22.5" customHeight="1" x14ac:dyDescent="0.25">
      <c r="A1153" s="816" t="s">
        <v>252</v>
      </c>
      <c r="B1153" s="880">
        <v>2025</v>
      </c>
      <c r="C1153" s="816" t="s">
        <v>1863</v>
      </c>
      <c r="D1153" s="816" t="s">
        <v>1864</v>
      </c>
      <c r="E1153" s="816" t="s">
        <v>9621</v>
      </c>
      <c r="F1153" s="826">
        <v>0</v>
      </c>
      <c r="G1153" s="880">
        <v>0</v>
      </c>
      <c r="H1153" s="465"/>
      <c r="I1153" s="465"/>
      <c r="J1153" s="826">
        <v>0</v>
      </c>
      <c r="K1153" s="878">
        <v>0</v>
      </c>
    </row>
    <row r="1154" spans="1:11" ht="22.5" customHeight="1" x14ac:dyDescent="0.25">
      <c r="A1154" s="816" t="s">
        <v>252</v>
      </c>
      <c r="B1154" s="880">
        <v>2025</v>
      </c>
      <c r="C1154" s="816" t="s">
        <v>1866</v>
      </c>
      <c r="D1154" s="816" t="s">
        <v>1867</v>
      </c>
      <c r="E1154" s="816" t="s">
        <v>9622</v>
      </c>
      <c r="F1154" s="826">
        <v>0</v>
      </c>
      <c r="G1154" s="880">
        <v>0</v>
      </c>
      <c r="H1154" s="465"/>
      <c r="I1154" s="465"/>
      <c r="J1154" s="826">
        <v>0</v>
      </c>
      <c r="K1154" s="878">
        <v>0</v>
      </c>
    </row>
    <row r="1155" spans="1:11" ht="22.5" customHeight="1" x14ac:dyDescent="0.25">
      <c r="A1155" s="816" t="s">
        <v>252</v>
      </c>
      <c r="B1155" s="880">
        <v>2025</v>
      </c>
      <c r="C1155" s="816" t="s">
        <v>1869</v>
      </c>
      <c r="D1155" s="816" t="s">
        <v>1870</v>
      </c>
      <c r="E1155" s="816" t="s">
        <v>9623</v>
      </c>
      <c r="F1155" s="826">
        <v>0</v>
      </c>
      <c r="G1155" s="880">
        <v>0</v>
      </c>
      <c r="H1155" s="465"/>
      <c r="I1155" s="465"/>
      <c r="J1155" s="826">
        <v>0</v>
      </c>
      <c r="K1155" s="878">
        <v>0</v>
      </c>
    </row>
    <row r="1156" spans="1:11" ht="22.5" customHeight="1" x14ac:dyDescent="0.25">
      <c r="A1156" s="816" t="s">
        <v>252</v>
      </c>
      <c r="B1156" s="880">
        <v>2025</v>
      </c>
      <c r="C1156" s="816" t="s">
        <v>1872</v>
      </c>
      <c r="D1156" s="816" t="s">
        <v>1873</v>
      </c>
      <c r="E1156" s="816" t="s">
        <v>9624</v>
      </c>
      <c r="F1156" s="826">
        <v>0</v>
      </c>
      <c r="G1156" s="880">
        <v>0</v>
      </c>
      <c r="H1156" s="465"/>
      <c r="I1156" s="465"/>
      <c r="J1156" s="826">
        <v>0</v>
      </c>
      <c r="K1156" s="878">
        <v>0</v>
      </c>
    </row>
    <row r="1157" spans="1:11" ht="22.5" customHeight="1" x14ac:dyDescent="0.25">
      <c r="A1157" s="816" t="s">
        <v>252</v>
      </c>
      <c r="B1157" s="880">
        <v>2025</v>
      </c>
      <c r="C1157" s="816" t="s">
        <v>1875</v>
      </c>
      <c r="D1157" s="816" t="s">
        <v>1876</v>
      </c>
      <c r="E1157" s="816" t="s">
        <v>9625</v>
      </c>
      <c r="F1157" s="826">
        <v>0</v>
      </c>
      <c r="G1157" s="880">
        <v>0</v>
      </c>
      <c r="H1157" s="465"/>
      <c r="I1157" s="465"/>
      <c r="J1157" s="826">
        <v>0</v>
      </c>
      <c r="K1157" s="878">
        <v>0</v>
      </c>
    </row>
    <row r="1158" spans="1:11" ht="22.5" customHeight="1" x14ac:dyDescent="0.25">
      <c r="A1158" s="816" t="s">
        <v>252</v>
      </c>
      <c r="B1158" s="880">
        <v>2025</v>
      </c>
      <c r="C1158" s="816" t="s">
        <v>1878</v>
      </c>
      <c r="D1158" s="816" t="s">
        <v>1879</v>
      </c>
      <c r="E1158" s="816" t="s">
        <v>9626</v>
      </c>
      <c r="F1158" s="826">
        <v>0</v>
      </c>
      <c r="G1158" s="880">
        <v>0</v>
      </c>
      <c r="H1158" s="465"/>
      <c r="I1158" s="465"/>
      <c r="J1158" s="826">
        <v>0</v>
      </c>
      <c r="K1158" s="878">
        <v>0</v>
      </c>
    </row>
    <row r="1159" spans="1:11" ht="22.5" customHeight="1" x14ac:dyDescent="0.25">
      <c r="A1159" s="816" t="s">
        <v>252</v>
      </c>
      <c r="B1159" s="880">
        <v>2025</v>
      </c>
      <c r="C1159" s="816" t="s">
        <v>1881</v>
      </c>
      <c r="D1159" s="816" t="s">
        <v>1882</v>
      </c>
      <c r="E1159" s="816" t="s">
        <v>9627</v>
      </c>
      <c r="F1159" s="826">
        <v>0</v>
      </c>
      <c r="G1159" s="880">
        <v>0</v>
      </c>
      <c r="H1159" s="465"/>
      <c r="I1159" s="465"/>
      <c r="J1159" s="826">
        <v>0</v>
      </c>
      <c r="K1159" s="878">
        <v>0</v>
      </c>
    </row>
    <row r="1160" spans="1:11" ht="22.5" customHeight="1" x14ac:dyDescent="0.25">
      <c r="A1160" s="816" t="s">
        <v>252</v>
      </c>
      <c r="B1160" s="880">
        <v>2025</v>
      </c>
      <c r="C1160" s="816" t="s">
        <v>1884</v>
      </c>
      <c r="D1160" s="816" t="s">
        <v>1885</v>
      </c>
      <c r="E1160" s="816" t="s">
        <v>9628</v>
      </c>
      <c r="F1160" s="826">
        <v>0</v>
      </c>
      <c r="G1160" s="880">
        <v>0</v>
      </c>
      <c r="H1160" s="465"/>
      <c r="I1160" s="465"/>
      <c r="J1160" s="826">
        <v>0</v>
      </c>
      <c r="K1160" s="878">
        <v>0</v>
      </c>
    </row>
    <row r="1161" spans="1:11" ht="22.5" customHeight="1" x14ac:dyDescent="0.25">
      <c r="A1161" s="816" t="s">
        <v>252</v>
      </c>
      <c r="B1161" s="880">
        <v>2025</v>
      </c>
      <c r="C1161" s="816" t="s">
        <v>1887</v>
      </c>
      <c r="D1161" s="816" t="s">
        <v>138</v>
      </c>
      <c r="E1161" s="816" t="s">
        <v>9629</v>
      </c>
      <c r="F1161" s="826">
        <v>14957.14</v>
      </c>
      <c r="G1161" s="880">
        <v>1</v>
      </c>
      <c r="H1161" s="826">
        <v>12190.78</v>
      </c>
      <c r="I1161" s="826">
        <v>2766.36</v>
      </c>
      <c r="J1161" s="826">
        <v>14957.14</v>
      </c>
      <c r="K1161" s="878">
        <v>14957.14</v>
      </c>
    </row>
    <row r="1162" spans="1:11" ht="22.5" customHeight="1" x14ac:dyDescent="0.25">
      <c r="A1162" s="816" t="s">
        <v>252</v>
      </c>
      <c r="B1162" s="880">
        <v>2025</v>
      </c>
      <c r="C1162" s="816" t="s">
        <v>1889</v>
      </c>
      <c r="D1162" s="816" t="s">
        <v>139</v>
      </c>
      <c r="E1162" s="816" t="s">
        <v>9630</v>
      </c>
      <c r="F1162" s="826">
        <v>-7743.95</v>
      </c>
      <c r="G1162" s="880">
        <v>1</v>
      </c>
      <c r="H1162" s="826">
        <v>-7221.83</v>
      </c>
      <c r="I1162" s="826">
        <v>-522.12</v>
      </c>
      <c r="J1162" s="826">
        <v>-7743.95</v>
      </c>
      <c r="K1162" s="878">
        <v>-7743.95</v>
      </c>
    </row>
    <row r="1163" spans="1:11" ht="22.5" customHeight="1" x14ac:dyDescent="0.25">
      <c r="A1163" s="816" t="s">
        <v>252</v>
      </c>
      <c r="B1163" s="880">
        <v>2025</v>
      </c>
      <c r="C1163" s="816" t="s">
        <v>1891</v>
      </c>
      <c r="D1163" s="816" t="s">
        <v>1892</v>
      </c>
      <c r="E1163" s="816" t="s">
        <v>9631</v>
      </c>
      <c r="F1163" s="826">
        <v>0</v>
      </c>
      <c r="G1163" s="880">
        <v>0</v>
      </c>
      <c r="H1163" s="465"/>
      <c r="I1163" s="465"/>
      <c r="J1163" s="826">
        <v>0</v>
      </c>
      <c r="K1163" s="878">
        <v>0</v>
      </c>
    </row>
    <row r="1164" spans="1:11" ht="22.5" customHeight="1" x14ac:dyDescent="0.25">
      <c r="A1164" s="816" t="s">
        <v>252</v>
      </c>
      <c r="B1164" s="880">
        <v>2025</v>
      </c>
      <c r="C1164" s="816" t="s">
        <v>1891</v>
      </c>
      <c r="D1164" s="816" t="s">
        <v>1894</v>
      </c>
      <c r="E1164" s="816" t="s">
        <v>9631</v>
      </c>
      <c r="F1164" s="826">
        <v>0</v>
      </c>
      <c r="G1164" s="880">
        <v>0</v>
      </c>
      <c r="H1164" s="465"/>
      <c r="I1164" s="465"/>
      <c r="J1164" s="826">
        <v>0</v>
      </c>
      <c r="K1164" s="881">
        <v>0</v>
      </c>
    </row>
    <row r="1165" spans="1:11" ht="22.5" customHeight="1" x14ac:dyDescent="0.25">
      <c r="A1165" s="816" t="s">
        <v>252</v>
      </c>
      <c r="B1165" s="880">
        <v>2025</v>
      </c>
      <c r="C1165" s="816" t="s">
        <v>1895</v>
      </c>
      <c r="D1165" s="816" t="s">
        <v>1896</v>
      </c>
      <c r="E1165" s="816" t="s">
        <v>9632</v>
      </c>
      <c r="F1165" s="826">
        <v>20411.740000000002</v>
      </c>
      <c r="G1165" s="880">
        <v>0</v>
      </c>
      <c r="H1165" s="465"/>
      <c r="I1165" s="465"/>
      <c r="J1165" s="826">
        <v>0</v>
      </c>
      <c r="K1165" s="878">
        <v>20411.740000000002</v>
      </c>
    </row>
    <row r="1166" spans="1:11" ht="22.5" customHeight="1" x14ac:dyDescent="0.25">
      <c r="A1166" s="816" t="s">
        <v>252</v>
      </c>
      <c r="B1166" s="880">
        <v>2025</v>
      </c>
      <c r="C1166" s="816" t="s">
        <v>1898</v>
      </c>
      <c r="D1166" s="816" t="s">
        <v>1899</v>
      </c>
      <c r="E1166" s="816" t="s">
        <v>9633</v>
      </c>
      <c r="F1166" s="826">
        <v>0</v>
      </c>
      <c r="G1166" s="880">
        <v>0</v>
      </c>
      <c r="H1166" s="465"/>
      <c r="I1166" s="465"/>
      <c r="J1166" s="826">
        <v>0</v>
      </c>
      <c r="K1166" s="878">
        <v>0</v>
      </c>
    </row>
    <row r="1167" spans="1:11" ht="22.5" customHeight="1" x14ac:dyDescent="0.25">
      <c r="A1167" s="816" t="s">
        <v>252</v>
      </c>
      <c r="B1167" s="880">
        <v>2025</v>
      </c>
      <c r="C1167" s="816" t="s">
        <v>1901</v>
      </c>
      <c r="D1167" s="816" t="s">
        <v>1902</v>
      </c>
      <c r="E1167" s="816" t="s">
        <v>9634</v>
      </c>
      <c r="F1167" s="826">
        <v>0</v>
      </c>
      <c r="G1167" s="880">
        <v>0</v>
      </c>
      <c r="H1167" s="465"/>
      <c r="I1167" s="465"/>
      <c r="J1167" s="826">
        <v>0</v>
      </c>
      <c r="K1167" s="878">
        <v>0</v>
      </c>
    </row>
    <row r="1168" spans="1:11" ht="22.5" customHeight="1" x14ac:dyDescent="0.25">
      <c r="A1168" s="816" t="s">
        <v>252</v>
      </c>
      <c r="B1168" s="880">
        <v>2025</v>
      </c>
      <c r="C1168" s="816" t="s">
        <v>1904</v>
      </c>
      <c r="D1168" s="816" t="s">
        <v>1905</v>
      </c>
      <c r="E1168" s="816" t="s">
        <v>9635</v>
      </c>
      <c r="F1168" s="826">
        <v>0</v>
      </c>
      <c r="G1168" s="880">
        <v>0</v>
      </c>
      <c r="H1168" s="465"/>
      <c r="I1168" s="465"/>
      <c r="J1168" s="826">
        <v>0</v>
      </c>
      <c r="K1168" s="878">
        <v>0</v>
      </c>
    </row>
    <row r="1169" spans="1:11" ht="22.5" customHeight="1" x14ac:dyDescent="0.25">
      <c r="A1169" s="816" t="s">
        <v>252</v>
      </c>
      <c r="B1169" s="880">
        <v>2025</v>
      </c>
      <c r="C1169" s="816" t="s">
        <v>1907</v>
      </c>
      <c r="D1169" s="816" t="s">
        <v>1908</v>
      </c>
      <c r="E1169" s="816" t="s">
        <v>9636</v>
      </c>
      <c r="F1169" s="826">
        <v>0</v>
      </c>
      <c r="G1169" s="880">
        <v>0</v>
      </c>
      <c r="H1169" s="465"/>
      <c r="I1169" s="465"/>
      <c r="J1169" s="826">
        <v>0</v>
      </c>
      <c r="K1169" s="878">
        <v>0</v>
      </c>
    </row>
    <row r="1170" spans="1:11" ht="22.5" customHeight="1" x14ac:dyDescent="0.25">
      <c r="A1170" s="816" t="s">
        <v>252</v>
      </c>
      <c r="B1170" s="880">
        <v>2025</v>
      </c>
      <c r="C1170" s="816" t="s">
        <v>1910</v>
      </c>
      <c r="D1170" s="816" t="s">
        <v>1911</v>
      </c>
      <c r="E1170" s="816" t="s">
        <v>9637</v>
      </c>
      <c r="F1170" s="826">
        <v>0</v>
      </c>
      <c r="G1170" s="880">
        <v>0</v>
      </c>
      <c r="H1170" s="465"/>
      <c r="I1170" s="465"/>
      <c r="J1170" s="826">
        <v>0</v>
      </c>
      <c r="K1170" s="878">
        <v>0</v>
      </c>
    </row>
    <row r="1171" spans="1:11" ht="22.5" customHeight="1" x14ac:dyDescent="0.25">
      <c r="A1171" s="816" t="s">
        <v>252</v>
      </c>
      <c r="B1171" s="880">
        <v>2025</v>
      </c>
      <c r="C1171" s="816" t="s">
        <v>1913</v>
      </c>
      <c r="D1171" s="816" t="s">
        <v>1914</v>
      </c>
      <c r="E1171" s="816" t="s">
        <v>9638</v>
      </c>
      <c r="F1171" s="826">
        <v>-128583.7</v>
      </c>
      <c r="G1171" s="880">
        <v>1</v>
      </c>
      <c r="H1171" s="826">
        <v>-121798.05</v>
      </c>
      <c r="I1171" s="826">
        <v>-6785.65</v>
      </c>
      <c r="J1171" s="826">
        <v>-128583.7</v>
      </c>
      <c r="K1171" s="878">
        <v>-128583.7</v>
      </c>
    </row>
    <row r="1172" spans="1:11" ht="22.5" customHeight="1" x14ac:dyDescent="0.25">
      <c r="A1172" s="816" t="s">
        <v>252</v>
      </c>
      <c r="B1172" s="880">
        <v>2025</v>
      </c>
      <c r="C1172" s="816" t="s">
        <v>1913</v>
      </c>
      <c r="D1172" s="816" t="s">
        <v>1916</v>
      </c>
      <c r="E1172" s="816" t="s">
        <v>9638</v>
      </c>
      <c r="F1172" s="826">
        <v>0</v>
      </c>
      <c r="G1172" s="880">
        <v>0</v>
      </c>
      <c r="H1172" s="465"/>
      <c r="I1172" s="465"/>
      <c r="J1172" s="826">
        <v>0</v>
      </c>
      <c r="K1172" s="881">
        <v>0</v>
      </c>
    </row>
    <row r="1173" spans="1:11" ht="22.5" customHeight="1" x14ac:dyDescent="0.25">
      <c r="A1173" s="816" t="s">
        <v>252</v>
      </c>
      <c r="B1173" s="880">
        <v>2025</v>
      </c>
      <c r="C1173" s="816" t="s">
        <v>1913</v>
      </c>
      <c r="D1173" s="816" t="s">
        <v>1917</v>
      </c>
      <c r="E1173" s="816" t="s">
        <v>9638</v>
      </c>
      <c r="F1173" s="826">
        <v>0</v>
      </c>
      <c r="G1173" s="880">
        <v>0</v>
      </c>
      <c r="H1173" s="465"/>
      <c r="I1173" s="465"/>
      <c r="J1173" s="826">
        <v>0</v>
      </c>
      <c r="K1173" s="881">
        <v>0</v>
      </c>
    </row>
    <row r="1174" spans="1:11" ht="22.5" customHeight="1" x14ac:dyDescent="0.25">
      <c r="A1174" s="816" t="s">
        <v>252</v>
      </c>
      <c r="B1174" s="880">
        <v>2025</v>
      </c>
      <c r="C1174" s="816" t="s">
        <v>1913</v>
      </c>
      <c r="D1174" s="816" t="s">
        <v>1918</v>
      </c>
      <c r="E1174" s="816" t="s">
        <v>9638</v>
      </c>
      <c r="F1174" s="826">
        <v>0</v>
      </c>
      <c r="G1174" s="880">
        <v>0</v>
      </c>
      <c r="H1174" s="465"/>
      <c r="I1174" s="465"/>
      <c r="J1174" s="826">
        <v>0</v>
      </c>
      <c r="K1174" s="881">
        <v>350.93</v>
      </c>
    </row>
    <row r="1175" spans="1:11" ht="22.5" customHeight="1" x14ac:dyDescent="0.25">
      <c r="A1175" s="816" t="s">
        <v>252</v>
      </c>
      <c r="B1175" s="880">
        <v>2025</v>
      </c>
      <c r="C1175" s="816" t="s">
        <v>1913</v>
      </c>
      <c r="D1175" s="816" t="s">
        <v>1919</v>
      </c>
      <c r="E1175" s="816" t="s">
        <v>9638</v>
      </c>
      <c r="F1175" s="826">
        <v>0</v>
      </c>
      <c r="G1175" s="880">
        <v>0</v>
      </c>
      <c r="H1175" s="465"/>
      <c r="I1175" s="465"/>
      <c r="J1175" s="826">
        <v>0</v>
      </c>
      <c r="K1175" s="881">
        <v>13501.66</v>
      </c>
    </row>
    <row r="1176" spans="1:11" ht="22.5" customHeight="1" x14ac:dyDescent="0.25">
      <c r="A1176" s="816" t="s">
        <v>252</v>
      </c>
      <c r="B1176" s="880">
        <v>2025</v>
      </c>
      <c r="C1176" s="816" t="s">
        <v>1920</v>
      </c>
      <c r="D1176" s="816" t="s">
        <v>1921</v>
      </c>
      <c r="E1176" s="816" t="s">
        <v>9639</v>
      </c>
      <c r="F1176" s="826">
        <v>0</v>
      </c>
      <c r="G1176" s="880">
        <v>0</v>
      </c>
      <c r="H1176" s="465"/>
      <c r="I1176" s="465"/>
      <c r="J1176" s="826">
        <v>0</v>
      </c>
      <c r="K1176" s="878">
        <v>0</v>
      </c>
    </row>
    <row r="1177" spans="1:11" ht="22.5" customHeight="1" x14ac:dyDescent="0.25">
      <c r="A1177" s="816" t="s">
        <v>252</v>
      </c>
      <c r="B1177" s="880">
        <v>2025</v>
      </c>
      <c r="C1177" s="816" t="s">
        <v>1923</v>
      </c>
      <c r="D1177" s="816" t="s">
        <v>143</v>
      </c>
      <c r="E1177" s="816" t="s">
        <v>9640</v>
      </c>
      <c r="F1177" s="826">
        <v>94550.86</v>
      </c>
      <c r="G1177" s="880">
        <v>1</v>
      </c>
      <c r="H1177" s="826">
        <v>89728.11</v>
      </c>
      <c r="I1177" s="826">
        <v>4822.75</v>
      </c>
      <c r="J1177" s="826">
        <v>94550.86</v>
      </c>
      <c r="K1177" s="878">
        <v>94550.86</v>
      </c>
    </row>
    <row r="1178" spans="1:11" ht="22.5" customHeight="1" x14ac:dyDescent="0.25">
      <c r="A1178" s="816" t="s">
        <v>252</v>
      </c>
      <c r="B1178" s="880">
        <v>2025</v>
      </c>
      <c r="C1178" s="816" t="s">
        <v>1925</v>
      </c>
      <c r="D1178" s="816" t="s">
        <v>144</v>
      </c>
      <c r="E1178" s="816" t="s">
        <v>9641</v>
      </c>
      <c r="F1178" s="826">
        <v>85781.97</v>
      </c>
      <c r="G1178" s="880">
        <v>1</v>
      </c>
      <c r="H1178" s="826">
        <v>81553.210000000006</v>
      </c>
      <c r="I1178" s="826">
        <v>4228.76</v>
      </c>
      <c r="J1178" s="826">
        <v>85781.97</v>
      </c>
      <c r="K1178" s="878">
        <v>85781.97</v>
      </c>
    </row>
    <row r="1179" spans="1:11" ht="22.5" customHeight="1" x14ac:dyDescent="0.25">
      <c r="A1179" s="816" t="s">
        <v>252</v>
      </c>
      <c r="B1179" s="880">
        <v>2025</v>
      </c>
      <c r="C1179" s="816" t="s">
        <v>1927</v>
      </c>
      <c r="D1179" s="816" t="s">
        <v>1928</v>
      </c>
      <c r="E1179" s="816" t="s">
        <v>9642</v>
      </c>
      <c r="F1179" s="826">
        <v>-238007.84</v>
      </c>
      <c r="G1179" s="880">
        <v>1</v>
      </c>
      <c r="H1179" s="826">
        <v>-223429.09</v>
      </c>
      <c r="I1179" s="826">
        <v>-14578.75</v>
      </c>
      <c r="J1179" s="826">
        <v>-238007.84</v>
      </c>
      <c r="K1179" s="878">
        <v>-238007.84</v>
      </c>
    </row>
    <row r="1180" spans="1:11" ht="22.5" customHeight="1" x14ac:dyDescent="0.25">
      <c r="A1180" s="816" t="s">
        <v>252</v>
      </c>
      <c r="B1180" s="880">
        <v>2025</v>
      </c>
      <c r="C1180" s="816" t="s">
        <v>1930</v>
      </c>
      <c r="D1180" s="816" t="s">
        <v>156</v>
      </c>
      <c r="E1180" s="816" t="s">
        <v>9643</v>
      </c>
      <c r="F1180" s="826">
        <v>-78399.69</v>
      </c>
      <c r="G1180" s="880">
        <v>1</v>
      </c>
      <c r="H1180" s="826">
        <v>-72683.460000000006</v>
      </c>
      <c r="I1180" s="826">
        <v>-5716.23</v>
      </c>
      <c r="J1180" s="826">
        <v>-78399.69</v>
      </c>
      <c r="K1180" s="878">
        <v>-78399.69</v>
      </c>
    </row>
    <row r="1181" spans="1:11" ht="22.5" customHeight="1" x14ac:dyDescent="0.25">
      <c r="A1181" s="816" t="s">
        <v>252</v>
      </c>
      <c r="B1181" s="880">
        <v>2025</v>
      </c>
      <c r="C1181" s="816" t="s">
        <v>1932</v>
      </c>
      <c r="D1181" s="816" t="s">
        <v>1933</v>
      </c>
      <c r="E1181" s="816" t="s">
        <v>9644</v>
      </c>
      <c r="F1181" s="826">
        <v>0</v>
      </c>
      <c r="G1181" s="880">
        <v>0</v>
      </c>
      <c r="H1181" s="465"/>
      <c r="I1181" s="465"/>
      <c r="J1181" s="826">
        <v>0</v>
      </c>
      <c r="K1181" s="878">
        <v>0</v>
      </c>
    </row>
    <row r="1182" spans="1:11" ht="22.5" customHeight="1" x14ac:dyDescent="0.25">
      <c r="A1182" s="816" t="s">
        <v>252</v>
      </c>
      <c r="B1182" s="880">
        <v>2025</v>
      </c>
      <c r="C1182" s="816" t="s">
        <v>1935</v>
      </c>
      <c r="D1182" s="816" t="s">
        <v>1936</v>
      </c>
      <c r="E1182" s="816" t="s">
        <v>9645</v>
      </c>
      <c r="F1182" s="826">
        <v>0</v>
      </c>
      <c r="G1182" s="880">
        <v>1</v>
      </c>
      <c r="H1182" s="465"/>
      <c r="I1182" s="465"/>
      <c r="J1182" s="826">
        <v>0</v>
      </c>
      <c r="K1182" s="878">
        <v>0</v>
      </c>
    </row>
    <row r="1183" spans="1:11" ht="22.5" customHeight="1" x14ac:dyDescent="0.25">
      <c r="A1183" s="816" t="s">
        <v>252</v>
      </c>
      <c r="B1183" s="880">
        <v>2025</v>
      </c>
      <c r="C1183" s="816" t="s">
        <v>1935</v>
      </c>
      <c r="D1183" s="816" t="s">
        <v>1937</v>
      </c>
      <c r="E1183" s="816" t="s">
        <v>9646</v>
      </c>
      <c r="F1183" s="826">
        <v>0</v>
      </c>
      <c r="G1183" s="880">
        <v>1</v>
      </c>
      <c r="H1183" s="465"/>
      <c r="I1183" s="465"/>
      <c r="J1183" s="826">
        <v>0</v>
      </c>
      <c r="K1183" s="878">
        <v>0</v>
      </c>
    </row>
    <row r="1184" spans="1:11" ht="22.5" customHeight="1" x14ac:dyDescent="0.25">
      <c r="A1184" s="816" t="s">
        <v>252</v>
      </c>
      <c r="B1184" s="880">
        <v>2025</v>
      </c>
      <c r="C1184" s="816" t="s">
        <v>1935</v>
      </c>
      <c r="D1184" s="816" t="s">
        <v>1938</v>
      </c>
      <c r="E1184" s="816" t="s">
        <v>9647</v>
      </c>
      <c r="F1184" s="826">
        <v>0</v>
      </c>
      <c r="G1184" s="880">
        <v>1</v>
      </c>
      <c r="H1184" s="465"/>
      <c r="I1184" s="465"/>
      <c r="J1184" s="826">
        <v>0</v>
      </c>
      <c r="K1184" s="878">
        <v>0</v>
      </c>
    </row>
    <row r="1185" spans="1:11" ht="22.5" customHeight="1" x14ac:dyDescent="0.25">
      <c r="A1185" s="816" t="s">
        <v>252</v>
      </c>
      <c r="B1185" s="880">
        <v>2025</v>
      </c>
      <c r="C1185" s="816" t="s">
        <v>1935</v>
      </c>
      <c r="D1185" s="816" t="s">
        <v>1939</v>
      </c>
      <c r="E1185" s="816" t="s">
        <v>9648</v>
      </c>
      <c r="F1185" s="826">
        <v>0</v>
      </c>
      <c r="G1185" s="880">
        <v>1</v>
      </c>
      <c r="H1185" s="465"/>
      <c r="I1185" s="465"/>
      <c r="J1185" s="826">
        <v>0</v>
      </c>
      <c r="K1185" s="878">
        <v>0</v>
      </c>
    </row>
    <row r="1186" spans="1:11" ht="22.5" customHeight="1" x14ac:dyDescent="0.25">
      <c r="A1186" s="816" t="s">
        <v>252</v>
      </c>
      <c r="B1186" s="880">
        <v>2025</v>
      </c>
      <c r="C1186" s="816" t="s">
        <v>1935</v>
      </c>
      <c r="D1186" s="816" t="s">
        <v>1940</v>
      </c>
      <c r="E1186" s="816" t="s">
        <v>9649</v>
      </c>
      <c r="F1186" s="826">
        <v>0</v>
      </c>
      <c r="G1186" s="880">
        <v>1</v>
      </c>
      <c r="H1186" s="465"/>
      <c r="I1186" s="465"/>
      <c r="J1186" s="826">
        <v>0</v>
      </c>
      <c r="K1186" s="878">
        <v>0</v>
      </c>
    </row>
    <row r="1187" spans="1:11" ht="22.5" customHeight="1" x14ac:dyDescent="0.25">
      <c r="A1187" s="816" t="s">
        <v>252</v>
      </c>
      <c r="B1187" s="880">
        <v>2025</v>
      </c>
      <c r="C1187" s="816" t="s">
        <v>1935</v>
      </c>
      <c r="D1187" s="816" t="s">
        <v>1941</v>
      </c>
      <c r="E1187" s="816" t="s">
        <v>9650</v>
      </c>
      <c r="F1187" s="826">
        <v>0</v>
      </c>
      <c r="G1187" s="880">
        <v>1</v>
      </c>
      <c r="H1187" s="465"/>
      <c r="I1187" s="465"/>
      <c r="J1187" s="826">
        <v>0</v>
      </c>
      <c r="K1187" s="878">
        <v>0</v>
      </c>
    </row>
    <row r="1188" spans="1:11" ht="22.5" customHeight="1" x14ac:dyDescent="0.25">
      <c r="A1188" s="816" t="s">
        <v>252</v>
      </c>
      <c r="B1188" s="880">
        <v>2025</v>
      </c>
      <c r="C1188" s="816" t="s">
        <v>1935</v>
      </c>
      <c r="D1188" s="816" t="s">
        <v>1942</v>
      </c>
      <c r="E1188" s="816" t="s">
        <v>9651</v>
      </c>
      <c r="F1188" s="826">
        <v>0</v>
      </c>
      <c r="G1188" s="880">
        <v>1</v>
      </c>
      <c r="H1188" s="465"/>
      <c r="I1188" s="465"/>
      <c r="J1188" s="826">
        <v>0</v>
      </c>
      <c r="K1188" s="878">
        <v>0</v>
      </c>
    </row>
    <row r="1189" spans="1:11" ht="22.5" customHeight="1" x14ac:dyDescent="0.25">
      <c r="A1189" s="816" t="s">
        <v>252</v>
      </c>
      <c r="B1189" s="880">
        <v>2025</v>
      </c>
      <c r="C1189" s="816" t="s">
        <v>1935</v>
      </c>
      <c r="D1189" s="816" t="s">
        <v>1943</v>
      </c>
      <c r="E1189" s="816" t="s">
        <v>9652</v>
      </c>
      <c r="F1189" s="826">
        <v>0</v>
      </c>
      <c r="G1189" s="880">
        <v>1</v>
      </c>
      <c r="H1189" s="465"/>
      <c r="I1189" s="465"/>
      <c r="J1189" s="826">
        <v>0</v>
      </c>
      <c r="K1189" s="878">
        <v>0</v>
      </c>
    </row>
    <row r="1190" spans="1:11" ht="22.5" customHeight="1" x14ac:dyDescent="0.25">
      <c r="A1190" s="816" t="s">
        <v>252</v>
      </c>
      <c r="B1190" s="880">
        <v>2025</v>
      </c>
      <c r="C1190" s="816" t="s">
        <v>1935</v>
      </c>
      <c r="D1190" s="816" t="s">
        <v>1944</v>
      </c>
      <c r="E1190" s="816" t="s">
        <v>9653</v>
      </c>
      <c r="F1190" s="826">
        <v>0</v>
      </c>
      <c r="G1190" s="880">
        <v>1</v>
      </c>
      <c r="H1190" s="465"/>
      <c r="I1190" s="465"/>
      <c r="J1190" s="826">
        <v>0</v>
      </c>
      <c r="K1190" s="878">
        <v>0</v>
      </c>
    </row>
    <row r="1191" spans="1:11" ht="22.5" customHeight="1" x14ac:dyDescent="0.25">
      <c r="A1191" s="816" t="s">
        <v>252</v>
      </c>
      <c r="B1191" s="880">
        <v>2025</v>
      </c>
      <c r="C1191" s="816" t="s">
        <v>1935</v>
      </c>
      <c r="D1191" s="816" t="s">
        <v>1945</v>
      </c>
      <c r="E1191" s="816" t="s">
        <v>9654</v>
      </c>
      <c r="F1191" s="826">
        <v>0</v>
      </c>
      <c r="G1191" s="880">
        <v>1</v>
      </c>
      <c r="H1191" s="465"/>
      <c r="I1191" s="465"/>
      <c r="J1191" s="826">
        <v>0</v>
      </c>
      <c r="K1191" s="878">
        <v>0</v>
      </c>
    </row>
    <row r="1192" spans="1:11" ht="22.5" customHeight="1" x14ac:dyDescent="0.25">
      <c r="A1192" s="816" t="s">
        <v>252</v>
      </c>
      <c r="B1192" s="880">
        <v>2025</v>
      </c>
      <c r="C1192" s="816" t="s">
        <v>1935</v>
      </c>
      <c r="D1192" s="816" t="s">
        <v>1946</v>
      </c>
      <c r="E1192" s="816" t="s">
        <v>9655</v>
      </c>
      <c r="F1192" s="826">
        <v>0</v>
      </c>
      <c r="G1192" s="880">
        <v>1</v>
      </c>
      <c r="H1192" s="465"/>
      <c r="I1192" s="465"/>
      <c r="J1192" s="826">
        <v>0</v>
      </c>
      <c r="K1192" s="878">
        <v>0</v>
      </c>
    </row>
    <row r="1193" spans="1:11" ht="22.5" customHeight="1" x14ac:dyDescent="0.25">
      <c r="A1193" s="816" t="s">
        <v>252</v>
      </c>
      <c r="B1193" s="880">
        <v>2025</v>
      </c>
      <c r="C1193" s="816" t="s">
        <v>1935</v>
      </c>
      <c r="D1193" s="816" t="s">
        <v>1947</v>
      </c>
      <c r="E1193" s="816" t="s">
        <v>9656</v>
      </c>
      <c r="F1193" s="826">
        <v>0</v>
      </c>
      <c r="G1193" s="880">
        <v>1</v>
      </c>
      <c r="H1193" s="826">
        <v>163255.71</v>
      </c>
      <c r="I1193" s="826">
        <v>-134822.57</v>
      </c>
      <c r="J1193" s="826">
        <v>28433.14</v>
      </c>
      <c r="K1193" s="878">
        <v>28433.14</v>
      </c>
    </row>
    <row r="1194" spans="1:11" ht="22.5" customHeight="1" x14ac:dyDescent="0.25">
      <c r="A1194" s="816" t="s">
        <v>252</v>
      </c>
      <c r="B1194" s="880">
        <v>2025</v>
      </c>
      <c r="C1194" s="816" t="s">
        <v>1935</v>
      </c>
      <c r="D1194" s="816" t="s">
        <v>1948</v>
      </c>
      <c r="E1194" s="816" t="s">
        <v>9657</v>
      </c>
      <c r="F1194" s="826">
        <v>0</v>
      </c>
      <c r="G1194" s="880">
        <v>1</v>
      </c>
      <c r="H1194" s="826">
        <v>-11628.88</v>
      </c>
      <c r="I1194" s="826">
        <v>7564.52</v>
      </c>
      <c r="J1194" s="826">
        <v>-4064.36</v>
      </c>
      <c r="K1194" s="878">
        <v>-4064.36</v>
      </c>
    </row>
    <row r="1195" spans="1:11" ht="22.5" customHeight="1" x14ac:dyDescent="0.25">
      <c r="A1195" s="816" t="s">
        <v>252</v>
      </c>
      <c r="B1195" s="880">
        <v>2025</v>
      </c>
      <c r="C1195" s="816" t="s">
        <v>1935</v>
      </c>
      <c r="D1195" s="816" t="s">
        <v>1949</v>
      </c>
      <c r="E1195" s="816" t="s">
        <v>9658</v>
      </c>
      <c r="F1195" s="826">
        <v>0</v>
      </c>
      <c r="G1195" s="880">
        <v>1</v>
      </c>
      <c r="H1195" s="826">
        <v>-3493.53</v>
      </c>
      <c r="I1195" s="826">
        <v>-3480.13</v>
      </c>
      <c r="J1195" s="826">
        <v>-6973.66</v>
      </c>
      <c r="K1195" s="878">
        <v>-6973.66</v>
      </c>
    </row>
    <row r="1196" spans="1:11" ht="22.5" customHeight="1" x14ac:dyDescent="0.25">
      <c r="A1196" s="816" t="s">
        <v>252</v>
      </c>
      <c r="B1196" s="880">
        <v>2025</v>
      </c>
      <c r="C1196" s="816" t="s">
        <v>1935</v>
      </c>
      <c r="D1196" s="816" t="s">
        <v>1950</v>
      </c>
      <c r="E1196" s="816" t="s">
        <v>9659</v>
      </c>
      <c r="F1196" s="826">
        <v>0</v>
      </c>
      <c r="G1196" s="880">
        <v>1</v>
      </c>
      <c r="H1196" s="465"/>
      <c r="I1196" s="465"/>
      <c r="J1196" s="826">
        <v>0</v>
      </c>
      <c r="K1196" s="878">
        <v>0</v>
      </c>
    </row>
    <row r="1197" spans="1:11" ht="22.5" customHeight="1" x14ac:dyDescent="0.25">
      <c r="A1197" s="816" t="s">
        <v>252</v>
      </c>
      <c r="B1197" s="880">
        <v>2025</v>
      </c>
      <c r="C1197" s="816" t="s">
        <v>1935</v>
      </c>
      <c r="D1197" s="816" t="s">
        <v>1951</v>
      </c>
      <c r="E1197" s="816" t="s">
        <v>9660</v>
      </c>
      <c r="F1197" s="826">
        <v>0</v>
      </c>
      <c r="G1197" s="880">
        <v>1</v>
      </c>
      <c r="H1197" s="465"/>
      <c r="I1197" s="465"/>
      <c r="J1197" s="826">
        <v>0</v>
      </c>
      <c r="K1197" s="878">
        <v>0</v>
      </c>
    </row>
    <row r="1198" spans="1:11" ht="22.5" customHeight="1" x14ac:dyDescent="0.25">
      <c r="A1198" s="816" t="s">
        <v>252</v>
      </c>
      <c r="B1198" s="880">
        <v>2025</v>
      </c>
      <c r="C1198" s="816" t="s">
        <v>1935</v>
      </c>
      <c r="D1198" s="816" t="s">
        <v>7801</v>
      </c>
      <c r="E1198" s="816" t="s">
        <v>9661</v>
      </c>
      <c r="F1198" s="826">
        <v>0</v>
      </c>
      <c r="G1198" s="880">
        <v>1</v>
      </c>
      <c r="H1198" s="826">
        <v>-61722.05</v>
      </c>
      <c r="I1198" s="826">
        <v>-7238.7</v>
      </c>
      <c r="J1198" s="826">
        <v>-68960.75</v>
      </c>
      <c r="K1198" s="878">
        <v>-68960.75</v>
      </c>
    </row>
    <row r="1199" spans="1:11" ht="22.5" customHeight="1" x14ac:dyDescent="0.25">
      <c r="A1199" s="816" t="s">
        <v>252</v>
      </c>
      <c r="B1199" s="880">
        <v>2025</v>
      </c>
      <c r="C1199" s="816" t="s">
        <v>1935</v>
      </c>
      <c r="D1199" s="816" t="s">
        <v>1952</v>
      </c>
      <c r="E1199" s="816" t="s">
        <v>9662</v>
      </c>
      <c r="F1199" s="826">
        <v>-51565.63</v>
      </c>
      <c r="G1199" s="880">
        <v>0</v>
      </c>
      <c r="H1199" s="465"/>
      <c r="I1199" s="465"/>
      <c r="J1199" s="826">
        <v>0</v>
      </c>
      <c r="K1199" s="878">
        <v>-51565.63</v>
      </c>
    </row>
    <row r="1200" spans="1:11" ht="22.5" customHeight="1" x14ac:dyDescent="0.25">
      <c r="A1200" s="816" t="s">
        <v>252</v>
      </c>
      <c r="B1200" s="880">
        <v>2025</v>
      </c>
      <c r="C1200" s="816" t="s">
        <v>1953</v>
      </c>
      <c r="D1200" s="816" t="s">
        <v>1954</v>
      </c>
      <c r="E1200" s="816" t="s">
        <v>9663</v>
      </c>
      <c r="F1200" s="826">
        <v>0</v>
      </c>
      <c r="G1200" s="880">
        <v>0</v>
      </c>
      <c r="H1200" s="465"/>
      <c r="I1200" s="465"/>
      <c r="J1200" s="826">
        <v>0</v>
      </c>
      <c r="K1200" s="878">
        <v>0</v>
      </c>
    </row>
    <row r="1201" spans="1:11" ht="22.5" customHeight="1" x14ac:dyDescent="0.25">
      <c r="A1201" s="816" t="s">
        <v>255</v>
      </c>
      <c r="B1201" s="880">
        <v>2025</v>
      </c>
      <c r="C1201" s="816" t="s">
        <v>1854</v>
      </c>
      <c r="D1201" s="816" t="s">
        <v>1855</v>
      </c>
      <c r="E1201" s="816" t="s">
        <v>2546</v>
      </c>
      <c r="F1201" s="826">
        <v>73806.77</v>
      </c>
      <c r="G1201" s="880">
        <v>0</v>
      </c>
      <c r="H1201" s="465"/>
      <c r="I1201" s="465"/>
      <c r="J1201" s="826">
        <v>0</v>
      </c>
      <c r="K1201" s="878">
        <v>73806.77</v>
      </c>
    </row>
    <row r="1202" spans="1:11" ht="22.5" customHeight="1" x14ac:dyDescent="0.25">
      <c r="A1202" s="816" t="s">
        <v>255</v>
      </c>
      <c r="B1202" s="880">
        <v>2025</v>
      </c>
      <c r="C1202" s="816" t="s">
        <v>7746</v>
      </c>
      <c r="D1202" s="816" t="s">
        <v>7747</v>
      </c>
      <c r="E1202" s="816" t="s">
        <v>7770</v>
      </c>
      <c r="F1202" s="826">
        <v>0</v>
      </c>
      <c r="G1202" s="880">
        <v>0</v>
      </c>
      <c r="H1202" s="465"/>
      <c r="I1202" s="465"/>
      <c r="J1202" s="826">
        <v>0</v>
      </c>
      <c r="K1202" s="878">
        <v>0</v>
      </c>
    </row>
    <row r="1203" spans="1:11" ht="22.5" customHeight="1" x14ac:dyDescent="0.25">
      <c r="A1203" s="816" t="s">
        <v>255</v>
      </c>
      <c r="B1203" s="880">
        <v>2025</v>
      </c>
      <c r="C1203" s="816" t="s">
        <v>1857</v>
      </c>
      <c r="D1203" s="816" t="s">
        <v>1858</v>
      </c>
      <c r="E1203" s="816" t="s">
        <v>2547</v>
      </c>
      <c r="F1203" s="826">
        <v>0</v>
      </c>
      <c r="G1203" s="880">
        <v>0</v>
      </c>
      <c r="H1203" s="465"/>
      <c r="I1203" s="465"/>
      <c r="J1203" s="826">
        <v>0</v>
      </c>
      <c r="K1203" s="878">
        <v>0</v>
      </c>
    </row>
    <row r="1204" spans="1:11" ht="22.5" customHeight="1" x14ac:dyDescent="0.25">
      <c r="A1204" s="816" t="s">
        <v>255</v>
      </c>
      <c r="B1204" s="880">
        <v>2025</v>
      </c>
      <c r="C1204" s="816" t="s">
        <v>1860</v>
      </c>
      <c r="D1204" s="816" t="s">
        <v>1861</v>
      </c>
      <c r="E1204" s="816" t="s">
        <v>2548</v>
      </c>
      <c r="F1204" s="826">
        <v>0</v>
      </c>
      <c r="G1204" s="880">
        <v>0</v>
      </c>
      <c r="H1204" s="465"/>
      <c r="I1204" s="465"/>
      <c r="J1204" s="826">
        <v>0</v>
      </c>
      <c r="K1204" s="878">
        <v>0</v>
      </c>
    </row>
    <row r="1205" spans="1:11" ht="22.5" customHeight="1" x14ac:dyDescent="0.25">
      <c r="A1205" s="816" t="s">
        <v>255</v>
      </c>
      <c r="B1205" s="880">
        <v>2025</v>
      </c>
      <c r="C1205" s="816" t="s">
        <v>1863</v>
      </c>
      <c r="D1205" s="816" t="s">
        <v>1864</v>
      </c>
      <c r="E1205" s="816" t="s">
        <v>2549</v>
      </c>
      <c r="F1205" s="826">
        <v>0</v>
      </c>
      <c r="G1205" s="880">
        <v>0</v>
      </c>
      <c r="H1205" s="465"/>
      <c r="I1205" s="465"/>
      <c r="J1205" s="826">
        <v>0</v>
      </c>
      <c r="K1205" s="878">
        <v>0</v>
      </c>
    </row>
    <row r="1206" spans="1:11" ht="22.5" customHeight="1" x14ac:dyDescent="0.25">
      <c r="A1206" s="816" t="s">
        <v>255</v>
      </c>
      <c r="B1206" s="880">
        <v>2025</v>
      </c>
      <c r="C1206" s="816" t="s">
        <v>1866</v>
      </c>
      <c r="D1206" s="816" t="s">
        <v>1867</v>
      </c>
      <c r="E1206" s="816" t="s">
        <v>2550</v>
      </c>
      <c r="F1206" s="826">
        <v>0</v>
      </c>
      <c r="G1206" s="880">
        <v>0</v>
      </c>
      <c r="H1206" s="465"/>
      <c r="I1206" s="465"/>
      <c r="J1206" s="826">
        <v>0</v>
      </c>
      <c r="K1206" s="878">
        <v>0</v>
      </c>
    </row>
    <row r="1207" spans="1:11" ht="22.5" customHeight="1" x14ac:dyDescent="0.25">
      <c r="A1207" s="816" t="s">
        <v>255</v>
      </c>
      <c r="B1207" s="880">
        <v>2025</v>
      </c>
      <c r="C1207" s="816" t="s">
        <v>1869</v>
      </c>
      <c r="D1207" s="816" t="s">
        <v>1870</v>
      </c>
      <c r="E1207" s="816" t="s">
        <v>2551</v>
      </c>
      <c r="F1207" s="826">
        <v>0</v>
      </c>
      <c r="G1207" s="880">
        <v>0</v>
      </c>
      <c r="H1207" s="465"/>
      <c r="I1207" s="465"/>
      <c r="J1207" s="826">
        <v>0</v>
      </c>
      <c r="K1207" s="878">
        <v>0</v>
      </c>
    </row>
    <row r="1208" spans="1:11" ht="22.5" customHeight="1" x14ac:dyDescent="0.25">
      <c r="A1208" s="816" t="s">
        <v>255</v>
      </c>
      <c r="B1208" s="880">
        <v>2025</v>
      </c>
      <c r="C1208" s="816" t="s">
        <v>1872</v>
      </c>
      <c r="D1208" s="816" t="s">
        <v>1873</v>
      </c>
      <c r="E1208" s="816" t="s">
        <v>2552</v>
      </c>
      <c r="F1208" s="826">
        <v>0</v>
      </c>
      <c r="G1208" s="880">
        <v>0</v>
      </c>
      <c r="H1208" s="465"/>
      <c r="I1208" s="465"/>
      <c r="J1208" s="826">
        <v>0</v>
      </c>
      <c r="K1208" s="878">
        <v>0</v>
      </c>
    </row>
    <row r="1209" spans="1:11" ht="22.5" customHeight="1" x14ac:dyDescent="0.25">
      <c r="A1209" s="816" t="s">
        <v>255</v>
      </c>
      <c r="B1209" s="880">
        <v>2025</v>
      </c>
      <c r="C1209" s="816" t="s">
        <v>1875</v>
      </c>
      <c r="D1209" s="816" t="s">
        <v>1876</v>
      </c>
      <c r="E1209" s="816" t="s">
        <v>2553</v>
      </c>
      <c r="F1209" s="826">
        <v>0</v>
      </c>
      <c r="G1209" s="880">
        <v>0</v>
      </c>
      <c r="H1209" s="465"/>
      <c r="I1209" s="465"/>
      <c r="J1209" s="826">
        <v>0</v>
      </c>
      <c r="K1209" s="878">
        <v>0</v>
      </c>
    </row>
    <row r="1210" spans="1:11" ht="22.5" customHeight="1" x14ac:dyDescent="0.25">
      <c r="A1210" s="816" t="s">
        <v>255</v>
      </c>
      <c r="B1210" s="880">
        <v>2025</v>
      </c>
      <c r="C1210" s="816" t="s">
        <v>1878</v>
      </c>
      <c r="D1210" s="816" t="s">
        <v>1879</v>
      </c>
      <c r="E1210" s="816" t="s">
        <v>2554</v>
      </c>
      <c r="F1210" s="826">
        <v>1435.67</v>
      </c>
      <c r="G1210" s="880">
        <v>0</v>
      </c>
      <c r="H1210" s="465"/>
      <c r="I1210" s="465"/>
      <c r="J1210" s="826">
        <v>0</v>
      </c>
      <c r="K1210" s="878">
        <v>1435.67</v>
      </c>
    </row>
    <row r="1211" spans="1:11" ht="22.5" customHeight="1" x14ac:dyDescent="0.25">
      <c r="A1211" s="816" t="s">
        <v>255</v>
      </c>
      <c r="B1211" s="880">
        <v>2025</v>
      </c>
      <c r="C1211" s="816" t="s">
        <v>1881</v>
      </c>
      <c r="D1211" s="816" t="s">
        <v>1882</v>
      </c>
      <c r="E1211" s="816" t="s">
        <v>2555</v>
      </c>
      <c r="F1211" s="826">
        <v>0</v>
      </c>
      <c r="G1211" s="880">
        <v>0</v>
      </c>
      <c r="H1211" s="465"/>
      <c r="I1211" s="465"/>
      <c r="J1211" s="826">
        <v>0</v>
      </c>
      <c r="K1211" s="878">
        <v>0</v>
      </c>
    </row>
    <row r="1212" spans="1:11" ht="22.5" customHeight="1" x14ac:dyDescent="0.25">
      <c r="A1212" s="816" t="s">
        <v>255</v>
      </c>
      <c r="B1212" s="880">
        <v>2025</v>
      </c>
      <c r="C1212" s="816" t="s">
        <v>1884</v>
      </c>
      <c r="D1212" s="816" t="s">
        <v>1885</v>
      </c>
      <c r="E1212" s="816" t="s">
        <v>2556</v>
      </c>
      <c r="F1212" s="826">
        <v>0</v>
      </c>
      <c r="G1212" s="880">
        <v>0</v>
      </c>
      <c r="H1212" s="465"/>
      <c r="I1212" s="465"/>
      <c r="J1212" s="826">
        <v>0</v>
      </c>
      <c r="K1212" s="878">
        <v>0</v>
      </c>
    </row>
    <row r="1213" spans="1:11" ht="22.5" customHeight="1" x14ac:dyDescent="0.25">
      <c r="A1213" s="816" t="s">
        <v>255</v>
      </c>
      <c r="B1213" s="880">
        <v>2025</v>
      </c>
      <c r="C1213" s="816" t="s">
        <v>1887</v>
      </c>
      <c r="D1213" s="816" t="s">
        <v>138</v>
      </c>
      <c r="E1213" s="816" t="s">
        <v>2557</v>
      </c>
      <c r="F1213" s="826">
        <v>75810.14</v>
      </c>
      <c r="G1213" s="880">
        <v>1</v>
      </c>
      <c r="H1213" s="826">
        <v>71279.81</v>
      </c>
      <c r="I1213" s="826">
        <v>4530.33</v>
      </c>
      <c r="J1213" s="826">
        <v>75810.14</v>
      </c>
      <c r="K1213" s="878">
        <v>75810.14</v>
      </c>
    </row>
    <row r="1214" spans="1:11" ht="22.5" customHeight="1" x14ac:dyDescent="0.25">
      <c r="A1214" s="816" t="s">
        <v>255</v>
      </c>
      <c r="B1214" s="880">
        <v>2025</v>
      </c>
      <c r="C1214" s="816" t="s">
        <v>1889</v>
      </c>
      <c r="D1214" s="816" t="s">
        <v>139</v>
      </c>
      <c r="E1214" s="816" t="s">
        <v>2558</v>
      </c>
      <c r="F1214" s="826">
        <v>-3598.57</v>
      </c>
      <c r="G1214" s="880">
        <v>1</v>
      </c>
      <c r="H1214" s="826">
        <v>-3404.62</v>
      </c>
      <c r="I1214" s="826">
        <v>-193.95</v>
      </c>
      <c r="J1214" s="826">
        <v>-3598.57</v>
      </c>
      <c r="K1214" s="878">
        <v>-3598.57</v>
      </c>
    </row>
    <row r="1215" spans="1:11" ht="22.5" customHeight="1" x14ac:dyDescent="0.25">
      <c r="A1215" s="816" t="s">
        <v>255</v>
      </c>
      <c r="B1215" s="880">
        <v>2025</v>
      </c>
      <c r="C1215" s="816" t="s">
        <v>1891</v>
      </c>
      <c r="D1215" s="816" t="s">
        <v>1892</v>
      </c>
      <c r="E1215" s="816" t="s">
        <v>2559</v>
      </c>
      <c r="F1215" s="826">
        <v>-4421.16</v>
      </c>
      <c r="G1215" s="880">
        <v>0</v>
      </c>
      <c r="H1215" s="465"/>
      <c r="I1215" s="465"/>
      <c r="J1215" s="826">
        <v>0</v>
      </c>
      <c r="K1215" s="878">
        <v>-4421.16</v>
      </c>
    </row>
    <row r="1216" spans="1:11" ht="22.5" customHeight="1" x14ac:dyDescent="0.25">
      <c r="A1216" s="816" t="s">
        <v>255</v>
      </c>
      <c r="B1216" s="880">
        <v>2025</v>
      </c>
      <c r="C1216" s="816" t="s">
        <v>1891</v>
      </c>
      <c r="D1216" s="816" t="s">
        <v>1894</v>
      </c>
      <c r="E1216" s="816" t="s">
        <v>2559</v>
      </c>
      <c r="F1216" s="826">
        <v>0</v>
      </c>
      <c r="G1216" s="880">
        <v>0</v>
      </c>
      <c r="H1216" s="465"/>
      <c r="I1216" s="465"/>
      <c r="J1216" s="826">
        <v>0</v>
      </c>
      <c r="K1216" s="881">
        <v>0</v>
      </c>
    </row>
    <row r="1217" spans="1:11" ht="22.5" customHeight="1" x14ac:dyDescent="0.25">
      <c r="A1217" s="816" t="s">
        <v>255</v>
      </c>
      <c r="B1217" s="880">
        <v>2025</v>
      </c>
      <c r="C1217" s="816" t="s">
        <v>1895</v>
      </c>
      <c r="D1217" s="816" t="s">
        <v>1896</v>
      </c>
      <c r="E1217" s="816" t="s">
        <v>2560</v>
      </c>
      <c r="F1217" s="826">
        <v>0</v>
      </c>
      <c r="G1217" s="880">
        <v>0</v>
      </c>
      <c r="H1217" s="465"/>
      <c r="I1217" s="465"/>
      <c r="J1217" s="826">
        <v>0</v>
      </c>
      <c r="K1217" s="878">
        <v>0</v>
      </c>
    </row>
    <row r="1218" spans="1:11" ht="22.5" customHeight="1" x14ac:dyDescent="0.25">
      <c r="A1218" s="816" t="s">
        <v>255</v>
      </c>
      <c r="B1218" s="880">
        <v>2025</v>
      </c>
      <c r="C1218" s="816" t="s">
        <v>1898</v>
      </c>
      <c r="D1218" s="816" t="s">
        <v>1899</v>
      </c>
      <c r="E1218" s="816" t="s">
        <v>2561</v>
      </c>
      <c r="F1218" s="826">
        <v>0</v>
      </c>
      <c r="G1218" s="880">
        <v>0</v>
      </c>
      <c r="H1218" s="465"/>
      <c r="I1218" s="465"/>
      <c r="J1218" s="826">
        <v>0</v>
      </c>
      <c r="K1218" s="878">
        <v>0</v>
      </c>
    </row>
    <row r="1219" spans="1:11" ht="22.5" customHeight="1" x14ac:dyDescent="0.25">
      <c r="A1219" s="816" t="s">
        <v>255</v>
      </c>
      <c r="B1219" s="880">
        <v>2025</v>
      </c>
      <c r="C1219" s="816" t="s">
        <v>1901</v>
      </c>
      <c r="D1219" s="816" t="s">
        <v>1902</v>
      </c>
      <c r="E1219" s="816" t="s">
        <v>2562</v>
      </c>
      <c r="F1219" s="826">
        <v>0</v>
      </c>
      <c r="G1219" s="880">
        <v>0</v>
      </c>
      <c r="H1219" s="465"/>
      <c r="I1219" s="465"/>
      <c r="J1219" s="826">
        <v>0</v>
      </c>
      <c r="K1219" s="878">
        <v>0</v>
      </c>
    </row>
    <row r="1220" spans="1:11" ht="22.5" customHeight="1" x14ac:dyDescent="0.25">
      <c r="A1220" s="816" t="s">
        <v>255</v>
      </c>
      <c r="B1220" s="880">
        <v>2025</v>
      </c>
      <c r="C1220" s="816" t="s">
        <v>1904</v>
      </c>
      <c r="D1220" s="816" t="s">
        <v>1905</v>
      </c>
      <c r="E1220" s="816" t="s">
        <v>2563</v>
      </c>
      <c r="F1220" s="826">
        <v>0</v>
      </c>
      <c r="G1220" s="880">
        <v>0</v>
      </c>
      <c r="H1220" s="465"/>
      <c r="I1220" s="465"/>
      <c r="J1220" s="826">
        <v>0</v>
      </c>
      <c r="K1220" s="878">
        <v>0</v>
      </c>
    </row>
    <row r="1221" spans="1:11" ht="22.5" customHeight="1" x14ac:dyDescent="0.25">
      <c r="A1221" s="816" t="s">
        <v>255</v>
      </c>
      <c r="B1221" s="880">
        <v>2025</v>
      </c>
      <c r="C1221" s="816" t="s">
        <v>1907</v>
      </c>
      <c r="D1221" s="816" t="s">
        <v>1908</v>
      </c>
      <c r="E1221" s="816" t="s">
        <v>2564</v>
      </c>
      <c r="F1221" s="826">
        <v>0</v>
      </c>
      <c r="G1221" s="880">
        <v>0</v>
      </c>
      <c r="H1221" s="465"/>
      <c r="I1221" s="465"/>
      <c r="J1221" s="826">
        <v>0</v>
      </c>
      <c r="K1221" s="878">
        <v>0</v>
      </c>
    </row>
    <row r="1222" spans="1:11" ht="22.5" customHeight="1" x14ac:dyDescent="0.25">
      <c r="A1222" s="816" t="s">
        <v>255</v>
      </c>
      <c r="B1222" s="880">
        <v>2025</v>
      </c>
      <c r="C1222" s="816" t="s">
        <v>1910</v>
      </c>
      <c r="D1222" s="816" t="s">
        <v>1911</v>
      </c>
      <c r="E1222" s="816" t="s">
        <v>2565</v>
      </c>
      <c r="F1222" s="826">
        <v>0</v>
      </c>
      <c r="G1222" s="880">
        <v>0</v>
      </c>
      <c r="H1222" s="465"/>
      <c r="I1222" s="465"/>
      <c r="J1222" s="826">
        <v>0</v>
      </c>
      <c r="K1222" s="878">
        <v>0</v>
      </c>
    </row>
    <row r="1223" spans="1:11" ht="22.5" customHeight="1" x14ac:dyDescent="0.25">
      <c r="A1223" s="816" t="s">
        <v>255</v>
      </c>
      <c r="B1223" s="880">
        <v>2025</v>
      </c>
      <c r="C1223" s="816" t="s">
        <v>1913</v>
      </c>
      <c r="D1223" s="816" t="s">
        <v>1914</v>
      </c>
      <c r="E1223" s="816" t="s">
        <v>2566</v>
      </c>
      <c r="F1223" s="826">
        <v>-12106.69</v>
      </c>
      <c r="G1223" s="880">
        <v>1</v>
      </c>
      <c r="H1223" s="826">
        <v>-10993.02</v>
      </c>
      <c r="I1223" s="826">
        <v>-1113.67</v>
      </c>
      <c r="J1223" s="826">
        <v>-12106.69</v>
      </c>
      <c r="K1223" s="878">
        <v>-12106.69</v>
      </c>
    </row>
    <row r="1224" spans="1:11" ht="22.5" customHeight="1" x14ac:dyDescent="0.25">
      <c r="A1224" s="816" t="s">
        <v>255</v>
      </c>
      <c r="B1224" s="880">
        <v>2025</v>
      </c>
      <c r="C1224" s="816" t="s">
        <v>1913</v>
      </c>
      <c r="D1224" s="816" t="s">
        <v>1916</v>
      </c>
      <c r="E1224" s="816" t="s">
        <v>2566</v>
      </c>
      <c r="F1224" s="826">
        <v>0</v>
      </c>
      <c r="G1224" s="880">
        <v>0</v>
      </c>
      <c r="H1224" s="465"/>
      <c r="I1224" s="465"/>
      <c r="J1224" s="826">
        <v>0</v>
      </c>
      <c r="K1224" s="881">
        <v>0</v>
      </c>
    </row>
    <row r="1225" spans="1:11" ht="22.5" customHeight="1" x14ac:dyDescent="0.25">
      <c r="A1225" s="816" t="s">
        <v>255</v>
      </c>
      <c r="B1225" s="880">
        <v>2025</v>
      </c>
      <c r="C1225" s="816" t="s">
        <v>1913</v>
      </c>
      <c r="D1225" s="816" t="s">
        <v>1917</v>
      </c>
      <c r="E1225" s="816" t="s">
        <v>2566</v>
      </c>
      <c r="F1225" s="826">
        <v>0</v>
      </c>
      <c r="G1225" s="880">
        <v>0</v>
      </c>
      <c r="H1225" s="465"/>
      <c r="I1225" s="465"/>
      <c r="J1225" s="826">
        <v>0</v>
      </c>
      <c r="K1225" s="881">
        <v>0</v>
      </c>
    </row>
    <row r="1226" spans="1:11" ht="22.5" customHeight="1" x14ac:dyDescent="0.25">
      <c r="A1226" s="816" t="s">
        <v>255</v>
      </c>
      <c r="B1226" s="880">
        <v>2025</v>
      </c>
      <c r="C1226" s="816" t="s">
        <v>1913</v>
      </c>
      <c r="D1226" s="816" t="s">
        <v>1918</v>
      </c>
      <c r="E1226" s="816" t="s">
        <v>2566</v>
      </c>
      <c r="F1226" s="826">
        <v>0</v>
      </c>
      <c r="G1226" s="880">
        <v>0</v>
      </c>
      <c r="H1226" s="465"/>
      <c r="I1226" s="465"/>
      <c r="J1226" s="826">
        <v>0</v>
      </c>
      <c r="K1226" s="881">
        <v>0</v>
      </c>
    </row>
    <row r="1227" spans="1:11" ht="22.5" customHeight="1" x14ac:dyDescent="0.25">
      <c r="A1227" s="816" t="s">
        <v>255</v>
      </c>
      <c r="B1227" s="880">
        <v>2025</v>
      </c>
      <c r="C1227" s="816" t="s">
        <v>1913</v>
      </c>
      <c r="D1227" s="816" t="s">
        <v>1919</v>
      </c>
      <c r="E1227" s="816" t="s">
        <v>2566</v>
      </c>
      <c r="F1227" s="826">
        <v>0</v>
      </c>
      <c r="G1227" s="880">
        <v>0</v>
      </c>
      <c r="H1227" s="465"/>
      <c r="I1227" s="465"/>
      <c r="J1227" s="826">
        <v>0</v>
      </c>
      <c r="K1227" s="881">
        <v>0</v>
      </c>
    </row>
    <row r="1228" spans="1:11" ht="22.5" customHeight="1" x14ac:dyDescent="0.25">
      <c r="A1228" s="816" t="s">
        <v>255</v>
      </c>
      <c r="B1228" s="880">
        <v>2025</v>
      </c>
      <c r="C1228" s="816" t="s">
        <v>1920</v>
      </c>
      <c r="D1228" s="816" t="s">
        <v>1921</v>
      </c>
      <c r="E1228" s="816" t="s">
        <v>2567</v>
      </c>
      <c r="F1228" s="826">
        <v>0</v>
      </c>
      <c r="G1228" s="880">
        <v>0</v>
      </c>
      <c r="H1228" s="465"/>
      <c r="I1228" s="465"/>
      <c r="J1228" s="826">
        <v>0</v>
      </c>
      <c r="K1228" s="878">
        <v>0</v>
      </c>
    </row>
    <row r="1229" spans="1:11" ht="22.5" customHeight="1" x14ac:dyDescent="0.25">
      <c r="A1229" s="816" t="s">
        <v>255</v>
      </c>
      <c r="B1229" s="880">
        <v>2025</v>
      </c>
      <c r="C1229" s="816" t="s">
        <v>1923</v>
      </c>
      <c r="D1229" s="816" t="s">
        <v>143</v>
      </c>
      <c r="E1229" s="816" t="s">
        <v>2568</v>
      </c>
      <c r="F1229" s="826">
        <v>28449.07</v>
      </c>
      <c r="G1229" s="880">
        <v>1</v>
      </c>
      <c r="H1229" s="826">
        <v>26760.55</v>
      </c>
      <c r="I1229" s="826">
        <v>1688.52</v>
      </c>
      <c r="J1229" s="826">
        <v>28449.07</v>
      </c>
      <c r="K1229" s="878">
        <v>28449.07</v>
      </c>
    </row>
    <row r="1230" spans="1:11" ht="22.5" customHeight="1" x14ac:dyDescent="0.25">
      <c r="A1230" s="816" t="s">
        <v>255</v>
      </c>
      <c r="B1230" s="880">
        <v>2025</v>
      </c>
      <c r="C1230" s="816" t="s">
        <v>1925</v>
      </c>
      <c r="D1230" s="816" t="s">
        <v>144</v>
      </c>
      <c r="E1230" s="816" t="s">
        <v>2569</v>
      </c>
      <c r="F1230" s="826">
        <v>31827.040000000001</v>
      </c>
      <c r="G1230" s="880">
        <v>1</v>
      </c>
      <c r="H1230" s="826">
        <v>30136.45</v>
      </c>
      <c r="I1230" s="826">
        <v>1690.59</v>
      </c>
      <c r="J1230" s="826">
        <v>31827.040000000001</v>
      </c>
      <c r="K1230" s="878">
        <v>31827.040000000001</v>
      </c>
    </row>
    <row r="1231" spans="1:11" ht="22.5" customHeight="1" x14ac:dyDescent="0.25">
      <c r="A1231" s="816" t="s">
        <v>255</v>
      </c>
      <c r="B1231" s="880">
        <v>2025</v>
      </c>
      <c r="C1231" s="816" t="s">
        <v>1927</v>
      </c>
      <c r="D1231" s="816" t="s">
        <v>1928</v>
      </c>
      <c r="E1231" s="816" t="s">
        <v>2570</v>
      </c>
      <c r="F1231" s="826">
        <v>12987.98</v>
      </c>
      <c r="G1231" s="880">
        <v>1</v>
      </c>
      <c r="H1231" s="826">
        <v>11881.8</v>
      </c>
      <c r="I1231" s="826">
        <v>1106.18</v>
      </c>
      <c r="J1231" s="826">
        <v>12987.98</v>
      </c>
      <c r="K1231" s="878">
        <v>12987.98</v>
      </c>
    </row>
    <row r="1232" spans="1:11" ht="22.5" customHeight="1" x14ac:dyDescent="0.25">
      <c r="A1232" s="816" t="s">
        <v>255</v>
      </c>
      <c r="B1232" s="880">
        <v>2025</v>
      </c>
      <c r="C1232" s="816" t="s">
        <v>1930</v>
      </c>
      <c r="D1232" s="816" t="s">
        <v>156</v>
      </c>
      <c r="E1232" s="816" t="s">
        <v>2571</v>
      </c>
      <c r="F1232" s="826">
        <v>18071.62</v>
      </c>
      <c r="G1232" s="880">
        <v>1</v>
      </c>
      <c r="H1232" s="826">
        <v>16365.69</v>
      </c>
      <c r="I1232" s="826">
        <v>1705.93</v>
      </c>
      <c r="J1232" s="826">
        <v>18071.62</v>
      </c>
      <c r="K1232" s="878">
        <v>18071.62</v>
      </c>
    </row>
    <row r="1233" spans="1:11" ht="22.5" customHeight="1" x14ac:dyDescent="0.25">
      <c r="A1233" s="816" t="s">
        <v>255</v>
      </c>
      <c r="B1233" s="880">
        <v>2025</v>
      </c>
      <c r="C1233" s="816" t="s">
        <v>1932</v>
      </c>
      <c r="D1233" s="816" t="s">
        <v>1933</v>
      </c>
      <c r="E1233" s="816" t="s">
        <v>2572</v>
      </c>
      <c r="F1233" s="826">
        <v>617.82000000000005</v>
      </c>
      <c r="G1233" s="880">
        <v>0</v>
      </c>
      <c r="H1233" s="465"/>
      <c r="I1233" s="465"/>
      <c r="J1233" s="826">
        <v>0</v>
      </c>
      <c r="K1233" s="878">
        <v>617.82000000000005</v>
      </c>
    </row>
    <row r="1234" spans="1:11" ht="22.5" customHeight="1" x14ac:dyDescent="0.25">
      <c r="A1234" s="816" t="s">
        <v>255</v>
      </c>
      <c r="B1234" s="880">
        <v>2025</v>
      </c>
      <c r="C1234" s="816" t="s">
        <v>1935</v>
      </c>
      <c r="D1234" s="816" t="s">
        <v>1936</v>
      </c>
      <c r="E1234" s="816" t="s">
        <v>8220</v>
      </c>
      <c r="F1234" s="826">
        <v>0</v>
      </c>
      <c r="G1234" s="880">
        <v>1</v>
      </c>
      <c r="H1234" s="465"/>
      <c r="I1234" s="465"/>
      <c r="J1234" s="826">
        <v>0</v>
      </c>
      <c r="K1234" s="878">
        <v>0</v>
      </c>
    </row>
    <row r="1235" spans="1:11" ht="22.5" customHeight="1" x14ac:dyDescent="0.25">
      <c r="A1235" s="816" t="s">
        <v>255</v>
      </c>
      <c r="B1235" s="880">
        <v>2025</v>
      </c>
      <c r="C1235" s="816" t="s">
        <v>1935</v>
      </c>
      <c r="D1235" s="816" t="s">
        <v>1937</v>
      </c>
      <c r="E1235" s="816" t="s">
        <v>8221</v>
      </c>
      <c r="F1235" s="826">
        <v>0</v>
      </c>
      <c r="G1235" s="880">
        <v>1</v>
      </c>
      <c r="H1235" s="465"/>
      <c r="I1235" s="465"/>
      <c r="J1235" s="826">
        <v>0</v>
      </c>
      <c r="K1235" s="878">
        <v>0</v>
      </c>
    </row>
    <row r="1236" spans="1:11" ht="22.5" customHeight="1" x14ac:dyDescent="0.25">
      <c r="A1236" s="816" t="s">
        <v>255</v>
      </c>
      <c r="B1236" s="880">
        <v>2025</v>
      </c>
      <c r="C1236" s="816" t="s">
        <v>1935</v>
      </c>
      <c r="D1236" s="816" t="s">
        <v>1938</v>
      </c>
      <c r="E1236" s="816" t="s">
        <v>8222</v>
      </c>
      <c r="F1236" s="826">
        <v>0</v>
      </c>
      <c r="G1236" s="880">
        <v>1</v>
      </c>
      <c r="H1236" s="465"/>
      <c r="I1236" s="465"/>
      <c r="J1236" s="826">
        <v>0</v>
      </c>
      <c r="K1236" s="878">
        <v>0</v>
      </c>
    </row>
    <row r="1237" spans="1:11" ht="22.5" customHeight="1" x14ac:dyDescent="0.25">
      <c r="A1237" s="816" t="s">
        <v>255</v>
      </c>
      <c r="B1237" s="880">
        <v>2025</v>
      </c>
      <c r="C1237" s="816" t="s">
        <v>1935</v>
      </c>
      <c r="D1237" s="816" t="s">
        <v>1939</v>
      </c>
      <c r="E1237" s="816" t="s">
        <v>8223</v>
      </c>
      <c r="F1237" s="826">
        <v>0</v>
      </c>
      <c r="G1237" s="880">
        <v>1</v>
      </c>
      <c r="H1237" s="465"/>
      <c r="I1237" s="465"/>
      <c r="J1237" s="826">
        <v>0</v>
      </c>
      <c r="K1237" s="878">
        <v>0</v>
      </c>
    </row>
    <row r="1238" spans="1:11" ht="22.5" customHeight="1" x14ac:dyDescent="0.25">
      <c r="A1238" s="816" t="s">
        <v>255</v>
      </c>
      <c r="B1238" s="880">
        <v>2025</v>
      </c>
      <c r="C1238" s="816" t="s">
        <v>1935</v>
      </c>
      <c r="D1238" s="816" t="s">
        <v>1940</v>
      </c>
      <c r="E1238" s="816" t="s">
        <v>8224</v>
      </c>
      <c r="F1238" s="826">
        <v>0</v>
      </c>
      <c r="G1238" s="880">
        <v>1</v>
      </c>
      <c r="H1238" s="465"/>
      <c r="I1238" s="465"/>
      <c r="J1238" s="826">
        <v>0</v>
      </c>
      <c r="K1238" s="878">
        <v>0</v>
      </c>
    </row>
    <row r="1239" spans="1:11" ht="22.5" customHeight="1" x14ac:dyDescent="0.25">
      <c r="A1239" s="816" t="s">
        <v>255</v>
      </c>
      <c r="B1239" s="880">
        <v>2025</v>
      </c>
      <c r="C1239" s="816" t="s">
        <v>1935</v>
      </c>
      <c r="D1239" s="816" t="s">
        <v>1941</v>
      </c>
      <c r="E1239" s="816" t="s">
        <v>8225</v>
      </c>
      <c r="F1239" s="826">
        <v>0</v>
      </c>
      <c r="G1239" s="880">
        <v>1</v>
      </c>
      <c r="H1239" s="465"/>
      <c r="I1239" s="465"/>
      <c r="J1239" s="826">
        <v>0</v>
      </c>
      <c r="K1239" s="878">
        <v>0</v>
      </c>
    </row>
    <row r="1240" spans="1:11" ht="22.5" customHeight="1" x14ac:dyDescent="0.25">
      <c r="A1240" s="816" t="s">
        <v>255</v>
      </c>
      <c r="B1240" s="880">
        <v>2025</v>
      </c>
      <c r="C1240" s="816" t="s">
        <v>1935</v>
      </c>
      <c r="D1240" s="816" t="s">
        <v>1942</v>
      </c>
      <c r="E1240" s="816" t="s">
        <v>8226</v>
      </c>
      <c r="F1240" s="826">
        <v>0</v>
      </c>
      <c r="G1240" s="880">
        <v>1</v>
      </c>
      <c r="H1240" s="465"/>
      <c r="I1240" s="465"/>
      <c r="J1240" s="826">
        <v>0</v>
      </c>
      <c r="K1240" s="878">
        <v>0</v>
      </c>
    </row>
    <row r="1241" spans="1:11" ht="22.5" customHeight="1" x14ac:dyDescent="0.25">
      <c r="A1241" s="816" t="s">
        <v>255</v>
      </c>
      <c r="B1241" s="880">
        <v>2025</v>
      </c>
      <c r="C1241" s="816" t="s">
        <v>1935</v>
      </c>
      <c r="D1241" s="816" t="s">
        <v>1943</v>
      </c>
      <c r="E1241" s="816" t="s">
        <v>8227</v>
      </c>
      <c r="F1241" s="826">
        <v>0</v>
      </c>
      <c r="G1241" s="880">
        <v>1</v>
      </c>
      <c r="H1241" s="465"/>
      <c r="I1241" s="465"/>
      <c r="J1241" s="826">
        <v>0</v>
      </c>
      <c r="K1241" s="878">
        <v>0</v>
      </c>
    </row>
    <row r="1242" spans="1:11" ht="22.5" customHeight="1" x14ac:dyDescent="0.25">
      <c r="A1242" s="816" t="s">
        <v>255</v>
      </c>
      <c r="B1242" s="880">
        <v>2025</v>
      </c>
      <c r="C1242" s="816" t="s">
        <v>1935</v>
      </c>
      <c r="D1242" s="816" t="s">
        <v>1944</v>
      </c>
      <c r="E1242" s="816" t="s">
        <v>8228</v>
      </c>
      <c r="F1242" s="826">
        <v>0</v>
      </c>
      <c r="G1242" s="880">
        <v>1</v>
      </c>
      <c r="H1242" s="465"/>
      <c r="I1242" s="465"/>
      <c r="J1242" s="826">
        <v>0</v>
      </c>
      <c r="K1242" s="878">
        <v>0</v>
      </c>
    </row>
    <row r="1243" spans="1:11" ht="22.5" customHeight="1" x14ac:dyDescent="0.25">
      <c r="A1243" s="816" t="s">
        <v>255</v>
      </c>
      <c r="B1243" s="880">
        <v>2025</v>
      </c>
      <c r="C1243" s="816" t="s">
        <v>1935</v>
      </c>
      <c r="D1243" s="816" t="s">
        <v>1945</v>
      </c>
      <c r="E1243" s="816" t="s">
        <v>8229</v>
      </c>
      <c r="F1243" s="826">
        <v>0</v>
      </c>
      <c r="G1243" s="880">
        <v>1</v>
      </c>
      <c r="H1243" s="465"/>
      <c r="I1243" s="465"/>
      <c r="J1243" s="826">
        <v>0</v>
      </c>
      <c r="K1243" s="878">
        <v>0</v>
      </c>
    </row>
    <row r="1244" spans="1:11" ht="22.5" customHeight="1" x14ac:dyDescent="0.25">
      <c r="A1244" s="816" t="s">
        <v>255</v>
      </c>
      <c r="B1244" s="880">
        <v>2025</v>
      </c>
      <c r="C1244" s="816" t="s">
        <v>1935</v>
      </c>
      <c r="D1244" s="816" t="s">
        <v>1946</v>
      </c>
      <c r="E1244" s="816" t="s">
        <v>8230</v>
      </c>
      <c r="F1244" s="826">
        <v>0</v>
      </c>
      <c r="G1244" s="880">
        <v>1</v>
      </c>
      <c r="H1244" s="465"/>
      <c r="I1244" s="465"/>
      <c r="J1244" s="826">
        <v>0</v>
      </c>
      <c r="K1244" s="878">
        <v>0</v>
      </c>
    </row>
    <row r="1245" spans="1:11" ht="22.5" customHeight="1" x14ac:dyDescent="0.25">
      <c r="A1245" s="816" t="s">
        <v>255</v>
      </c>
      <c r="B1245" s="880">
        <v>2025</v>
      </c>
      <c r="C1245" s="816" t="s">
        <v>1935</v>
      </c>
      <c r="D1245" s="816" t="s">
        <v>1947</v>
      </c>
      <c r="E1245" s="816" t="s">
        <v>8231</v>
      </c>
      <c r="F1245" s="826">
        <v>0</v>
      </c>
      <c r="G1245" s="880">
        <v>1</v>
      </c>
      <c r="H1245" s="826">
        <v>-99901.34</v>
      </c>
      <c r="I1245" s="826">
        <v>96463.28</v>
      </c>
      <c r="J1245" s="826">
        <v>-3438.06</v>
      </c>
      <c r="K1245" s="878">
        <v>-3438.06</v>
      </c>
    </row>
    <row r="1246" spans="1:11" ht="22.5" customHeight="1" x14ac:dyDescent="0.25">
      <c r="A1246" s="816" t="s">
        <v>255</v>
      </c>
      <c r="B1246" s="880">
        <v>2025</v>
      </c>
      <c r="C1246" s="816" t="s">
        <v>1935</v>
      </c>
      <c r="D1246" s="816" t="s">
        <v>1948</v>
      </c>
      <c r="E1246" s="816" t="s">
        <v>8232</v>
      </c>
      <c r="F1246" s="826">
        <v>0</v>
      </c>
      <c r="G1246" s="880">
        <v>1</v>
      </c>
      <c r="H1246" s="826">
        <v>20537.82</v>
      </c>
      <c r="I1246" s="826">
        <v>9576.4500000000007</v>
      </c>
      <c r="J1246" s="826">
        <v>30114.27</v>
      </c>
      <c r="K1246" s="878">
        <v>30114.27</v>
      </c>
    </row>
    <row r="1247" spans="1:11" ht="22.5" customHeight="1" x14ac:dyDescent="0.25">
      <c r="A1247" s="816" t="s">
        <v>255</v>
      </c>
      <c r="B1247" s="880">
        <v>2025</v>
      </c>
      <c r="C1247" s="816" t="s">
        <v>1935</v>
      </c>
      <c r="D1247" s="816" t="s">
        <v>1949</v>
      </c>
      <c r="E1247" s="816" t="s">
        <v>8233</v>
      </c>
      <c r="F1247" s="826">
        <v>0</v>
      </c>
      <c r="G1247" s="880">
        <v>1</v>
      </c>
      <c r="H1247" s="826">
        <v>19667.39</v>
      </c>
      <c r="I1247" s="826">
        <v>26415.85</v>
      </c>
      <c r="J1247" s="826">
        <v>46083.24</v>
      </c>
      <c r="K1247" s="878">
        <v>46083.24</v>
      </c>
    </row>
    <row r="1248" spans="1:11" ht="22.5" customHeight="1" x14ac:dyDescent="0.25">
      <c r="A1248" s="816" t="s">
        <v>255</v>
      </c>
      <c r="B1248" s="880">
        <v>2025</v>
      </c>
      <c r="C1248" s="816" t="s">
        <v>1935</v>
      </c>
      <c r="D1248" s="816" t="s">
        <v>1950</v>
      </c>
      <c r="E1248" s="816" t="s">
        <v>8234</v>
      </c>
      <c r="F1248" s="826">
        <v>0</v>
      </c>
      <c r="G1248" s="880">
        <v>1</v>
      </c>
      <c r="H1248" s="826">
        <v>4952.3500000000004</v>
      </c>
      <c r="I1248" s="826">
        <v>-833.84</v>
      </c>
      <c r="J1248" s="826">
        <v>4118.51</v>
      </c>
      <c r="K1248" s="878">
        <v>4118.51</v>
      </c>
    </row>
    <row r="1249" spans="1:11" ht="22.5" customHeight="1" x14ac:dyDescent="0.25">
      <c r="A1249" s="816" t="s">
        <v>255</v>
      </c>
      <c r="B1249" s="880">
        <v>2025</v>
      </c>
      <c r="C1249" s="816" t="s">
        <v>1935</v>
      </c>
      <c r="D1249" s="816" t="s">
        <v>1951</v>
      </c>
      <c r="E1249" s="816" t="s">
        <v>8235</v>
      </c>
      <c r="F1249" s="826">
        <v>0</v>
      </c>
      <c r="G1249" s="880">
        <v>1</v>
      </c>
      <c r="H1249" s="826">
        <v>2598.2800000000002</v>
      </c>
      <c r="I1249" s="826">
        <v>742.66</v>
      </c>
      <c r="J1249" s="826">
        <v>3340.94</v>
      </c>
      <c r="K1249" s="878">
        <v>3340.94</v>
      </c>
    </row>
    <row r="1250" spans="1:11" ht="22.5" customHeight="1" x14ac:dyDescent="0.25">
      <c r="A1250" s="816" t="s">
        <v>255</v>
      </c>
      <c r="B1250" s="880">
        <v>2025</v>
      </c>
      <c r="C1250" s="816" t="s">
        <v>1935</v>
      </c>
      <c r="D1250" s="816" t="s">
        <v>7801</v>
      </c>
      <c r="E1250" s="816" t="s">
        <v>8236</v>
      </c>
      <c r="F1250" s="826">
        <v>0</v>
      </c>
      <c r="G1250" s="880">
        <v>1</v>
      </c>
      <c r="H1250" s="826">
        <v>21899.87</v>
      </c>
      <c r="I1250" s="826">
        <v>2824.21</v>
      </c>
      <c r="J1250" s="826">
        <v>24724.080000000002</v>
      </c>
      <c r="K1250" s="878">
        <v>24724.080000000002</v>
      </c>
    </row>
    <row r="1251" spans="1:11" ht="22.5" customHeight="1" x14ac:dyDescent="0.25">
      <c r="A1251" s="816" t="s">
        <v>255</v>
      </c>
      <c r="B1251" s="880">
        <v>2025</v>
      </c>
      <c r="C1251" s="816" t="s">
        <v>1935</v>
      </c>
      <c r="D1251" s="816" t="s">
        <v>1952</v>
      </c>
      <c r="E1251" s="816" t="s">
        <v>8237</v>
      </c>
      <c r="F1251" s="826">
        <v>104942.98</v>
      </c>
      <c r="G1251" s="880">
        <v>0</v>
      </c>
      <c r="H1251" s="465"/>
      <c r="I1251" s="465"/>
      <c r="J1251" s="826">
        <v>0</v>
      </c>
      <c r="K1251" s="878">
        <v>104942.98</v>
      </c>
    </row>
    <row r="1252" spans="1:11" ht="22.5" customHeight="1" x14ac:dyDescent="0.25">
      <c r="A1252" s="816" t="s">
        <v>255</v>
      </c>
      <c r="B1252" s="880">
        <v>2025</v>
      </c>
      <c r="C1252" s="816" t="s">
        <v>1953</v>
      </c>
      <c r="D1252" s="816" t="s">
        <v>1954</v>
      </c>
      <c r="E1252" s="816" t="s">
        <v>2573</v>
      </c>
      <c r="F1252" s="826">
        <v>0</v>
      </c>
      <c r="G1252" s="880">
        <v>0</v>
      </c>
      <c r="H1252" s="465"/>
      <c r="I1252" s="465"/>
      <c r="J1252" s="826">
        <v>0</v>
      </c>
      <c r="K1252" s="878">
        <v>0</v>
      </c>
    </row>
    <row r="1253" spans="1:11" ht="22.5" customHeight="1" x14ac:dyDescent="0.25">
      <c r="A1253" s="816" t="s">
        <v>259</v>
      </c>
      <c r="B1253" s="880">
        <v>2025</v>
      </c>
      <c r="C1253" s="816" t="s">
        <v>1854</v>
      </c>
      <c r="D1253" s="816" t="s">
        <v>1855</v>
      </c>
      <c r="E1253" s="816" t="s">
        <v>2574</v>
      </c>
      <c r="F1253" s="826">
        <v>-100565.96</v>
      </c>
      <c r="G1253" s="880">
        <v>0</v>
      </c>
      <c r="H1253" s="465"/>
      <c r="I1253" s="465"/>
      <c r="J1253" s="826">
        <v>0</v>
      </c>
      <c r="K1253" s="878">
        <v>-100565.96</v>
      </c>
    </row>
    <row r="1254" spans="1:11" ht="22.5" customHeight="1" x14ac:dyDescent="0.25">
      <c r="A1254" s="816" t="s">
        <v>259</v>
      </c>
      <c r="B1254" s="880">
        <v>2025</v>
      </c>
      <c r="C1254" s="816" t="s">
        <v>7746</v>
      </c>
      <c r="D1254" s="816" t="s">
        <v>7747</v>
      </c>
      <c r="E1254" s="816" t="s">
        <v>7771</v>
      </c>
      <c r="F1254" s="826">
        <v>5399.49</v>
      </c>
      <c r="G1254" s="880">
        <v>0</v>
      </c>
      <c r="H1254" s="465"/>
      <c r="I1254" s="465"/>
      <c r="J1254" s="826">
        <v>0</v>
      </c>
      <c r="K1254" s="878">
        <v>5399.49</v>
      </c>
    </row>
    <row r="1255" spans="1:11" ht="22.5" customHeight="1" x14ac:dyDescent="0.25">
      <c r="A1255" s="816" t="s">
        <v>259</v>
      </c>
      <c r="B1255" s="880">
        <v>2025</v>
      </c>
      <c r="C1255" s="816" t="s">
        <v>1857</v>
      </c>
      <c r="D1255" s="816" t="s">
        <v>1858</v>
      </c>
      <c r="E1255" s="816" t="s">
        <v>2575</v>
      </c>
      <c r="F1255" s="826">
        <v>-19698.16</v>
      </c>
      <c r="G1255" s="880">
        <v>0</v>
      </c>
      <c r="H1255" s="465"/>
      <c r="I1255" s="465"/>
      <c r="J1255" s="826">
        <v>0</v>
      </c>
      <c r="K1255" s="878">
        <v>-19698.16</v>
      </c>
    </row>
    <row r="1256" spans="1:11" ht="22.5" customHeight="1" x14ac:dyDescent="0.25">
      <c r="A1256" s="816" t="s">
        <v>259</v>
      </c>
      <c r="B1256" s="880">
        <v>2025</v>
      </c>
      <c r="C1256" s="816" t="s">
        <v>1860</v>
      </c>
      <c r="D1256" s="816" t="s">
        <v>1861</v>
      </c>
      <c r="E1256" s="816" t="s">
        <v>2576</v>
      </c>
      <c r="F1256" s="826">
        <v>0</v>
      </c>
      <c r="G1256" s="880">
        <v>0</v>
      </c>
      <c r="H1256" s="465"/>
      <c r="I1256" s="465"/>
      <c r="J1256" s="826">
        <v>0</v>
      </c>
      <c r="K1256" s="878">
        <v>0</v>
      </c>
    </row>
    <row r="1257" spans="1:11" ht="22.5" customHeight="1" x14ac:dyDescent="0.25">
      <c r="A1257" s="816" t="s">
        <v>259</v>
      </c>
      <c r="B1257" s="880">
        <v>2025</v>
      </c>
      <c r="C1257" s="816" t="s">
        <v>1863</v>
      </c>
      <c r="D1257" s="816" t="s">
        <v>1864</v>
      </c>
      <c r="E1257" s="816" t="s">
        <v>2577</v>
      </c>
      <c r="F1257" s="826">
        <v>0</v>
      </c>
      <c r="G1257" s="880">
        <v>0</v>
      </c>
      <c r="H1257" s="465"/>
      <c r="I1257" s="465"/>
      <c r="J1257" s="826">
        <v>0</v>
      </c>
      <c r="K1257" s="878">
        <v>0</v>
      </c>
    </row>
    <row r="1258" spans="1:11" ht="22.5" customHeight="1" x14ac:dyDescent="0.25">
      <c r="A1258" s="816" t="s">
        <v>259</v>
      </c>
      <c r="B1258" s="880">
        <v>2025</v>
      </c>
      <c r="C1258" s="816" t="s">
        <v>1866</v>
      </c>
      <c r="D1258" s="816" t="s">
        <v>1867</v>
      </c>
      <c r="E1258" s="816" t="s">
        <v>2578</v>
      </c>
      <c r="F1258" s="826">
        <v>0</v>
      </c>
      <c r="G1258" s="880">
        <v>0</v>
      </c>
      <c r="H1258" s="465"/>
      <c r="I1258" s="465"/>
      <c r="J1258" s="826">
        <v>0</v>
      </c>
      <c r="K1258" s="878">
        <v>0</v>
      </c>
    </row>
    <row r="1259" spans="1:11" ht="22.5" customHeight="1" x14ac:dyDescent="0.25">
      <c r="A1259" s="816" t="s">
        <v>259</v>
      </c>
      <c r="B1259" s="880">
        <v>2025</v>
      </c>
      <c r="C1259" s="816" t="s">
        <v>1869</v>
      </c>
      <c r="D1259" s="816" t="s">
        <v>1870</v>
      </c>
      <c r="E1259" s="816" t="s">
        <v>2579</v>
      </c>
      <c r="F1259" s="826">
        <v>0</v>
      </c>
      <c r="G1259" s="880">
        <v>0</v>
      </c>
      <c r="H1259" s="465"/>
      <c r="I1259" s="465"/>
      <c r="J1259" s="826">
        <v>0</v>
      </c>
      <c r="K1259" s="878">
        <v>0</v>
      </c>
    </row>
    <row r="1260" spans="1:11" ht="22.5" customHeight="1" x14ac:dyDescent="0.25">
      <c r="A1260" s="816" t="s">
        <v>259</v>
      </c>
      <c r="B1260" s="880">
        <v>2025</v>
      </c>
      <c r="C1260" s="816" t="s">
        <v>1872</v>
      </c>
      <c r="D1260" s="816" t="s">
        <v>1873</v>
      </c>
      <c r="E1260" s="816" t="s">
        <v>2580</v>
      </c>
      <c r="F1260" s="826">
        <v>0</v>
      </c>
      <c r="G1260" s="880">
        <v>0</v>
      </c>
      <c r="H1260" s="465"/>
      <c r="I1260" s="465"/>
      <c r="J1260" s="826">
        <v>0</v>
      </c>
      <c r="K1260" s="878">
        <v>0</v>
      </c>
    </row>
    <row r="1261" spans="1:11" ht="22.5" customHeight="1" x14ac:dyDescent="0.25">
      <c r="A1261" s="816" t="s">
        <v>259</v>
      </c>
      <c r="B1261" s="880">
        <v>2025</v>
      </c>
      <c r="C1261" s="816" t="s">
        <v>1875</v>
      </c>
      <c r="D1261" s="816" t="s">
        <v>1876</v>
      </c>
      <c r="E1261" s="816" t="s">
        <v>2581</v>
      </c>
      <c r="F1261" s="826">
        <v>0</v>
      </c>
      <c r="G1261" s="880">
        <v>0</v>
      </c>
      <c r="H1261" s="465"/>
      <c r="I1261" s="465"/>
      <c r="J1261" s="826">
        <v>0</v>
      </c>
      <c r="K1261" s="878">
        <v>0</v>
      </c>
    </row>
    <row r="1262" spans="1:11" ht="22.5" customHeight="1" x14ac:dyDescent="0.25">
      <c r="A1262" s="816" t="s">
        <v>259</v>
      </c>
      <c r="B1262" s="880">
        <v>2025</v>
      </c>
      <c r="C1262" s="816" t="s">
        <v>1878</v>
      </c>
      <c r="D1262" s="816" t="s">
        <v>1879</v>
      </c>
      <c r="E1262" s="816" t="s">
        <v>2582</v>
      </c>
      <c r="F1262" s="826">
        <v>0</v>
      </c>
      <c r="G1262" s="880">
        <v>0</v>
      </c>
      <c r="H1262" s="465"/>
      <c r="I1262" s="465"/>
      <c r="J1262" s="826">
        <v>0</v>
      </c>
      <c r="K1262" s="878">
        <v>0</v>
      </c>
    </row>
    <row r="1263" spans="1:11" ht="22.5" customHeight="1" x14ac:dyDescent="0.25">
      <c r="A1263" s="816" t="s">
        <v>259</v>
      </c>
      <c r="B1263" s="880">
        <v>2025</v>
      </c>
      <c r="C1263" s="816" t="s">
        <v>1881</v>
      </c>
      <c r="D1263" s="816" t="s">
        <v>1882</v>
      </c>
      <c r="E1263" s="816" t="s">
        <v>2583</v>
      </c>
      <c r="F1263" s="826">
        <v>0</v>
      </c>
      <c r="G1263" s="880">
        <v>0</v>
      </c>
      <c r="H1263" s="465"/>
      <c r="I1263" s="465"/>
      <c r="J1263" s="826">
        <v>0</v>
      </c>
      <c r="K1263" s="878">
        <v>0</v>
      </c>
    </row>
    <row r="1264" spans="1:11" ht="22.5" customHeight="1" x14ac:dyDescent="0.25">
      <c r="A1264" s="816" t="s">
        <v>259</v>
      </c>
      <c r="B1264" s="880">
        <v>2025</v>
      </c>
      <c r="C1264" s="816" t="s">
        <v>1884</v>
      </c>
      <c r="D1264" s="816" t="s">
        <v>1885</v>
      </c>
      <c r="E1264" s="816" t="s">
        <v>2584</v>
      </c>
      <c r="F1264" s="826">
        <v>28130.5</v>
      </c>
      <c r="G1264" s="880">
        <v>0</v>
      </c>
      <c r="H1264" s="465"/>
      <c r="I1264" s="465"/>
      <c r="J1264" s="826">
        <v>0</v>
      </c>
      <c r="K1264" s="878">
        <v>28130.5</v>
      </c>
    </row>
    <row r="1265" spans="1:11" ht="22.5" customHeight="1" x14ac:dyDescent="0.25">
      <c r="A1265" s="816" t="s">
        <v>259</v>
      </c>
      <c r="B1265" s="880">
        <v>2025</v>
      </c>
      <c r="C1265" s="816" t="s">
        <v>1887</v>
      </c>
      <c r="D1265" s="816" t="s">
        <v>138</v>
      </c>
      <c r="E1265" s="816" t="s">
        <v>2585</v>
      </c>
      <c r="F1265" s="826">
        <v>146763.34</v>
      </c>
      <c r="G1265" s="880">
        <v>1</v>
      </c>
      <c r="H1265" s="826">
        <v>136073.88</v>
      </c>
      <c r="I1265" s="826">
        <v>10689.46</v>
      </c>
      <c r="J1265" s="826">
        <v>146763.34</v>
      </c>
      <c r="K1265" s="878">
        <v>146763.34</v>
      </c>
    </row>
    <row r="1266" spans="1:11" ht="22.5" customHeight="1" x14ac:dyDescent="0.25">
      <c r="A1266" s="816" t="s">
        <v>259</v>
      </c>
      <c r="B1266" s="880">
        <v>2025</v>
      </c>
      <c r="C1266" s="816" t="s">
        <v>1889</v>
      </c>
      <c r="D1266" s="816" t="s">
        <v>139</v>
      </c>
      <c r="E1266" s="816" t="s">
        <v>2586</v>
      </c>
      <c r="F1266" s="826">
        <v>-32180.54</v>
      </c>
      <c r="G1266" s="880">
        <v>1</v>
      </c>
      <c r="H1266" s="826">
        <v>-29695.759999999998</v>
      </c>
      <c r="I1266" s="826">
        <v>-2484.7800000000002</v>
      </c>
      <c r="J1266" s="826">
        <v>-32180.54</v>
      </c>
      <c r="K1266" s="878">
        <v>-32180.54</v>
      </c>
    </row>
    <row r="1267" spans="1:11" ht="22.5" customHeight="1" x14ac:dyDescent="0.25">
      <c r="A1267" s="816" t="s">
        <v>259</v>
      </c>
      <c r="B1267" s="880">
        <v>2025</v>
      </c>
      <c r="C1267" s="816" t="s">
        <v>1891</v>
      </c>
      <c r="D1267" s="816" t="s">
        <v>1892</v>
      </c>
      <c r="E1267" s="816" t="s">
        <v>2587</v>
      </c>
      <c r="F1267" s="826">
        <v>-8602.39</v>
      </c>
      <c r="G1267" s="880">
        <v>0</v>
      </c>
      <c r="H1267" s="465"/>
      <c r="I1267" s="465"/>
      <c r="J1267" s="826">
        <v>0</v>
      </c>
      <c r="K1267" s="878">
        <v>-8602.39</v>
      </c>
    </row>
    <row r="1268" spans="1:11" ht="22.5" customHeight="1" x14ac:dyDescent="0.25">
      <c r="A1268" s="816" t="s">
        <v>259</v>
      </c>
      <c r="B1268" s="880">
        <v>2025</v>
      </c>
      <c r="C1268" s="816" t="s">
        <v>1891</v>
      </c>
      <c r="D1268" s="816" t="s">
        <v>1894</v>
      </c>
      <c r="E1268" s="816" t="s">
        <v>2587</v>
      </c>
      <c r="F1268" s="826">
        <v>0</v>
      </c>
      <c r="G1268" s="880">
        <v>0</v>
      </c>
      <c r="H1268" s="465"/>
      <c r="I1268" s="465"/>
      <c r="J1268" s="826">
        <v>0</v>
      </c>
      <c r="K1268" s="881">
        <v>0</v>
      </c>
    </row>
    <row r="1269" spans="1:11" ht="22.5" customHeight="1" x14ac:dyDescent="0.25">
      <c r="A1269" s="816" t="s">
        <v>259</v>
      </c>
      <c r="B1269" s="880">
        <v>2025</v>
      </c>
      <c r="C1269" s="816" t="s">
        <v>1895</v>
      </c>
      <c r="D1269" s="816" t="s">
        <v>1896</v>
      </c>
      <c r="E1269" s="816" t="s">
        <v>2588</v>
      </c>
      <c r="F1269" s="826">
        <v>0</v>
      </c>
      <c r="G1269" s="880">
        <v>0</v>
      </c>
      <c r="H1269" s="465"/>
      <c r="I1269" s="465"/>
      <c r="J1269" s="826">
        <v>0</v>
      </c>
      <c r="K1269" s="878">
        <v>0</v>
      </c>
    </row>
    <row r="1270" spans="1:11" ht="22.5" customHeight="1" x14ac:dyDescent="0.25">
      <c r="A1270" s="816" t="s">
        <v>259</v>
      </c>
      <c r="B1270" s="880">
        <v>2025</v>
      </c>
      <c r="C1270" s="816" t="s">
        <v>1898</v>
      </c>
      <c r="D1270" s="816" t="s">
        <v>1899</v>
      </c>
      <c r="E1270" s="816" t="s">
        <v>2589</v>
      </c>
      <c r="F1270" s="826">
        <v>0</v>
      </c>
      <c r="G1270" s="880">
        <v>0</v>
      </c>
      <c r="H1270" s="465"/>
      <c r="I1270" s="465"/>
      <c r="J1270" s="826">
        <v>0</v>
      </c>
      <c r="K1270" s="878">
        <v>0</v>
      </c>
    </row>
    <row r="1271" spans="1:11" ht="22.5" customHeight="1" x14ac:dyDescent="0.25">
      <c r="A1271" s="816" t="s">
        <v>259</v>
      </c>
      <c r="B1271" s="880">
        <v>2025</v>
      </c>
      <c r="C1271" s="816" t="s">
        <v>1901</v>
      </c>
      <c r="D1271" s="816" t="s">
        <v>1902</v>
      </c>
      <c r="E1271" s="816" t="s">
        <v>2590</v>
      </c>
      <c r="F1271" s="826">
        <v>0</v>
      </c>
      <c r="G1271" s="880">
        <v>0</v>
      </c>
      <c r="H1271" s="465"/>
      <c r="I1271" s="465"/>
      <c r="J1271" s="826">
        <v>0</v>
      </c>
      <c r="K1271" s="878">
        <v>0</v>
      </c>
    </row>
    <row r="1272" spans="1:11" ht="22.5" customHeight="1" x14ac:dyDescent="0.25">
      <c r="A1272" s="816" t="s">
        <v>259</v>
      </c>
      <c r="B1272" s="880">
        <v>2025</v>
      </c>
      <c r="C1272" s="816" t="s">
        <v>1904</v>
      </c>
      <c r="D1272" s="816" t="s">
        <v>1905</v>
      </c>
      <c r="E1272" s="816" t="s">
        <v>2591</v>
      </c>
      <c r="F1272" s="826">
        <v>0</v>
      </c>
      <c r="G1272" s="880">
        <v>0</v>
      </c>
      <c r="H1272" s="465"/>
      <c r="I1272" s="465"/>
      <c r="J1272" s="826">
        <v>0</v>
      </c>
      <c r="K1272" s="878">
        <v>0</v>
      </c>
    </row>
    <row r="1273" spans="1:11" ht="22.5" customHeight="1" x14ac:dyDescent="0.25">
      <c r="A1273" s="816" t="s">
        <v>259</v>
      </c>
      <c r="B1273" s="880">
        <v>2025</v>
      </c>
      <c r="C1273" s="816" t="s">
        <v>1907</v>
      </c>
      <c r="D1273" s="816" t="s">
        <v>1908</v>
      </c>
      <c r="E1273" s="816" t="s">
        <v>2592</v>
      </c>
      <c r="F1273" s="826">
        <v>0</v>
      </c>
      <c r="G1273" s="880">
        <v>0</v>
      </c>
      <c r="H1273" s="465"/>
      <c r="I1273" s="465"/>
      <c r="J1273" s="826">
        <v>0</v>
      </c>
      <c r="K1273" s="878">
        <v>0</v>
      </c>
    </row>
    <row r="1274" spans="1:11" ht="22.5" customHeight="1" x14ac:dyDescent="0.25">
      <c r="A1274" s="816" t="s">
        <v>259</v>
      </c>
      <c r="B1274" s="880">
        <v>2025</v>
      </c>
      <c r="C1274" s="816" t="s">
        <v>1910</v>
      </c>
      <c r="D1274" s="816" t="s">
        <v>1911</v>
      </c>
      <c r="E1274" s="816" t="s">
        <v>2593</v>
      </c>
      <c r="F1274" s="826">
        <v>0</v>
      </c>
      <c r="G1274" s="880">
        <v>0</v>
      </c>
      <c r="H1274" s="465"/>
      <c r="I1274" s="465"/>
      <c r="J1274" s="826">
        <v>0</v>
      </c>
      <c r="K1274" s="878">
        <v>0</v>
      </c>
    </row>
    <row r="1275" spans="1:11" ht="22.5" customHeight="1" x14ac:dyDescent="0.25">
      <c r="A1275" s="816" t="s">
        <v>259</v>
      </c>
      <c r="B1275" s="880">
        <v>2025</v>
      </c>
      <c r="C1275" s="816" t="s">
        <v>1913</v>
      </c>
      <c r="D1275" s="816" t="s">
        <v>1914</v>
      </c>
      <c r="E1275" s="816" t="s">
        <v>2594</v>
      </c>
      <c r="F1275" s="826">
        <v>-13047.23</v>
      </c>
      <c r="G1275" s="880">
        <v>1</v>
      </c>
      <c r="H1275" s="826">
        <v>-18960.7</v>
      </c>
      <c r="I1275" s="826">
        <v>5913.47</v>
      </c>
      <c r="J1275" s="826">
        <v>-13047.23</v>
      </c>
      <c r="K1275" s="878">
        <v>-13047.23</v>
      </c>
    </row>
    <row r="1276" spans="1:11" ht="22.5" customHeight="1" x14ac:dyDescent="0.25">
      <c r="A1276" s="816" t="s">
        <v>259</v>
      </c>
      <c r="B1276" s="880">
        <v>2025</v>
      </c>
      <c r="C1276" s="816" t="s">
        <v>1913</v>
      </c>
      <c r="D1276" s="816" t="s">
        <v>1916</v>
      </c>
      <c r="E1276" s="816" t="s">
        <v>2594</v>
      </c>
      <c r="F1276" s="826">
        <v>0</v>
      </c>
      <c r="G1276" s="880">
        <v>0</v>
      </c>
      <c r="H1276" s="465"/>
      <c r="I1276" s="465"/>
      <c r="J1276" s="826">
        <v>0</v>
      </c>
      <c r="K1276" s="881">
        <v>0</v>
      </c>
    </row>
    <row r="1277" spans="1:11" ht="22.5" customHeight="1" x14ac:dyDescent="0.25">
      <c r="A1277" s="816" t="s">
        <v>259</v>
      </c>
      <c r="B1277" s="880">
        <v>2025</v>
      </c>
      <c r="C1277" s="816" t="s">
        <v>1913</v>
      </c>
      <c r="D1277" s="816" t="s">
        <v>1917</v>
      </c>
      <c r="E1277" s="816" t="s">
        <v>2594</v>
      </c>
      <c r="F1277" s="826">
        <v>0</v>
      </c>
      <c r="G1277" s="880">
        <v>0</v>
      </c>
      <c r="H1277" s="465"/>
      <c r="I1277" s="465"/>
      <c r="J1277" s="826">
        <v>0</v>
      </c>
      <c r="K1277" s="881">
        <v>0</v>
      </c>
    </row>
    <row r="1278" spans="1:11" ht="22.5" customHeight="1" x14ac:dyDescent="0.25">
      <c r="A1278" s="816" t="s">
        <v>259</v>
      </c>
      <c r="B1278" s="880">
        <v>2025</v>
      </c>
      <c r="C1278" s="816" t="s">
        <v>1913</v>
      </c>
      <c r="D1278" s="816" t="s">
        <v>1918</v>
      </c>
      <c r="E1278" s="816" t="s">
        <v>2594</v>
      </c>
      <c r="F1278" s="826">
        <v>0</v>
      </c>
      <c r="G1278" s="880">
        <v>0</v>
      </c>
      <c r="H1278" s="465"/>
      <c r="I1278" s="465"/>
      <c r="J1278" s="826">
        <v>0</v>
      </c>
      <c r="K1278" s="881">
        <v>0</v>
      </c>
    </row>
    <row r="1279" spans="1:11" ht="22.5" customHeight="1" x14ac:dyDescent="0.25">
      <c r="A1279" s="816" t="s">
        <v>259</v>
      </c>
      <c r="B1279" s="880">
        <v>2025</v>
      </c>
      <c r="C1279" s="816" t="s">
        <v>1913</v>
      </c>
      <c r="D1279" s="816" t="s">
        <v>1919</v>
      </c>
      <c r="E1279" s="816" t="s">
        <v>2594</v>
      </c>
      <c r="F1279" s="826">
        <v>0</v>
      </c>
      <c r="G1279" s="880">
        <v>0</v>
      </c>
      <c r="H1279" s="465"/>
      <c r="I1279" s="465"/>
      <c r="J1279" s="826">
        <v>0</v>
      </c>
      <c r="K1279" s="881">
        <v>0</v>
      </c>
    </row>
    <row r="1280" spans="1:11" ht="22.5" customHeight="1" x14ac:dyDescent="0.25">
      <c r="A1280" s="816" t="s">
        <v>259</v>
      </c>
      <c r="B1280" s="880">
        <v>2025</v>
      </c>
      <c r="C1280" s="816" t="s">
        <v>1920</v>
      </c>
      <c r="D1280" s="816" t="s">
        <v>1921</v>
      </c>
      <c r="E1280" s="816" t="s">
        <v>2595</v>
      </c>
      <c r="F1280" s="826">
        <v>0</v>
      </c>
      <c r="G1280" s="880">
        <v>0</v>
      </c>
      <c r="H1280" s="465"/>
      <c r="I1280" s="465"/>
      <c r="J1280" s="826">
        <v>0</v>
      </c>
      <c r="K1280" s="878">
        <v>0</v>
      </c>
    </row>
    <row r="1281" spans="1:11" ht="22.5" customHeight="1" x14ac:dyDescent="0.25">
      <c r="A1281" s="816" t="s">
        <v>259</v>
      </c>
      <c r="B1281" s="880">
        <v>2025</v>
      </c>
      <c r="C1281" s="816" t="s">
        <v>1923</v>
      </c>
      <c r="D1281" s="816" t="s">
        <v>143</v>
      </c>
      <c r="E1281" s="816" t="s">
        <v>2596</v>
      </c>
      <c r="F1281" s="826">
        <v>401143.13</v>
      </c>
      <c r="G1281" s="880">
        <v>1</v>
      </c>
      <c r="H1281" s="826">
        <v>374420.03</v>
      </c>
      <c r="I1281" s="826">
        <v>26723.1</v>
      </c>
      <c r="J1281" s="826">
        <v>401143.13</v>
      </c>
      <c r="K1281" s="878">
        <v>401143.13</v>
      </c>
    </row>
    <row r="1282" spans="1:11" ht="22.5" customHeight="1" x14ac:dyDescent="0.25">
      <c r="A1282" s="816" t="s">
        <v>259</v>
      </c>
      <c r="B1282" s="880">
        <v>2025</v>
      </c>
      <c r="C1282" s="816" t="s">
        <v>1925</v>
      </c>
      <c r="D1282" s="816" t="s">
        <v>144</v>
      </c>
      <c r="E1282" s="816" t="s">
        <v>2597</v>
      </c>
      <c r="F1282" s="826">
        <v>244129.18</v>
      </c>
      <c r="G1282" s="880">
        <v>1</v>
      </c>
      <c r="H1282" s="826">
        <v>233746.88</v>
      </c>
      <c r="I1282" s="826">
        <v>10382.299999999999</v>
      </c>
      <c r="J1282" s="826">
        <v>244129.18</v>
      </c>
      <c r="K1282" s="878">
        <v>244129.18</v>
      </c>
    </row>
    <row r="1283" spans="1:11" ht="22.5" customHeight="1" x14ac:dyDescent="0.25">
      <c r="A1283" s="816" t="s">
        <v>259</v>
      </c>
      <c r="B1283" s="880">
        <v>2025</v>
      </c>
      <c r="C1283" s="816" t="s">
        <v>1927</v>
      </c>
      <c r="D1283" s="816" t="s">
        <v>1928</v>
      </c>
      <c r="E1283" s="816" t="s">
        <v>2598</v>
      </c>
      <c r="F1283" s="826">
        <v>-685926.23</v>
      </c>
      <c r="G1283" s="880">
        <v>1</v>
      </c>
      <c r="H1283" s="826">
        <v>-609395.5</v>
      </c>
      <c r="I1283" s="826">
        <v>-76530.73</v>
      </c>
      <c r="J1283" s="826">
        <v>-685926.23</v>
      </c>
      <c r="K1283" s="878">
        <v>-685926.23</v>
      </c>
    </row>
    <row r="1284" spans="1:11" ht="22.5" customHeight="1" x14ac:dyDescent="0.25">
      <c r="A1284" s="816" t="s">
        <v>259</v>
      </c>
      <c r="B1284" s="880">
        <v>2025</v>
      </c>
      <c r="C1284" s="816" t="s">
        <v>1930</v>
      </c>
      <c r="D1284" s="816" t="s">
        <v>156</v>
      </c>
      <c r="E1284" s="816" t="s">
        <v>2599</v>
      </c>
      <c r="F1284" s="826">
        <v>-213183.85</v>
      </c>
      <c r="G1284" s="880">
        <v>1</v>
      </c>
      <c r="H1284" s="826">
        <v>-174133.22</v>
      </c>
      <c r="I1284" s="826">
        <v>-39050.629999999997</v>
      </c>
      <c r="J1284" s="826">
        <v>-213183.85</v>
      </c>
      <c r="K1284" s="878">
        <v>-213183.85</v>
      </c>
    </row>
    <row r="1285" spans="1:11" ht="22.5" customHeight="1" x14ac:dyDescent="0.25">
      <c r="A1285" s="816" t="s">
        <v>259</v>
      </c>
      <c r="B1285" s="880">
        <v>2025</v>
      </c>
      <c r="C1285" s="816" t="s">
        <v>1932</v>
      </c>
      <c r="D1285" s="816" t="s">
        <v>1933</v>
      </c>
      <c r="E1285" s="816" t="s">
        <v>2600</v>
      </c>
      <c r="F1285" s="826">
        <v>-29005.98</v>
      </c>
      <c r="G1285" s="880">
        <v>0</v>
      </c>
      <c r="H1285" s="465"/>
      <c r="I1285" s="465"/>
      <c r="J1285" s="826">
        <v>0</v>
      </c>
      <c r="K1285" s="878">
        <v>-29005.98</v>
      </c>
    </row>
    <row r="1286" spans="1:11" ht="22.5" customHeight="1" x14ac:dyDescent="0.25">
      <c r="A1286" s="816" t="s">
        <v>259</v>
      </c>
      <c r="B1286" s="880">
        <v>2025</v>
      </c>
      <c r="C1286" s="816" t="s">
        <v>1935</v>
      </c>
      <c r="D1286" s="816" t="s">
        <v>1936</v>
      </c>
      <c r="E1286" s="816" t="s">
        <v>8238</v>
      </c>
      <c r="F1286" s="826">
        <v>0</v>
      </c>
      <c r="G1286" s="880">
        <v>1</v>
      </c>
      <c r="H1286" s="826">
        <v>0</v>
      </c>
      <c r="I1286" s="826">
        <v>0</v>
      </c>
      <c r="J1286" s="826">
        <v>0</v>
      </c>
      <c r="K1286" s="878">
        <v>0</v>
      </c>
    </row>
    <row r="1287" spans="1:11" ht="22.5" customHeight="1" x14ac:dyDescent="0.25">
      <c r="A1287" s="816" t="s">
        <v>259</v>
      </c>
      <c r="B1287" s="880">
        <v>2025</v>
      </c>
      <c r="C1287" s="816" t="s">
        <v>1935</v>
      </c>
      <c r="D1287" s="816" t="s">
        <v>1937</v>
      </c>
      <c r="E1287" s="816" t="s">
        <v>8239</v>
      </c>
      <c r="F1287" s="826">
        <v>0</v>
      </c>
      <c r="G1287" s="880">
        <v>1</v>
      </c>
      <c r="H1287" s="826">
        <v>0</v>
      </c>
      <c r="I1287" s="826">
        <v>0</v>
      </c>
      <c r="J1287" s="826">
        <v>0</v>
      </c>
      <c r="K1287" s="878">
        <v>0</v>
      </c>
    </row>
    <row r="1288" spans="1:11" ht="22.5" customHeight="1" x14ac:dyDescent="0.25">
      <c r="A1288" s="816" t="s">
        <v>259</v>
      </c>
      <c r="B1288" s="880">
        <v>2025</v>
      </c>
      <c r="C1288" s="816" t="s">
        <v>1935</v>
      </c>
      <c r="D1288" s="816" t="s">
        <v>1938</v>
      </c>
      <c r="E1288" s="816" t="s">
        <v>8240</v>
      </c>
      <c r="F1288" s="826">
        <v>0</v>
      </c>
      <c r="G1288" s="880">
        <v>1</v>
      </c>
      <c r="H1288" s="826">
        <v>0</v>
      </c>
      <c r="I1288" s="826">
        <v>0</v>
      </c>
      <c r="J1288" s="826">
        <v>0</v>
      </c>
      <c r="K1288" s="878">
        <v>0</v>
      </c>
    </row>
    <row r="1289" spans="1:11" ht="22.5" customHeight="1" x14ac:dyDescent="0.25">
      <c r="A1289" s="816" t="s">
        <v>259</v>
      </c>
      <c r="B1289" s="880">
        <v>2025</v>
      </c>
      <c r="C1289" s="816" t="s">
        <v>1935</v>
      </c>
      <c r="D1289" s="816" t="s">
        <v>1939</v>
      </c>
      <c r="E1289" s="816" t="s">
        <v>8241</v>
      </c>
      <c r="F1289" s="826">
        <v>0</v>
      </c>
      <c r="G1289" s="880">
        <v>1</v>
      </c>
      <c r="H1289" s="826">
        <v>0</v>
      </c>
      <c r="I1289" s="826">
        <v>0</v>
      </c>
      <c r="J1289" s="826">
        <v>0</v>
      </c>
      <c r="K1289" s="878">
        <v>0</v>
      </c>
    </row>
    <row r="1290" spans="1:11" ht="22.5" customHeight="1" x14ac:dyDescent="0.25">
      <c r="A1290" s="816" t="s">
        <v>259</v>
      </c>
      <c r="B1290" s="880">
        <v>2025</v>
      </c>
      <c r="C1290" s="816" t="s">
        <v>1935</v>
      </c>
      <c r="D1290" s="816" t="s">
        <v>1940</v>
      </c>
      <c r="E1290" s="816" t="s">
        <v>8242</v>
      </c>
      <c r="F1290" s="826">
        <v>0</v>
      </c>
      <c r="G1290" s="880">
        <v>1</v>
      </c>
      <c r="H1290" s="826">
        <v>0</v>
      </c>
      <c r="I1290" s="826">
        <v>0</v>
      </c>
      <c r="J1290" s="826">
        <v>0</v>
      </c>
      <c r="K1290" s="878">
        <v>0</v>
      </c>
    </row>
    <row r="1291" spans="1:11" ht="22.5" customHeight="1" x14ac:dyDescent="0.25">
      <c r="A1291" s="816" t="s">
        <v>259</v>
      </c>
      <c r="B1291" s="880">
        <v>2025</v>
      </c>
      <c r="C1291" s="816" t="s">
        <v>1935</v>
      </c>
      <c r="D1291" s="816" t="s">
        <v>1941</v>
      </c>
      <c r="E1291" s="816" t="s">
        <v>8243</v>
      </c>
      <c r="F1291" s="826">
        <v>0</v>
      </c>
      <c r="G1291" s="880">
        <v>1</v>
      </c>
      <c r="H1291" s="826">
        <v>0</v>
      </c>
      <c r="I1291" s="826">
        <v>0</v>
      </c>
      <c r="J1291" s="826">
        <v>0</v>
      </c>
      <c r="K1291" s="878">
        <v>0</v>
      </c>
    </row>
    <row r="1292" spans="1:11" ht="22.5" customHeight="1" x14ac:dyDescent="0.25">
      <c r="A1292" s="816" t="s">
        <v>259</v>
      </c>
      <c r="B1292" s="880">
        <v>2025</v>
      </c>
      <c r="C1292" s="816" t="s">
        <v>1935</v>
      </c>
      <c r="D1292" s="816" t="s">
        <v>1942</v>
      </c>
      <c r="E1292" s="816" t="s">
        <v>8244</v>
      </c>
      <c r="F1292" s="826">
        <v>0</v>
      </c>
      <c r="G1292" s="880">
        <v>1</v>
      </c>
      <c r="H1292" s="826">
        <v>0</v>
      </c>
      <c r="I1292" s="826">
        <v>0</v>
      </c>
      <c r="J1292" s="826">
        <v>0</v>
      </c>
      <c r="K1292" s="878">
        <v>0</v>
      </c>
    </row>
    <row r="1293" spans="1:11" ht="22.5" customHeight="1" x14ac:dyDescent="0.25">
      <c r="A1293" s="816" t="s">
        <v>259</v>
      </c>
      <c r="B1293" s="880">
        <v>2025</v>
      </c>
      <c r="C1293" s="816" t="s">
        <v>1935</v>
      </c>
      <c r="D1293" s="816" t="s">
        <v>1943</v>
      </c>
      <c r="E1293" s="816" t="s">
        <v>8245</v>
      </c>
      <c r="F1293" s="826">
        <v>0</v>
      </c>
      <c r="G1293" s="880">
        <v>1</v>
      </c>
      <c r="H1293" s="826">
        <v>0</v>
      </c>
      <c r="I1293" s="826">
        <v>0</v>
      </c>
      <c r="J1293" s="826">
        <v>0</v>
      </c>
      <c r="K1293" s="878">
        <v>0</v>
      </c>
    </row>
    <row r="1294" spans="1:11" ht="22.5" customHeight="1" x14ac:dyDescent="0.25">
      <c r="A1294" s="816" t="s">
        <v>259</v>
      </c>
      <c r="B1294" s="880">
        <v>2025</v>
      </c>
      <c r="C1294" s="816" t="s">
        <v>1935</v>
      </c>
      <c r="D1294" s="816" t="s">
        <v>1944</v>
      </c>
      <c r="E1294" s="816" t="s">
        <v>8246</v>
      </c>
      <c r="F1294" s="826">
        <v>0</v>
      </c>
      <c r="G1294" s="880">
        <v>1</v>
      </c>
      <c r="H1294" s="826">
        <v>0</v>
      </c>
      <c r="I1294" s="826">
        <v>0</v>
      </c>
      <c r="J1294" s="826">
        <v>0</v>
      </c>
      <c r="K1294" s="878">
        <v>0</v>
      </c>
    </row>
    <row r="1295" spans="1:11" ht="22.5" customHeight="1" x14ac:dyDescent="0.25">
      <c r="A1295" s="816" t="s">
        <v>259</v>
      </c>
      <c r="B1295" s="880">
        <v>2025</v>
      </c>
      <c r="C1295" s="816" t="s">
        <v>1935</v>
      </c>
      <c r="D1295" s="816" t="s">
        <v>1945</v>
      </c>
      <c r="E1295" s="816" t="s">
        <v>8247</v>
      </c>
      <c r="F1295" s="826">
        <v>0</v>
      </c>
      <c r="G1295" s="880">
        <v>1</v>
      </c>
      <c r="H1295" s="826">
        <v>0</v>
      </c>
      <c r="I1295" s="826">
        <v>0</v>
      </c>
      <c r="J1295" s="826">
        <v>0</v>
      </c>
      <c r="K1295" s="878">
        <v>0</v>
      </c>
    </row>
    <row r="1296" spans="1:11" ht="22.5" customHeight="1" x14ac:dyDescent="0.25">
      <c r="A1296" s="816" t="s">
        <v>259</v>
      </c>
      <c r="B1296" s="880">
        <v>2025</v>
      </c>
      <c r="C1296" s="816" t="s">
        <v>1935</v>
      </c>
      <c r="D1296" s="816" t="s">
        <v>1946</v>
      </c>
      <c r="E1296" s="816" t="s">
        <v>8248</v>
      </c>
      <c r="F1296" s="826">
        <v>0</v>
      </c>
      <c r="G1296" s="880">
        <v>1</v>
      </c>
      <c r="H1296" s="826">
        <v>0</v>
      </c>
      <c r="I1296" s="826">
        <v>0</v>
      </c>
      <c r="J1296" s="826">
        <v>0</v>
      </c>
      <c r="K1296" s="878">
        <v>0</v>
      </c>
    </row>
    <row r="1297" spans="1:11" ht="22.5" customHeight="1" x14ac:dyDescent="0.25">
      <c r="A1297" s="816" t="s">
        <v>259</v>
      </c>
      <c r="B1297" s="880">
        <v>2025</v>
      </c>
      <c r="C1297" s="816" t="s">
        <v>1935</v>
      </c>
      <c r="D1297" s="816" t="s">
        <v>1947</v>
      </c>
      <c r="E1297" s="816" t="s">
        <v>8249</v>
      </c>
      <c r="F1297" s="826">
        <v>0</v>
      </c>
      <c r="G1297" s="880">
        <v>1</v>
      </c>
      <c r="H1297" s="826">
        <v>0</v>
      </c>
      <c r="I1297" s="826">
        <v>0</v>
      </c>
      <c r="J1297" s="826">
        <v>0</v>
      </c>
      <c r="K1297" s="878">
        <v>0</v>
      </c>
    </row>
    <row r="1298" spans="1:11" ht="22.5" customHeight="1" x14ac:dyDescent="0.25">
      <c r="A1298" s="816" t="s">
        <v>259</v>
      </c>
      <c r="B1298" s="880">
        <v>2025</v>
      </c>
      <c r="C1298" s="816" t="s">
        <v>1935</v>
      </c>
      <c r="D1298" s="816" t="s">
        <v>1948</v>
      </c>
      <c r="E1298" s="816" t="s">
        <v>8250</v>
      </c>
      <c r="F1298" s="826">
        <v>0</v>
      </c>
      <c r="G1298" s="880">
        <v>1</v>
      </c>
      <c r="H1298" s="826">
        <v>-10188</v>
      </c>
      <c r="I1298" s="826">
        <v>-3506.74</v>
      </c>
      <c r="J1298" s="826">
        <v>-13694.74</v>
      </c>
      <c r="K1298" s="878">
        <v>-13694.74</v>
      </c>
    </row>
    <row r="1299" spans="1:11" ht="22.5" customHeight="1" x14ac:dyDescent="0.25">
      <c r="A1299" s="816" t="s">
        <v>259</v>
      </c>
      <c r="B1299" s="880">
        <v>2025</v>
      </c>
      <c r="C1299" s="816" t="s">
        <v>1935</v>
      </c>
      <c r="D1299" s="816" t="s">
        <v>1949</v>
      </c>
      <c r="E1299" s="816" t="s">
        <v>8251</v>
      </c>
      <c r="F1299" s="826">
        <v>0</v>
      </c>
      <c r="G1299" s="880">
        <v>1</v>
      </c>
      <c r="H1299" s="826">
        <v>-2222.59</v>
      </c>
      <c r="I1299" s="826">
        <v>-1206.81</v>
      </c>
      <c r="J1299" s="826">
        <v>-3429.4</v>
      </c>
      <c r="K1299" s="878">
        <v>-3429.4</v>
      </c>
    </row>
    <row r="1300" spans="1:11" ht="22.5" customHeight="1" x14ac:dyDescent="0.25">
      <c r="A1300" s="816" t="s">
        <v>259</v>
      </c>
      <c r="B1300" s="880">
        <v>2025</v>
      </c>
      <c r="C1300" s="816" t="s">
        <v>1935</v>
      </c>
      <c r="D1300" s="816" t="s">
        <v>1950</v>
      </c>
      <c r="E1300" s="816" t="s">
        <v>8252</v>
      </c>
      <c r="F1300" s="826">
        <v>0</v>
      </c>
      <c r="G1300" s="880">
        <v>1</v>
      </c>
      <c r="H1300" s="826">
        <v>15524.47</v>
      </c>
      <c r="I1300" s="826">
        <v>-4962.3599999999997</v>
      </c>
      <c r="J1300" s="826">
        <v>10562.11</v>
      </c>
      <c r="K1300" s="878">
        <v>10562.11</v>
      </c>
    </row>
    <row r="1301" spans="1:11" ht="22.5" customHeight="1" x14ac:dyDescent="0.25">
      <c r="A1301" s="816" t="s">
        <v>259</v>
      </c>
      <c r="B1301" s="880">
        <v>2025</v>
      </c>
      <c r="C1301" s="816" t="s">
        <v>1935</v>
      </c>
      <c r="D1301" s="816" t="s">
        <v>1951</v>
      </c>
      <c r="E1301" s="816" t="s">
        <v>8253</v>
      </c>
      <c r="F1301" s="826">
        <v>0</v>
      </c>
      <c r="G1301" s="880">
        <v>1</v>
      </c>
      <c r="H1301" s="826">
        <v>215.47</v>
      </c>
      <c r="I1301" s="826">
        <v>1990.28</v>
      </c>
      <c r="J1301" s="826">
        <v>2205.75</v>
      </c>
      <c r="K1301" s="878">
        <v>2205.75</v>
      </c>
    </row>
    <row r="1302" spans="1:11" ht="22.5" customHeight="1" x14ac:dyDescent="0.25">
      <c r="A1302" s="816" t="s">
        <v>259</v>
      </c>
      <c r="B1302" s="880">
        <v>2025</v>
      </c>
      <c r="C1302" s="816" t="s">
        <v>1935</v>
      </c>
      <c r="D1302" s="816" t="s">
        <v>7801</v>
      </c>
      <c r="E1302" s="816" t="s">
        <v>8254</v>
      </c>
      <c r="F1302" s="826">
        <v>0</v>
      </c>
      <c r="G1302" s="880">
        <v>1</v>
      </c>
      <c r="H1302" s="826">
        <v>0</v>
      </c>
      <c r="I1302" s="826">
        <v>0</v>
      </c>
      <c r="J1302" s="826">
        <v>0</v>
      </c>
      <c r="K1302" s="878">
        <v>0</v>
      </c>
    </row>
    <row r="1303" spans="1:11" ht="22.5" customHeight="1" x14ac:dyDescent="0.25">
      <c r="A1303" s="816" t="s">
        <v>259</v>
      </c>
      <c r="B1303" s="880">
        <v>2025</v>
      </c>
      <c r="C1303" s="816" t="s">
        <v>1935</v>
      </c>
      <c r="D1303" s="816" t="s">
        <v>1952</v>
      </c>
      <c r="E1303" s="816" t="s">
        <v>8255</v>
      </c>
      <c r="F1303" s="826">
        <v>-4356.28</v>
      </c>
      <c r="G1303" s="880">
        <v>0</v>
      </c>
      <c r="H1303" s="465"/>
      <c r="I1303" s="465"/>
      <c r="J1303" s="826">
        <v>0</v>
      </c>
      <c r="K1303" s="878">
        <v>-4356.28</v>
      </c>
    </row>
    <row r="1304" spans="1:11" ht="22.5" customHeight="1" x14ac:dyDescent="0.25">
      <c r="A1304" s="816" t="s">
        <v>259</v>
      </c>
      <c r="B1304" s="880">
        <v>2025</v>
      </c>
      <c r="C1304" s="816" t="s">
        <v>1953</v>
      </c>
      <c r="D1304" s="816" t="s">
        <v>1954</v>
      </c>
      <c r="E1304" s="816" t="s">
        <v>2601</v>
      </c>
      <c r="F1304" s="826">
        <v>0</v>
      </c>
      <c r="G1304" s="880">
        <v>0</v>
      </c>
      <c r="H1304" s="465"/>
      <c r="I1304" s="465"/>
      <c r="J1304" s="826">
        <v>0</v>
      </c>
      <c r="K1304" s="878">
        <v>0</v>
      </c>
    </row>
    <row r="1305" spans="1:11" ht="22.5" customHeight="1" x14ac:dyDescent="0.25">
      <c r="A1305" s="816" t="s">
        <v>262</v>
      </c>
      <c r="B1305" s="880">
        <v>2025</v>
      </c>
      <c r="C1305" s="816" t="s">
        <v>1854</v>
      </c>
      <c r="D1305" s="816" t="s">
        <v>1855</v>
      </c>
      <c r="E1305" s="816" t="s">
        <v>2602</v>
      </c>
      <c r="F1305" s="826">
        <v>142965967.40000001</v>
      </c>
      <c r="G1305" s="880">
        <v>0</v>
      </c>
      <c r="H1305" s="465"/>
      <c r="I1305" s="465"/>
      <c r="J1305" s="826">
        <v>0</v>
      </c>
      <c r="K1305" s="878">
        <v>142965967.40000001</v>
      </c>
    </row>
    <row r="1306" spans="1:11" ht="22.5" customHeight="1" x14ac:dyDescent="0.25">
      <c r="A1306" s="816" t="s">
        <v>262</v>
      </c>
      <c r="B1306" s="880">
        <v>2025</v>
      </c>
      <c r="C1306" s="816" t="s">
        <v>7746</v>
      </c>
      <c r="D1306" s="816" t="s">
        <v>7747</v>
      </c>
      <c r="E1306" s="816" t="s">
        <v>7772</v>
      </c>
      <c r="F1306" s="826">
        <v>0</v>
      </c>
      <c r="G1306" s="880">
        <v>0</v>
      </c>
      <c r="H1306" s="465"/>
      <c r="I1306" s="465"/>
      <c r="J1306" s="826">
        <v>0</v>
      </c>
      <c r="K1306" s="878">
        <v>0</v>
      </c>
    </row>
    <row r="1307" spans="1:11" ht="22.5" customHeight="1" x14ac:dyDescent="0.25">
      <c r="A1307" s="816" t="s">
        <v>262</v>
      </c>
      <c r="B1307" s="880">
        <v>2025</v>
      </c>
      <c r="C1307" s="816" t="s">
        <v>1857</v>
      </c>
      <c r="D1307" s="816" t="s">
        <v>1858</v>
      </c>
      <c r="E1307" s="816" t="s">
        <v>2603</v>
      </c>
      <c r="F1307" s="826">
        <v>-603597.73</v>
      </c>
      <c r="G1307" s="880">
        <v>0</v>
      </c>
      <c r="H1307" s="465"/>
      <c r="I1307" s="465"/>
      <c r="J1307" s="826">
        <v>0</v>
      </c>
      <c r="K1307" s="878">
        <v>-603597.73</v>
      </c>
    </row>
    <row r="1308" spans="1:11" ht="22.5" customHeight="1" x14ac:dyDescent="0.25">
      <c r="A1308" s="816" t="s">
        <v>262</v>
      </c>
      <c r="B1308" s="880">
        <v>2025</v>
      </c>
      <c r="C1308" s="816" t="s">
        <v>1860</v>
      </c>
      <c r="D1308" s="816" t="s">
        <v>1861</v>
      </c>
      <c r="E1308" s="816" t="s">
        <v>2604</v>
      </c>
      <c r="F1308" s="826">
        <v>-14143612.449999999</v>
      </c>
      <c r="G1308" s="880">
        <v>0</v>
      </c>
      <c r="H1308" s="465"/>
      <c r="I1308" s="465"/>
      <c r="J1308" s="826">
        <v>0</v>
      </c>
      <c r="K1308" s="878">
        <v>-14143612.449999999</v>
      </c>
    </row>
    <row r="1309" spans="1:11" ht="22.5" customHeight="1" x14ac:dyDescent="0.25">
      <c r="A1309" s="816" t="s">
        <v>262</v>
      </c>
      <c r="B1309" s="880">
        <v>2025</v>
      </c>
      <c r="C1309" s="816" t="s">
        <v>1863</v>
      </c>
      <c r="D1309" s="816" t="s">
        <v>1864</v>
      </c>
      <c r="E1309" s="816" t="s">
        <v>2605</v>
      </c>
      <c r="F1309" s="826">
        <v>1856768.03</v>
      </c>
      <c r="G1309" s="880">
        <v>0</v>
      </c>
      <c r="H1309" s="465"/>
      <c r="I1309" s="465"/>
      <c r="J1309" s="826">
        <v>0</v>
      </c>
      <c r="K1309" s="878">
        <v>1856768.03</v>
      </c>
    </row>
    <row r="1310" spans="1:11" ht="22.5" customHeight="1" x14ac:dyDescent="0.25">
      <c r="A1310" s="816" t="s">
        <v>262</v>
      </c>
      <c r="B1310" s="880">
        <v>2025</v>
      </c>
      <c r="C1310" s="816" t="s">
        <v>1866</v>
      </c>
      <c r="D1310" s="816" t="s">
        <v>1867</v>
      </c>
      <c r="E1310" s="816" t="s">
        <v>2606</v>
      </c>
      <c r="F1310" s="826">
        <v>0</v>
      </c>
      <c r="G1310" s="880">
        <v>0</v>
      </c>
      <c r="H1310" s="465"/>
      <c r="I1310" s="465"/>
      <c r="J1310" s="826">
        <v>0</v>
      </c>
      <c r="K1310" s="878">
        <v>0</v>
      </c>
    </row>
    <row r="1311" spans="1:11" ht="22.5" customHeight="1" x14ac:dyDescent="0.25">
      <c r="A1311" s="816" t="s">
        <v>262</v>
      </c>
      <c r="B1311" s="880">
        <v>2025</v>
      </c>
      <c r="C1311" s="816" t="s">
        <v>1869</v>
      </c>
      <c r="D1311" s="816" t="s">
        <v>1870</v>
      </c>
      <c r="E1311" s="816" t="s">
        <v>2607</v>
      </c>
      <c r="F1311" s="826">
        <v>0</v>
      </c>
      <c r="G1311" s="880">
        <v>0</v>
      </c>
      <c r="H1311" s="465"/>
      <c r="I1311" s="465"/>
      <c r="J1311" s="826">
        <v>0</v>
      </c>
      <c r="K1311" s="878">
        <v>0</v>
      </c>
    </row>
    <row r="1312" spans="1:11" ht="22.5" customHeight="1" x14ac:dyDescent="0.25">
      <c r="A1312" s="816" t="s">
        <v>262</v>
      </c>
      <c r="B1312" s="880">
        <v>2025</v>
      </c>
      <c r="C1312" s="816" t="s">
        <v>1872</v>
      </c>
      <c r="D1312" s="816" t="s">
        <v>1873</v>
      </c>
      <c r="E1312" s="816" t="s">
        <v>2608</v>
      </c>
      <c r="F1312" s="826">
        <v>-4827300.97</v>
      </c>
      <c r="G1312" s="880">
        <v>0</v>
      </c>
      <c r="H1312" s="465"/>
      <c r="I1312" s="465"/>
      <c r="J1312" s="826">
        <v>0</v>
      </c>
      <c r="K1312" s="878">
        <v>-4827300.97</v>
      </c>
    </row>
    <row r="1313" spans="1:11" ht="22.5" customHeight="1" x14ac:dyDescent="0.25">
      <c r="A1313" s="816" t="s">
        <v>262</v>
      </c>
      <c r="B1313" s="880">
        <v>2025</v>
      </c>
      <c r="C1313" s="816" t="s">
        <v>1875</v>
      </c>
      <c r="D1313" s="816" t="s">
        <v>1876</v>
      </c>
      <c r="E1313" s="816" t="s">
        <v>2609</v>
      </c>
      <c r="F1313" s="826">
        <v>0</v>
      </c>
      <c r="G1313" s="880">
        <v>0</v>
      </c>
      <c r="H1313" s="465"/>
      <c r="I1313" s="465"/>
      <c r="J1313" s="826">
        <v>0</v>
      </c>
      <c r="K1313" s="878">
        <v>0</v>
      </c>
    </row>
    <row r="1314" spans="1:11" ht="22.5" customHeight="1" x14ac:dyDescent="0.25">
      <c r="A1314" s="816" t="s">
        <v>262</v>
      </c>
      <c r="B1314" s="880">
        <v>2025</v>
      </c>
      <c r="C1314" s="816" t="s">
        <v>1878</v>
      </c>
      <c r="D1314" s="816" t="s">
        <v>1964</v>
      </c>
      <c r="E1314" s="816" t="s">
        <v>2610</v>
      </c>
      <c r="F1314" s="826">
        <v>0</v>
      </c>
      <c r="G1314" s="880">
        <v>0</v>
      </c>
      <c r="H1314" s="465"/>
      <c r="I1314" s="465"/>
      <c r="J1314" s="826">
        <v>0</v>
      </c>
      <c r="K1314" s="878">
        <v>0</v>
      </c>
    </row>
    <row r="1315" spans="1:11" ht="22.5" customHeight="1" x14ac:dyDescent="0.25">
      <c r="A1315" s="816" t="s">
        <v>262</v>
      </c>
      <c r="B1315" s="880">
        <v>2025</v>
      </c>
      <c r="C1315" s="816" t="s">
        <v>1881</v>
      </c>
      <c r="D1315" s="816" t="s">
        <v>1882</v>
      </c>
      <c r="E1315" s="816" t="s">
        <v>2611</v>
      </c>
      <c r="F1315" s="826">
        <v>0</v>
      </c>
      <c r="G1315" s="880">
        <v>0</v>
      </c>
      <c r="H1315" s="465"/>
      <c r="I1315" s="465"/>
      <c r="J1315" s="826">
        <v>0</v>
      </c>
      <c r="K1315" s="878">
        <v>0</v>
      </c>
    </row>
    <row r="1316" spans="1:11" ht="22.5" customHeight="1" x14ac:dyDescent="0.25">
      <c r="A1316" s="816" t="s">
        <v>262</v>
      </c>
      <c r="B1316" s="880">
        <v>2025</v>
      </c>
      <c r="C1316" s="816" t="s">
        <v>1884</v>
      </c>
      <c r="D1316" s="816" t="s">
        <v>1885</v>
      </c>
      <c r="E1316" s="816" t="s">
        <v>2612</v>
      </c>
      <c r="F1316" s="826">
        <v>389630.43</v>
      </c>
      <c r="G1316" s="880">
        <v>0</v>
      </c>
      <c r="H1316" s="465"/>
      <c r="I1316" s="465"/>
      <c r="J1316" s="826">
        <v>0</v>
      </c>
      <c r="K1316" s="878">
        <v>389630.43</v>
      </c>
    </row>
    <row r="1317" spans="1:11" ht="22.5" customHeight="1" x14ac:dyDescent="0.25">
      <c r="A1317" s="816" t="s">
        <v>262</v>
      </c>
      <c r="B1317" s="880">
        <v>2025</v>
      </c>
      <c r="C1317" s="816" t="s">
        <v>1887</v>
      </c>
      <c r="D1317" s="816" t="s">
        <v>138</v>
      </c>
      <c r="E1317" s="816" t="s">
        <v>2613</v>
      </c>
      <c r="F1317" s="826">
        <v>3564735.19</v>
      </c>
      <c r="G1317" s="880">
        <v>1</v>
      </c>
      <c r="H1317" s="826">
        <v>3582768.9</v>
      </c>
      <c r="I1317" s="826">
        <v>-18033.71</v>
      </c>
      <c r="J1317" s="826">
        <v>3564735.19</v>
      </c>
      <c r="K1317" s="878">
        <v>3564735.19</v>
      </c>
    </row>
    <row r="1318" spans="1:11" ht="22.5" customHeight="1" x14ac:dyDescent="0.25">
      <c r="A1318" s="816" t="s">
        <v>262</v>
      </c>
      <c r="B1318" s="880">
        <v>2025</v>
      </c>
      <c r="C1318" s="816" t="s">
        <v>1889</v>
      </c>
      <c r="D1318" s="816" t="s">
        <v>139</v>
      </c>
      <c r="E1318" s="816" t="s">
        <v>2614</v>
      </c>
      <c r="F1318" s="826">
        <v>-3815791.13</v>
      </c>
      <c r="G1318" s="880">
        <v>1</v>
      </c>
      <c r="H1318" s="826">
        <v>-3636597.58</v>
      </c>
      <c r="I1318" s="826">
        <v>-179193.55</v>
      </c>
      <c r="J1318" s="826">
        <v>-3815791.13</v>
      </c>
      <c r="K1318" s="878">
        <v>-3815791.13</v>
      </c>
    </row>
    <row r="1319" spans="1:11" ht="22.5" customHeight="1" x14ac:dyDescent="0.25">
      <c r="A1319" s="816" t="s">
        <v>262</v>
      </c>
      <c r="B1319" s="880">
        <v>2025</v>
      </c>
      <c r="C1319" s="816" t="s">
        <v>1891</v>
      </c>
      <c r="D1319" s="816" t="s">
        <v>1892</v>
      </c>
      <c r="E1319" s="816" t="s">
        <v>2615</v>
      </c>
      <c r="F1319" s="826">
        <v>4442.7</v>
      </c>
      <c r="G1319" s="880">
        <v>0</v>
      </c>
      <c r="H1319" s="465"/>
      <c r="I1319" s="465"/>
      <c r="J1319" s="826">
        <v>0</v>
      </c>
      <c r="K1319" s="878">
        <v>4442.7</v>
      </c>
    </row>
    <row r="1320" spans="1:11" ht="22.5" customHeight="1" x14ac:dyDescent="0.25">
      <c r="A1320" s="816" t="s">
        <v>262</v>
      </c>
      <c r="B1320" s="880">
        <v>2025</v>
      </c>
      <c r="C1320" s="816" t="s">
        <v>1891</v>
      </c>
      <c r="D1320" s="816" t="s">
        <v>1894</v>
      </c>
      <c r="E1320" s="816" t="s">
        <v>2615</v>
      </c>
      <c r="F1320" s="826">
        <v>0</v>
      </c>
      <c r="G1320" s="880">
        <v>0</v>
      </c>
      <c r="H1320" s="465"/>
      <c r="I1320" s="465"/>
      <c r="J1320" s="826">
        <v>0</v>
      </c>
      <c r="K1320" s="881">
        <v>4438.32</v>
      </c>
    </row>
    <row r="1321" spans="1:11" ht="22.5" customHeight="1" x14ac:dyDescent="0.25">
      <c r="A1321" s="816" t="s">
        <v>262</v>
      </c>
      <c r="B1321" s="880">
        <v>2025</v>
      </c>
      <c r="C1321" s="816" t="s">
        <v>1895</v>
      </c>
      <c r="D1321" s="816" t="s">
        <v>1896</v>
      </c>
      <c r="E1321" s="816" t="s">
        <v>2616</v>
      </c>
      <c r="F1321" s="826">
        <v>0</v>
      </c>
      <c r="G1321" s="880">
        <v>0</v>
      </c>
      <c r="H1321" s="465"/>
      <c r="I1321" s="465"/>
      <c r="J1321" s="826">
        <v>0</v>
      </c>
      <c r="K1321" s="878">
        <v>0</v>
      </c>
    </row>
    <row r="1322" spans="1:11" ht="22.5" customHeight="1" x14ac:dyDescent="0.25">
      <c r="A1322" s="816" t="s">
        <v>262</v>
      </c>
      <c r="B1322" s="880">
        <v>2025</v>
      </c>
      <c r="C1322" s="816" t="s">
        <v>1898</v>
      </c>
      <c r="D1322" s="816" t="s">
        <v>1899</v>
      </c>
      <c r="E1322" s="816" t="s">
        <v>2617</v>
      </c>
      <c r="F1322" s="826">
        <v>0</v>
      </c>
      <c r="G1322" s="880">
        <v>0</v>
      </c>
      <c r="H1322" s="465"/>
      <c r="I1322" s="465"/>
      <c r="J1322" s="826">
        <v>0</v>
      </c>
      <c r="K1322" s="878">
        <v>0</v>
      </c>
    </row>
    <row r="1323" spans="1:11" ht="22.5" customHeight="1" x14ac:dyDescent="0.25">
      <c r="A1323" s="816" t="s">
        <v>262</v>
      </c>
      <c r="B1323" s="880">
        <v>2025</v>
      </c>
      <c r="C1323" s="816" t="s">
        <v>1901</v>
      </c>
      <c r="D1323" s="816" t="s">
        <v>1902</v>
      </c>
      <c r="E1323" s="816" t="s">
        <v>2618</v>
      </c>
      <c r="F1323" s="826">
        <v>0</v>
      </c>
      <c r="G1323" s="880">
        <v>0</v>
      </c>
      <c r="H1323" s="465"/>
      <c r="I1323" s="465"/>
      <c r="J1323" s="826">
        <v>0</v>
      </c>
      <c r="K1323" s="878">
        <v>0</v>
      </c>
    </row>
    <row r="1324" spans="1:11" ht="22.5" customHeight="1" x14ac:dyDescent="0.25">
      <c r="A1324" s="816" t="s">
        <v>262</v>
      </c>
      <c r="B1324" s="880">
        <v>2025</v>
      </c>
      <c r="C1324" s="816" t="s">
        <v>1904</v>
      </c>
      <c r="D1324" s="816" t="s">
        <v>1905</v>
      </c>
      <c r="E1324" s="816" t="s">
        <v>2619</v>
      </c>
      <c r="F1324" s="826">
        <v>0</v>
      </c>
      <c r="G1324" s="880">
        <v>0</v>
      </c>
      <c r="H1324" s="465"/>
      <c r="I1324" s="465"/>
      <c r="J1324" s="826">
        <v>0</v>
      </c>
      <c r="K1324" s="878">
        <v>0</v>
      </c>
    </row>
    <row r="1325" spans="1:11" ht="22.5" customHeight="1" x14ac:dyDescent="0.25">
      <c r="A1325" s="816" t="s">
        <v>262</v>
      </c>
      <c r="B1325" s="880">
        <v>2025</v>
      </c>
      <c r="C1325" s="816" t="s">
        <v>1907</v>
      </c>
      <c r="D1325" s="816" t="s">
        <v>1908</v>
      </c>
      <c r="E1325" s="816" t="s">
        <v>2620</v>
      </c>
      <c r="F1325" s="826">
        <v>0</v>
      </c>
      <c r="G1325" s="880">
        <v>0</v>
      </c>
      <c r="H1325" s="465"/>
      <c r="I1325" s="465"/>
      <c r="J1325" s="826">
        <v>0</v>
      </c>
      <c r="K1325" s="878">
        <v>0</v>
      </c>
    </row>
    <row r="1326" spans="1:11" ht="22.5" customHeight="1" x14ac:dyDescent="0.25">
      <c r="A1326" s="816" t="s">
        <v>262</v>
      </c>
      <c r="B1326" s="880">
        <v>2025</v>
      </c>
      <c r="C1326" s="816" t="s">
        <v>1910</v>
      </c>
      <c r="D1326" s="816" t="s">
        <v>1911</v>
      </c>
      <c r="E1326" s="816" t="s">
        <v>2621</v>
      </c>
      <c r="F1326" s="826">
        <v>-6006993.8099999996</v>
      </c>
      <c r="G1326" s="880">
        <v>0</v>
      </c>
      <c r="H1326" s="465"/>
      <c r="I1326" s="465"/>
      <c r="J1326" s="826">
        <v>0</v>
      </c>
      <c r="K1326" s="878">
        <v>-6006993.8099999996</v>
      </c>
    </row>
    <row r="1327" spans="1:11" ht="22.5" customHeight="1" x14ac:dyDescent="0.25">
      <c r="A1327" s="816" t="s">
        <v>262</v>
      </c>
      <c r="B1327" s="880">
        <v>2025</v>
      </c>
      <c r="C1327" s="816" t="s">
        <v>1913</v>
      </c>
      <c r="D1327" s="816" t="s">
        <v>1914</v>
      </c>
      <c r="E1327" s="816" t="s">
        <v>2622</v>
      </c>
      <c r="F1327" s="826">
        <v>-61949302.240000002</v>
      </c>
      <c r="G1327" s="880">
        <v>1</v>
      </c>
      <c r="H1327" s="826">
        <v>-59100691.460000001</v>
      </c>
      <c r="I1327" s="826">
        <v>-2848610.78</v>
      </c>
      <c r="J1327" s="826">
        <v>-61949302.240000002</v>
      </c>
      <c r="K1327" s="878">
        <v>-61949302.240000002</v>
      </c>
    </row>
    <row r="1328" spans="1:11" ht="22.5" customHeight="1" x14ac:dyDescent="0.25">
      <c r="A1328" s="816" t="s">
        <v>262</v>
      </c>
      <c r="B1328" s="880">
        <v>2025</v>
      </c>
      <c r="C1328" s="816" t="s">
        <v>1913</v>
      </c>
      <c r="D1328" s="816" t="s">
        <v>1916</v>
      </c>
      <c r="E1328" s="816" t="s">
        <v>2622</v>
      </c>
      <c r="F1328" s="826">
        <v>0</v>
      </c>
      <c r="G1328" s="880">
        <v>0</v>
      </c>
      <c r="H1328" s="465"/>
      <c r="I1328" s="465"/>
      <c r="J1328" s="826">
        <v>0</v>
      </c>
      <c r="K1328" s="881">
        <v>0</v>
      </c>
    </row>
    <row r="1329" spans="1:11" ht="22.5" customHeight="1" x14ac:dyDescent="0.25">
      <c r="A1329" s="816" t="s">
        <v>262</v>
      </c>
      <c r="B1329" s="880">
        <v>2025</v>
      </c>
      <c r="C1329" s="816" t="s">
        <v>1913</v>
      </c>
      <c r="D1329" s="816" t="s">
        <v>1917</v>
      </c>
      <c r="E1329" s="816" t="s">
        <v>2622</v>
      </c>
      <c r="F1329" s="826">
        <v>0</v>
      </c>
      <c r="G1329" s="880">
        <v>0</v>
      </c>
      <c r="H1329" s="465"/>
      <c r="I1329" s="465"/>
      <c r="J1329" s="826">
        <v>0</v>
      </c>
      <c r="K1329" s="881">
        <v>0</v>
      </c>
    </row>
    <row r="1330" spans="1:11" ht="22.5" customHeight="1" x14ac:dyDescent="0.25">
      <c r="A1330" s="816" t="s">
        <v>262</v>
      </c>
      <c r="B1330" s="880">
        <v>2025</v>
      </c>
      <c r="C1330" s="816" t="s">
        <v>1913</v>
      </c>
      <c r="D1330" s="816" t="s">
        <v>1918</v>
      </c>
      <c r="E1330" s="816" t="s">
        <v>2622</v>
      </c>
      <c r="F1330" s="826">
        <v>0</v>
      </c>
      <c r="G1330" s="880">
        <v>0</v>
      </c>
      <c r="H1330" s="465"/>
      <c r="I1330" s="465"/>
      <c r="J1330" s="826">
        <v>0</v>
      </c>
      <c r="K1330" s="881">
        <v>-20696447.010000002</v>
      </c>
    </row>
    <row r="1331" spans="1:11" ht="22.5" customHeight="1" x14ac:dyDescent="0.25">
      <c r="A1331" s="816" t="s">
        <v>262</v>
      </c>
      <c r="B1331" s="880">
        <v>2025</v>
      </c>
      <c r="C1331" s="816" t="s">
        <v>1913</v>
      </c>
      <c r="D1331" s="816" t="s">
        <v>1919</v>
      </c>
      <c r="E1331" s="816" t="s">
        <v>2622</v>
      </c>
      <c r="F1331" s="826">
        <v>0</v>
      </c>
      <c r="G1331" s="880">
        <v>0</v>
      </c>
      <c r="H1331" s="465"/>
      <c r="I1331" s="465"/>
      <c r="J1331" s="826">
        <v>0</v>
      </c>
      <c r="K1331" s="881">
        <v>8871844.7489999998</v>
      </c>
    </row>
    <row r="1332" spans="1:11" ht="22.5" customHeight="1" x14ac:dyDescent="0.25">
      <c r="A1332" s="816" t="s">
        <v>262</v>
      </c>
      <c r="B1332" s="880">
        <v>2025</v>
      </c>
      <c r="C1332" s="816" t="s">
        <v>1920</v>
      </c>
      <c r="D1332" s="816" t="s">
        <v>1921</v>
      </c>
      <c r="E1332" s="816" t="s">
        <v>2623</v>
      </c>
      <c r="F1332" s="826">
        <v>0</v>
      </c>
      <c r="G1332" s="880">
        <v>0</v>
      </c>
      <c r="H1332" s="465"/>
      <c r="I1332" s="465"/>
      <c r="J1332" s="826">
        <v>0</v>
      </c>
      <c r="K1332" s="878">
        <v>0</v>
      </c>
    </row>
    <row r="1333" spans="1:11" ht="22.5" customHeight="1" x14ac:dyDescent="0.25">
      <c r="A1333" s="816" t="s">
        <v>262</v>
      </c>
      <c r="B1333" s="880">
        <v>2025</v>
      </c>
      <c r="C1333" s="816" t="s">
        <v>1923</v>
      </c>
      <c r="D1333" s="816" t="s">
        <v>143</v>
      </c>
      <c r="E1333" s="816" t="s">
        <v>2624</v>
      </c>
      <c r="F1333" s="826">
        <v>-32973569.859999999</v>
      </c>
      <c r="G1333" s="880">
        <v>1</v>
      </c>
      <c r="H1333" s="826">
        <v>-31176726.129999999</v>
      </c>
      <c r="I1333" s="826">
        <v>-1796843.73</v>
      </c>
      <c r="J1333" s="826">
        <v>-32973569.859999999</v>
      </c>
      <c r="K1333" s="878">
        <v>-32973569.859999999</v>
      </c>
    </row>
    <row r="1334" spans="1:11" ht="22.5" customHeight="1" x14ac:dyDescent="0.25">
      <c r="A1334" s="816" t="s">
        <v>262</v>
      </c>
      <c r="B1334" s="880">
        <v>2025</v>
      </c>
      <c r="C1334" s="816" t="s">
        <v>1925</v>
      </c>
      <c r="D1334" s="816" t="s">
        <v>144</v>
      </c>
      <c r="E1334" s="816" t="s">
        <v>2625</v>
      </c>
      <c r="F1334" s="826">
        <v>-50145940.219999999</v>
      </c>
      <c r="G1334" s="880">
        <v>1</v>
      </c>
      <c r="H1334" s="826">
        <v>-48565256.990000002</v>
      </c>
      <c r="I1334" s="826">
        <v>-1580683.23</v>
      </c>
      <c r="J1334" s="826">
        <v>-50145940.219999999</v>
      </c>
      <c r="K1334" s="878">
        <v>-50145940.219999999</v>
      </c>
    </row>
    <row r="1335" spans="1:11" ht="22.5" customHeight="1" x14ac:dyDescent="0.25">
      <c r="A1335" s="816" t="s">
        <v>262</v>
      </c>
      <c r="B1335" s="880">
        <v>2025</v>
      </c>
      <c r="C1335" s="816" t="s">
        <v>1927</v>
      </c>
      <c r="D1335" s="816" t="s">
        <v>1928</v>
      </c>
      <c r="E1335" s="816" t="s">
        <v>2626</v>
      </c>
      <c r="F1335" s="826">
        <v>-63365990.969999999</v>
      </c>
      <c r="G1335" s="880">
        <v>1</v>
      </c>
      <c r="H1335" s="826">
        <v>-59618529.369999997</v>
      </c>
      <c r="I1335" s="826">
        <v>-3747461.6</v>
      </c>
      <c r="J1335" s="826">
        <v>-63365990.969999999</v>
      </c>
      <c r="K1335" s="878">
        <v>-63365990.969999999</v>
      </c>
    </row>
    <row r="1336" spans="1:11" ht="22.5" customHeight="1" x14ac:dyDescent="0.25">
      <c r="A1336" s="816" t="s">
        <v>262</v>
      </c>
      <c r="B1336" s="880">
        <v>2025</v>
      </c>
      <c r="C1336" s="816" t="s">
        <v>1930</v>
      </c>
      <c r="D1336" s="816" t="s">
        <v>156</v>
      </c>
      <c r="E1336" s="816" t="s">
        <v>2627</v>
      </c>
      <c r="F1336" s="826">
        <v>47533893.280000001</v>
      </c>
      <c r="G1336" s="880">
        <v>1</v>
      </c>
      <c r="H1336" s="826">
        <v>43927203.68</v>
      </c>
      <c r="I1336" s="826">
        <v>3606689.6</v>
      </c>
      <c r="J1336" s="826">
        <v>47533893.280000001</v>
      </c>
      <c r="K1336" s="878">
        <v>47533893.280000001</v>
      </c>
    </row>
    <row r="1337" spans="1:11" ht="22.5" customHeight="1" x14ac:dyDescent="0.25">
      <c r="A1337" s="816" t="s">
        <v>262</v>
      </c>
      <c r="B1337" s="880">
        <v>2025</v>
      </c>
      <c r="C1337" s="816" t="s">
        <v>1932</v>
      </c>
      <c r="D1337" s="816" t="s">
        <v>1983</v>
      </c>
      <c r="E1337" s="816" t="s">
        <v>2628</v>
      </c>
      <c r="F1337" s="826">
        <v>-32510854.629999999</v>
      </c>
      <c r="G1337" s="880">
        <v>0</v>
      </c>
      <c r="H1337" s="465"/>
      <c r="I1337" s="465"/>
      <c r="J1337" s="826">
        <v>0</v>
      </c>
      <c r="K1337" s="878">
        <v>-32510854.629999999</v>
      </c>
    </row>
    <row r="1338" spans="1:11" ht="22.5" customHeight="1" x14ac:dyDescent="0.25">
      <c r="A1338" s="816" t="s">
        <v>262</v>
      </c>
      <c r="B1338" s="880">
        <v>2025</v>
      </c>
      <c r="C1338" s="816" t="s">
        <v>1935</v>
      </c>
      <c r="D1338" s="816" t="s">
        <v>1936</v>
      </c>
      <c r="E1338" s="816" t="s">
        <v>8256</v>
      </c>
      <c r="F1338" s="826">
        <v>0</v>
      </c>
      <c r="G1338" s="880">
        <v>1</v>
      </c>
      <c r="H1338" s="465"/>
      <c r="I1338" s="465"/>
      <c r="J1338" s="826">
        <v>0</v>
      </c>
      <c r="K1338" s="878">
        <v>0</v>
      </c>
    </row>
    <row r="1339" spans="1:11" ht="22.5" customHeight="1" x14ac:dyDescent="0.25">
      <c r="A1339" s="816" t="s">
        <v>262</v>
      </c>
      <c r="B1339" s="880">
        <v>2025</v>
      </c>
      <c r="C1339" s="816" t="s">
        <v>1935</v>
      </c>
      <c r="D1339" s="816" t="s">
        <v>1937</v>
      </c>
      <c r="E1339" s="816" t="s">
        <v>8257</v>
      </c>
      <c r="F1339" s="826">
        <v>0</v>
      </c>
      <c r="G1339" s="880">
        <v>1</v>
      </c>
      <c r="H1339" s="465"/>
      <c r="I1339" s="465"/>
      <c r="J1339" s="826">
        <v>0</v>
      </c>
      <c r="K1339" s="878">
        <v>0</v>
      </c>
    </row>
    <row r="1340" spans="1:11" ht="22.5" customHeight="1" x14ac:dyDescent="0.25">
      <c r="A1340" s="816" t="s">
        <v>262</v>
      </c>
      <c r="B1340" s="880">
        <v>2025</v>
      </c>
      <c r="C1340" s="816" t="s">
        <v>1935</v>
      </c>
      <c r="D1340" s="816" t="s">
        <v>1938</v>
      </c>
      <c r="E1340" s="816" t="s">
        <v>8258</v>
      </c>
      <c r="F1340" s="826">
        <v>0</v>
      </c>
      <c r="G1340" s="880">
        <v>1</v>
      </c>
      <c r="H1340" s="465"/>
      <c r="I1340" s="465"/>
      <c r="J1340" s="826">
        <v>0</v>
      </c>
      <c r="K1340" s="878">
        <v>0</v>
      </c>
    </row>
    <row r="1341" spans="1:11" ht="22.5" customHeight="1" x14ac:dyDescent="0.25">
      <c r="A1341" s="816" t="s">
        <v>262</v>
      </c>
      <c r="B1341" s="880">
        <v>2025</v>
      </c>
      <c r="C1341" s="816" t="s">
        <v>1935</v>
      </c>
      <c r="D1341" s="816" t="s">
        <v>1939</v>
      </c>
      <c r="E1341" s="816" t="s">
        <v>8259</v>
      </c>
      <c r="F1341" s="826">
        <v>0</v>
      </c>
      <c r="G1341" s="880">
        <v>1</v>
      </c>
      <c r="H1341" s="465"/>
      <c r="I1341" s="465"/>
      <c r="J1341" s="826">
        <v>0</v>
      </c>
      <c r="K1341" s="878">
        <v>0</v>
      </c>
    </row>
    <row r="1342" spans="1:11" ht="22.5" customHeight="1" x14ac:dyDescent="0.25">
      <c r="A1342" s="816" t="s">
        <v>262</v>
      </c>
      <c r="B1342" s="880">
        <v>2025</v>
      </c>
      <c r="C1342" s="816" t="s">
        <v>1935</v>
      </c>
      <c r="D1342" s="816" t="s">
        <v>1940</v>
      </c>
      <c r="E1342" s="816" t="s">
        <v>8260</v>
      </c>
      <c r="F1342" s="826">
        <v>0</v>
      </c>
      <c r="G1342" s="880">
        <v>1</v>
      </c>
      <c r="H1342" s="465"/>
      <c r="I1342" s="465"/>
      <c r="J1342" s="826">
        <v>0</v>
      </c>
      <c r="K1342" s="878">
        <v>0</v>
      </c>
    </row>
    <row r="1343" spans="1:11" ht="22.5" customHeight="1" x14ac:dyDescent="0.25">
      <c r="A1343" s="816" t="s">
        <v>262</v>
      </c>
      <c r="B1343" s="880">
        <v>2025</v>
      </c>
      <c r="C1343" s="816" t="s">
        <v>1935</v>
      </c>
      <c r="D1343" s="816" t="s">
        <v>1941</v>
      </c>
      <c r="E1343" s="816" t="s">
        <v>8261</v>
      </c>
      <c r="F1343" s="826">
        <v>0</v>
      </c>
      <c r="G1343" s="880">
        <v>1</v>
      </c>
      <c r="H1343" s="465"/>
      <c r="I1343" s="465"/>
      <c r="J1343" s="826">
        <v>0</v>
      </c>
      <c r="K1343" s="878">
        <v>0</v>
      </c>
    </row>
    <row r="1344" spans="1:11" ht="22.5" customHeight="1" x14ac:dyDescent="0.25">
      <c r="A1344" s="816" t="s">
        <v>262</v>
      </c>
      <c r="B1344" s="880">
        <v>2025</v>
      </c>
      <c r="C1344" s="816" t="s">
        <v>1935</v>
      </c>
      <c r="D1344" s="816" t="s">
        <v>1942</v>
      </c>
      <c r="E1344" s="816" t="s">
        <v>8262</v>
      </c>
      <c r="F1344" s="826">
        <v>0</v>
      </c>
      <c r="G1344" s="880">
        <v>1</v>
      </c>
      <c r="H1344" s="465"/>
      <c r="I1344" s="465"/>
      <c r="J1344" s="826">
        <v>0</v>
      </c>
      <c r="K1344" s="878">
        <v>0</v>
      </c>
    </row>
    <row r="1345" spans="1:11" ht="22.5" customHeight="1" x14ac:dyDescent="0.25">
      <c r="A1345" s="816" t="s">
        <v>262</v>
      </c>
      <c r="B1345" s="880">
        <v>2025</v>
      </c>
      <c r="C1345" s="816" t="s">
        <v>1935</v>
      </c>
      <c r="D1345" s="816" t="s">
        <v>1943</v>
      </c>
      <c r="E1345" s="816" t="s">
        <v>8263</v>
      </c>
      <c r="F1345" s="826">
        <v>0</v>
      </c>
      <c r="G1345" s="880">
        <v>1</v>
      </c>
      <c r="H1345" s="826">
        <v>77471.03</v>
      </c>
      <c r="I1345" s="826">
        <v>-42983.8</v>
      </c>
      <c r="J1345" s="826">
        <v>34487.230000000003</v>
      </c>
      <c r="K1345" s="878">
        <v>34487.230000000003</v>
      </c>
    </row>
    <row r="1346" spans="1:11" ht="22.5" customHeight="1" x14ac:dyDescent="0.25">
      <c r="A1346" s="816" t="s">
        <v>262</v>
      </c>
      <c r="B1346" s="880">
        <v>2025</v>
      </c>
      <c r="C1346" s="816" t="s">
        <v>1935</v>
      </c>
      <c r="D1346" s="816" t="s">
        <v>1944</v>
      </c>
      <c r="E1346" s="816" t="s">
        <v>8264</v>
      </c>
      <c r="F1346" s="826">
        <v>0</v>
      </c>
      <c r="G1346" s="880">
        <v>1</v>
      </c>
      <c r="H1346" s="465"/>
      <c r="I1346" s="465"/>
      <c r="J1346" s="826">
        <v>0</v>
      </c>
      <c r="K1346" s="878">
        <v>0</v>
      </c>
    </row>
    <row r="1347" spans="1:11" ht="22.5" customHeight="1" x14ac:dyDescent="0.25">
      <c r="A1347" s="816" t="s">
        <v>262</v>
      </c>
      <c r="B1347" s="880">
        <v>2025</v>
      </c>
      <c r="C1347" s="816" t="s">
        <v>1935</v>
      </c>
      <c r="D1347" s="816" t="s">
        <v>1945</v>
      </c>
      <c r="E1347" s="816" t="s">
        <v>8265</v>
      </c>
      <c r="F1347" s="826">
        <v>0</v>
      </c>
      <c r="G1347" s="880">
        <v>1</v>
      </c>
      <c r="H1347" s="465"/>
      <c r="I1347" s="465"/>
      <c r="J1347" s="826">
        <v>0</v>
      </c>
      <c r="K1347" s="878">
        <v>0</v>
      </c>
    </row>
    <row r="1348" spans="1:11" ht="22.5" customHeight="1" x14ac:dyDescent="0.25">
      <c r="A1348" s="816" t="s">
        <v>262</v>
      </c>
      <c r="B1348" s="880">
        <v>2025</v>
      </c>
      <c r="C1348" s="816" t="s">
        <v>1935</v>
      </c>
      <c r="D1348" s="816" t="s">
        <v>1946</v>
      </c>
      <c r="E1348" s="816" t="s">
        <v>8266</v>
      </c>
      <c r="F1348" s="826">
        <v>0</v>
      </c>
      <c r="G1348" s="880">
        <v>1</v>
      </c>
      <c r="H1348" s="465"/>
      <c r="I1348" s="465"/>
      <c r="J1348" s="826">
        <v>0</v>
      </c>
      <c r="K1348" s="878">
        <v>0</v>
      </c>
    </row>
    <row r="1349" spans="1:11" ht="22.5" customHeight="1" x14ac:dyDescent="0.25">
      <c r="A1349" s="816" t="s">
        <v>262</v>
      </c>
      <c r="B1349" s="880">
        <v>2025</v>
      </c>
      <c r="C1349" s="816" t="s">
        <v>1935</v>
      </c>
      <c r="D1349" s="816" t="s">
        <v>1947</v>
      </c>
      <c r="E1349" s="816" t="s">
        <v>8267</v>
      </c>
      <c r="F1349" s="826">
        <v>0</v>
      </c>
      <c r="G1349" s="880">
        <v>1</v>
      </c>
      <c r="H1349" s="465"/>
      <c r="I1349" s="465"/>
      <c r="J1349" s="826">
        <v>0</v>
      </c>
      <c r="K1349" s="878">
        <v>0</v>
      </c>
    </row>
    <row r="1350" spans="1:11" ht="22.5" customHeight="1" x14ac:dyDescent="0.25">
      <c r="A1350" s="816" t="s">
        <v>262</v>
      </c>
      <c r="B1350" s="880">
        <v>2025</v>
      </c>
      <c r="C1350" s="816" t="s">
        <v>1935</v>
      </c>
      <c r="D1350" s="816" t="s">
        <v>1948</v>
      </c>
      <c r="E1350" s="816" t="s">
        <v>8268</v>
      </c>
      <c r="F1350" s="826">
        <v>0</v>
      </c>
      <c r="G1350" s="880">
        <v>1</v>
      </c>
      <c r="H1350" s="465"/>
      <c r="I1350" s="465"/>
      <c r="J1350" s="826">
        <v>0</v>
      </c>
      <c r="K1350" s="878">
        <v>0</v>
      </c>
    </row>
    <row r="1351" spans="1:11" ht="22.5" customHeight="1" x14ac:dyDescent="0.25">
      <c r="A1351" s="816" t="s">
        <v>262</v>
      </c>
      <c r="B1351" s="880">
        <v>2025</v>
      </c>
      <c r="C1351" s="816" t="s">
        <v>1935</v>
      </c>
      <c r="D1351" s="816" t="s">
        <v>1949</v>
      </c>
      <c r="E1351" s="816" t="s">
        <v>8269</v>
      </c>
      <c r="F1351" s="826">
        <v>0</v>
      </c>
      <c r="G1351" s="880">
        <v>1</v>
      </c>
      <c r="H1351" s="826">
        <v>-100253432.34999999</v>
      </c>
      <c r="I1351" s="826">
        <v>5086522.17</v>
      </c>
      <c r="J1351" s="826">
        <v>-95166910.180000007</v>
      </c>
      <c r="K1351" s="878">
        <v>-95166910.180000007</v>
      </c>
    </row>
    <row r="1352" spans="1:11" ht="22.5" customHeight="1" x14ac:dyDescent="0.25">
      <c r="A1352" s="816" t="s">
        <v>262</v>
      </c>
      <c r="B1352" s="880">
        <v>2025</v>
      </c>
      <c r="C1352" s="816" t="s">
        <v>1935</v>
      </c>
      <c r="D1352" s="816" t="s">
        <v>1950</v>
      </c>
      <c r="E1352" s="816" t="s">
        <v>8270</v>
      </c>
      <c r="F1352" s="826">
        <v>0</v>
      </c>
      <c r="G1352" s="880">
        <v>1</v>
      </c>
      <c r="H1352" s="826">
        <v>-205540.7</v>
      </c>
      <c r="I1352" s="826">
        <v>201789.35</v>
      </c>
      <c r="J1352" s="826">
        <v>-3751.3500000000099</v>
      </c>
      <c r="K1352" s="878">
        <v>-3751.3500000000099</v>
      </c>
    </row>
    <row r="1353" spans="1:11" ht="22.5" customHeight="1" x14ac:dyDescent="0.25">
      <c r="A1353" s="816" t="s">
        <v>262</v>
      </c>
      <c r="B1353" s="880">
        <v>2025</v>
      </c>
      <c r="C1353" s="816" t="s">
        <v>1935</v>
      </c>
      <c r="D1353" s="816" t="s">
        <v>1951</v>
      </c>
      <c r="E1353" s="816" t="s">
        <v>8271</v>
      </c>
      <c r="F1353" s="826">
        <v>0</v>
      </c>
      <c r="G1353" s="880">
        <v>1</v>
      </c>
      <c r="H1353" s="826">
        <v>-14045119.630000001</v>
      </c>
      <c r="I1353" s="826">
        <v>-9408419.6899999995</v>
      </c>
      <c r="J1353" s="826">
        <v>-23453539.32</v>
      </c>
      <c r="K1353" s="878">
        <v>-23453539.32</v>
      </c>
    </row>
    <row r="1354" spans="1:11" ht="22.5" customHeight="1" x14ac:dyDescent="0.25">
      <c r="A1354" s="816" t="s">
        <v>262</v>
      </c>
      <c r="B1354" s="880">
        <v>2025</v>
      </c>
      <c r="C1354" s="816" t="s">
        <v>1935</v>
      </c>
      <c r="D1354" s="816" t="s">
        <v>7801</v>
      </c>
      <c r="E1354" s="816" t="s">
        <v>8272</v>
      </c>
      <c r="F1354" s="826">
        <v>0</v>
      </c>
      <c r="G1354" s="880">
        <v>1</v>
      </c>
      <c r="H1354" s="826">
        <v>9976848.7300000004</v>
      </c>
      <c r="I1354" s="826">
        <v>-4070792.02</v>
      </c>
      <c r="J1354" s="826">
        <v>5906056.71</v>
      </c>
      <c r="K1354" s="878">
        <v>5906056.71</v>
      </c>
    </row>
    <row r="1355" spans="1:11" ht="22.5" customHeight="1" x14ac:dyDescent="0.25">
      <c r="A1355" s="816" t="s">
        <v>262</v>
      </c>
      <c r="B1355" s="880">
        <v>2025</v>
      </c>
      <c r="C1355" s="816" t="s">
        <v>1935</v>
      </c>
      <c r="D1355" s="816" t="s">
        <v>1952</v>
      </c>
      <c r="E1355" s="816" t="s">
        <v>8273</v>
      </c>
      <c r="F1355" s="826">
        <v>-112683656.91</v>
      </c>
      <c r="G1355" s="880">
        <v>0</v>
      </c>
      <c r="H1355" s="465"/>
      <c r="I1355" s="465"/>
      <c r="J1355" s="826">
        <v>0</v>
      </c>
      <c r="K1355" s="878">
        <v>-112683656.91</v>
      </c>
    </row>
    <row r="1356" spans="1:11" ht="22.5" customHeight="1" x14ac:dyDescent="0.25">
      <c r="A1356" s="816" t="s">
        <v>262</v>
      </c>
      <c r="B1356" s="880">
        <v>2025</v>
      </c>
      <c r="C1356" s="816" t="s">
        <v>1953</v>
      </c>
      <c r="D1356" s="816" t="s">
        <v>1954</v>
      </c>
      <c r="E1356" s="816" t="s">
        <v>2629</v>
      </c>
      <c r="F1356" s="826">
        <v>-29936591.34</v>
      </c>
      <c r="G1356" s="880">
        <v>0</v>
      </c>
      <c r="H1356" s="465"/>
      <c r="I1356" s="465"/>
      <c r="J1356" s="826">
        <v>0</v>
      </c>
      <c r="K1356" s="878">
        <v>-29936591.34</v>
      </c>
    </row>
    <row r="1357" spans="1:11" ht="22.5" customHeight="1" x14ac:dyDescent="0.25">
      <c r="A1357" s="816" t="s">
        <v>1529</v>
      </c>
      <c r="B1357" s="880">
        <v>2025</v>
      </c>
      <c r="C1357" s="816" t="s">
        <v>1854</v>
      </c>
      <c r="D1357" s="816" t="s">
        <v>1855</v>
      </c>
      <c r="E1357" s="816" t="s">
        <v>2630</v>
      </c>
      <c r="F1357" s="826">
        <v>18506860.91</v>
      </c>
      <c r="G1357" s="880">
        <v>0</v>
      </c>
      <c r="H1357" s="465"/>
      <c r="I1357" s="465"/>
      <c r="J1357" s="826">
        <v>0</v>
      </c>
      <c r="K1357" s="878">
        <v>18506860.91</v>
      </c>
    </row>
    <row r="1358" spans="1:11" ht="22.5" customHeight="1" x14ac:dyDescent="0.25">
      <c r="A1358" s="816" t="s">
        <v>1529</v>
      </c>
      <c r="B1358" s="880">
        <v>2025</v>
      </c>
      <c r="C1358" s="816" t="s">
        <v>7746</v>
      </c>
      <c r="D1358" s="816" t="s">
        <v>7747</v>
      </c>
      <c r="E1358" s="816" t="s">
        <v>7773</v>
      </c>
      <c r="F1358" s="826">
        <v>0</v>
      </c>
      <c r="G1358" s="880">
        <v>0</v>
      </c>
      <c r="H1358" s="465"/>
      <c r="I1358" s="465"/>
      <c r="J1358" s="826">
        <v>0</v>
      </c>
      <c r="K1358" s="878">
        <v>0</v>
      </c>
    </row>
    <row r="1359" spans="1:11" ht="22.5" customHeight="1" x14ac:dyDescent="0.25">
      <c r="A1359" s="816" t="s">
        <v>1529</v>
      </c>
      <c r="B1359" s="880">
        <v>2025</v>
      </c>
      <c r="C1359" s="816" t="s">
        <v>1857</v>
      </c>
      <c r="D1359" s="816" t="s">
        <v>1858</v>
      </c>
      <c r="E1359" s="816" t="s">
        <v>2631</v>
      </c>
      <c r="F1359" s="826">
        <v>0</v>
      </c>
      <c r="G1359" s="880">
        <v>0</v>
      </c>
      <c r="H1359" s="465"/>
      <c r="I1359" s="465"/>
      <c r="J1359" s="826">
        <v>0</v>
      </c>
      <c r="K1359" s="878">
        <v>0</v>
      </c>
    </row>
    <row r="1360" spans="1:11" ht="22.5" customHeight="1" x14ac:dyDescent="0.25">
      <c r="A1360" s="816" t="s">
        <v>1529</v>
      </c>
      <c r="B1360" s="880">
        <v>2025</v>
      </c>
      <c r="C1360" s="816" t="s">
        <v>1860</v>
      </c>
      <c r="D1360" s="816" t="s">
        <v>1861</v>
      </c>
      <c r="E1360" s="816" t="s">
        <v>2632</v>
      </c>
      <c r="F1360" s="826">
        <v>0</v>
      </c>
      <c r="G1360" s="880">
        <v>0</v>
      </c>
      <c r="H1360" s="465"/>
      <c r="I1360" s="465"/>
      <c r="J1360" s="826">
        <v>0</v>
      </c>
      <c r="K1360" s="878">
        <v>0</v>
      </c>
    </row>
    <row r="1361" spans="1:11" ht="22.5" customHeight="1" x14ac:dyDescent="0.25">
      <c r="A1361" s="816" t="s">
        <v>1529</v>
      </c>
      <c r="B1361" s="880">
        <v>2025</v>
      </c>
      <c r="C1361" s="816" t="s">
        <v>1863</v>
      </c>
      <c r="D1361" s="816" t="s">
        <v>1864</v>
      </c>
      <c r="E1361" s="816" t="s">
        <v>2633</v>
      </c>
      <c r="F1361" s="826">
        <v>38054616</v>
      </c>
      <c r="G1361" s="880">
        <v>0</v>
      </c>
      <c r="H1361" s="465"/>
      <c r="I1361" s="465"/>
      <c r="J1361" s="826">
        <v>0</v>
      </c>
      <c r="K1361" s="878">
        <v>38054616</v>
      </c>
    </row>
    <row r="1362" spans="1:11" ht="22.5" customHeight="1" x14ac:dyDescent="0.25">
      <c r="A1362" s="816" t="s">
        <v>1529</v>
      </c>
      <c r="B1362" s="880">
        <v>2025</v>
      </c>
      <c r="C1362" s="816" t="s">
        <v>1866</v>
      </c>
      <c r="D1362" s="816" t="s">
        <v>1867</v>
      </c>
      <c r="E1362" s="816" t="s">
        <v>2634</v>
      </c>
      <c r="F1362" s="826">
        <v>0</v>
      </c>
      <c r="G1362" s="880">
        <v>0</v>
      </c>
      <c r="H1362" s="465"/>
      <c r="I1362" s="465"/>
      <c r="J1362" s="826">
        <v>0</v>
      </c>
      <c r="K1362" s="878">
        <v>0</v>
      </c>
    </row>
    <row r="1363" spans="1:11" ht="22.5" customHeight="1" x14ac:dyDescent="0.25">
      <c r="A1363" s="816" t="s">
        <v>1529</v>
      </c>
      <c r="B1363" s="880">
        <v>2025</v>
      </c>
      <c r="C1363" s="816" t="s">
        <v>1869</v>
      </c>
      <c r="D1363" s="816" t="s">
        <v>1870</v>
      </c>
      <c r="E1363" s="816" t="s">
        <v>2635</v>
      </c>
      <c r="F1363" s="826">
        <v>0</v>
      </c>
      <c r="G1363" s="880">
        <v>0</v>
      </c>
      <c r="H1363" s="465"/>
      <c r="I1363" s="465"/>
      <c r="J1363" s="826">
        <v>0</v>
      </c>
      <c r="K1363" s="878">
        <v>0</v>
      </c>
    </row>
    <row r="1364" spans="1:11" ht="22.5" customHeight="1" x14ac:dyDescent="0.25">
      <c r="A1364" s="816" t="s">
        <v>1529</v>
      </c>
      <c r="B1364" s="880">
        <v>2025</v>
      </c>
      <c r="C1364" s="816" t="s">
        <v>1872</v>
      </c>
      <c r="D1364" s="816" t="s">
        <v>1873</v>
      </c>
      <c r="E1364" s="816" t="s">
        <v>2636</v>
      </c>
      <c r="F1364" s="826">
        <v>0</v>
      </c>
      <c r="G1364" s="880">
        <v>0</v>
      </c>
      <c r="H1364" s="465"/>
      <c r="I1364" s="465"/>
      <c r="J1364" s="826">
        <v>0</v>
      </c>
      <c r="K1364" s="878">
        <v>0</v>
      </c>
    </row>
    <row r="1365" spans="1:11" ht="22.5" customHeight="1" x14ac:dyDescent="0.25">
      <c r="A1365" s="816" t="s">
        <v>1529</v>
      </c>
      <c r="B1365" s="880">
        <v>2025</v>
      </c>
      <c r="C1365" s="816" t="s">
        <v>1875</v>
      </c>
      <c r="D1365" s="816" t="s">
        <v>1876</v>
      </c>
      <c r="E1365" s="816" t="s">
        <v>2637</v>
      </c>
      <c r="F1365" s="826">
        <v>0</v>
      </c>
      <c r="G1365" s="880">
        <v>0</v>
      </c>
      <c r="H1365" s="465"/>
      <c r="I1365" s="465"/>
      <c r="J1365" s="826">
        <v>0</v>
      </c>
      <c r="K1365" s="878">
        <v>0</v>
      </c>
    </row>
    <row r="1366" spans="1:11" ht="22.5" customHeight="1" x14ac:dyDescent="0.25">
      <c r="A1366" s="816" t="s">
        <v>1529</v>
      </c>
      <c r="B1366" s="880">
        <v>2025</v>
      </c>
      <c r="C1366" s="816" t="s">
        <v>1878</v>
      </c>
      <c r="D1366" s="816" t="s">
        <v>1964</v>
      </c>
      <c r="E1366" s="816" t="s">
        <v>2638</v>
      </c>
      <c r="F1366" s="826">
        <v>0</v>
      </c>
      <c r="G1366" s="880">
        <v>0</v>
      </c>
      <c r="H1366" s="465"/>
      <c r="I1366" s="465"/>
      <c r="J1366" s="826">
        <v>0</v>
      </c>
      <c r="K1366" s="878">
        <v>0</v>
      </c>
    </row>
    <row r="1367" spans="1:11" ht="22.5" customHeight="1" x14ac:dyDescent="0.25">
      <c r="A1367" s="816" t="s">
        <v>1529</v>
      </c>
      <c r="B1367" s="880">
        <v>2025</v>
      </c>
      <c r="C1367" s="816" t="s">
        <v>1881</v>
      </c>
      <c r="D1367" s="816" t="s">
        <v>1882</v>
      </c>
      <c r="E1367" s="816" t="s">
        <v>2639</v>
      </c>
      <c r="F1367" s="826">
        <v>0</v>
      </c>
      <c r="G1367" s="880">
        <v>0</v>
      </c>
      <c r="H1367" s="465"/>
      <c r="I1367" s="465"/>
      <c r="J1367" s="826">
        <v>0</v>
      </c>
      <c r="K1367" s="878">
        <v>0</v>
      </c>
    </row>
    <row r="1368" spans="1:11" ht="22.5" customHeight="1" x14ac:dyDescent="0.25">
      <c r="A1368" s="816" t="s">
        <v>1529</v>
      </c>
      <c r="B1368" s="880">
        <v>2025</v>
      </c>
      <c r="C1368" s="816" t="s">
        <v>1884</v>
      </c>
      <c r="D1368" s="816" t="s">
        <v>1885</v>
      </c>
      <c r="E1368" s="816" t="s">
        <v>2640</v>
      </c>
      <c r="F1368" s="826">
        <v>0</v>
      </c>
      <c r="G1368" s="880">
        <v>0</v>
      </c>
      <c r="H1368" s="465"/>
      <c r="I1368" s="465"/>
      <c r="J1368" s="826">
        <v>0</v>
      </c>
      <c r="K1368" s="878">
        <v>0</v>
      </c>
    </row>
    <row r="1369" spans="1:11" ht="22.5" customHeight="1" x14ac:dyDescent="0.25">
      <c r="A1369" s="816" t="s">
        <v>1529</v>
      </c>
      <c r="B1369" s="880">
        <v>2025</v>
      </c>
      <c r="C1369" s="816" t="s">
        <v>1887</v>
      </c>
      <c r="D1369" s="816" t="s">
        <v>138</v>
      </c>
      <c r="E1369" s="816" t="s">
        <v>2641</v>
      </c>
      <c r="F1369" s="826">
        <v>0</v>
      </c>
      <c r="G1369" s="880">
        <v>1</v>
      </c>
      <c r="H1369" s="465"/>
      <c r="I1369" s="465"/>
      <c r="J1369" s="826">
        <v>0</v>
      </c>
      <c r="K1369" s="878">
        <v>0</v>
      </c>
    </row>
    <row r="1370" spans="1:11" ht="22.5" customHeight="1" x14ac:dyDescent="0.25">
      <c r="A1370" s="816" t="s">
        <v>1529</v>
      </c>
      <c r="B1370" s="880">
        <v>2025</v>
      </c>
      <c r="C1370" s="816" t="s">
        <v>1889</v>
      </c>
      <c r="D1370" s="816" t="s">
        <v>139</v>
      </c>
      <c r="E1370" s="816" t="s">
        <v>2642</v>
      </c>
      <c r="F1370" s="826">
        <v>0</v>
      </c>
      <c r="G1370" s="880">
        <v>1</v>
      </c>
      <c r="H1370" s="465"/>
      <c r="I1370" s="465"/>
      <c r="J1370" s="826">
        <v>0</v>
      </c>
      <c r="K1370" s="878">
        <v>0</v>
      </c>
    </row>
    <row r="1371" spans="1:11" ht="22.5" customHeight="1" x14ac:dyDescent="0.25">
      <c r="A1371" s="816" t="s">
        <v>1529</v>
      </c>
      <c r="B1371" s="880">
        <v>2025</v>
      </c>
      <c r="C1371" s="816" t="s">
        <v>1891</v>
      </c>
      <c r="D1371" s="816" t="s">
        <v>1892</v>
      </c>
      <c r="E1371" s="816" t="s">
        <v>2643</v>
      </c>
      <c r="F1371" s="826">
        <v>0</v>
      </c>
      <c r="G1371" s="880">
        <v>0</v>
      </c>
      <c r="H1371" s="465"/>
      <c r="I1371" s="465"/>
      <c r="J1371" s="826">
        <v>0</v>
      </c>
      <c r="K1371" s="878">
        <v>0</v>
      </c>
    </row>
    <row r="1372" spans="1:11" ht="22.5" customHeight="1" x14ac:dyDescent="0.25">
      <c r="A1372" s="816" t="s">
        <v>1529</v>
      </c>
      <c r="B1372" s="880">
        <v>2025</v>
      </c>
      <c r="C1372" s="816" t="s">
        <v>1891</v>
      </c>
      <c r="D1372" s="816" t="s">
        <v>1894</v>
      </c>
      <c r="E1372" s="816" t="s">
        <v>2643</v>
      </c>
      <c r="F1372" s="826">
        <v>0</v>
      </c>
      <c r="G1372" s="880">
        <v>0</v>
      </c>
      <c r="H1372" s="465"/>
      <c r="I1372" s="465"/>
      <c r="J1372" s="826">
        <v>0</v>
      </c>
      <c r="K1372" s="881">
        <v>0</v>
      </c>
    </row>
    <row r="1373" spans="1:11" ht="22.5" customHeight="1" x14ac:dyDescent="0.25">
      <c r="A1373" s="816" t="s">
        <v>1529</v>
      </c>
      <c r="B1373" s="880">
        <v>2025</v>
      </c>
      <c r="C1373" s="816" t="s">
        <v>1895</v>
      </c>
      <c r="D1373" s="816" t="s">
        <v>1896</v>
      </c>
      <c r="E1373" s="816" t="s">
        <v>2644</v>
      </c>
      <c r="F1373" s="826">
        <v>0</v>
      </c>
      <c r="G1373" s="880">
        <v>0</v>
      </c>
      <c r="H1373" s="465"/>
      <c r="I1373" s="465"/>
      <c r="J1373" s="826">
        <v>0</v>
      </c>
      <c r="K1373" s="878">
        <v>0</v>
      </c>
    </row>
    <row r="1374" spans="1:11" ht="22.5" customHeight="1" x14ac:dyDescent="0.25">
      <c r="A1374" s="816" t="s">
        <v>1529</v>
      </c>
      <c r="B1374" s="880">
        <v>2025</v>
      </c>
      <c r="C1374" s="816" t="s">
        <v>1898</v>
      </c>
      <c r="D1374" s="816" t="s">
        <v>1899</v>
      </c>
      <c r="E1374" s="816" t="s">
        <v>2645</v>
      </c>
      <c r="F1374" s="826">
        <v>0</v>
      </c>
      <c r="G1374" s="880">
        <v>0</v>
      </c>
      <c r="H1374" s="465"/>
      <c r="I1374" s="465"/>
      <c r="J1374" s="826">
        <v>0</v>
      </c>
      <c r="K1374" s="878">
        <v>0</v>
      </c>
    </row>
    <row r="1375" spans="1:11" ht="22.5" customHeight="1" x14ac:dyDescent="0.25">
      <c r="A1375" s="816" t="s">
        <v>1529</v>
      </c>
      <c r="B1375" s="880">
        <v>2025</v>
      </c>
      <c r="C1375" s="816" t="s">
        <v>1901</v>
      </c>
      <c r="D1375" s="816" t="s">
        <v>1902</v>
      </c>
      <c r="E1375" s="816" t="s">
        <v>2646</v>
      </c>
      <c r="F1375" s="826">
        <v>0</v>
      </c>
      <c r="G1375" s="880">
        <v>0</v>
      </c>
      <c r="H1375" s="465"/>
      <c r="I1375" s="465"/>
      <c r="J1375" s="826">
        <v>0</v>
      </c>
      <c r="K1375" s="878">
        <v>0</v>
      </c>
    </row>
    <row r="1376" spans="1:11" ht="22.5" customHeight="1" x14ac:dyDescent="0.25">
      <c r="A1376" s="816" t="s">
        <v>1529</v>
      </c>
      <c r="B1376" s="880">
        <v>2025</v>
      </c>
      <c r="C1376" s="816" t="s">
        <v>1904</v>
      </c>
      <c r="D1376" s="816" t="s">
        <v>1905</v>
      </c>
      <c r="E1376" s="816" t="s">
        <v>2647</v>
      </c>
      <c r="F1376" s="826">
        <v>0</v>
      </c>
      <c r="G1376" s="880">
        <v>0</v>
      </c>
      <c r="H1376" s="465"/>
      <c r="I1376" s="465"/>
      <c r="J1376" s="826">
        <v>0</v>
      </c>
      <c r="K1376" s="878">
        <v>0</v>
      </c>
    </row>
    <row r="1377" spans="1:11" ht="22.5" customHeight="1" x14ac:dyDescent="0.25">
      <c r="A1377" s="816" t="s">
        <v>1529</v>
      </c>
      <c r="B1377" s="880">
        <v>2025</v>
      </c>
      <c r="C1377" s="816" t="s">
        <v>1907</v>
      </c>
      <c r="D1377" s="816" t="s">
        <v>1908</v>
      </c>
      <c r="E1377" s="816" t="s">
        <v>2648</v>
      </c>
      <c r="F1377" s="826">
        <v>0</v>
      </c>
      <c r="G1377" s="880">
        <v>0</v>
      </c>
      <c r="H1377" s="465"/>
      <c r="I1377" s="465"/>
      <c r="J1377" s="826">
        <v>0</v>
      </c>
      <c r="K1377" s="878">
        <v>0</v>
      </c>
    </row>
    <row r="1378" spans="1:11" ht="22.5" customHeight="1" x14ac:dyDescent="0.25">
      <c r="A1378" s="816" t="s">
        <v>1529</v>
      </c>
      <c r="B1378" s="880">
        <v>2025</v>
      </c>
      <c r="C1378" s="816" t="s">
        <v>1910</v>
      </c>
      <c r="D1378" s="816" t="s">
        <v>1911</v>
      </c>
      <c r="E1378" s="816" t="s">
        <v>2649</v>
      </c>
      <c r="F1378" s="826">
        <v>0</v>
      </c>
      <c r="G1378" s="880">
        <v>0</v>
      </c>
      <c r="H1378" s="465"/>
      <c r="I1378" s="465"/>
      <c r="J1378" s="826">
        <v>0</v>
      </c>
      <c r="K1378" s="878">
        <v>0</v>
      </c>
    </row>
    <row r="1379" spans="1:11" ht="22.5" customHeight="1" x14ac:dyDescent="0.25">
      <c r="A1379" s="816" t="s">
        <v>1529</v>
      </c>
      <c r="B1379" s="880">
        <v>2025</v>
      </c>
      <c r="C1379" s="816" t="s">
        <v>1913</v>
      </c>
      <c r="D1379" s="816" t="s">
        <v>1914</v>
      </c>
      <c r="E1379" s="816" t="s">
        <v>2650</v>
      </c>
      <c r="F1379" s="826">
        <v>0</v>
      </c>
      <c r="G1379" s="880">
        <v>1</v>
      </c>
      <c r="H1379" s="465"/>
      <c r="I1379" s="465"/>
      <c r="J1379" s="826">
        <v>0</v>
      </c>
      <c r="K1379" s="878">
        <v>0</v>
      </c>
    </row>
    <row r="1380" spans="1:11" ht="22.5" customHeight="1" x14ac:dyDescent="0.25">
      <c r="A1380" s="816" t="s">
        <v>1529</v>
      </c>
      <c r="B1380" s="880">
        <v>2025</v>
      </c>
      <c r="C1380" s="816" t="s">
        <v>1913</v>
      </c>
      <c r="D1380" s="816" t="s">
        <v>1916</v>
      </c>
      <c r="E1380" s="816" t="s">
        <v>2650</v>
      </c>
      <c r="F1380" s="826">
        <v>0</v>
      </c>
      <c r="G1380" s="880">
        <v>0</v>
      </c>
      <c r="H1380" s="465"/>
      <c r="I1380" s="465"/>
      <c r="J1380" s="826">
        <v>0</v>
      </c>
      <c r="K1380" s="881">
        <v>0</v>
      </c>
    </row>
    <row r="1381" spans="1:11" ht="22.5" customHeight="1" x14ac:dyDescent="0.25">
      <c r="A1381" s="816" t="s">
        <v>1529</v>
      </c>
      <c r="B1381" s="880">
        <v>2025</v>
      </c>
      <c r="C1381" s="816" t="s">
        <v>1913</v>
      </c>
      <c r="D1381" s="816" t="s">
        <v>1917</v>
      </c>
      <c r="E1381" s="816" t="s">
        <v>2650</v>
      </c>
      <c r="F1381" s="826">
        <v>0</v>
      </c>
      <c r="G1381" s="880">
        <v>0</v>
      </c>
      <c r="H1381" s="465"/>
      <c r="I1381" s="465"/>
      <c r="J1381" s="826">
        <v>0</v>
      </c>
      <c r="K1381" s="881">
        <v>0</v>
      </c>
    </row>
    <row r="1382" spans="1:11" ht="22.5" customHeight="1" x14ac:dyDescent="0.25">
      <c r="A1382" s="816" t="s">
        <v>1529</v>
      </c>
      <c r="B1382" s="880">
        <v>2025</v>
      </c>
      <c r="C1382" s="816" t="s">
        <v>1913</v>
      </c>
      <c r="D1382" s="816" t="s">
        <v>1918</v>
      </c>
      <c r="E1382" s="816" t="s">
        <v>2650</v>
      </c>
      <c r="F1382" s="826">
        <v>0</v>
      </c>
      <c r="G1382" s="880">
        <v>0</v>
      </c>
      <c r="H1382" s="465"/>
      <c r="I1382" s="465"/>
      <c r="J1382" s="826">
        <v>0</v>
      </c>
      <c r="K1382" s="881">
        <v>0</v>
      </c>
    </row>
    <row r="1383" spans="1:11" ht="22.5" customHeight="1" x14ac:dyDescent="0.25">
      <c r="A1383" s="816" t="s">
        <v>1529</v>
      </c>
      <c r="B1383" s="880">
        <v>2025</v>
      </c>
      <c r="C1383" s="816" t="s">
        <v>1913</v>
      </c>
      <c r="D1383" s="816" t="s">
        <v>1919</v>
      </c>
      <c r="E1383" s="816" t="s">
        <v>2650</v>
      </c>
      <c r="F1383" s="826">
        <v>0</v>
      </c>
      <c r="G1383" s="880">
        <v>0</v>
      </c>
      <c r="H1383" s="465"/>
      <c r="I1383" s="465"/>
      <c r="J1383" s="826">
        <v>0</v>
      </c>
      <c r="K1383" s="881">
        <v>0</v>
      </c>
    </row>
    <row r="1384" spans="1:11" ht="22.5" customHeight="1" x14ac:dyDescent="0.25">
      <c r="A1384" s="816" t="s">
        <v>1529</v>
      </c>
      <c r="B1384" s="880">
        <v>2025</v>
      </c>
      <c r="C1384" s="816" t="s">
        <v>1920</v>
      </c>
      <c r="D1384" s="816" t="s">
        <v>1921</v>
      </c>
      <c r="E1384" s="816" t="s">
        <v>2651</v>
      </c>
      <c r="F1384" s="826">
        <v>0</v>
      </c>
      <c r="G1384" s="880">
        <v>0</v>
      </c>
      <c r="H1384" s="465"/>
      <c r="I1384" s="465"/>
      <c r="J1384" s="826">
        <v>0</v>
      </c>
      <c r="K1384" s="878">
        <v>0</v>
      </c>
    </row>
    <row r="1385" spans="1:11" ht="22.5" customHeight="1" x14ac:dyDescent="0.25">
      <c r="A1385" s="816" t="s">
        <v>1529</v>
      </c>
      <c r="B1385" s="880">
        <v>2025</v>
      </c>
      <c r="C1385" s="816" t="s">
        <v>1923</v>
      </c>
      <c r="D1385" s="816" t="s">
        <v>143</v>
      </c>
      <c r="E1385" s="816" t="s">
        <v>2652</v>
      </c>
      <c r="F1385" s="826">
        <v>0</v>
      </c>
      <c r="G1385" s="880">
        <v>1</v>
      </c>
      <c r="H1385" s="465"/>
      <c r="I1385" s="465"/>
      <c r="J1385" s="826">
        <v>0</v>
      </c>
      <c r="K1385" s="878">
        <v>0</v>
      </c>
    </row>
    <row r="1386" spans="1:11" ht="22.5" customHeight="1" x14ac:dyDescent="0.25">
      <c r="A1386" s="816" t="s">
        <v>1529</v>
      </c>
      <c r="B1386" s="880">
        <v>2025</v>
      </c>
      <c r="C1386" s="816" t="s">
        <v>1925</v>
      </c>
      <c r="D1386" s="816" t="s">
        <v>144</v>
      </c>
      <c r="E1386" s="816" t="s">
        <v>2653</v>
      </c>
      <c r="F1386" s="826">
        <v>0</v>
      </c>
      <c r="G1386" s="880">
        <v>1</v>
      </c>
      <c r="H1386" s="465"/>
      <c r="I1386" s="465"/>
      <c r="J1386" s="826">
        <v>0</v>
      </c>
      <c r="K1386" s="878">
        <v>0</v>
      </c>
    </row>
    <row r="1387" spans="1:11" ht="22.5" customHeight="1" x14ac:dyDescent="0.25">
      <c r="A1387" s="816" t="s">
        <v>1529</v>
      </c>
      <c r="B1387" s="880">
        <v>2025</v>
      </c>
      <c r="C1387" s="816" t="s">
        <v>1927</v>
      </c>
      <c r="D1387" s="816" t="s">
        <v>1928</v>
      </c>
      <c r="E1387" s="816" t="s">
        <v>2654</v>
      </c>
      <c r="F1387" s="826">
        <v>0</v>
      </c>
      <c r="G1387" s="880">
        <v>1</v>
      </c>
      <c r="H1387" s="465"/>
      <c r="I1387" s="465"/>
      <c r="J1387" s="826">
        <v>0</v>
      </c>
      <c r="K1387" s="878">
        <v>0</v>
      </c>
    </row>
    <row r="1388" spans="1:11" ht="22.5" customHeight="1" x14ac:dyDescent="0.25">
      <c r="A1388" s="816" t="s">
        <v>1529</v>
      </c>
      <c r="B1388" s="880">
        <v>2025</v>
      </c>
      <c r="C1388" s="816" t="s">
        <v>1930</v>
      </c>
      <c r="D1388" s="816" t="s">
        <v>156</v>
      </c>
      <c r="E1388" s="816" t="s">
        <v>2655</v>
      </c>
      <c r="F1388" s="826">
        <v>0</v>
      </c>
      <c r="G1388" s="880">
        <v>1</v>
      </c>
      <c r="H1388" s="465"/>
      <c r="I1388" s="465"/>
      <c r="J1388" s="826">
        <v>0</v>
      </c>
      <c r="K1388" s="878">
        <v>0</v>
      </c>
    </row>
    <row r="1389" spans="1:11" ht="22.5" customHeight="1" x14ac:dyDescent="0.25">
      <c r="A1389" s="816" t="s">
        <v>1529</v>
      </c>
      <c r="B1389" s="880">
        <v>2025</v>
      </c>
      <c r="C1389" s="816" t="s">
        <v>1932</v>
      </c>
      <c r="D1389" s="816" t="s">
        <v>1983</v>
      </c>
      <c r="E1389" s="816" t="s">
        <v>2656</v>
      </c>
      <c r="F1389" s="826">
        <v>0</v>
      </c>
      <c r="G1389" s="880">
        <v>0</v>
      </c>
      <c r="H1389" s="465"/>
      <c r="I1389" s="465"/>
      <c r="J1389" s="826">
        <v>0</v>
      </c>
      <c r="K1389" s="878">
        <v>0</v>
      </c>
    </row>
    <row r="1390" spans="1:11" ht="22.5" customHeight="1" x14ac:dyDescent="0.25">
      <c r="A1390" s="816" t="s">
        <v>1529</v>
      </c>
      <c r="B1390" s="880">
        <v>2025</v>
      </c>
      <c r="C1390" s="816" t="s">
        <v>1935</v>
      </c>
      <c r="D1390" s="816" t="s">
        <v>1936</v>
      </c>
      <c r="E1390" s="816" t="s">
        <v>8274</v>
      </c>
      <c r="F1390" s="826">
        <v>0</v>
      </c>
      <c r="G1390" s="880">
        <v>1</v>
      </c>
      <c r="H1390" s="465"/>
      <c r="I1390" s="465"/>
      <c r="J1390" s="826">
        <v>0</v>
      </c>
      <c r="K1390" s="878">
        <v>0</v>
      </c>
    </row>
    <row r="1391" spans="1:11" ht="22.5" customHeight="1" x14ac:dyDescent="0.25">
      <c r="A1391" s="816" t="s">
        <v>1529</v>
      </c>
      <c r="B1391" s="880">
        <v>2025</v>
      </c>
      <c r="C1391" s="816" t="s">
        <v>1935</v>
      </c>
      <c r="D1391" s="816" t="s">
        <v>1937</v>
      </c>
      <c r="E1391" s="816" t="s">
        <v>8275</v>
      </c>
      <c r="F1391" s="826">
        <v>0</v>
      </c>
      <c r="G1391" s="880">
        <v>1</v>
      </c>
      <c r="H1391" s="465"/>
      <c r="I1391" s="465"/>
      <c r="J1391" s="826">
        <v>0</v>
      </c>
      <c r="K1391" s="878">
        <v>0</v>
      </c>
    </row>
    <row r="1392" spans="1:11" ht="22.5" customHeight="1" x14ac:dyDescent="0.25">
      <c r="A1392" s="816" t="s">
        <v>1529</v>
      </c>
      <c r="B1392" s="880">
        <v>2025</v>
      </c>
      <c r="C1392" s="816" t="s">
        <v>1935</v>
      </c>
      <c r="D1392" s="816" t="s">
        <v>1938</v>
      </c>
      <c r="E1392" s="816" t="s">
        <v>8276</v>
      </c>
      <c r="F1392" s="826">
        <v>0</v>
      </c>
      <c r="G1392" s="880">
        <v>1</v>
      </c>
      <c r="H1392" s="465"/>
      <c r="I1392" s="465"/>
      <c r="J1392" s="826">
        <v>0</v>
      </c>
      <c r="K1392" s="878">
        <v>0</v>
      </c>
    </row>
    <row r="1393" spans="1:11" ht="22.5" customHeight="1" x14ac:dyDescent="0.25">
      <c r="A1393" s="816" t="s">
        <v>1529</v>
      </c>
      <c r="B1393" s="880">
        <v>2025</v>
      </c>
      <c r="C1393" s="816" t="s">
        <v>1935</v>
      </c>
      <c r="D1393" s="816" t="s">
        <v>1939</v>
      </c>
      <c r="E1393" s="816" t="s">
        <v>8277</v>
      </c>
      <c r="F1393" s="826">
        <v>0</v>
      </c>
      <c r="G1393" s="880">
        <v>1</v>
      </c>
      <c r="H1393" s="465"/>
      <c r="I1393" s="465"/>
      <c r="J1393" s="826">
        <v>0</v>
      </c>
      <c r="K1393" s="878">
        <v>0</v>
      </c>
    </row>
    <row r="1394" spans="1:11" ht="22.5" customHeight="1" x14ac:dyDescent="0.25">
      <c r="A1394" s="816" t="s">
        <v>1529</v>
      </c>
      <c r="B1394" s="880">
        <v>2025</v>
      </c>
      <c r="C1394" s="816" t="s">
        <v>1935</v>
      </c>
      <c r="D1394" s="816" t="s">
        <v>1940</v>
      </c>
      <c r="E1394" s="816" t="s">
        <v>8278</v>
      </c>
      <c r="F1394" s="826">
        <v>0</v>
      </c>
      <c r="G1394" s="880">
        <v>1</v>
      </c>
      <c r="H1394" s="465"/>
      <c r="I1394" s="465"/>
      <c r="J1394" s="826">
        <v>0</v>
      </c>
      <c r="K1394" s="878">
        <v>0</v>
      </c>
    </row>
    <row r="1395" spans="1:11" ht="22.5" customHeight="1" x14ac:dyDescent="0.25">
      <c r="A1395" s="816" t="s">
        <v>1529</v>
      </c>
      <c r="B1395" s="880">
        <v>2025</v>
      </c>
      <c r="C1395" s="816" t="s">
        <v>1935</v>
      </c>
      <c r="D1395" s="816" t="s">
        <v>1941</v>
      </c>
      <c r="E1395" s="816" t="s">
        <v>8279</v>
      </c>
      <c r="F1395" s="826">
        <v>0</v>
      </c>
      <c r="G1395" s="880">
        <v>1</v>
      </c>
      <c r="H1395" s="465"/>
      <c r="I1395" s="465"/>
      <c r="J1395" s="826">
        <v>0</v>
      </c>
      <c r="K1395" s="878">
        <v>0</v>
      </c>
    </row>
    <row r="1396" spans="1:11" ht="22.5" customHeight="1" x14ac:dyDescent="0.25">
      <c r="A1396" s="816" t="s">
        <v>1529</v>
      </c>
      <c r="B1396" s="880">
        <v>2025</v>
      </c>
      <c r="C1396" s="816" t="s">
        <v>1935</v>
      </c>
      <c r="D1396" s="816" t="s">
        <v>1942</v>
      </c>
      <c r="E1396" s="816" t="s">
        <v>8280</v>
      </c>
      <c r="F1396" s="826">
        <v>0</v>
      </c>
      <c r="G1396" s="880">
        <v>1</v>
      </c>
      <c r="H1396" s="465"/>
      <c r="I1396" s="465"/>
      <c r="J1396" s="826">
        <v>0</v>
      </c>
      <c r="K1396" s="878">
        <v>0</v>
      </c>
    </row>
    <row r="1397" spans="1:11" ht="22.5" customHeight="1" x14ac:dyDescent="0.25">
      <c r="A1397" s="816" t="s">
        <v>1529</v>
      </c>
      <c r="B1397" s="880">
        <v>2025</v>
      </c>
      <c r="C1397" s="816" t="s">
        <v>1935</v>
      </c>
      <c r="D1397" s="816" t="s">
        <v>1943</v>
      </c>
      <c r="E1397" s="816" t="s">
        <v>8281</v>
      </c>
      <c r="F1397" s="826">
        <v>0</v>
      </c>
      <c r="G1397" s="880">
        <v>1</v>
      </c>
      <c r="H1397" s="465"/>
      <c r="I1397" s="465"/>
      <c r="J1397" s="826">
        <v>0</v>
      </c>
      <c r="K1397" s="878">
        <v>0</v>
      </c>
    </row>
    <row r="1398" spans="1:11" ht="22.5" customHeight="1" x14ac:dyDescent="0.25">
      <c r="A1398" s="816" t="s">
        <v>1529</v>
      </c>
      <c r="B1398" s="880">
        <v>2025</v>
      </c>
      <c r="C1398" s="816" t="s">
        <v>1935</v>
      </c>
      <c r="D1398" s="816" t="s">
        <v>1944</v>
      </c>
      <c r="E1398" s="816" t="s">
        <v>8282</v>
      </c>
      <c r="F1398" s="826">
        <v>0</v>
      </c>
      <c r="G1398" s="880">
        <v>1</v>
      </c>
      <c r="H1398" s="465"/>
      <c r="I1398" s="465"/>
      <c r="J1398" s="826">
        <v>0</v>
      </c>
      <c r="K1398" s="878">
        <v>0</v>
      </c>
    </row>
    <row r="1399" spans="1:11" ht="22.5" customHeight="1" x14ac:dyDescent="0.25">
      <c r="A1399" s="816" t="s">
        <v>1529</v>
      </c>
      <c r="B1399" s="880">
        <v>2025</v>
      </c>
      <c r="C1399" s="816" t="s">
        <v>1935</v>
      </c>
      <c r="D1399" s="816" t="s">
        <v>1945</v>
      </c>
      <c r="E1399" s="816" t="s">
        <v>8283</v>
      </c>
      <c r="F1399" s="826">
        <v>0</v>
      </c>
      <c r="G1399" s="880">
        <v>1</v>
      </c>
      <c r="H1399" s="465"/>
      <c r="I1399" s="465"/>
      <c r="J1399" s="826">
        <v>0</v>
      </c>
      <c r="K1399" s="878">
        <v>0</v>
      </c>
    </row>
    <row r="1400" spans="1:11" ht="22.5" customHeight="1" x14ac:dyDescent="0.25">
      <c r="A1400" s="816" t="s">
        <v>1529</v>
      </c>
      <c r="B1400" s="880">
        <v>2025</v>
      </c>
      <c r="C1400" s="816" t="s">
        <v>1935</v>
      </c>
      <c r="D1400" s="816" t="s">
        <v>1946</v>
      </c>
      <c r="E1400" s="816" t="s">
        <v>8284</v>
      </c>
      <c r="F1400" s="826">
        <v>0</v>
      </c>
      <c r="G1400" s="880">
        <v>1</v>
      </c>
      <c r="H1400" s="465"/>
      <c r="I1400" s="465"/>
      <c r="J1400" s="826">
        <v>0</v>
      </c>
      <c r="K1400" s="878">
        <v>0</v>
      </c>
    </row>
    <row r="1401" spans="1:11" ht="22.5" customHeight="1" x14ac:dyDescent="0.25">
      <c r="A1401" s="816" t="s">
        <v>1529</v>
      </c>
      <c r="B1401" s="880">
        <v>2025</v>
      </c>
      <c r="C1401" s="816" t="s">
        <v>1935</v>
      </c>
      <c r="D1401" s="816" t="s">
        <v>1947</v>
      </c>
      <c r="E1401" s="816" t="s">
        <v>8285</v>
      </c>
      <c r="F1401" s="826">
        <v>0</v>
      </c>
      <c r="G1401" s="880">
        <v>1</v>
      </c>
      <c r="H1401" s="465"/>
      <c r="I1401" s="465"/>
      <c r="J1401" s="826">
        <v>0</v>
      </c>
      <c r="K1401" s="878">
        <v>0</v>
      </c>
    </row>
    <row r="1402" spans="1:11" ht="22.5" customHeight="1" x14ac:dyDescent="0.25">
      <c r="A1402" s="816" t="s">
        <v>1529</v>
      </c>
      <c r="B1402" s="880">
        <v>2025</v>
      </c>
      <c r="C1402" s="816" t="s">
        <v>1935</v>
      </c>
      <c r="D1402" s="816" t="s">
        <v>1948</v>
      </c>
      <c r="E1402" s="816" t="s">
        <v>8286</v>
      </c>
      <c r="F1402" s="826">
        <v>0</v>
      </c>
      <c r="G1402" s="880">
        <v>1</v>
      </c>
      <c r="H1402" s="465"/>
      <c r="I1402" s="465"/>
      <c r="J1402" s="826">
        <v>0</v>
      </c>
      <c r="K1402" s="878">
        <v>0</v>
      </c>
    </row>
    <row r="1403" spans="1:11" ht="22.5" customHeight="1" x14ac:dyDescent="0.25">
      <c r="A1403" s="816" t="s">
        <v>1529</v>
      </c>
      <c r="B1403" s="880">
        <v>2025</v>
      </c>
      <c r="C1403" s="816" t="s">
        <v>1935</v>
      </c>
      <c r="D1403" s="816" t="s">
        <v>1949</v>
      </c>
      <c r="E1403" s="816" t="s">
        <v>8287</v>
      </c>
      <c r="F1403" s="826">
        <v>0</v>
      </c>
      <c r="G1403" s="880">
        <v>1</v>
      </c>
      <c r="H1403" s="465"/>
      <c r="I1403" s="465"/>
      <c r="J1403" s="826">
        <v>0</v>
      </c>
      <c r="K1403" s="878">
        <v>0</v>
      </c>
    </row>
    <row r="1404" spans="1:11" ht="22.5" customHeight="1" x14ac:dyDescent="0.25">
      <c r="A1404" s="816" t="s">
        <v>1529</v>
      </c>
      <c r="B1404" s="880">
        <v>2025</v>
      </c>
      <c r="C1404" s="816" t="s">
        <v>1935</v>
      </c>
      <c r="D1404" s="816" t="s">
        <v>1950</v>
      </c>
      <c r="E1404" s="816" t="s">
        <v>8288</v>
      </c>
      <c r="F1404" s="826">
        <v>0</v>
      </c>
      <c r="G1404" s="880">
        <v>1</v>
      </c>
      <c r="H1404" s="465"/>
      <c r="I1404" s="465"/>
      <c r="J1404" s="826">
        <v>0</v>
      </c>
      <c r="K1404" s="878">
        <v>0</v>
      </c>
    </row>
    <row r="1405" spans="1:11" ht="22.5" customHeight="1" x14ac:dyDescent="0.25">
      <c r="A1405" s="816" t="s">
        <v>1529</v>
      </c>
      <c r="B1405" s="880">
        <v>2025</v>
      </c>
      <c r="C1405" s="816" t="s">
        <v>1935</v>
      </c>
      <c r="D1405" s="816" t="s">
        <v>1951</v>
      </c>
      <c r="E1405" s="816" t="s">
        <v>8289</v>
      </c>
      <c r="F1405" s="826">
        <v>0</v>
      </c>
      <c r="G1405" s="880">
        <v>1</v>
      </c>
      <c r="H1405" s="465"/>
      <c r="I1405" s="465"/>
      <c r="J1405" s="826">
        <v>0</v>
      </c>
      <c r="K1405" s="878">
        <v>0</v>
      </c>
    </row>
    <row r="1406" spans="1:11" ht="22.5" customHeight="1" x14ac:dyDescent="0.25">
      <c r="A1406" s="816" t="s">
        <v>1529</v>
      </c>
      <c r="B1406" s="880">
        <v>2025</v>
      </c>
      <c r="C1406" s="816" t="s">
        <v>1935</v>
      </c>
      <c r="D1406" s="816" t="s">
        <v>7801</v>
      </c>
      <c r="E1406" s="816" t="s">
        <v>8290</v>
      </c>
      <c r="F1406" s="826">
        <v>0</v>
      </c>
      <c r="G1406" s="880">
        <v>1</v>
      </c>
      <c r="H1406" s="465"/>
      <c r="I1406" s="465"/>
      <c r="J1406" s="826">
        <v>0</v>
      </c>
      <c r="K1406" s="878">
        <v>0</v>
      </c>
    </row>
    <row r="1407" spans="1:11" ht="22.5" customHeight="1" x14ac:dyDescent="0.25">
      <c r="A1407" s="816" t="s">
        <v>1529</v>
      </c>
      <c r="B1407" s="880">
        <v>2025</v>
      </c>
      <c r="C1407" s="816" t="s">
        <v>1935</v>
      </c>
      <c r="D1407" s="816" t="s">
        <v>1952</v>
      </c>
      <c r="E1407" s="816" t="s">
        <v>8291</v>
      </c>
      <c r="F1407" s="826">
        <v>0</v>
      </c>
      <c r="G1407" s="880">
        <v>0</v>
      </c>
      <c r="H1407" s="465"/>
      <c r="I1407" s="465"/>
      <c r="J1407" s="826">
        <v>0</v>
      </c>
      <c r="K1407" s="878">
        <v>0</v>
      </c>
    </row>
    <row r="1408" spans="1:11" ht="22.5" customHeight="1" x14ac:dyDescent="0.25">
      <c r="A1408" s="816" t="s">
        <v>1529</v>
      </c>
      <c r="B1408" s="880">
        <v>2025</v>
      </c>
      <c r="C1408" s="816" t="s">
        <v>1953</v>
      </c>
      <c r="D1408" s="816" t="s">
        <v>1954</v>
      </c>
      <c r="E1408" s="816" t="s">
        <v>2657</v>
      </c>
      <c r="F1408" s="826">
        <v>0</v>
      </c>
      <c r="G1408" s="880">
        <v>0</v>
      </c>
      <c r="H1408" s="465"/>
      <c r="I1408" s="465"/>
      <c r="J1408" s="826">
        <v>0</v>
      </c>
      <c r="K1408" s="878">
        <v>0</v>
      </c>
    </row>
    <row r="1409" spans="1:11" ht="22.5" customHeight="1" x14ac:dyDescent="0.25">
      <c r="A1409" s="816" t="s">
        <v>265</v>
      </c>
      <c r="B1409" s="880">
        <v>2025</v>
      </c>
      <c r="C1409" s="816" t="s">
        <v>1854</v>
      </c>
      <c r="D1409" s="816" t="s">
        <v>1855</v>
      </c>
      <c r="E1409" s="816" t="s">
        <v>2658</v>
      </c>
      <c r="F1409" s="826">
        <v>711874.12</v>
      </c>
      <c r="G1409" s="880">
        <v>0</v>
      </c>
      <c r="H1409" s="465"/>
      <c r="I1409" s="465"/>
      <c r="J1409" s="826">
        <v>0</v>
      </c>
      <c r="K1409" s="878">
        <v>711874.12</v>
      </c>
    </row>
    <row r="1410" spans="1:11" ht="22.5" customHeight="1" x14ac:dyDescent="0.25">
      <c r="A1410" s="816" t="s">
        <v>265</v>
      </c>
      <c r="B1410" s="880">
        <v>2025</v>
      </c>
      <c r="C1410" s="816" t="s">
        <v>7746</v>
      </c>
      <c r="D1410" s="816" t="s">
        <v>7747</v>
      </c>
      <c r="E1410" s="816" t="s">
        <v>7774</v>
      </c>
      <c r="F1410" s="826">
        <v>0</v>
      </c>
      <c r="G1410" s="880">
        <v>0</v>
      </c>
      <c r="H1410" s="465"/>
      <c r="I1410" s="465"/>
      <c r="J1410" s="826">
        <v>0</v>
      </c>
      <c r="K1410" s="878">
        <v>0</v>
      </c>
    </row>
    <row r="1411" spans="1:11" ht="22.5" customHeight="1" x14ac:dyDescent="0.25">
      <c r="A1411" s="816" t="s">
        <v>265</v>
      </c>
      <c r="B1411" s="880">
        <v>2025</v>
      </c>
      <c r="C1411" s="816" t="s">
        <v>1857</v>
      </c>
      <c r="D1411" s="816" t="s">
        <v>1858</v>
      </c>
      <c r="E1411" s="816" t="s">
        <v>2659</v>
      </c>
      <c r="F1411" s="826">
        <v>0</v>
      </c>
      <c r="G1411" s="880">
        <v>0</v>
      </c>
      <c r="H1411" s="465"/>
      <c r="I1411" s="465"/>
      <c r="J1411" s="826">
        <v>0</v>
      </c>
      <c r="K1411" s="878">
        <v>0</v>
      </c>
    </row>
    <row r="1412" spans="1:11" ht="22.5" customHeight="1" x14ac:dyDescent="0.25">
      <c r="A1412" s="816" t="s">
        <v>265</v>
      </c>
      <c r="B1412" s="880">
        <v>2025</v>
      </c>
      <c r="C1412" s="816" t="s">
        <v>1860</v>
      </c>
      <c r="D1412" s="816" t="s">
        <v>1861</v>
      </c>
      <c r="E1412" s="816" t="s">
        <v>2660</v>
      </c>
      <c r="F1412" s="826">
        <v>-100891.18</v>
      </c>
      <c r="G1412" s="880">
        <v>0</v>
      </c>
      <c r="H1412" s="465"/>
      <c r="I1412" s="465"/>
      <c r="J1412" s="826">
        <v>0</v>
      </c>
      <c r="K1412" s="878">
        <v>-100891.18</v>
      </c>
    </row>
    <row r="1413" spans="1:11" ht="22.5" customHeight="1" x14ac:dyDescent="0.25">
      <c r="A1413" s="816" t="s">
        <v>265</v>
      </c>
      <c r="B1413" s="880">
        <v>2025</v>
      </c>
      <c r="C1413" s="816" t="s">
        <v>1863</v>
      </c>
      <c r="D1413" s="816" t="s">
        <v>1864</v>
      </c>
      <c r="E1413" s="816" t="s">
        <v>2661</v>
      </c>
      <c r="F1413" s="826">
        <v>0</v>
      </c>
      <c r="G1413" s="880">
        <v>0</v>
      </c>
      <c r="H1413" s="465"/>
      <c r="I1413" s="465"/>
      <c r="J1413" s="826">
        <v>0</v>
      </c>
      <c r="K1413" s="878">
        <v>0</v>
      </c>
    </row>
    <row r="1414" spans="1:11" ht="22.5" customHeight="1" x14ac:dyDescent="0.25">
      <c r="A1414" s="816" t="s">
        <v>265</v>
      </c>
      <c r="B1414" s="880">
        <v>2025</v>
      </c>
      <c r="C1414" s="816" t="s">
        <v>1866</v>
      </c>
      <c r="D1414" s="816" t="s">
        <v>1867</v>
      </c>
      <c r="E1414" s="816" t="s">
        <v>2662</v>
      </c>
      <c r="F1414" s="826">
        <v>0</v>
      </c>
      <c r="G1414" s="880">
        <v>0</v>
      </c>
      <c r="H1414" s="465"/>
      <c r="I1414" s="465"/>
      <c r="J1414" s="826">
        <v>0</v>
      </c>
      <c r="K1414" s="878">
        <v>0</v>
      </c>
    </row>
    <row r="1415" spans="1:11" ht="22.5" customHeight="1" x14ac:dyDescent="0.25">
      <c r="A1415" s="816" t="s">
        <v>265</v>
      </c>
      <c r="B1415" s="880">
        <v>2025</v>
      </c>
      <c r="C1415" s="816" t="s">
        <v>1869</v>
      </c>
      <c r="D1415" s="816" t="s">
        <v>1870</v>
      </c>
      <c r="E1415" s="816" t="s">
        <v>2663</v>
      </c>
      <c r="F1415" s="826">
        <v>0</v>
      </c>
      <c r="G1415" s="880">
        <v>0</v>
      </c>
      <c r="H1415" s="465"/>
      <c r="I1415" s="465"/>
      <c r="J1415" s="826">
        <v>0</v>
      </c>
      <c r="K1415" s="878">
        <v>0</v>
      </c>
    </row>
    <row r="1416" spans="1:11" ht="22.5" customHeight="1" x14ac:dyDescent="0.25">
      <c r="A1416" s="816" t="s">
        <v>265</v>
      </c>
      <c r="B1416" s="880">
        <v>2025</v>
      </c>
      <c r="C1416" s="816" t="s">
        <v>1872</v>
      </c>
      <c r="D1416" s="816" t="s">
        <v>1873</v>
      </c>
      <c r="E1416" s="816" t="s">
        <v>2664</v>
      </c>
      <c r="F1416" s="826">
        <v>0</v>
      </c>
      <c r="G1416" s="880">
        <v>0</v>
      </c>
      <c r="H1416" s="465"/>
      <c r="I1416" s="465"/>
      <c r="J1416" s="826">
        <v>0</v>
      </c>
      <c r="K1416" s="878">
        <v>0</v>
      </c>
    </row>
    <row r="1417" spans="1:11" ht="22.5" customHeight="1" x14ac:dyDescent="0.25">
      <c r="A1417" s="816" t="s">
        <v>265</v>
      </c>
      <c r="B1417" s="880">
        <v>2025</v>
      </c>
      <c r="C1417" s="816" t="s">
        <v>1875</v>
      </c>
      <c r="D1417" s="816" t="s">
        <v>1876</v>
      </c>
      <c r="E1417" s="816" t="s">
        <v>2665</v>
      </c>
      <c r="F1417" s="826">
        <v>0</v>
      </c>
      <c r="G1417" s="880">
        <v>0</v>
      </c>
      <c r="H1417" s="465"/>
      <c r="I1417" s="465"/>
      <c r="J1417" s="826">
        <v>0</v>
      </c>
      <c r="K1417" s="878">
        <v>0</v>
      </c>
    </row>
    <row r="1418" spans="1:11" ht="22.5" customHeight="1" x14ac:dyDescent="0.25">
      <c r="A1418" s="816" t="s">
        <v>265</v>
      </c>
      <c r="B1418" s="880">
        <v>2025</v>
      </c>
      <c r="C1418" s="816" t="s">
        <v>1878</v>
      </c>
      <c r="D1418" s="816" t="s">
        <v>1879</v>
      </c>
      <c r="E1418" s="816" t="s">
        <v>2666</v>
      </c>
      <c r="F1418" s="826">
        <v>0</v>
      </c>
      <c r="G1418" s="880">
        <v>0</v>
      </c>
      <c r="H1418" s="465"/>
      <c r="I1418" s="465"/>
      <c r="J1418" s="826">
        <v>0</v>
      </c>
      <c r="K1418" s="878">
        <v>0</v>
      </c>
    </row>
    <row r="1419" spans="1:11" ht="22.5" customHeight="1" x14ac:dyDescent="0.25">
      <c r="A1419" s="816" t="s">
        <v>265</v>
      </c>
      <c r="B1419" s="880">
        <v>2025</v>
      </c>
      <c r="C1419" s="816" t="s">
        <v>1881</v>
      </c>
      <c r="D1419" s="816" t="s">
        <v>1882</v>
      </c>
      <c r="E1419" s="816" t="s">
        <v>2667</v>
      </c>
      <c r="F1419" s="826">
        <v>0</v>
      </c>
      <c r="G1419" s="880">
        <v>0</v>
      </c>
      <c r="H1419" s="465"/>
      <c r="I1419" s="465"/>
      <c r="J1419" s="826">
        <v>0</v>
      </c>
      <c r="K1419" s="878">
        <v>0</v>
      </c>
    </row>
    <row r="1420" spans="1:11" ht="22.5" customHeight="1" x14ac:dyDescent="0.25">
      <c r="A1420" s="816" t="s">
        <v>265</v>
      </c>
      <c r="B1420" s="880">
        <v>2025</v>
      </c>
      <c r="C1420" s="816" t="s">
        <v>1884</v>
      </c>
      <c r="D1420" s="816" t="s">
        <v>1885</v>
      </c>
      <c r="E1420" s="816" t="s">
        <v>2668</v>
      </c>
      <c r="F1420" s="826">
        <v>0</v>
      </c>
      <c r="G1420" s="880">
        <v>0</v>
      </c>
      <c r="H1420" s="465"/>
      <c r="I1420" s="465"/>
      <c r="J1420" s="826">
        <v>0</v>
      </c>
      <c r="K1420" s="878">
        <v>0</v>
      </c>
    </row>
    <row r="1421" spans="1:11" ht="22.5" customHeight="1" x14ac:dyDescent="0.25">
      <c r="A1421" s="816" t="s">
        <v>265</v>
      </c>
      <c r="B1421" s="880">
        <v>2025</v>
      </c>
      <c r="C1421" s="816" t="s">
        <v>1887</v>
      </c>
      <c r="D1421" s="816" t="s">
        <v>138</v>
      </c>
      <c r="E1421" s="816" t="s">
        <v>2669</v>
      </c>
      <c r="F1421" s="826">
        <v>57139.75</v>
      </c>
      <c r="G1421" s="880">
        <v>1</v>
      </c>
      <c r="H1421" s="826">
        <v>55521.84</v>
      </c>
      <c r="I1421" s="826">
        <v>1617.91</v>
      </c>
      <c r="J1421" s="826">
        <v>57139.75</v>
      </c>
      <c r="K1421" s="878">
        <v>57139.75</v>
      </c>
    </row>
    <row r="1422" spans="1:11" ht="22.5" customHeight="1" x14ac:dyDescent="0.25">
      <c r="A1422" s="816" t="s">
        <v>265</v>
      </c>
      <c r="B1422" s="880">
        <v>2025</v>
      </c>
      <c r="C1422" s="816" t="s">
        <v>1889</v>
      </c>
      <c r="D1422" s="816" t="s">
        <v>139</v>
      </c>
      <c r="E1422" s="816" t="s">
        <v>2670</v>
      </c>
      <c r="F1422" s="826">
        <v>-1080334.71</v>
      </c>
      <c r="G1422" s="880">
        <v>1</v>
      </c>
      <c r="H1422" s="826">
        <v>-1024881.7</v>
      </c>
      <c r="I1422" s="826">
        <v>-55453.01</v>
      </c>
      <c r="J1422" s="826">
        <v>-1080334.71</v>
      </c>
      <c r="K1422" s="878">
        <v>-1080334.71</v>
      </c>
    </row>
    <row r="1423" spans="1:11" ht="22.5" customHeight="1" x14ac:dyDescent="0.25">
      <c r="A1423" s="816" t="s">
        <v>265</v>
      </c>
      <c r="B1423" s="880">
        <v>2025</v>
      </c>
      <c r="C1423" s="816" t="s">
        <v>1891</v>
      </c>
      <c r="D1423" s="816" t="s">
        <v>1892</v>
      </c>
      <c r="E1423" s="816" t="s">
        <v>2671</v>
      </c>
      <c r="F1423" s="826">
        <v>0</v>
      </c>
      <c r="G1423" s="880">
        <v>0</v>
      </c>
      <c r="H1423" s="465"/>
      <c r="I1423" s="465"/>
      <c r="J1423" s="826">
        <v>0</v>
      </c>
      <c r="K1423" s="878">
        <v>0</v>
      </c>
    </row>
    <row r="1424" spans="1:11" ht="22.5" customHeight="1" x14ac:dyDescent="0.25">
      <c r="A1424" s="816" t="s">
        <v>265</v>
      </c>
      <c r="B1424" s="880">
        <v>2025</v>
      </c>
      <c r="C1424" s="816" t="s">
        <v>1891</v>
      </c>
      <c r="D1424" s="816" t="s">
        <v>1894</v>
      </c>
      <c r="E1424" s="816" t="s">
        <v>2671</v>
      </c>
      <c r="F1424" s="826">
        <v>0</v>
      </c>
      <c r="G1424" s="880">
        <v>0</v>
      </c>
      <c r="H1424" s="465"/>
      <c r="I1424" s="465"/>
      <c r="J1424" s="826">
        <v>0</v>
      </c>
      <c r="K1424" s="881">
        <v>0</v>
      </c>
    </row>
    <row r="1425" spans="1:11" ht="22.5" customHeight="1" x14ac:dyDescent="0.25">
      <c r="A1425" s="816" t="s">
        <v>265</v>
      </c>
      <c r="B1425" s="880">
        <v>2025</v>
      </c>
      <c r="C1425" s="816" t="s">
        <v>1895</v>
      </c>
      <c r="D1425" s="816" t="s">
        <v>1896</v>
      </c>
      <c r="E1425" s="816" t="s">
        <v>2672</v>
      </c>
      <c r="F1425" s="826">
        <v>0</v>
      </c>
      <c r="G1425" s="880">
        <v>0</v>
      </c>
      <c r="H1425" s="465"/>
      <c r="I1425" s="465"/>
      <c r="J1425" s="826">
        <v>0</v>
      </c>
      <c r="K1425" s="878">
        <v>0</v>
      </c>
    </row>
    <row r="1426" spans="1:11" ht="22.5" customHeight="1" x14ac:dyDescent="0.25">
      <c r="A1426" s="816" t="s">
        <v>265</v>
      </c>
      <c r="B1426" s="880">
        <v>2025</v>
      </c>
      <c r="C1426" s="816" t="s">
        <v>1898</v>
      </c>
      <c r="D1426" s="816" t="s">
        <v>1899</v>
      </c>
      <c r="E1426" s="816" t="s">
        <v>2673</v>
      </c>
      <c r="F1426" s="826">
        <v>-433562.6</v>
      </c>
      <c r="G1426" s="880">
        <v>0</v>
      </c>
      <c r="H1426" s="465"/>
      <c r="I1426" s="465"/>
      <c r="J1426" s="826">
        <v>0</v>
      </c>
      <c r="K1426" s="878">
        <v>-433562.6</v>
      </c>
    </row>
    <row r="1427" spans="1:11" ht="22.5" customHeight="1" x14ac:dyDescent="0.25">
      <c r="A1427" s="816" t="s">
        <v>265</v>
      </c>
      <c r="B1427" s="880">
        <v>2025</v>
      </c>
      <c r="C1427" s="816" t="s">
        <v>1901</v>
      </c>
      <c r="D1427" s="816" t="s">
        <v>1902</v>
      </c>
      <c r="E1427" s="816" t="s">
        <v>2674</v>
      </c>
      <c r="F1427" s="826">
        <v>0</v>
      </c>
      <c r="G1427" s="880">
        <v>0</v>
      </c>
      <c r="H1427" s="465"/>
      <c r="I1427" s="465"/>
      <c r="J1427" s="826">
        <v>0</v>
      </c>
      <c r="K1427" s="878">
        <v>0</v>
      </c>
    </row>
    <row r="1428" spans="1:11" ht="22.5" customHeight="1" x14ac:dyDescent="0.25">
      <c r="A1428" s="816" t="s">
        <v>265</v>
      </c>
      <c r="B1428" s="880">
        <v>2025</v>
      </c>
      <c r="C1428" s="816" t="s">
        <v>1904</v>
      </c>
      <c r="D1428" s="816" t="s">
        <v>1905</v>
      </c>
      <c r="E1428" s="816" t="s">
        <v>2675</v>
      </c>
      <c r="F1428" s="826">
        <v>0</v>
      </c>
      <c r="G1428" s="880">
        <v>0</v>
      </c>
      <c r="H1428" s="465"/>
      <c r="I1428" s="465"/>
      <c r="J1428" s="826">
        <v>0</v>
      </c>
      <c r="K1428" s="878">
        <v>0</v>
      </c>
    </row>
    <row r="1429" spans="1:11" ht="22.5" customHeight="1" x14ac:dyDescent="0.25">
      <c r="A1429" s="816" t="s">
        <v>265</v>
      </c>
      <c r="B1429" s="880">
        <v>2025</v>
      </c>
      <c r="C1429" s="816" t="s">
        <v>1907</v>
      </c>
      <c r="D1429" s="816" t="s">
        <v>1908</v>
      </c>
      <c r="E1429" s="816" t="s">
        <v>2676</v>
      </c>
      <c r="F1429" s="826">
        <v>0</v>
      </c>
      <c r="G1429" s="880">
        <v>0</v>
      </c>
      <c r="H1429" s="465"/>
      <c r="I1429" s="465"/>
      <c r="J1429" s="826">
        <v>0</v>
      </c>
      <c r="K1429" s="878">
        <v>0</v>
      </c>
    </row>
    <row r="1430" spans="1:11" ht="22.5" customHeight="1" x14ac:dyDescent="0.25">
      <c r="A1430" s="816" t="s">
        <v>265</v>
      </c>
      <c r="B1430" s="880">
        <v>2025</v>
      </c>
      <c r="C1430" s="816" t="s">
        <v>1910</v>
      </c>
      <c r="D1430" s="816" t="s">
        <v>1911</v>
      </c>
      <c r="E1430" s="816" t="s">
        <v>2677</v>
      </c>
      <c r="F1430" s="826">
        <v>0</v>
      </c>
      <c r="G1430" s="880">
        <v>0</v>
      </c>
      <c r="H1430" s="465"/>
      <c r="I1430" s="465"/>
      <c r="J1430" s="826">
        <v>0</v>
      </c>
      <c r="K1430" s="878">
        <v>0</v>
      </c>
    </row>
    <row r="1431" spans="1:11" ht="22.5" customHeight="1" x14ac:dyDescent="0.25">
      <c r="A1431" s="816" t="s">
        <v>265</v>
      </c>
      <c r="B1431" s="880">
        <v>2025</v>
      </c>
      <c r="C1431" s="816" t="s">
        <v>1913</v>
      </c>
      <c r="D1431" s="816" t="s">
        <v>1914</v>
      </c>
      <c r="E1431" s="816" t="s">
        <v>2678</v>
      </c>
      <c r="F1431" s="826">
        <v>-9227296.6699999999</v>
      </c>
      <c r="G1431" s="880">
        <v>1</v>
      </c>
      <c r="H1431" s="826">
        <v>-8647330.9499999993</v>
      </c>
      <c r="I1431" s="826">
        <v>-579965.72</v>
      </c>
      <c r="J1431" s="826">
        <v>-9227296.6699999999</v>
      </c>
      <c r="K1431" s="878">
        <v>-9227296.6699999999</v>
      </c>
    </row>
    <row r="1432" spans="1:11" ht="22.5" customHeight="1" x14ac:dyDescent="0.25">
      <c r="A1432" s="816" t="s">
        <v>265</v>
      </c>
      <c r="B1432" s="880">
        <v>2025</v>
      </c>
      <c r="C1432" s="816" t="s">
        <v>1913</v>
      </c>
      <c r="D1432" s="816" t="s">
        <v>1916</v>
      </c>
      <c r="E1432" s="816" t="s">
        <v>2678</v>
      </c>
      <c r="F1432" s="826">
        <v>0</v>
      </c>
      <c r="G1432" s="880">
        <v>0</v>
      </c>
      <c r="H1432" s="465"/>
      <c r="I1432" s="465"/>
      <c r="J1432" s="826">
        <v>0</v>
      </c>
      <c r="K1432" s="881">
        <v>0</v>
      </c>
    </row>
    <row r="1433" spans="1:11" ht="22.5" customHeight="1" x14ac:dyDescent="0.25">
      <c r="A1433" s="816" t="s">
        <v>265</v>
      </c>
      <c r="B1433" s="880">
        <v>2025</v>
      </c>
      <c r="C1433" s="816" t="s">
        <v>1913</v>
      </c>
      <c r="D1433" s="816" t="s">
        <v>1917</v>
      </c>
      <c r="E1433" s="816" t="s">
        <v>2678</v>
      </c>
      <c r="F1433" s="826">
        <v>0</v>
      </c>
      <c r="G1433" s="880">
        <v>0</v>
      </c>
      <c r="H1433" s="465"/>
      <c r="I1433" s="465"/>
      <c r="J1433" s="826">
        <v>0</v>
      </c>
      <c r="K1433" s="881">
        <v>0</v>
      </c>
    </row>
    <row r="1434" spans="1:11" ht="22.5" customHeight="1" x14ac:dyDescent="0.25">
      <c r="A1434" s="816" t="s">
        <v>265</v>
      </c>
      <c r="B1434" s="880">
        <v>2025</v>
      </c>
      <c r="C1434" s="816" t="s">
        <v>1913</v>
      </c>
      <c r="D1434" s="816" t="s">
        <v>1918</v>
      </c>
      <c r="E1434" s="816" t="s">
        <v>2678</v>
      </c>
      <c r="F1434" s="826">
        <v>0</v>
      </c>
      <c r="G1434" s="880">
        <v>0</v>
      </c>
      <c r="H1434" s="465"/>
      <c r="I1434" s="465"/>
      <c r="J1434" s="826">
        <v>0</v>
      </c>
      <c r="K1434" s="881">
        <v>63982.25</v>
      </c>
    </row>
    <row r="1435" spans="1:11" ht="22.5" customHeight="1" x14ac:dyDescent="0.25">
      <c r="A1435" s="816" t="s">
        <v>265</v>
      </c>
      <c r="B1435" s="880">
        <v>2025</v>
      </c>
      <c r="C1435" s="816" t="s">
        <v>1913</v>
      </c>
      <c r="D1435" s="816" t="s">
        <v>1919</v>
      </c>
      <c r="E1435" s="816" t="s">
        <v>2678</v>
      </c>
      <c r="F1435" s="826">
        <v>0</v>
      </c>
      <c r="G1435" s="880">
        <v>0</v>
      </c>
      <c r="H1435" s="465"/>
      <c r="I1435" s="465"/>
      <c r="J1435" s="826">
        <v>0</v>
      </c>
      <c r="K1435" s="881">
        <v>3540343.52</v>
      </c>
    </row>
    <row r="1436" spans="1:11" ht="22.5" customHeight="1" x14ac:dyDescent="0.25">
      <c r="A1436" s="816" t="s">
        <v>265</v>
      </c>
      <c r="B1436" s="880">
        <v>2025</v>
      </c>
      <c r="C1436" s="816" t="s">
        <v>1920</v>
      </c>
      <c r="D1436" s="816" t="s">
        <v>1921</v>
      </c>
      <c r="E1436" s="816" t="s">
        <v>2679</v>
      </c>
      <c r="F1436" s="826">
        <v>0</v>
      </c>
      <c r="G1436" s="880">
        <v>0</v>
      </c>
      <c r="H1436" s="465"/>
      <c r="I1436" s="465"/>
      <c r="J1436" s="826">
        <v>0</v>
      </c>
      <c r="K1436" s="878">
        <v>0</v>
      </c>
    </row>
    <row r="1437" spans="1:11" ht="22.5" customHeight="1" x14ac:dyDescent="0.25">
      <c r="A1437" s="816" t="s">
        <v>265</v>
      </c>
      <c r="B1437" s="880">
        <v>2025</v>
      </c>
      <c r="C1437" s="816" t="s">
        <v>1923</v>
      </c>
      <c r="D1437" s="816" t="s">
        <v>143</v>
      </c>
      <c r="E1437" s="816" t="s">
        <v>2680</v>
      </c>
      <c r="F1437" s="826">
        <v>10868836.73</v>
      </c>
      <c r="G1437" s="880">
        <v>1</v>
      </c>
      <c r="H1437" s="826">
        <v>10400969.67</v>
      </c>
      <c r="I1437" s="826">
        <v>467867.06</v>
      </c>
      <c r="J1437" s="826">
        <v>10868836.73</v>
      </c>
      <c r="K1437" s="878">
        <v>10868836.73</v>
      </c>
    </row>
    <row r="1438" spans="1:11" ht="22.5" customHeight="1" x14ac:dyDescent="0.25">
      <c r="A1438" s="816" t="s">
        <v>265</v>
      </c>
      <c r="B1438" s="880">
        <v>2025</v>
      </c>
      <c r="C1438" s="816" t="s">
        <v>1925</v>
      </c>
      <c r="D1438" s="816" t="s">
        <v>144</v>
      </c>
      <c r="E1438" s="816" t="s">
        <v>2681</v>
      </c>
      <c r="F1438" s="826">
        <v>-4125028.34</v>
      </c>
      <c r="G1438" s="880">
        <v>1</v>
      </c>
      <c r="H1438" s="826">
        <v>-4075106.34</v>
      </c>
      <c r="I1438" s="826">
        <v>-49922</v>
      </c>
      <c r="J1438" s="826">
        <v>-4125028.34</v>
      </c>
      <c r="K1438" s="878">
        <v>-4125028.34</v>
      </c>
    </row>
    <row r="1439" spans="1:11" ht="22.5" customHeight="1" x14ac:dyDescent="0.25">
      <c r="A1439" s="816" t="s">
        <v>265</v>
      </c>
      <c r="B1439" s="880">
        <v>2025</v>
      </c>
      <c r="C1439" s="816" t="s">
        <v>1927</v>
      </c>
      <c r="D1439" s="816" t="s">
        <v>1928</v>
      </c>
      <c r="E1439" s="816" t="s">
        <v>2682</v>
      </c>
      <c r="F1439" s="826">
        <v>4944037.8099999996</v>
      </c>
      <c r="G1439" s="880">
        <v>1</v>
      </c>
      <c r="H1439" s="826">
        <v>4391438.26</v>
      </c>
      <c r="I1439" s="826">
        <v>552599.55000000005</v>
      </c>
      <c r="J1439" s="826">
        <v>4944037.8099999996</v>
      </c>
      <c r="K1439" s="878">
        <v>4944037.8099999996</v>
      </c>
    </row>
    <row r="1440" spans="1:11" ht="22.5" customHeight="1" x14ac:dyDescent="0.25">
      <c r="A1440" s="816" t="s">
        <v>265</v>
      </c>
      <c r="B1440" s="880">
        <v>2025</v>
      </c>
      <c r="C1440" s="816" t="s">
        <v>1930</v>
      </c>
      <c r="D1440" s="816" t="s">
        <v>156</v>
      </c>
      <c r="E1440" s="816" t="s">
        <v>2683</v>
      </c>
      <c r="F1440" s="826">
        <v>19750381.43</v>
      </c>
      <c r="G1440" s="880">
        <v>1</v>
      </c>
      <c r="H1440" s="826">
        <v>18559530.710000001</v>
      </c>
      <c r="I1440" s="826">
        <v>1190850.72</v>
      </c>
      <c r="J1440" s="826">
        <v>19750381.43</v>
      </c>
      <c r="K1440" s="878">
        <v>19750381.43</v>
      </c>
    </row>
    <row r="1441" spans="1:11" ht="22.5" customHeight="1" x14ac:dyDescent="0.25">
      <c r="A1441" s="816" t="s">
        <v>265</v>
      </c>
      <c r="B1441" s="880">
        <v>2025</v>
      </c>
      <c r="C1441" s="816" t="s">
        <v>1932</v>
      </c>
      <c r="D1441" s="816" t="s">
        <v>1933</v>
      </c>
      <c r="E1441" s="816" t="s">
        <v>2684</v>
      </c>
      <c r="F1441" s="826">
        <v>-700934.61</v>
      </c>
      <c r="G1441" s="880">
        <v>0</v>
      </c>
      <c r="H1441" s="465"/>
      <c r="I1441" s="465"/>
      <c r="J1441" s="826">
        <v>0</v>
      </c>
      <c r="K1441" s="878">
        <v>-700934.61</v>
      </c>
    </row>
    <row r="1442" spans="1:11" ht="22.5" customHeight="1" x14ac:dyDescent="0.25">
      <c r="A1442" s="816" t="s">
        <v>265</v>
      </c>
      <c r="B1442" s="880">
        <v>2025</v>
      </c>
      <c r="C1442" s="816" t="s">
        <v>1935</v>
      </c>
      <c r="D1442" s="816" t="s">
        <v>1936</v>
      </c>
      <c r="E1442" s="816" t="s">
        <v>8292</v>
      </c>
      <c r="F1442" s="826">
        <v>0</v>
      </c>
      <c r="G1442" s="880">
        <v>1</v>
      </c>
      <c r="H1442" s="465"/>
      <c r="I1442" s="465"/>
      <c r="J1442" s="826">
        <v>0</v>
      </c>
      <c r="K1442" s="878">
        <v>0</v>
      </c>
    </row>
    <row r="1443" spans="1:11" ht="22.5" customHeight="1" x14ac:dyDescent="0.25">
      <c r="A1443" s="816" t="s">
        <v>265</v>
      </c>
      <c r="B1443" s="880">
        <v>2025</v>
      </c>
      <c r="C1443" s="816" t="s">
        <v>1935</v>
      </c>
      <c r="D1443" s="816" t="s">
        <v>1937</v>
      </c>
      <c r="E1443" s="816" t="s">
        <v>8293</v>
      </c>
      <c r="F1443" s="826">
        <v>0</v>
      </c>
      <c r="G1443" s="880">
        <v>1</v>
      </c>
      <c r="H1443" s="465"/>
      <c r="I1443" s="465"/>
      <c r="J1443" s="826">
        <v>0</v>
      </c>
      <c r="K1443" s="878">
        <v>0</v>
      </c>
    </row>
    <row r="1444" spans="1:11" ht="22.5" customHeight="1" x14ac:dyDescent="0.25">
      <c r="A1444" s="816" t="s">
        <v>265</v>
      </c>
      <c r="B1444" s="880">
        <v>2025</v>
      </c>
      <c r="C1444" s="816" t="s">
        <v>1935</v>
      </c>
      <c r="D1444" s="816" t="s">
        <v>1938</v>
      </c>
      <c r="E1444" s="816" t="s">
        <v>8294</v>
      </c>
      <c r="F1444" s="826">
        <v>0</v>
      </c>
      <c r="G1444" s="880">
        <v>1</v>
      </c>
      <c r="H1444" s="465"/>
      <c r="I1444" s="465"/>
      <c r="J1444" s="826">
        <v>0</v>
      </c>
      <c r="K1444" s="878">
        <v>0</v>
      </c>
    </row>
    <row r="1445" spans="1:11" ht="22.5" customHeight="1" x14ac:dyDescent="0.25">
      <c r="A1445" s="816" t="s">
        <v>265</v>
      </c>
      <c r="B1445" s="880">
        <v>2025</v>
      </c>
      <c r="C1445" s="816" t="s">
        <v>1935</v>
      </c>
      <c r="D1445" s="816" t="s">
        <v>1939</v>
      </c>
      <c r="E1445" s="816" t="s">
        <v>8295</v>
      </c>
      <c r="F1445" s="826">
        <v>0</v>
      </c>
      <c r="G1445" s="880">
        <v>1</v>
      </c>
      <c r="H1445" s="465"/>
      <c r="I1445" s="465"/>
      <c r="J1445" s="826">
        <v>0</v>
      </c>
      <c r="K1445" s="878">
        <v>0</v>
      </c>
    </row>
    <row r="1446" spans="1:11" ht="22.5" customHeight="1" x14ac:dyDescent="0.25">
      <c r="A1446" s="816" t="s">
        <v>265</v>
      </c>
      <c r="B1446" s="880">
        <v>2025</v>
      </c>
      <c r="C1446" s="816" t="s">
        <v>1935</v>
      </c>
      <c r="D1446" s="816" t="s">
        <v>1940</v>
      </c>
      <c r="E1446" s="816" t="s">
        <v>8296</v>
      </c>
      <c r="F1446" s="826">
        <v>0</v>
      </c>
      <c r="G1446" s="880">
        <v>1</v>
      </c>
      <c r="H1446" s="465"/>
      <c r="I1446" s="465"/>
      <c r="J1446" s="826">
        <v>0</v>
      </c>
      <c r="K1446" s="878">
        <v>0</v>
      </c>
    </row>
    <row r="1447" spans="1:11" ht="22.5" customHeight="1" x14ac:dyDescent="0.25">
      <c r="A1447" s="816" t="s">
        <v>265</v>
      </c>
      <c r="B1447" s="880">
        <v>2025</v>
      </c>
      <c r="C1447" s="816" t="s">
        <v>1935</v>
      </c>
      <c r="D1447" s="816" t="s">
        <v>1941</v>
      </c>
      <c r="E1447" s="816" t="s">
        <v>8297</v>
      </c>
      <c r="F1447" s="826">
        <v>0</v>
      </c>
      <c r="G1447" s="880">
        <v>1</v>
      </c>
      <c r="H1447" s="465"/>
      <c r="I1447" s="465"/>
      <c r="J1447" s="826">
        <v>0</v>
      </c>
      <c r="K1447" s="878">
        <v>0</v>
      </c>
    </row>
    <row r="1448" spans="1:11" ht="22.5" customHeight="1" x14ac:dyDescent="0.25">
      <c r="A1448" s="816" t="s">
        <v>265</v>
      </c>
      <c r="B1448" s="880">
        <v>2025</v>
      </c>
      <c r="C1448" s="816" t="s">
        <v>1935</v>
      </c>
      <c r="D1448" s="816" t="s">
        <v>1942</v>
      </c>
      <c r="E1448" s="816" t="s">
        <v>8298</v>
      </c>
      <c r="F1448" s="826">
        <v>0</v>
      </c>
      <c r="G1448" s="880">
        <v>1</v>
      </c>
      <c r="H1448" s="465"/>
      <c r="I1448" s="465"/>
      <c r="J1448" s="826">
        <v>0</v>
      </c>
      <c r="K1448" s="878">
        <v>0</v>
      </c>
    </row>
    <row r="1449" spans="1:11" ht="22.5" customHeight="1" x14ac:dyDescent="0.25">
      <c r="A1449" s="816" t="s">
        <v>265</v>
      </c>
      <c r="B1449" s="880">
        <v>2025</v>
      </c>
      <c r="C1449" s="816" t="s">
        <v>1935</v>
      </c>
      <c r="D1449" s="816" t="s">
        <v>1943</v>
      </c>
      <c r="E1449" s="816" t="s">
        <v>8299</v>
      </c>
      <c r="F1449" s="826">
        <v>0</v>
      </c>
      <c r="G1449" s="880">
        <v>1</v>
      </c>
      <c r="H1449" s="465"/>
      <c r="I1449" s="465"/>
      <c r="J1449" s="826">
        <v>0</v>
      </c>
      <c r="K1449" s="878">
        <v>0</v>
      </c>
    </row>
    <row r="1450" spans="1:11" ht="22.5" customHeight="1" x14ac:dyDescent="0.25">
      <c r="A1450" s="816" t="s">
        <v>265</v>
      </c>
      <c r="B1450" s="880">
        <v>2025</v>
      </c>
      <c r="C1450" s="816" t="s">
        <v>1935</v>
      </c>
      <c r="D1450" s="816" t="s">
        <v>1944</v>
      </c>
      <c r="E1450" s="816" t="s">
        <v>8300</v>
      </c>
      <c r="F1450" s="826">
        <v>0</v>
      </c>
      <c r="G1450" s="880">
        <v>1</v>
      </c>
      <c r="H1450" s="465"/>
      <c r="I1450" s="465"/>
      <c r="J1450" s="826">
        <v>0</v>
      </c>
      <c r="K1450" s="878">
        <v>0</v>
      </c>
    </row>
    <row r="1451" spans="1:11" ht="22.5" customHeight="1" x14ac:dyDescent="0.25">
      <c r="A1451" s="816" t="s">
        <v>265</v>
      </c>
      <c r="B1451" s="880">
        <v>2025</v>
      </c>
      <c r="C1451" s="816" t="s">
        <v>1935</v>
      </c>
      <c r="D1451" s="816" t="s">
        <v>1945</v>
      </c>
      <c r="E1451" s="816" t="s">
        <v>8301</v>
      </c>
      <c r="F1451" s="826">
        <v>0</v>
      </c>
      <c r="G1451" s="880">
        <v>1</v>
      </c>
      <c r="H1451" s="465"/>
      <c r="I1451" s="465"/>
      <c r="J1451" s="826">
        <v>0</v>
      </c>
      <c r="K1451" s="878">
        <v>0</v>
      </c>
    </row>
    <row r="1452" spans="1:11" ht="22.5" customHeight="1" x14ac:dyDescent="0.25">
      <c r="A1452" s="816" t="s">
        <v>265</v>
      </c>
      <c r="B1452" s="880">
        <v>2025</v>
      </c>
      <c r="C1452" s="816" t="s">
        <v>1935</v>
      </c>
      <c r="D1452" s="816" t="s">
        <v>1946</v>
      </c>
      <c r="E1452" s="816" t="s">
        <v>8302</v>
      </c>
      <c r="F1452" s="826">
        <v>0</v>
      </c>
      <c r="G1452" s="880">
        <v>1</v>
      </c>
      <c r="H1452" s="465"/>
      <c r="I1452" s="465"/>
      <c r="J1452" s="826">
        <v>0</v>
      </c>
      <c r="K1452" s="878">
        <v>0</v>
      </c>
    </row>
    <row r="1453" spans="1:11" ht="22.5" customHeight="1" x14ac:dyDescent="0.25">
      <c r="A1453" s="816" t="s">
        <v>265</v>
      </c>
      <c r="B1453" s="880">
        <v>2025</v>
      </c>
      <c r="C1453" s="816" t="s">
        <v>1935</v>
      </c>
      <c r="D1453" s="816" t="s">
        <v>1947</v>
      </c>
      <c r="E1453" s="816" t="s">
        <v>8303</v>
      </c>
      <c r="F1453" s="826">
        <v>0</v>
      </c>
      <c r="G1453" s="880">
        <v>1</v>
      </c>
      <c r="H1453" s="465"/>
      <c r="I1453" s="465"/>
      <c r="J1453" s="826">
        <v>0</v>
      </c>
      <c r="K1453" s="878">
        <v>0</v>
      </c>
    </row>
    <row r="1454" spans="1:11" ht="22.5" customHeight="1" x14ac:dyDescent="0.25">
      <c r="A1454" s="816" t="s">
        <v>265</v>
      </c>
      <c r="B1454" s="880">
        <v>2025</v>
      </c>
      <c r="C1454" s="816" t="s">
        <v>1935</v>
      </c>
      <c r="D1454" s="816" t="s">
        <v>1948</v>
      </c>
      <c r="E1454" s="816" t="s">
        <v>8304</v>
      </c>
      <c r="F1454" s="826">
        <v>0</v>
      </c>
      <c r="G1454" s="880">
        <v>1</v>
      </c>
      <c r="H1454" s="465"/>
      <c r="I1454" s="465"/>
      <c r="J1454" s="826">
        <v>0</v>
      </c>
      <c r="K1454" s="878">
        <v>0</v>
      </c>
    </row>
    <row r="1455" spans="1:11" ht="22.5" customHeight="1" x14ac:dyDescent="0.25">
      <c r="A1455" s="816" t="s">
        <v>265</v>
      </c>
      <c r="B1455" s="880">
        <v>2025</v>
      </c>
      <c r="C1455" s="816" t="s">
        <v>1935</v>
      </c>
      <c r="D1455" s="816" t="s">
        <v>1949</v>
      </c>
      <c r="E1455" s="816" t="s">
        <v>8305</v>
      </c>
      <c r="F1455" s="826">
        <v>0</v>
      </c>
      <c r="G1455" s="880">
        <v>1</v>
      </c>
      <c r="H1455" s="826">
        <v>-236907.3</v>
      </c>
      <c r="I1455" s="826">
        <v>-247960.09</v>
      </c>
      <c r="J1455" s="826">
        <v>-484867.39</v>
      </c>
      <c r="K1455" s="878">
        <v>-484867.39</v>
      </c>
    </row>
    <row r="1456" spans="1:11" ht="22.5" customHeight="1" x14ac:dyDescent="0.25">
      <c r="A1456" s="816" t="s">
        <v>265</v>
      </c>
      <c r="B1456" s="880">
        <v>2025</v>
      </c>
      <c r="C1456" s="816" t="s">
        <v>1935</v>
      </c>
      <c r="D1456" s="816" t="s">
        <v>1950</v>
      </c>
      <c r="E1456" s="816" t="s">
        <v>8306</v>
      </c>
      <c r="F1456" s="826">
        <v>0</v>
      </c>
      <c r="G1456" s="880">
        <v>1</v>
      </c>
      <c r="H1456" s="826">
        <v>190629.79</v>
      </c>
      <c r="I1456" s="826">
        <v>-55107.01</v>
      </c>
      <c r="J1456" s="826">
        <v>135522.78</v>
      </c>
      <c r="K1456" s="878">
        <v>135522.78</v>
      </c>
    </row>
    <row r="1457" spans="1:11" ht="22.5" customHeight="1" x14ac:dyDescent="0.25">
      <c r="A1457" s="816" t="s">
        <v>265</v>
      </c>
      <c r="B1457" s="880">
        <v>2025</v>
      </c>
      <c r="C1457" s="816" t="s">
        <v>1935</v>
      </c>
      <c r="D1457" s="816" t="s">
        <v>1951</v>
      </c>
      <c r="E1457" s="816" t="s">
        <v>8307</v>
      </c>
      <c r="F1457" s="826">
        <v>0</v>
      </c>
      <c r="G1457" s="880">
        <v>1</v>
      </c>
      <c r="H1457" s="826">
        <v>897900.85</v>
      </c>
      <c r="I1457" s="826">
        <v>759289.16</v>
      </c>
      <c r="J1457" s="826">
        <v>1657190.01</v>
      </c>
      <c r="K1457" s="878">
        <v>1657190.01</v>
      </c>
    </row>
    <row r="1458" spans="1:11" ht="22.5" customHeight="1" x14ac:dyDescent="0.25">
      <c r="A1458" s="816" t="s">
        <v>265</v>
      </c>
      <c r="B1458" s="880">
        <v>2025</v>
      </c>
      <c r="C1458" s="816" t="s">
        <v>1935</v>
      </c>
      <c r="D1458" s="816" t="s">
        <v>7801</v>
      </c>
      <c r="E1458" s="816" t="s">
        <v>8308</v>
      </c>
      <c r="F1458" s="826">
        <v>0</v>
      </c>
      <c r="G1458" s="880">
        <v>1</v>
      </c>
      <c r="H1458" s="826">
        <v>-527637.4</v>
      </c>
      <c r="I1458" s="826">
        <v>307090.08</v>
      </c>
      <c r="J1458" s="826">
        <v>-220547.32</v>
      </c>
      <c r="K1458" s="878">
        <v>-220547.32</v>
      </c>
    </row>
    <row r="1459" spans="1:11" ht="22.5" customHeight="1" x14ac:dyDescent="0.25">
      <c r="A1459" s="816" t="s">
        <v>265</v>
      </c>
      <c r="B1459" s="880">
        <v>2025</v>
      </c>
      <c r="C1459" s="816" t="s">
        <v>1935</v>
      </c>
      <c r="D1459" s="816" t="s">
        <v>1952</v>
      </c>
      <c r="E1459" s="816" t="s">
        <v>8309</v>
      </c>
      <c r="F1459" s="826">
        <v>1087298.08</v>
      </c>
      <c r="G1459" s="880">
        <v>0</v>
      </c>
      <c r="H1459" s="465"/>
      <c r="I1459" s="465"/>
      <c r="J1459" s="826">
        <v>0</v>
      </c>
      <c r="K1459" s="878">
        <v>1087298.08</v>
      </c>
    </row>
    <row r="1460" spans="1:11" ht="22.5" customHeight="1" x14ac:dyDescent="0.25">
      <c r="A1460" s="816" t="s">
        <v>265</v>
      </c>
      <c r="B1460" s="880">
        <v>2025</v>
      </c>
      <c r="C1460" s="816" t="s">
        <v>1953</v>
      </c>
      <c r="D1460" s="816" t="s">
        <v>1954</v>
      </c>
      <c r="E1460" s="816" t="s">
        <v>2685</v>
      </c>
      <c r="F1460" s="826">
        <v>-4277724.1500000004</v>
      </c>
      <c r="G1460" s="880">
        <v>0</v>
      </c>
      <c r="H1460" s="465"/>
      <c r="I1460" s="465"/>
      <c r="J1460" s="826">
        <v>0</v>
      </c>
      <c r="K1460" s="878">
        <v>-4277724.1500000004</v>
      </c>
    </row>
    <row r="1461" spans="1:11" ht="22.5" customHeight="1" x14ac:dyDescent="0.25">
      <c r="A1461" s="816" t="s">
        <v>267</v>
      </c>
      <c r="B1461" s="880">
        <v>2025</v>
      </c>
      <c r="C1461" s="816" t="s">
        <v>1854</v>
      </c>
      <c r="D1461" s="816" t="s">
        <v>1855</v>
      </c>
      <c r="E1461" s="816" t="s">
        <v>2686</v>
      </c>
      <c r="F1461" s="826">
        <v>80995.63</v>
      </c>
      <c r="G1461" s="880">
        <v>0</v>
      </c>
      <c r="H1461" s="465"/>
      <c r="I1461" s="465"/>
      <c r="J1461" s="826">
        <v>0</v>
      </c>
      <c r="K1461" s="878">
        <v>80995.63</v>
      </c>
    </row>
    <row r="1462" spans="1:11" ht="22.5" customHeight="1" x14ac:dyDescent="0.25">
      <c r="A1462" s="816" t="s">
        <v>267</v>
      </c>
      <c r="B1462" s="880">
        <v>2025</v>
      </c>
      <c r="C1462" s="816" t="s">
        <v>7746</v>
      </c>
      <c r="D1462" s="816" t="s">
        <v>7747</v>
      </c>
      <c r="E1462" s="816" t="s">
        <v>7775</v>
      </c>
      <c r="F1462" s="826">
        <v>0</v>
      </c>
      <c r="G1462" s="880">
        <v>0</v>
      </c>
      <c r="H1462" s="465"/>
      <c r="I1462" s="465"/>
      <c r="J1462" s="826">
        <v>0</v>
      </c>
      <c r="K1462" s="878">
        <v>0</v>
      </c>
    </row>
    <row r="1463" spans="1:11" ht="22.5" customHeight="1" x14ac:dyDescent="0.25">
      <c r="A1463" s="816" t="s">
        <v>267</v>
      </c>
      <c r="B1463" s="880">
        <v>2025</v>
      </c>
      <c r="C1463" s="816" t="s">
        <v>1857</v>
      </c>
      <c r="D1463" s="816" t="s">
        <v>1858</v>
      </c>
      <c r="E1463" s="816" t="s">
        <v>2687</v>
      </c>
      <c r="F1463" s="826">
        <v>0</v>
      </c>
      <c r="G1463" s="880">
        <v>0</v>
      </c>
      <c r="H1463" s="465"/>
      <c r="I1463" s="465"/>
      <c r="J1463" s="826">
        <v>0</v>
      </c>
      <c r="K1463" s="878">
        <v>0</v>
      </c>
    </row>
    <row r="1464" spans="1:11" ht="22.5" customHeight="1" x14ac:dyDescent="0.25">
      <c r="A1464" s="816" t="s">
        <v>267</v>
      </c>
      <c r="B1464" s="880">
        <v>2025</v>
      </c>
      <c r="C1464" s="816" t="s">
        <v>1860</v>
      </c>
      <c r="D1464" s="816" t="s">
        <v>1861</v>
      </c>
      <c r="E1464" s="816" t="s">
        <v>2688</v>
      </c>
      <c r="F1464" s="826">
        <v>849.04</v>
      </c>
      <c r="G1464" s="880">
        <v>0</v>
      </c>
      <c r="H1464" s="465"/>
      <c r="I1464" s="465"/>
      <c r="J1464" s="826">
        <v>0</v>
      </c>
      <c r="K1464" s="878">
        <v>849.04</v>
      </c>
    </row>
    <row r="1465" spans="1:11" ht="22.5" customHeight="1" x14ac:dyDescent="0.25">
      <c r="A1465" s="816" t="s">
        <v>267</v>
      </c>
      <c r="B1465" s="880">
        <v>2025</v>
      </c>
      <c r="C1465" s="816" t="s">
        <v>1863</v>
      </c>
      <c r="D1465" s="816" t="s">
        <v>1864</v>
      </c>
      <c r="E1465" s="816" t="s">
        <v>2689</v>
      </c>
      <c r="F1465" s="826">
        <v>0</v>
      </c>
      <c r="G1465" s="880">
        <v>0</v>
      </c>
      <c r="H1465" s="465"/>
      <c r="I1465" s="465"/>
      <c r="J1465" s="826">
        <v>0</v>
      </c>
      <c r="K1465" s="878">
        <v>0</v>
      </c>
    </row>
    <row r="1466" spans="1:11" ht="22.5" customHeight="1" x14ac:dyDescent="0.25">
      <c r="A1466" s="816" t="s">
        <v>267</v>
      </c>
      <c r="B1466" s="880">
        <v>2025</v>
      </c>
      <c r="C1466" s="816" t="s">
        <v>1866</v>
      </c>
      <c r="D1466" s="816" t="s">
        <v>1867</v>
      </c>
      <c r="E1466" s="816" t="s">
        <v>2690</v>
      </c>
      <c r="F1466" s="826">
        <v>0</v>
      </c>
      <c r="G1466" s="880">
        <v>0</v>
      </c>
      <c r="H1466" s="465"/>
      <c r="I1466" s="465"/>
      <c r="J1466" s="826">
        <v>0</v>
      </c>
      <c r="K1466" s="878">
        <v>0</v>
      </c>
    </row>
    <row r="1467" spans="1:11" ht="22.5" customHeight="1" x14ac:dyDescent="0.25">
      <c r="A1467" s="816" t="s">
        <v>267</v>
      </c>
      <c r="B1467" s="880">
        <v>2025</v>
      </c>
      <c r="C1467" s="816" t="s">
        <v>1869</v>
      </c>
      <c r="D1467" s="816" t="s">
        <v>1870</v>
      </c>
      <c r="E1467" s="816" t="s">
        <v>2691</v>
      </c>
      <c r="F1467" s="826">
        <v>0</v>
      </c>
      <c r="G1467" s="880">
        <v>0</v>
      </c>
      <c r="H1467" s="465"/>
      <c r="I1467" s="465"/>
      <c r="J1467" s="826">
        <v>0</v>
      </c>
      <c r="K1467" s="878">
        <v>0</v>
      </c>
    </row>
    <row r="1468" spans="1:11" ht="22.5" customHeight="1" x14ac:dyDescent="0.25">
      <c r="A1468" s="816" t="s">
        <v>267</v>
      </c>
      <c r="B1468" s="880">
        <v>2025</v>
      </c>
      <c r="C1468" s="816" t="s">
        <v>1872</v>
      </c>
      <c r="D1468" s="816" t="s">
        <v>1873</v>
      </c>
      <c r="E1468" s="816" t="s">
        <v>2692</v>
      </c>
      <c r="F1468" s="826">
        <v>0</v>
      </c>
      <c r="G1468" s="880">
        <v>0</v>
      </c>
      <c r="H1468" s="465"/>
      <c r="I1468" s="465"/>
      <c r="J1468" s="826">
        <v>0</v>
      </c>
      <c r="K1468" s="878">
        <v>0</v>
      </c>
    </row>
    <row r="1469" spans="1:11" ht="22.5" customHeight="1" x14ac:dyDescent="0.25">
      <c r="A1469" s="816" t="s">
        <v>267</v>
      </c>
      <c r="B1469" s="880">
        <v>2025</v>
      </c>
      <c r="C1469" s="816" t="s">
        <v>1875</v>
      </c>
      <c r="D1469" s="816" t="s">
        <v>1876</v>
      </c>
      <c r="E1469" s="816" t="s">
        <v>2693</v>
      </c>
      <c r="F1469" s="826">
        <v>0</v>
      </c>
      <c r="G1469" s="880">
        <v>0</v>
      </c>
      <c r="H1469" s="465"/>
      <c r="I1469" s="465"/>
      <c r="J1469" s="826">
        <v>0</v>
      </c>
      <c r="K1469" s="878">
        <v>0</v>
      </c>
    </row>
    <row r="1470" spans="1:11" ht="22.5" customHeight="1" x14ac:dyDescent="0.25">
      <c r="A1470" s="816" t="s">
        <v>267</v>
      </c>
      <c r="B1470" s="880">
        <v>2025</v>
      </c>
      <c r="C1470" s="816" t="s">
        <v>1878</v>
      </c>
      <c r="D1470" s="816" t="s">
        <v>1879</v>
      </c>
      <c r="E1470" s="816" t="s">
        <v>2694</v>
      </c>
      <c r="F1470" s="826">
        <v>0</v>
      </c>
      <c r="G1470" s="880">
        <v>0</v>
      </c>
      <c r="H1470" s="465"/>
      <c r="I1470" s="465"/>
      <c r="J1470" s="826">
        <v>0</v>
      </c>
      <c r="K1470" s="878">
        <v>0</v>
      </c>
    </row>
    <row r="1471" spans="1:11" ht="22.5" customHeight="1" x14ac:dyDescent="0.25">
      <c r="A1471" s="816" t="s">
        <v>267</v>
      </c>
      <c r="B1471" s="880">
        <v>2025</v>
      </c>
      <c r="C1471" s="816" t="s">
        <v>1881</v>
      </c>
      <c r="D1471" s="816" t="s">
        <v>1882</v>
      </c>
      <c r="E1471" s="816" t="s">
        <v>2695</v>
      </c>
      <c r="F1471" s="826">
        <v>0</v>
      </c>
      <c r="G1471" s="880">
        <v>0</v>
      </c>
      <c r="H1471" s="465"/>
      <c r="I1471" s="465"/>
      <c r="J1471" s="826">
        <v>0</v>
      </c>
      <c r="K1471" s="878">
        <v>0</v>
      </c>
    </row>
    <row r="1472" spans="1:11" ht="22.5" customHeight="1" x14ac:dyDescent="0.25">
      <c r="A1472" s="816" t="s">
        <v>267</v>
      </c>
      <c r="B1472" s="880">
        <v>2025</v>
      </c>
      <c r="C1472" s="816" t="s">
        <v>1884</v>
      </c>
      <c r="D1472" s="816" t="s">
        <v>1885</v>
      </c>
      <c r="E1472" s="816" t="s">
        <v>2696</v>
      </c>
      <c r="F1472" s="826">
        <v>0</v>
      </c>
      <c r="G1472" s="880">
        <v>0</v>
      </c>
      <c r="H1472" s="465"/>
      <c r="I1472" s="465"/>
      <c r="J1472" s="826">
        <v>0</v>
      </c>
      <c r="K1472" s="878">
        <v>0</v>
      </c>
    </row>
    <row r="1473" spans="1:11" ht="22.5" customHeight="1" x14ac:dyDescent="0.25">
      <c r="A1473" s="816" t="s">
        <v>267</v>
      </c>
      <c r="B1473" s="880">
        <v>2025</v>
      </c>
      <c r="C1473" s="816" t="s">
        <v>1887</v>
      </c>
      <c r="D1473" s="816" t="s">
        <v>138</v>
      </c>
      <c r="E1473" s="816" t="s">
        <v>2697</v>
      </c>
      <c r="F1473" s="826">
        <v>570943.93999999994</v>
      </c>
      <c r="G1473" s="880">
        <v>1</v>
      </c>
      <c r="H1473" s="826">
        <v>512883.35</v>
      </c>
      <c r="I1473" s="826">
        <v>58060.59</v>
      </c>
      <c r="J1473" s="826">
        <v>570943.93999999994</v>
      </c>
      <c r="K1473" s="878">
        <v>570943.93999999994</v>
      </c>
    </row>
    <row r="1474" spans="1:11" ht="22.5" customHeight="1" x14ac:dyDescent="0.25">
      <c r="A1474" s="816" t="s">
        <v>267</v>
      </c>
      <c r="B1474" s="880">
        <v>2025</v>
      </c>
      <c r="C1474" s="816" t="s">
        <v>1889</v>
      </c>
      <c r="D1474" s="816" t="s">
        <v>139</v>
      </c>
      <c r="E1474" s="816" t="s">
        <v>2698</v>
      </c>
      <c r="F1474" s="826">
        <v>-82870.92</v>
      </c>
      <c r="G1474" s="880">
        <v>1</v>
      </c>
      <c r="H1474" s="826">
        <v>-76717.960000000006</v>
      </c>
      <c r="I1474" s="826">
        <v>-6152.96</v>
      </c>
      <c r="J1474" s="826">
        <v>-82870.92</v>
      </c>
      <c r="K1474" s="878">
        <v>-82870.92</v>
      </c>
    </row>
    <row r="1475" spans="1:11" ht="22.5" customHeight="1" x14ac:dyDescent="0.25">
      <c r="A1475" s="816" t="s">
        <v>267</v>
      </c>
      <c r="B1475" s="880">
        <v>2025</v>
      </c>
      <c r="C1475" s="816" t="s">
        <v>1891</v>
      </c>
      <c r="D1475" s="816" t="s">
        <v>1892</v>
      </c>
      <c r="E1475" s="816" t="s">
        <v>2699</v>
      </c>
      <c r="F1475" s="826">
        <v>0</v>
      </c>
      <c r="G1475" s="880">
        <v>0</v>
      </c>
      <c r="H1475" s="465"/>
      <c r="I1475" s="465"/>
      <c r="J1475" s="826">
        <v>0</v>
      </c>
      <c r="K1475" s="878">
        <v>0</v>
      </c>
    </row>
    <row r="1476" spans="1:11" ht="22.5" customHeight="1" x14ac:dyDescent="0.25">
      <c r="A1476" s="816" t="s">
        <v>267</v>
      </c>
      <c r="B1476" s="880">
        <v>2025</v>
      </c>
      <c r="C1476" s="816" t="s">
        <v>1891</v>
      </c>
      <c r="D1476" s="816" t="s">
        <v>1894</v>
      </c>
      <c r="E1476" s="816" t="s">
        <v>2699</v>
      </c>
      <c r="F1476" s="826">
        <v>0</v>
      </c>
      <c r="G1476" s="880">
        <v>0</v>
      </c>
      <c r="H1476" s="465"/>
      <c r="I1476" s="465"/>
      <c r="J1476" s="826">
        <v>0</v>
      </c>
      <c r="K1476" s="881">
        <v>0</v>
      </c>
    </row>
    <row r="1477" spans="1:11" ht="22.5" customHeight="1" x14ac:dyDescent="0.25">
      <c r="A1477" s="816" t="s">
        <v>267</v>
      </c>
      <c r="B1477" s="880">
        <v>2025</v>
      </c>
      <c r="C1477" s="816" t="s">
        <v>1895</v>
      </c>
      <c r="D1477" s="816" t="s">
        <v>1896</v>
      </c>
      <c r="E1477" s="816" t="s">
        <v>2700</v>
      </c>
      <c r="F1477" s="826">
        <v>0</v>
      </c>
      <c r="G1477" s="880">
        <v>0</v>
      </c>
      <c r="H1477" s="465"/>
      <c r="I1477" s="465"/>
      <c r="J1477" s="826">
        <v>0</v>
      </c>
      <c r="K1477" s="878">
        <v>0</v>
      </c>
    </row>
    <row r="1478" spans="1:11" ht="22.5" customHeight="1" x14ac:dyDescent="0.25">
      <c r="A1478" s="816" t="s">
        <v>267</v>
      </c>
      <c r="B1478" s="880">
        <v>2025</v>
      </c>
      <c r="C1478" s="816" t="s">
        <v>1898</v>
      </c>
      <c r="D1478" s="816" t="s">
        <v>1899</v>
      </c>
      <c r="E1478" s="816" t="s">
        <v>2701</v>
      </c>
      <c r="F1478" s="826">
        <v>0</v>
      </c>
      <c r="G1478" s="880">
        <v>0</v>
      </c>
      <c r="H1478" s="465"/>
      <c r="I1478" s="465"/>
      <c r="J1478" s="826">
        <v>0</v>
      </c>
      <c r="K1478" s="878">
        <v>0</v>
      </c>
    </row>
    <row r="1479" spans="1:11" ht="22.5" customHeight="1" x14ac:dyDescent="0.25">
      <c r="A1479" s="816" t="s">
        <v>267</v>
      </c>
      <c r="B1479" s="880">
        <v>2025</v>
      </c>
      <c r="C1479" s="816" t="s">
        <v>1901</v>
      </c>
      <c r="D1479" s="816" t="s">
        <v>1902</v>
      </c>
      <c r="E1479" s="816" t="s">
        <v>2702</v>
      </c>
      <c r="F1479" s="826">
        <v>0</v>
      </c>
      <c r="G1479" s="880">
        <v>0</v>
      </c>
      <c r="H1479" s="465"/>
      <c r="I1479" s="465"/>
      <c r="J1479" s="826">
        <v>0</v>
      </c>
      <c r="K1479" s="878">
        <v>0</v>
      </c>
    </row>
    <row r="1480" spans="1:11" ht="22.5" customHeight="1" x14ac:dyDescent="0.25">
      <c r="A1480" s="816" t="s">
        <v>267</v>
      </c>
      <c r="B1480" s="880">
        <v>2025</v>
      </c>
      <c r="C1480" s="816" t="s">
        <v>1904</v>
      </c>
      <c r="D1480" s="816" t="s">
        <v>1905</v>
      </c>
      <c r="E1480" s="816" t="s">
        <v>2703</v>
      </c>
      <c r="F1480" s="826">
        <v>0</v>
      </c>
      <c r="G1480" s="880">
        <v>0</v>
      </c>
      <c r="H1480" s="465"/>
      <c r="I1480" s="465"/>
      <c r="J1480" s="826">
        <v>0</v>
      </c>
      <c r="K1480" s="878">
        <v>0</v>
      </c>
    </row>
    <row r="1481" spans="1:11" ht="22.5" customHeight="1" x14ac:dyDescent="0.25">
      <c r="A1481" s="816" t="s">
        <v>267</v>
      </c>
      <c r="B1481" s="880">
        <v>2025</v>
      </c>
      <c r="C1481" s="816" t="s">
        <v>1907</v>
      </c>
      <c r="D1481" s="816" t="s">
        <v>1908</v>
      </c>
      <c r="E1481" s="816" t="s">
        <v>2704</v>
      </c>
      <c r="F1481" s="826">
        <v>0</v>
      </c>
      <c r="G1481" s="880">
        <v>0</v>
      </c>
      <c r="H1481" s="465"/>
      <c r="I1481" s="465"/>
      <c r="J1481" s="826">
        <v>0</v>
      </c>
      <c r="K1481" s="878">
        <v>0</v>
      </c>
    </row>
    <row r="1482" spans="1:11" ht="22.5" customHeight="1" x14ac:dyDescent="0.25">
      <c r="A1482" s="816" t="s">
        <v>267</v>
      </c>
      <c r="B1482" s="880">
        <v>2025</v>
      </c>
      <c r="C1482" s="816" t="s">
        <v>1910</v>
      </c>
      <c r="D1482" s="816" t="s">
        <v>1911</v>
      </c>
      <c r="E1482" s="816" t="s">
        <v>2705</v>
      </c>
      <c r="F1482" s="826">
        <v>0</v>
      </c>
      <c r="G1482" s="880">
        <v>0</v>
      </c>
      <c r="H1482" s="465"/>
      <c r="I1482" s="465"/>
      <c r="J1482" s="826">
        <v>0</v>
      </c>
      <c r="K1482" s="878">
        <v>0</v>
      </c>
    </row>
    <row r="1483" spans="1:11" ht="22.5" customHeight="1" x14ac:dyDescent="0.25">
      <c r="A1483" s="816" t="s">
        <v>267</v>
      </c>
      <c r="B1483" s="880">
        <v>2025</v>
      </c>
      <c r="C1483" s="816" t="s">
        <v>1913</v>
      </c>
      <c r="D1483" s="816" t="s">
        <v>1914</v>
      </c>
      <c r="E1483" s="816" t="s">
        <v>2706</v>
      </c>
      <c r="F1483" s="826">
        <v>-166893.69</v>
      </c>
      <c r="G1483" s="880">
        <v>1</v>
      </c>
      <c r="H1483" s="826">
        <v>-176301.51</v>
      </c>
      <c r="I1483" s="826">
        <v>9407.82</v>
      </c>
      <c r="J1483" s="826">
        <v>-166893.69</v>
      </c>
      <c r="K1483" s="878">
        <v>-166893.69</v>
      </c>
    </row>
    <row r="1484" spans="1:11" ht="22.5" customHeight="1" x14ac:dyDescent="0.25">
      <c r="A1484" s="816" t="s">
        <v>267</v>
      </c>
      <c r="B1484" s="880">
        <v>2025</v>
      </c>
      <c r="C1484" s="816" t="s">
        <v>1913</v>
      </c>
      <c r="D1484" s="816" t="s">
        <v>1916</v>
      </c>
      <c r="E1484" s="816" t="s">
        <v>2706</v>
      </c>
      <c r="F1484" s="826">
        <v>0</v>
      </c>
      <c r="G1484" s="880">
        <v>0</v>
      </c>
      <c r="H1484" s="465"/>
      <c r="I1484" s="465"/>
      <c r="J1484" s="826">
        <v>0</v>
      </c>
      <c r="K1484" s="881">
        <v>0</v>
      </c>
    </row>
    <row r="1485" spans="1:11" ht="22.5" customHeight="1" x14ac:dyDescent="0.25">
      <c r="A1485" s="816" t="s">
        <v>267</v>
      </c>
      <c r="B1485" s="880">
        <v>2025</v>
      </c>
      <c r="C1485" s="816" t="s">
        <v>1913</v>
      </c>
      <c r="D1485" s="816" t="s">
        <v>1917</v>
      </c>
      <c r="E1485" s="816" t="s">
        <v>2706</v>
      </c>
      <c r="F1485" s="826">
        <v>0</v>
      </c>
      <c r="G1485" s="880">
        <v>0</v>
      </c>
      <c r="H1485" s="465"/>
      <c r="I1485" s="465"/>
      <c r="J1485" s="826">
        <v>0</v>
      </c>
      <c r="K1485" s="881">
        <v>0</v>
      </c>
    </row>
    <row r="1486" spans="1:11" ht="22.5" customHeight="1" x14ac:dyDescent="0.25">
      <c r="A1486" s="816" t="s">
        <v>267</v>
      </c>
      <c r="B1486" s="880">
        <v>2025</v>
      </c>
      <c r="C1486" s="816" t="s">
        <v>1913</v>
      </c>
      <c r="D1486" s="816" t="s">
        <v>1918</v>
      </c>
      <c r="E1486" s="816" t="s">
        <v>2706</v>
      </c>
      <c r="F1486" s="826">
        <v>0</v>
      </c>
      <c r="G1486" s="880">
        <v>0</v>
      </c>
      <c r="H1486" s="465"/>
      <c r="I1486" s="465"/>
      <c r="J1486" s="826">
        <v>0</v>
      </c>
      <c r="K1486" s="881">
        <v>0</v>
      </c>
    </row>
    <row r="1487" spans="1:11" ht="22.5" customHeight="1" x14ac:dyDescent="0.25">
      <c r="A1487" s="816" t="s">
        <v>267</v>
      </c>
      <c r="B1487" s="880">
        <v>2025</v>
      </c>
      <c r="C1487" s="816" t="s">
        <v>1913</v>
      </c>
      <c r="D1487" s="816" t="s">
        <v>1919</v>
      </c>
      <c r="E1487" s="816" t="s">
        <v>2706</v>
      </c>
      <c r="F1487" s="826">
        <v>0</v>
      </c>
      <c r="G1487" s="880">
        <v>0</v>
      </c>
      <c r="H1487" s="465"/>
      <c r="I1487" s="465"/>
      <c r="J1487" s="826">
        <v>0</v>
      </c>
      <c r="K1487" s="881">
        <v>0</v>
      </c>
    </row>
    <row r="1488" spans="1:11" ht="22.5" customHeight="1" x14ac:dyDescent="0.25">
      <c r="A1488" s="816" t="s">
        <v>267</v>
      </c>
      <c r="B1488" s="880">
        <v>2025</v>
      </c>
      <c r="C1488" s="816" t="s">
        <v>1920</v>
      </c>
      <c r="D1488" s="816" t="s">
        <v>1921</v>
      </c>
      <c r="E1488" s="816" t="s">
        <v>2707</v>
      </c>
      <c r="F1488" s="826">
        <v>0</v>
      </c>
      <c r="G1488" s="880">
        <v>0</v>
      </c>
      <c r="H1488" s="465"/>
      <c r="I1488" s="465"/>
      <c r="J1488" s="826">
        <v>0</v>
      </c>
      <c r="K1488" s="878">
        <v>0</v>
      </c>
    </row>
    <row r="1489" spans="1:11" ht="22.5" customHeight="1" x14ac:dyDescent="0.25">
      <c r="A1489" s="816" t="s">
        <v>267</v>
      </c>
      <c r="B1489" s="880">
        <v>2025</v>
      </c>
      <c r="C1489" s="816" t="s">
        <v>1923</v>
      </c>
      <c r="D1489" s="816" t="s">
        <v>143</v>
      </c>
      <c r="E1489" s="816" t="s">
        <v>2708</v>
      </c>
      <c r="F1489" s="826">
        <v>1114519.08</v>
      </c>
      <c r="G1489" s="880">
        <v>1</v>
      </c>
      <c r="H1489" s="826">
        <v>1002026.85</v>
      </c>
      <c r="I1489" s="826">
        <v>112492.23</v>
      </c>
      <c r="J1489" s="826">
        <v>1114519.08</v>
      </c>
      <c r="K1489" s="878">
        <v>1114519.08</v>
      </c>
    </row>
    <row r="1490" spans="1:11" ht="22.5" customHeight="1" x14ac:dyDescent="0.25">
      <c r="A1490" s="816" t="s">
        <v>267</v>
      </c>
      <c r="B1490" s="880">
        <v>2025</v>
      </c>
      <c r="C1490" s="816" t="s">
        <v>1925</v>
      </c>
      <c r="D1490" s="816" t="s">
        <v>144</v>
      </c>
      <c r="E1490" s="816" t="s">
        <v>2709</v>
      </c>
      <c r="F1490" s="826">
        <v>1142516.95</v>
      </c>
      <c r="G1490" s="880">
        <v>1</v>
      </c>
      <c r="H1490" s="826">
        <v>1041711.29</v>
      </c>
      <c r="I1490" s="826">
        <v>100805.66</v>
      </c>
      <c r="J1490" s="826">
        <v>1142516.95</v>
      </c>
      <c r="K1490" s="878">
        <v>1142516.95</v>
      </c>
    </row>
    <row r="1491" spans="1:11" ht="22.5" customHeight="1" x14ac:dyDescent="0.25">
      <c r="A1491" s="816" t="s">
        <v>267</v>
      </c>
      <c r="B1491" s="880">
        <v>2025</v>
      </c>
      <c r="C1491" s="816" t="s">
        <v>1927</v>
      </c>
      <c r="D1491" s="816" t="s">
        <v>1928</v>
      </c>
      <c r="E1491" s="816" t="s">
        <v>2710</v>
      </c>
      <c r="F1491" s="826">
        <v>1590429.1</v>
      </c>
      <c r="G1491" s="880">
        <v>1</v>
      </c>
      <c r="H1491" s="826">
        <v>1462298.48</v>
      </c>
      <c r="I1491" s="826">
        <v>128130.62</v>
      </c>
      <c r="J1491" s="826">
        <v>1590429.1</v>
      </c>
      <c r="K1491" s="878">
        <v>1590429.1</v>
      </c>
    </row>
    <row r="1492" spans="1:11" ht="22.5" customHeight="1" x14ac:dyDescent="0.25">
      <c r="A1492" s="816" t="s">
        <v>267</v>
      </c>
      <c r="B1492" s="880">
        <v>2025</v>
      </c>
      <c r="C1492" s="816" t="s">
        <v>1930</v>
      </c>
      <c r="D1492" s="816" t="s">
        <v>156</v>
      </c>
      <c r="E1492" s="816" t="s">
        <v>2711</v>
      </c>
      <c r="F1492" s="826">
        <v>600292.13</v>
      </c>
      <c r="G1492" s="880">
        <v>1</v>
      </c>
      <c r="H1492" s="826">
        <v>558673.02</v>
      </c>
      <c r="I1492" s="826">
        <v>41619.11</v>
      </c>
      <c r="J1492" s="826">
        <v>600292.13</v>
      </c>
      <c r="K1492" s="878">
        <v>600292.13</v>
      </c>
    </row>
    <row r="1493" spans="1:11" ht="22.5" customHeight="1" x14ac:dyDescent="0.25">
      <c r="A1493" s="816" t="s">
        <v>267</v>
      </c>
      <c r="B1493" s="880">
        <v>2025</v>
      </c>
      <c r="C1493" s="816" t="s">
        <v>1932</v>
      </c>
      <c r="D1493" s="816" t="s">
        <v>1933</v>
      </c>
      <c r="E1493" s="816" t="s">
        <v>2712</v>
      </c>
      <c r="F1493" s="826">
        <v>0</v>
      </c>
      <c r="G1493" s="880">
        <v>0</v>
      </c>
      <c r="H1493" s="465"/>
      <c r="I1493" s="465"/>
      <c r="J1493" s="826">
        <v>0</v>
      </c>
      <c r="K1493" s="878">
        <v>0</v>
      </c>
    </row>
    <row r="1494" spans="1:11" ht="22.5" customHeight="1" x14ac:dyDescent="0.25">
      <c r="A1494" s="816" t="s">
        <v>267</v>
      </c>
      <c r="B1494" s="880">
        <v>2025</v>
      </c>
      <c r="C1494" s="816" t="s">
        <v>1935</v>
      </c>
      <c r="D1494" s="816" t="s">
        <v>1936</v>
      </c>
      <c r="E1494" s="816" t="s">
        <v>8310</v>
      </c>
      <c r="F1494" s="826">
        <v>0</v>
      </c>
      <c r="G1494" s="880">
        <v>1</v>
      </c>
      <c r="H1494" s="465"/>
      <c r="I1494" s="465"/>
      <c r="J1494" s="826">
        <v>0</v>
      </c>
      <c r="K1494" s="878">
        <v>0</v>
      </c>
    </row>
    <row r="1495" spans="1:11" ht="22.5" customHeight="1" x14ac:dyDescent="0.25">
      <c r="A1495" s="816" t="s">
        <v>267</v>
      </c>
      <c r="B1495" s="880">
        <v>2025</v>
      </c>
      <c r="C1495" s="816" t="s">
        <v>1935</v>
      </c>
      <c r="D1495" s="816" t="s">
        <v>1937</v>
      </c>
      <c r="E1495" s="816" t="s">
        <v>8311</v>
      </c>
      <c r="F1495" s="826">
        <v>0</v>
      </c>
      <c r="G1495" s="880">
        <v>1</v>
      </c>
      <c r="H1495" s="465"/>
      <c r="I1495" s="465"/>
      <c r="J1495" s="826">
        <v>0</v>
      </c>
      <c r="K1495" s="878">
        <v>0</v>
      </c>
    </row>
    <row r="1496" spans="1:11" ht="22.5" customHeight="1" x14ac:dyDescent="0.25">
      <c r="A1496" s="816" t="s">
        <v>267</v>
      </c>
      <c r="B1496" s="880">
        <v>2025</v>
      </c>
      <c r="C1496" s="816" t="s">
        <v>1935</v>
      </c>
      <c r="D1496" s="816" t="s">
        <v>1938</v>
      </c>
      <c r="E1496" s="816" t="s">
        <v>8312</v>
      </c>
      <c r="F1496" s="826">
        <v>0</v>
      </c>
      <c r="G1496" s="880">
        <v>1</v>
      </c>
      <c r="H1496" s="465"/>
      <c r="I1496" s="465"/>
      <c r="J1496" s="826">
        <v>0</v>
      </c>
      <c r="K1496" s="878">
        <v>0</v>
      </c>
    </row>
    <row r="1497" spans="1:11" ht="22.5" customHeight="1" x14ac:dyDescent="0.25">
      <c r="A1497" s="816" t="s">
        <v>267</v>
      </c>
      <c r="B1497" s="880">
        <v>2025</v>
      </c>
      <c r="C1497" s="816" t="s">
        <v>1935</v>
      </c>
      <c r="D1497" s="816" t="s">
        <v>1939</v>
      </c>
      <c r="E1497" s="816" t="s">
        <v>8313</v>
      </c>
      <c r="F1497" s="826">
        <v>0</v>
      </c>
      <c r="G1497" s="880">
        <v>1</v>
      </c>
      <c r="H1497" s="465"/>
      <c r="I1497" s="465"/>
      <c r="J1497" s="826">
        <v>0</v>
      </c>
      <c r="K1497" s="878">
        <v>0</v>
      </c>
    </row>
    <row r="1498" spans="1:11" ht="22.5" customHeight="1" x14ac:dyDescent="0.25">
      <c r="A1498" s="816" t="s">
        <v>267</v>
      </c>
      <c r="B1498" s="880">
        <v>2025</v>
      </c>
      <c r="C1498" s="816" t="s">
        <v>1935</v>
      </c>
      <c r="D1498" s="816" t="s">
        <v>1940</v>
      </c>
      <c r="E1498" s="816" t="s">
        <v>8314</v>
      </c>
      <c r="F1498" s="826">
        <v>0</v>
      </c>
      <c r="G1498" s="880">
        <v>1</v>
      </c>
      <c r="H1498" s="465"/>
      <c r="I1498" s="465"/>
      <c r="J1498" s="826">
        <v>0</v>
      </c>
      <c r="K1498" s="878">
        <v>0</v>
      </c>
    </row>
    <row r="1499" spans="1:11" ht="22.5" customHeight="1" x14ac:dyDescent="0.25">
      <c r="A1499" s="816" t="s">
        <v>267</v>
      </c>
      <c r="B1499" s="880">
        <v>2025</v>
      </c>
      <c r="C1499" s="816" t="s">
        <v>1935</v>
      </c>
      <c r="D1499" s="816" t="s">
        <v>1941</v>
      </c>
      <c r="E1499" s="816" t="s">
        <v>8315</v>
      </c>
      <c r="F1499" s="826">
        <v>0</v>
      </c>
      <c r="G1499" s="880">
        <v>1</v>
      </c>
      <c r="H1499" s="465"/>
      <c r="I1499" s="465"/>
      <c r="J1499" s="826">
        <v>0</v>
      </c>
      <c r="K1499" s="878">
        <v>0</v>
      </c>
    </row>
    <row r="1500" spans="1:11" ht="22.5" customHeight="1" x14ac:dyDescent="0.25">
      <c r="A1500" s="816" t="s">
        <v>267</v>
      </c>
      <c r="B1500" s="880">
        <v>2025</v>
      </c>
      <c r="C1500" s="816" t="s">
        <v>1935</v>
      </c>
      <c r="D1500" s="816" t="s">
        <v>1942</v>
      </c>
      <c r="E1500" s="816" t="s">
        <v>8316</v>
      </c>
      <c r="F1500" s="826">
        <v>0</v>
      </c>
      <c r="G1500" s="880">
        <v>1</v>
      </c>
      <c r="H1500" s="465"/>
      <c r="I1500" s="465"/>
      <c r="J1500" s="826">
        <v>0</v>
      </c>
      <c r="K1500" s="878">
        <v>0</v>
      </c>
    </row>
    <row r="1501" spans="1:11" ht="22.5" customHeight="1" x14ac:dyDescent="0.25">
      <c r="A1501" s="816" t="s">
        <v>267</v>
      </c>
      <c r="B1501" s="880">
        <v>2025</v>
      </c>
      <c r="C1501" s="816" t="s">
        <v>1935</v>
      </c>
      <c r="D1501" s="816" t="s">
        <v>1943</v>
      </c>
      <c r="E1501" s="816" t="s">
        <v>8317</v>
      </c>
      <c r="F1501" s="826">
        <v>0</v>
      </c>
      <c r="G1501" s="880">
        <v>1</v>
      </c>
      <c r="H1501" s="465"/>
      <c r="I1501" s="465"/>
      <c r="J1501" s="826">
        <v>0</v>
      </c>
      <c r="K1501" s="878">
        <v>0</v>
      </c>
    </row>
    <row r="1502" spans="1:11" ht="22.5" customHeight="1" x14ac:dyDescent="0.25">
      <c r="A1502" s="816" t="s">
        <v>267</v>
      </c>
      <c r="B1502" s="880">
        <v>2025</v>
      </c>
      <c r="C1502" s="816" t="s">
        <v>1935</v>
      </c>
      <c r="D1502" s="816" t="s">
        <v>1944</v>
      </c>
      <c r="E1502" s="816" t="s">
        <v>8318</v>
      </c>
      <c r="F1502" s="826">
        <v>0</v>
      </c>
      <c r="G1502" s="880">
        <v>1</v>
      </c>
      <c r="H1502" s="465"/>
      <c r="I1502" s="465"/>
      <c r="J1502" s="826">
        <v>0</v>
      </c>
      <c r="K1502" s="878">
        <v>0</v>
      </c>
    </row>
    <row r="1503" spans="1:11" ht="22.5" customHeight="1" x14ac:dyDescent="0.25">
      <c r="A1503" s="816" t="s">
        <v>267</v>
      </c>
      <c r="B1503" s="880">
        <v>2025</v>
      </c>
      <c r="C1503" s="816" t="s">
        <v>1935</v>
      </c>
      <c r="D1503" s="816" t="s">
        <v>1945</v>
      </c>
      <c r="E1503" s="816" t="s">
        <v>8319</v>
      </c>
      <c r="F1503" s="826">
        <v>0</v>
      </c>
      <c r="G1503" s="880">
        <v>1</v>
      </c>
      <c r="H1503" s="465"/>
      <c r="I1503" s="465"/>
      <c r="J1503" s="826">
        <v>0</v>
      </c>
      <c r="K1503" s="878">
        <v>0</v>
      </c>
    </row>
    <row r="1504" spans="1:11" ht="22.5" customHeight="1" x14ac:dyDescent="0.25">
      <c r="A1504" s="816" t="s">
        <v>267</v>
      </c>
      <c r="B1504" s="880">
        <v>2025</v>
      </c>
      <c r="C1504" s="816" t="s">
        <v>1935</v>
      </c>
      <c r="D1504" s="816" t="s">
        <v>1946</v>
      </c>
      <c r="E1504" s="816" t="s">
        <v>8320</v>
      </c>
      <c r="F1504" s="826">
        <v>0</v>
      </c>
      <c r="G1504" s="880">
        <v>1</v>
      </c>
      <c r="H1504" s="465"/>
      <c r="I1504" s="465"/>
      <c r="J1504" s="826">
        <v>0</v>
      </c>
      <c r="K1504" s="878">
        <v>0</v>
      </c>
    </row>
    <row r="1505" spans="1:11" ht="22.5" customHeight="1" x14ac:dyDescent="0.25">
      <c r="A1505" s="816" t="s">
        <v>267</v>
      </c>
      <c r="B1505" s="880">
        <v>2025</v>
      </c>
      <c r="C1505" s="816" t="s">
        <v>1935</v>
      </c>
      <c r="D1505" s="816" t="s">
        <v>1947</v>
      </c>
      <c r="E1505" s="816" t="s">
        <v>8321</v>
      </c>
      <c r="F1505" s="826">
        <v>0</v>
      </c>
      <c r="G1505" s="880">
        <v>1</v>
      </c>
      <c r="H1505" s="465"/>
      <c r="I1505" s="465"/>
      <c r="J1505" s="826">
        <v>0</v>
      </c>
      <c r="K1505" s="878">
        <v>0</v>
      </c>
    </row>
    <row r="1506" spans="1:11" ht="22.5" customHeight="1" x14ac:dyDescent="0.25">
      <c r="A1506" s="816" t="s">
        <v>267</v>
      </c>
      <c r="B1506" s="880">
        <v>2025</v>
      </c>
      <c r="C1506" s="816" t="s">
        <v>1935</v>
      </c>
      <c r="D1506" s="816" t="s">
        <v>1948</v>
      </c>
      <c r="E1506" s="816" t="s">
        <v>8322</v>
      </c>
      <c r="F1506" s="826">
        <v>0</v>
      </c>
      <c r="G1506" s="880">
        <v>1</v>
      </c>
      <c r="H1506" s="826">
        <v>-329775.43</v>
      </c>
      <c r="I1506" s="826">
        <v>130319.03999999999</v>
      </c>
      <c r="J1506" s="826">
        <v>-199456.39</v>
      </c>
      <c r="K1506" s="878">
        <v>-199456.39</v>
      </c>
    </row>
    <row r="1507" spans="1:11" ht="22.5" customHeight="1" x14ac:dyDescent="0.25">
      <c r="A1507" s="816" t="s">
        <v>267</v>
      </c>
      <c r="B1507" s="880">
        <v>2025</v>
      </c>
      <c r="C1507" s="816" t="s">
        <v>1935</v>
      </c>
      <c r="D1507" s="816" t="s">
        <v>1949</v>
      </c>
      <c r="E1507" s="816" t="s">
        <v>8323</v>
      </c>
      <c r="F1507" s="826">
        <v>0</v>
      </c>
      <c r="G1507" s="880">
        <v>1</v>
      </c>
      <c r="H1507" s="826">
        <v>-138483.23000000001</v>
      </c>
      <c r="I1507" s="826">
        <v>7712.77</v>
      </c>
      <c r="J1507" s="826">
        <v>-130770.46</v>
      </c>
      <c r="K1507" s="878">
        <v>-130770.46</v>
      </c>
    </row>
    <row r="1508" spans="1:11" ht="22.5" customHeight="1" x14ac:dyDescent="0.25">
      <c r="A1508" s="816" t="s">
        <v>267</v>
      </c>
      <c r="B1508" s="880">
        <v>2025</v>
      </c>
      <c r="C1508" s="816" t="s">
        <v>1935</v>
      </c>
      <c r="D1508" s="816" t="s">
        <v>1950</v>
      </c>
      <c r="E1508" s="816" t="s">
        <v>8324</v>
      </c>
      <c r="F1508" s="826">
        <v>0</v>
      </c>
      <c r="G1508" s="880">
        <v>1</v>
      </c>
      <c r="H1508" s="826">
        <v>-161919.6</v>
      </c>
      <c r="I1508" s="826">
        <v>36174.019999999997</v>
      </c>
      <c r="J1508" s="826">
        <v>-125745.58</v>
      </c>
      <c r="K1508" s="878">
        <v>-125745.58</v>
      </c>
    </row>
    <row r="1509" spans="1:11" ht="22.5" customHeight="1" x14ac:dyDescent="0.25">
      <c r="A1509" s="816" t="s">
        <v>267</v>
      </c>
      <c r="B1509" s="880">
        <v>2025</v>
      </c>
      <c r="C1509" s="816" t="s">
        <v>1935</v>
      </c>
      <c r="D1509" s="816" t="s">
        <v>1951</v>
      </c>
      <c r="E1509" s="816" t="s">
        <v>8325</v>
      </c>
      <c r="F1509" s="826">
        <v>0</v>
      </c>
      <c r="G1509" s="880">
        <v>1</v>
      </c>
      <c r="H1509" s="826">
        <v>-236075.17</v>
      </c>
      <c r="I1509" s="826">
        <v>169384.55</v>
      </c>
      <c r="J1509" s="826">
        <v>-66690.62</v>
      </c>
      <c r="K1509" s="878">
        <v>-66690.62</v>
      </c>
    </row>
    <row r="1510" spans="1:11" ht="22.5" customHeight="1" x14ac:dyDescent="0.25">
      <c r="A1510" s="816" t="s">
        <v>267</v>
      </c>
      <c r="B1510" s="880">
        <v>2025</v>
      </c>
      <c r="C1510" s="816" t="s">
        <v>1935</v>
      </c>
      <c r="D1510" s="816" t="s">
        <v>7801</v>
      </c>
      <c r="E1510" s="816" t="s">
        <v>8326</v>
      </c>
      <c r="F1510" s="826">
        <v>0</v>
      </c>
      <c r="G1510" s="880">
        <v>1</v>
      </c>
      <c r="H1510" s="826">
        <v>137867.04</v>
      </c>
      <c r="I1510" s="826">
        <v>129950.87</v>
      </c>
      <c r="J1510" s="826">
        <v>267817.90999999997</v>
      </c>
      <c r="K1510" s="878">
        <v>267817.90999999997</v>
      </c>
    </row>
    <row r="1511" spans="1:11" ht="22.5" customHeight="1" x14ac:dyDescent="0.25">
      <c r="A1511" s="816" t="s">
        <v>267</v>
      </c>
      <c r="B1511" s="880">
        <v>2025</v>
      </c>
      <c r="C1511" s="816" t="s">
        <v>1935</v>
      </c>
      <c r="D1511" s="816" t="s">
        <v>1952</v>
      </c>
      <c r="E1511" s="816" t="s">
        <v>8327</v>
      </c>
      <c r="F1511" s="826">
        <v>-254845.14</v>
      </c>
      <c r="G1511" s="880">
        <v>0</v>
      </c>
      <c r="H1511" s="465"/>
      <c r="I1511" s="465"/>
      <c r="J1511" s="826">
        <v>0</v>
      </c>
      <c r="K1511" s="878">
        <v>-254845.14</v>
      </c>
    </row>
    <row r="1512" spans="1:11" ht="22.5" customHeight="1" x14ac:dyDescent="0.25">
      <c r="A1512" s="816" t="s">
        <v>267</v>
      </c>
      <c r="B1512" s="880">
        <v>2025</v>
      </c>
      <c r="C1512" s="816" t="s">
        <v>1953</v>
      </c>
      <c r="D1512" s="816" t="s">
        <v>1954</v>
      </c>
      <c r="E1512" s="816" t="s">
        <v>2713</v>
      </c>
      <c r="F1512" s="826">
        <v>0</v>
      </c>
      <c r="G1512" s="880">
        <v>0</v>
      </c>
      <c r="H1512" s="465"/>
      <c r="I1512" s="465"/>
      <c r="J1512" s="826">
        <v>0</v>
      </c>
      <c r="K1512" s="878">
        <v>0</v>
      </c>
    </row>
    <row r="1513" spans="1:11" ht="22.5" customHeight="1" x14ac:dyDescent="0.25">
      <c r="A1513" s="816" t="s">
        <v>269</v>
      </c>
      <c r="B1513" s="880">
        <v>2025</v>
      </c>
      <c r="C1513" s="816" t="s">
        <v>1854</v>
      </c>
      <c r="D1513" s="816" t="s">
        <v>1855</v>
      </c>
      <c r="E1513" s="816" t="s">
        <v>2714</v>
      </c>
      <c r="F1513" s="826">
        <v>147053.26999999999</v>
      </c>
      <c r="G1513" s="880">
        <v>0</v>
      </c>
      <c r="H1513" s="465"/>
      <c r="I1513" s="465"/>
      <c r="J1513" s="826">
        <v>0</v>
      </c>
      <c r="K1513" s="878">
        <v>147053.26999999999</v>
      </c>
    </row>
    <row r="1514" spans="1:11" ht="22.5" customHeight="1" x14ac:dyDescent="0.25">
      <c r="A1514" s="816" t="s">
        <v>269</v>
      </c>
      <c r="B1514" s="880">
        <v>2025</v>
      </c>
      <c r="C1514" s="816" t="s">
        <v>7746</v>
      </c>
      <c r="D1514" s="816" t="s">
        <v>7747</v>
      </c>
      <c r="E1514" s="816" t="s">
        <v>7776</v>
      </c>
      <c r="F1514" s="826">
        <v>0</v>
      </c>
      <c r="G1514" s="880">
        <v>0</v>
      </c>
      <c r="H1514" s="465"/>
      <c r="I1514" s="465"/>
      <c r="J1514" s="826">
        <v>0</v>
      </c>
      <c r="K1514" s="878">
        <v>0</v>
      </c>
    </row>
    <row r="1515" spans="1:11" ht="22.5" customHeight="1" x14ac:dyDescent="0.25">
      <c r="A1515" s="816" t="s">
        <v>269</v>
      </c>
      <c r="B1515" s="880">
        <v>2025</v>
      </c>
      <c r="C1515" s="816" t="s">
        <v>1857</v>
      </c>
      <c r="D1515" s="816" t="s">
        <v>1858</v>
      </c>
      <c r="E1515" s="816" t="s">
        <v>2715</v>
      </c>
      <c r="F1515" s="826">
        <v>0</v>
      </c>
      <c r="G1515" s="880">
        <v>0</v>
      </c>
      <c r="H1515" s="465"/>
      <c r="I1515" s="465"/>
      <c r="J1515" s="826">
        <v>0</v>
      </c>
      <c r="K1515" s="878">
        <v>0</v>
      </c>
    </row>
    <row r="1516" spans="1:11" ht="22.5" customHeight="1" x14ac:dyDescent="0.25">
      <c r="A1516" s="816" t="s">
        <v>269</v>
      </c>
      <c r="B1516" s="880">
        <v>2025</v>
      </c>
      <c r="C1516" s="816" t="s">
        <v>1860</v>
      </c>
      <c r="D1516" s="816" t="s">
        <v>1861</v>
      </c>
      <c r="E1516" s="816" t="s">
        <v>2716</v>
      </c>
      <c r="F1516" s="826">
        <v>0</v>
      </c>
      <c r="G1516" s="880">
        <v>0</v>
      </c>
      <c r="H1516" s="465"/>
      <c r="I1516" s="465"/>
      <c r="J1516" s="826">
        <v>0</v>
      </c>
      <c r="K1516" s="878">
        <v>0</v>
      </c>
    </row>
    <row r="1517" spans="1:11" ht="22.5" customHeight="1" x14ac:dyDescent="0.25">
      <c r="A1517" s="816" t="s">
        <v>269</v>
      </c>
      <c r="B1517" s="880">
        <v>2025</v>
      </c>
      <c r="C1517" s="816" t="s">
        <v>1863</v>
      </c>
      <c r="D1517" s="816" t="s">
        <v>1864</v>
      </c>
      <c r="E1517" s="816" t="s">
        <v>2717</v>
      </c>
      <c r="F1517" s="826">
        <v>0</v>
      </c>
      <c r="G1517" s="880">
        <v>0</v>
      </c>
      <c r="H1517" s="465"/>
      <c r="I1517" s="465"/>
      <c r="J1517" s="826">
        <v>0</v>
      </c>
      <c r="K1517" s="878">
        <v>0</v>
      </c>
    </row>
    <row r="1518" spans="1:11" ht="22.5" customHeight="1" x14ac:dyDescent="0.25">
      <c r="A1518" s="816" t="s">
        <v>269</v>
      </c>
      <c r="B1518" s="880">
        <v>2025</v>
      </c>
      <c r="C1518" s="816" t="s">
        <v>1866</v>
      </c>
      <c r="D1518" s="816" t="s">
        <v>1867</v>
      </c>
      <c r="E1518" s="816" t="s">
        <v>2718</v>
      </c>
      <c r="F1518" s="826">
        <v>0</v>
      </c>
      <c r="G1518" s="880">
        <v>0</v>
      </c>
      <c r="H1518" s="465"/>
      <c r="I1518" s="465"/>
      <c r="J1518" s="826">
        <v>0</v>
      </c>
      <c r="K1518" s="878">
        <v>0</v>
      </c>
    </row>
    <row r="1519" spans="1:11" ht="22.5" customHeight="1" x14ac:dyDescent="0.25">
      <c r="A1519" s="816" t="s">
        <v>269</v>
      </c>
      <c r="B1519" s="880">
        <v>2025</v>
      </c>
      <c r="C1519" s="816" t="s">
        <v>1869</v>
      </c>
      <c r="D1519" s="816" t="s">
        <v>1870</v>
      </c>
      <c r="E1519" s="816" t="s">
        <v>2719</v>
      </c>
      <c r="F1519" s="826">
        <v>0</v>
      </c>
      <c r="G1519" s="880">
        <v>0</v>
      </c>
      <c r="H1519" s="465"/>
      <c r="I1519" s="465"/>
      <c r="J1519" s="826">
        <v>0</v>
      </c>
      <c r="K1519" s="878">
        <v>0</v>
      </c>
    </row>
    <row r="1520" spans="1:11" ht="22.5" customHeight="1" x14ac:dyDescent="0.25">
      <c r="A1520" s="816" t="s">
        <v>269</v>
      </c>
      <c r="B1520" s="880">
        <v>2025</v>
      </c>
      <c r="C1520" s="816" t="s">
        <v>1872</v>
      </c>
      <c r="D1520" s="816" t="s">
        <v>1873</v>
      </c>
      <c r="E1520" s="816" t="s">
        <v>2720</v>
      </c>
      <c r="F1520" s="826">
        <v>0</v>
      </c>
      <c r="G1520" s="880">
        <v>0</v>
      </c>
      <c r="H1520" s="465"/>
      <c r="I1520" s="465"/>
      <c r="J1520" s="826">
        <v>0</v>
      </c>
      <c r="K1520" s="878">
        <v>0</v>
      </c>
    </row>
    <row r="1521" spans="1:11" ht="22.5" customHeight="1" x14ac:dyDescent="0.25">
      <c r="A1521" s="816" t="s">
        <v>269</v>
      </c>
      <c r="B1521" s="880">
        <v>2025</v>
      </c>
      <c r="C1521" s="816" t="s">
        <v>1875</v>
      </c>
      <c r="D1521" s="816" t="s">
        <v>1876</v>
      </c>
      <c r="E1521" s="816" t="s">
        <v>2721</v>
      </c>
      <c r="F1521" s="826">
        <v>0</v>
      </c>
      <c r="G1521" s="880">
        <v>0</v>
      </c>
      <c r="H1521" s="465"/>
      <c r="I1521" s="465"/>
      <c r="J1521" s="826">
        <v>0</v>
      </c>
      <c r="K1521" s="878">
        <v>0</v>
      </c>
    </row>
    <row r="1522" spans="1:11" ht="22.5" customHeight="1" x14ac:dyDescent="0.25">
      <c r="A1522" s="816" t="s">
        <v>269</v>
      </c>
      <c r="B1522" s="880">
        <v>2025</v>
      </c>
      <c r="C1522" s="816" t="s">
        <v>1878</v>
      </c>
      <c r="D1522" s="816" t="s">
        <v>1879</v>
      </c>
      <c r="E1522" s="816" t="s">
        <v>2722</v>
      </c>
      <c r="F1522" s="826">
        <v>0</v>
      </c>
      <c r="G1522" s="880">
        <v>0</v>
      </c>
      <c r="H1522" s="465"/>
      <c r="I1522" s="465"/>
      <c r="J1522" s="826">
        <v>0</v>
      </c>
      <c r="K1522" s="878">
        <v>0</v>
      </c>
    </row>
    <row r="1523" spans="1:11" ht="22.5" customHeight="1" x14ac:dyDescent="0.25">
      <c r="A1523" s="816" t="s">
        <v>269</v>
      </c>
      <c r="B1523" s="880">
        <v>2025</v>
      </c>
      <c r="C1523" s="816" t="s">
        <v>1881</v>
      </c>
      <c r="D1523" s="816" t="s">
        <v>1882</v>
      </c>
      <c r="E1523" s="816" t="s">
        <v>2723</v>
      </c>
      <c r="F1523" s="826">
        <v>0</v>
      </c>
      <c r="G1523" s="880">
        <v>0</v>
      </c>
      <c r="H1523" s="465"/>
      <c r="I1523" s="465"/>
      <c r="J1523" s="826">
        <v>0</v>
      </c>
      <c r="K1523" s="878">
        <v>0</v>
      </c>
    </row>
    <row r="1524" spans="1:11" ht="22.5" customHeight="1" x14ac:dyDescent="0.25">
      <c r="A1524" s="816" t="s">
        <v>269</v>
      </c>
      <c r="B1524" s="880">
        <v>2025</v>
      </c>
      <c r="C1524" s="816" t="s">
        <v>1884</v>
      </c>
      <c r="D1524" s="816" t="s">
        <v>1885</v>
      </c>
      <c r="E1524" s="816" t="s">
        <v>2724</v>
      </c>
      <c r="F1524" s="826">
        <v>0</v>
      </c>
      <c r="G1524" s="880">
        <v>0</v>
      </c>
      <c r="H1524" s="465"/>
      <c r="I1524" s="465"/>
      <c r="J1524" s="826">
        <v>0</v>
      </c>
      <c r="K1524" s="878">
        <v>0</v>
      </c>
    </row>
    <row r="1525" spans="1:11" ht="22.5" customHeight="1" x14ac:dyDescent="0.25">
      <c r="A1525" s="816" t="s">
        <v>269</v>
      </c>
      <c r="B1525" s="880">
        <v>2025</v>
      </c>
      <c r="C1525" s="816" t="s">
        <v>1887</v>
      </c>
      <c r="D1525" s="816" t="s">
        <v>138</v>
      </c>
      <c r="E1525" s="816" t="s">
        <v>2725</v>
      </c>
      <c r="F1525" s="826">
        <v>-400066.01</v>
      </c>
      <c r="G1525" s="880">
        <v>1</v>
      </c>
      <c r="H1525" s="826">
        <v>-373314.1</v>
      </c>
      <c r="I1525" s="826">
        <v>-26751.91</v>
      </c>
      <c r="J1525" s="826">
        <v>-400066.01</v>
      </c>
      <c r="K1525" s="878">
        <v>-400066.01</v>
      </c>
    </row>
    <row r="1526" spans="1:11" ht="22.5" customHeight="1" x14ac:dyDescent="0.25">
      <c r="A1526" s="816" t="s">
        <v>269</v>
      </c>
      <c r="B1526" s="880">
        <v>2025</v>
      </c>
      <c r="C1526" s="816" t="s">
        <v>1889</v>
      </c>
      <c r="D1526" s="816" t="s">
        <v>139</v>
      </c>
      <c r="E1526" s="816" t="s">
        <v>2726</v>
      </c>
      <c r="F1526" s="826">
        <v>-80406.42</v>
      </c>
      <c r="G1526" s="880">
        <v>1</v>
      </c>
      <c r="H1526" s="826">
        <v>-75821.41</v>
      </c>
      <c r="I1526" s="826">
        <v>-4585.01</v>
      </c>
      <c r="J1526" s="826">
        <v>-80406.42</v>
      </c>
      <c r="K1526" s="878">
        <v>-80406.42</v>
      </c>
    </row>
    <row r="1527" spans="1:11" ht="22.5" customHeight="1" x14ac:dyDescent="0.25">
      <c r="A1527" s="816" t="s">
        <v>269</v>
      </c>
      <c r="B1527" s="880">
        <v>2025</v>
      </c>
      <c r="C1527" s="816" t="s">
        <v>1891</v>
      </c>
      <c r="D1527" s="816" t="s">
        <v>1892</v>
      </c>
      <c r="E1527" s="816" t="s">
        <v>2727</v>
      </c>
      <c r="F1527" s="826">
        <v>0</v>
      </c>
      <c r="G1527" s="880">
        <v>0</v>
      </c>
      <c r="H1527" s="465"/>
      <c r="I1527" s="465"/>
      <c r="J1527" s="826">
        <v>0</v>
      </c>
      <c r="K1527" s="878">
        <v>0</v>
      </c>
    </row>
    <row r="1528" spans="1:11" ht="22.5" customHeight="1" x14ac:dyDescent="0.25">
      <c r="A1528" s="816" t="s">
        <v>269</v>
      </c>
      <c r="B1528" s="880">
        <v>2025</v>
      </c>
      <c r="C1528" s="816" t="s">
        <v>1891</v>
      </c>
      <c r="D1528" s="816" t="s">
        <v>1894</v>
      </c>
      <c r="E1528" s="816" t="s">
        <v>2727</v>
      </c>
      <c r="F1528" s="826">
        <v>0</v>
      </c>
      <c r="G1528" s="880">
        <v>0</v>
      </c>
      <c r="H1528" s="465"/>
      <c r="I1528" s="465"/>
      <c r="J1528" s="826">
        <v>0</v>
      </c>
      <c r="K1528" s="881">
        <v>0</v>
      </c>
    </row>
    <row r="1529" spans="1:11" ht="22.5" customHeight="1" x14ac:dyDescent="0.25">
      <c r="A1529" s="816" t="s">
        <v>269</v>
      </c>
      <c r="B1529" s="880">
        <v>2025</v>
      </c>
      <c r="C1529" s="816" t="s">
        <v>1895</v>
      </c>
      <c r="D1529" s="816" t="s">
        <v>1896</v>
      </c>
      <c r="E1529" s="816" t="s">
        <v>2728</v>
      </c>
      <c r="F1529" s="826">
        <v>0</v>
      </c>
      <c r="G1529" s="880">
        <v>0</v>
      </c>
      <c r="H1529" s="465"/>
      <c r="I1529" s="465"/>
      <c r="J1529" s="826">
        <v>0</v>
      </c>
      <c r="K1529" s="878">
        <v>0</v>
      </c>
    </row>
    <row r="1530" spans="1:11" ht="22.5" customHeight="1" x14ac:dyDescent="0.25">
      <c r="A1530" s="816" t="s">
        <v>269</v>
      </c>
      <c r="B1530" s="880">
        <v>2025</v>
      </c>
      <c r="C1530" s="816" t="s">
        <v>1898</v>
      </c>
      <c r="D1530" s="816" t="s">
        <v>1899</v>
      </c>
      <c r="E1530" s="816" t="s">
        <v>2729</v>
      </c>
      <c r="F1530" s="826">
        <v>0</v>
      </c>
      <c r="G1530" s="880">
        <v>0</v>
      </c>
      <c r="H1530" s="465"/>
      <c r="I1530" s="465"/>
      <c r="J1530" s="826">
        <v>0</v>
      </c>
      <c r="K1530" s="878">
        <v>0</v>
      </c>
    </row>
    <row r="1531" spans="1:11" ht="22.5" customHeight="1" x14ac:dyDescent="0.25">
      <c r="A1531" s="816" t="s">
        <v>269</v>
      </c>
      <c r="B1531" s="880">
        <v>2025</v>
      </c>
      <c r="C1531" s="816" t="s">
        <v>1901</v>
      </c>
      <c r="D1531" s="816" t="s">
        <v>1902</v>
      </c>
      <c r="E1531" s="816" t="s">
        <v>2730</v>
      </c>
      <c r="F1531" s="826">
        <v>0</v>
      </c>
      <c r="G1531" s="880">
        <v>0</v>
      </c>
      <c r="H1531" s="465"/>
      <c r="I1531" s="465"/>
      <c r="J1531" s="826">
        <v>0</v>
      </c>
      <c r="K1531" s="878">
        <v>0</v>
      </c>
    </row>
    <row r="1532" spans="1:11" ht="22.5" customHeight="1" x14ac:dyDescent="0.25">
      <c r="A1532" s="816" t="s">
        <v>269</v>
      </c>
      <c r="B1532" s="880">
        <v>2025</v>
      </c>
      <c r="C1532" s="816" t="s">
        <v>1904</v>
      </c>
      <c r="D1532" s="816" t="s">
        <v>1905</v>
      </c>
      <c r="E1532" s="816" t="s">
        <v>2731</v>
      </c>
      <c r="F1532" s="826">
        <v>0</v>
      </c>
      <c r="G1532" s="880">
        <v>0</v>
      </c>
      <c r="H1532" s="465"/>
      <c r="I1532" s="465"/>
      <c r="J1532" s="826">
        <v>0</v>
      </c>
      <c r="K1532" s="878">
        <v>0</v>
      </c>
    </row>
    <row r="1533" spans="1:11" ht="22.5" customHeight="1" x14ac:dyDescent="0.25">
      <c r="A1533" s="816" t="s">
        <v>269</v>
      </c>
      <c r="B1533" s="880">
        <v>2025</v>
      </c>
      <c r="C1533" s="816" t="s">
        <v>1907</v>
      </c>
      <c r="D1533" s="816" t="s">
        <v>1908</v>
      </c>
      <c r="E1533" s="816" t="s">
        <v>2732</v>
      </c>
      <c r="F1533" s="826">
        <v>0</v>
      </c>
      <c r="G1533" s="880">
        <v>0</v>
      </c>
      <c r="H1533" s="465"/>
      <c r="I1533" s="465"/>
      <c r="J1533" s="826">
        <v>0</v>
      </c>
      <c r="K1533" s="878">
        <v>0</v>
      </c>
    </row>
    <row r="1534" spans="1:11" ht="22.5" customHeight="1" x14ac:dyDescent="0.25">
      <c r="A1534" s="816" t="s">
        <v>269</v>
      </c>
      <c r="B1534" s="880">
        <v>2025</v>
      </c>
      <c r="C1534" s="816" t="s">
        <v>1910</v>
      </c>
      <c r="D1534" s="816" t="s">
        <v>1911</v>
      </c>
      <c r="E1534" s="816" t="s">
        <v>2733</v>
      </c>
      <c r="F1534" s="826">
        <v>0</v>
      </c>
      <c r="G1534" s="880">
        <v>0</v>
      </c>
      <c r="H1534" s="465"/>
      <c r="I1534" s="465"/>
      <c r="J1534" s="826">
        <v>0</v>
      </c>
      <c r="K1534" s="878">
        <v>0</v>
      </c>
    </row>
    <row r="1535" spans="1:11" ht="22.5" customHeight="1" x14ac:dyDescent="0.25">
      <c r="A1535" s="816" t="s">
        <v>269</v>
      </c>
      <c r="B1535" s="880">
        <v>2025</v>
      </c>
      <c r="C1535" s="816" t="s">
        <v>1913</v>
      </c>
      <c r="D1535" s="816" t="s">
        <v>1914</v>
      </c>
      <c r="E1535" s="816" t="s">
        <v>2734</v>
      </c>
      <c r="F1535" s="826">
        <v>-788060.95</v>
      </c>
      <c r="G1535" s="880">
        <v>1</v>
      </c>
      <c r="H1535" s="826">
        <v>-736008.32</v>
      </c>
      <c r="I1535" s="826">
        <v>-52052.63</v>
      </c>
      <c r="J1535" s="826">
        <v>-788060.95</v>
      </c>
      <c r="K1535" s="878">
        <v>-788060.95</v>
      </c>
    </row>
    <row r="1536" spans="1:11" ht="22.5" customHeight="1" x14ac:dyDescent="0.25">
      <c r="A1536" s="816" t="s">
        <v>269</v>
      </c>
      <c r="B1536" s="880">
        <v>2025</v>
      </c>
      <c r="C1536" s="816" t="s">
        <v>1913</v>
      </c>
      <c r="D1536" s="816" t="s">
        <v>1916</v>
      </c>
      <c r="E1536" s="816" t="s">
        <v>2734</v>
      </c>
      <c r="F1536" s="826">
        <v>0</v>
      </c>
      <c r="G1536" s="880">
        <v>0</v>
      </c>
      <c r="H1536" s="465"/>
      <c r="I1536" s="465"/>
      <c r="J1536" s="826">
        <v>0</v>
      </c>
      <c r="K1536" s="881">
        <v>0</v>
      </c>
    </row>
    <row r="1537" spans="1:11" ht="22.5" customHeight="1" x14ac:dyDescent="0.25">
      <c r="A1537" s="816" t="s">
        <v>269</v>
      </c>
      <c r="B1537" s="880">
        <v>2025</v>
      </c>
      <c r="C1537" s="816" t="s">
        <v>1913</v>
      </c>
      <c r="D1537" s="816" t="s">
        <v>1917</v>
      </c>
      <c r="E1537" s="816" t="s">
        <v>2734</v>
      </c>
      <c r="F1537" s="826">
        <v>0</v>
      </c>
      <c r="G1537" s="880">
        <v>0</v>
      </c>
      <c r="H1537" s="465"/>
      <c r="I1537" s="465"/>
      <c r="J1537" s="826">
        <v>0</v>
      </c>
      <c r="K1537" s="881">
        <v>0</v>
      </c>
    </row>
    <row r="1538" spans="1:11" ht="22.5" customHeight="1" x14ac:dyDescent="0.25">
      <c r="A1538" s="816" t="s">
        <v>269</v>
      </c>
      <c r="B1538" s="880">
        <v>2025</v>
      </c>
      <c r="C1538" s="816" t="s">
        <v>1913</v>
      </c>
      <c r="D1538" s="816" t="s">
        <v>1918</v>
      </c>
      <c r="E1538" s="816" t="s">
        <v>2734</v>
      </c>
      <c r="F1538" s="826">
        <v>0</v>
      </c>
      <c r="G1538" s="880">
        <v>0</v>
      </c>
      <c r="H1538" s="465"/>
      <c r="I1538" s="465"/>
      <c r="J1538" s="826">
        <v>0</v>
      </c>
      <c r="K1538" s="881">
        <v>3741.44</v>
      </c>
    </row>
    <row r="1539" spans="1:11" ht="22.5" customHeight="1" x14ac:dyDescent="0.25">
      <c r="A1539" s="816" t="s">
        <v>269</v>
      </c>
      <c r="B1539" s="880">
        <v>2025</v>
      </c>
      <c r="C1539" s="816" t="s">
        <v>1913</v>
      </c>
      <c r="D1539" s="816" t="s">
        <v>1919</v>
      </c>
      <c r="E1539" s="816" t="s">
        <v>2734</v>
      </c>
      <c r="F1539" s="826">
        <v>0</v>
      </c>
      <c r="G1539" s="880">
        <v>0</v>
      </c>
      <c r="H1539" s="465"/>
      <c r="I1539" s="465"/>
      <c r="J1539" s="826">
        <v>0</v>
      </c>
      <c r="K1539" s="881">
        <v>255852.46</v>
      </c>
    </row>
    <row r="1540" spans="1:11" ht="22.5" customHeight="1" x14ac:dyDescent="0.25">
      <c r="A1540" s="816" t="s">
        <v>269</v>
      </c>
      <c r="B1540" s="880">
        <v>2025</v>
      </c>
      <c r="C1540" s="816" t="s">
        <v>1920</v>
      </c>
      <c r="D1540" s="816" t="s">
        <v>1921</v>
      </c>
      <c r="E1540" s="816" t="s">
        <v>2735</v>
      </c>
      <c r="F1540" s="826">
        <v>0</v>
      </c>
      <c r="G1540" s="880">
        <v>0</v>
      </c>
      <c r="H1540" s="465"/>
      <c r="I1540" s="465"/>
      <c r="J1540" s="826">
        <v>0</v>
      </c>
      <c r="K1540" s="878">
        <v>0</v>
      </c>
    </row>
    <row r="1541" spans="1:11" ht="22.5" customHeight="1" x14ac:dyDescent="0.25">
      <c r="A1541" s="816" t="s">
        <v>269</v>
      </c>
      <c r="B1541" s="880">
        <v>2025</v>
      </c>
      <c r="C1541" s="816" t="s">
        <v>1923</v>
      </c>
      <c r="D1541" s="816" t="s">
        <v>143</v>
      </c>
      <c r="E1541" s="816" t="s">
        <v>2736</v>
      </c>
      <c r="F1541" s="826">
        <v>588900.17000000004</v>
      </c>
      <c r="G1541" s="880">
        <v>1</v>
      </c>
      <c r="H1541" s="826">
        <v>565150.67000000004</v>
      </c>
      <c r="I1541" s="826">
        <v>23749.5</v>
      </c>
      <c r="J1541" s="826">
        <v>588900.17000000004</v>
      </c>
      <c r="K1541" s="878">
        <v>588900.17000000004</v>
      </c>
    </row>
    <row r="1542" spans="1:11" ht="22.5" customHeight="1" x14ac:dyDescent="0.25">
      <c r="A1542" s="816" t="s">
        <v>269</v>
      </c>
      <c r="B1542" s="880">
        <v>2025</v>
      </c>
      <c r="C1542" s="816" t="s">
        <v>1925</v>
      </c>
      <c r="D1542" s="816" t="s">
        <v>144</v>
      </c>
      <c r="E1542" s="816" t="s">
        <v>2737</v>
      </c>
      <c r="F1542" s="826">
        <v>795655.25</v>
      </c>
      <c r="G1542" s="880">
        <v>1</v>
      </c>
      <c r="H1542" s="826">
        <v>743652.2</v>
      </c>
      <c r="I1542" s="826">
        <v>52003.05</v>
      </c>
      <c r="J1542" s="826">
        <v>795655.25</v>
      </c>
      <c r="K1542" s="878">
        <v>795655.25</v>
      </c>
    </row>
    <row r="1543" spans="1:11" ht="22.5" customHeight="1" x14ac:dyDescent="0.25">
      <c r="A1543" s="816" t="s">
        <v>269</v>
      </c>
      <c r="B1543" s="880">
        <v>2025</v>
      </c>
      <c r="C1543" s="816" t="s">
        <v>1927</v>
      </c>
      <c r="D1543" s="816" t="s">
        <v>1928</v>
      </c>
      <c r="E1543" s="816" t="s">
        <v>2738</v>
      </c>
      <c r="F1543" s="826">
        <v>-105164.93</v>
      </c>
      <c r="G1543" s="880">
        <v>1</v>
      </c>
      <c r="H1543" s="826">
        <v>-98032.67</v>
      </c>
      <c r="I1543" s="826">
        <v>-7132.26</v>
      </c>
      <c r="J1543" s="826">
        <v>-105164.93</v>
      </c>
      <c r="K1543" s="878">
        <v>-105164.93</v>
      </c>
    </row>
    <row r="1544" spans="1:11" ht="22.5" customHeight="1" x14ac:dyDescent="0.25">
      <c r="A1544" s="816" t="s">
        <v>269</v>
      </c>
      <c r="B1544" s="880">
        <v>2025</v>
      </c>
      <c r="C1544" s="816" t="s">
        <v>1930</v>
      </c>
      <c r="D1544" s="816" t="s">
        <v>156</v>
      </c>
      <c r="E1544" s="816" t="s">
        <v>2739</v>
      </c>
      <c r="F1544" s="826">
        <v>929249.04</v>
      </c>
      <c r="G1544" s="880">
        <v>1</v>
      </c>
      <c r="H1544" s="826">
        <v>890146.06</v>
      </c>
      <c r="I1544" s="826">
        <v>39102.980000000003</v>
      </c>
      <c r="J1544" s="826">
        <v>929249.04</v>
      </c>
      <c r="K1544" s="878">
        <v>929249.04</v>
      </c>
    </row>
    <row r="1545" spans="1:11" ht="22.5" customHeight="1" x14ac:dyDescent="0.25">
      <c r="A1545" s="816" t="s">
        <v>269</v>
      </c>
      <c r="B1545" s="880">
        <v>2025</v>
      </c>
      <c r="C1545" s="816" t="s">
        <v>1932</v>
      </c>
      <c r="D1545" s="816" t="s">
        <v>1933</v>
      </c>
      <c r="E1545" s="816" t="s">
        <v>2740</v>
      </c>
      <c r="F1545" s="826">
        <v>0</v>
      </c>
      <c r="G1545" s="880">
        <v>0</v>
      </c>
      <c r="H1545" s="465"/>
      <c r="I1545" s="465"/>
      <c r="J1545" s="826">
        <v>0</v>
      </c>
      <c r="K1545" s="878">
        <v>0</v>
      </c>
    </row>
    <row r="1546" spans="1:11" ht="22.5" customHeight="1" x14ac:dyDescent="0.25">
      <c r="A1546" s="816" t="s">
        <v>269</v>
      </c>
      <c r="B1546" s="880">
        <v>2025</v>
      </c>
      <c r="C1546" s="816" t="s">
        <v>1935</v>
      </c>
      <c r="D1546" s="816" t="s">
        <v>1936</v>
      </c>
      <c r="E1546" s="816" t="s">
        <v>8328</v>
      </c>
      <c r="F1546" s="826">
        <v>0</v>
      </c>
      <c r="G1546" s="880">
        <v>1</v>
      </c>
      <c r="H1546" s="465"/>
      <c r="I1546" s="465"/>
      <c r="J1546" s="826">
        <v>0</v>
      </c>
      <c r="K1546" s="878">
        <v>0</v>
      </c>
    </row>
    <row r="1547" spans="1:11" ht="22.5" customHeight="1" x14ac:dyDescent="0.25">
      <c r="A1547" s="816" t="s">
        <v>269</v>
      </c>
      <c r="B1547" s="880">
        <v>2025</v>
      </c>
      <c r="C1547" s="816" t="s">
        <v>1935</v>
      </c>
      <c r="D1547" s="816" t="s">
        <v>1937</v>
      </c>
      <c r="E1547" s="816" t="s">
        <v>8329</v>
      </c>
      <c r="F1547" s="826">
        <v>0</v>
      </c>
      <c r="G1547" s="880">
        <v>1</v>
      </c>
      <c r="H1547" s="465"/>
      <c r="I1547" s="465"/>
      <c r="J1547" s="826">
        <v>0</v>
      </c>
      <c r="K1547" s="878">
        <v>0</v>
      </c>
    </row>
    <row r="1548" spans="1:11" ht="22.5" customHeight="1" x14ac:dyDescent="0.25">
      <c r="A1548" s="816" t="s">
        <v>269</v>
      </c>
      <c r="B1548" s="880">
        <v>2025</v>
      </c>
      <c r="C1548" s="816" t="s">
        <v>1935</v>
      </c>
      <c r="D1548" s="816" t="s">
        <v>1938</v>
      </c>
      <c r="E1548" s="816" t="s">
        <v>8330</v>
      </c>
      <c r="F1548" s="826">
        <v>0</v>
      </c>
      <c r="G1548" s="880">
        <v>1</v>
      </c>
      <c r="H1548" s="465"/>
      <c r="I1548" s="465"/>
      <c r="J1548" s="826">
        <v>0</v>
      </c>
      <c r="K1548" s="878">
        <v>0</v>
      </c>
    </row>
    <row r="1549" spans="1:11" ht="22.5" customHeight="1" x14ac:dyDescent="0.25">
      <c r="A1549" s="816" t="s">
        <v>269</v>
      </c>
      <c r="B1549" s="880">
        <v>2025</v>
      </c>
      <c r="C1549" s="816" t="s">
        <v>1935</v>
      </c>
      <c r="D1549" s="816" t="s">
        <v>1939</v>
      </c>
      <c r="E1549" s="816" t="s">
        <v>8331</v>
      </c>
      <c r="F1549" s="826">
        <v>0</v>
      </c>
      <c r="G1549" s="880">
        <v>1</v>
      </c>
      <c r="H1549" s="465"/>
      <c r="I1549" s="465"/>
      <c r="J1549" s="826">
        <v>0</v>
      </c>
      <c r="K1549" s="878">
        <v>0</v>
      </c>
    </row>
    <row r="1550" spans="1:11" ht="22.5" customHeight="1" x14ac:dyDescent="0.25">
      <c r="A1550" s="816" t="s">
        <v>269</v>
      </c>
      <c r="B1550" s="880">
        <v>2025</v>
      </c>
      <c r="C1550" s="816" t="s">
        <v>1935</v>
      </c>
      <c r="D1550" s="816" t="s">
        <v>1940</v>
      </c>
      <c r="E1550" s="816" t="s">
        <v>8332</v>
      </c>
      <c r="F1550" s="826">
        <v>0</v>
      </c>
      <c r="G1550" s="880">
        <v>1</v>
      </c>
      <c r="H1550" s="465"/>
      <c r="I1550" s="465"/>
      <c r="J1550" s="826">
        <v>0</v>
      </c>
      <c r="K1550" s="878">
        <v>0</v>
      </c>
    </row>
    <row r="1551" spans="1:11" ht="22.5" customHeight="1" x14ac:dyDescent="0.25">
      <c r="A1551" s="816" t="s">
        <v>269</v>
      </c>
      <c r="B1551" s="880">
        <v>2025</v>
      </c>
      <c r="C1551" s="816" t="s">
        <v>1935</v>
      </c>
      <c r="D1551" s="816" t="s">
        <v>1941</v>
      </c>
      <c r="E1551" s="816" t="s">
        <v>8333</v>
      </c>
      <c r="F1551" s="826">
        <v>0</v>
      </c>
      <c r="G1551" s="880">
        <v>1</v>
      </c>
      <c r="H1551" s="465"/>
      <c r="I1551" s="465"/>
      <c r="J1551" s="826">
        <v>0</v>
      </c>
      <c r="K1551" s="878">
        <v>0</v>
      </c>
    </row>
    <row r="1552" spans="1:11" ht="22.5" customHeight="1" x14ac:dyDescent="0.25">
      <c r="A1552" s="816" t="s">
        <v>269</v>
      </c>
      <c r="B1552" s="880">
        <v>2025</v>
      </c>
      <c r="C1552" s="816" t="s">
        <v>1935</v>
      </c>
      <c r="D1552" s="816" t="s">
        <v>1942</v>
      </c>
      <c r="E1552" s="816" t="s">
        <v>8334</v>
      </c>
      <c r="F1552" s="826">
        <v>0</v>
      </c>
      <c r="G1552" s="880">
        <v>1</v>
      </c>
      <c r="H1552" s="465"/>
      <c r="I1552" s="465"/>
      <c r="J1552" s="826">
        <v>0</v>
      </c>
      <c r="K1552" s="878">
        <v>0</v>
      </c>
    </row>
    <row r="1553" spans="1:11" ht="22.5" customHeight="1" x14ac:dyDescent="0.25">
      <c r="A1553" s="816" t="s">
        <v>269</v>
      </c>
      <c r="B1553" s="880">
        <v>2025</v>
      </c>
      <c r="C1553" s="816" t="s">
        <v>1935</v>
      </c>
      <c r="D1553" s="816" t="s">
        <v>1943</v>
      </c>
      <c r="E1553" s="816" t="s">
        <v>8335</v>
      </c>
      <c r="F1553" s="826">
        <v>0</v>
      </c>
      <c r="G1553" s="880">
        <v>1</v>
      </c>
      <c r="H1553" s="465"/>
      <c r="I1553" s="465"/>
      <c r="J1553" s="826">
        <v>0</v>
      </c>
      <c r="K1553" s="878">
        <v>0</v>
      </c>
    </row>
    <row r="1554" spans="1:11" ht="22.5" customHeight="1" x14ac:dyDescent="0.25">
      <c r="A1554" s="816" t="s">
        <v>269</v>
      </c>
      <c r="B1554" s="880">
        <v>2025</v>
      </c>
      <c r="C1554" s="816" t="s">
        <v>1935</v>
      </c>
      <c r="D1554" s="816" t="s">
        <v>1944</v>
      </c>
      <c r="E1554" s="816" t="s">
        <v>8336</v>
      </c>
      <c r="F1554" s="826">
        <v>0</v>
      </c>
      <c r="G1554" s="880">
        <v>1</v>
      </c>
      <c r="H1554" s="465"/>
      <c r="I1554" s="465"/>
      <c r="J1554" s="826">
        <v>0</v>
      </c>
      <c r="K1554" s="878">
        <v>0</v>
      </c>
    </row>
    <row r="1555" spans="1:11" ht="22.5" customHeight="1" x14ac:dyDescent="0.25">
      <c r="A1555" s="816" t="s">
        <v>269</v>
      </c>
      <c r="B1555" s="880">
        <v>2025</v>
      </c>
      <c r="C1555" s="816" t="s">
        <v>1935</v>
      </c>
      <c r="D1555" s="816" t="s">
        <v>1945</v>
      </c>
      <c r="E1555" s="816" t="s">
        <v>8337</v>
      </c>
      <c r="F1555" s="826">
        <v>0</v>
      </c>
      <c r="G1555" s="880">
        <v>1</v>
      </c>
      <c r="H1555" s="465"/>
      <c r="I1555" s="465"/>
      <c r="J1555" s="826">
        <v>0</v>
      </c>
      <c r="K1555" s="878">
        <v>0</v>
      </c>
    </row>
    <row r="1556" spans="1:11" ht="22.5" customHeight="1" x14ac:dyDescent="0.25">
      <c r="A1556" s="816" t="s">
        <v>269</v>
      </c>
      <c r="B1556" s="880">
        <v>2025</v>
      </c>
      <c r="C1556" s="816" t="s">
        <v>1935</v>
      </c>
      <c r="D1556" s="816" t="s">
        <v>1946</v>
      </c>
      <c r="E1556" s="816" t="s">
        <v>8338</v>
      </c>
      <c r="F1556" s="826">
        <v>0</v>
      </c>
      <c r="G1556" s="880">
        <v>1</v>
      </c>
      <c r="H1556" s="465"/>
      <c r="I1556" s="465"/>
      <c r="J1556" s="826">
        <v>0</v>
      </c>
      <c r="K1556" s="878">
        <v>0</v>
      </c>
    </row>
    <row r="1557" spans="1:11" ht="22.5" customHeight="1" x14ac:dyDescent="0.25">
      <c r="A1557" s="816" t="s">
        <v>269</v>
      </c>
      <c r="B1557" s="880">
        <v>2025</v>
      </c>
      <c r="C1557" s="816" t="s">
        <v>1935</v>
      </c>
      <c r="D1557" s="816" t="s">
        <v>1947</v>
      </c>
      <c r="E1557" s="816" t="s">
        <v>8339</v>
      </c>
      <c r="F1557" s="826">
        <v>0</v>
      </c>
      <c r="G1557" s="880">
        <v>1</v>
      </c>
      <c r="H1557" s="465"/>
      <c r="I1557" s="465"/>
      <c r="J1557" s="826">
        <v>0</v>
      </c>
      <c r="K1557" s="878">
        <v>0</v>
      </c>
    </row>
    <row r="1558" spans="1:11" ht="22.5" customHeight="1" x14ac:dyDescent="0.25">
      <c r="A1558" s="816" t="s">
        <v>269</v>
      </c>
      <c r="B1558" s="880">
        <v>2025</v>
      </c>
      <c r="C1558" s="816" t="s">
        <v>1935</v>
      </c>
      <c r="D1558" s="816" t="s">
        <v>1948</v>
      </c>
      <c r="E1558" s="816" t="s">
        <v>8340</v>
      </c>
      <c r="F1558" s="826">
        <v>0</v>
      </c>
      <c r="G1558" s="880">
        <v>1</v>
      </c>
      <c r="H1558" s="465"/>
      <c r="I1558" s="465"/>
      <c r="J1558" s="826">
        <v>0</v>
      </c>
      <c r="K1558" s="878">
        <v>0</v>
      </c>
    </row>
    <row r="1559" spans="1:11" ht="22.5" customHeight="1" x14ac:dyDescent="0.25">
      <c r="A1559" s="816" t="s">
        <v>269</v>
      </c>
      <c r="B1559" s="880">
        <v>2025</v>
      </c>
      <c r="C1559" s="816" t="s">
        <v>1935</v>
      </c>
      <c r="D1559" s="816" t="s">
        <v>1949</v>
      </c>
      <c r="E1559" s="816" t="s">
        <v>8341</v>
      </c>
      <c r="F1559" s="826">
        <v>0</v>
      </c>
      <c r="G1559" s="880">
        <v>1</v>
      </c>
      <c r="H1559" s="826">
        <v>-25672.53</v>
      </c>
      <c r="I1559" s="826">
        <v>148061.66</v>
      </c>
      <c r="J1559" s="826">
        <v>122389.13</v>
      </c>
      <c r="K1559" s="878">
        <v>122389.13</v>
      </c>
    </row>
    <row r="1560" spans="1:11" ht="22.5" customHeight="1" x14ac:dyDescent="0.25">
      <c r="A1560" s="816" t="s">
        <v>269</v>
      </c>
      <c r="B1560" s="880">
        <v>2025</v>
      </c>
      <c r="C1560" s="816" t="s">
        <v>1935</v>
      </c>
      <c r="D1560" s="816" t="s">
        <v>1950</v>
      </c>
      <c r="E1560" s="816" t="s">
        <v>8342</v>
      </c>
      <c r="F1560" s="826">
        <v>0</v>
      </c>
      <c r="G1560" s="880">
        <v>1</v>
      </c>
      <c r="H1560" s="826">
        <v>-4379.8500000000004</v>
      </c>
      <c r="I1560" s="826">
        <v>1505.45</v>
      </c>
      <c r="J1560" s="826">
        <v>-2874.4</v>
      </c>
      <c r="K1560" s="878">
        <v>-2874.4</v>
      </c>
    </row>
    <row r="1561" spans="1:11" ht="22.5" customHeight="1" x14ac:dyDescent="0.25">
      <c r="A1561" s="816" t="s">
        <v>269</v>
      </c>
      <c r="B1561" s="880">
        <v>2025</v>
      </c>
      <c r="C1561" s="816" t="s">
        <v>1935</v>
      </c>
      <c r="D1561" s="816" t="s">
        <v>1951</v>
      </c>
      <c r="E1561" s="816" t="s">
        <v>8343</v>
      </c>
      <c r="F1561" s="826">
        <v>0</v>
      </c>
      <c r="G1561" s="880">
        <v>1</v>
      </c>
      <c r="H1561" s="826">
        <v>-483321.77</v>
      </c>
      <c r="I1561" s="826">
        <v>455197.44</v>
      </c>
      <c r="J1561" s="826">
        <v>-28124.33</v>
      </c>
      <c r="K1561" s="878">
        <v>-28124.33</v>
      </c>
    </row>
    <row r="1562" spans="1:11" ht="22.5" customHeight="1" x14ac:dyDescent="0.25">
      <c r="A1562" s="816" t="s">
        <v>269</v>
      </c>
      <c r="B1562" s="880">
        <v>2025</v>
      </c>
      <c r="C1562" s="816" t="s">
        <v>1935</v>
      </c>
      <c r="D1562" s="816" t="s">
        <v>7801</v>
      </c>
      <c r="E1562" s="816" t="s">
        <v>8344</v>
      </c>
      <c r="F1562" s="826">
        <v>0</v>
      </c>
      <c r="G1562" s="880">
        <v>1</v>
      </c>
      <c r="H1562" s="826">
        <v>93170.46</v>
      </c>
      <c r="I1562" s="826">
        <v>122731.12</v>
      </c>
      <c r="J1562" s="826">
        <v>215901.58</v>
      </c>
      <c r="K1562" s="878">
        <v>215901.58</v>
      </c>
    </row>
    <row r="1563" spans="1:11" ht="22.5" customHeight="1" x14ac:dyDescent="0.25">
      <c r="A1563" s="816" t="s">
        <v>269</v>
      </c>
      <c r="B1563" s="880">
        <v>2025</v>
      </c>
      <c r="C1563" s="816" t="s">
        <v>1935</v>
      </c>
      <c r="D1563" s="816" t="s">
        <v>1952</v>
      </c>
      <c r="E1563" s="816" t="s">
        <v>8345</v>
      </c>
      <c r="F1563" s="826">
        <v>307291.98</v>
      </c>
      <c r="G1563" s="880">
        <v>0</v>
      </c>
      <c r="H1563" s="465"/>
      <c r="I1563" s="465"/>
      <c r="J1563" s="826">
        <v>0</v>
      </c>
      <c r="K1563" s="878">
        <v>307291.98</v>
      </c>
    </row>
    <row r="1564" spans="1:11" ht="22.5" customHeight="1" x14ac:dyDescent="0.25">
      <c r="A1564" s="816" t="s">
        <v>269</v>
      </c>
      <c r="B1564" s="880">
        <v>2025</v>
      </c>
      <c r="C1564" s="816" t="s">
        <v>1953</v>
      </c>
      <c r="D1564" s="816" t="s">
        <v>1954</v>
      </c>
      <c r="E1564" s="816" t="s">
        <v>2741</v>
      </c>
      <c r="F1564" s="826">
        <v>0</v>
      </c>
      <c r="G1564" s="880">
        <v>0</v>
      </c>
      <c r="H1564" s="465"/>
      <c r="I1564" s="465"/>
      <c r="J1564" s="826">
        <v>0</v>
      </c>
      <c r="K1564" s="878">
        <v>0</v>
      </c>
    </row>
    <row r="1565" spans="1:11" ht="22.5" customHeight="1" x14ac:dyDescent="0.25">
      <c r="A1565" s="816" t="s">
        <v>271</v>
      </c>
      <c r="B1565" s="880">
        <v>2025</v>
      </c>
      <c r="C1565" s="816" t="s">
        <v>1854</v>
      </c>
      <c r="D1565" s="816" t="s">
        <v>1855</v>
      </c>
      <c r="E1565" s="816" t="s">
        <v>2742</v>
      </c>
      <c r="F1565" s="826">
        <v>-13190.87</v>
      </c>
      <c r="G1565" s="880">
        <v>0</v>
      </c>
      <c r="H1565" s="465"/>
      <c r="I1565" s="465"/>
      <c r="J1565" s="826">
        <v>0</v>
      </c>
      <c r="K1565" s="878">
        <v>-13190.87</v>
      </c>
    </row>
    <row r="1566" spans="1:11" ht="22.5" customHeight="1" x14ac:dyDescent="0.25">
      <c r="A1566" s="816" t="s">
        <v>271</v>
      </c>
      <c r="B1566" s="880">
        <v>2025</v>
      </c>
      <c r="C1566" s="816" t="s">
        <v>7746</v>
      </c>
      <c r="D1566" s="816" t="s">
        <v>7747</v>
      </c>
      <c r="E1566" s="816" t="s">
        <v>7777</v>
      </c>
      <c r="F1566" s="826">
        <v>32508.6</v>
      </c>
      <c r="G1566" s="880">
        <v>0</v>
      </c>
      <c r="H1566" s="465"/>
      <c r="I1566" s="465"/>
      <c r="J1566" s="826">
        <v>0</v>
      </c>
      <c r="K1566" s="878">
        <v>32508.6</v>
      </c>
    </row>
    <row r="1567" spans="1:11" ht="22.5" customHeight="1" x14ac:dyDescent="0.25">
      <c r="A1567" s="816" t="s">
        <v>271</v>
      </c>
      <c r="B1567" s="880">
        <v>2025</v>
      </c>
      <c r="C1567" s="816" t="s">
        <v>1857</v>
      </c>
      <c r="D1567" s="816" t="s">
        <v>1858</v>
      </c>
      <c r="E1567" s="816" t="s">
        <v>2743</v>
      </c>
      <c r="F1567" s="826">
        <v>-651.84</v>
      </c>
      <c r="G1567" s="880">
        <v>0</v>
      </c>
      <c r="H1567" s="465"/>
      <c r="I1567" s="465"/>
      <c r="J1567" s="826">
        <v>0</v>
      </c>
      <c r="K1567" s="878">
        <v>-651.84</v>
      </c>
    </row>
    <row r="1568" spans="1:11" ht="22.5" customHeight="1" x14ac:dyDescent="0.25">
      <c r="A1568" s="816" t="s">
        <v>271</v>
      </c>
      <c r="B1568" s="880">
        <v>2025</v>
      </c>
      <c r="C1568" s="816" t="s">
        <v>1860</v>
      </c>
      <c r="D1568" s="816" t="s">
        <v>1861</v>
      </c>
      <c r="E1568" s="816" t="s">
        <v>2744</v>
      </c>
      <c r="F1568" s="826">
        <v>0</v>
      </c>
      <c r="G1568" s="880">
        <v>0</v>
      </c>
      <c r="H1568" s="465"/>
      <c r="I1568" s="465"/>
      <c r="J1568" s="826">
        <v>0</v>
      </c>
      <c r="K1568" s="878">
        <v>0</v>
      </c>
    </row>
    <row r="1569" spans="1:11" ht="22.5" customHeight="1" x14ac:dyDescent="0.25">
      <c r="A1569" s="816" t="s">
        <v>271</v>
      </c>
      <c r="B1569" s="880">
        <v>2025</v>
      </c>
      <c r="C1569" s="816" t="s">
        <v>1863</v>
      </c>
      <c r="D1569" s="816" t="s">
        <v>1864</v>
      </c>
      <c r="E1569" s="816" t="s">
        <v>2745</v>
      </c>
      <c r="F1569" s="826">
        <v>0</v>
      </c>
      <c r="G1569" s="880">
        <v>0</v>
      </c>
      <c r="H1569" s="465"/>
      <c r="I1569" s="465"/>
      <c r="J1569" s="826">
        <v>0</v>
      </c>
      <c r="K1569" s="878">
        <v>0</v>
      </c>
    </row>
    <row r="1570" spans="1:11" ht="22.5" customHeight="1" x14ac:dyDescent="0.25">
      <c r="A1570" s="816" t="s">
        <v>271</v>
      </c>
      <c r="B1570" s="880">
        <v>2025</v>
      </c>
      <c r="C1570" s="816" t="s">
        <v>1866</v>
      </c>
      <c r="D1570" s="816" t="s">
        <v>1867</v>
      </c>
      <c r="E1570" s="816" t="s">
        <v>2746</v>
      </c>
      <c r="F1570" s="826">
        <v>0</v>
      </c>
      <c r="G1570" s="880">
        <v>0</v>
      </c>
      <c r="H1570" s="465"/>
      <c r="I1570" s="465"/>
      <c r="J1570" s="826">
        <v>0</v>
      </c>
      <c r="K1570" s="878">
        <v>0</v>
      </c>
    </row>
    <row r="1571" spans="1:11" ht="22.5" customHeight="1" x14ac:dyDescent="0.25">
      <c r="A1571" s="816" t="s">
        <v>271</v>
      </c>
      <c r="B1571" s="880">
        <v>2025</v>
      </c>
      <c r="C1571" s="816" t="s">
        <v>1869</v>
      </c>
      <c r="D1571" s="816" t="s">
        <v>1870</v>
      </c>
      <c r="E1571" s="816" t="s">
        <v>2747</v>
      </c>
      <c r="F1571" s="826">
        <v>0</v>
      </c>
      <c r="G1571" s="880">
        <v>0</v>
      </c>
      <c r="H1571" s="465"/>
      <c r="I1571" s="465"/>
      <c r="J1571" s="826">
        <v>0</v>
      </c>
      <c r="K1571" s="878">
        <v>0</v>
      </c>
    </row>
    <row r="1572" spans="1:11" ht="22.5" customHeight="1" x14ac:dyDescent="0.25">
      <c r="A1572" s="816" t="s">
        <v>271</v>
      </c>
      <c r="B1572" s="880">
        <v>2025</v>
      </c>
      <c r="C1572" s="816" t="s">
        <v>1872</v>
      </c>
      <c r="D1572" s="816" t="s">
        <v>1873</v>
      </c>
      <c r="E1572" s="816" t="s">
        <v>2748</v>
      </c>
      <c r="F1572" s="826">
        <v>0</v>
      </c>
      <c r="G1572" s="880">
        <v>0</v>
      </c>
      <c r="H1572" s="465"/>
      <c r="I1572" s="465"/>
      <c r="J1572" s="826">
        <v>0</v>
      </c>
      <c r="K1572" s="878">
        <v>0</v>
      </c>
    </row>
    <row r="1573" spans="1:11" ht="22.5" customHeight="1" x14ac:dyDescent="0.25">
      <c r="A1573" s="816" t="s">
        <v>271</v>
      </c>
      <c r="B1573" s="880">
        <v>2025</v>
      </c>
      <c r="C1573" s="816" t="s">
        <v>1875</v>
      </c>
      <c r="D1573" s="816" t="s">
        <v>1876</v>
      </c>
      <c r="E1573" s="816" t="s">
        <v>2749</v>
      </c>
      <c r="F1573" s="826">
        <v>0</v>
      </c>
      <c r="G1573" s="880">
        <v>0</v>
      </c>
      <c r="H1573" s="465"/>
      <c r="I1573" s="465"/>
      <c r="J1573" s="826">
        <v>0</v>
      </c>
      <c r="K1573" s="878">
        <v>0</v>
      </c>
    </row>
    <row r="1574" spans="1:11" ht="22.5" customHeight="1" x14ac:dyDescent="0.25">
      <c r="A1574" s="816" t="s">
        <v>271</v>
      </c>
      <c r="B1574" s="880">
        <v>2025</v>
      </c>
      <c r="C1574" s="816" t="s">
        <v>1878</v>
      </c>
      <c r="D1574" s="816" t="s">
        <v>1879</v>
      </c>
      <c r="E1574" s="816" t="s">
        <v>2750</v>
      </c>
      <c r="F1574" s="826">
        <v>0</v>
      </c>
      <c r="G1574" s="880">
        <v>0</v>
      </c>
      <c r="H1574" s="465"/>
      <c r="I1574" s="465"/>
      <c r="J1574" s="826">
        <v>0</v>
      </c>
      <c r="K1574" s="878">
        <v>0</v>
      </c>
    </row>
    <row r="1575" spans="1:11" ht="22.5" customHeight="1" x14ac:dyDescent="0.25">
      <c r="A1575" s="816" t="s">
        <v>271</v>
      </c>
      <c r="B1575" s="880">
        <v>2025</v>
      </c>
      <c r="C1575" s="816" t="s">
        <v>1881</v>
      </c>
      <c r="D1575" s="816" t="s">
        <v>1882</v>
      </c>
      <c r="E1575" s="816" t="s">
        <v>2751</v>
      </c>
      <c r="F1575" s="826">
        <v>0</v>
      </c>
      <c r="G1575" s="880">
        <v>0</v>
      </c>
      <c r="H1575" s="465"/>
      <c r="I1575" s="465"/>
      <c r="J1575" s="826">
        <v>0</v>
      </c>
      <c r="K1575" s="878">
        <v>0</v>
      </c>
    </row>
    <row r="1576" spans="1:11" ht="22.5" customHeight="1" x14ac:dyDescent="0.25">
      <c r="A1576" s="816" t="s">
        <v>271</v>
      </c>
      <c r="B1576" s="880">
        <v>2025</v>
      </c>
      <c r="C1576" s="816" t="s">
        <v>1884</v>
      </c>
      <c r="D1576" s="816" t="s">
        <v>1885</v>
      </c>
      <c r="E1576" s="816" t="s">
        <v>2752</v>
      </c>
      <c r="F1576" s="826">
        <v>3505.24</v>
      </c>
      <c r="G1576" s="880">
        <v>0</v>
      </c>
      <c r="H1576" s="465"/>
      <c r="I1576" s="465"/>
      <c r="J1576" s="826">
        <v>0</v>
      </c>
      <c r="K1576" s="878">
        <v>3505.24</v>
      </c>
    </row>
    <row r="1577" spans="1:11" ht="22.5" customHeight="1" x14ac:dyDescent="0.25">
      <c r="A1577" s="816" t="s">
        <v>271</v>
      </c>
      <c r="B1577" s="880">
        <v>2025</v>
      </c>
      <c r="C1577" s="816" t="s">
        <v>1887</v>
      </c>
      <c r="D1577" s="816" t="s">
        <v>138</v>
      </c>
      <c r="E1577" s="816" t="s">
        <v>2753</v>
      </c>
      <c r="F1577" s="826">
        <v>-1490908.74</v>
      </c>
      <c r="G1577" s="880">
        <v>1</v>
      </c>
      <c r="H1577" s="826">
        <v>-1374916.73</v>
      </c>
      <c r="I1577" s="826">
        <v>-115992.01</v>
      </c>
      <c r="J1577" s="826">
        <v>-1490908.74</v>
      </c>
      <c r="K1577" s="878">
        <v>-1490908.74</v>
      </c>
    </row>
    <row r="1578" spans="1:11" ht="22.5" customHeight="1" x14ac:dyDescent="0.25">
      <c r="A1578" s="816" t="s">
        <v>271</v>
      </c>
      <c r="B1578" s="880">
        <v>2025</v>
      </c>
      <c r="C1578" s="816" t="s">
        <v>1889</v>
      </c>
      <c r="D1578" s="816" t="s">
        <v>139</v>
      </c>
      <c r="E1578" s="816" t="s">
        <v>2754</v>
      </c>
      <c r="F1578" s="826">
        <v>-27381</v>
      </c>
      <c r="G1578" s="880">
        <v>1</v>
      </c>
      <c r="H1578" s="826">
        <v>-26301.42</v>
      </c>
      <c r="I1578" s="826">
        <v>-1079.58</v>
      </c>
      <c r="J1578" s="826">
        <v>-27381</v>
      </c>
      <c r="K1578" s="878">
        <v>-27381</v>
      </c>
    </row>
    <row r="1579" spans="1:11" ht="22.5" customHeight="1" x14ac:dyDescent="0.25">
      <c r="A1579" s="816" t="s">
        <v>271</v>
      </c>
      <c r="B1579" s="880">
        <v>2025</v>
      </c>
      <c r="C1579" s="816" t="s">
        <v>1891</v>
      </c>
      <c r="D1579" s="816" t="s">
        <v>1892</v>
      </c>
      <c r="E1579" s="816" t="s">
        <v>2755</v>
      </c>
      <c r="F1579" s="826">
        <v>0</v>
      </c>
      <c r="G1579" s="880">
        <v>0</v>
      </c>
      <c r="H1579" s="465"/>
      <c r="I1579" s="465"/>
      <c r="J1579" s="826">
        <v>0</v>
      </c>
      <c r="K1579" s="878">
        <v>0</v>
      </c>
    </row>
    <row r="1580" spans="1:11" ht="22.5" customHeight="1" x14ac:dyDescent="0.25">
      <c r="A1580" s="816" t="s">
        <v>271</v>
      </c>
      <c r="B1580" s="880">
        <v>2025</v>
      </c>
      <c r="C1580" s="816" t="s">
        <v>1891</v>
      </c>
      <c r="D1580" s="816" t="s">
        <v>1894</v>
      </c>
      <c r="E1580" s="816" t="s">
        <v>2755</v>
      </c>
      <c r="F1580" s="826">
        <v>0</v>
      </c>
      <c r="G1580" s="880">
        <v>0</v>
      </c>
      <c r="H1580" s="465"/>
      <c r="I1580" s="465"/>
      <c r="J1580" s="826">
        <v>0</v>
      </c>
      <c r="K1580" s="881">
        <v>0</v>
      </c>
    </row>
    <row r="1581" spans="1:11" ht="22.5" customHeight="1" x14ac:dyDescent="0.25">
      <c r="A1581" s="816" t="s">
        <v>271</v>
      </c>
      <c r="B1581" s="880">
        <v>2025</v>
      </c>
      <c r="C1581" s="816" t="s">
        <v>1895</v>
      </c>
      <c r="D1581" s="816" t="s">
        <v>1896</v>
      </c>
      <c r="E1581" s="816" t="s">
        <v>2756</v>
      </c>
      <c r="F1581" s="826">
        <v>0</v>
      </c>
      <c r="G1581" s="880">
        <v>0</v>
      </c>
      <c r="H1581" s="465"/>
      <c r="I1581" s="465"/>
      <c r="J1581" s="826">
        <v>0</v>
      </c>
      <c r="K1581" s="878">
        <v>0</v>
      </c>
    </row>
    <row r="1582" spans="1:11" ht="22.5" customHeight="1" x14ac:dyDescent="0.25">
      <c r="A1582" s="816" t="s">
        <v>271</v>
      </c>
      <c r="B1582" s="880">
        <v>2025</v>
      </c>
      <c r="C1582" s="816" t="s">
        <v>1898</v>
      </c>
      <c r="D1582" s="816" t="s">
        <v>1899</v>
      </c>
      <c r="E1582" s="816" t="s">
        <v>2757</v>
      </c>
      <c r="F1582" s="826">
        <v>0</v>
      </c>
      <c r="G1582" s="880">
        <v>0</v>
      </c>
      <c r="H1582" s="465"/>
      <c r="I1582" s="465"/>
      <c r="J1582" s="826">
        <v>0</v>
      </c>
      <c r="K1582" s="878">
        <v>0</v>
      </c>
    </row>
    <row r="1583" spans="1:11" ht="22.5" customHeight="1" x14ac:dyDescent="0.25">
      <c r="A1583" s="816" t="s">
        <v>271</v>
      </c>
      <c r="B1583" s="880">
        <v>2025</v>
      </c>
      <c r="C1583" s="816" t="s">
        <v>1901</v>
      </c>
      <c r="D1583" s="816" t="s">
        <v>1902</v>
      </c>
      <c r="E1583" s="816" t="s">
        <v>2758</v>
      </c>
      <c r="F1583" s="826">
        <v>0</v>
      </c>
      <c r="G1583" s="880">
        <v>0</v>
      </c>
      <c r="H1583" s="465"/>
      <c r="I1583" s="465"/>
      <c r="J1583" s="826">
        <v>0</v>
      </c>
      <c r="K1583" s="878">
        <v>0</v>
      </c>
    </row>
    <row r="1584" spans="1:11" ht="22.5" customHeight="1" x14ac:dyDescent="0.25">
      <c r="A1584" s="816" t="s">
        <v>271</v>
      </c>
      <c r="B1584" s="880">
        <v>2025</v>
      </c>
      <c r="C1584" s="816" t="s">
        <v>1904</v>
      </c>
      <c r="D1584" s="816" t="s">
        <v>1905</v>
      </c>
      <c r="E1584" s="816" t="s">
        <v>2759</v>
      </c>
      <c r="F1584" s="826">
        <v>0</v>
      </c>
      <c r="G1584" s="880">
        <v>0</v>
      </c>
      <c r="H1584" s="465"/>
      <c r="I1584" s="465"/>
      <c r="J1584" s="826">
        <v>0</v>
      </c>
      <c r="K1584" s="878">
        <v>0</v>
      </c>
    </row>
    <row r="1585" spans="1:11" ht="22.5" customHeight="1" x14ac:dyDescent="0.25">
      <c r="A1585" s="816" t="s">
        <v>271</v>
      </c>
      <c r="B1585" s="880">
        <v>2025</v>
      </c>
      <c r="C1585" s="816" t="s">
        <v>1907</v>
      </c>
      <c r="D1585" s="816" t="s">
        <v>1908</v>
      </c>
      <c r="E1585" s="816" t="s">
        <v>2760</v>
      </c>
      <c r="F1585" s="826">
        <v>0</v>
      </c>
      <c r="G1585" s="880">
        <v>0</v>
      </c>
      <c r="H1585" s="465"/>
      <c r="I1585" s="465"/>
      <c r="J1585" s="826">
        <v>0</v>
      </c>
      <c r="K1585" s="878">
        <v>0</v>
      </c>
    </row>
    <row r="1586" spans="1:11" ht="22.5" customHeight="1" x14ac:dyDescent="0.25">
      <c r="A1586" s="816" t="s">
        <v>271</v>
      </c>
      <c r="B1586" s="880">
        <v>2025</v>
      </c>
      <c r="C1586" s="816" t="s">
        <v>1910</v>
      </c>
      <c r="D1586" s="816" t="s">
        <v>1911</v>
      </c>
      <c r="E1586" s="816" t="s">
        <v>2761</v>
      </c>
      <c r="F1586" s="826">
        <v>0</v>
      </c>
      <c r="G1586" s="880">
        <v>0</v>
      </c>
      <c r="H1586" s="465"/>
      <c r="I1586" s="465"/>
      <c r="J1586" s="826">
        <v>0</v>
      </c>
      <c r="K1586" s="878">
        <v>0</v>
      </c>
    </row>
    <row r="1587" spans="1:11" ht="22.5" customHeight="1" x14ac:dyDescent="0.25">
      <c r="A1587" s="816" t="s">
        <v>271</v>
      </c>
      <c r="B1587" s="880">
        <v>2025</v>
      </c>
      <c r="C1587" s="816" t="s">
        <v>1913</v>
      </c>
      <c r="D1587" s="816" t="s">
        <v>1914</v>
      </c>
      <c r="E1587" s="816" t="s">
        <v>2762</v>
      </c>
      <c r="F1587" s="826">
        <v>-423381.88</v>
      </c>
      <c r="G1587" s="880">
        <v>1</v>
      </c>
      <c r="H1587" s="826">
        <v>-386782.16</v>
      </c>
      <c r="I1587" s="826">
        <v>-36599.72</v>
      </c>
      <c r="J1587" s="826">
        <v>-423381.88</v>
      </c>
      <c r="K1587" s="878">
        <v>-423381.88</v>
      </c>
    </row>
    <row r="1588" spans="1:11" ht="22.5" customHeight="1" x14ac:dyDescent="0.25">
      <c r="A1588" s="816" t="s">
        <v>271</v>
      </c>
      <c r="B1588" s="880">
        <v>2025</v>
      </c>
      <c r="C1588" s="816" t="s">
        <v>1913</v>
      </c>
      <c r="D1588" s="816" t="s">
        <v>1916</v>
      </c>
      <c r="E1588" s="816" t="s">
        <v>2762</v>
      </c>
      <c r="F1588" s="826">
        <v>0</v>
      </c>
      <c r="G1588" s="880">
        <v>0</v>
      </c>
      <c r="H1588" s="465"/>
      <c r="I1588" s="465"/>
      <c r="J1588" s="826">
        <v>0</v>
      </c>
      <c r="K1588" s="881">
        <v>-17.739999999999998</v>
      </c>
    </row>
    <row r="1589" spans="1:11" ht="22.5" customHeight="1" x14ac:dyDescent="0.25">
      <c r="A1589" s="816" t="s">
        <v>271</v>
      </c>
      <c r="B1589" s="880">
        <v>2025</v>
      </c>
      <c r="C1589" s="816" t="s">
        <v>1913</v>
      </c>
      <c r="D1589" s="816" t="s">
        <v>1917</v>
      </c>
      <c r="E1589" s="816" t="s">
        <v>2762</v>
      </c>
      <c r="F1589" s="826">
        <v>0</v>
      </c>
      <c r="G1589" s="880">
        <v>0</v>
      </c>
      <c r="H1589" s="465"/>
      <c r="I1589" s="465"/>
      <c r="J1589" s="826">
        <v>0</v>
      </c>
      <c r="K1589" s="881">
        <v>-2533.9299999999998</v>
      </c>
    </row>
    <row r="1590" spans="1:11" ht="22.5" customHeight="1" x14ac:dyDescent="0.25">
      <c r="A1590" s="816" t="s">
        <v>271</v>
      </c>
      <c r="B1590" s="880">
        <v>2025</v>
      </c>
      <c r="C1590" s="816" t="s">
        <v>1913</v>
      </c>
      <c r="D1590" s="816" t="s">
        <v>1918</v>
      </c>
      <c r="E1590" s="816" t="s">
        <v>2762</v>
      </c>
      <c r="F1590" s="826">
        <v>0</v>
      </c>
      <c r="G1590" s="880">
        <v>0</v>
      </c>
      <c r="H1590" s="465"/>
      <c r="I1590" s="465"/>
      <c r="J1590" s="826">
        <v>0</v>
      </c>
      <c r="K1590" s="881">
        <v>4335.9399999999996</v>
      </c>
    </row>
    <row r="1591" spans="1:11" ht="22.5" customHeight="1" x14ac:dyDescent="0.25">
      <c r="A1591" s="816" t="s">
        <v>271</v>
      </c>
      <c r="B1591" s="880">
        <v>2025</v>
      </c>
      <c r="C1591" s="816" t="s">
        <v>1913</v>
      </c>
      <c r="D1591" s="816" t="s">
        <v>1919</v>
      </c>
      <c r="E1591" s="816" t="s">
        <v>2762</v>
      </c>
      <c r="F1591" s="826">
        <v>0</v>
      </c>
      <c r="G1591" s="880">
        <v>0</v>
      </c>
      <c r="H1591" s="465"/>
      <c r="I1591" s="465"/>
      <c r="J1591" s="826">
        <v>0</v>
      </c>
      <c r="K1591" s="881">
        <v>138575.03</v>
      </c>
    </row>
    <row r="1592" spans="1:11" ht="22.5" customHeight="1" x14ac:dyDescent="0.25">
      <c r="A1592" s="816" t="s">
        <v>271</v>
      </c>
      <c r="B1592" s="880">
        <v>2025</v>
      </c>
      <c r="C1592" s="816" t="s">
        <v>1920</v>
      </c>
      <c r="D1592" s="816" t="s">
        <v>1921</v>
      </c>
      <c r="E1592" s="816" t="s">
        <v>2763</v>
      </c>
      <c r="F1592" s="826">
        <v>0</v>
      </c>
      <c r="G1592" s="880">
        <v>0</v>
      </c>
      <c r="H1592" s="465"/>
      <c r="I1592" s="465"/>
      <c r="J1592" s="826">
        <v>0</v>
      </c>
      <c r="K1592" s="878">
        <v>0</v>
      </c>
    </row>
    <row r="1593" spans="1:11" ht="22.5" customHeight="1" x14ac:dyDescent="0.25">
      <c r="A1593" s="816" t="s">
        <v>271</v>
      </c>
      <c r="B1593" s="880">
        <v>2025</v>
      </c>
      <c r="C1593" s="816" t="s">
        <v>1923</v>
      </c>
      <c r="D1593" s="816" t="s">
        <v>143</v>
      </c>
      <c r="E1593" s="816" t="s">
        <v>2764</v>
      </c>
      <c r="F1593" s="826">
        <v>332743.08</v>
      </c>
      <c r="G1593" s="880">
        <v>1</v>
      </c>
      <c r="H1593" s="826">
        <v>326434.57</v>
      </c>
      <c r="I1593" s="826">
        <v>6308.51</v>
      </c>
      <c r="J1593" s="826">
        <v>332743.08</v>
      </c>
      <c r="K1593" s="878">
        <v>332743.08</v>
      </c>
    </row>
    <row r="1594" spans="1:11" ht="22.5" customHeight="1" x14ac:dyDescent="0.25">
      <c r="A1594" s="816" t="s">
        <v>271</v>
      </c>
      <c r="B1594" s="880">
        <v>2025</v>
      </c>
      <c r="C1594" s="816" t="s">
        <v>1925</v>
      </c>
      <c r="D1594" s="816" t="s">
        <v>144</v>
      </c>
      <c r="E1594" s="816" t="s">
        <v>2765</v>
      </c>
      <c r="F1594" s="826">
        <v>-156707.18</v>
      </c>
      <c r="G1594" s="880">
        <v>1</v>
      </c>
      <c r="H1594" s="826">
        <v>-159312.79999999999</v>
      </c>
      <c r="I1594" s="826">
        <v>2605.62</v>
      </c>
      <c r="J1594" s="826">
        <v>-156707.18</v>
      </c>
      <c r="K1594" s="878">
        <v>-156707.18</v>
      </c>
    </row>
    <row r="1595" spans="1:11" ht="22.5" customHeight="1" x14ac:dyDescent="0.25">
      <c r="A1595" s="816" t="s">
        <v>271</v>
      </c>
      <c r="B1595" s="880">
        <v>2025</v>
      </c>
      <c r="C1595" s="816" t="s">
        <v>1927</v>
      </c>
      <c r="D1595" s="816" t="s">
        <v>1928</v>
      </c>
      <c r="E1595" s="816" t="s">
        <v>2766</v>
      </c>
      <c r="F1595" s="826">
        <v>1180708.46</v>
      </c>
      <c r="G1595" s="880">
        <v>1</v>
      </c>
      <c r="H1595" s="826">
        <v>1086342.3500000001</v>
      </c>
      <c r="I1595" s="826">
        <v>94366.11</v>
      </c>
      <c r="J1595" s="826">
        <v>1180708.46</v>
      </c>
      <c r="K1595" s="878">
        <v>1180708.46</v>
      </c>
    </row>
    <row r="1596" spans="1:11" ht="22.5" customHeight="1" x14ac:dyDescent="0.25">
      <c r="A1596" s="816" t="s">
        <v>271</v>
      </c>
      <c r="B1596" s="880">
        <v>2025</v>
      </c>
      <c r="C1596" s="816" t="s">
        <v>1930</v>
      </c>
      <c r="D1596" s="816" t="s">
        <v>156</v>
      </c>
      <c r="E1596" s="816" t="s">
        <v>2767</v>
      </c>
      <c r="F1596" s="826">
        <v>599968.92000000004</v>
      </c>
      <c r="G1596" s="880">
        <v>1</v>
      </c>
      <c r="H1596" s="826">
        <v>670034.71</v>
      </c>
      <c r="I1596" s="826">
        <v>-70065.789999999994</v>
      </c>
      <c r="J1596" s="826">
        <v>599968.92000000004</v>
      </c>
      <c r="K1596" s="878">
        <v>599968.92000000004</v>
      </c>
    </row>
    <row r="1597" spans="1:11" ht="22.5" customHeight="1" x14ac:dyDescent="0.25">
      <c r="A1597" s="816" t="s">
        <v>271</v>
      </c>
      <c r="B1597" s="880">
        <v>2025</v>
      </c>
      <c r="C1597" s="816" t="s">
        <v>1932</v>
      </c>
      <c r="D1597" s="816" t="s">
        <v>1933</v>
      </c>
      <c r="E1597" s="816" t="s">
        <v>2768</v>
      </c>
      <c r="F1597" s="826">
        <v>-262844.09000000003</v>
      </c>
      <c r="G1597" s="880">
        <v>0</v>
      </c>
      <c r="H1597" s="465"/>
      <c r="I1597" s="465"/>
      <c r="J1597" s="826">
        <v>0</v>
      </c>
      <c r="K1597" s="878">
        <v>-262844.09000000003</v>
      </c>
    </row>
    <row r="1598" spans="1:11" ht="22.5" customHeight="1" x14ac:dyDescent="0.25">
      <c r="A1598" s="816" t="s">
        <v>271</v>
      </c>
      <c r="B1598" s="880">
        <v>2025</v>
      </c>
      <c r="C1598" s="816" t="s">
        <v>1935</v>
      </c>
      <c r="D1598" s="816" t="s">
        <v>1936</v>
      </c>
      <c r="E1598" s="816" t="s">
        <v>8346</v>
      </c>
      <c r="F1598" s="826">
        <v>0</v>
      </c>
      <c r="G1598" s="880">
        <v>1</v>
      </c>
      <c r="H1598" s="465"/>
      <c r="I1598" s="465"/>
      <c r="J1598" s="826">
        <v>0</v>
      </c>
      <c r="K1598" s="878">
        <v>0</v>
      </c>
    </row>
    <row r="1599" spans="1:11" ht="22.5" customHeight="1" x14ac:dyDescent="0.25">
      <c r="A1599" s="816" t="s">
        <v>271</v>
      </c>
      <c r="B1599" s="880">
        <v>2025</v>
      </c>
      <c r="C1599" s="816" t="s">
        <v>1935</v>
      </c>
      <c r="D1599" s="816" t="s">
        <v>1937</v>
      </c>
      <c r="E1599" s="816" t="s">
        <v>8347</v>
      </c>
      <c r="F1599" s="826">
        <v>0</v>
      </c>
      <c r="G1599" s="880">
        <v>1</v>
      </c>
      <c r="H1599" s="465"/>
      <c r="I1599" s="465"/>
      <c r="J1599" s="826">
        <v>0</v>
      </c>
      <c r="K1599" s="878">
        <v>0</v>
      </c>
    </row>
    <row r="1600" spans="1:11" ht="22.5" customHeight="1" x14ac:dyDescent="0.25">
      <c r="A1600" s="816" t="s">
        <v>271</v>
      </c>
      <c r="B1600" s="880">
        <v>2025</v>
      </c>
      <c r="C1600" s="816" t="s">
        <v>1935</v>
      </c>
      <c r="D1600" s="816" t="s">
        <v>1938</v>
      </c>
      <c r="E1600" s="816" t="s">
        <v>8348</v>
      </c>
      <c r="F1600" s="826">
        <v>0</v>
      </c>
      <c r="G1600" s="880">
        <v>1</v>
      </c>
      <c r="H1600" s="465"/>
      <c r="I1600" s="465"/>
      <c r="J1600" s="826">
        <v>0</v>
      </c>
      <c r="K1600" s="878">
        <v>0</v>
      </c>
    </row>
    <row r="1601" spans="1:11" ht="22.5" customHeight="1" x14ac:dyDescent="0.25">
      <c r="A1601" s="816" t="s">
        <v>271</v>
      </c>
      <c r="B1601" s="880">
        <v>2025</v>
      </c>
      <c r="C1601" s="816" t="s">
        <v>1935</v>
      </c>
      <c r="D1601" s="816" t="s">
        <v>1939</v>
      </c>
      <c r="E1601" s="816" t="s">
        <v>8349</v>
      </c>
      <c r="F1601" s="826">
        <v>0</v>
      </c>
      <c r="G1601" s="880">
        <v>1</v>
      </c>
      <c r="H1601" s="465"/>
      <c r="I1601" s="465"/>
      <c r="J1601" s="826">
        <v>0</v>
      </c>
      <c r="K1601" s="878">
        <v>0</v>
      </c>
    </row>
    <row r="1602" spans="1:11" ht="22.5" customHeight="1" x14ac:dyDescent="0.25">
      <c r="A1602" s="816" t="s">
        <v>271</v>
      </c>
      <c r="B1602" s="880">
        <v>2025</v>
      </c>
      <c r="C1602" s="816" t="s">
        <v>1935</v>
      </c>
      <c r="D1602" s="816" t="s">
        <v>1940</v>
      </c>
      <c r="E1602" s="816" t="s">
        <v>8350</v>
      </c>
      <c r="F1602" s="826">
        <v>0</v>
      </c>
      <c r="G1602" s="880">
        <v>1</v>
      </c>
      <c r="H1602" s="465"/>
      <c r="I1602" s="465"/>
      <c r="J1602" s="826">
        <v>0</v>
      </c>
      <c r="K1602" s="878">
        <v>0</v>
      </c>
    </row>
    <row r="1603" spans="1:11" ht="22.5" customHeight="1" x14ac:dyDescent="0.25">
      <c r="A1603" s="816" t="s">
        <v>271</v>
      </c>
      <c r="B1603" s="880">
        <v>2025</v>
      </c>
      <c r="C1603" s="816" t="s">
        <v>1935</v>
      </c>
      <c r="D1603" s="816" t="s">
        <v>1941</v>
      </c>
      <c r="E1603" s="816" t="s">
        <v>8351</v>
      </c>
      <c r="F1603" s="826">
        <v>0</v>
      </c>
      <c r="G1603" s="880">
        <v>1</v>
      </c>
      <c r="H1603" s="465"/>
      <c r="I1603" s="465"/>
      <c r="J1603" s="826">
        <v>0</v>
      </c>
      <c r="K1603" s="878">
        <v>0</v>
      </c>
    </row>
    <row r="1604" spans="1:11" ht="22.5" customHeight="1" x14ac:dyDescent="0.25">
      <c r="A1604" s="816" t="s">
        <v>271</v>
      </c>
      <c r="B1604" s="880">
        <v>2025</v>
      </c>
      <c r="C1604" s="816" t="s">
        <v>1935</v>
      </c>
      <c r="D1604" s="816" t="s">
        <v>1942</v>
      </c>
      <c r="E1604" s="816" t="s">
        <v>8352</v>
      </c>
      <c r="F1604" s="826">
        <v>0</v>
      </c>
      <c r="G1604" s="880">
        <v>1</v>
      </c>
      <c r="H1604" s="465"/>
      <c r="I1604" s="465"/>
      <c r="J1604" s="826">
        <v>0</v>
      </c>
      <c r="K1604" s="878">
        <v>0</v>
      </c>
    </row>
    <row r="1605" spans="1:11" ht="22.5" customHeight="1" x14ac:dyDescent="0.25">
      <c r="A1605" s="816" t="s">
        <v>271</v>
      </c>
      <c r="B1605" s="880">
        <v>2025</v>
      </c>
      <c r="C1605" s="816" t="s">
        <v>1935</v>
      </c>
      <c r="D1605" s="816" t="s">
        <v>1943</v>
      </c>
      <c r="E1605" s="816" t="s">
        <v>8353</v>
      </c>
      <c r="F1605" s="826">
        <v>0</v>
      </c>
      <c r="G1605" s="880">
        <v>1</v>
      </c>
      <c r="H1605" s="465"/>
      <c r="I1605" s="465"/>
      <c r="J1605" s="826">
        <v>0</v>
      </c>
      <c r="K1605" s="878">
        <v>0</v>
      </c>
    </row>
    <row r="1606" spans="1:11" ht="22.5" customHeight="1" x14ac:dyDescent="0.25">
      <c r="A1606" s="816" t="s">
        <v>271</v>
      </c>
      <c r="B1606" s="880">
        <v>2025</v>
      </c>
      <c r="C1606" s="816" t="s">
        <v>1935</v>
      </c>
      <c r="D1606" s="816" t="s">
        <v>1944</v>
      </c>
      <c r="E1606" s="816" t="s">
        <v>8354</v>
      </c>
      <c r="F1606" s="826">
        <v>0</v>
      </c>
      <c r="G1606" s="880">
        <v>1</v>
      </c>
      <c r="H1606" s="465"/>
      <c r="I1606" s="465"/>
      <c r="J1606" s="826">
        <v>0</v>
      </c>
      <c r="K1606" s="878">
        <v>0</v>
      </c>
    </row>
    <row r="1607" spans="1:11" ht="22.5" customHeight="1" x14ac:dyDescent="0.25">
      <c r="A1607" s="816" t="s">
        <v>271</v>
      </c>
      <c r="B1607" s="880">
        <v>2025</v>
      </c>
      <c r="C1607" s="816" t="s">
        <v>1935</v>
      </c>
      <c r="D1607" s="816" t="s">
        <v>1945</v>
      </c>
      <c r="E1607" s="816" t="s">
        <v>8355</v>
      </c>
      <c r="F1607" s="826">
        <v>0</v>
      </c>
      <c r="G1607" s="880">
        <v>1</v>
      </c>
      <c r="H1607" s="826">
        <v>-2259.4699999999998</v>
      </c>
      <c r="I1607" s="826">
        <v>2257.7199999999998</v>
      </c>
      <c r="J1607" s="826">
        <v>-1.75</v>
      </c>
      <c r="K1607" s="878">
        <v>-1.75</v>
      </c>
    </row>
    <row r="1608" spans="1:11" ht="22.5" customHeight="1" x14ac:dyDescent="0.25">
      <c r="A1608" s="816" t="s">
        <v>271</v>
      </c>
      <c r="B1608" s="880">
        <v>2025</v>
      </c>
      <c r="C1608" s="816" t="s">
        <v>1935</v>
      </c>
      <c r="D1608" s="816" t="s">
        <v>1946</v>
      </c>
      <c r="E1608" s="816" t="s">
        <v>8356</v>
      </c>
      <c r="F1608" s="826">
        <v>0</v>
      </c>
      <c r="G1608" s="880">
        <v>1</v>
      </c>
      <c r="H1608" s="465"/>
      <c r="I1608" s="465"/>
      <c r="J1608" s="826">
        <v>0</v>
      </c>
      <c r="K1608" s="878">
        <v>0</v>
      </c>
    </row>
    <row r="1609" spans="1:11" ht="22.5" customHeight="1" x14ac:dyDescent="0.25">
      <c r="A1609" s="816" t="s">
        <v>271</v>
      </c>
      <c r="B1609" s="880">
        <v>2025</v>
      </c>
      <c r="C1609" s="816" t="s">
        <v>1935</v>
      </c>
      <c r="D1609" s="816" t="s">
        <v>1947</v>
      </c>
      <c r="E1609" s="816" t="s">
        <v>8357</v>
      </c>
      <c r="F1609" s="826">
        <v>0</v>
      </c>
      <c r="G1609" s="880">
        <v>1</v>
      </c>
      <c r="H1609" s="465"/>
      <c r="I1609" s="465"/>
      <c r="J1609" s="826">
        <v>0</v>
      </c>
      <c r="K1609" s="878">
        <v>0</v>
      </c>
    </row>
    <row r="1610" spans="1:11" ht="22.5" customHeight="1" x14ac:dyDescent="0.25">
      <c r="A1610" s="816" t="s">
        <v>271</v>
      </c>
      <c r="B1610" s="880">
        <v>2025</v>
      </c>
      <c r="C1610" s="816" t="s">
        <v>1935</v>
      </c>
      <c r="D1610" s="816" t="s">
        <v>1948</v>
      </c>
      <c r="E1610" s="816" t="s">
        <v>8358</v>
      </c>
      <c r="F1610" s="826">
        <v>0</v>
      </c>
      <c r="G1610" s="880">
        <v>1</v>
      </c>
      <c r="H1610" s="465"/>
      <c r="I1610" s="465"/>
      <c r="J1610" s="826">
        <v>0</v>
      </c>
      <c r="K1610" s="878">
        <v>0</v>
      </c>
    </row>
    <row r="1611" spans="1:11" ht="22.5" customHeight="1" x14ac:dyDescent="0.25">
      <c r="A1611" s="816" t="s">
        <v>271</v>
      </c>
      <c r="B1611" s="880">
        <v>2025</v>
      </c>
      <c r="C1611" s="816" t="s">
        <v>1935</v>
      </c>
      <c r="D1611" s="816" t="s">
        <v>1949</v>
      </c>
      <c r="E1611" s="816" t="s">
        <v>8359</v>
      </c>
      <c r="F1611" s="826">
        <v>0</v>
      </c>
      <c r="G1611" s="880">
        <v>1</v>
      </c>
      <c r="H1611" s="465"/>
      <c r="I1611" s="465"/>
      <c r="J1611" s="826">
        <v>0</v>
      </c>
      <c r="K1611" s="878">
        <v>0</v>
      </c>
    </row>
    <row r="1612" spans="1:11" ht="22.5" customHeight="1" x14ac:dyDescent="0.25">
      <c r="A1612" s="816" t="s">
        <v>271</v>
      </c>
      <c r="B1612" s="880">
        <v>2025</v>
      </c>
      <c r="C1612" s="816" t="s">
        <v>1935</v>
      </c>
      <c r="D1612" s="816" t="s">
        <v>1950</v>
      </c>
      <c r="E1612" s="816" t="s">
        <v>8360</v>
      </c>
      <c r="F1612" s="826">
        <v>0</v>
      </c>
      <c r="G1612" s="880">
        <v>1</v>
      </c>
      <c r="H1612" s="826">
        <v>189287.72</v>
      </c>
      <c r="I1612" s="826">
        <v>374752.78</v>
      </c>
      <c r="J1612" s="826">
        <v>564040.5</v>
      </c>
      <c r="K1612" s="878">
        <v>564040.5</v>
      </c>
    </row>
    <row r="1613" spans="1:11" ht="22.5" customHeight="1" x14ac:dyDescent="0.25">
      <c r="A1613" s="816" t="s">
        <v>271</v>
      </c>
      <c r="B1613" s="880">
        <v>2025</v>
      </c>
      <c r="C1613" s="816" t="s">
        <v>1935</v>
      </c>
      <c r="D1613" s="816" t="s">
        <v>1951</v>
      </c>
      <c r="E1613" s="816" t="s">
        <v>8361</v>
      </c>
      <c r="F1613" s="826">
        <v>0</v>
      </c>
      <c r="G1613" s="880">
        <v>1</v>
      </c>
      <c r="H1613" s="826">
        <v>-10899.99</v>
      </c>
      <c r="I1613" s="826">
        <v>41550.699999999997</v>
      </c>
      <c r="J1613" s="826">
        <v>30650.71</v>
      </c>
      <c r="K1613" s="878">
        <v>30650.71</v>
      </c>
    </row>
    <row r="1614" spans="1:11" ht="22.5" customHeight="1" x14ac:dyDescent="0.25">
      <c r="A1614" s="816" t="s">
        <v>271</v>
      </c>
      <c r="B1614" s="880">
        <v>2025</v>
      </c>
      <c r="C1614" s="816" t="s">
        <v>1935</v>
      </c>
      <c r="D1614" s="816" t="s">
        <v>7801</v>
      </c>
      <c r="E1614" s="816" t="s">
        <v>8362</v>
      </c>
      <c r="F1614" s="826">
        <v>0</v>
      </c>
      <c r="G1614" s="880">
        <v>1</v>
      </c>
      <c r="H1614" s="826">
        <v>722939.25</v>
      </c>
      <c r="I1614" s="826">
        <v>125568.19</v>
      </c>
      <c r="J1614" s="826">
        <v>848507.44</v>
      </c>
      <c r="K1614" s="878">
        <v>848507.44</v>
      </c>
    </row>
    <row r="1615" spans="1:11" ht="22.5" customHeight="1" x14ac:dyDescent="0.25">
      <c r="A1615" s="816" t="s">
        <v>271</v>
      </c>
      <c r="B1615" s="880">
        <v>2025</v>
      </c>
      <c r="C1615" s="816" t="s">
        <v>1935</v>
      </c>
      <c r="D1615" s="816" t="s">
        <v>1952</v>
      </c>
      <c r="E1615" s="816" t="s">
        <v>8363</v>
      </c>
      <c r="F1615" s="826">
        <v>1443196.9</v>
      </c>
      <c r="G1615" s="880">
        <v>0</v>
      </c>
      <c r="H1615" s="465"/>
      <c r="I1615" s="465"/>
      <c r="J1615" s="826">
        <v>0</v>
      </c>
      <c r="K1615" s="878">
        <v>1443196.9</v>
      </c>
    </row>
    <row r="1616" spans="1:11" ht="22.5" customHeight="1" x14ac:dyDescent="0.25">
      <c r="A1616" s="816" t="s">
        <v>271</v>
      </c>
      <c r="B1616" s="880">
        <v>2025</v>
      </c>
      <c r="C1616" s="816" t="s">
        <v>1953</v>
      </c>
      <c r="D1616" s="816" t="s">
        <v>1954</v>
      </c>
      <c r="E1616" s="816" t="s">
        <v>2769</v>
      </c>
      <c r="F1616" s="826">
        <v>0</v>
      </c>
      <c r="G1616" s="880">
        <v>0</v>
      </c>
      <c r="H1616" s="465"/>
      <c r="I1616" s="465"/>
      <c r="J1616" s="826">
        <v>0</v>
      </c>
      <c r="K1616" s="878">
        <v>0</v>
      </c>
    </row>
    <row r="1617" spans="1:11" ht="22.5" customHeight="1" x14ac:dyDescent="0.25">
      <c r="A1617" s="816" t="s">
        <v>273</v>
      </c>
      <c r="B1617" s="880">
        <v>2025</v>
      </c>
      <c r="C1617" s="816" t="s">
        <v>1854</v>
      </c>
      <c r="D1617" s="816" t="s">
        <v>1855</v>
      </c>
      <c r="E1617" s="816" t="s">
        <v>2770</v>
      </c>
      <c r="F1617" s="826">
        <v>224529.24</v>
      </c>
      <c r="G1617" s="880">
        <v>0</v>
      </c>
      <c r="H1617" s="465"/>
      <c r="I1617" s="465"/>
      <c r="J1617" s="826">
        <v>0</v>
      </c>
      <c r="K1617" s="878">
        <v>224529.24</v>
      </c>
    </row>
    <row r="1618" spans="1:11" ht="22.5" customHeight="1" x14ac:dyDescent="0.25">
      <c r="A1618" s="816" t="s">
        <v>273</v>
      </c>
      <c r="B1618" s="880">
        <v>2025</v>
      </c>
      <c r="C1618" s="816" t="s">
        <v>7746</v>
      </c>
      <c r="D1618" s="816" t="s">
        <v>7747</v>
      </c>
      <c r="E1618" s="816" t="s">
        <v>7778</v>
      </c>
      <c r="F1618" s="826">
        <v>476232.36</v>
      </c>
      <c r="G1618" s="880">
        <v>0</v>
      </c>
      <c r="H1618" s="465"/>
      <c r="I1618" s="465"/>
      <c r="J1618" s="826">
        <v>0</v>
      </c>
      <c r="K1618" s="878">
        <v>476232.36</v>
      </c>
    </row>
    <row r="1619" spans="1:11" ht="22.5" customHeight="1" x14ac:dyDescent="0.25">
      <c r="A1619" s="816" t="s">
        <v>273</v>
      </c>
      <c r="B1619" s="880">
        <v>2025</v>
      </c>
      <c r="C1619" s="816" t="s">
        <v>1857</v>
      </c>
      <c r="D1619" s="816" t="s">
        <v>1858</v>
      </c>
      <c r="E1619" s="816" t="s">
        <v>2771</v>
      </c>
      <c r="F1619" s="826">
        <v>-54361.59</v>
      </c>
      <c r="G1619" s="880">
        <v>0</v>
      </c>
      <c r="H1619" s="465"/>
      <c r="I1619" s="465"/>
      <c r="J1619" s="826">
        <v>0</v>
      </c>
      <c r="K1619" s="878">
        <v>-54361.59</v>
      </c>
    </row>
    <row r="1620" spans="1:11" ht="22.5" customHeight="1" x14ac:dyDescent="0.25">
      <c r="A1620" s="816" t="s">
        <v>273</v>
      </c>
      <c r="B1620" s="880">
        <v>2025</v>
      </c>
      <c r="C1620" s="816" t="s">
        <v>1860</v>
      </c>
      <c r="D1620" s="816" t="s">
        <v>1861</v>
      </c>
      <c r="E1620" s="816" t="s">
        <v>2772</v>
      </c>
      <c r="F1620" s="826">
        <v>0</v>
      </c>
      <c r="G1620" s="880">
        <v>0</v>
      </c>
      <c r="H1620" s="465"/>
      <c r="I1620" s="465"/>
      <c r="J1620" s="826">
        <v>0</v>
      </c>
      <c r="K1620" s="878">
        <v>0</v>
      </c>
    </row>
    <row r="1621" spans="1:11" ht="22.5" customHeight="1" x14ac:dyDescent="0.25">
      <c r="A1621" s="816" t="s">
        <v>273</v>
      </c>
      <c r="B1621" s="880">
        <v>2025</v>
      </c>
      <c r="C1621" s="816" t="s">
        <v>1863</v>
      </c>
      <c r="D1621" s="816" t="s">
        <v>1864</v>
      </c>
      <c r="E1621" s="816" t="s">
        <v>2773</v>
      </c>
      <c r="F1621" s="826">
        <v>0</v>
      </c>
      <c r="G1621" s="880">
        <v>0</v>
      </c>
      <c r="H1621" s="465"/>
      <c r="I1621" s="465"/>
      <c r="J1621" s="826">
        <v>0</v>
      </c>
      <c r="K1621" s="878">
        <v>0</v>
      </c>
    </row>
    <row r="1622" spans="1:11" ht="22.5" customHeight="1" x14ac:dyDescent="0.25">
      <c r="A1622" s="816" t="s">
        <v>273</v>
      </c>
      <c r="B1622" s="880">
        <v>2025</v>
      </c>
      <c r="C1622" s="816" t="s">
        <v>1866</v>
      </c>
      <c r="D1622" s="816" t="s">
        <v>1867</v>
      </c>
      <c r="E1622" s="816" t="s">
        <v>2774</v>
      </c>
      <c r="F1622" s="826">
        <v>0</v>
      </c>
      <c r="G1622" s="880">
        <v>0</v>
      </c>
      <c r="H1622" s="465"/>
      <c r="I1622" s="465"/>
      <c r="J1622" s="826">
        <v>0</v>
      </c>
      <c r="K1622" s="878">
        <v>0</v>
      </c>
    </row>
    <row r="1623" spans="1:11" ht="22.5" customHeight="1" x14ac:dyDescent="0.25">
      <c r="A1623" s="816" t="s">
        <v>273</v>
      </c>
      <c r="B1623" s="880">
        <v>2025</v>
      </c>
      <c r="C1623" s="816" t="s">
        <v>1869</v>
      </c>
      <c r="D1623" s="816" t="s">
        <v>1870</v>
      </c>
      <c r="E1623" s="816" t="s">
        <v>2775</v>
      </c>
      <c r="F1623" s="826">
        <v>0</v>
      </c>
      <c r="G1623" s="880">
        <v>0</v>
      </c>
      <c r="H1623" s="465"/>
      <c r="I1623" s="465"/>
      <c r="J1623" s="826">
        <v>0</v>
      </c>
      <c r="K1623" s="878">
        <v>0</v>
      </c>
    </row>
    <row r="1624" spans="1:11" ht="22.5" customHeight="1" x14ac:dyDescent="0.25">
      <c r="A1624" s="816" t="s">
        <v>273</v>
      </c>
      <c r="B1624" s="880">
        <v>2025</v>
      </c>
      <c r="C1624" s="816" t="s">
        <v>1872</v>
      </c>
      <c r="D1624" s="816" t="s">
        <v>1873</v>
      </c>
      <c r="E1624" s="816" t="s">
        <v>2776</v>
      </c>
      <c r="F1624" s="826">
        <v>0</v>
      </c>
      <c r="G1624" s="880">
        <v>0</v>
      </c>
      <c r="H1624" s="465"/>
      <c r="I1624" s="465"/>
      <c r="J1624" s="826">
        <v>0</v>
      </c>
      <c r="K1624" s="878">
        <v>0</v>
      </c>
    </row>
    <row r="1625" spans="1:11" ht="22.5" customHeight="1" x14ac:dyDescent="0.25">
      <c r="A1625" s="816" t="s">
        <v>273</v>
      </c>
      <c r="B1625" s="880">
        <v>2025</v>
      </c>
      <c r="C1625" s="816" t="s">
        <v>1875</v>
      </c>
      <c r="D1625" s="816" t="s">
        <v>1876</v>
      </c>
      <c r="E1625" s="816" t="s">
        <v>2777</v>
      </c>
      <c r="F1625" s="826">
        <v>0</v>
      </c>
      <c r="G1625" s="880">
        <v>0</v>
      </c>
      <c r="H1625" s="465"/>
      <c r="I1625" s="465"/>
      <c r="J1625" s="826">
        <v>0</v>
      </c>
      <c r="K1625" s="878">
        <v>0</v>
      </c>
    </row>
    <row r="1626" spans="1:11" ht="22.5" customHeight="1" x14ac:dyDescent="0.25">
      <c r="A1626" s="816" t="s">
        <v>273</v>
      </c>
      <c r="B1626" s="880">
        <v>2025</v>
      </c>
      <c r="C1626" s="816" t="s">
        <v>1878</v>
      </c>
      <c r="D1626" s="816" t="s">
        <v>1879</v>
      </c>
      <c r="E1626" s="816" t="s">
        <v>2778</v>
      </c>
      <c r="F1626" s="826">
        <v>0</v>
      </c>
      <c r="G1626" s="880">
        <v>0</v>
      </c>
      <c r="H1626" s="465"/>
      <c r="I1626" s="465"/>
      <c r="J1626" s="826">
        <v>0</v>
      </c>
      <c r="K1626" s="878">
        <v>0</v>
      </c>
    </row>
    <row r="1627" spans="1:11" ht="22.5" customHeight="1" x14ac:dyDescent="0.25">
      <c r="A1627" s="816" t="s">
        <v>273</v>
      </c>
      <c r="B1627" s="880">
        <v>2025</v>
      </c>
      <c r="C1627" s="816" t="s">
        <v>1881</v>
      </c>
      <c r="D1627" s="816" t="s">
        <v>1882</v>
      </c>
      <c r="E1627" s="816" t="s">
        <v>2779</v>
      </c>
      <c r="F1627" s="826">
        <v>0</v>
      </c>
      <c r="G1627" s="880">
        <v>0</v>
      </c>
      <c r="H1627" s="465"/>
      <c r="I1627" s="465"/>
      <c r="J1627" s="826">
        <v>0</v>
      </c>
      <c r="K1627" s="878">
        <v>0</v>
      </c>
    </row>
    <row r="1628" spans="1:11" ht="22.5" customHeight="1" x14ac:dyDescent="0.25">
      <c r="A1628" s="816" t="s">
        <v>273</v>
      </c>
      <c r="B1628" s="880">
        <v>2025</v>
      </c>
      <c r="C1628" s="816" t="s">
        <v>1884</v>
      </c>
      <c r="D1628" s="816" t="s">
        <v>1885</v>
      </c>
      <c r="E1628" s="816" t="s">
        <v>2780</v>
      </c>
      <c r="F1628" s="826">
        <v>-1294</v>
      </c>
      <c r="G1628" s="880">
        <v>0</v>
      </c>
      <c r="H1628" s="465"/>
      <c r="I1628" s="465"/>
      <c r="J1628" s="826">
        <v>0</v>
      </c>
      <c r="K1628" s="878">
        <v>-1294</v>
      </c>
    </row>
    <row r="1629" spans="1:11" ht="22.5" customHeight="1" x14ac:dyDescent="0.25">
      <c r="A1629" s="816" t="s">
        <v>273</v>
      </c>
      <c r="B1629" s="880">
        <v>2025</v>
      </c>
      <c r="C1629" s="816" t="s">
        <v>1887</v>
      </c>
      <c r="D1629" s="816" t="s">
        <v>138</v>
      </c>
      <c r="E1629" s="816" t="s">
        <v>2781</v>
      </c>
      <c r="F1629" s="826">
        <v>-29712.799999999999</v>
      </c>
      <c r="G1629" s="880">
        <v>1</v>
      </c>
      <c r="H1629" s="826">
        <v>-29823.59</v>
      </c>
      <c r="I1629" s="826">
        <v>110.79</v>
      </c>
      <c r="J1629" s="826">
        <v>-29712.799999999999</v>
      </c>
      <c r="K1629" s="878">
        <v>-29712.799999999999</v>
      </c>
    </row>
    <row r="1630" spans="1:11" ht="22.5" customHeight="1" x14ac:dyDescent="0.25">
      <c r="A1630" s="816" t="s">
        <v>273</v>
      </c>
      <c r="B1630" s="880">
        <v>2025</v>
      </c>
      <c r="C1630" s="816" t="s">
        <v>1889</v>
      </c>
      <c r="D1630" s="816" t="s">
        <v>139</v>
      </c>
      <c r="E1630" s="816" t="s">
        <v>2782</v>
      </c>
      <c r="F1630" s="826">
        <v>-43845.31</v>
      </c>
      <c r="G1630" s="880">
        <v>1</v>
      </c>
      <c r="H1630" s="826">
        <v>-40895.68</v>
      </c>
      <c r="I1630" s="826">
        <v>-2949.63</v>
      </c>
      <c r="J1630" s="826">
        <v>-43845.31</v>
      </c>
      <c r="K1630" s="878">
        <v>-43845.31</v>
      </c>
    </row>
    <row r="1631" spans="1:11" ht="22.5" customHeight="1" x14ac:dyDescent="0.25">
      <c r="A1631" s="816" t="s">
        <v>273</v>
      </c>
      <c r="B1631" s="880">
        <v>2025</v>
      </c>
      <c r="C1631" s="816" t="s">
        <v>1891</v>
      </c>
      <c r="D1631" s="816" t="s">
        <v>1892</v>
      </c>
      <c r="E1631" s="816" t="s">
        <v>2783</v>
      </c>
      <c r="F1631" s="826">
        <v>0</v>
      </c>
      <c r="G1631" s="880">
        <v>0</v>
      </c>
      <c r="H1631" s="465"/>
      <c r="I1631" s="465"/>
      <c r="J1631" s="826">
        <v>0</v>
      </c>
      <c r="K1631" s="878">
        <v>0</v>
      </c>
    </row>
    <row r="1632" spans="1:11" ht="22.5" customHeight="1" x14ac:dyDescent="0.25">
      <c r="A1632" s="816" t="s">
        <v>273</v>
      </c>
      <c r="B1632" s="880">
        <v>2025</v>
      </c>
      <c r="C1632" s="816" t="s">
        <v>1891</v>
      </c>
      <c r="D1632" s="816" t="s">
        <v>1894</v>
      </c>
      <c r="E1632" s="816" t="s">
        <v>2783</v>
      </c>
      <c r="F1632" s="826">
        <v>0</v>
      </c>
      <c r="G1632" s="880">
        <v>0</v>
      </c>
      <c r="H1632" s="465"/>
      <c r="I1632" s="465"/>
      <c r="J1632" s="826">
        <v>0</v>
      </c>
      <c r="K1632" s="881">
        <v>0</v>
      </c>
    </row>
    <row r="1633" spans="1:11" ht="22.5" customHeight="1" x14ac:dyDescent="0.25">
      <c r="A1633" s="816" t="s">
        <v>273</v>
      </c>
      <c r="B1633" s="880">
        <v>2025</v>
      </c>
      <c r="C1633" s="816" t="s">
        <v>1895</v>
      </c>
      <c r="D1633" s="816" t="s">
        <v>1896</v>
      </c>
      <c r="E1633" s="816" t="s">
        <v>2784</v>
      </c>
      <c r="F1633" s="826">
        <v>0</v>
      </c>
      <c r="G1633" s="880">
        <v>0</v>
      </c>
      <c r="H1633" s="465"/>
      <c r="I1633" s="465"/>
      <c r="J1633" s="826">
        <v>0</v>
      </c>
      <c r="K1633" s="878">
        <v>0</v>
      </c>
    </row>
    <row r="1634" spans="1:11" ht="22.5" customHeight="1" x14ac:dyDescent="0.25">
      <c r="A1634" s="816" t="s">
        <v>273</v>
      </c>
      <c r="B1634" s="880">
        <v>2025</v>
      </c>
      <c r="C1634" s="816" t="s">
        <v>1898</v>
      </c>
      <c r="D1634" s="816" t="s">
        <v>1899</v>
      </c>
      <c r="E1634" s="816" t="s">
        <v>2785</v>
      </c>
      <c r="F1634" s="826">
        <v>0</v>
      </c>
      <c r="G1634" s="880">
        <v>0</v>
      </c>
      <c r="H1634" s="465"/>
      <c r="I1634" s="465"/>
      <c r="J1634" s="826">
        <v>0</v>
      </c>
      <c r="K1634" s="878">
        <v>0</v>
      </c>
    </row>
    <row r="1635" spans="1:11" ht="22.5" customHeight="1" x14ac:dyDescent="0.25">
      <c r="A1635" s="816" t="s">
        <v>273</v>
      </c>
      <c r="B1635" s="880">
        <v>2025</v>
      </c>
      <c r="C1635" s="816" t="s">
        <v>1901</v>
      </c>
      <c r="D1635" s="816" t="s">
        <v>1902</v>
      </c>
      <c r="E1635" s="816" t="s">
        <v>2786</v>
      </c>
      <c r="F1635" s="826">
        <v>342866.73</v>
      </c>
      <c r="G1635" s="880">
        <v>0</v>
      </c>
      <c r="H1635" s="465"/>
      <c r="I1635" s="465"/>
      <c r="J1635" s="826">
        <v>0</v>
      </c>
      <c r="K1635" s="878">
        <v>342866.73</v>
      </c>
    </row>
    <row r="1636" spans="1:11" ht="22.5" customHeight="1" x14ac:dyDescent="0.25">
      <c r="A1636" s="816" t="s">
        <v>273</v>
      </c>
      <c r="B1636" s="880">
        <v>2025</v>
      </c>
      <c r="C1636" s="816" t="s">
        <v>1904</v>
      </c>
      <c r="D1636" s="816" t="s">
        <v>1905</v>
      </c>
      <c r="E1636" s="816" t="s">
        <v>2787</v>
      </c>
      <c r="F1636" s="826">
        <v>118.77</v>
      </c>
      <c r="G1636" s="880">
        <v>0</v>
      </c>
      <c r="H1636" s="465"/>
      <c r="I1636" s="465"/>
      <c r="J1636" s="826">
        <v>0</v>
      </c>
      <c r="K1636" s="878">
        <v>118.77</v>
      </c>
    </row>
    <row r="1637" spans="1:11" ht="22.5" customHeight="1" x14ac:dyDescent="0.25">
      <c r="A1637" s="816" t="s">
        <v>273</v>
      </c>
      <c r="B1637" s="880">
        <v>2025</v>
      </c>
      <c r="C1637" s="816" t="s">
        <v>1907</v>
      </c>
      <c r="D1637" s="816" t="s">
        <v>1908</v>
      </c>
      <c r="E1637" s="816" t="s">
        <v>2788</v>
      </c>
      <c r="F1637" s="826">
        <v>0</v>
      </c>
      <c r="G1637" s="880">
        <v>0</v>
      </c>
      <c r="H1637" s="465"/>
      <c r="I1637" s="465"/>
      <c r="J1637" s="826">
        <v>0</v>
      </c>
      <c r="K1637" s="878">
        <v>0</v>
      </c>
    </row>
    <row r="1638" spans="1:11" ht="22.5" customHeight="1" x14ac:dyDescent="0.25">
      <c r="A1638" s="816" t="s">
        <v>273</v>
      </c>
      <c r="B1638" s="880">
        <v>2025</v>
      </c>
      <c r="C1638" s="816" t="s">
        <v>1910</v>
      </c>
      <c r="D1638" s="816" t="s">
        <v>1911</v>
      </c>
      <c r="E1638" s="816" t="s">
        <v>2789</v>
      </c>
      <c r="F1638" s="826">
        <v>-6792.92</v>
      </c>
      <c r="G1638" s="880">
        <v>0</v>
      </c>
      <c r="H1638" s="465"/>
      <c r="I1638" s="465"/>
      <c r="J1638" s="826">
        <v>0</v>
      </c>
      <c r="K1638" s="878">
        <v>-6792.92</v>
      </c>
    </row>
    <row r="1639" spans="1:11" ht="22.5" customHeight="1" x14ac:dyDescent="0.25">
      <c r="A1639" s="816" t="s">
        <v>273</v>
      </c>
      <c r="B1639" s="880">
        <v>2025</v>
      </c>
      <c r="C1639" s="816" t="s">
        <v>1913</v>
      </c>
      <c r="D1639" s="816" t="s">
        <v>1914</v>
      </c>
      <c r="E1639" s="816" t="s">
        <v>2790</v>
      </c>
      <c r="F1639" s="826">
        <v>-584684.13</v>
      </c>
      <c r="G1639" s="880">
        <v>1</v>
      </c>
      <c r="H1639" s="826">
        <v>-551783.14</v>
      </c>
      <c r="I1639" s="826">
        <v>-32900.99</v>
      </c>
      <c r="J1639" s="826">
        <v>-584684.13</v>
      </c>
      <c r="K1639" s="878">
        <v>-584684.13</v>
      </c>
    </row>
    <row r="1640" spans="1:11" ht="22.5" customHeight="1" x14ac:dyDescent="0.25">
      <c r="A1640" s="816" t="s">
        <v>273</v>
      </c>
      <c r="B1640" s="880">
        <v>2025</v>
      </c>
      <c r="C1640" s="816" t="s">
        <v>1913</v>
      </c>
      <c r="D1640" s="816" t="s">
        <v>1916</v>
      </c>
      <c r="E1640" s="816" t="s">
        <v>2790</v>
      </c>
      <c r="F1640" s="826">
        <v>0</v>
      </c>
      <c r="G1640" s="880">
        <v>0</v>
      </c>
      <c r="H1640" s="465"/>
      <c r="I1640" s="465"/>
      <c r="J1640" s="826">
        <v>0</v>
      </c>
      <c r="K1640" s="881">
        <v>0</v>
      </c>
    </row>
    <row r="1641" spans="1:11" ht="22.5" customHeight="1" x14ac:dyDescent="0.25">
      <c r="A1641" s="816" t="s">
        <v>273</v>
      </c>
      <c r="B1641" s="880">
        <v>2025</v>
      </c>
      <c r="C1641" s="816" t="s">
        <v>1913</v>
      </c>
      <c r="D1641" s="816" t="s">
        <v>1917</v>
      </c>
      <c r="E1641" s="816" t="s">
        <v>2790</v>
      </c>
      <c r="F1641" s="826">
        <v>0</v>
      </c>
      <c r="G1641" s="880">
        <v>0</v>
      </c>
      <c r="H1641" s="465"/>
      <c r="I1641" s="465"/>
      <c r="J1641" s="826">
        <v>0</v>
      </c>
      <c r="K1641" s="881">
        <v>0</v>
      </c>
    </row>
    <row r="1642" spans="1:11" ht="22.5" customHeight="1" x14ac:dyDescent="0.25">
      <c r="A1642" s="816" t="s">
        <v>273</v>
      </c>
      <c r="B1642" s="880">
        <v>2025</v>
      </c>
      <c r="C1642" s="816" t="s">
        <v>1913</v>
      </c>
      <c r="D1642" s="816" t="s">
        <v>1918</v>
      </c>
      <c r="E1642" s="816" t="s">
        <v>2790</v>
      </c>
      <c r="F1642" s="826">
        <v>0</v>
      </c>
      <c r="G1642" s="880">
        <v>0</v>
      </c>
      <c r="H1642" s="465"/>
      <c r="I1642" s="465"/>
      <c r="J1642" s="826">
        <v>0</v>
      </c>
      <c r="K1642" s="881">
        <v>-279.91000000000003</v>
      </c>
    </row>
    <row r="1643" spans="1:11" ht="22.5" customHeight="1" x14ac:dyDescent="0.25">
      <c r="A1643" s="816" t="s">
        <v>273</v>
      </c>
      <c r="B1643" s="880">
        <v>2025</v>
      </c>
      <c r="C1643" s="816" t="s">
        <v>1913</v>
      </c>
      <c r="D1643" s="816" t="s">
        <v>1919</v>
      </c>
      <c r="E1643" s="816" t="s">
        <v>2790</v>
      </c>
      <c r="F1643" s="826">
        <v>0</v>
      </c>
      <c r="G1643" s="880">
        <v>0</v>
      </c>
      <c r="H1643" s="465"/>
      <c r="I1643" s="465"/>
      <c r="J1643" s="826">
        <v>0</v>
      </c>
      <c r="K1643" s="881">
        <v>31681.31</v>
      </c>
    </row>
    <row r="1644" spans="1:11" ht="22.5" customHeight="1" x14ac:dyDescent="0.25">
      <c r="A1644" s="816" t="s">
        <v>273</v>
      </c>
      <c r="B1644" s="880">
        <v>2025</v>
      </c>
      <c r="C1644" s="816" t="s">
        <v>1920</v>
      </c>
      <c r="D1644" s="816" t="s">
        <v>1921</v>
      </c>
      <c r="E1644" s="816" t="s">
        <v>2791</v>
      </c>
      <c r="F1644" s="826">
        <v>-47.84</v>
      </c>
      <c r="G1644" s="880">
        <v>0</v>
      </c>
      <c r="H1644" s="465"/>
      <c r="I1644" s="465"/>
      <c r="J1644" s="826">
        <v>0</v>
      </c>
      <c r="K1644" s="878">
        <v>-47.84</v>
      </c>
    </row>
    <row r="1645" spans="1:11" ht="22.5" customHeight="1" x14ac:dyDescent="0.25">
      <c r="A1645" s="816" t="s">
        <v>273</v>
      </c>
      <c r="B1645" s="880">
        <v>2025</v>
      </c>
      <c r="C1645" s="816" t="s">
        <v>1923</v>
      </c>
      <c r="D1645" s="816" t="s">
        <v>143</v>
      </c>
      <c r="E1645" s="816" t="s">
        <v>2792</v>
      </c>
      <c r="F1645" s="826">
        <v>55949.53</v>
      </c>
      <c r="G1645" s="880">
        <v>1</v>
      </c>
      <c r="H1645" s="826">
        <v>49480.46</v>
      </c>
      <c r="I1645" s="826">
        <v>6469.07</v>
      </c>
      <c r="J1645" s="826">
        <v>55949.53</v>
      </c>
      <c r="K1645" s="878">
        <v>55949.53</v>
      </c>
    </row>
    <row r="1646" spans="1:11" ht="22.5" customHeight="1" x14ac:dyDescent="0.25">
      <c r="A1646" s="816" t="s">
        <v>273</v>
      </c>
      <c r="B1646" s="880">
        <v>2025</v>
      </c>
      <c r="C1646" s="816" t="s">
        <v>1925</v>
      </c>
      <c r="D1646" s="816" t="s">
        <v>144</v>
      </c>
      <c r="E1646" s="816" t="s">
        <v>2793</v>
      </c>
      <c r="F1646" s="826">
        <v>157918.84</v>
      </c>
      <c r="G1646" s="880">
        <v>1</v>
      </c>
      <c r="H1646" s="826">
        <v>145745.57</v>
      </c>
      <c r="I1646" s="826">
        <v>12173.27</v>
      </c>
      <c r="J1646" s="826">
        <v>157918.84</v>
      </c>
      <c r="K1646" s="878">
        <v>157918.84</v>
      </c>
    </row>
    <row r="1647" spans="1:11" ht="22.5" customHeight="1" x14ac:dyDescent="0.25">
      <c r="A1647" s="816" t="s">
        <v>273</v>
      </c>
      <c r="B1647" s="880">
        <v>2025</v>
      </c>
      <c r="C1647" s="816" t="s">
        <v>1927</v>
      </c>
      <c r="D1647" s="816" t="s">
        <v>1928</v>
      </c>
      <c r="E1647" s="816" t="s">
        <v>2794</v>
      </c>
      <c r="F1647" s="826">
        <v>-304996.38</v>
      </c>
      <c r="G1647" s="880">
        <v>1</v>
      </c>
      <c r="H1647" s="826">
        <v>-286143.32</v>
      </c>
      <c r="I1647" s="826">
        <v>-18853.060000000001</v>
      </c>
      <c r="J1647" s="826">
        <v>-304996.38</v>
      </c>
      <c r="K1647" s="878">
        <v>-304996.38</v>
      </c>
    </row>
    <row r="1648" spans="1:11" ht="22.5" customHeight="1" x14ac:dyDescent="0.25">
      <c r="A1648" s="816" t="s">
        <v>273</v>
      </c>
      <c r="B1648" s="880">
        <v>2025</v>
      </c>
      <c r="C1648" s="816" t="s">
        <v>1930</v>
      </c>
      <c r="D1648" s="816" t="s">
        <v>156</v>
      </c>
      <c r="E1648" s="816" t="s">
        <v>2795</v>
      </c>
      <c r="F1648" s="826">
        <v>440922.67</v>
      </c>
      <c r="G1648" s="880">
        <v>1</v>
      </c>
      <c r="H1648" s="826">
        <v>425625.95</v>
      </c>
      <c r="I1648" s="826">
        <v>15296.72</v>
      </c>
      <c r="J1648" s="826">
        <v>440922.67</v>
      </c>
      <c r="K1648" s="878">
        <v>440922.67</v>
      </c>
    </row>
    <row r="1649" spans="1:11" ht="22.5" customHeight="1" x14ac:dyDescent="0.25">
      <c r="A1649" s="816" t="s">
        <v>273</v>
      </c>
      <c r="B1649" s="880">
        <v>2025</v>
      </c>
      <c r="C1649" s="816" t="s">
        <v>1932</v>
      </c>
      <c r="D1649" s="816" t="s">
        <v>1933</v>
      </c>
      <c r="E1649" s="816" t="s">
        <v>2796</v>
      </c>
      <c r="F1649" s="826">
        <v>-603266.51</v>
      </c>
      <c r="G1649" s="880">
        <v>0</v>
      </c>
      <c r="H1649" s="465"/>
      <c r="I1649" s="465"/>
      <c r="J1649" s="826">
        <v>0</v>
      </c>
      <c r="K1649" s="878">
        <v>-603266.51</v>
      </c>
    </row>
    <row r="1650" spans="1:11" ht="22.5" customHeight="1" x14ac:dyDescent="0.25">
      <c r="A1650" s="816" t="s">
        <v>273</v>
      </c>
      <c r="B1650" s="880">
        <v>2025</v>
      </c>
      <c r="C1650" s="816" t="s">
        <v>1935</v>
      </c>
      <c r="D1650" s="816" t="s">
        <v>1936</v>
      </c>
      <c r="E1650" s="816" t="s">
        <v>8364</v>
      </c>
      <c r="F1650" s="826">
        <v>0</v>
      </c>
      <c r="G1650" s="880">
        <v>1</v>
      </c>
      <c r="H1650" s="465"/>
      <c r="I1650" s="465"/>
      <c r="J1650" s="826">
        <v>0</v>
      </c>
      <c r="K1650" s="878">
        <v>0</v>
      </c>
    </row>
    <row r="1651" spans="1:11" ht="22.5" customHeight="1" x14ac:dyDescent="0.25">
      <c r="A1651" s="816" t="s">
        <v>273</v>
      </c>
      <c r="B1651" s="880">
        <v>2025</v>
      </c>
      <c r="C1651" s="816" t="s">
        <v>1935</v>
      </c>
      <c r="D1651" s="816" t="s">
        <v>1937</v>
      </c>
      <c r="E1651" s="816" t="s">
        <v>8365</v>
      </c>
      <c r="F1651" s="826">
        <v>0</v>
      </c>
      <c r="G1651" s="880">
        <v>1</v>
      </c>
      <c r="H1651" s="465"/>
      <c r="I1651" s="465"/>
      <c r="J1651" s="826">
        <v>0</v>
      </c>
      <c r="K1651" s="878">
        <v>0</v>
      </c>
    </row>
    <row r="1652" spans="1:11" ht="22.5" customHeight="1" x14ac:dyDescent="0.25">
      <c r="A1652" s="816" t="s">
        <v>273</v>
      </c>
      <c r="B1652" s="880">
        <v>2025</v>
      </c>
      <c r="C1652" s="816" t="s">
        <v>1935</v>
      </c>
      <c r="D1652" s="816" t="s">
        <v>1938</v>
      </c>
      <c r="E1652" s="816" t="s">
        <v>8366</v>
      </c>
      <c r="F1652" s="826">
        <v>0</v>
      </c>
      <c r="G1652" s="880">
        <v>1</v>
      </c>
      <c r="H1652" s="465"/>
      <c r="I1652" s="465"/>
      <c r="J1652" s="826">
        <v>0</v>
      </c>
      <c r="K1652" s="878">
        <v>0</v>
      </c>
    </row>
    <row r="1653" spans="1:11" ht="22.5" customHeight="1" x14ac:dyDescent="0.25">
      <c r="A1653" s="816" t="s">
        <v>273</v>
      </c>
      <c r="B1653" s="880">
        <v>2025</v>
      </c>
      <c r="C1653" s="816" t="s">
        <v>1935</v>
      </c>
      <c r="D1653" s="816" t="s">
        <v>1939</v>
      </c>
      <c r="E1653" s="816" t="s">
        <v>8367</v>
      </c>
      <c r="F1653" s="826">
        <v>0</v>
      </c>
      <c r="G1653" s="880">
        <v>1</v>
      </c>
      <c r="H1653" s="465"/>
      <c r="I1653" s="465"/>
      <c r="J1653" s="826">
        <v>0</v>
      </c>
      <c r="K1653" s="878">
        <v>0</v>
      </c>
    </row>
    <row r="1654" spans="1:11" ht="22.5" customHeight="1" x14ac:dyDescent="0.25">
      <c r="A1654" s="816" t="s">
        <v>273</v>
      </c>
      <c r="B1654" s="880">
        <v>2025</v>
      </c>
      <c r="C1654" s="816" t="s">
        <v>1935</v>
      </c>
      <c r="D1654" s="816" t="s">
        <v>1940</v>
      </c>
      <c r="E1654" s="816" t="s">
        <v>8368</v>
      </c>
      <c r="F1654" s="826">
        <v>0</v>
      </c>
      <c r="G1654" s="880">
        <v>1</v>
      </c>
      <c r="H1654" s="465"/>
      <c r="I1654" s="465"/>
      <c r="J1654" s="826">
        <v>0</v>
      </c>
      <c r="K1654" s="878">
        <v>0</v>
      </c>
    </row>
    <row r="1655" spans="1:11" ht="22.5" customHeight="1" x14ac:dyDescent="0.25">
      <c r="A1655" s="816" t="s">
        <v>273</v>
      </c>
      <c r="B1655" s="880">
        <v>2025</v>
      </c>
      <c r="C1655" s="816" t="s">
        <v>1935</v>
      </c>
      <c r="D1655" s="816" t="s">
        <v>1941</v>
      </c>
      <c r="E1655" s="816" t="s">
        <v>8369</v>
      </c>
      <c r="F1655" s="826">
        <v>0</v>
      </c>
      <c r="G1655" s="880">
        <v>1</v>
      </c>
      <c r="H1655" s="465"/>
      <c r="I1655" s="465"/>
      <c r="J1655" s="826">
        <v>0</v>
      </c>
      <c r="K1655" s="878">
        <v>0</v>
      </c>
    </row>
    <row r="1656" spans="1:11" ht="22.5" customHeight="1" x14ac:dyDescent="0.25">
      <c r="A1656" s="816" t="s">
        <v>273</v>
      </c>
      <c r="B1656" s="880">
        <v>2025</v>
      </c>
      <c r="C1656" s="816" t="s">
        <v>1935</v>
      </c>
      <c r="D1656" s="816" t="s">
        <v>1942</v>
      </c>
      <c r="E1656" s="816" t="s">
        <v>8370</v>
      </c>
      <c r="F1656" s="826">
        <v>0</v>
      </c>
      <c r="G1656" s="880">
        <v>1</v>
      </c>
      <c r="H1656" s="465"/>
      <c r="I1656" s="465"/>
      <c r="J1656" s="826">
        <v>0</v>
      </c>
      <c r="K1656" s="878">
        <v>0</v>
      </c>
    </row>
    <row r="1657" spans="1:11" ht="22.5" customHeight="1" x14ac:dyDescent="0.25">
      <c r="A1657" s="816" t="s">
        <v>273</v>
      </c>
      <c r="B1657" s="880">
        <v>2025</v>
      </c>
      <c r="C1657" s="816" t="s">
        <v>1935</v>
      </c>
      <c r="D1657" s="816" t="s">
        <v>1943</v>
      </c>
      <c r="E1657" s="816" t="s">
        <v>8371</v>
      </c>
      <c r="F1657" s="826">
        <v>0</v>
      </c>
      <c r="G1657" s="880">
        <v>1</v>
      </c>
      <c r="H1657" s="465"/>
      <c r="I1657" s="465"/>
      <c r="J1657" s="826">
        <v>0</v>
      </c>
      <c r="K1657" s="878">
        <v>0</v>
      </c>
    </row>
    <row r="1658" spans="1:11" ht="22.5" customHeight="1" x14ac:dyDescent="0.25">
      <c r="A1658" s="816" t="s">
        <v>273</v>
      </c>
      <c r="B1658" s="880">
        <v>2025</v>
      </c>
      <c r="C1658" s="816" t="s">
        <v>1935</v>
      </c>
      <c r="D1658" s="816" t="s">
        <v>1944</v>
      </c>
      <c r="E1658" s="816" t="s">
        <v>8372</v>
      </c>
      <c r="F1658" s="826">
        <v>0</v>
      </c>
      <c r="G1658" s="880">
        <v>1</v>
      </c>
      <c r="H1658" s="465"/>
      <c r="I1658" s="465"/>
      <c r="J1658" s="826">
        <v>0</v>
      </c>
      <c r="K1658" s="878">
        <v>0</v>
      </c>
    </row>
    <row r="1659" spans="1:11" ht="22.5" customHeight="1" x14ac:dyDescent="0.25">
      <c r="A1659" s="816" t="s">
        <v>273</v>
      </c>
      <c r="B1659" s="880">
        <v>2025</v>
      </c>
      <c r="C1659" s="816" t="s">
        <v>1935</v>
      </c>
      <c r="D1659" s="816" t="s">
        <v>1945</v>
      </c>
      <c r="E1659" s="816" t="s">
        <v>8373</v>
      </c>
      <c r="F1659" s="826">
        <v>0</v>
      </c>
      <c r="G1659" s="880">
        <v>1</v>
      </c>
      <c r="H1659" s="465"/>
      <c r="I1659" s="465"/>
      <c r="J1659" s="826">
        <v>0</v>
      </c>
      <c r="K1659" s="878">
        <v>0</v>
      </c>
    </row>
    <row r="1660" spans="1:11" ht="22.5" customHeight="1" x14ac:dyDescent="0.25">
      <c r="A1660" s="816" t="s">
        <v>273</v>
      </c>
      <c r="B1660" s="880">
        <v>2025</v>
      </c>
      <c r="C1660" s="816" t="s">
        <v>1935</v>
      </c>
      <c r="D1660" s="816" t="s">
        <v>1946</v>
      </c>
      <c r="E1660" s="816" t="s">
        <v>8374</v>
      </c>
      <c r="F1660" s="826">
        <v>0</v>
      </c>
      <c r="G1660" s="880">
        <v>1</v>
      </c>
      <c r="H1660" s="826">
        <v>-17.23</v>
      </c>
      <c r="I1660" s="826">
        <v>-1.76</v>
      </c>
      <c r="J1660" s="826">
        <v>-18.989999999999998</v>
      </c>
      <c r="K1660" s="878">
        <v>-18.989999999999998</v>
      </c>
    </row>
    <row r="1661" spans="1:11" ht="22.5" customHeight="1" x14ac:dyDescent="0.25">
      <c r="A1661" s="816" t="s">
        <v>273</v>
      </c>
      <c r="B1661" s="880">
        <v>2025</v>
      </c>
      <c r="C1661" s="816" t="s">
        <v>1935</v>
      </c>
      <c r="D1661" s="816" t="s">
        <v>1947</v>
      </c>
      <c r="E1661" s="816" t="s">
        <v>8375</v>
      </c>
      <c r="F1661" s="826">
        <v>0</v>
      </c>
      <c r="G1661" s="880">
        <v>1</v>
      </c>
      <c r="H1661" s="826">
        <v>-614084.21</v>
      </c>
      <c r="I1661" s="826">
        <v>401739.84</v>
      </c>
      <c r="J1661" s="826">
        <v>-212344.37</v>
      </c>
      <c r="K1661" s="878">
        <v>-212344.37</v>
      </c>
    </row>
    <row r="1662" spans="1:11" ht="22.5" customHeight="1" x14ac:dyDescent="0.25">
      <c r="A1662" s="816" t="s">
        <v>273</v>
      </c>
      <c r="B1662" s="880">
        <v>2025</v>
      </c>
      <c r="C1662" s="816" t="s">
        <v>1935</v>
      </c>
      <c r="D1662" s="816" t="s">
        <v>1948</v>
      </c>
      <c r="E1662" s="816" t="s">
        <v>8376</v>
      </c>
      <c r="F1662" s="826">
        <v>0</v>
      </c>
      <c r="G1662" s="880">
        <v>1</v>
      </c>
      <c r="H1662" s="826">
        <v>-87504.25</v>
      </c>
      <c r="I1662" s="826">
        <v>112186.93</v>
      </c>
      <c r="J1662" s="826">
        <v>24682.68</v>
      </c>
      <c r="K1662" s="878">
        <v>24682.68</v>
      </c>
    </row>
    <row r="1663" spans="1:11" ht="22.5" customHeight="1" x14ac:dyDescent="0.25">
      <c r="A1663" s="816" t="s">
        <v>273</v>
      </c>
      <c r="B1663" s="880">
        <v>2025</v>
      </c>
      <c r="C1663" s="816" t="s">
        <v>1935</v>
      </c>
      <c r="D1663" s="816" t="s">
        <v>1949</v>
      </c>
      <c r="E1663" s="816" t="s">
        <v>8377</v>
      </c>
      <c r="F1663" s="826">
        <v>0</v>
      </c>
      <c r="G1663" s="880">
        <v>1</v>
      </c>
      <c r="H1663" s="826">
        <v>737318.75</v>
      </c>
      <c r="I1663" s="826">
        <v>-30782.959999999999</v>
      </c>
      <c r="J1663" s="826">
        <v>706535.79</v>
      </c>
      <c r="K1663" s="878">
        <v>706535.79</v>
      </c>
    </row>
    <row r="1664" spans="1:11" ht="22.5" customHeight="1" x14ac:dyDescent="0.25">
      <c r="A1664" s="816" t="s">
        <v>273</v>
      </c>
      <c r="B1664" s="880">
        <v>2025</v>
      </c>
      <c r="C1664" s="816" t="s">
        <v>1935</v>
      </c>
      <c r="D1664" s="816" t="s">
        <v>1950</v>
      </c>
      <c r="E1664" s="816" t="s">
        <v>8378</v>
      </c>
      <c r="F1664" s="826">
        <v>0</v>
      </c>
      <c r="G1664" s="880">
        <v>1</v>
      </c>
      <c r="H1664" s="826">
        <v>-45579.95</v>
      </c>
      <c r="I1664" s="826">
        <v>1070.07</v>
      </c>
      <c r="J1664" s="826">
        <v>-44509.88</v>
      </c>
      <c r="K1664" s="878">
        <v>-44509.88</v>
      </c>
    </row>
    <row r="1665" spans="1:11" ht="22.5" customHeight="1" x14ac:dyDescent="0.25">
      <c r="A1665" s="816" t="s">
        <v>273</v>
      </c>
      <c r="B1665" s="880">
        <v>2025</v>
      </c>
      <c r="C1665" s="816" t="s">
        <v>1935</v>
      </c>
      <c r="D1665" s="816" t="s">
        <v>1951</v>
      </c>
      <c r="E1665" s="816" t="s">
        <v>8379</v>
      </c>
      <c r="F1665" s="826">
        <v>0</v>
      </c>
      <c r="G1665" s="880">
        <v>1</v>
      </c>
      <c r="H1665" s="826">
        <v>22580.799999999999</v>
      </c>
      <c r="I1665" s="826">
        <v>-18213.099999999999</v>
      </c>
      <c r="J1665" s="826">
        <v>4367.7</v>
      </c>
      <c r="K1665" s="878">
        <v>4367.7</v>
      </c>
    </row>
    <row r="1666" spans="1:11" ht="22.5" customHeight="1" x14ac:dyDescent="0.25">
      <c r="A1666" s="816" t="s">
        <v>273</v>
      </c>
      <c r="B1666" s="880">
        <v>2025</v>
      </c>
      <c r="C1666" s="816" t="s">
        <v>1935</v>
      </c>
      <c r="D1666" s="816" t="s">
        <v>7801</v>
      </c>
      <c r="E1666" s="816" t="s">
        <v>8380</v>
      </c>
      <c r="F1666" s="826">
        <v>0</v>
      </c>
      <c r="G1666" s="880">
        <v>1</v>
      </c>
      <c r="H1666" s="826">
        <v>121145.39</v>
      </c>
      <c r="I1666" s="826">
        <v>32777.58</v>
      </c>
      <c r="J1666" s="826">
        <v>153922.97</v>
      </c>
      <c r="K1666" s="878">
        <v>153922.97</v>
      </c>
    </row>
    <row r="1667" spans="1:11" ht="22.5" customHeight="1" x14ac:dyDescent="0.25">
      <c r="A1667" s="816" t="s">
        <v>273</v>
      </c>
      <c r="B1667" s="880">
        <v>2025</v>
      </c>
      <c r="C1667" s="816" t="s">
        <v>1935</v>
      </c>
      <c r="D1667" s="816" t="s">
        <v>1952</v>
      </c>
      <c r="E1667" s="816" t="s">
        <v>8381</v>
      </c>
      <c r="F1667" s="826">
        <v>632635.9</v>
      </c>
      <c r="G1667" s="880">
        <v>0</v>
      </c>
      <c r="H1667" s="465"/>
      <c r="I1667" s="465"/>
      <c r="J1667" s="826">
        <v>0</v>
      </c>
      <c r="K1667" s="878">
        <v>632635.9</v>
      </c>
    </row>
    <row r="1668" spans="1:11" ht="22.5" customHeight="1" x14ac:dyDescent="0.25">
      <c r="A1668" s="816" t="s">
        <v>273</v>
      </c>
      <c r="B1668" s="880">
        <v>2025</v>
      </c>
      <c r="C1668" s="816" t="s">
        <v>1953</v>
      </c>
      <c r="D1668" s="816" t="s">
        <v>1954</v>
      </c>
      <c r="E1668" s="816" t="s">
        <v>2797</v>
      </c>
      <c r="F1668" s="826">
        <v>0</v>
      </c>
      <c r="G1668" s="880">
        <v>0</v>
      </c>
      <c r="H1668" s="465"/>
      <c r="I1668" s="465"/>
      <c r="J1668" s="826">
        <v>0</v>
      </c>
      <c r="K1668" s="878">
        <v>0</v>
      </c>
    </row>
    <row r="1669" spans="1:11" ht="22.5" customHeight="1" x14ac:dyDescent="0.25">
      <c r="A1669" s="816" t="s">
        <v>275</v>
      </c>
      <c r="B1669" s="880">
        <v>2025</v>
      </c>
      <c r="C1669" s="816" t="s">
        <v>1854</v>
      </c>
      <c r="D1669" s="816" t="s">
        <v>1855</v>
      </c>
      <c r="E1669" s="816" t="s">
        <v>2798</v>
      </c>
      <c r="F1669" s="826">
        <v>-6336230.1699999999</v>
      </c>
      <c r="G1669" s="880">
        <v>0</v>
      </c>
      <c r="H1669" s="465"/>
      <c r="I1669" s="465"/>
      <c r="J1669" s="826">
        <v>0</v>
      </c>
      <c r="K1669" s="878">
        <v>-6336230.1699999999</v>
      </c>
    </row>
    <row r="1670" spans="1:11" ht="22.5" customHeight="1" x14ac:dyDescent="0.25">
      <c r="A1670" s="816" t="s">
        <v>275</v>
      </c>
      <c r="B1670" s="880">
        <v>2025</v>
      </c>
      <c r="C1670" s="816" t="s">
        <v>7746</v>
      </c>
      <c r="D1670" s="816" t="s">
        <v>7747</v>
      </c>
      <c r="E1670" s="816" t="s">
        <v>7779</v>
      </c>
      <c r="F1670" s="826">
        <v>1475967.82</v>
      </c>
      <c r="G1670" s="880">
        <v>0</v>
      </c>
      <c r="H1670" s="465"/>
      <c r="I1670" s="465"/>
      <c r="J1670" s="826">
        <v>0</v>
      </c>
      <c r="K1670" s="878">
        <v>1475967.82</v>
      </c>
    </row>
    <row r="1671" spans="1:11" ht="22.5" customHeight="1" x14ac:dyDescent="0.25">
      <c r="A1671" s="816" t="s">
        <v>275</v>
      </c>
      <c r="B1671" s="880">
        <v>2025</v>
      </c>
      <c r="C1671" s="816" t="s">
        <v>1857</v>
      </c>
      <c r="D1671" s="816" t="s">
        <v>1858</v>
      </c>
      <c r="E1671" s="816" t="s">
        <v>2799</v>
      </c>
      <c r="F1671" s="826">
        <v>0</v>
      </c>
      <c r="G1671" s="880">
        <v>0</v>
      </c>
      <c r="H1671" s="465"/>
      <c r="I1671" s="465"/>
      <c r="J1671" s="826">
        <v>0</v>
      </c>
      <c r="K1671" s="878">
        <v>0</v>
      </c>
    </row>
    <row r="1672" spans="1:11" ht="22.5" customHeight="1" x14ac:dyDescent="0.25">
      <c r="A1672" s="816" t="s">
        <v>275</v>
      </c>
      <c r="B1672" s="880">
        <v>2025</v>
      </c>
      <c r="C1672" s="816" t="s">
        <v>1860</v>
      </c>
      <c r="D1672" s="816" t="s">
        <v>1861</v>
      </c>
      <c r="E1672" s="816" t="s">
        <v>2800</v>
      </c>
      <c r="F1672" s="826">
        <v>-23370.41</v>
      </c>
      <c r="G1672" s="880">
        <v>0</v>
      </c>
      <c r="H1672" s="465"/>
      <c r="I1672" s="465"/>
      <c r="J1672" s="826">
        <v>0</v>
      </c>
      <c r="K1672" s="878">
        <v>-23370.41</v>
      </c>
    </row>
    <row r="1673" spans="1:11" ht="22.5" customHeight="1" x14ac:dyDescent="0.25">
      <c r="A1673" s="816" t="s">
        <v>275</v>
      </c>
      <c r="B1673" s="880">
        <v>2025</v>
      </c>
      <c r="C1673" s="816" t="s">
        <v>1863</v>
      </c>
      <c r="D1673" s="816" t="s">
        <v>1864</v>
      </c>
      <c r="E1673" s="816" t="s">
        <v>2801</v>
      </c>
      <c r="F1673" s="826">
        <v>0</v>
      </c>
      <c r="G1673" s="880">
        <v>0</v>
      </c>
      <c r="H1673" s="465"/>
      <c r="I1673" s="465"/>
      <c r="J1673" s="826">
        <v>0</v>
      </c>
      <c r="K1673" s="878">
        <v>0</v>
      </c>
    </row>
    <row r="1674" spans="1:11" ht="22.5" customHeight="1" x14ac:dyDescent="0.25">
      <c r="A1674" s="816" t="s">
        <v>275</v>
      </c>
      <c r="B1674" s="880">
        <v>2025</v>
      </c>
      <c r="C1674" s="816" t="s">
        <v>1866</v>
      </c>
      <c r="D1674" s="816" t="s">
        <v>1867</v>
      </c>
      <c r="E1674" s="816" t="s">
        <v>2802</v>
      </c>
      <c r="F1674" s="826">
        <v>0</v>
      </c>
      <c r="G1674" s="880">
        <v>0</v>
      </c>
      <c r="H1674" s="465"/>
      <c r="I1674" s="465"/>
      <c r="J1674" s="826">
        <v>0</v>
      </c>
      <c r="K1674" s="878">
        <v>0</v>
      </c>
    </row>
    <row r="1675" spans="1:11" ht="22.5" customHeight="1" x14ac:dyDescent="0.25">
      <c r="A1675" s="816" t="s">
        <v>275</v>
      </c>
      <c r="B1675" s="880">
        <v>2025</v>
      </c>
      <c r="C1675" s="816" t="s">
        <v>1869</v>
      </c>
      <c r="D1675" s="816" t="s">
        <v>1870</v>
      </c>
      <c r="E1675" s="816" t="s">
        <v>2803</v>
      </c>
      <c r="F1675" s="826">
        <v>0</v>
      </c>
      <c r="G1675" s="880">
        <v>0</v>
      </c>
      <c r="H1675" s="465"/>
      <c r="I1675" s="465"/>
      <c r="J1675" s="826">
        <v>0</v>
      </c>
      <c r="K1675" s="878">
        <v>0</v>
      </c>
    </row>
    <row r="1676" spans="1:11" ht="22.5" customHeight="1" x14ac:dyDescent="0.25">
      <c r="A1676" s="816" t="s">
        <v>275</v>
      </c>
      <c r="B1676" s="880">
        <v>2025</v>
      </c>
      <c r="C1676" s="816" t="s">
        <v>1872</v>
      </c>
      <c r="D1676" s="816" t="s">
        <v>1873</v>
      </c>
      <c r="E1676" s="816" t="s">
        <v>2804</v>
      </c>
      <c r="F1676" s="826">
        <v>0</v>
      </c>
      <c r="G1676" s="880">
        <v>0</v>
      </c>
      <c r="H1676" s="465"/>
      <c r="I1676" s="465"/>
      <c r="J1676" s="826">
        <v>0</v>
      </c>
      <c r="K1676" s="878">
        <v>0</v>
      </c>
    </row>
    <row r="1677" spans="1:11" ht="22.5" customHeight="1" x14ac:dyDescent="0.25">
      <c r="A1677" s="816" t="s">
        <v>275</v>
      </c>
      <c r="B1677" s="880">
        <v>2025</v>
      </c>
      <c r="C1677" s="816" t="s">
        <v>1875</v>
      </c>
      <c r="D1677" s="816" t="s">
        <v>1876</v>
      </c>
      <c r="E1677" s="816" t="s">
        <v>2805</v>
      </c>
      <c r="F1677" s="826">
        <v>0</v>
      </c>
      <c r="G1677" s="880">
        <v>0</v>
      </c>
      <c r="H1677" s="465"/>
      <c r="I1677" s="465"/>
      <c r="J1677" s="826">
        <v>0</v>
      </c>
      <c r="K1677" s="878">
        <v>0</v>
      </c>
    </row>
    <row r="1678" spans="1:11" ht="22.5" customHeight="1" x14ac:dyDescent="0.25">
      <c r="A1678" s="816" t="s">
        <v>275</v>
      </c>
      <c r="B1678" s="880">
        <v>2025</v>
      </c>
      <c r="C1678" s="816" t="s">
        <v>1878</v>
      </c>
      <c r="D1678" s="816" t="s">
        <v>1879</v>
      </c>
      <c r="E1678" s="816" t="s">
        <v>2806</v>
      </c>
      <c r="F1678" s="826">
        <v>0</v>
      </c>
      <c r="G1678" s="880">
        <v>0</v>
      </c>
      <c r="H1678" s="465"/>
      <c r="I1678" s="465"/>
      <c r="J1678" s="826">
        <v>0</v>
      </c>
      <c r="K1678" s="878">
        <v>0</v>
      </c>
    </row>
    <row r="1679" spans="1:11" ht="22.5" customHeight="1" x14ac:dyDescent="0.25">
      <c r="A1679" s="816" t="s">
        <v>275</v>
      </c>
      <c r="B1679" s="880">
        <v>2025</v>
      </c>
      <c r="C1679" s="816" t="s">
        <v>1881</v>
      </c>
      <c r="D1679" s="816" t="s">
        <v>1882</v>
      </c>
      <c r="E1679" s="816" t="s">
        <v>2807</v>
      </c>
      <c r="F1679" s="826">
        <v>0</v>
      </c>
      <c r="G1679" s="880">
        <v>0</v>
      </c>
      <c r="H1679" s="465"/>
      <c r="I1679" s="465"/>
      <c r="J1679" s="826">
        <v>0</v>
      </c>
      <c r="K1679" s="878">
        <v>0</v>
      </c>
    </row>
    <row r="1680" spans="1:11" ht="22.5" customHeight="1" x14ac:dyDescent="0.25">
      <c r="A1680" s="816" t="s">
        <v>275</v>
      </c>
      <c r="B1680" s="880">
        <v>2025</v>
      </c>
      <c r="C1680" s="816" t="s">
        <v>1884</v>
      </c>
      <c r="D1680" s="816" t="s">
        <v>1885</v>
      </c>
      <c r="E1680" s="816" t="s">
        <v>2808</v>
      </c>
      <c r="F1680" s="826">
        <v>0</v>
      </c>
      <c r="G1680" s="880">
        <v>0</v>
      </c>
      <c r="H1680" s="465"/>
      <c r="I1680" s="465"/>
      <c r="J1680" s="826">
        <v>0</v>
      </c>
      <c r="K1680" s="878">
        <v>0</v>
      </c>
    </row>
    <row r="1681" spans="1:11" ht="22.5" customHeight="1" x14ac:dyDescent="0.25">
      <c r="A1681" s="816" t="s">
        <v>275</v>
      </c>
      <c r="B1681" s="880">
        <v>2025</v>
      </c>
      <c r="C1681" s="816" t="s">
        <v>1887</v>
      </c>
      <c r="D1681" s="816" t="s">
        <v>138</v>
      </c>
      <c r="E1681" s="816" t="s">
        <v>2809</v>
      </c>
      <c r="F1681" s="826">
        <v>0</v>
      </c>
      <c r="G1681" s="880">
        <v>1</v>
      </c>
      <c r="H1681" s="465"/>
      <c r="I1681" s="465"/>
      <c r="J1681" s="826">
        <v>0</v>
      </c>
      <c r="K1681" s="878">
        <v>0</v>
      </c>
    </row>
    <row r="1682" spans="1:11" ht="22.5" customHeight="1" x14ac:dyDescent="0.25">
      <c r="A1682" s="816" t="s">
        <v>275</v>
      </c>
      <c r="B1682" s="880">
        <v>2025</v>
      </c>
      <c r="C1682" s="816" t="s">
        <v>1889</v>
      </c>
      <c r="D1682" s="816" t="s">
        <v>139</v>
      </c>
      <c r="E1682" s="816" t="s">
        <v>2810</v>
      </c>
      <c r="F1682" s="826">
        <v>-485517.23</v>
      </c>
      <c r="G1682" s="880">
        <v>1</v>
      </c>
      <c r="H1682" s="826">
        <v>-458713</v>
      </c>
      <c r="I1682" s="826">
        <v>-26804.23</v>
      </c>
      <c r="J1682" s="826">
        <v>-485517.23</v>
      </c>
      <c r="K1682" s="878">
        <v>-485517.23</v>
      </c>
    </row>
    <row r="1683" spans="1:11" ht="22.5" customHeight="1" x14ac:dyDescent="0.25">
      <c r="A1683" s="816" t="s">
        <v>275</v>
      </c>
      <c r="B1683" s="880">
        <v>2025</v>
      </c>
      <c r="C1683" s="816" t="s">
        <v>1891</v>
      </c>
      <c r="D1683" s="816" t="s">
        <v>1892</v>
      </c>
      <c r="E1683" s="816" t="s">
        <v>2811</v>
      </c>
      <c r="F1683" s="826">
        <v>0</v>
      </c>
      <c r="G1683" s="880">
        <v>0</v>
      </c>
      <c r="H1683" s="465"/>
      <c r="I1683" s="465"/>
      <c r="J1683" s="826">
        <v>0</v>
      </c>
      <c r="K1683" s="878">
        <v>0</v>
      </c>
    </row>
    <row r="1684" spans="1:11" ht="22.5" customHeight="1" x14ac:dyDescent="0.25">
      <c r="A1684" s="816" t="s">
        <v>275</v>
      </c>
      <c r="B1684" s="880">
        <v>2025</v>
      </c>
      <c r="C1684" s="816" t="s">
        <v>1891</v>
      </c>
      <c r="D1684" s="816" t="s">
        <v>1894</v>
      </c>
      <c r="E1684" s="816" t="s">
        <v>2811</v>
      </c>
      <c r="F1684" s="826">
        <v>0</v>
      </c>
      <c r="G1684" s="880">
        <v>0</v>
      </c>
      <c r="H1684" s="465"/>
      <c r="I1684" s="465"/>
      <c r="J1684" s="826">
        <v>0</v>
      </c>
      <c r="K1684" s="881">
        <v>0</v>
      </c>
    </row>
    <row r="1685" spans="1:11" ht="22.5" customHeight="1" x14ac:dyDescent="0.25">
      <c r="A1685" s="816" t="s">
        <v>275</v>
      </c>
      <c r="B1685" s="880">
        <v>2025</v>
      </c>
      <c r="C1685" s="816" t="s">
        <v>1895</v>
      </c>
      <c r="D1685" s="816" t="s">
        <v>1896</v>
      </c>
      <c r="E1685" s="816" t="s">
        <v>2812</v>
      </c>
      <c r="F1685" s="826">
        <v>0</v>
      </c>
      <c r="G1685" s="880">
        <v>0</v>
      </c>
      <c r="H1685" s="465"/>
      <c r="I1685" s="465"/>
      <c r="J1685" s="826">
        <v>0</v>
      </c>
      <c r="K1685" s="878">
        <v>0</v>
      </c>
    </row>
    <row r="1686" spans="1:11" ht="22.5" customHeight="1" x14ac:dyDescent="0.25">
      <c r="A1686" s="816" t="s">
        <v>275</v>
      </c>
      <c r="B1686" s="880">
        <v>2025</v>
      </c>
      <c r="C1686" s="816" t="s">
        <v>1898</v>
      </c>
      <c r="D1686" s="816" t="s">
        <v>1899</v>
      </c>
      <c r="E1686" s="816" t="s">
        <v>2813</v>
      </c>
      <c r="F1686" s="826">
        <v>0</v>
      </c>
      <c r="G1686" s="880">
        <v>0</v>
      </c>
      <c r="H1686" s="465"/>
      <c r="I1686" s="465"/>
      <c r="J1686" s="826">
        <v>0</v>
      </c>
      <c r="K1686" s="878">
        <v>0</v>
      </c>
    </row>
    <row r="1687" spans="1:11" ht="22.5" customHeight="1" x14ac:dyDescent="0.25">
      <c r="A1687" s="816" t="s">
        <v>275</v>
      </c>
      <c r="B1687" s="880">
        <v>2025</v>
      </c>
      <c r="C1687" s="816" t="s">
        <v>1901</v>
      </c>
      <c r="D1687" s="816" t="s">
        <v>1902</v>
      </c>
      <c r="E1687" s="816" t="s">
        <v>2814</v>
      </c>
      <c r="F1687" s="826">
        <v>0</v>
      </c>
      <c r="G1687" s="880">
        <v>0</v>
      </c>
      <c r="H1687" s="465"/>
      <c r="I1687" s="465"/>
      <c r="J1687" s="826">
        <v>0</v>
      </c>
      <c r="K1687" s="878">
        <v>0</v>
      </c>
    </row>
    <row r="1688" spans="1:11" ht="22.5" customHeight="1" x14ac:dyDescent="0.25">
      <c r="A1688" s="816" t="s">
        <v>275</v>
      </c>
      <c r="B1688" s="880">
        <v>2025</v>
      </c>
      <c r="C1688" s="816" t="s">
        <v>1904</v>
      </c>
      <c r="D1688" s="816" t="s">
        <v>1905</v>
      </c>
      <c r="E1688" s="816" t="s">
        <v>2815</v>
      </c>
      <c r="F1688" s="826">
        <v>0</v>
      </c>
      <c r="G1688" s="880">
        <v>0</v>
      </c>
      <c r="H1688" s="465"/>
      <c r="I1688" s="465"/>
      <c r="J1688" s="826">
        <v>0</v>
      </c>
      <c r="K1688" s="878">
        <v>0</v>
      </c>
    </row>
    <row r="1689" spans="1:11" ht="22.5" customHeight="1" x14ac:dyDescent="0.25">
      <c r="A1689" s="816" t="s">
        <v>275</v>
      </c>
      <c r="B1689" s="880">
        <v>2025</v>
      </c>
      <c r="C1689" s="816" t="s">
        <v>1907</v>
      </c>
      <c r="D1689" s="816" t="s">
        <v>1908</v>
      </c>
      <c r="E1689" s="816" t="s">
        <v>2816</v>
      </c>
      <c r="F1689" s="826">
        <v>0</v>
      </c>
      <c r="G1689" s="880">
        <v>0</v>
      </c>
      <c r="H1689" s="465"/>
      <c r="I1689" s="465"/>
      <c r="J1689" s="826">
        <v>0</v>
      </c>
      <c r="K1689" s="878">
        <v>0</v>
      </c>
    </row>
    <row r="1690" spans="1:11" ht="22.5" customHeight="1" x14ac:dyDescent="0.25">
      <c r="A1690" s="816" t="s">
        <v>275</v>
      </c>
      <c r="B1690" s="880">
        <v>2025</v>
      </c>
      <c r="C1690" s="816" t="s">
        <v>1910</v>
      </c>
      <c r="D1690" s="816" t="s">
        <v>1911</v>
      </c>
      <c r="E1690" s="816" t="s">
        <v>2817</v>
      </c>
      <c r="F1690" s="826">
        <v>0</v>
      </c>
      <c r="G1690" s="880">
        <v>0</v>
      </c>
      <c r="H1690" s="465"/>
      <c r="I1690" s="465"/>
      <c r="J1690" s="826">
        <v>0</v>
      </c>
      <c r="K1690" s="878">
        <v>0</v>
      </c>
    </row>
    <row r="1691" spans="1:11" ht="22.5" customHeight="1" x14ac:dyDescent="0.25">
      <c r="A1691" s="816" t="s">
        <v>275</v>
      </c>
      <c r="B1691" s="880">
        <v>2025</v>
      </c>
      <c r="C1691" s="816" t="s">
        <v>1913</v>
      </c>
      <c r="D1691" s="816" t="s">
        <v>1914</v>
      </c>
      <c r="E1691" s="816" t="s">
        <v>2818</v>
      </c>
      <c r="F1691" s="826">
        <v>-2499488.9700000002</v>
      </c>
      <c r="G1691" s="880">
        <v>1</v>
      </c>
      <c r="H1691" s="826">
        <v>-2303001.17</v>
      </c>
      <c r="I1691" s="826">
        <v>-196487.8</v>
      </c>
      <c r="J1691" s="826">
        <v>-2499488.9700000002</v>
      </c>
      <c r="K1691" s="878">
        <v>-2499488.9700000002</v>
      </c>
    </row>
    <row r="1692" spans="1:11" ht="22.5" customHeight="1" x14ac:dyDescent="0.25">
      <c r="A1692" s="816" t="s">
        <v>275</v>
      </c>
      <c r="B1692" s="880">
        <v>2025</v>
      </c>
      <c r="C1692" s="816" t="s">
        <v>1913</v>
      </c>
      <c r="D1692" s="816" t="s">
        <v>1916</v>
      </c>
      <c r="E1692" s="816" t="s">
        <v>2818</v>
      </c>
      <c r="F1692" s="826">
        <v>0</v>
      </c>
      <c r="G1692" s="880">
        <v>0</v>
      </c>
      <c r="H1692" s="465"/>
      <c r="I1692" s="465"/>
      <c r="J1692" s="826">
        <v>0</v>
      </c>
      <c r="K1692" s="881">
        <v>0</v>
      </c>
    </row>
    <row r="1693" spans="1:11" ht="22.5" customHeight="1" x14ac:dyDescent="0.25">
      <c r="A1693" s="816" t="s">
        <v>275</v>
      </c>
      <c r="B1693" s="880">
        <v>2025</v>
      </c>
      <c r="C1693" s="816" t="s">
        <v>1913</v>
      </c>
      <c r="D1693" s="816" t="s">
        <v>1917</v>
      </c>
      <c r="E1693" s="816" t="s">
        <v>2818</v>
      </c>
      <c r="F1693" s="826">
        <v>0</v>
      </c>
      <c r="G1693" s="880">
        <v>0</v>
      </c>
      <c r="H1693" s="465"/>
      <c r="I1693" s="465"/>
      <c r="J1693" s="826">
        <v>0</v>
      </c>
      <c r="K1693" s="881">
        <v>0</v>
      </c>
    </row>
    <row r="1694" spans="1:11" ht="22.5" customHeight="1" x14ac:dyDescent="0.25">
      <c r="A1694" s="816" t="s">
        <v>275</v>
      </c>
      <c r="B1694" s="880">
        <v>2025</v>
      </c>
      <c r="C1694" s="816" t="s">
        <v>1913</v>
      </c>
      <c r="D1694" s="816" t="s">
        <v>1918</v>
      </c>
      <c r="E1694" s="816" t="s">
        <v>2818</v>
      </c>
      <c r="F1694" s="826">
        <v>0</v>
      </c>
      <c r="G1694" s="880">
        <v>0</v>
      </c>
      <c r="H1694" s="465"/>
      <c r="I1694" s="465"/>
      <c r="J1694" s="826">
        <v>0</v>
      </c>
      <c r="K1694" s="881">
        <v>31588.65</v>
      </c>
    </row>
    <row r="1695" spans="1:11" ht="22.5" customHeight="1" x14ac:dyDescent="0.25">
      <c r="A1695" s="816" t="s">
        <v>275</v>
      </c>
      <c r="B1695" s="880">
        <v>2025</v>
      </c>
      <c r="C1695" s="816" t="s">
        <v>1913</v>
      </c>
      <c r="D1695" s="816" t="s">
        <v>1919</v>
      </c>
      <c r="E1695" s="816" t="s">
        <v>2818</v>
      </c>
      <c r="F1695" s="826">
        <v>0</v>
      </c>
      <c r="G1695" s="880">
        <v>0</v>
      </c>
      <c r="H1695" s="465"/>
      <c r="I1695" s="465"/>
      <c r="J1695" s="826">
        <v>0</v>
      </c>
      <c r="K1695" s="881">
        <v>1712036.36</v>
      </c>
    </row>
    <row r="1696" spans="1:11" ht="22.5" customHeight="1" x14ac:dyDescent="0.25">
      <c r="A1696" s="816" t="s">
        <v>275</v>
      </c>
      <c r="B1696" s="880">
        <v>2025</v>
      </c>
      <c r="C1696" s="816" t="s">
        <v>1920</v>
      </c>
      <c r="D1696" s="816" t="s">
        <v>1921</v>
      </c>
      <c r="E1696" s="816" t="s">
        <v>2819</v>
      </c>
      <c r="F1696" s="826">
        <v>0</v>
      </c>
      <c r="G1696" s="880">
        <v>0</v>
      </c>
      <c r="H1696" s="465"/>
      <c r="I1696" s="465"/>
      <c r="J1696" s="826">
        <v>0</v>
      </c>
      <c r="K1696" s="878">
        <v>0</v>
      </c>
    </row>
    <row r="1697" spans="1:11" ht="22.5" customHeight="1" x14ac:dyDescent="0.25">
      <c r="A1697" s="816" t="s">
        <v>275</v>
      </c>
      <c r="B1697" s="880">
        <v>2025</v>
      </c>
      <c r="C1697" s="816" t="s">
        <v>1923</v>
      </c>
      <c r="D1697" s="816" t="s">
        <v>143</v>
      </c>
      <c r="E1697" s="816" t="s">
        <v>2820</v>
      </c>
      <c r="F1697" s="826">
        <v>4960884.26</v>
      </c>
      <c r="G1697" s="880">
        <v>1</v>
      </c>
      <c r="H1697" s="826">
        <v>4760575.2</v>
      </c>
      <c r="I1697" s="826">
        <v>200309.06</v>
      </c>
      <c r="J1697" s="826">
        <v>4960884.26</v>
      </c>
      <c r="K1697" s="878">
        <v>4960884.26</v>
      </c>
    </row>
    <row r="1698" spans="1:11" ht="22.5" customHeight="1" x14ac:dyDescent="0.25">
      <c r="A1698" s="816" t="s">
        <v>275</v>
      </c>
      <c r="B1698" s="880">
        <v>2025</v>
      </c>
      <c r="C1698" s="816" t="s">
        <v>1925</v>
      </c>
      <c r="D1698" s="816" t="s">
        <v>144</v>
      </c>
      <c r="E1698" s="816" t="s">
        <v>2821</v>
      </c>
      <c r="F1698" s="826">
        <v>1565030.6</v>
      </c>
      <c r="G1698" s="880">
        <v>1</v>
      </c>
      <c r="H1698" s="826">
        <v>1456665.48</v>
      </c>
      <c r="I1698" s="826">
        <v>108365.12</v>
      </c>
      <c r="J1698" s="826">
        <v>1565030.6</v>
      </c>
      <c r="K1698" s="878">
        <v>1565030.6</v>
      </c>
    </row>
    <row r="1699" spans="1:11" ht="22.5" customHeight="1" x14ac:dyDescent="0.25">
      <c r="A1699" s="816" t="s">
        <v>275</v>
      </c>
      <c r="B1699" s="880">
        <v>2025</v>
      </c>
      <c r="C1699" s="816" t="s">
        <v>1927</v>
      </c>
      <c r="D1699" s="816" t="s">
        <v>1928</v>
      </c>
      <c r="E1699" s="816" t="s">
        <v>2822</v>
      </c>
      <c r="F1699" s="826">
        <v>2932480.13</v>
      </c>
      <c r="G1699" s="880">
        <v>1</v>
      </c>
      <c r="H1699" s="826">
        <v>2609327.88</v>
      </c>
      <c r="I1699" s="826">
        <v>323152.25</v>
      </c>
      <c r="J1699" s="826">
        <v>2932480.13</v>
      </c>
      <c r="K1699" s="878">
        <v>2932480.13</v>
      </c>
    </row>
    <row r="1700" spans="1:11" ht="22.5" customHeight="1" x14ac:dyDescent="0.25">
      <c r="A1700" s="816" t="s">
        <v>275</v>
      </c>
      <c r="B1700" s="880">
        <v>2025</v>
      </c>
      <c r="C1700" s="816" t="s">
        <v>1930</v>
      </c>
      <c r="D1700" s="816" t="s">
        <v>156</v>
      </c>
      <c r="E1700" s="816" t="s">
        <v>2823</v>
      </c>
      <c r="F1700" s="826">
        <v>6334877.3300000001</v>
      </c>
      <c r="G1700" s="880">
        <v>1</v>
      </c>
      <c r="H1700" s="826">
        <v>6153731.5999999996</v>
      </c>
      <c r="I1700" s="826">
        <v>181145.73</v>
      </c>
      <c r="J1700" s="826">
        <v>6334877.3300000001</v>
      </c>
      <c r="K1700" s="878">
        <v>6334877.3300000001</v>
      </c>
    </row>
    <row r="1701" spans="1:11" ht="22.5" customHeight="1" x14ac:dyDescent="0.25">
      <c r="A1701" s="816" t="s">
        <v>275</v>
      </c>
      <c r="B1701" s="880">
        <v>2025</v>
      </c>
      <c r="C1701" s="816" t="s">
        <v>1932</v>
      </c>
      <c r="D1701" s="816" t="s">
        <v>1933</v>
      </c>
      <c r="E1701" s="816" t="s">
        <v>2824</v>
      </c>
      <c r="F1701" s="826">
        <v>-733730.83</v>
      </c>
      <c r="G1701" s="880">
        <v>0</v>
      </c>
      <c r="H1701" s="465"/>
      <c r="I1701" s="465"/>
      <c r="J1701" s="826">
        <v>0</v>
      </c>
      <c r="K1701" s="878">
        <v>-733730.83</v>
      </c>
    </row>
    <row r="1702" spans="1:11" ht="22.5" customHeight="1" x14ac:dyDescent="0.25">
      <c r="A1702" s="816" t="s">
        <v>275</v>
      </c>
      <c r="B1702" s="880">
        <v>2025</v>
      </c>
      <c r="C1702" s="816" t="s">
        <v>1935</v>
      </c>
      <c r="D1702" s="816" t="s">
        <v>1936</v>
      </c>
      <c r="E1702" s="816" t="s">
        <v>8382</v>
      </c>
      <c r="F1702" s="826">
        <v>0</v>
      </c>
      <c r="G1702" s="880">
        <v>1</v>
      </c>
      <c r="H1702" s="465"/>
      <c r="I1702" s="465"/>
      <c r="J1702" s="826">
        <v>0</v>
      </c>
      <c r="K1702" s="878">
        <v>0</v>
      </c>
    </row>
    <row r="1703" spans="1:11" ht="22.5" customHeight="1" x14ac:dyDescent="0.25">
      <c r="A1703" s="816" t="s">
        <v>275</v>
      </c>
      <c r="B1703" s="880">
        <v>2025</v>
      </c>
      <c r="C1703" s="816" t="s">
        <v>1935</v>
      </c>
      <c r="D1703" s="816" t="s">
        <v>1937</v>
      </c>
      <c r="E1703" s="816" t="s">
        <v>8383</v>
      </c>
      <c r="F1703" s="826">
        <v>0</v>
      </c>
      <c r="G1703" s="880">
        <v>1</v>
      </c>
      <c r="H1703" s="465"/>
      <c r="I1703" s="465"/>
      <c r="J1703" s="826">
        <v>0</v>
      </c>
      <c r="K1703" s="878">
        <v>0</v>
      </c>
    </row>
    <row r="1704" spans="1:11" ht="22.5" customHeight="1" x14ac:dyDescent="0.25">
      <c r="A1704" s="816" t="s">
        <v>275</v>
      </c>
      <c r="B1704" s="880">
        <v>2025</v>
      </c>
      <c r="C1704" s="816" t="s">
        <v>1935</v>
      </c>
      <c r="D1704" s="816" t="s">
        <v>1938</v>
      </c>
      <c r="E1704" s="816" t="s">
        <v>8384</v>
      </c>
      <c r="F1704" s="826">
        <v>0</v>
      </c>
      <c r="G1704" s="880">
        <v>1</v>
      </c>
      <c r="H1704" s="465"/>
      <c r="I1704" s="465"/>
      <c r="J1704" s="826">
        <v>0</v>
      </c>
      <c r="K1704" s="878">
        <v>0</v>
      </c>
    </row>
    <row r="1705" spans="1:11" ht="22.5" customHeight="1" x14ac:dyDescent="0.25">
      <c r="A1705" s="816" t="s">
        <v>275</v>
      </c>
      <c r="B1705" s="880">
        <v>2025</v>
      </c>
      <c r="C1705" s="816" t="s">
        <v>1935</v>
      </c>
      <c r="D1705" s="816" t="s">
        <v>1939</v>
      </c>
      <c r="E1705" s="816" t="s">
        <v>8385</v>
      </c>
      <c r="F1705" s="826">
        <v>0</v>
      </c>
      <c r="G1705" s="880">
        <v>1</v>
      </c>
      <c r="H1705" s="465"/>
      <c r="I1705" s="465"/>
      <c r="J1705" s="826">
        <v>0</v>
      </c>
      <c r="K1705" s="878">
        <v>0</v>
      </c>
    </row>
    <row r="1706" spans="1:11" ht="22.5" customHeight="1" x14ac:dyDescent="0.25">
      <c r="A1706" s="816" t="s">
        <v>275</v>
      </c>
      <c r="B1706" s="880">
        <v>2025</v>
      </c>
      <c r="C1706" s="816" t="s">
        <v>1935</v>
      </c>
      <c r="D1706" s="816" t="s">
        <v>1940</v>
      </c>
      <c r="E1706" s="816" t="s">
        <v>8386</v>
      </c>
      <c r="F1706" s="826">
        <v>0</v>
      </c>
      <c r="G1706" s="880">
        <v>1</v>
      </c>
      <c r="H1706" s="465"/>
      <c r="I1706" s="465"/>
      <c r="J1706" s="826">
        <v>0</v>
      </c>
      <c r="K1706" s="878">
        <v>0</v>
      </c>
    </row>
    <row r="1707" spans="1:11" ht="22.5" customHeight="1" x14ac:dyDescent="0.25">
      <c r="A1707" s="816" t="s">
        <v>275</v>
      </c>
      <c r="B1707" s="880">
        <v>2025</v>
      </c>
      <c r="C1707" s="816" t="s">
        <v>1935</v>
      </c>
      <c r="D1707" s="816" t="s">
        <v>1941</v>
      </c>
      <c r="E1707" s="816" t="s">
        <v>8387</v>
      </c>
      <c r="F1707" s="826">
        <v>0</v>
      </c>
      <c r="G1707" s="880">
        <v>1</v>
      </c>
      <c r="H1707" s="465"/>
      <c r="I1707" s="465"/>
      <c r="J1707" s="826">
        <v>0</v>
      </c>
      <c r="K1707" s="878">
        <v>0</v>
      </c>
    </row>
    <row r="1708" spans="1:11" ht="22.5" customHeight="1" x14ac:dyDescent="0.25">
      <c r="A1708" s="816" t="s">
        <v>275</v>
      </c>
      <c r="B1708" s="880">
        <v>2025</v>
      </c>
      <c r="C1708" s="816" t="s">
        <v>1935</v>
      </c>
      <c r="D1708" s="816" t="s">
        <v>1942</v>
      </c>
      <c r="E1708" s="816" t="s">
        <v>8388</v>
      </c>
      <c r="F1708" s="826">
        <v>0</v>
      </c>
      <c r="G1708" s="880">
        <v>1</v>
      </c>
      <c r="H1708" s="465"/>
      <c r="I1708" s="465"/>
      <c r="J1708" s="826">
        <v>0</v>
      </c>
      <c r="K1708" s="878">
        <v>0</v>
      </c>
    </row>
    <row r="1709" spans="1:11" ht="22.5" customHeight="1" x14ac:dyDescent="0.25">
      <c r="A1709" s="816" t="s">
        <v>275</v>
      </c>
      <c r="B1709" s="880">
        <v>2025</v>
      </c>
      <c r="C1709" s="816" t="s">
        <v>1935</v>
      </c>
      <c r="D1709" s="816" t="s">
        <v>1943</v>
      </c>
      <c r="E1709" s="816" t="s">
        <v>8389</v>
      </c>
      <c r="F1709" s="826">
        <v>0</v>
      </c>
      <c r="G1709" s="880">
        <v>1</v>
      </c>
      <c r="H1709" s="465"/>
      <c r="I1709" s="465"/>
      <c r="J1709" s="826">
        <v>0</v>
      </c>
      <c r="K1709" s="878">
        <v>0</v>
      </c>
    </row>
    <row r="1710" spans="1:11" ht="22.5" customHeight="1" x14ac:dyDescent="0.25">
      <c r="A1710" s="816" t="s">
        <v>275</v>
      </c>
      <c r="B1710" s="880">
        <v>2025</v>
      </c>
      <c r="C1710" s="816" t="s">
        <v>1935</v>
      </c>
      <c r="D1710" s="816" t="s">
        <v>1944</v>
      </c>
      <c r="E1710" s="816" t="s">
        <v>8390</v>
      </c>
      <c r="F1710" s="826">
        <v>0</v>
      </c>
      <c r="G1710" s="880">
        <v>1</v>
      </c>
      <c r="H1710" s="465"/>
      <c r="I1710" s="465"/>
      <c r="J1710" s="826">
        <v>0</v>
      </c>
      <c r="K1710" s="878">
        <v>0</v>
      </c>
    </row>
    <row r="1711" spans="1:11" ht="22.5" customHeight="1" x14ac:dyDescent="0.25">
      <c r="A1711" s="816" t="s">
        <v>275</v>
      </c>
      <c r="B1711" s="880">
        <v>2025</v>
      </c>
      <c r="C1711" s="816" t="s">
        <v>1935</v>
      </c>
      <c r="D1711" s="816" t="s">
        <v>1945</v>
      </c>
      <c r="E1711" s="816" t="s">
        <v>8391</v>
      </c>
      <c r="F1711" s="826">
        <v>0</v>
      </c>
      <c r="G1711" s="880">
        <v>1</v>
      </c>
      <c r="H1711" s="465"/>
      <c r="I1711" s="465"/>
      <c r="J1711" s="826">
        <v>0</v>
      </c>
      <c r="K1711" s="878">
        <v>0</v>
      </c>
    </row>
    <row r="1712" spans="1:11" ht="22.5" customHeight="1" x14ac:dyDescent="0.25">
      <c r="A1712" s="816" t="s">
        <v>275</v>
      </c>
      <c r="B1712" s="880">
        <v>2025</v>
      </c>
      <c r="C1712" s="816" t="s">
        <v>1935</v>
      </c>
      <c r="D1712" s="816" t="s">
        <v>1946</v>
      </c>
      <c r="E1712" s="816" t="s">
        <v>8392</v>
      </c>
      <c r="F1712" s="826">
        <v>0</v>
      </c>
      <c r="G1712" s="880">
        <v>1</v>
      </c>
      <c r="H1712" s="465"/>
      <c r="I1712" s="465"/>
      <c r="J1712" s="826">
        <v>0</v>
      </c>
      <c r="K1712" s="878">
        <v>0</v>
      </c>
    </row>
    <row r="1713" spans="1:11" ht="22.5" customHeight="1" x14ac:dyDescent="0.25">
      <c r="A1713" s="816" t="s">
        <v>275</v>
      </c>
      <c r="B1713" s="880">
        <v>2025</v>
      </c>
      <c r="C1713" s="816" t="s">
        <v>1935</v>
      </c>
      <c r="D1713" s="816" t="s">
        <v>1947</v>
      </c>
      <c r="E1713" s="816" t="s">
        <v>8393</v>
      </c>
      <c r="F1713" s="826">
        <v>0</v>
      </c>
      <c r="G1713" s="880">
        <v>1</v>
      </c>
      <c r="H1713" s="465"/>
      <c r="I1713" s="465"/>
      <c r="J1713" s="826">
        <v>0</v>
      </c>
      <c r="K1713" s="878">
        <v>0</v>
      </c>
    </row>
    <row r="1714" spans="1:11" ht="22.5" customHeight="1" x14ac:dyDescent="0.25">
      <c r="A1714" s="816" t="s">
        <v>275</v>
      </c>
      <c r="B1714" s="880">
        <v>2025</v>
      </c>
      <c r="C1714" s="816" t="s">
        <v>1935</v>
      </c>
      <c r="D1714" s="816" t="s">
        <v>1948</v>
      </c>
      <c r="E1714" s="816" t="s">
        <v>8394</v>
      </c>
      <c r="F1714" s="826">
        <v>0</v>
      </c>
      <c r="G1714" s="880">
        <v>1</v>
      </c>
      <c r="H1714" s="465"/>
      <c r="I1714" s="465"/>
      <c r="J1714" s="826">
        <v>0</v>
      </c>
      <c r="K1714" s="878">
        <v>0</v>
      </c>
    </row>
    <row r="1715" spans="1:11" ht="22.5" customHeight="1" x14ac:dyDescent="0.25">
      <c r="A1715" s="816" t="s">
        <v>275</v>
      </c>
      <c r="B1715" s="880">
        <v>2025</v>
      </c>
      <c r="C1715" s="816" t="s">
        <v>1935</v>
      </c>
      <c r="D1715" s="816" t="s">
        <v>1949</v>
      </c>
      <c r="E1715" s="816" t="s">
        <v>8395</v>
      </c>
      <c r="F1715" s="826">
        <v>0</v>
      </c>
      <c r="G1715" s="880">
        <v>1</v>
      </c>
      <c r="H1715" s="826">
        <v>235371.18</v>
      </c>
      <c r="I1715" s="826">
        <v>117537.57</v>
      </c>
      <c r="J1715" s="826">
        <v>352908.75</v>
      </c>
      <c r="K1715" s="878">
        <v>352908.75</v>
      </c>
    </row>
    <row r="1716" spans="1:11" ht="22.5" customHeight="1" x14ac:dyDescent="0.25">
      <c r="A1716" s="816" t="s">
        <v>275</v>
      </c>
      <c r="B1716" s="880">
        <v>2025</v>
      </c>
      <c r="C1716" s="816" t="s">
        <v>1935</v>
      </c>
      <c r="D1716" s="816" t="s">
        <v>1950</v>
      </c>
      <c r="E1716" s="816" t="s">
        <v>8396</v>
      </c>
      <c r="F1716" s="826">
        <v>0</v>
      </c>
      <c r="G1716" s="880">
        <v>1</v>
      </c>
      <c r="H1716" s="826">
        <v>152709.53</v>
      </c>
      <c r="I1716" s="826">
        <v>65982.33</v>
      </c>
      <c r="J1716" s="826">
        <v>218691.86</v>
      </c>
      <c r="K1716" s="878">
        <v>218691.86</v>
      </c>
    </row>
    <row r="1717" spans="1:11" ht="22.5" customHeight="1" x14ac:dyDescent="0.25">
      <c r="A1717" s="816" t="s">
        <v>275</v>
      </c>
      <c r="B1717" s="880">
        <v>2025</v>
      </c>
      <c r="C1717" s="816" t="s">
        <v>1935</v>
      </c>
      <c r="D1717" s="816" t="s">
        <v>1951</v>
      </c>
      <c r="E1717" s="816" t="s">
        <v>8397</v>
      </c>
      <c r="F1717" s="826">
        <v>0</v>
      </c>
      <c r="G1717" s="880">
        <v>1</v>
      </c>
      <c r="H1717" s="826">
        <v>0</v>
      </c>
      <c r="I1717" s="826">
        <v>256649.19</v>
      </c>
      <c r="J1717" s="826">
        <v>256649.19</v>
      </c>
      <c r="K1717" s="878">
        <v>256649.19</v>
      </c>
    </row>
    <row r="1718" spans="1:11" ht="22.5" customHeight="1" x14ac:dyDescent="0.25">
      <c r="A1718" s="816" t="s">
        <v>275</v>
      </c>
      <c r="B1718" s="880">
        <v>2025</v>
      </c>
      <c r="C1718" s="816" t="s">
        <v>1935</v>
      </c>
      <c r="D1718" s="816" t="s">
        <v>7801</v>
      </c>
      <c r="E1718" s="816" t="s">
        <v>8398</v>
      </c>
      <c r="F1718" s="826">
        <v>0</v>
      </c>
      <c r="G1718" s="880">
        <v>1</v>
      </c>
      <c r="H1718" s="826">
        <v>2858553.79</v>
      </c>
      <c r="I1718" s="826">
        <v>560963.17000000004</v>
      </c>
      <c r="J1718" s="826">
        <v>3419516.96</v>
      </c>
      <c r="K1718" s="878">
        <v>3419516.96</v>
      </c>
    </row>
    <row r="1719" spans="1:11" ht="22.5" customHeight="1" x14ac:dyDescent="0.25">
      <c r="A1719" s="816" t="s">
        <v>275</v>
      </c>
      <c r="B1719" s="880">
        <v>2025</v>
      </c>
      <c r="C1719" s="816" t="s">
        <v>1935</v>
      </c>
      <c r="D1719" s="816" t="s">
        <v>1952</v>
      </c>
      <c r="E1719" s="816" t="s">
        <v>8399</v>
      </c>
      <c r="F1719" s="826">
        <v>4247766.76</v>
      </c>
      <c r="G1719" s="880">
        <v>0</v>
      </c>
      <c r="H1719" s="465"/>
      <c r="I1719" s="465"/>
      <c r="J1719" s="826">
        <v>0</v>
      </c>
      <c r="K1719" s="878">
        <v>4247766.76</v>
      </c>
    </row>
    <row r="1720" spans="1:11" ht="22.5" customHeight="1" x14ac:dyDescent="0.25">
      <c r="A1720" s="816" t="s">
        <v>275</v>
      </c>
      <c r="B1720" s="880">
        <v>2025</v>
      </c>
      <c r="C1720" s="816" t="s">
        <v>1953</v>
      </c>
      <c r="D1720" s="816" t="s">
        <v>1954</v>
      </c>
      <c r="E1720" s="816" t="s">
        <v>2825</v>
      </c>
      <c r="F1720" s="826">
        <v>0</v>
      </c>
      <c r="G1720" s="880">
        <v>0</v>
      </c>
      <c r="H1720" s="465"/>
      <c r="I1720" s="465"/>
      <c r="J1720" s="826">
        <v>0</v>
      </c>
      <c r="K1720" s="878">
        <v>0</v>
      </c>
    </row>
    <row r="1721" spans="1:11" ht="22.5" customHeight="1" x14ac:dyDescent="0.25">
      <c r="A1721" s="816" t="s">
        <v>277</v>
      </c>
      <c r="B1721" s="880">
        <v>2025</v>
      </c>
      <c r="C1721" s="816" t="s">
        <v>1854</v>
      </c>
      <c r="D1721" s="816" t="s">
        <v>1855</v>
      </c>
      <c r="E1721" s="816" t="s">
        <v>2826</v>
      </c>
      <c r="F1721" s="826">
        <v>9883.25</v>
      </c>
      <c r="G1721" s="880">
        <v>0</v>
      </c>
      <c r="H1721" s="465"/>
      <c r="I1721" s="465"/>
      <c r="J1721" s="826">
        <v>0</v>
      </c>
      <c r="K1721" s="878">
        <v>9883.25</v>
      </c>
    </row>
    <row r="1722" spans="1:11" ht="22.5" customHeight="1" x14ac:dyDescent="0.25">
      <c r="A1722" s="816" t="s">
        <v>277</v>
      </c>
      <c r="B1722" s="880">
        <v>2025</v>
      </c>
      <c r="C1722" s="816" t="s">
        <v>7746</v>
      </c>
      <c r="D1722" s="816" t="s">
        <v>7747</v>
      </c>
      <c r="E1722" s="816" t="s">
        <v>7780</v>
      </c>
      <c r="F1722" s="826">
        <v>0</v>
      </c>
      <c r="G1722" s="880">
        <v>0</v>
      </c>
      <c r="H1722" s="465"/>
      <c r="I1722" s="465"/>
      <c r="J1722" s="826">
        <v>0</v>
      </c>
      <c r="K1722" s="878">
        <v>0</v>
      </c>
    </row>
    <row r="1723" spans="1:11" ht="22.5" customHeight="1" x14ac:dyDescent="0.25">
      <c r="A1723" s="816" t="s">
        <v>277</v>
      </c>
      <c r="B1723" s="880">
        <v>2025</v>
      </c>
      <c r="C1723" s="816" t="s">
        <v>1857</v>
      </c>
      <c r="D1723" s="816" t="s">
        <v>1858</v>
      </c>
      <c r="E1723" s="816" t="s">
        <v>2827</v>
      </c>
      <c r="F1723" s="826">
        <v>0</v>
      </c>
      <c r="G1723" s="880">
        <v>0</v>
      </c>
      <c r="H1723" s="465"/>
      <c r="I1723" s="465"/>
      <c r="J1723" s="826">
        <v>0</v>
      </c>
      <c r="K1723" s="878">
        <v>0</v>
      </c>
    </row>
    <row r="1724" spans="1:11" ht="22.5" customHeight="1" x14ac:dyDescent="0.25">
      <c r="A1724" s="816" t="s">
        <v>277</v>
      </c>
      <c r="B1724" s="880">
        <v>2025</v>
      </c>
      <c r="C1724" s="816" t="s">
        <v>1860</v>
      </c>
      <c r="D1724" s="816" t="s">
        <v>1861</v>
      </c>
      <c r="E1724" s="816" t="s">
        <v>2828</v>
      </c>
      <c r="F1724" s="826">
        <v>0</v>
      </c>
      <c r="G1724" s="880">
        <v>0</v>
      </c>
      <c r="H1724" s="465"/>
      <c r="I1724" s="465"/>
      <c r="J1724" s="826">
        <v>0</v>
      </c>
      <c r="K1724" s="878">
        <v>0</v>
      </c>
    </row>
    <row r="1725" spans="1:11" ht="22.5" customHeight="1" x14ac:dyDescent="0.25">
      <c r="A1725" s="816" t="s">
        <v>277</v>
      </c>
      <c r="B1725" s="880">
        <v>2025</v>
      </c>
      <c r="C1725" s="816" t="s">
        <v>1863</v>
      </c>
      <c r="D1725" s="816" t="s">
        <v>1864</v>
      </c>
      <c r="E1725" s="816" t="s">
        <v>2829</v>
      </c>
      <c r="F1725" s="826">
        <v>444957.56</v>
      </c>
      <c r="G1725" s="880">
        <v>0</v>
      </c>
      <c r="H1725" s="465"/>
      <c r="I1725" s="465"/>
      <c r="J1725" s="826">
        <v>0</v>
      </c>
      <c r="K1725" s="878">
        <v>444957.56</v>
      </c>
    </row>
    <row r="1726" spans="1:11" ht="22.5" customHeight="1" x14ac:dyDescent="0.25">
      <c r="A1726" s="816" t="s">
        <v>277</v>
      </c>
      <c r="B1726" s="880">
        <v>2025</v>
      </c>
      <c r="C1726" s="816" t="s">
        <v>1866</v>
      </c>
      <c r="D1726" s="816" t="s">
        <v>1867</v>
      </c>
      <c r="E1726" s="816" t="s">
        <v>2830</v>
      </c>
      <c r="F1726" s="826">
        <v>0</v>
      </c>
      <c r="G1726" s="880">
        <v>0</v>
      </c>
      <c r="H1726" s="465"/>
      <c r="I1726" s="465"/>
      <c r="J1726" s="826">
        <v>0</v>
      </c>
      <c r="K1726" s="878">
        <v>0</v>
      </c>
    </row>
    <row r="1727" spans="1:11" ht="22.5" customHeight="1" x14ac:dyDescent="0.25">
      <c r="A1727" s="816" t="s">
        <v>277</v>
      </c>
      <c r="B1727" s="880">
        <v>2025</v>
      </c>
      <c r="C1727" s="816" t="s">
        <v>1869</v>
      </c>
      <c r="D1727" s="816" t="s">
        <v>1870</v>
      </c>
      <c r="E1727" s="816" t="s">
        <v>2831</v>
      </c>
      <c r="F1727" s="826">
        <v>0</v>
      </c>
      <c r="G1727" s="880">
        <v>0</v>
      </c>
      <c r="H1727" s="465"/>
      <c r="I1727" s="465"/>
      <c r="J1727" s="826">
        <v>0</v>
      </c>
      <c r="K1727" s="878">
        <v>0</v>
      </c>
    </row>
    <row r="1728" spans="1:11" ht="22.5" customHeight="1" x14ac:dyDescent="0.25">
      <c r="A1728" s="816" t="s">
        <v>277</v>
      </c>
      <c r="B1728" s="880">
        <v>2025</v>
      </c>
      <c r="C1728" s="816" t="s">
        <v>1872</v>
      </c>
      <c r="D1728" s="816" t="s">
        <v>1873</v>
      </c>
      <c r="E1728" s="816" t="s">
        <v>2832</v>
      </c>
      <c r="F1728" s="826">
        <v>0</v>
      </c>
      <c r="G1728" s="880">
        <v>0</v>
      </c>
      <c r="H1728" s="465"/>
      <c r="I1728" s="465"/>
      <c r="J1728" s="826">
        <v>0</v>
      </c>
      <c r="K1728" s="878">
        <v>0</v>
      </c>
    </row>
    <row r="1729" spans="1:11" ht="22.5" customHeight="1" x14ac:dyDescent="0.25">
      <c r="A1729" s="816" t="s">
        <v>277</v>
      </c>
      <c r="B1729" s="880">
        <v>2025</v>
      </c>
      <c r="C1729" s="816" t="s">
        <v>1875</v>
      </c>
      <c r="D1729" s="816" t="s">
        <v>1876</v>
      </c>
      <c r="E1729" s="816" t="s">
        <v>2833</v>
      </c>
      <c r="F1729" s="826">
        <v>0</v>
      </c>
      <c r="G1729" s="880">
        <v>0</v>
      </c>
      <c r="H1729" s="465"/>
      <c r="I1729" s="465"/>
      <c r="J1729" s="826">
        <v>0</v>
      </c>
      <c r="K1729" s="878">
        <v>0</v>
      </c>
    </row>
    <row r="1730" spans="1:11" ht="22.5" customHeight="1" x14ac:dyDescent="0.25">
      <c r="A1730" s="816" t="s">
        <v>277</v>
      </c>
      <c r="B1730" s="880">
        <v>2025</v>
      </c>
      <c r="C1730" s="816" t="s">
        <v>1878</v>
      </c>
      <c r="D1730" s="816" t="s">
        <v>1879</v>
      </c>
      <c r="E1730" s="816" t="s">
        <v>2834</v>
      </c>
      <c r="F1730" s="826">
        <v>0</v>
      </c>
      <c r="G1730" s="880">
        <v>0</v>
      </c>
      <c r="H1730" s="465"/>
      <c r="I1730" s="465"/>
      <c r="J1730" s="826">
        <v>0</v>
      </c>
      <c r="K1730" s="878">
        <v>0</v>
      </c>
    </row>
    <row r="1731" spans="1:11" ht="22.5" customHeight="1" x14ac:dyDescent="0.25">
      <c r="A1731" s="816" t="s">
        <v>277</v>
      </c>
      <c r="B1731" s="880">
        <v>2025</v>
      </c>
      <c r="C1731" s="816" t="s">
        <v>1881</v>
      </c>
      <c r="D1731" s="816" t="s">
        <v>1882</v>
      </c>
      <c r="E1731" s="816" t="s">
        <v>2835</v>
      </c>
      <c r="F1731" s="826">
        <v>0</v>
      </c>
      <c r="G1731" s="880">
        <v>0</v>
      </c>
      <c r="H1731" s="465"/>
      <c r="I1731" s="465"/>
      <c r="J1731" s="826">
        <v>0</v>
      </c>
      <c r="K1731" s="878">
        <v>0</v>
      </c>
    </row>
    <row r="1732" spans="1:11" ht="22.5" customHeight="1" x14ac:dyDescent="0.25">
      <c r="A1732" s="816" t="s">
        <v>277</v>
      </c>
      <c r="B1732" s="880">
        <v>2025</v>
      </c>
      <c r="C1732" s="816" t="s">
        <v>1884</v>
      </c>
      <c r="D1732" s="816" t="s">
        <v>1885</v>
      </c>
      <c r="E1732" s="816" t="s">
        <v>2836</v>
      </c>
      <c r="F1732" s="826">
        <v>0</v>
      </c>
      <c r="G1732" s="880">
        <v>0</v>
      </c>
      <c r="H1732" s="465"/>
      <c r="I1732" s="465"/>
      <c r="J1732" s="826">
        <v>0</v>
      </c>
      <c r="K1732" s="878">
        <v>0</v>
      </c>
    </row>
    <row r="1733" spans="1:11" ht="22.5" customHeight="1" x14ac:dyDescent="0.25">
      <c r="A1733" s="816" t="s">
        <v>277</v>
      </c>
      <c r="B1733" s="880">
        <v>2025</v>
      </c>
      <c r="C1733" s="816" t="s">
        <v>1887</v>
      </c>
      <c r="D1733" s="816" t="s">
        <v>138</v>
      </c>
      <c r="E1733" s="816" t="s">
        <v>2837</v>
      </c>
      <c r="F1733" s="826">
        <v>175228.34</v>
      </c>
      <c r="G1733" s="880">
        <v>1</v>
      </c>
      <c r="H1733" s="826">
        <v>163274.26</v>
      </c>
      <c r="I1733" s="826">
        <v>11954.08</v>
      </c>
      <c r="J1733" s="826">
        <v>175228.34</v>
      </c>
      <c r="K1733" s="878">
        <v>175228.34</v>
      </c>
    </row>
    <row r="1734" spans="1:11" ht="22.5" customHeight="1" x14ac:dyDescent="0.25">
      <c r="A1734" s="816" t="s">
        <v>277</v>
      </c>
      <c r="B1734" s="880">
        <v>2025</v>
      </c>
      <c r="C1734" s="816" t="s">
        <v>1889</v>
      </c>
      <c r="D1734" s="816" t="s">
        <v>139</v>
      </c>
      <c r="E1734" s="816" t="s">
        <v>2838</v>
      </c>
      <c r="F1734" s="826">
        <v>-129583.65</v>
      </c>
      <c r="G1734" s="880">
        <v>1</v>
      </c>
      <c r="H1734" s="826">
        <v>-122343.18</v>
      </c>
      <c r="I1734" s="826">
        <v>-7240.47</v>
      </c>
      <c r="J1734" s="826">
        <v>-129583.65</v>
      </c>
      <c r="K1734" s="878">
        <v>-129583.65</v>
      </c>
    </row>
    <row r="1735" spans="1:11" ht="22.5" customHeight="1" x14ac:dyDescent="0.25">
      <c r="A1735" s="816" t="s">
        <v>277</v>
      </c>
      <c r="B1735" s="880">
        <v>2025</v>
      </c>
      <c r="C1735" s="816" t="s">
        <v>1891</v>
      </c>
      <c r="D1735" s="816" t="s">
        <v>1892</v>
      </c>
      <c r="E1735" s="816" t="s">
        <v>2839</v>
      </c>
      <c r="F1735" s="826">
        <v>0</v>
      </c>
      <c r="G1735" s="880">
        <v>0</v>
      </c>
      <c r="H1735" s="465"/>
      <c r="I1735" s="465"/>
      <c r="J1735" s="826">
        <v>0</v>
      </c>
      <c r="K1735" s="878">
        <v>0</v>
      </c>
    </row>
    <row r="1736" spans="1:11" ht="22.5" customHeight="1" x14ac:dyDescent="0.25">
      <c r="A1736" s="816" t="s">
        <v>277</v>
      </c>
      <c r="B1736" s="880">
        <v>2025</v>
      </c>
      <c r="C1736" s="816" t="s">
        <v>1891</v>
      </c>
      <c r="D1736" s="816" t="s">
        <v>1894</v>
      </c>
      <c r="E1736" s="816" t="s">
        <v>2839</v>
      </c>
      <c r="F1736" s="826">
        <v>0</v>
      </c>
      <c r="G1736" s="880">
        <v>0</v>
      </c>
      <c r="H1736" s="465"/>
      <c r="I1736" s="465"/>
      <c r="J1736" s="826">
        <v>0</v>
      </c>
      <c r="K1736" s="881">
        <v>0</v>
      </c>
    </row>
    <row r="1737" spans="1:11" ht="22.5" customHeight="1" x14ac:dyDescent="0.25">
      <c r="A1737" s="816" t="s">
        <v>277</v>
      </c>
      <c r="B1737" s="880">
        <v>2025</v>
      </c>
      <c r="C1737" s="816" t="s">
        <v>1895</v>
      </c>
      <c r="D1737" s="816" t="s">
        <v>1896</v>
      </c>
      <c r="E1737" s="816" t="s">
        <v>2840</v>
      </c>
      <c r="F1737" s="826">
        <v>0</v>
      </c>
      <c r="G1737" s="880">
        <v>0</v>
      </c>
      <c r="H1737" s="465"/>
      <c r="I1737" s="465"/>
      <c r="J1737" s="826">
        <v>0</v>
      </c>
      <c r="K1737" s="878">
        <v>0</v>
      </c>
    </row>
    <row r="1738" spans="1:11" ht="22.5" customHeight="1" x14ac:dyDescent="0.25">
      <c r="A1738" s="816" t="s">
        <v>277</v>
      </c>
      <c r="B1738" s="880">
        <v>2025</v>
      </c>
      <c r="C1738" s="816" t="s">
        <v>1898</v>
      </c>
      <c r="D1738" s="816" t="s">
        <v>1899</v>
      </c>
      <c r="E1738" s="816" t="s">
        <v>2841</v>
      </c>
      <c r="F1738" s="826">
        <v>0</v>
      </c>
      <c r="G1738" s="880">
        <v>0</v>
      </c>
      <c r="H1738" s="465"/>
      <c r="I1738" s="465"/>
      <c r="J1738" s="826">
        <v>0</v>
      </c>
      <c r="K1738" s="878">
        <v>0</v>
      </c>
    </row>
    <row r="1739" spans="1:11" ht="22.5" customHeight="1" x14ac:dyDescent="0.25">
      <c r="A1739" s="816" t="s">
        <v>277</v>
      </c>
      <c r="B1739" s="880">
        <v>2025</v>
      </c>
      <c r="C1739" s="816" t="s">
        <v>1901</v>
      </c>
      <c r="D1739" s="816" t="s">
        <v>1902</v>
      </c>
      <c r="E1739" s="816" t="s">
        <v>2842</v>
      </c>
      <c r="F1739" s="826">
        <v>0</v>
      </c>
      <c r="G1739" s="880">
        <v>0</v>
      </c>
      <c r="H1739" s="465"/>
      <c r="I1739" s="465"/>
      <c r="J1739" s="826">
        <v>0</v>
      </c>
      <c r="K1739" s="878">
        <v>0</v>
      </c>
    </row>
    <row r="1740" spans="1:11" ht="22.5" customHeight="1" x14ac:dyDescent="0.25">
      <c r="A1740" s="816" t="s">
        <v>277</v>
      </c>
      <c r="B1740" s="880">
        <v>2025</v>
      </c>
      <c r="C1740" s="816" t="s">
        <v>1904</v>
      </c>
      <c r="D1740" s="816" t="s">
        <v>1905</v>
      </c>
      <c r="E1740" s="816" t="s">
        <v>2843</v>
      </c>
      <c r="F1740" s="826">
        <v>0</v>
      </c>
      <c r="G1740" s="880">
        <v>0</v>
      </c>
      <c r="H1740" s="465"/>
      <c r="I1740" s="465"/>
      <c r="J1740" s="826">
        <v>0</v>
      </c>
      <c r="K1740" s="878">
        <v>0</v>
      </c>
    </row>
    <row r="1741" spans="1:11" ht="22.5" customHeight="1" x14ac:dyDescent="0.25">
      <c r="A1741" s="816" t="s">
        <v>277</v>
      </c>
      <c r="B1741" s="880">
        <v>2025</v>
      </c>
      <c r="C1741" s="816" t="s">
        <v>1907</v>
      </c>
      <c r="D1741" s="816" t="s">
        <v>1908</v>
      </c>
      <c r="E1741" s="816" t="s">
        <v>2844</v>
      </c>
      <c r="F1741" s="826">
        <v>0</v>
      </c>
      <c r="G1741" s="880">
        <v>0</v>
      </c>
      <c r="H1741" s="465"/>
      <c r="I1741" s="465"/>
      <c r="J1741" s="826">
        <v>0</v>
      </c>
      <c r="K1741" s="878">
        <v>0</v>
      </c>
    </row>
    <row r="1742" spans="1:11" ht="22.5" customHeight="1" x14ac:dyDescent="0.25">
      <c r="A1742" s="816" t="s">
        <v>277</v>
      </c>
      <c r="B1742" s="880">
        <v>2025</v>
      </c>
      <c r="C1742" s="816" t="s">
        <v>1910</v>
      </c>
      <c r="D1742" s="816" t="s">
        <v>1911</v>
      </c>
      <c r="E1742" s="816" t="s">
        <v>2845</v>
      </c>
      <c r="F1742" s="826">
        <v>0</v>
      </c>
      <c r="G1742" s="880">
        <v>0</v>
      </c>
      <c r="H1742" s="465"/>
      <c r="I1742" s="465"/>
      <c r="J1742" s="826">
        <v>0</v>
      </c>
      <c r="K1742" s="878">
        <v>0</v>
      </c>
    </row>
    <row r="1743" spans="1:11" ht="22.5" customHeight="1" x14ac:dyDescent="0.25">
      <c r="A1743" s="816" t="s">
        <v>277</v>
      </c>
      <c r="B1743" s="880">
        <v>2025</v>
      </c>
      <c r="C1743" s="816" t="s">
        <v>1913</v>
      </c>
      <c r="D1743" s="816" t="s">
        <v>1914</v>
      </c>
      <c r="E1743" s="816" t="s">
        <v>2846</v>
      </c>
      <c r="F1743" s="826">
        <v>-822026.06</v>
      </c>
      <c r="G1743" s="880">
        <v>1</v>
      </c>
      <c r="H1743" s="826">
        <v>-781538.76</v>
      </c>
      <c r="I1743" s="826">
        <v>-40487.300000000003</v>
      </c>
      <c r="J1743" s="826">
        <v>-822026.06</v>
      </c>
      <c r="K1743" s="878">
        <v>-822026.06</v>
      </c>
    </row>
    <row r="1744" spans="1:11" ht="22.5" customHeight="1" x14ac:dyDescent="0.25">
      <c r="A1744" s="816" t="s">
        <v>277</v>
      </c>
      <c r="B1744" s="880">
        <v>2025</v>
      </c>
      <c r="C1744" s="816" t="s">
        <v>1913</v>
      </c>
      <c r="D1744" s="816" t="s">
        <v>1916</v>
      </c>
      <c r="E1744" s="816" t="s">
        <v>2846</v>
      </c>
      <c r="F1744" s="826">
        <v>0</v>
      </c>
      <c r="G1744" s="880">
        <v>0</v>
      </c>
      <c r="H1744" s="465"/>
      <c r="I1744" s="465"/>
      <c r="J1744" s="826">
        <v>0</v>
      </c>
      <c r="K1744" s="881">
        <v>0</v>
      </c>
    </row>
    <row r="1745" spans="1:11" ht="22.5" customHeight="1" x14ac:dyDescent="0.25">
      <c r="A1745" s="816" t="s">
        <v>277</v>
      </c>
      <c r="B1745" s="880">
        <v>2025</v>
      </c>
      <c r="C1745" s="816" t="s">
        <v>1913</v>
      </c>
      <c r="D1745" s="816" t="s">
        <v>1917</v>
      </c>
      <c r="E1745" s="816" t="s">
        <v>2846</v>
      </c>
      <c r="F1745" s="826">
        <v>0</v>
      </c>
      <c r="G1745" s="880">
        <v>0</v>
      </c>
      <c r="H1745" s="465"/>
      <c r="I1745" s="465"/>
      <c r="J1745" s="826">
        <v>0</v>
      </c>
      <c r="K1745" s="881">
        <v>0</v>
      </c>
    </row>
    <row r="1746" spans="1:11" ht="22.5" customHeight="1" x14ac:dyDescent="0.25">
      <c r="A1746" s="816" t="s">
        <v>277</v>
      </c>
      <c r="B1746" s="880">
        <v>2025</v>
      </c>
      <c r="C1746" s="816" t="s">
        <v>1913</v>
      </c>
      <c r="D1746" s="816" t="s">
        <v>1918</v>
      </c>
      <c r="E1746" s="816" t="s">
        <v>2846</v>
      </c>
      <c r="F1746" s="826">
        <v>0</v>
      </c>
      <c r="G1746" s="880">
        <v>0</v>
      </c>
      <c r="H1746" s="465"/>
      <c r="I1746" s="465"/>
      <c r="J1746" s="826">
        <v>0</v>
      </c>
      <c r="K1746" s="881">
        <v>5252.19</v>
      </c>
    </row>
    <row r="1747" spans="1:11" ht="22.5" customHeight="1" x14ac:dyDescent="0.25">
      <c r="A1747" s="816" t="s">
        <v>277</v>
      </c>
      <c r="B1747" s="880">
        <v>2025</v>
      </c>
      <c r="C1747" s="816" t="s">
        <v>1913</v>
      </c>
      <c r="D1747" s="816" t="s">
        <v>1919</v>
      </c>
      <c r="E1747" s="816" t="s">
        <v>2846</v>
      </c>
      <c r="F1747" s="826">
        <v>0</v>
      </c>
      <c r="G1747" s="880">
        <v>0</v>
      </c>
      <c r="H1747" s="465"/>
      <c r="I1747" s="465"/>
      <c r="J1747" s="826">
        <v>0</v>
      </c>
      <c r="K1747" s="881">
        <v>384877.82</v>
      </c>
    </row>
    <row r="1748" spans="1:11" ht="22.5" customHeight="1" x14ac:dyDescent="0.25">
      <c r="A1748" s="816" t="s">
        <v>277</v>
      </c>
      <c r="B1748" s="880">
        <v>2025</v>
      </c>
      <c r="C1748" s="816" t="s">
        <v>1920</v>
      </c>
      <c r="D1748" s="816" t="s">
        <v>1921</v>
      </c>
      <c r="E1748" s="816" t="s">
        <v>2847</v>
      </c>
      <c r="F1748" s="826">
        <v>0</v>
      </c>
      <c r="G1748" s="880">
        <v>0</v>
      </c>
      <c r="H1748" s="465"/>
      <c r="I1748" s="465"/>
      <c r="J1748" s="826">
        <v>0</v>
      </c>
      <c r="K1748" s="878">
        <v>0</v>
      </c>
    </row>
    <row r="1749" spans="1:11" ht="22.5" customHeight="1" x14ac:dyDescent="0.25">
      <c r="A1749" s="816" t="s">
        <v>277</v>
      </c>
      <c r="B1749" s="880">
        <v>2025</v>
      </c>
      <c r="C1749" s="816" t="s">
        <v>1923</v>
      </c>
      <c r="D1749" s="816" t="s">
        <v>143</v>
      </c>
      <c r="E1749" s="816" t="s">
        <v>2848</v>
      </c>
      <c r="F1749" s="826">
        <v>661323</v>
      </c>
      <c r="G1749" s="880">
        <v>1</v>
      </c>
      <c r="H1749" s="826">
        <v>610808.35</v>
      </c>
      <c r="I1749" s="826">
        <v>50514.65</v>
      </c>
      <c r="J1749" s="826">
        <v>661323</v>
      </c>
      <c r="K1749" s="878">
        <v>661323</v>
      </c>
    </row>
    <row r="1750" spans="1:11" ht="22.5" customHeight="1" x14ac:dyDescent="0.25">
      <c r="A1750" s="816" t="s">
        <v>277</v>
      </c>
      <c r="B1750" s="880">
        <v>2025</v>
      </c>
      <c r="C1750" s="816" t="s">
        <v>1925</v>
      </c>
      <c r="D1750" s="816" t="s">
        <v>144</v>
      </c>
      <c r="E1750" s="816" t="s">
        <v>2849</v>
      </c>
      <c r="F1750" s="826">
        <v>311672.24</v>
      </c>
      <c r="G1750" s="880">
        <v>1</v>
      </c>
      <c r="H1750" s="826">
        <v>277858.21999999997</v>
      </c>
      <c r="I1750" s="826">
        <v>33814.019999999997</v>
      </c>
      <c r="J1750" s="826">
        <v>311672.24</v>
      </c>
      <c r="K1750" s="878">
        <v>311672.24</v>
      </c>
    </row>
    <row r="1751" spans="1:11" ht="22.5" customHeight="1" x14ac:dyDescent="0.25">
      <c r="A1751" s="816" t="s">
        <v>277</v>
      </c>
      <c r="B1751" s="880">
        <v>2025</v>
      </c>
      <c r="C1751" s="816" t="s">
        <v>1927</v>
      </c>
      <c r="D1751" s="816" t="s">
        <v>1928</v>
      </c>
      <c r="E1751" s="816" t="s">
        <v>2850</v>
      </c>
      <c r="F1751" s="826">
        <v>122547.45</v>
      </c>
      <c r="G1751" s="880">
        <v>1</v>
      </c>
      <c r="H1751" s="826">
        <v>177565.65</v>
      </c>
      <c r="I1751" s="826">
        <v>-55018.2</v>
      </c>
      <c r="J1751" s="826">
        <v>122547.45</v>
      </c>
      <c r="K1751" s="878">
        <v>122547.45</v>
      </c>
    </row>
    <row r="1752" spans="1:11" ht="22.5" customHeight="1" x14ac:dyDescent="0.25">
      <c r="A1752" s="816" t="s">
        <v>277</v>
      </c>
      <c r="B1752" s="880">
        <v>2025</v>
      </c>
      <c r="C1752" s="816" t="s">
        <v>1930</v>
      </c>
      <c r="D1752" s="816" t="s">
        <v>156</v>
      </c>
      <c r="E1752" s="816" t="s">
        <v>2851</v>
      </c>
      <c r="F1752" s="826">
        <v>1501765.09</v>
      </c>
      <c r="G1752" s="880">
        <v>1</v>
      </c>
      <c r="H1752" s="826">
        <v>1397098.37</v>
      </c>
      <c r="I1752" s="826">
        <v>104666.72</v>
      </c>
      <c r="J1752" s="826">
        <v>1501765.09</v>
      </c>
      <c r="K1752" s="878">
        <v>1501765.09</v>
      </c>
    </row>
    <row r="1753" spans="1:11" ht="22.5" customHeight="1" x14ac:dyDescent="0.25">
      <c r="A1753" s="816" t="s">
        <v>277</v>
      </c>
      <c r="B1753" s="880">
        <v>2025</v>
      </c>
      <c r="C1753" s="816" t="s">
        <v>1932</v>
      </c>
      <c r="D1753" s="816" t="s">
        <v>1933</v>
      </c>
      <c r="E1753" s="816" t="s">
        <v>2852</v>
      </c>
      <c r="F1753" s="826">
        <v>-7398.22</v>
      </c>
      <c r="G1753" s="880">
        <v>0</v>
      </c>
      <c r="H1753" s="465"/>
      <c r="I1753" s="465"/>
      <c r="J1753" s="826">
        <v>0</v>
      </c>
      <c r="K1753" s="878">
        <v>-7398.22</v>
      </c>
    </row>
    <row r="1754" spans="1:11" ht="22.5" customHeight="1" x14ac:dyDescent="0.25">
      <c r="A1754" s="816" t="s">
        <v>277</v>
      </c>
      <c r="B1754" s="880">
        <v>2025</v>
      </c>
      <c r="C1754" s="816" t="s">
        <v>1935</v>
      </c>
      <c r="D1754" s="816" t="s">
        <v>1936</v>
      </c>
      <c r="E1754" s="816" t="s">
        <v>8400</v>
      </c>
      <c r="F1754" s="826">
        <v>0</v>
      </c>
      <c r="G1754" s="880">
        <v>1</v>
      </c>
      <c r="H1754" s="465"/>
      <c r="I1754" s="465"/>
      <c r="J1754" s="826">
        <v>0</v>
      </c>
      <c r="K1754" s="878">
        <v>0</v>
      </c>
    </row>
    <row r="1755" spans="1:11" ht="22.5" customHeight="1" x14ac:dyDescent="0.25">
      <c r="A1755" s="816" t="s">
        <v>277</v>
      </c>
      <c r="B1755" s="880">
        <v>2025</v>
      </c>
      <c r="C1755" s="816" t="s">
        <v>1935</v>
      </c>
      <c r="D1755" s="816" t="s">
        <v>1937</v>
      </c>
      <c r="E1755" s="816" t="s">
        <v>8401</v>
      </c>
      <c r="F1755" s="826">
        <v>0</v>
      </c>
      <c r="G1755" s="880">
        <v>1</v>
      </c>
      <c r="H1755" s="465"/>
      <c r="I1755" s="465"/>
      <c r="J1755" s="826">
        <v>0</v>
      </c>
      <c r="K1755" s="878">
        <v>0</v>
      </c>
    </row>
    <row r="1756" spans="1:11" ht="22.5" customHeight="1" x14ac:dyDescent="0.25">
      <c r="A1756" s="816" t="s">
        <v>277</v>
      </c>
      <c r="B1756" s="880">
        <v>2025</v>
      </c>
      <c r="C1756" s="816" t="s">
        <v>1935</v>
      </c>
      <c r="D1756" s="816" t="s">
        <v>1938</v>
      </c>
      <c r="E1756" s="816" t="s">
        <v>8402</v>
      </c>
      <c r="F1756" s="826">
        <v>0</v>
      </c>
      <c r="G1756" s="880">
        <v>1</v>
      </c>
      <c r="H1756" s="465"/>
      <c r="I1756" s="465"/>
      <c r="J1756" s="826">
        <v>0</v>
      </c>
      <c r="K1756" s="878">
        <v>0</v>
      </c>
    </row>
    <row r="1757" spans="1:11" ht="22.5" customHeight="1" x14ac:dyDescent="0.25">
      <c r="A1757" s="816" t="s">
        <v>277</v>
      </c>
      <c r="B1757" s="880">
        <v>2025</v>
      </c>
      <c r="C1757" s="816" t="s">
        <v>1935</v>
      </c>
      <c r="D1757" s="816" t="s">
        <v>1939</v>
      </c>
      <c r="E1757" s="816" t="s">
        <v>8403</v>
      </c>
      <c r="F1757" s="826">
        <v>0</v>
      </c>
      <c r="G1757" s="880">
        <v>1</v>
      </c>
      <c r="H1757" s="465"/>
      <c r="I1757" s="465"/>
      <c r="J1757" s="826">
        <v>0</v>
      </c>
      <c r="K1757" s="878">
        <v>0</v>
      </c>
    </row>
    <row r="1758" spans="1:11" ht="22.5" customHeight="1" x14ac:dyDescent="0.25">
      <c r="A1758" s="816" t="s">
        <v>277</v>
      </c>
      <c r="B1758" s="880">
        <v>2025</v>
      </c>
      <c r="C1758" s="816" t="s">
        <v>1935</v>
      </c>
      <c r="D1758" s="816" t="s">
        <v>1940</v>
      </c>
      <c r="E1758" s="816" t="s">
        <v>8404</v>
      </c>
      <c r="F1758" s="826">
        <v>0</v>
      </c>
      <c r="G1758" s="880">
        <v>1</v>
      </c>
      <c r="H1758" s="465"/>
      <c r="I1758" s="465"/>
      <c r="J1758" s="826">
        <v>0</v>
      </c>
      <c r="K1758" s="878">
        <v>0</v>
      </c>
    </row>
    <row r="1759" spans="1:11" ht="22.5" customHeight="1" x14ac:dyDescent="0.25">
      <c r="A1759" s="816" t="s">
        <v>277</v>
      </c>
      <c r="B1759" s="880">
        <v>2025</v>
      </c>
      <c r="C1759" s="816" t="s">
        <v>1935</v>
      </c>
      <c r="D1759" s="816" t="s">
        <v>1941</v>
      </c>
      <c r="E1759" s="816" t="s">
        <v>8405</v>
      </c>
      <c r="F1759" s="826">
        <v>0</v>
      </c>
      <c r="G1759" s="880">
        <v>1</v>
      </c>
      <c r="H1759" s="465"/>
      <c r="I1759" s="465"/>
      <c r="J1759" s="826">
        <v>0</v>
      </c>
      <c r="K1759" s="878">
        <v>0</v>
      </c>
    </row>
    <row r="1760" spans="1:11" ht="22.5" customHeight="1" x14ac:dyDescent="0.25">
      <c r="A1760" s="816" t="s">
        <v>277</v>
      </c>
      <c r="B1760" s="880">
        <v>2025</v>
      </c>
      <c r="C1760" s="816" t="s">
        <v>1935</v>
      </c>
      <c r="D1760" s="816" t="s">
        <v>1942</v>
      </c>
      <c r="E1760" s="816" t="s">
        <v>8406</v>
      </c>
      <c r="F1760" s="826">
        <v>0</v>
      </c>
      <c r="G1760" s="880">
        <v>1</v>
      </c>
      <c r="H1760" s="465"/>
      <c r="I1760" s="465"/>
      <c r="J1760" s="826">
        <v>0</v>
      </c>
      <c r="K1760" s="878">
        <v>0</v>
      </c>
    </row>
    <row r="1761" spans="1:11" ht="22.5" customHeight="1" x14ac:dyDescent="0.25">
      <c r="A1761" s="816" t="s">
        <v>277</v>
      </c>
      <c r="B1761" s="880">
        <v>2025</v>
      </c>
      <c r="C1761" s="816" t="s">
        <v>1935</v>
      </c>
      <c r="D1761" s="816" t="s">
        <v>1943</v>
      </c>
      <c r="E1761" s="816" t="s">
        <v>8407</v>
      </c>
      <c r="F1761" s="826">
        <v>0</v>
      </c>
      <c r="G1761" s="880">
        <v>1</v>
      </c>
      <c r="H1761" s="465"/>
      <c r="I1761" s="465"/>
      <c r="J1761" s="826">
        <v>0</v>
      </c>
      <c r="K1761" s="878">
        <v>0</v>
      </c>
    </row>
    <row r="1762" spans="1:11" ht="22.5" customHeight="1" x14ac:dyDescent="0.25">
      <c r="A1762" s="816" t="s">
        <v>277</v>
      </c>
      <c r="B1762" s="880">
        <v>2025</v>
      </c>
      <c r="C1762" s="816" t="s">
        <v>1935</v>
      </c>
      <c r="D1762" s="816" t="s">
        <v>1944</v>
      </c>
      <c r="E1762" s="816" t="s">
        <v>8408</v>
      </c>
      <c r="F1762" s="826">
        <v>0</v>
      </c>
      <c r="G1762" s="880">
        <v>1</v>
      </c>
      <c r="H1762" s="465"/>
      <c r="I1762" s="465"/>
      <c r="J1762" s="826">
        <v>0</v>
      </c>
      <c r="K1762" s="878">
        <v>0</v>
      </c>
    </row>
    <row r="1763" spans="1:11" ht="22.5" customHeight="1" x14ac:dyDescent="0.25">
      <c r="A1763" s="816" t="s">
        <v>277</v>
      </c>
      <c r="B1763" s="880">
        <v>2025</v>
      </c>
      <c r="C1763" s="816" t="s">
        <v>1935</v>
      </c>
      <c r="D1763" s="816" t="s">
        <v>1945</v>
      </c>
      <c r="E1763" s="816" t="s">
        <v>8409</v>
      </c>
      <c r="F1763" s="826">
        <v>0</v>
      </c>
      <c r="G1763" s="880">
        <v>1</v>
      </c>
      <c r="H1763" s="465"/>
      <c r="I1763" s="465"/>
      <c r="J1763" s="826">
        <v>0</v>
      </c>
      <c r="K1763" s="878">
        <v>0</v>
      </c>
    </row>
    <row r="1764" spans="1:11" ht="22.5" customHeight="1" x14ac:dyDescent="0.25">
      <c r="A1764" s="816" t="s">
        <v>277</v>
      </c>
      <c r="B1764" s="880">
        <v>2025</v>
      </c>
      <c r="C1764" s="816" t="s">
        <v>1935</v>
      </c>
      <c r="D1764" s="816" t="s">
        <v>1946</v>
      </c>
      <c r="E1764" s="816" t="s">
        <v>8410</v>
      </c>
      <c r="F1764" s="826">
        <v>0</v>
      </c>
      <c r="G1764" s="880">
        <v>1</v>
      </c>
      <c r="H1764" s="465"/>
      <c r="I1764" s="465"/>
      <c r="J1764" s="826">
        <v>0</v>
      </c>
      <c r="K1764" s="878">
        <v>0</v>
      </c>
    </row>
    <row r="1765" spans="1:11" ht="22.5" customHeight="1" x14ac:dyDescent="0.25">
      <c r="A1765" s="816" t="s">
        <v>277</v>
      </c>
      <c r="B1765" s="880">
        <v>2025</v>
      </c>
      <c r="C1765" s="816" t="s">
        <v>1935</v>
      </c>
      <c r="D1765" s="816" t="s">
        <v>1947</v>
      </c>
      <c r="E1765" s="816" t="s">
        <v>8411</v>
      </c>
      <c r="F1765" s="826">
        <v>0</v>
      </c>
      <c r="G1765" s="880">
        <v>1</v>
      </c>
      <c r="H1765" s="465"/>
      <c r="I1765" s="465"/>
      <c r="J1765" s="826">
        <v>0</v>
      </c>
      <c r="K1765" s="878">
        <v>0</v>
      </c>
    </row>
    <row r="1766" spans="1:11" ht="22.5" customHeight="1" x14ac:dyDescent="0.25">
      <c r="A1766" s="816" t="s">
        <v>277</v>
      </c>
      <c r="B1766" s="880">
        <v>2025</v>
      </c>
      <c r="C1766" s="816" t="s">
        <v>1935</v>
      </c>
      <c r="D1766" s="816" t="s">
        <v>1948</v>
      </c>
      <c r="E1766" s="816" t="s">
        <v>8412</v>
      </c>
      <c r="F1766" s="826">
        <v>0</v>
      </c>
      <c r="G1766" s="880">
        <v>1</v>
      </c>
      <c r="H1766" s="465"/>
      <c r="I1766" s="465"/>
      <c r="J1766" s="826">
        <v>0</v>
      </c>
      <c r="K1766" s="878">
        <v>0</v>
      </c>
    </row>
    <row r="1767" spans="1:11" ht="22.5" customHeight="1" x14ac:dyDescent="0.25">
      <c r="A1767" s="816" t="s">
        <v>277</v>
      </c>
      <c r="B1767" s="880">
        <v>2025</v>
      </c>
      <c r="C1767" s="816" t="s">
        <v>1935</v>
      </c>
      <c r="D1767" s="816" t="s">
        <v>1949</v>
      </c>
      <c r="E1767" s="816" t="s">
        <v>8413</v>
      </c>
      <c r="F1767" s="826">
        <v>0</v>
      </c>
      <c r="G1767" s="880">
        <v>1</v>
      </c>
      <c r="H1767" s="465"/>
      <c r="I1767" s="465"/>
      <c r="J1767" s="826">
        <v>0</v>
      </c>
      <c r="K1767" s="878">
        <v>0</v>
      </c>
    </row>
    <row r="1768" spans="1:11" ht="22.5" customHeight="1" x14ac:dyDescent="0.25">
      <c r="A1768" s="816" t="s">
        <v>277</v>
      </c>
      <c r="B1768" s="880">
        <v>2025</v>
      </c>
      <c r="C1768" s="816" t="s">
        <v>1935</v>
      </c>
      <c r="D1768" s="816" t="s">
        <v>1950</v>
      </c>
      <c r="E1768" s="816" t="s">
        <v>8414</v>
      </c>
      <c r="F1768" s="826">
        <v>0</v>
      </c>
      <c r="G1768" s="880">
        <v>1</v>
      </c>
      <c r="H1768" s="826">
        <v>-62891.95</v>
      </c>
      <c r="I1768" s="826">
        <v>-13553.59</v>
      </c>
      <c r="J1768" s="826">
        <v>-76445.539999999994</v>
      </c>
      <c r="K1768" s="878">
        <v>-76445.539999999994</v>
      </c>
    </row>
    <row r="1769" spans="1:11" ht="22.5" customHeight="1" x14ac:dyDescent="0.25">
      <c r="A1769" s="816" t="s">
        <v>277</v>
      </c>
      <c r="B1769" s="880">
        <v>2025</v>
      </c>
      <c r="C1769" s="816" t="s">
        <v>1935</v>
      </c>
      <c r="D1769" s="816" t="s">
        <v>1951</v>
      </c>
      <c r="E1769" s="816" t="s">
        <v>8415</v>
      </c>
      <c r="F1769" s="826">
        <v>0</v>
      </c>
      <c r="G1769" s="880">
        <v>1</v>
      </c>
      <c r="H1769" s="826">
        <v>-88675.7</v>
      </c>
      <c r="I1769" s="826">
        <v>151378.31</v>
      </c>
      <c r="J1769" s="826">
        <v>62702.61</v>
      </c>
      <c r="K1769" s="878">
        <v>62702.61</v>
      </c>
    </row>
    <row r="1770" spans="1:11" ht="22.5" customHeight="1" x14ac:dyDescent="0.25">
      <c r="A1770" s="816" t="s">
        <v>277</v>
      </c>
      <c r="B1770" s="880">
        <v>2025</v>
      </c>
      <c r="C1770" s="816" t="s">
        <v>1935</v>
      </c>
      <c r="D1770" s="816" t="s">
        <v>7801</v>
      </c>
      <c r="E1770" s="816" t="s">
        <v>8416</v>
      </c>
      <c r="F1770" s="826">
        <v>0</v>
      </c>
      <c r="G1770" s="880">
        <v>1</v>
      </c>
      <c r="H1770" s="826">
        <v>-204162.45</v>
      </c>
      <c r="I1770" s="826">
        <v>289807.09000000003</v>
      </c>
      <c r="J1770" s="826">
        <v>85644.64</v>
      </c>
      <c r="K1770" s="878">
        <v>85644.64</v>
      </c>
    </row>
    <row r="1771" spans="1:11" ht="22.5" customHeight="1" x14ac:dyDescent="0.25">
      <c r="A1771" s="816" t="s">
        <v>277</v>
      </c>
      <c r="B1771" s="880">
        <v>2025</v>
      </c>
      <c r="C1771" s="816" t="s">
        <v>1935</v>
      </c>
      <c r="D1771" s="816" t="s">
        <v>1952</v>
      </c>
      <c r="E1771" s="816" t="s">
        <v>8417</v>
      </c>
      <c r="F1771" s="826">
        <v>71901.710000000006</v>
      </c>
      <c r="G1771" s="880">
        <v>0</v>
      </c>
      <c r="H1771" s="465"/>
      <c r="I1771" s="465"/>
      <c r="J1771" s="826">
        <v>0</v>
      </c>
      <c r="K1771" s="878">
        <v>71901.710000000006</v>
      </c>
    </row>
    <row r="1772" spans="1:11" ht="22.5" customHeight="1" x14ac:dyDescent="0.25">
      <c r="A1772" s="816" t="s">
        <v>277</v>
      </c>
      <c r="B1772" s="880">
        <v>2025</v>
      </c>
      <c r="C1772" s="816" t="s">
        <v>1953</v>
      </c>
      <c r="D1772" s="816" t="s">
        <v>1954</v>
      </c>
      <c r="E1772" s="816" t="s">
        <v>2853</v>
      </c>
      <c r="F1772" s="826">
        <v>0</v>
      </c>
      <c r="G1772" s="880">
        <v>0</v>
      </c>
      <c r="H1772" s="465"/>
      <c r="I1772" s="465"/>
      <c r="J1772" s="826">
        <v>0</v>
      </c>
      <c r="K1772" s="878">
        <v>0</v>
      </c>
    </row>
    <row r="1773" spans="1:11" ht="22.5" customHeight="1" x14ac:dyDescent="0.25">
      <c r="A1773" s="816" t="s">
        <v>279</v>
      </c>
      <c r="B1773" s="880">
        <v>2025</v>
      </c>
      <c r="C1773" s="816" t="s">
        <v>1854</v>
      </c>
      <c r="D1773" s="816" t="s">
        <v>1855</v>
      </c>
      <c r="E1773" s="816" t="s">
        <v>2854</v>
      </c>
      <c r="F1773" s="826">
        <v>-266913.19</v>
      </c>
      <c r="G1773" s="880">
        <v>0</v>
      </c>
      <c r="H1773" s="465"/>
      <c r="I1773" s="465"/>
      <c r="J1773" s="826">
        <v>0</v>
      </c>
      <c r="K1773" s="878">
        <v>-266913.19</v>
      </c>
    </row>
    <row r="1774" spans="1:11" ht="22.5" customHeight="1" x14ac:dyDescent="0.25">
      <c r="A1774" s="816" t="s">
        <v>279</v>
      </c>
      <c r="B1774" s="880">
        <v>2025</v>
      </c>
      <c r="C1774" s="816" t="s">
        <v>7746</v>
      </c>
      <c r="D1774" s="816" t="s">
        <v>7747</v>
      </c>
      <c r="E1774" s="816" t="s">
        <v>7781</v>
      </c>
      <c r="F1774" s="826">
        <v>0</v>
      </c>
      <c r="G1774" s="880">
        <v>0</v>
      </c>
      <c r="H1774" s="465"/>
      <c r="I1774" s="465"/>
      <c r="J1774" s="826">
        <v>0</v>
      </c>
      <c r="K1774" s="878">
        <v>0</v>
      </c>
    </row>
    <row r="1775" spans="1:11" ht="22.5" customHeight="1" x14ac:dyDescent="0.25">
      <c r="A1775" s="816" t="s">
        <v>279</v>
      </c>
      <c r="B1775" s="880">
        <v>2025</v>
      </c>
      <c r="C1775" s="816" t="s">
        <v>1857</v>
      </c>
      <c r="D1775" s="816" t="s">
        <v>1858</v>
      </c>
      <c r="E1775" s="816" t="s">
        <v>2855</v>
      </c>
      <c r="F1775" s="826">
        <v>118130.04</v>
      </c>
      <c r="G1775" s="880">
        <v>0</v>
      </c>
      <c r="H1775" s="465"/>
      <c r="I1775" s="465"/>
      <c r="J1775" s="826">
        <v>0</v>
      </c>
      <c r="K1775" s="878">
        <v>118130.04</v>
      </c>
    </row>
    <row r="1776" spans="1:11" ht="22.5" customHeight="1" x14ac:dyDescent="0.25">
      <c r="A1776" s="816" t="s">
        <v>279</v>
      </c>
      <c r="B1776" s="880">
        <v>2025</v>
      </c>
      <c r="C1776" s="816" t="s">
        <v>1860</v>
      </c>
      <c r="D1776" s="816" t="s">
        <v>1861</v>
      </c>
      <c r="E1776" s="816" t="s">
        <v>2856</v>
      </c>
      <c r="F1776" s="826">
        <v>-11115.29</v>
      </c>
      <c r="G1776" s="880">
        <v>0</v>
      </c>
      <c r="H1776" s="465"/>
      <c r="I1776" s="465"/>
      <c r="J1776" s="826">
        <v>0</v>
      </c>
      <c r="K1776" s="878">
        <v>-11115.29</v>
      </c>
    </row>
    <row r="1777" spans="1:11" ht="22.5" customHeight="1" x14ac:dyDescent="0.25">
      <c r="A1777" s="816" t="s">
        <v>279</v>
      </c>
      <c r="B1777" s="880">
        <v>2025</v>
      </c>
      <c r="C1777" s="816" t="s">
        <v>1863</v>
      </c>
      <c r="D1777" s="816" t="s">
        <v>1864</v>
      </c>
      <c r="E1777" s="816" t="s">
        <v>2857</v>
      </c>
      <c r="F1777" s="826">
        <v>0</v>
      </c>
      <c r="G1777" s="880">
        <v>0</v>
      </c>
      <c r="H1777" s="465"/>
      <c r="I1777" s="465"/>
      <c r="J1777" s="826">
        <v>0</v>
      </c>
      <c r="K1777" s="878">
        <v>0</v>
      </c>
    </row>
    <row r="1778" spans="1:11" ht="22.5" customHeight="1" x14ac:dyDescent="0.25">
      <c r="A1778" s="816" t="s">
        <v>279</v>
      </c>
      <c r="B1778" s="880">
        <v>2025</v>
      </c>
      <c r="C1778" s="816" t="s">
        <v>1866</v>
      </c>
      <c r="D1778" s="816" t="s">
        <v>1867</v>
      </c>
      <c r="E1778" s="816" t="s">
        <v>2858</v>
      </c>
      <c r="F1778" s="826">
        <v>0</v>
      </c>
      <c r="G1778" s="880">
        <v>0</v>
      </c>
      <c r="H1778" s="465"/>
      <c r="I1778" s="465"/>
      <c r="J1778" s="826">
        <v>0</v>
      </c>
      <c r="K1778" s="878">
        <v>0</v>
      </c>
    </row>
    <row r="1779" spans="1:11" ht="22.5" customHeight="1" x14ac:dyDescent="0.25">
      <c r="A1779" s="816" t="s">
        <v>279</v>
      </c>
      <c r="B1779" s="880">
        <v>2025</v>
      </c>
      <c r="C1779" s="816" t="s">
        <v>1869</v>
      </c>
      <c r="D1779" s="816" t="s">
        <v>1870</v>
      </c>
      <c r="E1779" s="816" t="s">
        <v>2859</v>
      </c>
      <c r="F1779" s="826">
        <v>0</v>
      </c>
      <c r="G1779" s="880">
        <v>0</v>
      </c>
      <c r="H1779" s="465"/>
      <c r="I1779" s="465"/>
      <c r="J1779" s="826">
        <v>0</v>
      </c>
      <c r="K1779" s="878">
        <v>0</v>
      </c>
    </row>
    <row r="1780" spans="1:11" ht="22.5" customHeight="1" x14ac:dyDescent="0.25">
      <c r="A1780" s="816" t="s">
        <v>279</v>
      </c>
      <c r="B1780" s="880">
        <v>2025</v>
      </c>
      <c r="C1780" s="816" t="s">
        <v>1872</v>
      </c>
      <c r="D1780" s="816" t="s">
        <v>1873</v>
      </c>
      <c r="E1780" s="816" t="s">
        <v>2860</v>
      </c>
      <c r="F1780" s="826">
        <v>0</v>
      </c>
      <c r="G1780" s="880">
        <v>0</v>
      </c>
      <c r="H1780" s="465"/>
      <c r="I1780" s="465"/>
      <c r="J1780" s="826">
        <v>0</v>
      </c>
      <c r="K1780" s="878">
        <v>0</v>
      </c>
    </row>
    <row r="1781" spans="1:11" ht="22.5" customHeight="1" x14ac:dyDescent="0.25">
      <c r="A1781" s="816" t="s">
        <v>279</v>
      </c>
      <c r="B1781" s="880">
        <v>2025</v>
      </c>
      <c r="C1781" s="816" t="s">
        <v>1875</v>
      </c>
      <c r="D1781" s="816" t="s">
        <v>1876</v>
      </c>
      <c r="E1781" s="816" t="s">
        <v>2861</v>
      </c>
      <c r="F1781" s="826">
        <v>0</v>
      </c>
      <c r="G1781" s="880">
        <v>0</v>
      </c>
      <c r="H1781" s="465"/>
      <c r="I1781" s="465"/>
      <c r="J1781" s="826">
        <v>0</v>
      </c>
      <c r="K1781" s="878">
        <v>0</v>
      </c>
    </row>
    <row r="1782" spans="1:11" ht="22.5" customHeight="1" x14ac:dyDescent="0.25">
      <c r="A1782" s="816" t="s">
        <v>279</v>
      </c>
      <c r="B1782" s="880">
        <v>2025</v>
      </c>
      <c r="C1782" s="816" t="s">
        <v>1878</v>
      </c>
      <c r="D1782" s="816" t="s">
        <v>1879</v>
      </c>
      <c r="E1782" s="816" t="s">
        <v>2862</v>
      </c>
      <c r="F1782" s="826">
        <v>0</v>
      </c>
      <c r="G1782" s="880">
        <v>0</v>
      </c>
      <c r="H1782" s="465"/>
      <c r="I1782" s="465"/>
      <c r="J1782" s="826">
        <v>0</v>
      </c>
      <c r="K1782" s="878">
        <v>0</v>
      </c>
    </row>
    <row r="1783" spans="1:11" ht="22.5" customHeight="1" x14ac:dyDescent="0.25">
      <c r="A1783" s="816" t="s">
        <v>279</v>
      </c>
      <c r="B1783" s="880">
        <v>2025</v>
      </c>
      <c r="C1783" s="816" t="s">
        <v>1881</v>
      </c>
      <c r="D1783" s="816" t="s">
        <v>1882</v>
      </c>
      <c r="E1783" s="816" t="s">
        <v>2863</v>
      </c>
      <c r="F1783" s="826">
        <v>0</v>
      </c>
      <c r="G1783" s="880">
        <v>0</v>
      </c>
      <c r="H1783" s="465"/>
      <c r="I1783" s="465"/>
      <c r="J1783" s="826">
        <v>0</v>
      </c>
      <c r="K1783" s="878">
        <v>0</v>
      </c>
    </row>
    <row r="1784" spans="1:11" ht="22.5" customHeight="1" x14ac:dyDescent="0.25">
      <c r="A1784" s="816" t="s">
        <v>279</v>
      </c>
      <c r="B1784" s="880">
        <v>2025</v>
      </c>
      <c r="C1784" s="816" t="s">
        <v>1884</v>
      </c>
      <c r="D1784" s="816" t="s">
        <v>1885</v>
      </c>
      <c r="E1784" s="816" t="s">
        <v>2864</v>
      </c>
      <c r="F1784" s="826">
        <v>73044.28</v>
      </c>
      <c r="G1784" s="880">
        <v>0</v>
      </c>
      <c r="H1784" s="465"/>
      <c r="I1784" s="465"/>
      <c r="J1784" s="826">
        <v>0</v>
      </c>
      <c r="K1784" s="878">
        <v>73044.28</v>
      </c>
    </row>
    <row r="1785" spans="1:11" ht="22.5" customHeight="1" x14ac:dyDescent="0.25">
      <c r="A1785" s="816" t="s">
        <v>279</v>
      </c>
      <c r="B1785" s="880">
        <v>2025</v>
      </c>
      <c r="C1785" s="816" t="s">
        <v>1887</v>
      </c>
      <c r="D1785" s="816" t="s">
        <v>138</v>
      </c>
      <c r="E1785" s="816" t="s">
        <v>2865</v>
      </c>
      <c r="F1785" s="826">
        <v>1028019.59</v>
      </c>
      <c r="G1785" s="880">
        <v>1</v>
      </c>
      <c r="H1785" s="826">
        <v>966005.24</v>
      </c>
      <c r="I1785" s="826">
        <v>62014.35</v>
      </c>
      <c r="J1785" s="826">
        <v>1028019.59</v>
      </c>
      <c r="K1785" s="878">
        <v>1028019.59</v>
      </c>
    </row>
    <row r="1786" spans="1:11" ht="22.5" customHeight="1" x14ac:dyDescent="0.25">
      <c r="A1786" s="816" t="s">
        <v>279</v>
      </c>
      <c r="B1786" s="880">
        <v>2025</v>
      </c>
      <c r="C1786" s="816" t="s">
        <v>1889</v>
      </c>
      <c r="D1786" s="816" t="s">
        <v>139</v>
      </c>
      <c r="E1786" s="816" t="s">
        <v>2866</v>
      </c>
      <c r="F1786" s="826">
        <v>-130705.68</v>
      </c>
      <c r="G1786" s="880">
        <v>1</v>
      </c>
      <c r="H1786" s="826">
        <v>-122461.08</v>
      </c>
      <c r="I1786" s="826">
        <v>-8244.6</v>
      </c>
      <c r="J1786" s="826">
        <v>-130705.68</v>
      </c>
      <c r="K1786" s="878">
        <v>-130705.68</v>
      </c>
    </row>
    <row r="1787" spans="1:11" ht="22.5" customHeight="1" x14ac:dyDescent="0.25">
      <c r="A1787" s="816" t="s">
        <v>279</v>
      </c>
      <c r="B1787" s="880">
        <v>2025</v>
      </c>
      <c r="C1787" s="816" t="s">
        <v>1891</v>
      </c>
      <c r="D1787" s="816" t="s">
        <v>1892</v>
      </c>
      <c r="E1787" s="816" t="s">
        <v>2867</v>
      </c>
      <c r="F1787" s="826">
        <v>0</v>
      </c>
      <c r="G1787" s="880">
        <v>0</v>
      </c>
      <c r="H1787" s="465"/>
      <c r="I1787" s="465"/>
      <c r="J1787" s="826">
        <v>0</v>
      </c>
      <c r="K1787" s="878">
        <v>0</v>
      </c>
    </row>
    <row r="1788" spans="1:11" ht="22.5" customHeight="1" x14ac:dyDescent="0.25">
      <c r="A1788" s="816" t="s">
        <v>279</v>
      </c>
      <c r="B1788" s="880">
        <v>2025</v>
      </c>
      <c r="C1788" s="816" t="s">
        <v>1891</v>
      </c>
      <c r="D1788" s="816" t="s">
        <v>1894</v>
      </c>
      <c r="E1788" s="816" t="s">
        <v>2867</v>
      </c>
      <c r="F1788" s="826">
        <v>0</v>
      </c>
      <c r="G1788" s="880">
        <v>0</v>
      </c>
      <c r="H1788" s="465"/>
      <c r="I1788" s="465"/>
      <c r="J1788" s="826">
        <v>0</v>
      </c>
      <c r="K1788" s="881">
        <v>0</v>
      </c>
    </row>
    <row r="1789" spans="1:11" ht="22.5" customHeight="1" x14ac:dyDescent="0.25">
      <c r="A1789" s="816" t="s">
        <v>279</v>
      </c>
      <c r="B1789" s="880">
        <v>2025</v>
      </c>
      <c r="C1789" s="816" t="s">
        <v>1895</v>
      </c>
      <c r="D1789" s="816" t="s">
        <v>1896</v>
      </c>
      <c r="E1789" s="816" t="s">
        <v>2868</v>
      </c>
      <c r="F1789" s="826">
        <v>905877.56</v>
      </c>
      <c r="G1789" s="880">
        <v>0</v>
      </c>
      <c r="H1789" s="465"/>
      <c r="I1789" s="465"/>
      <c r="J1789" s="826">
        <v>0</v>
      </c>
      <c r="K1789" s="878">
        <v>905877.56</v>
      </c>
    </row>
    <row r="1790" spans="1:11" ht="22.5" customHeight="1" x14ac:dyDescent="0.25">
      <c r="A1790" s="816" t="s">
        <v>279</v>
      </c>
      <c r="B1790" s="880">
        <v>2025</v>
      </c>
      <c r="C1790" s="816" t="s">
        <v>1898</v>
      </c>
      <c r="D1790" s="816" t="s">
        <v>1899</v>
      </c>
      <c r="E1790" s="816" t="s">
        <v>2869</v>
      </c>
      <c r="F1790" s="826">
        <v>0.01</v>
      </c>
      <c r="G1790" s="880">
        <v>0</v>
      </c>
      <c r="H1790" s="465"/>
      <c r="I1790" s="465"/>
      <c r="J1790" s="826">
        <v>0</v>
      </c>
      <c r="K1790" s="878">
        <v>0.01</v>
      </c>
    </row>
    <row r="1791" spans="1:11" ht="22.5" customHeight="1" x14ac:dyDescent="0.25">
      <c r="A1791" s="816" t="s">
        <v>279</v>
      </c>
      <c r="B1791" s="880">
        <v>2025</v>
      </c>
      <c r="C1791" s="816" t="s">
        <v>1901</v>
      </c>
      <c r="D1791" s="816" t="s">
        <v>1902</v>
      </c>
      <c r="E1791" s="816" t="s">
        <v>2870</v>
      </c>
      <c r="F1791" s="826">
        <v>0</v>
      </c>
      <c r="G1791" s="880">
        <v>0</v>
      </c>
      <c r="H1791" s="465"/>
      <c r="I1791" s="465"/>
      <c r="J1791" s="826">
        <v>0</v>
      </c>
      <c r="K1791" s="878">
        <v>0</v>
      </c>
    </row>
    <row r="1792" spans="1:11" ht="22.5" customHeight="1" x14ac:dyDescent="0.25">
      <c r="A1792" s="816" t="s">
        <v>279</v>
      </c>
      <c r="B1792" s="880">
        <v>2025</v>
      </c>
      <c r="C1792" s="816" t="s">
        <v>1904</v>
      </c>
      <c r="D1792" s="816" t="s">
        <v>1905</v>
      </c>
      <c r="E1792" s="816" t="s">
        <v>2871</v>
      </c>
      <c r="F1792" s="826">
        <v>0</v>
      </c>
      <c r="G1792" s="880">
        <v>0</v>
      </c>
      <c r="H1792" s="465"/>
      <c r="I1792" s="465"/>
      <c r="J1792" s="826">
        <v>0</v>
      </c>
      <c r="K1792" s="878">
        <v>0</v>
      </c>
    </row>
    <row r="1793" spans="1:11" ht="22.5" customHeight="1" x14ac:dyDescent="0.25">
      <c r="A1793" s="816" t="s">
        <v>279</v>
      </c>
      <c r="B1793" s="880">
        <v>2025</v>
      </c>
      <c r="C1793" s="816" t="s">
        <v>1907</v>
      </c>
      <c r="D1793" s="816" t="s">
        <v>1908</v>
      </c>
      <c r="E1793" s="816" t="s">
        <v>2872</v>
      </c>
      <c r="F1793" s="826">
        <v>0</v>
      </c>
      <c r="G1793" s="880">
        <v>0</v>
      </c>
      <c r="H1793" s="465"/>
      <c r="I1793" s="465"/>
      <c r="J1793" s="826">
        <v>0</v>
      </c>
      <c r="K1793" s="878">
        <v>0</v>
      </c>
    </row>
    <row r="1794" spans="1:11" ht="22.5" customHeight="1" x14ac:dyDescent="0.25">
      <c r="A1794" s="816" t="s">
        <v>279</v>
      </c>
      <c r="B1794" s="880">
        <v>2025</v>
      </c>
      <c r="C1794" s="816" t="s">
        <v>1910</v>
      </c>
      <c r="D1794" s="816" t="s">
        <v>1911</v>
      </c>
      <c r="E1794" s="816" t="s">
        <v>2873</v>
      </c>
      <c r="F1794" s="826">
        <v>0</v>
      </c>
      <c r="G1794" s="880">
        <v>0</v>
      </c>
      <c r="H1794" s="465"/>
      <c r="I1794" s="465"/>
      <c r="J1794" s="826">
        <v>0</v>
      </c>
      <c r="K1794" s="878">
        <v>0</v>
      </c>
    </row>
    <row r="1795" spans="1:11" ht="22.5" customHeight="1" x14ac:dyDescent="0.25">
      <c r="A1795" s="816" t="s">
        <v>279</v>
      </c>
      <c r="B1795" s="880">
        <v>2025</v>
      </c>
      <c r="C1795" s="816" t="s">
        <v>1913</v>
      </c>
      <c r="D1795" s="816" t="s">
        <v>1914</v>
      </c>
      <c r="E1795" s="816" t="s">
        <v>2874</v>
      </c>
      <c r="F1795" s="826">
        <v>-575866.48</v>
      </c>
      <c r="G1795" s="880">
        <v>1</v>
      </c>
      <c r="H1795" s="826">
        <v>-549526.34</v>
      </c>
      <c r="I1795" s="826">
        <v>-26340.14</v>
      </c>
      <c r="J1795" s="826">
        <v>-575866.48</v>
      </c>
      <c r="K1795" s="878">
        <v>-575866.48</v>
      </c>
    </row>
    <row r="1796" spans="1:11" ht="22.5" customHeight="1" x14ac:dyDescent="0.25">
      <c r="A1796" s="816" t="s">
        <v>279</v>
      </c>
      <c r="B1796" s="880">
        <v>2025</v>
      </c>
      <c r="C1796" s="816" t="s">
        <v>1913</v>
      </c>
      <c r="D1796" s="816" t="s">
        <v>1916</v>
      </c>
      <c r="E1796" s="816" t="s">
        <v>2874</v>
      </c>
      <c r="F1796" s="826">
        <v>0</v>
      </c>
      <c r="G1796" s="880">
        <v>0</v>
      </c>
      <c r="H1796" s="465"/>
      <c r="I1796" s="465"/>
      <c r="J1796" s="826">
        <v>0</v>
      </c>
      <c r="K1796" s="881">
        <v>0</v>
      </c>
    </row>
    <row r="1797" spans="1:11" ht="22.5" customHeight="1" x14ac:dyDescent="0.25">
      <c r="A1797" s="816" t="s">
        <v>279</v>
      </c>
      <c r="B1797" s="880">
        <v>2025</v>
      </c>
      <c r="C1797" s="816" t="s">
        <v>1913</v>
      </c>
      <c r="D1797" s="816" t="s">
        <v>1917</v>
      </c>
      <c r="E1797" s="816" t="s">
        <v>2874</v>
      </c>
      <c r="F1797" s="826">
        <v>0</v>
      </c>
      <c r="G1797" s="880">
        <v>0</v>
      </c>
      <c r="H1797" s="465"/>
      <c r="I1797" s="465"/>
      <c r="J1797" s="826">
        <v>0</v>
      </c>
      <c r="K1797" s="881">
        <v>0</v>
      </c>
    </row>
    <row r="1798" spans="1:11" ht="22.5" customHeight="1" x14ac:dyDescent="0.25">
      <c r="A1798" s="816" t="s">
        <v>279</v>
      </c>
      <c r="B1798" s="880">
        <v>2025</v>
      </c>
      <c r="C1798" s="816" t="s">
        <v>1913</v>
      </c>
      <c r="D1798" s="816" t="s">
        <v>1918</v>
      </c>
      <c r="E1798" s="816" t="s">
        <v>2874</v>
      </c>
      <c r="F1798" s="826">
        <v>0</v>
      </c>
      <c r="G1798" s="880">
        <v>0</v>
      </c>
      <c r="H1798" s="465"/>
      <c r="I1798" s="465"/>
      <c r="J1798" s="826">
        <v>0</v>
      </c>
      <c r="K1798" s="881">
        <v>-4160.59</v>
      </c>
    </row>
    <row r="1799" spans="1:11" ht="22.5" customHeight="1" x14ac:dyDescent="0.25">
      <c r="A1799" s="816" t="s">
        <v>279</v>
      </c>
      <c r="B1799" s="880">
        <v>2025</v>
      </c>
      <c r="C1799" s="816" t="s">
        <v>1913</v>
      </c>
      <c r="D1799" s="816" t="s">
        <v>1919</v>
      </c>
      <c r="E1799" s="816" t="s">
        <v>2874</v>
      </c>
      <c r="F1799" s="826">
        <v>0</v>
      </c>
      <c r="G1799" s="880">
        <v>0</v>
      </c>
      <c r="H1799" s="465"/>
      <c r="I1799" s="465"/>
      <c r="J1799" s="826">
        <v>0</v>
      </c>
      <c r="K1799" s="881">
        <v>333159.96999999997</v>
      </c>
    </row>
    <row r="1800" spans="1:11" ht="22.5" customHeight="1" x14ac:dyDescent="0.25">
      <c r="A1800" s="816" t="s">
        <v>279</v>
      </c>
      <c r="B1800" s="880">
        <v>2025</v>
      </c>
      <c r="C1800" s="816" t="s">
        <v>1920</v>
      </c>
      <c r="D1800" s="816" t="s">
        <v>1921</v>
      </c>
      <c r="E1800" s="816" t="s">
        <v>2875</v>
      </c>
      <c r="F1800" s="826">
        <v>0</v>
      </c>
      <c r="G1800" s="880">
        <v>0</v>
      </c>
      <c r="H1800" s="465"/>
      <c r="I1800" s="465"/>
      <c r="J1800" s="826">
        <v>0</v>
      </c>
      <c r="K1800" s="878">
        <v>0</v>
      </c>
    </row>
    <row r="1801" spans="1:11" ht="22.5" customHeight="1" x14ac:dyDescent="0.25">
      <c r="A1801" s="816" t="s">
        <v>279</v>
      </c>
      <c r="B1801" s="880">
        <v>2025</v>
      </c>
      <c r="C1801" s="816" t="s">
        <v>1923</v>
      </c>
      <c r="D1801" s="816" t="s">
        <v>143</v>
      </c>
      <c r="E1801" s="816" t="s">
        <v>2876</v>
      </c>
      <c r="F1801" s="826">
        <v>1924096.04</v>
      </c>
      <c r="G1801" s="880">
        <v>1</v>
      </c>
      <c r="H1801" s="826">
        <v>1810316.81</v>
      </c>
      <c r="I1801" s="826">
        <v>113779.23</v>
      </c>
      <c r="J1801" s="826">
        <v>1924096.04</v>
      </c>
      <c r="K1801" s="878">
        <v>1924096.04</v>
      </c>
    </row>
    <row r="1802" spans="1:11" ht="22.5" customHeight="1" x14ac:dyDescent="0.25">
      <c r="A1802" s="816" t="s">
        <v>279</v>
      </c>
      <c r="B1802" s="880">
        <v>2025</v>
      </c>
      <c r="C1802" s="816" t="s">
        <v>1925</v>
      </c>
      <c r="D1802" s="816" t="s">
        <v>144</v>
      </c>
      <c r="E1802" s="816" t="s">
        <v>2877</v>
      </c>
      <c r="F1802" s="826">
        <v>989155.97</v>
      </c>
      <c r="G1802" s="880">
        <v>1</v>
      </c>
      <c r="H1802" s="826">
        <v>931280.06</v>
      </c>
      <c r="I1802" s="826">
        <v>57875.91</v>
      </c>
      <c r="J1802" s="826">
        <v>989155.97</v>
      </c>
      <c r="K1802" s="878">
        <v>989155.97</v>
      </c>
    </row>
    <row r="1803" spans="1:11" ht="22.5" customHeight="1" x14ac:dyDescent="0.25">
      <c r="A1803" s="816" t="s">
        <v>279</v>
      </c>
      <c r="B1803" s="880">
        <v>2025</v>
      </c>
      <c r="C1803" s="816" t="s">
        <v>1927</v>
      </c>
      <c r="D1803" s="816" t="s">
        <v>1928</v>
      </c>
      <c r="E1803" s="816" t="s">
        <v>2878</v>
      </c>
      <c r="F1803" s="826">
        <v>-1193501.05</v>
      </c>
      <c r="G1803" s="880">
        <v>1</v>
      </c>
      <c r="H1803" s="826">
        <v>-1191349.58</v>
      </c>
      <c r="I1803" s="826">
        <v>-2151.4699999999998</v>
      </c>
      <c r="J1803" s="826">
        <v>-1193501.05</v>
      </c>
      <c r="K1803" s="878">
        <v>-1193501.05</v>
      </c>
    </row>
    <row r="1804" spans="1:11" ht="22.5" customHeight="1" x14ac:dyDescent="0.25">
      <c r="A1804" s="816" t="s">
        <v>279</v>
      </c>
      <c r="B1804" s="880">
        <v>2025</v>
      </c>
      <c r="C1804" s="816" t="s">
        <v>1930</v>
      </c>
      <c r="D1804" s="816" t="s">
        <v>156</v>
      </c>
      <c r="E1804" s="816" t="s">
        <v>2879</v>
      </c>
      <c r="F1804" s="826">
        <v>1297691.3500000001</v>
      </c>
      <c r="G1804" s="880">
        <v>1</v>
      </c>
      <c r="H1804" s="826">
        <v>1198396.21</v>
      </c>
      <c r="I1804" s="826">
        <v>99295.14</v>
      </c>
      <c r="J1804" s="826">
        <v>1297691.3500000001</v>
      </c>
      <c r="K1804" s="878">
        <v>1297691.3500000001</v>
      </c>
    </row>
    <row r="1805" spans="1:11" ht="22.5" customHeight="1" x14ac:dyDescent="0.25">
      <c r="A1805" s="816" t="s">
        <v>279</v>
      </c>
      <c r="B1805" s="880">
        <v>2025</v>
      </c>
      <c r="C1805" s="816" t="s">
        <v>1932</v>
      </c>
      <c r="D1805" s="816" t="s">
        <v>1933</v>
      </c>
      <c r="E1805" s="816" t="s">
        <v>2880</v>
      </c>
      <c r="F1805" s="826">
        <v>-1403647.28</v>
      </c>
      <c r="G1805" s="880">
        <v>0</v>
      </c>
      <c r="H1805" s="465"/>
      <c r="I1805" s="465"/>
      <c r="J1805" s="826">
        <v>0</v>
      </c>
      <c r="K1805" s="878">
        <v>-1403647.28</v>
      </c>
    </row>
    <row r="1806" spans="1:11" ht="22.5" customHeight="1" x14ac:dyDescent="0.25">
      <c r="A1806" s="816" t="s">
        <v>279</v>
      </c>
      <c r="B1806" s="880">
        <v>2025</v>
      </c>
      <c r="C1806" s="816" t="s">
        <v>1935</v>
      </c>
      <c r="D1806" s="816" t="s">
        <v>1936</v>
      </c>
      <c r="E1806" s="816" t="s">
        <v>8418</v>
      </c>
      <c r="F1806" s="826">
        <v>0</v>
      </c>
      <c r="G1806" s="880">
        <v>1</v>
      </c>
      <c r="H1806" s="465"/>
      <c r="I1806" s="465"/>
      <c r="J1806" s="826">
        <v>0</v>
      </c>
      <c r="K1806" s="878">
        <v>0</v>
      </c>
    </row>
    <row r="1807" spans="1:11" ht="22.5" customHeight="1" x14ac:dyDescent="0.25">
      <c r="A1807" s="816" t="s">
        <v>279</v>
      </c>
      <c r="B1807" s="880">
        <v>2025</v>
      </c>
      <c r="C1807" s="816" t="s">
        <v>1935</v>
      </c>
      <c r="D1807" s="816" t="s">
        <v>1937</v>
      </c>
      <c r="E1807" s="816" t="s">
        <v>8419</v>
      </c>
      <c r="F1807" s="826">
        <v>0</v>
      </c>
      <c r="G1807" s="880">
        <v>1</v>
      </c>
      <c r="H1807" s="465"/>
      <c r="I1807" s="465"/>
      <c r="J1807" s="826">
        <v>0</v>
      </c>
      <c r="K1807" s="878">
        <v>0</v>
      </c>
    </row>
    <row r="1808" spans="1:11" ht="22.5" customHeight="1" x14ac:dyDescent="0.25">
      <c r="A1808" s="816" t="s">
        <v>279</v>
      </c>
      <c r="B1808" s="880">
        <v>2025</v>
      </c>
      <c r="C1808" s="816" t="s">
        <v>1935</v>
      </c>
      <c r="D1808" s="816" t="s">
        <v>1938</v>
      </c>
      <c r="E1808" s="816" t="s">
        <v>8420</v>
      </c>
      <c r="F1808" s="826">
        <v>0</v>
      </c>
      <c r="G1808" s="880">
        <v>1</v>
      </c>
      <c r="H1808" s="465"/>
      <c r="I1808" s="465"/>
      <c r="J1808" s="826">
        <v>0</v>
      </c>
      <c r="K1808" s="878">
        <v>0</v>
      </c>
    </row>
    <row r="1809" spans="1:11" ht="22.5" customHeight="1" x14ac:dyDescent="0.25">
      <c r="A1809" s="816" t="s">
        <v>279</v>
      </c>
      <c r="B1809" s="880">
        <v>2025</v>
      </c>
      <c r="C1809" s="816" t="s">
        <v>1935</v>
      </c>
      <c r="D1809" s="816" t="s">
        <v>1939</v>
      </c>
      <c r="E1809" s="816" t="s">
        <v>8421</v>
      </c>
      <c r="F1809" s="826">
        <v>0</v>
      </c>
      <c r="G1809" s="880">
        <v>1</v>
      </c>
      <c r="H1809" s="465"/>
      <c r="I1809" s="465"/>
      <c r="J1809" s="826">
        <v>0</v>
      </c>
      <c r="K1809" s="878">
        <v>0</v>
      </c>
    </row>
    <row r="1810" spans="1:11" ht="22.5" customHeight="1" x14ac:dyDescent="0.25">
      <c r="A1810" s="816" t="s">
        <v>279</v>
      </c>
      <c r="B1810" s="880">
        <v>2025</v>
      </c>
      <c r="C1810" s="816" t="s">
        <v>1935</v>
      </c>
      <c r="D1810" s="816" t="s">
        <v>1940</v>
      </c>
      <c r="E1810" s="816" t="s">
        <v>8422</v>
      </c>
      <c r="F1810" s="826">
        <v>0</v>
      </c>
      <c r="G1810" s="880">
        <v>1</v>
      </c>
      <c r="H1810" s="465"/>
      <c r="I1810" s="465"/>
      <c r="J1810" s="826">
        <v>0</v>
      </c>
      <c r="K1810" s="878">
        <v>0</v>
      </c>
    </row>
    <row r="1811" spans="1:11" ht="22.5" customHeight="1" x14ac:dyDescent="0.25">
      <c r="A1811" s="816" t="s">
        <v>279</v>
      </c>
      <c r="B1811" s="880">
        <v>2025</v>
      </c>
      <c r="C1811" s="816" t="s">
        <v>1935</v>
      </c>
      <c r="D1811" s="816" t="s">
        <v>1941</v>
      </c>
      <c r="E1811" s="816" t="s">
        <v>8423</v>
      </c>
      <c r="F1811" s="826">
        <v>0</v>
      </c>
      <c r="G1811" s="880">
        <v>1</v>
      </c>
      <c r="H1811" s="465"/>
      <c r="I1811" s="465"/>
      <c r="J1811" s="826">
        <v>0</v>
      </c>
      <c r="K1811" s="878">
        <v>0</v>
      </c>
    </row>
    <row r="1812" spans="1:11" ht="22.5" customHeight="1" x14ac:dyDescent="0.25">
      <c r="A1812" s="816" t="s">
        <v>279</v>
      </c>
      <c r="B1812" s="880">
        <v>2025</v>
      </c>
      <c r="C1812" s="816" t="s">
        <v>1935</v>
      </c>
      <c r="D1812" s="816" t="s">
        <v>1942</v>
      </c>
      <c r="E1812" s="816" t="s">
        <v>8424</v>
      </c>
      <c r="F1812" s="826">
        <v>0</v>
      </c>
      <c r="G1812" s="880">
        <v>1</v>
      </c>
      <c r="H1812" s="465"/>
      <c r="I1812" s="465"/>
      <c r="J1812" s="826">
        <v>0</v>
      </c>
      <c r="K1812" s="878">
        <v>0</v>
      </c>
    </row>
    <row r="1813" spans="1:11" ht="22.5" customHeight="1" x14ac:dyDescent="0.25">
      <c r="A1813" s="816" t="s">
        <v>279</v>
      </c>
      <c r="B1813" s="880">
        <v>2025</v>
      </c>
      <c r="C1813" s="816" t="s">
        <v>1935</v>
      </c>
      <c r="D1813" s="816" t="s">
        <v>1943</v>
      </c>
      <c r="E1813" s="816" t="s">
        <v>8425</v>
      </c>
      <c r="F1813" s="826">
        <v>0</v>
      </c>
      <c r="G1813" s="880">
        <v>1</v>
      </c>
      <c r="H1813" s="465"/>
      <c r="I1813" s="465"/>
      <c r="J1813" s="826">
        <v>0</v>
      </c>
      <c r="K1813" s="878">
        <v>0</v>
      </c>
    </row>
    <row r="1814" spans="1:11" ht="22.5" customHeight="1" x14ac:dyDescent="0.25">
      <c r="A1814" s="816" t="s">
        <v>279</v>
      </c>
      <c r="B1814" s="880">
        <v>2025</v>
      </c>
      <c r="C1814" s="816" t="s">
        <v>1935</v>
      </c>
      <c r="D1814" s="816" t="s">
        <v>1944</v>
      </c>
      <c r="E1814" s="816" t="s">
        <v>8426</v>
      </c>
      <c r="F1814" s="826">
        <v>0</v>
      </c>
      <c r="G1814" s="880">
        <v>1</v>
      </c>
      <c r="H1814" s="465"/>
      <c r="I1814" s="465"/>
      <c r="J1814" s="826">
        <v>0</v>
      </c>
      <c r="K1814" s="878">
        <v>0</v>
      </c>
    </row>
    <row r="1815" spans="1:11" ht="22.5" customHeight="1" x14ac:dyDescent="0.25">
      <c r="A1815" s="816" t="s">
        <v>279</v>
      </c>
      <c r="B1815" s="880">
        <v>2025</v>
      </c>
      <c r="C1815" s="816" t="s">
        <v>1935</v>
      </c>
      <c r="D1815" s="816" t="s">
        <v>1945</v>
      </c>
      <c r="E1815" s="816" t="s">
        <v>8427</v>
      </c>
      <c r="F1815" s="826">
        <v>0</v>
      </c>
      <c r="G1815" s="880">
        <v>1</v>
      </c>
      <c r="H1815" s="465"/>
      <c r="I1815" s="465"/>
      <c r="J1815" s="826">
        <v>0</v>
      </c>
      <c r="K1815" s="878">
        <v>0</v>
      </c>
    </row>
    <row r="1816" spans="1:11" ht="22.5" customHeight="1" x14ac:dyDescent="0.25">
      <c r="A1816" s="816" t="s">
        <v>279</v>
      </c>
      <c r="B1816" s="880">
        <v>2025</v>
      </c>
      <c r="C1816" s="816" t="s">
        <v>1935</v>
      </c>
      <c r="D1816" s="816" t="s">
        <v>1946</v>
      </c>
      <c r="E1816" s="816" t="s">
        <v>8428</v>
      </c>
      <c r="F1816" s="826">
        <v>0</v>
      </c>
      <c r="G1816" s="880">
        <v>1</v>
      </c>
      <c r="H1816" s="465"/>
      <c r="I1816" s="465"/>
      <c r="J1816" s="826">
        <v>0</v>
      </c>
      <c r="K1816" s="878">
        <v>0</v>
      </c>
    </row>
    <row r="1817" spans="1:11" ht="22.5" customHeight="1" x14ac:dyDescent="0.25">
      <c r="A1817" s="816" t="s">
        <v>279</v>
      </c>
      <c r="B1817" s="880">
        <v>2025</v>
      </c>
      <c r="C1817" s="816" t="s">
        <v>1935</v>
      </c>
      <c r="D1817" s="816" t="s">
        <v>1947</v>
      </c>
      <c r="E1817" s="816" t="s">
        <v>8429</v>
      </c>
      <c r="F1817" s="826">
        <v>0</v>
      </c>
      <c r="G1817" s="880">
        <v>1</v>
      </c>
      <c r="H1817" s="465"/>
      <c r="I1817" s="465"/>
      <c r="J1817" s="826">
        <v>0</v>
      </c>
      <c r="K1817" s="878">
        <v>0</v>
      </c>
    </row>
    <row r="1818" spans="1:11" ht="22.5" customHeight="1" x14ac:dyDescent="0.25">
      <c r="A1818" s="816" t="s">
        <v>279</v>
      </c>
      <c r="B1818" s="880">
        <v>2025</v>
      </c>
      <c r="C1818" s="816" t="s">
        <v>1935</v>
      </c>
      <c r="D1818" s="816" t="s">
        <v>1948</v>
      </c>
      <c r="E1818" s="816" t="s">
        <v>8430</v>
      </c>
      <c r="F1818" s="826">
        <v>0</v>
      </c>
      <c r="G1818" s="880">
        <v>1</v>
      </c>
      <c r="H1818" s="826">
        <v>-9105.76</v>
      </c>
      <c r="I1818" s="826">
        <v>17613.16</v>
      </c>
      <c r="J1818" s="826">
        <v>8507.4</v>
      </c>
      <c r="K1818" s="878">
        <v>8507.4</v>
      </c>
    </row>
    <row r="1819" spans="1:11" ht="22.5" customHeight="1" x14ac:dyDescent="0.25">
      <c r="A1819" s="816" t="s">
        <v>279</v>
      </c>
      <c r="B1819" s="880">
        <v>2025</v>
      </c>
      <c r="C1819" s="816" t="s">
        <v>1935</v>
      </c>
      <c r="D1819" s="816" t="s">
        <v>1949</v>
      </c>
      <c r="E1819" s="816" t="s">
        <v>8431</v>
      </c>
      <c r="F1819" s="826">
        <v>0</v>
      </c>
      <c r="G1819" s="880">
        <v>1</v>
      </c>
      <c r="H1819" s="826">
        <v>65781.77</v>
      </c>
      <c r="I1819" s="826">
        <v>-76607.72</v>
      </c>
      <c r="J1819" s="826">
        <v>-10825.95</v>
      </c>
      <c r="K1819" s="878">
        <v>-10825.95</v>
      </c>
    </row>
    <row r="1820" spans="1:11" ht="22.5" customHeight="1" x14ac:dyDescent="0.25">
      <c r="A1820" s="816" t="s">
        <v>279</v>
      </c>
      <c r="B1820" s="880">
        <v>2025</v>
      </c>
      <c r="C1820" s="816" t="s">
        <v>1935</v>
      </c>
      <c r="D1820" s="816" t="s">
        <v>1950</v>
      </c>
      <c r="E1820" s="816" t="s">
        <v>8432</v>
      </c>
      <c r="F1820" s="826">
        <v>0</v>
      </c>
      <c r="G1820" s="880">
        <v>1</v>
      </c>
      <c r="H1820" s="826">
        <v>-56778.61</v>
      </c>
      <c r="I1820" s="826">
        <v>52920.17</v>
      </c>
      <c r="J1820" s="826">
        <v>-3858.44</v>
      </c>
      <c r="K1820" s="878">
        <v>-3858.44</v>
      </c>
    </row>
    <row r="1821" spans="1:11" ht="22.5" customHeight="1" x14ac:dyDescent="0.25">
      <c r="A1821" s="816" t="s">
        <v>279</v>
      </c>
      <c r="B1821" s="880">
        <v>2025</v>
      </c>
      <c r="C1821" s="816" t="s">
        <v>1935</v>
      </c>
      <c r="D1821" s="816" t="s">
        <v>1951</v>
      </c>
      <c r="E1821" s="816" t="s">
        <v>8433</v>
      </c>
      <c r="F1821" s="826">
        <v>0</v>
      </c>
      <c r="G1821" s="880">
        <v>1</v>
      </c>
      <c r="H1821" s="826">
        <v>-418896.55</v>
      </c>
      <c r="I1821" s="826">
        <v>663918.69999999995</v>
      </c>
      <c r="J1821" s="826">
        <v>245022.15</v>
      </c>
      <c r="K1821" s="878">
        <v>245022.15</v>
      </c>
    </row>
    <row r="1822" spans="1:11" ht="22.5" customHeight="1" x14ac:dyDescent="0.25">
      <c r="A1822" s="816" t="s">
        <v>279</v>
      </c>
      <c r="B1822" s="880">
        <v>2025</v>
      </c>
      <c r="C1822" s="816" t="s">
        <v>1935</v>
      </c>
      <c r="D1822" s="816" t="s">
        <v>7801</v>
      </c>
      <c r="E1822" s="816" t="s">
        <v>8434</v>
      </c>
      <c r="F1822" s="826">
        <v>0</v>
      </c>
      <c r="G1822" s="880">
        <v>1</v>
      </c>
      <c r="H1822" s="826">
        <v>1764978.45</v>
      </c>
      <c r="I1822" s="826">
        <v>103725.6</v>
      </c>
      <c r="J1822" s="826">
        <v>1868704.05</v>
      </c>
      <c r="K1822" s="878">
        <v>1868704.05</v>
      </c>
    </row>
    <row r="1823" spans="1:11" ht="22.5" customHeight="1" x14ac:dyDescent="0.25">
      <c r="A1823" s="816" t="s">
        <v>279</v>
      </c>
      <c r="B1823" s="880">
        <v>2025</v>
      </c>
      <c r="C1823" s="816" t="s">
        <v>1935</v>
      </c>
      <c r="D1823" s="816" t="s">
        <v>1952</v>
      </c>
      <c r="E1823" s="816" t="s">
        <v>8435</v>
      </c>
      <c r="F1823" s="826">
        <v>2107549.21</v>
      </c>
      <c r="G1823" s="880">
        <v>0</v>
      </c>
      <c r="H1823" s="465"/>
      <c r="I1823" s="465"/>
      <c r="J1823" s="826">
        <v>0</v>
      </c>
      <c r="K1823" s="878">
        <v>2107549.21</v>
      </c>
    </row>
    <row r="1824" spans="1:11" ht="22.5" customHeight="1" x14ac:dyDescent="0.25">
      <c r="A1824" s="816" t="s">
        <v>279</v>
      </c>
      <c r="B1824" s="880">
        <v>2025</v>
      </c>
      <c r="C1824" s="816" t="s">
        <v>1953</v>
      </c>
      <c r="D1824" s="816" t="s">
        <v>1954</v>
      </c>
      <c r="E1824" s="816" t="s">
        <v>2881</v>
      </c>
      <c r="F1824" s="826">
        <v>4910.17</v>
      </c>
      <c r="G1824" s="880">
        <v>0</v>
      </c>
      <c r="H1824" s="465"/>
      <c r="I1824" s="465"/>
      <c r="J1824" s="826">
        <v>0</v>
      </c>
      <c r="K1824" s="878">
        <v>4910.17</v>
      </c>
    </row>
    <row r="1825" spans="1:11" ht="22.5" customHeight="1" x14ac:dyDescent="0.25">
      <c r="A1825" s="816" t="s">
        <v>282</v>
      </c>
      <c r="B1825" s="880">
        <v>2025</v>
      </c>
      <c r="C1825" s="816" t="s">
        <v>1854</v>
      </c>
      <c r="D1825" s="816" t="s">
        <v>1855</v>
      </c>
      <c r="E1825" s="816" t="s">
        <v>2882</v>
      </c>
      <c r="F1825" s="826">
        <v>-784221.67</v>
      </c>
      <c r="G1825" s="880">
        <v>0</v>
      </c>
      <c r="H1825" s="465"/>
      <c r="I1825" s="465"/>
      <c r="J1825" s="826">
        <v>0</v>
      </c>
      <c r="K1825" s="878">
        <v>-784221.67</v>
      </c>
    </row>
    <row r="1826" spans="1:11" ht="22.5" customHeight="1" x14ac:dyDescent="0.25">
      <c r="A1826" s="816" t="s">
        <v>282</v>
      </c>
      <c r="B1826" s="880">
        <v>2025</v>
      </c>
      <c r="C1826" s="816" t="s">
        <v>7746</v>
      </c>
      <c r="D1826" s="816" t="s">
        <v>7747</v>
      </c>
      <c r="E1826" s="816" t="s">
        <v>7782</v>
      </c>
      <c r="F1826" s="826">
        <v>0</v>
      </c>
      <c r="G1826" s="880">
        <v>0</v>
      </c>
      <c r="H1826" s="465"/>
      <c r="I1826" s="465"/>
      <c r="J1826" s="826">
        <v>0</v>
      </c>
      <c r="K1826" s="878">
        <v>0</v>
      </c>
    </row>
    <row r="1827" spans="1:11" ht="22.5" customHeight="1" x14ac:dyDescent="0.25">
      <c r="A1827" s="816" t="s">
        <v>282</v>
      </c>
      <c r="B1827" s="880">
        <v>2025</v>
      </c>
      <c r="C1827" s="816" t="s">
        <v>1857</v>
      </c>
      <c r="D1827" s="816" t="s">
        <v>1858</v>
      </c>
      <c r="E1827" s="816" t="s">
        <v>2883</v>
      </c>
      <c r="F1827" s="826">
        <v>0</v>
      </c>
      <c r="G1827" s="880">
        <v>0</v>
      </c>
      <c r="H1827" s="465"/>
      <c r="I1827" s="465"/>
      <c r="J1827" s="826">
        <v>0</v>
      </c>
      <c r="K1827" s="878">
        <v>0</v>
      </c>
    </row>
    <row r="1828" spans="1:11" ht="22.5" customHeight="1" x14ac:dyDescent="0.25">
      <c r="A1828" s="816" t="s">
        <v>282</v>
      </c>
      <c r="B1828" s="880">
        <v>2025</v>
      </c>
      <c r="C1828" s="816" t="s">
        <v>1860</v>
      </c>
      <c r="D1828" s="816" t="s">
        <v>1861</v>
      </c>
      <c r="E1828" s="816" t="s">
        <v>2884</v>
      </c>
      <c r="F1828" s="826">
        <v>0</v>
      </c>
      <c r="G1828" s="880">
        <v>0</v>
      </c>
      <c r="H1828" s="465"/>
      <c r="I1828" s="465"/>
      <c r="J1828" s="826">
        <v>0</v>
      </c>
      <c r="K1828" s="878">
        <v>0</v>
      </c>
    </row>
    <row r="1829" spans="1:11" ht="22.5" customHeight="1" x14ac:dyDescent="0.25">
      <c r="A1829" s="816" t="s">
        <v>282</v>
      </c>
      <c r="B1829" s="880">
        <v>2025</v>
      </c>
      <c r="C1829" s="816" t="s">
        <v>1863</v>
      </c>
      <c r="D1829" s="816" t="s">
        <v>1864</v>
      </c>
      <c r="E1829" s="816" t="s">
        <v>2885</v>
      </c>
      <c r="F1829" s="826">
        <v>0</v>
      </c>
      <c r="G1829" s="880">
        <v>0</v>
      </c>
      <c r="H1829" s="465"/>
      <c r="I1829" s="465"/>
      <c r="J1829" s="826">
        <v>0</v>
      </c>
      <c r="K1829" s="878">
        <v>0</v>
      </c>
    </row>
    <row r="1830" spans="1:11" ht="22.5" customHeight="1" x14ac:dyDescent="0.25">
      <c r="A1830" s="816" t="s">
        <v>282</v>
      </c>
      <c r="B1830" s="880">
        <v>2025</v>
      </c>
      <c r="C1830" s="816" t="s">
        <v>1866</v>
      </c>
      <c r="D1830" s="816" t="s">
        <v>1867</v>
      </c>
      <c r="E1830" s="816" t="s">
        <v>2886</v>
      </c>
      <c r="F1830" s="826">
        <v>0</v>
      </c>
      <c r="G1830" s="880">
        <v>0</v>
      </c>
      <c r="H1830" s="465"/>
      <c r="I1830" s="465"/>
      <c r="J1830" s="826">
        <v>0</v>
      </c>
      <c r="K1830" s="878">
        <v>0</v>
      </c>
    </row>
    <row r="1831" spans="1:11" ht="22.5" customHeight="1" x14ac:dyDescent="0.25">
      <c r="A1831" s="816" t="s">
        <v>282</v>
      </c>
      <c r="B1831" s="880">
        <v>2025</v>
      </c>
      <c r="C1831" s="816" t="s">
        <v>1869</v>
      </c>
      <c r="D1831" s="816" t="s">
        <v>1870</v>
      </c>
      <c r="E1831" s="816" t="s">
        <v>2887</v>
      </c>
      <c r="F1831" s="826">
        <v>0</v>
      </c>
      <c r="G1831" s="880">
        <v>0</v>
      </c>
      <c r="H1831" s="465"/>
      <c r="I1831" s="465"/>
      <c r="J1831" s="826">
        <v>0</v>
      </c>
      <c r="K1831" s="878">
        <v>0</v>
      </c>
    </row>
    <row r="1832" spans="1:11" ht="22.5" customHeight="1" x14ac:dyDescent="0.25">
      <c r="A1832" s="816" t="s">
        <v>282</v>
      </c>
      <c r="B1832" s="880">
        <v>2025</v>
      </c>
      <c r="C1832" s="816" t="s">
        <v>1872</v>
      </c>
      <c r="D1832" s="816" t="s">
        <v>1873</v>
      </c>
      <c r="E1832" s="816" t="s">
        <v>2888</v>
      </c>
      <c r="F1832" s="826">
        <v>0</v>
      </c>
      <c r="G1832" s="880">
        <v>0</v>
      </c>
      <c r="H1832" s="465"/>
      <c r="I1832" s="465"/>
      <c r="J1832" s="826">
        <v>0</v>
      </c>
      <c r="K1832" s="878">
        <v>0</v>
      </c>
    </row>
    <row r="1833" spans="1:11" ht="22.5" customHeight="1" x14ac:dyDescent="0.25">
      <c r="A1833" s="816" t="s">
        <v>282</v>
      </c>
      <c r="B1833" s="880">
        <v>2025</v>
      </c>
      <c r="C1833" s="816" t="s">
        <v>1875</v>
      </c>
      <c r="D1833" s="816" t="s">
        <v>1876</v>
      </c>
      <c r="E1833" s="816" t="s">
        <v>2889</v>
      </c>
      <c r="F1833" s="826">
        <v>0</v>
      </c>
      <c r="G1833" s="880">
        <v>0</v>
      </c>
      <c r="H1833" s="465"/>
      <c r="I1833" s="465"/>
      <c r="J1833" s="826">
        <v>0</v>
      </c>
      <c r="K1833" s="878">
        <v>0</v>
      </c>
    </row>
    <row r="1834" spans="1:11" ht="22.5" customHeight="1" x14ac:dyDescent="0.25">
      <c r="A1834" s="816" t="s">
        <v>282</v>
      </c>
      <c r="B1834" s="880">
        <v>2025</v>
      </c>
      <c r="C1834" s="816" t="s">
        <v>1878</v>
      </c>
      <c r="D1834" s="816" t="s">
        <v>1879</v>
      </c>
      <c r="E1834" s="816" t="s">
        <v>2890</v>
      </c>
      <c r="F1834" s="826">
        <v>0</v>
      </c>
      <c r="G1834" s="880">
        <v>0</v>
      </c>
      <c r="H1834" s="465"/>
      <c r="I1834" s="465"/>
      <c r="J1834" s="826">
        <v>0</v>
      </c>
      <c r="K1834" s="878">
        <v>0</v>
      </c>
    </row>
    <row r="1835" spans="1:11" ht="22.5" customHeight="1" x14ac:dyDescent="0.25">
      <c r="A1835" s="816" t="s">
        <v>282</v>
      </c>
      <c r="B1835" s="880">
        <v>2025</v>
      </c>
      <c r="C1835" s="816" t="s">
        <v>1881</v>
      </c>
      <c r="D1835" s="816" t="s">
        <v>1882</v>
      </c>
      <c r="E1835" s="816" t="s">
        <v>2891</v>
      </c>
      <c r="F1835" s="826">
        <v>0</v>
      </c>
      <c r="G1835" s="880">
        <v>0</v>
      </c>
      <c r="H1835" s="465"/>
      <c r="I1835" s="465"/>
      <c r="J1835" s="826">
        <v>0</v>
      </c>
      <c r="K1835" s="878">
        <v>0</v>
      </c>
    </row>
    <row r="1836" spans="1:11" ht="22.5" customHeight="1" x14ac:dyDescent="0.25">
      <c r="A1836" s="816" t="s">
        <v>282</v>
      </c>
      <c r="B1836" s="880">
        <v>2025</v>
      </c>
      <c r="C1836" s="816" t="s">
        <v>1884</v>
      </c>
      <c r="D1836" s="816" t="s">
        <v>1885</v>
      </c>
      <c r="E1836" s="816" t="s">
        <v>2892</v>
      </c>
      <c r="F1836" s="826">
        <v>0</v>
      </c>
      <c r="G1836" s="880">
        <v>0</v>
      </c>
      <c r="H1836" s="465"/>
      <c r="I1836" s="465"/>
      <c r="J1836" s="826">
        <v>0</v>
      </c>
      <c r="K1836" s="878">
        <v>0</v>
      </c>
    </row>
    <row r="1837" spans="1:11" ht="22.5" customHeight="1" x14ac:dyDescent="0.25">
      <c r="A1837" s="816" t="s">
        <v>282</v>
      </c>
      <c r="B1837" s="880">
        <v>2025</v>
      </c>
      <c r="C1837" s="816" t="s">
        <v>1887</v>
      </c>
      <c r="D1837" s="816" t="s">
        <v>138</v>
      </c>
      <c r="E1837" s="816" t="s">
        <v>2893</v>
      </c>
      <c r="F1837" s="826">
        <v>681634.14</v>
      </c>
      <c r="G1837" s="880">
        <v>1</v>
      </c>
      <c r="H1837" s="826">
        <v>653612.6</v>
      </c>
      <c r="I1837" s="826">
        <v>28021.54</v>
      </c>
      <c r="J1837" s="826">
        <v>681634.14</v>
      </c>
      <c r="K1837" s="878">
        <v>681634.14</v>
      </c>
    </row>
    <row r="1838" spans="1:11" ht="22.5" customHeight="1" x14ac:dyDescent="0.25">
      <c r="A1838" s="816" t="s">
        <v>282</v>
      </c>
      <c r="B1838" s="880">
        <v>2025</v>
      </c>
      <c r="C1838" s="816" t="s">
        <v>1889</v>
      </c>
      <c r="D1838" s="816" t="s">
        <v>139</v>
      </c>
      <c r="E1838" s="816" t="s">
        <v>2894</v>
      </c>
      <c r="F1838" s="826">
        <v>-172641.04</v>
      </c>
      <c r="G1838" s="880">
        <v>1</v>
      </c>
      <c r="H1838" s="826">
        <v>-163165.62</v>
      </c>
      <c r="I1838" s="826">
        <v>-9475.42</v>
      </c>
      <c r="J1838" s="826">
        <v>-172641.04</v>
      </c>
      <c r="K1838" s="878">
        <v>-172641.04</v>
      </c>
    </row>
    <row r="1839" spans="1:11" ht="22.5" customHeight="1" x14ac:dyDescent="0.25">
      <c r="A1839" s="816" t="s">
        <v>282</v>
      </c>
      <c r="B1839" s="880">
        <v>2025</v>
      </c>
      <c r="C1839" s="816" t="s">
        <v>1891</v>
      </c>
      <c r="D1839" s="816" t="s">
        <v>1892</v>
      </c>
      <c r="E1839" s="816" t="s">
        <v>2895</v>
      </c>
      <c r="F1839" s="826">
        <v>0</v>
      </c>
      <c r="G1839" s="880">
        <v>0</v>
      </c>
      <c r="H1839" s="465"/>
      <c r="I1839" s="465"/>
      <c r="J1839" s="826">
        <v>0</v>
      </c>
      <c r="K1839" s="878">
        <v>0</v>
      </c>
    </row>
    <row r="1840" spans="1:11" ht="22.5" customHeight="1" x14ac:dyDescent="0.25">
      <c r="A1840" s="816" t="s">
        <v>282</v>
      </c>
      <c r="B1840" s="880">
        <v>2025</v>
      </c>
      <c r="C1840" s="816" t="s">
        <v>1891</v>
      </c>
      <c r="D1840" s="816" t="s">
        <v>1894</v>
      </c>
      <c r="E1840" s="816" t="s">
        <v>2895</v>
      </c>
      <c r="F1840" s="826">
        <v>0</v>
      </c>
      <c r="G1840" s="880">
        <v>0</v>
      </c>
      <c r="H1840" s="465"/>
      <c r="I1840" s="465"/>
      <c r="J1840" s="826">
        <v>0</v>
      </c>
      <c r="K1840" s="881">
        <v>0</v>
      </c>
    </row>
    <row r="1841" spans="1:11" ht="22.5" customHeight="1" x14ac:dyDescent="0.25">
      <c r="A1841" s="816" t="s">
        <v>282</v>
      </c>
      <c r="B1841" s="880">
        <v>2025</v>
      </c>
      <c r="C1841" s="816" t="s">
        <v>1895</v>
      </c>
      <c r="D1841" s="816" t="s">
        <v>1896</v>
      </c>
      <c r="E1841" s="816" t="s">
        <v>2896</v>
      </c>
      <c r="F1841" s="826">
        <v>0</v>
      </c>
      <c r="G1841" s="880">
        <v>0</v>
      </c>
      <c r="H1841" s="465"/>
      <c r="I1841" s="465"/>
      <c r="J1841" s="826">
        <v>0</v>
      </c>
      <c r="K1841" s="878">
        <v>0</v>
      </c>
    </row>
    <row r="1842" spans="1:11" ht="22.5" customHeight="1" x14ac:dyDescent="0.25">
      <c r="A1842" s="816" t="s">
        <v>282</v>
      </c>
      <c r="B1842" s="880">
        <v>2025</v>
      </c>
      <c r="C1842" s="816" t="s">
        <v>1898</v>
      </c>
      <c r="D1842" s="816" t="s">
        <v>1899</v>
      </c>
      <c r="E1842" s="816" t="s">
        <v>2897</v>
      </c>
      <c r="F1842" s="826">
        <v>0</v>
      </c>
      <c r="G1842" s="880">
        <v>0</v>
      </c>
      <c r="H1842" s="465"/>
      <c r="I1842" s="465"/>
      <c r="J1842" s="826">
        <v>0</v>
      </c>
      <c r="K1842" s="878">
        <v>0</v>
      </c>
    </row>
    <row r="1843" spans="1:11" ht="22.5" customHeight="1" x14ac:dyDescent="0.25">
      <c r="A1843" s="816" t="s">
        <v>282</v>
      </c>
      <c r="B1843" s="880">
        <v>2025</v>
      </c>
      <c r="C1843" s="816" t="s">
        <v>1901</v>
      </c>
      <c r="D1843" s="816" t="s">
        <v>1902</v>
      </c>
      <c r="E1843" s="816" t="s">
        <v>2898</v>
      </c>
      <c r="F1843" s="826">
        <v>0</v>
      </c>
      <c r="G1843" s="880">
        <v>0</v>
      </c>
      <c r="H1843" s="465"/>
      <c r="I1843" s="465"/>
      <c r="J1843" s="826">
        <v>0</v>
      </c>
      <c r="K1843" s="878">
        <v>0</v>
      </c>
    </row>
    <row r="1844" spans="1:11" ht="22.5" customHeight="1" x14ac:dyDescent="0.25">
      <c r="A1844" s="816" t="s">
        <v>282</v>
      </c>
      <c r="B1844" s="880">
        <v>2025</v>
      </c>
      <c r="C1844" s="816" t="s">
        <v>1904</v>
      </c>
      <c r="D1844" s="816" t="s">
        <v>1905</v>
      </c>
      <c r="E1844" s="816" t="s">
        <v>2899</v>
      </c>
      <c r="F1844" s="826">
        <v>0</v>
      </c>
      <c r="G1844" s="880">
        <v>0</v>
      </c>
      <c r="H1844" s="465"/>
      <c r="I1844" s="465"/>
      <c r="J1844" s="826">
        <v>0</v>
      </c>
      <c r="K1844" s="878">
        <v>0</v>
      </c>
    </row>
    <row r="1845" spans="1:11" ht="22.5" customHeight="1" x14ac:dyDescent="0.25">
      <c r="A1845" s="816" t="s">
        <v>282</v>
      </c>
      <c r="B1845" s="880">
        <v>2025</v>
      </c>
      <c r="C1845" s="816" t="s">
        <v>1907</v>
      </c>
      <c r="D1845" s="816" t="s">
        <v>1908</v>
      </c>
      <c r="E1845" s="816" t="s">
        <v>2900</v>
      </c>
      <c r="F1845" s="826">
        <v>0</v>
      </c>
      <c r="G1845" s="880">
        <v>0</v>
      </c>
      <c r="H1845" s="465"/>
      <c r="I1845" s="465"/>
      <c r="J1845" s="826">
        <v>0</v>
      </c>
      <c r="K1845" s="878">
        <v>0</v>
      </c>
    </row>
    <row r="1846" spans="1:11" ht="22.5" customHeight="1" x14ac:dyDescent="0.25">
      <c r="A1846" s="816" t="s">
        <v>282</v>
      </c>
      <c r="B1846" s="880">
        <v>2025</v>
      </c>
      <c r="C1846" s="816" t="s">
        <v>1910</v>
      </c>
      <c r="D1846" s="816" t="s">
        <v>1911</v>
      </c>
      <c r="E1846" s="816" t="s">
        <v>2901</v>
      </c>
      <c r="F1846" s="826">
        <v>0</v>
      </c>
      <c r="G1846" s="880">
        <v>0</v>
      </c>
      <c r="H1846" s="465"/>
      <c r="I1846" s="465"/>
      <c r="J1846" s="826">
        <v>0</v>
      </c>
      <c r="K1846" s="878">
        <v>0</v>
      </c>
    </row>
    <row r="1847" spans="1:11" ht="22.5" customHeight="1" x14ac:dyDescent="0.25">
      <c r="A1847" s="816" t="s">
        <v>282</v>
      </c>
      <c r="B1847" s="880">
        <v>2025</v>
      </c>
      <c r="C1847" s="816" t="s">
        <v>1913</v>
      </c>
      <c r="D1847" s="816" t="s">
        <v>1914</v>
      </c>
      <c r="E1847" s="816" t="s">
        <v>2902</v>
      </c>
      <c r="F1847" s="826">
        <v>-1303622.6000000001</v>
      </c>
      <c r="G1847" s="880">
        <v>1</v>
      </c>
      <c r="H1847" s="826">
        <v>-1215456.21</v>
      </c>
      <c r="I1847" s="826">
        <v>-88166.39</v>
      </c>
      <c r="J1847" s="826">
        <v>-1303622.6000000001</v>
      </c>
      <c r="K1847" s="878">
        <v>-1303622.6000000001</v>
      </c>
    </row>
    <row r="1848" spans="1:11" ht="22.5" customHeight="1" x14ac:dyDescent="0.25">
      <c r="A1848" s="816" t="s">
        <v>282</v>
      </c>
      <c r="B1848" s="880">
        <v>2025</v>
      </c>
      <c r="C1848" s="816" t="s">
        <v>1913</v>
      </c>
      <c r="D1848" s="816" t="s">
        <v>1916</v>
      </c>
      <c r="E1848" s="816" t="s">
        <v>2902</v>
      </c>
      <c r="F1848" s="826">
        <v>0</v>
      </c>
      <c r="G1848" s="880">
        <v>0</v>
      </c>
      <c r="H1848" s="465"/>
      <c r="I1848" s="465"/>
      <c r="J1848" s="826">
        <v>0</v>
      </c>
      <c r="K1848" s="881">
        <v>0</v>
      </c>
    </row>
    <row r="1849" spans="1:11" ht="22.5" customHeight="1" x14ac:dyDescent="0.25">
      <c r="A1849" s="816" t="s">
        <v>282</v>
      </c>
      <c r="B1849" s="880">
        <v>2025</v>
      </c>
      <c r="C1849" s="816" t="s">
        <v>1913</v>
      </c>
      <c r="D1849" s="816" t="s">
        <v>1917</v>
      </c>
      <c r="E1849" s="816" t="s">
        <v>2902</v>
      </c>
      <c r="F1849" s="826">
        <v>0</v>
      </c>
      <c r="G1849" s="880">
        <v>0</v>
      </c>
      <c r="H1849" s="465"/>
      <c r="I1849" s="465"/>
      <c r="J1849" s="826">
        <v>0</v>
      </c>
      <c r="K1849" s="881">
        <v>0</v>
      </c>
    </row>
    <row r="1850" spans="1:11" ht="22.5" customHeight="1" x14ac:dyDescent="0.25">
      <c r="A1850" s="816" t="s">
        <v>282</v>
      </c>
      <c r="B1850" s="880">
        <v>2025</v>
      </c>
      <c r="C1850" s="816" t="s">
        <v>1913</v>
      </c>
      <c r="D1850" s="816" t="s">
        <v>1918</v>
      </c>
      <c r="E1850" s="816" t="s">
        <v>2902</v>
      </c>
      <c r="F1850" s="826">
        <v>0</v>
      </c>
      <c r="G1850" s="880">
        <v>0</v>
      </c>
      <c r="H1850" s="465"/>
      <c r="I1850" s="465"/>
      <c r="J1850" s="826">
        <v>0</v>
      </c>
      <c r="K1850" s="881">
        <v>13396.05</v>
      </c>
    </row>
    <row r="1851" spans="1:11" ht="22.5" customHeight="1" x14ac:dyDescent="0.25">
      <c r="A1851" s="816" t="s">
        <v>282</v>
      </c>
      <c r="B1851" s="880">
        <v>2025</v>
      </c>
      <c r="C1851" s="816" t="s">
        <v>1913</v>
      </c>
      <c r="D1851" s="816" t="s">
        <v>1919</v>
      </c>
      <c r="E1851" s="816" t="s">
        <v>2902</v>
      </c>
      <c r="F1851" s="826">
        <v>0</v>
      </c>
      <c r="G1851" s="880">
        <v>0</v>
      </c>
      <c r="H1851" s="465"/>
      <c r="I1851" s="465"/>
      <c r="J1851" s="826">
        <v>0</v>
      </c>
      <c r="K1851" s="881">
        <v>682799.77</v>
      </c>
    </row>
    <row r="1852" spans="1:11" ht="22.5" customHeight="1" x14ac:dyDescent="0.25">
      <c r="A1852" s="816" t="s">
        <v>282</v>
      </c>
      <c r="B1852" s="880">
        <v>2025</v>
      </c>
      <c r="C1852" s="816" t="s">
        <v>1920</v>
      </c>
      <c r="D1852" s="816" t="s">
        <v>1921</v>
      </c>
      <c r="E1852" s="816" t="s">
        <v>2903</v>
      </c>
      <c r="F1852" s="826">
        <v>0</v>
      </c>
      <c r="G1852" s="880">
        <v>0</v>
      </c>
      <c r="H1852" s="465"/>
      <c r="I1852" s="465"/>
      <c r="J1852" s="826">
        <v>0</v>
      </c>
      <c r="K1852" s="878">
        <v>0</v>
      </c>
    </row>
    <row r="1853" spans="1:11" ht="22.5" customHeight="1" x14ac:dyDescent="0.25">
      <c r="A1853" s="816" t="s">
        <v>282</v>
      </c>
      <c r="B1853" s="880">
        <v>2025</v>
      </c>
      <c r="C1853" s="816" t="s">
        <v>1923</v>
      </c>
      <c r="D1853" s="816" t="s">
        <v>143</v>
      </c>
      <c r="E1853" s="816" t="s">
        <v>2904</v>
      </c>
      <c r="F1853" s="826">
        <v>1804396.98</v>
      </c>
      <c r="G1853" s="880">
        <v>1</v>
      </c>
      <c r="H1853" s="826">
        <v>1696361.81</v>
      </c>
      <c r="I1853" s="826">
        <v>108035.17</v>
      </c>
      <c r="J1853" s="826">
        <v>1804396.98</v>
      </c>
      <c r="K1853" s="878">
        <v>1804396.98</v>
      </c>
    </row>
    <row r="1854" spans="1:11" ht="22.5" customHeight="1" x14ac:dyDescent="0.25">
      <c r="A1854" s="816" t="s">
        <v>282</v>
      </c>
      <c r="B1854" s="880">
        <v>2025</v>
      </c>
      <c r="C1854" s="816" t="s">
        <v>1925</v>
      </c>
      <c r="D1854" s="816" t="s">
        <v>144</v>
      </c>
      <c r="E1854" s="816" t="s">
        <v>2905</v>
      </c>
      <c r="F1854" s="826">
        <v>893264.11</v>
      </c>
      <c r="G1854" s="880">
        <v>1</v>
      </c>
      <c r="H1854" s="826">
        <v>833522.78</v>
      </c>
      <c r="I1854" s="826">
        <v>59741.33</v>
      </c>
      <c r="J1854" s="826">
        <v>893264.11</v>
      </c>
      <c r="K1854" s="878">
        <v>893264.11</v>
      </c>
    </row>
    <row r="1855" spans="1:11" ht="22.5" customHeight="1" x14ac:dyDescent="0.25">
      <c r="A1855" s="816" t="s">
        <v>282</v>
      </c>
      <c r="B1855" s="880">
        <v>2025</v>
      </c>
      <c r="C1855" s="816" t="s">
        <v>1927</v>
      </c>
      <c r="D1855" s="816" t="s">
        <v>1928</v>
      </c>
      <c r="E1855" s="816" t="s">
        <v>2906</v>
      </c>
      <c r="F1855" s="826">
        <v>217062.49</v>
      </c>
      <c r="G1855" s="880">
        <v>1</v>
      </c>
      <c r="H1855" s="826">
        <v>218158.34</v>
      </c>
      <c r="I1855" s="826">
        <v>-1095.8499999999999</v>
      </c>
      <c r="J1855" s="826">
        <v>217062.49</v>
      </c>
      <c r="K1855" s="878">
        <v>217062.49</v>
      </c>
    </row>
    <row r="1856" spans="1:11" ht="22.5" customHeight="1" x14ac:dyDescent="0.25">
      <c r="A1856" s="816" t="s">
        <v>282</v>
      </c>
      <c r="B1856" s="880">
        <v>2025</v>
      </c>
      <c r="C1856" s="816" t="s">
        <v>1930</v>
      </c>
      <c r="D1856" s="816" t="s">
        <v>156</v>
      </c>
      <c r="E1856" s="816" t="s">
        <v>2907</v>
      </c>
      <c r="F1856" s="826">
        <v>77178.61</v>
      </c>
      <c r="G1856" s="880">
        <v>1</v>
      </c>
      <c r="H1856" s="826">
        <v>78925.279999999999</v>
      </c>
      <c r="I1856" s="826">
        <v>-1746.67</v>
      </c>
      <c r="J1856" s="826">
        <v>77178.61</v>
      </c>
      <c r="K1856" s="878">
        <v>77178.61</v>
      </c>
    </row>
    <row r="1857" spans="1:11" ht="22.5" customHeight="1" x14ac:dyDescent="0.25">
      <c r="A1857" s="816" t="s">
        <v>282</v>
      </c>
      <c r="B1857" s="880">
        <v>2025</v>
      </c>
      <c r="C1857" s="816" t="s">
        <v>1932</v>
      </c>
      <c r="D1857" s="816" t="s">
        <v>1933</v>
      </c>
      <c r="E1857" s="816" t="s">
        <v>2908</v>
      </c>
      <c r="F1857" s="826">
        <v>-112430.25</v>
      </c>
      <c r="G1857" s="880">
        <v>0</v>
      </c>
      <c r="H1857" s="465"/>
      <c r="I1857" s="465"/>
      <c r="J1857" s="826">
        <v>0</v>
      </c>
      <c r="K1857" s="878">
        <v>-112430.25</v>
      </c>
    </row>
    <row r="1858" spans="1:11" ht="22.5" customHeight="1" x14ac:dyDescent="0.25">
      <c r="A1858" s="816" t="s">
        <v>282</v>
      </c>
      <c r="B1858" s="880">
        <v>2025</v>
      </c>
      <c r="C1858" s="816" t="s">
        <v>1935</v>
      </c>
      <c r="D1858" s="816" t="s">
        <v>1936</v>
      </c>
      <c r="E1858" s="816" t="s">
        <v>8436</v>
      </c>
      <c r="F1858" s="826">
        <v>0</v>
      </c>
      <c r="G1858" s="880">
        <v>1</v>
      </c>
      <c r="H1858" s="465"/>
      <c r="I1858" s="465"/>
      <c r="J1858" s="826">
        <v>0</v>
      </c>
      <c r="K1858" s="878">
        <v>0</v>
      </c>
    </row>
    <row r="1859" spans="1:11" ht="22.5" customHeight="1" x14ac:dyDescent="0.25">
      <c r="A1859" s="816" t="s">
        <v>282</v>
      </c>
      <c r="B1859" s="880">
        <v>2025</v>
      </c>
      <c r="C1859" s="816" t="s">
        <v>1935</v>
      </c>
      <c r="D1859" s="816" t="s">
        <v>1937</v>
      </c>
      <c r="E1859" s="816" t="s">
        <v>8437</v>
      </c>
      <c r="F1859" s="826">
        <v>0</v>
      </c>
      <c r="G1859" s="880">
        <v>1</v>
      </c>
      <c r="H1859" s="465"/>
      <c r="I1859" s="465"/>
      <c r="J1859" s="826">
        <v>0</v>
      </c>
      <c r="K1859" s="878">
        <v>0</v>
      </c>
    </row>
    <row r="1860" spans="1:11" ht="22.5" customHeight="1" x14ac:dyDescent="0.25">
      <c r="A1860" s="816" t="s">
        <v>282</v>
      </c>
      <c r="B1860" s="880">
        <v>2025</v>
      </c>
      <c r="C1860" s="816" t="s">
        <v>1935</v>
      </c>
      <c r="D1860" s="816" t="s">
        <v>1938</v>
      </c>
      <c r="E1860" s="816" t="s">
        <v>8438</v>
      </c>
      <c r="F1860" s="826">
        <v>0</v>
      </c>
      <c r="G1860" s="880">
        <v>1</v>
      </c>
      <c r="H1860" s="465"/>
      <c r="I1860" s="465"/>
      <c r="J1860" s="826">
        <v>0</v>
      </c>
      <c r="K1860" s="878">
        <v>0</v>
      </c>
    </row>
    <row r="1861" spans="1:11" ht="22.5" customHeight="1" x14ac:dyDescent="0.25">
      <c r="A1861" s="816" t="s">
        <v>282</v>
      </c>
      <c r="B1861" s="880">
        <v>2025</v>
      </c>
      <c r="C1861" s="816" t="s">
        <v>1935</v>
      </c>
      <c r="D1861" s="816" t="s">
        <v>1939</v>
      </c>
      <c r="E1861" s="816" t="s">
        <v>8439</v>
      </c>
      <c r="F1861" s="826">
        <v>0</v>
      </c>
      <c r="G1861" s="880">
        <v>1</v>
      </c>
      <c r="H1861" s="465"/>
      <c r="I1861" s="465"/>
      <c r="J1861" s="826">
        <v>0</v>
      </c>
      <c r="K1861" s="878">
        <v>0</v>
      </c>
    </row>
    <row r="1862" spans="1:11" ht="22.5" customHeight="1" x14ac:dyDescent="0.25">
      <c r="A1862" s="816" t="s">
        <v>282</v>
      </c>
      <c r="B1862" s="880">
        <v>2025</v>
      </c>
      <c r="C1862" s="816" t="s">
        <v>1935</v>
      </c>
      <c r="D1862" s="816" t="s">
        <v>1940</v>
      </c>
      <c r="E1862" s="816" t="s">
        <v>8440</v>
      </c>
      <c r="F1862" s="826">
        <v>0</v>
      </c>
      <c r="G1862" s="880">
        <v>1</v>
      </c>
      <c r="H1862" s="465"/>
      <c r="I1862" s="465"/>
      <c r="J1862" s="826">
        <v>0</v>
      </c>
      <c r="K1862" s="878">
        <v>0</v>
      </c>
    </row>
    <row r="1863" spans="1:11" ht="22.5" customHeight="1" x14ac:dyDescent="0.25">
      <c r="A1863" s="816" t="s">
        <v>282</v>
      </c>
      <c r="B1863" s="880">
        <v>2025</v>
      </c>
      <c r="C1863" s="816" t="s">
        <v>1935</v>
      </c>
      <c r="D1863" s="816" t="s">
        <v>1941</v>
      </c>
      <c r="E1863" s="816" t="s">
        <v>8441</v>
      </c>
      <c r="F1863" s="826">
        <v>0</v>
      </c>
      <c r="G1863" s="880">
        <v>1</v>
      </c>
      <c r="H1863" s="465"/>
      <c r="I1863" s="465"/>
      <c r="J1863" s="826">
        <v>0</v>
      </c>
      <c r="K1863" s="878">
        <v>0</v>
      </c>
    </row>
    <row r="1864" spans="1:11" ht="22.5" customHeight="1" x14ac:dyDescent="0.25">
      <c r="A1864" s="816" t="s">
        <v>282</v>
      </c>
      <c r="B1864" s="880">
        <v>2025</v>
      </c>
      <c r="C1864" s="816" t="s">
        <v>1935</v>
      </c>
      <c r="D1864" s="816" t="s">
        <v>1942</v>
      </c>
      <c r="E1864" s="816" t="s">
        <v>8442</v>
      </c>
      <c r="F1864" s="826">
        <v>0</v>
      </c>
      <c r="G1864" s="880">
        <v>1</v>
      </c>
      <c r="H1864" s="465"/>
      <c r="I1864" s="465"/>
      <c r="J1864" s="826">
        <v>0</v>
      </c>
      <c r="K1864" s="878">
        <v>0</v>
      </c>
    </row>
    <row r="1865" spans="1:11" ht="22.5" customHeight="1" x14ac:dyDescent="0.25">
      <c r="A1865" s="816" t="s">
        <v>282</v>
      </c>
      <c r="B1865" s="880">
        <v>2025</v>
      </c>
      <c r="C1865" s="816" t="s">
        <v>1935</v>
      </c>
      <c r="D1865" s="816" t="s">
        <v>1943</v>
      </c>
      <c r="E1865" s="816" t="s">
        <v>8443</v>
      </c>
      <c r="F1865" s="826">
        <v>0</v>
      </c>
      <c r="G1865" s="880">
        <v>1</v>
      </c>
      <c r="H1865" s="465"/>
      <c r="I1865" s="465"/>
      <c r="J1865" s="826">
        <v>0</v>
      </c>
      <c r="K1865" s="878">
        <v>0</v>
      </c>
    </row>
    <row r="1866" spans="1:11" ht="22.5" customHeight="1" x14ac:dyDescent="0.25">
      <c r="A1866" s="816" t="s">
        <v>282</v>
      </c>
      <c r="B1866" s="880">
        <v>2025</v>
      </c>
      <c r="C1866" s="816" t="s">
        <v>1935</v>
      </c>
      <c r="D1866" s="816" t="s">
        <v>1944</v>
      </c>
      <c r="E1866" s="816" t="s">
        <v>8444</v>
      </c>
      <c r="F1866" s="826">
        <v>0</v>
      </c>
      <c r="G1866" s="880">
        <v>1</v>
      </c>
      <c r="H1866" s="465"/>
      <c r="I1866" s="465"/>
      <c r="J1866" s="826">
        <v>0</v>
      </c>
      <c r="K1866" s="878">
        <v>0</v>
      </c>
    </row>
    <row r="1867" spans="1:11" ht="22.5" customHeight="1" x14ac:dyDescent="0.25">
      <c r="A1867" s="816" t="s">
        <v>282</v>
      </c>
      <c r="B1867" s="880">
        <v>2025</v>
      </c>
      <c r="C1867" s="816" t="s">
        <v>1935</v>
      </c>
      <c r="D1867" s="816" t="s">
        <v>1945</v>
      </c>
      <c r="E1867" s="816" t="s">
        <v>8445</v>
      </c>
      <c r="F1867" s="826">
        <v>0</v>
      </c>
      <c r="G1867" s="880">
        <v>1</v>
      </c>
      <c r="H1867" s="465"/>
      <c r="I1867" s="465"/>
      <c r="J1867" s="826">
        <v>0</v>
      </c>
      <c r="K1867" s="878">
        <v>0</v>
      </c>
    </row>
    <row r="1868" spans="1:11" ht="22.5" customHeight="1" x14ac:dyDescent="0.25">
      <c r="A1868" s="816" t="s">
        <v>282</v>
      </c>
      <c r="B1868" s="880">
        <v>2025</v>
      </c>
      <c r="C1868" s="816" t="s">
        <v>1935</v>
      </c>
      <c r="D1868" s="816" t="s">
        <v>1946</v>
      </c>
      <c r="E1868" s="816" t="s">
        <v>8446</v>
      </c>
      <c r="F1868" s="826">
        <v>0</v>
      </c>
      <c r="G1868" s="880">
        <v>1</v>
      </c>
      <c r="H1868" s="465"/>
      <c r="I1868" s="465"/>
      <c r="J1868" s="826">
        <v>0</v>
      </c>
      <c r="K1868" s="878">
        <v>0</v>
      </c>
    </row>
    <row r="1869" spans="1:11" ht="22.5" customHeight="1" x14ac:dyDescent="0.25">
      <c r="A1869" s="816" t="s">
        <v>282</v>
      </c>
      <c r="B1869" s="880">
        <v>2025</v>
      </c>
      <c r="C1869" s="816" t="s">
        <v>1935</v>
      </c>
      <c r="D1869" s="816" t="s">
        <v>1947</v>
      </c>
      <c r="E1869" s="816" t="s">
        <v>8447</v>
      </c>
      <c r="F1869" s="826">
        <v>0</v>
      </c>
      <c r="G1869" s="880">
        <v>1</v>
      </c>
      <c r="H1869" s="465"/>
      <c r="I1869" s="465"/>
      <c r="J1869" s="826">
        <v>0</v>
      </c>
      <c r="K1869" s="878">
        <v>0</v>
      </c>
    </row>
    <row r="1870" spans="1:11" ht="22.5" customHeight="1" x14ac:dyDescent="0.25">
      <c r="A1870" s="816" t="s">
        <v>282</v>
      </c>
      <c r="B1870" s="880">
        <v>2025</v>
      </c>
      <c r="C1870" s="816" t="s">
        <v>1935</v>
      </c>
      <c r="D1870" s="816" t="s">
        <v>1948</v>
      </c>
      <c r="E1870" s="816" t="s">
        <v>8448</v>
      </c>
      <c r="F1870" s="826">
        <v>0</v>
      </c>
      <c r="G1870" s="880">
        <v>1</v>
      </c>
      <c r="H1870" s="826">
        <v>-53752.85</v>
      </c>
      <c r="I1870" s="826">
        <v>88678.79</v>
      </c>
      <c r="J1870" s="826">
        <v>34925.94</v>
      </c>
      <c r="K1870" s="878">
        <v>34925.94</v>
      </c>
    </row>
    <row r="1871" spans="1:11" ht="22.5" customHeight="1" x14ac:dyDescent="0.25">
      <c r="A1871" s="816" t="s">
        <v>282</v>
      </c>
      <c r="B1871" s="880">
        <v>2025</v>
      </c>
      <c r="C1871" s="816" t="s">
        <v>1935</v>
      </c>
      <c r="D1871" s="816" t="s">
        <v>1949</v>
      </c>
      <c r="E1871" s="816" t="s">
        <v>8449</v>
      </c>
      <c r="F1871" s="826">
        <v>0</v>
      </c>
      <c r="G1871" s="880">
        <v>1</v>
      </c>
      <c r="H1871" s="826">
        <v>37912.21</v>
      </c>
      <c r="I1871" s="826">
        <v>-17885.05</v>
      </c>
      <c r="J1871" s="826">
        <v>20027.16</v>
      </c>
      <c r="K1871" s="878">
        <v>20027.16</v>
      </c>
    </row>
    <row r="1872" spans="1:11" ht="22.5" customHeight="1" x14ac:dyDescent="0.25">
      <c r="A1872" s="816" t="s">
        <v>282</v>
      </c>
      <c r="B1872" s="880">
        <v>2025</v>
      </c>
      <c r="C1872" s="816" t="s">
        <v>1935</v>
      </c>
      <c r="D1872" s="816" t="s">
        <v>1950</v>
      </c>
      <c r="E1872" s="816" t="s">
        <v>8450</v>
      </c>
      <c r="F1872" s="826">
        <v>0</v>
      </c>
      <c r="G1872" s="880">
        <v>1</v>
      </c>
      <c r="H1872" s="826">
        <v>-47924.46</v>
      </c>
      <c r="I1872" s="826">
        <v>35578.54</v>
      </c>
      <c r="J1872" s="826">
        <v>-12345.92</v>
      </c>
      <c r="K1872" s="878">
        <v>-12345.92</v>
      </c>
    </row>
    <row r="1873" spans="1:11" ht="22.5" customHeight="1" x14ac:dyDescent="0.25">
      <c r="A1873" s="816" t="s">
        <v>282</v>
      </c>
      <c r="B1873" s="880">
        <v>2025</v>
      </c>
      <c r="C1873" s="816" t="s">
        <v>1935</v>
      </c>
      <c r="D1873" s="816" t="s">
        <v>1951</v>
      </c>
      <c r="E1873" s="816" t="s">
        <v>8451</v>
      </c>
      <c r="F1873" s="826">
        <v>0</v>
      </c>
      <c r="G1873" s="880">
        <v>1</v>
      </c>
      <c r="H1873" s="826">
        <v>-299026.06</v>
      </c>
      <c r="I1873" s="826">
        <v>-9747.82</v>
      </c>
      <c r="J1873" s="826">
        <v>-308773.88</v>
      </c>
      <c r="K1873" s="878">
        <v>-308773.88</v>
      </c>
    </row>
    <row r="1874" spans="1:11" ht="22.5" customHeight="1" x14ac:dyDescent="0.25">
      <c r="A1874" s="816" t="s">
        <v>282</v>
      </c>
      <c r="B1874" s="880">
        <v>2025</v>
      </c>
      <c r="C1874" s="816" t="s">
        <v>1935</v>
      </c>
      <c r="D1874" s="816" t="s">
        <v>7801</v>
      </c>
      <c r="E1874" s="816" t="s">
        <v>8452</v>
      </c>
      <c r="F1874" s="826">
        <v>0</v>
      </c>
      <c r="G1874" s="880">
        <v>1</v>
      </c>
      <c r="H1874" s="826">
        <v>-579384.78</v>
      </c>
      <c r="I1874" s="826">
        <v>447966.99</v>
      </c>
      <c r="J1874" s="826">
        <v>-131417.79</v>
      </c>
      <c r="K1874" s="878">
        <v>-131417.79</v>
      </c>
    </row>
    <row r="1875" spans="1:11" ht="22.5" customHeight="1" x14ac:dyDescent="0.25">
      <c r="A1875" s="816" t="s">
        <v>282</v>
      </c>
      <c r="B1875" s="880">
        <v>2025</v>
      </c>
      <c r="C1875" s="816" t="s">
        <v>1935</v>
      </c>
      <c r="D1875" s="816" t="s">
        <v>1952</v>
      </c>
      <c r="E1875" s="816" t="s">
        <v>8453</v>
      </c>
      <c r="F1875" s="826">
        <v>-397584.49</v>
      </c>
      <c r="G1875" s="880">
        <v>0</v>
      </c>
      <c r="H1875" s="465"/>
      <c r="I1875" s="465"/>
      <c r="J1875" s="826">
        <v>0</v>
      </c>
      <c r="K1875" s="878">
        <v>-397584.49</v>
      </c>
    </row>
    <row r="1876" spans="1:11" ht="22.5" customHeight="1" x14ac:dyDescent="0.25">
      <c r="A1876" s="816" t="s">
        <v>282</v>
      </c>
      <c r="B1876" s="880">
        <v>2025</v>
      </c>
      <c r="C1876" s="816" t="s">
        <v>1953</v>
      </c>
      <c r="D1876" s="816" t="s">
        <v>1954</v>
      </c>
      <c r="E1876" s="816" t="s">
        <v>2909</v>
      </c>
      <c r="F1876" s="826">
        <v>-15133.49</v>
      </c>
      <c r="G1876" s="880">
        <v>0</v>
      </c>
      <c r="H1876" s="465"/>
      <c r="I1876" s="465"/>
      <c r="J1876" s="826">
        <v>0</v>
      </c>
      <c r="K1876" s="878">
        <v>-15133.49</v>
      </c>
    </row>
    <row r="1877" spans="1:11" ht="22.5" customHeight="1" x14ac:dyDescent="0.25">
      <c r="A1877" s="816" t="s">
        <v>285</v>
      </c>
      <c r="B1877" s="880">
        <v>2025</v>
      </c>
      <c r="C1877" s="816" t="s">
        <v>1854</v>
      </c>
      <c r="D1877" s="816" t="s">
        <v>1855</v>
      </c>
      <c r="E1877" s="816" t="s">
        <v>2910</v>
      </c>
      <c r="F1877" s="826">
        <v>-106107.58</v>
      </c>
      <c r="G1877" s="880">
        <v>0</v>
      </c>
      <c r="H1877" s="465"/>
      <c r="I1877" s="465"/>
      <c r="J1877" s="826">
        <v>0</v>
      </c>
      <c r="K1877" s="878">
        <v>-106107.58</v>
      </c>
    </row>
    <row r="1878" spans="1:11" ht="22.5" customHeight="1" x14ac:dyDescent="0.25">
      <c r="A1878" s="816" t="s">
        <v>285</v>
      </c>
      <c r="B1878" s="880">
        <v>2025</v>
      </c>
      <c r="C1878" s="816" t="s">
        <v>7746</v>
      </c>
      <c r="D1878" s="816" t="s">
        <v>7747</v>
      </c>
      <c r="E1878" s="816" t="s">
        <v>7783</v>
      </c>
      <c r="F1878" s="826">
        <v>0</v>
      </c>
      <c r="G1878" s="880">
        <v>0</v>
      </c>
      <c r="H1878" s="465"/>
      <c r="I1878" s="465"/>
      <c r="J1878" s="826">
        <v>0</v>
      </c>
      <c r="K1878" s="878">
        <v>0</v>
      </c>
    </row>
    <row r="1879" spans="1:11" ht="22.5" customHeight="1" x14ac:dyDescent="0.25">
      <c r="A1879" s="816" t="s">
        <v>285</v>
      </c>
      <c r="B1879" s="880">
        <v>2025</v>
      </c>
      <c r="C1879" s="816" t="s">
        <v>1857</v>
      </c>
      <c r="D1879" s="816" t="s">
        <v>1858</v>
      </c>
      <c r="E1879" s="816" t="s">
        <v>2911</v>
      </c>
      <c r="F1879" s="826">
        <v>0</v>
      </c>
      <c r="G1879" s="880">
        <v>0</v>
      </c>
      <c r="H1879" s="465"/>
      <c r="I1879" s="465"/>
      <c r="J1879" s="826">
        <v>0</v>
      </c>
      <c r="K1879" s="878">
        <v>0</v>
      </c>
    </row>
    <row r="1880" spans="1:11" ht="22.5" customHeight="1" x14ac:dyDescent="0.25">
      <c r="A1880" s="816" t="s">
        <v>285</v>
      </c>
      <c r="B1880" s="880">
        <v>2025</v>
      </c>
      <c r="C1880" s="816" t="s">
        <v>1860</v>
      </c>
      <c r="D1880" s="816" t="s">
        <v>1861</v>
      </c>
      <c r="E1880" s="816" t="s">
        <v>2912</v>
      </c>
      <c r="F1880" s="826">
        <v>-9816.2900000000009</v>
      </c>
      <c r="G1880" s="880">
        <v>0</v>
      </c>
      <c r="H1880" s="465"/>
      <c r="I1880" s="465"/>
      <c r="J1880" s="826">
        <v>0</v>
      </c>
      <c r="K1880" s="878">
        <v>-9816.2900000000009</v>
      </c>
    </row>
    <row r="1881" spans="1:11" ht="22.5" customHeight="1" x14ac:dyDescent="0.25">
      <c r="A1881" s="816" t="s">
        <v>285</v>
      </c>
      <c r="B1881" s="880">
        <v>2025</v>
      </c>
      <c r="C1881" s="816" t="s">
        <v>1863</v>
      </c>
      <c r="D1881" s="816" t="s">
        <v>1864</v>
      </c>
      <c r="E1881" s="816" t="s">
        <v>2913</v>
      </c>
      <c r="F1881" s="826">
        <v>0</v>
      </c>
      <c r="G1881" s="880">
        <v>0</v>
      </c>
      <c r="H1881" s="465"/>
      <c r="I1881" s="465"/>
      <c r="J1881" s="826">
        <v>0</v>
      </c>
      <c r="K1881" s="878">
        <v>0</v>
      </c>
    </row>
    <row r="1882" spans="1:11" ht="22.5" customHeight="1" x14ac:dyDescent="0.25">
      <c r="A1882" s="816" t="s">
        <v>285</v>
      </c>
      <c r="B1882" s="880">
        <v>2025</v>
      </c>
      <c r="C1882" s="816" t="s">
        <v>1866</v>
      </c>
      <c r="D1882" s="816" t="s">
        <v>1867</v>
      </c>
      <c r="E1882" s="816" t="s">
        <v>2914</v>
      </c>
      <c r="F1882" s="826">
        <v>0</v>
      </c>
      <c r="G1882" s="880">
        <v>0</v>
      </c>
      <c r="H1882" s="465"/>
      <c r="I1882" s="465"/>
      <c r="J1882" s="826">
        <v>0</v>
      </c>
      <c r="K1882" s="878">
        <v>0</v>
      </c>
    </row>
    <row r="1883" spans="1:11" ht="22.5" customHeight="1" x14ac:dyDescent="0.25">
      <c r="A1883" s="816" t="s">
        <v>285</v>
      </c>
      <c r="B1883" s="880">
        <v>2025</v>
      </c>
      <c r="C1883" s="816" t="s">
        <v>1869</v>
      </c>
      <c r="D1883" s="816" t="s">
        <v>1870</v>
      </c>
      <c r="E1883" s="816" t="s">
        <v>2915</v>
      </c>
      <c r="F1883" s="826">
        <v>0</v>
      </c>
      <c r="G1883" s="880">
        <v>0</v>
      </c>
      <c r="H1883" s="465"/>
      <c r="I1883" s="465"/>
      <c r="J1883" s="826">
        <v>0</v>
      </c>
      <c r="K1883" s="878">
        <v>0</v>
      </c>
    </row>
    <row r="1884" spans="1:11" ht="22.5" customHeight="1" x14ac:dyDescent="0.25">
      <c r="A1884" s="816" t="s">
        <v>285</v>
      </c>
      <c r="B1884" s="880">
        <v>2025</v>
      </c>
      <c r="C1884" s="816" t="s">
        <v>1872</v>
      </c>
      <c r="D1884" s="816" t="s">
        <v>1873</v>
      </c>
      <c r="E1884" s="816" t="s">
        <v>2916</v>
      </c>
      <c r="F1884" s="826">
        <v>0</v>
      </c>
      <c r="G1884" s="880">
        <v>0</v>
      </c>
      <c r="H1884" s="465"/>
      <c r="I1884" s="465"/>
      <c r="J1884" s="826">
        <v>0</v>
      </c>
      <c r="K1884" s="878">
        <v>0</v>
      </c>
    </row>
    <row r="1885" spans="1:11" ht="22.5" customHeight="1" x14ac:dyDescent="0.25">
      <c r="A1885" s="816" t="s">
        <v>285</v>
      </c>
      <c r="B1885" s="880">
        <v>2025</v>
      </c>
      <c r="C1885" s="816" t="s">
        <v>1875</v>
      </c>
      <c r="D1885" s="816" t="s">
        <v>1876</v>
      </c>
      <c r="E1885" s="816" t="s">
        <v>2917</v>
      </c>
      <c r="F1885" s="826">
        <v>0</v>
      </c>
      <c r="G1885" s="880">
        <v>0</v>
      </c>
      <c r="H1885" s="465"/>
      <c r="I1885" s="465"/>
      <c r="J1885" s="826">
        <v>0</v>
      </c>
      <c r="K1885" s="878">
        <v>0</v>
      </c>
    </row>
    <row r="1886" spans="1:11" ht="22.5" customHeight="1" x14ac:dyDescent="0.25">
      <c r="A1886" s="816" t="s">
        <v>285</v>
      </c>
      <c r="B1886" s="880">
        <v>2025</v>
      </c>
      <c r="C1886" s="816" t="s">
        <v>1878</v>
      </c>
      <c r="D1886" s="816" t="s">
        <v>1879</v>
      </c>
      <c r="E1886" s="816" t="s">
        <v>2918</v>
      </c>
      <c r="F1886" s="826">
        <v>0</v>
      </c>
      <c r="G1886" s="880">
        <v>0</v>
      </c>
      <c r="H1886" s="465"/>
      <c r="I1886" s="465"/>
      <c r="J1886" s="826">
        <v>0</v>
      </c>
      <c r="K1886" s="878">
        <v>0</v>
      </c>
    </row>
    <row r="1887" spans="1:11" ht="22.5" customHeight="1" x14ac:dyDescent="0.25">
      <c r="A1887" s="816" t="s">
        <v>285</v>
      </c>
      <c r="B1887" s="880">
        <v>2025</v>
      </c>
      <c r="C1887" s="816" t="s">
        <v>1881</v>
      </c>
      <c r="D1887" s="816" t="s">
        <v>1882</v>
      </c>
      <c r="E1887" s="816" t="s">
        <v>2919</v>
      </c>
      <c r="F1887" s="826">
        <v>0</v>
      </c>
      <c r="G1887" s="880">
        <v>0</v>
      </c>
      <c r="H1887" s="465"/>
      <c r="I1887" s="465"/>
      <c r="J1887" s="826">
        <v>0</v>
      </c>
      <c r="K1887" s="878">
        <v>0</v>
      </c>
    </row>
    <row r="1888" spans="1:11" ht="22.5" customHeight="1" x14ac:dyDescent="0.25">
      <c r="A1888" s="816" t="s">
        <v>285</v>
      </c>
      <c r="B1888" s="880">
        <v>2025</v>
      </c>
      <c r="C1888" s="816" t="s">
        <v>1884</v>
      </c>
      <c r="D1888" s="816" t="s">
        <v>1885</v>
      </c>
      <c r="E1888" s="816" t="s">
        <v>2920</v>
      </c>
      <c r="F1888" s="826">
        <v>0</v>
      </c>
      <c r="G1888" s="880">
        <v>0</v>
      </c>
      <c r="H1888" s="465"/>
      <c r="I1888" s="465"/>
      <c r="J1888" s="826">
        <v>0</v>
      </c>
      <c r="K1888" s="878">
        <v>0</v>
      </c>
    </row>
    <row r="1889" spans="1:11" ht="22.5" customHeight="1" x14ac:dyDescent="0.25">
      <c r="A1889" s="816" t="s">
        <v>285</v>
      </c>
      <c r="B1889" s="880">
        <v>2025</v>
      </c>
      <c r="C1889" s="816" t="s">
        <v>1887</v>
      </c>
      <c r="D1889" s="816" t="s">
        <v>138</v>
      </c>
      <c r="E1889" s="816" t="s">
        <v>2921</v>
      </c>
      <c r="F1889" s="826">
        <v>0</v>
      </c>
      <c r="G1889" s="880">
        <v>1</v>
      </c>
      <c r="H1889" s="826">
        <v>0</v>
      </c>
      <c r="I1889" s="826">
        <v>0</v>
      </c>
      <c r="J1889" s="826">
        <v>0</v>
      </c>
      <c r="K1889" s="878">
        <v>0</v>
      </c>
    </row>
    <row r="1890" spans="1:11" ht="22.5" customHeight="1" x14ac:dyDescent="0.25">
      <c r="A1890" s="816" t="s">
        <v>285</v>
      </c>
      <c r="B1890" s="880">
        <v>2025</v>
      </c>
      <c r="C1890" s="816" t="s">
        <v>1889</v>
      </c>
      <c r="D1890" s="816" t="s">
        <v>139</v>
      </c>
      <c r="E1890" s="816" t="s">
        <v>2922</v>
      </c>
      <c r="F1890" s="826">
        <v>-29390.78</v>
      </c>
      <c r="G1890" s="880">
        <v>1</v>
      </c>
      <c r="H1890" s="826">
        <v>-27601.4</v>
      </c>
      <c r="I1890" s="826">
        <v>-1789.38</v>
      </c>
      <c r="J1890" s="826">
        <v>-29390.78</v>
      </c>
      <c r="K1890" s="878">
        <v>-29390.78</v>
      </c>
    </row>
    <row r="1891" spans="1:11" ht="22.5" customHeight="1" x14ac:dyDescent="0.25">
      <c r="A1891" s="816" t="s">
        <v>285</v>
      </c>
      <c r="B1891" s="880">
        <v>2025</v>
      </c>
      <c r="C1891" s="816" t="s">
        <v>1891</v>
      </c>
      <c r="D1891" s="816" t="s">
        <v>1892</v>
      </c>
      <c r="E1891" s="816" t="s">
        <v>2923</v>
      </c>
      <c r="F1891" s="826">
        <v>0</v>
      </c>
      <c r="G1891" s="880">
        <v>0</v>
      </c>
      <c r="H1891" s="465"/>
      <c r="I1891" s="465"/>
      <c r="J1891" s="826">
        <v>0</v>
      </c>
      <c r="K1891" s="878">
        <v>0</v>
      </c>
    </row>
    <row r="1892" spans="1:11" ht="22.5" customHeight="1" x14ac:dyDescent="0.25">
      <c r="A1892" s="816" t="s">
        <v>285</v>
      </c>
      <c r="B1892" s="880">
        <v>2025</v>
      </c>
      <c r="C1892" s="816" t="s">
        <v>1891</v>
      </c>
      <c r="D1892" s="816" t="s">
        <v>1894</v>
      </c>
      <c r="E1892" s="816" t="s">
        <v>2923</v>
      </c>
      <c r="F1892" s="826">
        <v>0</v>
      </c>
      <c r="G1892" s="880">
        <v>0</v>
      </c>
      <c r="H1892" s="465"/>
      <c r="I1892" s="465"/>
      <c r="J1892" s="826">
        <v>0</v>
      </c>
      <c r="K1892" s="881">
        <v>0</v>
      </c>
    </row>
    <row r="1893" spans="1:11" ht="22.5" customHeight="1" x14ac:dyDescent="0.25">
      <c r="A1893" s="816" t="s">
        <v>285</v>
      </c>
      <c r="B1893" s="880">
        <v>2025</v>
      </c>
      <c r="C1893" s="816" t="s">
        <v>1895</v>
      </c>
      <c r="D1893" s="816" t="s">
        <v>1896</v>
      </c>
      <c r="E1893" s="816" t="s">
        <v>2924</v>
      </c>
      <c r="F1893" s="826">
        <v>0</v>
      </c>
      <c r="G1893" s="880">
        <v>0</v>
      </c>
      <c r="H1893" s="465"/>
      <c r="I1893" s="465"/>
      <c r="J1893" s="826">
        <v>0</v>
      </c>
      <c r="K1893" s="878">
        <v>0</v>
      </c>
    </row>
    <row r="1894" spans="1:11" ht="22.5" customHeight="1" x14ac:dyDescent="0.25">
      <c r="A1894" s="816" t="s">
        <v>285</v>
      </c>
      <c r="B1894" s="880">
        <v>2025</v>
      </c>
      <c r="C1894" s="816" t="s">
        <v>1898</v>
      </c>
      <c r="D1894" s="816" t="s">
        <v>1899</v>
      </c>
      <c r="E1894" s="816" t="s">
        <v>2925</v>
      </c>
      <c r="F1894" s="826">
        <v>0</v>
      </c>
      <c r="G1894" s="880">
        <v>0</v>
      </c>
      <c r="H1894" s="465"/>
      <c r="I1894" s="465"/>
      <c r="J1894" s="826">
        <v>0</v>
      </c>
      <c r="K1894" s="878">
        <v>0</v>
      </c>
    </row>
    <row r="1895" spans="1:11" ht="22.5" customHeight="1" x14ac:dyDescent="0.25">
      <c r="A1895" s="816" t="s">
        <v>285</v>
      </c>
      <c r="B1895" s="880">
        <v>2025</v>
      </c>
      <c r="C1895" s="816" t="s">
        <v>1901</v>
      </c>
      <c r="D1895" s="816" t="s">
        <v>1902</v>
      </c>
      <c r="E1895" s="816" t="s">
        <v>2926</v>
      </c>
      <c r="F1895" s="826">
        <v>0</v>
      </c>
      <c r="G1895" s="880">
        <v>0</v>
      </c>
      <c r="H1895" s="465"/>
      <c r="I1895" s="465"/>
      <c r="J1895" s="826">
        <v>0</v>
      </c>
      <c r="K1895" s="878">
        <v>0</v>
      </c>
    </row>
    <row r="1896" spans="1:11" ht="22.5" customHeight="1" x14ac:dyDescent="0.25">
      <c r="A1896" s="816" t="s">
        <v>285</v>
      </c>
      <c r="B1896" s="880">
        <v>2025</v>
      </c>
      <c r="C1896" s="816" t="s">
        <v>1904</v>
      </c>
      <c r="D1896" s="816" t="s">
        <v>1905</v>
      </c>
      <c r="E1896" s="816" t="s">
        <v>2927</v>
      </c>
      <c r="F1896" s="826">
        <v>0</v>
      </c>
      <c r="G1896" s="880">
        <v>0</v>
      </c>
      <c r="H1896" s="465"/>
      <c r="I1896" s="465"/>
      <c r="J1896" s="826">
        <v>0</v>
      </c>
      <c r="K1896" s="878">
        <v>0</v>
      </c>
    </row>
    <row r="1897" spans="1:11" ht="22.5" customHeight="1" x14ac:dyDescent="0.25">
      <c r="A1897" s="816" t="s">
        <v>285</v>
      </c>
      <c r="B1897" s="880">
        <v>2025</v>
      </c>
      <c r="C1897" s="816" t="s">
        <v>1907</v>
      </c>
      <c r="D1897" s="816" t="s">
        <v>1908</v>
      </c>
      <c r="E1897" s="816" t="s">
        <v>2928</v>
      </c>
      <c r="F1897" s="826">
        <v>0</v>
      </c>
      <c r="G1897" s="880">
        <v>0</v>
      </c>
      <c r="H1897" s="465"/>
      <c r="I1897" s="465"/>
      <c r="J1897" s="826">
        <v>0</v>
      </c>
      <c r="K1897" s="878">
        <v>0</v>
      </c>
    </row>
    <row r="1898" spans="1:11" ht="22.5" customHeight="1" x14ac:dyDescent="0.25">
      <c r="A1898" s="816" t="s">
        <v>285</v>
      </c>
      <c r="B1898" s="880">
        <v>2025</v>
      </c>
      <c r="C1898" s="816" t="s">
        <v>1910</v>
      </c>
      <c r="D1898" s="816" t="s">
        <v>1911</v>
      </c>
      <c r="E1898" s="816" t="s">
        <v>2929</v>
      </c>
      <c r="F1898" s="826">
        <v>0</v>
      </c>
      <c r="G1898" s="880">
        <v>0</v>
      </c>
      <c r="H1898" s="465"/>
      <c r="I1898" s="465"/>
      <c r="J1898" s="826">
        <v>0</v>
      </c>
      <c r="K1898" s="878">
        <v>0</v>
      </c>
    </row>
    <row r="1899" spans="1:11" ht="22.5" customHeight="1" x14ac:dyDescent="0.25">
      <c r="A1899" s="816" t="s">
        <v>285</v>
      </c>
      <c r="B1899" s="880">
        <v>2025</v>
      </c>
      <c r="C1899" s="816" t="s">
        <v>1913</v>
      </c>
      <c r="D1899" s="816" t="s">
        <v>1914</v>
      </c>
      <c r="E1899" s="816" t="s">
        <v>2930</v>
      </c>
      <c r="F1899" s="826">
        <v>-321517.40000000002</v>
      </c>
      <c r="G1899" s="880">
        <v>1</v>
      </c>
      <c r="H1899" s="826">
        <v>-304464.01</v>
      </c>
      <c r="I1899" s="826">
        <v>-17053.39</v>
      </c>
      <c r="J1899" s="826">
        <v>-321517.40000000002</v>
      </c>
      <c r="K1899" s="878">
        <v>-321517.40000000002</v>
      </c>
    </row>
    <row r="1900" spans="1:11" ht="22.5" customHeight="1" x14ac:dyDescent="0.25">
      <c r="A1900" s="816" t="s">
        <v>285</v>
      </c>
      <c r="B1900" s="880">
        <v>2025</v>
      </c>
      <c r="C1900" s="816" t="s">
        <v>1913</v>
      </c>
      <c r="D1900" s="816" t="s">
        <v>1916</v>
      </c>
      <c r="E1900" s="816" t="s">
        <v>2930</v>
      </c>
      <c r="F1900" s="826">
        <v>0</v>
      </c>
      <c r="G1900" s="880">
        <v>0</v>
      </c>
      <c r="H1900" s="465"/>
      <c r="I1900" s="465"/>
      <c r="J1900" s="826">
        <v>0</v>
      </c>
      <c r="K1900" s="881">
        <v>0</v>
      </c>
    </row>
    <row r="1901" spans="1:11" ht="22.5" customHeight="1" x14ac:dyDescent="0.25">
      <c r="A1901" s="816" t="s">
        <v>285</v>
      </c>
      <c r="B1901" s="880">
        <v>2025</v>
      </c>
      <c r="C1901" s="816" t="s">
        <v>1913</v>
      </c>
      <c r="D1901" s="816" t="s">
        <v>1917</v>
      </c>
      <c r="E1901" s="816" t="s">
        <v>2930</v>
      </c>
      <c r="F1901" s="826">
        <v>0</v>
      </c>
      <c r="G1901" s="880">
        <v>0</v>
      </c>
      <c r="H1901" s="465"/>
      <c r="I1901" s="465"/>
      <c r="J1901" s="826">
        <v>0</v>
      </c>
      <c r="K1901" s="881">
        <v>0</v>
      </c>
    </row>
    <row r="1902" spans="1:11" ht="22.5" customHeight="1" x14ac:dyDescent="0.25">
      <c r="A1902" s="816" t="s">
        <v>285</v>
      </c>
      <c r="B1902" s="880">
        <v>2025</v>
      </c>
      <c r="C1902" s="816" t="s">
        <v>1913</v>
      </c>
      <c r="D1902" s="816" t="s">
        <v>1918</v>
      </c>
      <c r="E1902" s="816" t="s">
        <v>2930</v>
      </c>
      <c r="F1902" s="826">
        <v>0</v>
      </c>
      <c r="G1902" s="880">
        <v>0</v>
      </c>
      <c r="H1902" s="465"/>
      <c r="I1902" s="465"/>
      <c r="J1902" s="826">
        <v>0</v>
      </c>
      <c r="K1902" s="881">
        <v>2315.96</v>
      </c>
    </row>
    <row r="1903" spans="1:11" ht="22.5" customHeight="1" x14ac:dyDescent="0.25">
      <c r="A1903" s="816" t="s">
        <v>285</v>
      </c>
      <c r="B1903" s="880">
        <v>2025</v>
      </c>
      <c r="C1903" s="816" t="s">
        <v>1913</v>
      </c>
      <c r="D1903" s="816" t="s">
        <v>1919</v>
      </c>
      <c r="E1903" s="816" t="s">
        <v>2930</v>
      </c>
      <c r="F1903" s="826">
        <v>0</v>
      </c>
      <c r="G1903" s="880">
        <v>0</v>
      </c>
      <c r="H1903" s="465"/>
      <c r="I1903" s="465"/>
      <c r="J1903" s="826">
        <v>0</v>
      </c>
      <c r="K1903" s="881">
        <v>134499.01999999999</v>
      </c>
    </row>
    <row r="1904" spans="1:11" ht="22.5" customHeight="1" x14ac:dyDescent="0.25">
      <c r="A1904" s="816" t="s">
        <v>285</v>
      </c>
      <c r="B1904" s="880">
        <v>2025</v>
      </c>
      <c r="C1904" s="816" t="s">
        <v>1920</v>
      </c>
      <c r="D1904" s="816" t="s">
        <v>1921</v>
      </c>
      <c r="E1904" s="816" t="s">
        <v>2931</v>
      </c>
      <c r="F1904" s="826">
        <v>0</v>
      </c>
      <c r="G1904" s="880">
        <v>0</v>
      </c>
      <c r="H1904" s="465"/>
      <c r="I1904" s="465"/>
      <c r="J1904" s="826">
        <v>0</v>
      </c>
      <c r="K1904" s="878">
        <v>0</v>
      </c>
    </row>
    <row r="1905" spans="1:11" ht="22.5" customHeight="1" x14ac:dyDescent="0.25">
      <c r="A1905" s="816" t="s">
        <v>285</v>
      </c>
      <c r="B1905" s="880">
        <v>2025</v>
      </c>
      <c r="C1905" s="816" t="s">
        <v>1923</v>
      </c>
      <c r="D1905" s="816" t="s">
        <v>143</v>
      </c>
      <c r="E1905" s="816" t="s">
        <v>2932</v>
      </c>
      <c r="F1905" s="826">
        <v>293617.59000000003</v>
      </c>
      <c r="G1905" s="880">
        <v>1</v>
      </c>
      <c r="H1905" s="826">
        <v>283932</v>
      </c>
      <c r="I1905" s="826">
        <v>9685.59</v>
      </c>
      <c r="J1905" s="826">
        <v>293617.59000000003</v>
      </c>
      <c r="K1905" s="878">
        <v>293617.59000000003</v>
      </c>
    </row>
    <row r="1906" spans="1:11" ht="22.5" customHeight="1" x14ac:dyDescent="0.25">
      <c r="A1906" s="816" t="s">
        <v>285</v>
      </c>
      <c r="B1906" s="880">
        <v>2025</v>
      </c>
      <c r="C1906" s="816" t="s">
        <v>1925</v>
      </c>
      <c r="D1906" s="816" t="s">
        <v>144</v>
      </c>
      <c r="E1906" s="816" t="s">
        <v>2933</v>
      </c>
      <c r="F1906" s="826">
        <v>14738.05</v>
      </c>
      <c r="G1906" s="880">
        <v>1</v>
      </c>
      <c r="H1906" s="826">
        <v>14523.67</v>
      </c>
      <c r="I1906" s="826">
        <v>214.38</v>
      </c>
      <c r="J1906" s="826">
        <v>14738.05</v>
      </c>
      <c r="K1906" s="878">
        <v>14738.05</v>
      </c>
    </row>
    <row r="1907" spans="1:11" ht="22.5" customHeight="1" x14ac:dyDescent="0.25">
      <c r="A1907" s="816" t="s">
        <v>285</v>
      </c>
      <c r="B1907" s="880">
        <v>2025</v>
      </c>
      <c r="C1907" s="816" t="s">
        <v>1927</v>
      </c>
      <c r="D1907" s="816" t="s">
        <v>1928</v>
      </c>
      <c r="E1907" s="816" t="s">
        <v>2934</v>
      </c>
      <c r="F1907" s="826">
        <v>14479.35</v>
      </c>
      <c r="G1907" s="880">
        <v>1</v>
      </c>
      <c r="H1907" s="826">
        <v>17817.400000000001</v>
      </c>
      <c r="I1907" s="826">
        <v>-3338.05</v>
      </c>
      <c r="J1907" s="826">
        <v>14479.35</v>
      </c>
      <c r="K1907" s="878">
        <v>14479.35</v>
      </c>
    </row>
    <row r="1908" spans="1:11" ht="22.5" customHeight="1" x14ac:dyDescent="0.25">
      <c r="A1908" s="816" t="s">
        <v>285</v>
      </c>
      <c r="B1908" s="880">
        <v>2025</v>
      </c>
      <c r="C1908" s="816" t="s">
        <v>1930</v>
      </c>
      <c r="D1908" s="816" t="s">
        <v>156</v>
      </c>
      <c r="E1908" s="816" t="s">
        <v>2935</v>
      </c>
      <c r="F1908" s="826">
        <v>80491.03</v>
      </c>
      <c r="G1908" s="880">
        <v>1</v>
      </c>
      <c r="H1908" s="826">
        <v>75749.69</v>
      </c>
      <c r="I1908" s="826">
        <v>4741.34</v>
      </c>
      <c r="J1908" s="826">
        <v>80491.03</v>
      </c>
      <c r="K1908" s="878">
        <v>80491.03</v>
      </c>
    </row>
    <row r="1909" spans="1:11" ht="22.5" customHeight="1" x14ac:dyDescent="0.25">
      <c r="A1909" s="816" t="s">
        <v>285</v>
      </c>
      <c r="B1909" s="880">
        <v>2025</v>
      </c>
      <c r="C1909" s="816" t="s">
        <v>1932</v>
      </c>
      <c r="D1909" s="816" t="s">
        <v>1933</v>
      </c>
      <c r="E1909" s="816" t="s">
        <v>2936</v>
      </c>
      <c r="F1909" s="826">
        <v>0</v>
      </c>
      <c r="G1909" s="880">
        <v>0</v>
      </c>
      <c r="H1909" s="465"/>
      <c r="I1909" s="465"/>
      <c r="J1909" s="826">
        <v>0</v>
      </c>
      <c r="K1909" s="878">
        <v>0</v>
      </c>
    </row>
    <row r="1910" spans="1:11" ht="22.5" customHeight="1" x14ac:dyDescent="0.25">
      <c r="A1910" s="816" t="s">
        <v>285</v>
      </c>
      <c r="B1910" s="880">
        <v>2025</v>
      </c>
      <c r="C1910" s="816" t="s">
        <v>1935</v>
      </c>
      <c r="D1910" s="816" t="s">
        <v>1936</v>
      </c>
      <c r="E1910" s="816" t="s">
        <v>8454</v>
      </c>
      <c r="F1910" s="826">
        <v>0</v>
      </c>
      <c r="G1910" s="880">
        <v>1</v>
      </c>
      <c r="H1910" s="465"/>
      <c r="I1910" s="465"/>
      <c r="J1910" s="826">
        <v>0</v>
      </c>
      <c r="K1910" s="878">
        <v>0</v>
      </c>
    </row>
    <row r="1911" spans="1:11" ht="22.5" customHeight="1" x14ac:dyDescent="0.25">
      <c r="A1911" s="816" t="s">
        <v>285</v>
      </c>
      <c r="B1911" s="880">
        <v>2025</v>
      </c>
      <c r="C1911" s="816" t="s">
        <v>1935</v>
      </c>
      <c r="D1911" s="816" t="s">
        <v>1937</v>
      </c>
      <c r="E1911" s="816" t="s">
        <v>8455</v>
      </c>
      <c r="F1911" s="826">
        <v>0</v>
      </c>
      <c r="G1911" s="880">
        <v>1</v>
      </c>
      <c r="H1911" s="465"/>
      <c r="I1911" s="465"/>
      <c r="J1911" s="826">
        <v>0</v>
      </c>
      <c r="K1911" s="878">
        <v>0</v>
      </c>
    </row>
    <row r="1912" spans="1:11" ht="22.5" customHeight="1" x14ac:dyDescent="0.25">
      <c r="A1912" s="816" t="s">
        <v>285</v>
      </c>
      <c r="B1912" s="880">
        <v>2025</v>
      </c>
      <c r="C1912" s="816" t="s">
        <v>1935</v>
      </c>
      <c r="D1912" s="816" t="s">
        <v>1938</v>
      </c>
      <c r="E1912" s="816" t="s">
        <v>8456</v>
      </c>
      <c r="F1912" s="826">
        <v>0</v>
      </c>
      <c r="G1912" s="880">
        <v>1</v>
      </c>
      <c r="H1912" s="465"/>
      <c r="I1912" s="465"/>
      <c r="J1912" s="826">
        <v>0</v>
      </c>
      <c r="K1912" s="878">
        <v>0</v>
      </c>
    </row>
    <row r="1913" spans="1:11" ht="22.5" customHeight="1" x14ac:dyDescent="0.25">
      <c r="A1913" s="816" t="s">
        <v>285</v>
      </c>
      <c r="B1913" s="880">
        <v>2025</v>
      </c>
      <c r="C1913" s="816" t="s">
        <v>1935</v>
      </c>
      <c r="D1913" s="816" t="s">
        <v>1939</v>
      </c>
      <c r="E1913" s="816" t="s">
        <v>8457</v>
      </c>
      <c r="F1913" s="826">
        <v>0</v>
      </c>
      <c r="G1913" s="880">
        <v>1</v>
      </c>
      <c r="H1913" s="465"/>
      <c r="I1913" s="465"/>
      <c r="J1913" s="826">
        <v>0</v>
      </c>
      <c r="K1913" s="878">
        <v>0</v>
      </c>
    </row>
    <row r="1914" spans="1:11" ht="22.5" customHeight="1" x14ac:dyDescent="0.25">
      <c r="A1914" s="816" t="s">
        <v>285</v>
      </c>
      <c r="B1914" s="880">
        <v>2025</v>
      </c>
      <c r="C1914" s="816" t="s">
        <v>1935</v>
      </c>
      <c r="D1914" s="816" t="s">
        <v>1940</v>
      </c>
      <c r="E1914" s="816" t="s">
        <v>8458</v>
      </c>
      <c r="F1914" s="826">
        <v>0</v>
      </c>
      <c r="G1914" s="880">
        <v>1</v>
      </c>
      <c r="H1914" s="465"/>
      <c r="I1914" s="465"/>
      <c r="J1914" s="826">
        <v>0</v>
      </c>
      <c r="K1914" s="878">
        <v>0</v>
      </c>
    </row>
    <row r="1915" spans="1:11" ht="22.5" customHeight="1" x14ac:dyDescent="0.25">
      <c r="A1915" s="816" t="s">
        <v>285</v>
      </c>
      <c r="B1915" s="880">
        <v>2025</v>
      </c>
      <c r="C1915" s="816" t="s">
        <v>1935</v>
      </c>
      <c r="D1915" s="816" t="s">
        <v>1941</v>
      </c>
      <c r="E1915" s="816" t="s">
        <v>8459</v>
      </c>
      <c r="F1915" s="826">
        <v>0</v>
      </c>
      <c r="G1915" s="880">
        <v>1</v>
      </c>
      <c r="H1915" s="465"/>
      <c r="I1915" s="465"/>
      <c r="J1915" s="826">
        <v>0</v>
      </c>
      <c r="K1915" s="878">
        <v>0</v>
      </c>
    </row>
    <row r="1916" spans="1:11" ht="22.5" customHeight="1" x14ac:dyDescent="0.25">
      <c r="A1916" s="816" t="s">
        <v>285</v>
      </c>
      <c r="B1916" s="880">
        <v>2025</v>
      </c>
      <c r="C1916" s="816" t="s">
        <v>1935</v>
      </c>
      <c r="D1916" s="816" t="s">
        <v>1942</v>
      </c>
      <c r="E1916" s="816" t="s">
        <v>8460</v>
      </c>
      <c r="F1916" s="826">
        <v>0</v>
      </c>
      <c r="G1916" s="880">
        <v>1</v>
      </c>
      <c r="H1916" s="465"/>
      <c r="I1916" s="465"/>
      <c r="J1916" s="826">
        <v>0</v>
      </c>
      <c r="K1916" s="878">
        <v>0</v>
      </c>
    </row>
    <row r="1917" spans="1:11" ht="22.5" customHeight="1" x14ac:dyDescent="0.25">
      <c r="A1917" s="816" t="s">
        <v>285</v>
      </c>
      <c r="B1917" s="880">
        <v>2025</v>
      </c>
      <c r="C1917" s="816" t="s">
        <v>1935</v>
      </c>
      <c r="D1917" s="816" t="s">
        <v>1943</v>
      </c>
      <c r="E1917" s="816" t="s">
        <v>8461</v>
      </c>
      <c r="F1917" s="826">
        <v>0</v>
      </c>
      <c r="G1917" s="880">
        <v>1</v>
      </c>
      <c r="H1917" s="465"/>
      <c r="I1917" s="465"/>
      <c r="J1917" s="826">
        <v>0</v>
      </c>
      <c r="K1917" s="878">
        <v>0</v>
      </c>
    </row>
    <row r="1918" spans="1:11" ht="22.5" customHeight="1" x14ac:dyDescent="0.25">
      <c r="A1918" s="816" t="s">
        <v>285</v>
      </c>
      <c r="B1918" s="880">
        <v>2025</v>
      </c>
      <c r="C1918" s="816" t="s">
        <v>1935</v>
      </c>
      <c r="D1918" s="816" t="s">
        <v>1944</v>
      </c>
      <c r="E1918" s="816" t="s">
        <v>8462</v>
      </c>
      <c r="F1918" s="826">
        <v>0</v>
      </c>
      <c r="G1918" s="880">
        <v>1</v>
      </c>
      <c r="H1918" s="465"/>
      <c r="I1918" s="465"/>
      <c r="J1918" s="826">
        <v>0</v>
      </c>
      <c r="K1918" s="878">
        <v>0</v>
      </c>
    </row>
    <row r="1919" spans="1:11" ht="22.5" customHeight="1" x14ac:dyDescent="0.25">
      <c r="A1919" s="816" t="s">
        <v>285</v>
      </c>
      <c r="B1919" s="880">
        <v>2025</v>
      </c>
      <c r="C1919" s="816" t="s">
        <v>1935</v>
      </c>
      <c r="D1919" s="816" t="s">
        <v>1945</v>
      </c>
      <c r="E1919" s="816" t="s">
        <v>8463</v>
      </c>
      <c r="F1919" s="826">
        <v>0</v>
      </c>
      <c r="G1919" s="880">
        <v>1</v>
      </c>
      <c r="H1919" s="465"/>
      <c r="I1919" s="465"/>
      <c r="J1919" s="826">
        <v>0</v>
      </c>
      <c r="K1919" s="878">
        <v>0</v>
      </c>
    </row>
    <row r="1920" spans="1:11" ht="22.5" customHeight="1" x14ac:dyDescent="0.25">
      <c r="A1920" s="816" t="s">
        <v>285</v>
      </c>
      <c r="B1920" s="880">
        <v>2025</v>
      </c>
      <c r="C1920" s="816" t="s">
        <v>1935</v>
      </c>
      <c r="D1920" s="816" t="s">
        <v>1946</v>
      </c>
      <c r="E1920" s="816" t="s">
        <v>8464</v>
      </c>
      <c r="F1920" s="826">
        <v>0</v>
      </c>
      <c r="G1920" s="880">
        <v>1</v>
      </c>
      <c r="H1920" s="465"/>
      <c r="I1920" s="465"/>
      <c r="J1920" s="826">
        <v>0</v>
      </c>
      <c r="K1920" s="878">
        <v>0</v>
      </c>
    </row>
    <row r="1921" spans="1:11" ht="22.5" customHeight="1" x14ac:dyDescent="0.25">
      <c r="A1921" s="816" t="s">
        <v>285</v>
      </c>
      <c r="B1921" s="880">
        <v>2025</v>
      </c>
      <c r="C1921" s="816" t="s">
        <v>1935</v>
      </c>
      <c r="D1921" s="816" t="s">
        <v>1947</v>
      </c>
      <c r="E1921" s="816" t="s">
        <v>8465</v>
      </c>
      <c r="F1921" s="826">
        <v>0</v>
      </c>
      <c r="G1921" s="880">
        <v>1</v>
      </c>
      <c r="H1921" s="826">
        <v>0</v>
      </c>
      <c r="I1921" s="826">
        <v>12712.57</v>
      </c>
      <c r="J1921" s="826">
        <v>12712.57</v>
      </c>
      <c r="K1921" s="878">
        <v>12712.57</v>
      </c>
    </row>
    <row r="1922" spans="1:11" ht="22.5" customHeight="1" x14ac:dyDescent="0.25">
      <c r="A1922" s="816" t="s">
        <v>285</v>
      </c>
      <c r="B1922" s="880">
        <v>2025</v>
      </c>
      <c r="C1922" s="816" t="s">
        <v>1935</v>
      </c>
      <c r="D1922" s="816" t="s">
        <v>1948</v>
      </c>
      <c r="E1922" s="816" t="s">
        <v>8466</v>
      </c>
      <c r="F1922" s="826">
        <v>0</v>
      </c>
      <c r="G1922" s="880">
        <v>1</v>
      </c>
      <c r="H1922" s="826">
        <v>36023.65</v>
      </c>
      <c r="I1922" s="826">
        <v>20237.52</v>
      </c>
      <c r="J1922" s="826">
        <v>56261.17</v>
      </c>
      <c r="K1922" s="878">
        <v>56261.17</v>
      </c>
    </row>
    <row r="1923" spans="1:11" ht="22.5" customHeight="1" x14ac:dyDescent="0.25">
      <c r="A1923" s="816" t="s">
        <v>285</v>
      </c>
      <c r="B1923" s="880">
        <v>2025</v>
      </c>
      <c r="C1923" s="816" t="s">
        <v>1935</v>
      </c>
      <c r="D1923" s="816" t="s">
        <v>1949</v>
      </c>
      <c r="E1923" s="816" t="s">
        <v>8467</v>
      </c>
      <c r="F1923" s="826">
        <v>0</v>
      </c>
      <c r="G1923" s="880">
        <v>1</v>
      </c>
      <c r="H1923" s="826">
        <v>8857.15</v>
      </c>
      <c r="I1923" s="826">
        <v>902.46</v>
      </c>
      <c r="J1923" s="826">
        <v>9759.61</v>
      </c>
      <c r="K1923" s="878">
        <v>9759.61</v>
      </c>
    </row>
    <row r="1924" spans="1:11" ht="22.5" customHeight="1" x14ac:dyDescent="0.25">
      <c r="A1924" s="816" t="s">
        <v>285</v>
      </c>
      <c r="B1924" s="880">
        <v>2025</v>
      </c>
      <c r="C1924" s="816" t="s">
        <v>1935</v>
      </c>
      <c r="D1924" s="816" t="s">
        <v>1950</v>
      </c>
      <c r="E1924" s="816" t="s">
        <v>8468</v>
      </c>
      <c r="F1924" s="826">
        <v>0</v>
      </c>
      <c r="G1924" s="880">
        <v>1</v>
      </c>
      <c r="H1924" s="465"/>
      <c r="I1924" s="826">
        <v>-1627.27</v>
      </c>
      <c r="J1924" s="826">
        <v>-1627.27</v>
      </c>
      <c r="K1924" s="878">
        <v>-1627.27</v>
      </c>
    </row>
    <row r="1925" spans="1:11" ht="22.5" customHeight="1" x14ac:dyDescent="0.25">
      <c r="A1925" s="816" t="s">
        <v>285</v>
      </c>
      <c r="B1925" s="880">
        <v>2025</v>
      </c>
      <c r="C1925" s="816" t="s">
        <v>1935</v>
      </c>
      <c r="D1925" s="816" t="s">
        <v>1951</v>
      </c>
      <c r="E1925" s="816" t="s">
        <v>8469</v>
      </c>
      <c r="F1925" s="826">
        <v>0</v>
      </c>
      <c r="G1925" s="880">
        <v>1</v>
      </c>
      <c r="H1925" s="826">
        <v>-38879.22</v>
      </c>
      <c r="I1925" s="826">
        <v>-1875.6</v>
      </c>
      <c r="J1925" s="826">
        <v>-40754.82</v>
      </c>
      <c r="K1925" s="878">
        <v>-40754.82</v>
      </c>
    </row>
    <row r="1926" spans="1:11" ht="22.5" customHeight="1" x14ac:dyDescent="0.25">
      <c r="A1926" s="816" t="s">
        <v>285</v>
      </c>
      <c r="B1926" s="880">
        <v>2025</v>
      </c>
      <c r="C1926" s="816" t="s">
        <v>1935</v>
      </c>
      <c r="D1926" s="816" t="s">
        <v>7801</v>
      </c>
      <c r="E1926" s="816" t="s">
        <v>8470</v>
      </c>
      <c r="F1926" s="826">
        <v>0</v>
      </c>
      <c r="G1926" s="880">
        <v>1</v>
      </c>
      <c r="H1926" s="826">
        <v>-50703.98</v>
      </c>
      <c r="I1926" s="465"/>
      <c r="J1926" s="826">
        <v>-50703.98</v>
      </c>
      <c r="K1926" s="878">
        <v>-50703.98</v>
      </c>
    </row>
    <row r="1927" spans="1:11" ht="22.5" customHeight="1" x14ac:dyDescent="0.25">
      <c r="A1927" s="816" t="s">
        <v>285</v>
      </c>
      <c r="B1927" s="880">
        <v>2025</v>
      </c>
      <c r="C1927" s="816" t="s">
        <v>1935</v>
      </c>
      <c r="D1927" s="816" t="s">
        <v>1952</v>
      </c>
      <c r="E1927" s="816" t="s">
        <v>8471</v>
      </c>
      <c r="F1927" s="826">
        <v>-14352.72</v>
      </c>
      <c r="G1927" s="880">
        <v>0</v>
      </c>
      <c r="H1927" s="465"/>
      <c r="I1927" s="465"/>
      <c r="J1927" s="826">
        <v>0</v>
      </c>
      <c r="K1927" s="878">
        <v>-14352.72</v>
      </c>
    </row>
    <row r="1928" spans="1:11" ht="22.5" customHeight="1" x14ac:dyDescent="0.25">
      <c r="A1928" s="816" t="s">
        <v>285</v>
      </c>
      <c r="B1928" s="880">
        <v>2025</v>
      </c>
      <c r="C1928" s="816" t="s">
        <v>1953</v>
      </c>
      <c r="D1928" s="816" t="s">
        <v>1954</v>
      </c>
      <c r="E1928" s="816" t="s">
        <v>2937</v>
      </c>
      <c r="F1928" s="826">
        <v>0</v>
      </c>
      <c r="G1928" s="880">
        <v>0</v>
      </c>
      <c r="H1928" s="465"/>
      <c r="I1928" s="465"/>
      <c r="J1928" s="826">
        <v>0</v>
      </c>
      <c r="K1928" s="878">
        <v>0</v>
      </c>
    </row>
    <row r="1929" spans="1:11" ht="22.5" customHeight="1" x14ac:dyDescent="0.25">
      <c r="A1929" s="816" t="s">
        <v>287</v>
      </c>
      <c r="B1929" s="880">
        <v>2025</v>
      </c>
      <c r="C1929" s="816" t="s">
        <v>1854</v>
      </c>
      <c r="D1929" s="816" t="s">
        <v>1855</v>
      </c>
      <c r="E1929" s="816" t="s">
        <v>2938</v>
      </c>
      <c r="F1929" s="826">
        <v>430880</v>
      </c>
      <c r="G1929" s="880">
        <v>0</v>
      </c>
      <c r="H1929" s="465"/>
      <c r="I1929" s="465"/>
      <c r="J1929" s="826">
        <v>0</v>
      </c>
      <c r="K1929" s="878">
        <v>430880</v>
      </c>
    </row>
    <row r="1930" spans="1:11" ht="22.5" customHeight="1" x14ac:dyDescent="0.25">
      <c r="A1930" s="816" t="s">
        <v>287</v>
      </c>
      <c r="B1930" s="880">
        <v>2025</v>
      </c>
      <c r="C1930" s="816" t="s">
        <v>7746</v>
      </c>
      <c r="D1930" s="816" t="s">
        <v>7747</v>
      </c>
      <c r="E1930" s="816" t="s">
        <v>7784</v>
      </c>
      <c r="F1930" s="826">
        <v>0</v>
      </c>
      <c r="G1930" s="880">
        <v>0</v>
      </c>
      <c r="H1930" s="465"/>
      <c r="I1930" s="465"/>
      <c r="J1930" s="826">
        <v>0</v>
      </c>
      <c r="K1930" s="878">
        <v>0</v>
      </c>
    </row>
    <row r="1931" spans="1:11" ht="22.5" customHeight="1" x14ac:dyDescent="0.25">
      <c r="A1931" s="816" t="s">
        <v>287</v>
      </c>
      <c r="B1931" s="880">
        <v>2025</v>
      </c>
      <c r="C1931" s="816" t="s">
        <v>1857</v>
      </c>
      <c r="D1931" s="816" t="s">
        <v>1858</v>
      </c>
      <c r="E1931" s="816" t="s">
        <v>2939</v>
      </c>
      <c r="F1931" s="826">
        <v>0</v>
      </c>
      <c r="G1931" s="880">
        <v>0</v>
      </c>
      <c r="H1931" s="465"/>
      <c r="I1931" s="465"/>
      <c r="J1931" s="826">
        <v>0</v>
      </c>
      <c r="K1931" s="878">
        <v>0</v>
      </c>
    </row>
    <row r="1932" spans="1:11" ht="22.5" customHeight="1" x14ac:dyDescent="0.25">
      <c r="A1932" s="816" t="s">
        <v>287</v>
      </c>
      <c r="B1932" s="880">
        <v>2025</v>
      </c>
      <c r="C1932" s="816" t="s">
        <v>1860</v>
      </c>
      <c r="D1932" s="816" t="s">
        <v>1861</v>
      </c>
      <c r="E1932" s="816" t="s">
        <v>2940</v>
      </c>
      <c r="F1932" s="826">
        <v>0</v>
      </c>
      <c r="G1932" s="880">
        <v>0</v>
      </c>
      <c r="H1932" s="465"/>
      <c r="I1932" s="465"/>
      <c r="J1932" s="826">
        <v>0</v>
      </c>
      <c r="K1932" s="878">
        <v>0</v>
      </c>
    </row>
    <row r="1933" spans="1:11" ht="22.5" customHeight="1" x14ac:dyDescent="0.25">
      <c r="A1933" s="816" t="s">
        <v>287</v>
      </c>
      <c r="B1933" s="880">
        <v>2025</v>
      </c>
      <c r="C1933" s="816" t="s">
        <v>1863</v>
      </c>
      <c r="D1933" s="816" t="s">
        <v>1864</v>
      </c>
      <c r="E1933" s="816" t="s">
        <v>2941</v>
      </c>
      <c r="F1933" s="826">
        <v>0</v>
      </c>
      <c r="G1933" s="880">
        <v>0</v>
      </c>
      <c r="H1933" s="465"/>
      <c r="I1933" s="465"/>
      <c r="J1933" s="826">
        <v>0</v>
      </c>
      <c r="K1933" s="878">
        <v>0</v>
      </c>
    </row>
    <row r="1934" spans="1:11" ht="22.5" customHeight="1" x14ac:dyDescent="0.25">
      <c r="A1934" s="816" t="s">
        <v>287</v>
      </c>
      <c r="B1934" s="880">
        <v>2025</v>
      </c>
      <c r="C1934" s="816" t="s">
        <v>1866</v>
      </c>
      <c r="D1934" s="816" t="s">
        <v>1867</v>
      </c>
      <c r="E1934" s="816" t="s">
        <v>2942</v>
      </c>
      <c r="F1934" s="826">
        <v>0</v>
      </c>
      <c r="G1934" s="880">
        <v>0</v>
      </c>
      <c r="H1934" s="465"/>
      <c r="I1934" s="465"/>
      <c r="J1934" s="826">
        <v>0</v>
      </c>
      <c r="K1934" s="878">
        <v>0</v>
      </c>
    </row>
    <row r="1935" spans="1:11" ht="22.5" customHeight="1" x14ac:dyDescent="0.25">
      <c r="A1935" s="816" t="s">
        <v>287</v>
      </c>
      <c r="B1935" s="880">
        <v>2025</v>
      </c>
      <c r="C1935" s="816" t="s">
        <v>1869</v>
      </c>
      <c r="D1935" s="816" t="s">
        <v>1870</v>
      </c>
      <c r="E1935" s="816" t="s">
        <v>2943</v>
      </c>
      <c r="F1935" s="826">
        <v>0</v>
      </c>
      <c r="G1935" s="880">
        <v>0</v>
      </c>
      <c r="H1935" s="465"/>
      <c r="I1935" s="465"/>
      <c r="J1935" s="826">
        <v>0</v>
      </c>
      <c r="K1935" s="878">
        <v>0</v>
      </c>
    </row>
    <row r="1936" spans="1:11" ht="22.5" customHeight="1" x14ac:dyDescent="0.25">
      <c r="A1936" s="816" t="s">
        <v>287</v>
      </c>
      <c r="B1936" s="880">
        <v>2025</v>
      </c>
      <c r="C1936" s="816" t="s">
        <v>1872</v>
      </c>
      <c r="D1936" s="816" t="s">
        <v>1873</v>
      </c>
      <c r="E1936" s="816" t="s">
        <v>2944</v>
      </c>
      <c r="F1936" s="826">
        <v>0</v>
      </c>
      <c r="G1936" s="880">
        <v>0</v>
      </c>
      <c r="H1936" s="465"/>
      <c r="I1936" s="465"/>
      <c r="J1936" s="826">
        <v>0</v>
      </c>
      <c r="K1936" s="878">
        <v>0</v>
      </c>
    </row>
    <row r="1937" spans="1:11" ht="22.5" customHeight="1" x14ac:dyDescent="0.25">
      <c r="A1937" s="816" t="s">
        <v>287</v>
      </c>
      <c r="B1937" s="880">
        <v>2025</v>
      </c>
      <c r="C1937" s="816" t="s">
        <v>1875</v>
      </c>
      <c r="D1937" s="816" t="s">
        <v>1876</v>
      </c>
      <c r="E1937" s="816" t="s">
        <v>2945</v>
      </c>
      <c r="F1937" s="826">
        <v>0</v>
      </c>
      <c r="G1937" s="880">
        <v>0</v>
      </c>
      <c r="H1937" s="465"/>
      <c r="I1937" s="465"/>
      <c r="J1937" s="826">
        <v>0</v>
      </c>
      <c r="K1937" s="878">
        <v>0</v>
      </c>
    </row>
    <row r="1938" spans="1:11" ht="22.5" customHeight="1" x14ac:dyDescent="0.25">
      <c r="A1938" s="816" t="s">
        <v>287</v>
      </c>
      <c r="B1938" s="880">
        <v>2025</v>
      </c>
      <c r="C1938" s="816" t="s">
        <v>1878</v>
      </c>
      <c r="D1938" s="816" t="s">
        <v>1879</v>
      </c>
      <c r="E1938" s="816" t="s">
        <v>2946</v>
      </c>
      <c r="F1938" s="826">
        <v>0</v>
      </c>
      <c r="G1938" s="880">
        <v>0</v>
      </c>
      <c r="H1938" s="465"/>
      <c r="I1938" s="465"/>
      <c r="J1938" s="826">
        <v>0</v>
      </c>
      <c r="K1938" s="878">
        <v>0</v>
      </c>
    </row>
    <row r="1939" spans="1:11" ht="22.5" customHeight="1" x14ac:dyDescent="0.25">
      <c r="A1939" s="816" t="s">
        <v>287</v>
      </c>
      <c r="B1939" s="880">
        <v>2025</v>
      </c>
      <c r="C1939" s="816" t="s">
        <v>1881</v>
      </c>
      <c r="D1939" s="816" t="s">
        <v>1882</v>
      </c>
      <c r="E1939" s="816" t="s">
        <v>2947</v>
      </c>
      <c r="F1939" s="826">
        <v>0</v>
      </c>
      <c r="G1939" s="880">
        <v>0</v>
      </c>
      <c r="H1939" s="465"/>
      <c r="I1939" s="465"/>
      <c r="J1939" s="826">
        <v>0</v>
      </c>
      <c r="K1939" s="878">
        <v>0</v>
      </c>
    </row>
    <row r="1940" spans="1:11" ht="22.5" customHeight="1" x14ac:dyDescent="0.25">
      <c r="A1940" s="816" t="s">
        <v>287</v>
      </c>
      <c r="B1940" s="880">
        <v>2025</v>
      </c>
      <c r="C1940" s="816" t="s">
        <v>1884</v>
      </c>
      <c r="D1940" s="816" t="s">
        <v>1885</v>
      </c>
      <c r="E1940" s="816" t="s">
        <v>2948</v>
      </c>
      <c r="F1940" s="826">
        <v>0</v>
      </c>
      <c r="G1940" s="880">
        <v>0</v>
      </c>
      <c r="H1940" s="465"/>
      <c r="I1940" s="465"/>
      <c r="J1940" s="826">
        <v>0</v>
      </c>
      <c r="K1940" s="878">
        <v>0</v>
      </c>
    </row>
    <row r="1941" spans="1:11" ht="22.5" customHeight="1" x14ac:dyDescent="0.25">
      <c r="A1941" s="816" t="s">
        <v>287</v>
      </c>
      <c r="B1941" s="880">
        <v>2025</v>
      </c>
      <c r="C1941" s="816" t="s">
        <v>1887</v>
      </c>
      <c r="D1941" s="816" t="s">
        <v>138</v>
      </c>
      <c r="E1941" s="816" t="s">
        <v>2949</v>
      </c>
      <c r="F1941" s="826">
        <v>40561</v>
      </c>
      <c r="G1941" s="880">
        <v>1</v>
      </c>
      <c r="H1941" s="826">
        <v>40692</v>
      </c>
      <c r="I1941" s="826">
        <v>-131</v>
      </c>
      <c r="J1941" s="826">
        <v>40561</v>
      </c>
      <c r="K1941" s="878">
        <v>40561</v>
      </c>
    </row>
    <row r="1942" spans="1:11" ht="22.5" customHeight="1" x14ac:dyDescent="0.25">
      <c r="A1942" s="816" t="s">
        <v>287</v>
      </c>
      <c r="B1942" s="880">
        <v>2025</v>
      </c>
      <c r="C1942" s="816" t="s">
        <v>1889</v>
      </c>
      <c r="D1942" s="816" t="s">
        <v>139</v>
      </c>
      <c r="E1942" s="816" t="s">
        <v>2950</v>
      </c>
      <c r="F1942" s="826">
        <v>-78512</v>
      </c>
      <c r="G1942" s="880">
        <v>1</v>
      </c>
      <c r="H1942" s="826">
        <v>-74258</v>
      </c>
      <c r="I1942" s="826">
        <v>-4254</v>
      </c>
      <c r="J1942" s="826">
        <v>-78512</v>
      </c>
      <c r="K1942" s="878">
        <v>-78512</v>
      </c>
    </row>
    <row r="1943" spans="1:11" ht="22.5" customHeight="1" x14ac:dyDescent="0.25">
      <c r="A1943" s="816" t="s">
        <v>287</v>
      </c>
      <c r="B1943" s="880">
        <v>2025</v>
      </c>
      <c r="C1943" s="816" t="s">
        <v>1891</v>
      </c>
      <c r="D1943" s="816" t="s">
        <v>1892</v>
      </c>
      <c r="E1943" s="816" t="s">
        <v>2951</v>
      </c>
      <c r="F1943" s="826">
        <v>16797</v>
      </c>
      <c r="G1943" s="880">
        <v>0</v>
      </c>
      <c r="H1943" s="465"/>
      <c r="I1943" s="465"/>
      <c r="J1943" s="826">
        <v>0</v>
      </c>
      <c r="K1943" s="878">
        <v>16797</v>
      </c>
    </row>
    <row r="1944" spans="1:11" ht="22.5" customHeight="1" x14ac:dyDescent="0.25">
      <c r="A1944" s="816" t="s">
        <v>287</v>
      </c>
      <c r="B1944" s="880">
        <v>2025</v>
      </c>
      <c r="C1944" s="816" t="s">
        <v>1891</v>
      </c>
      <c r="D1944" s="816" t="s">
        <v>1894</v>
      </c>
      <c r="E1944" s="816" t="s">
        <v>2951</v>
      </c>
      <c r="F1944" s="826">
        <v>0</v>
      </c>
      <c r="G1944" s="880">
        <v>0</v>
      </c>
      <c r="H1944" s="465"/>
      <c r="I1944" s="465"/>
      <c r="J1944" s="826">
        <v>0</v>
      </c>
      <c r="K1944" s="881">
        <v>0</v>
      </c>
    </row>
    <row r="1945" spans="1:11" ht="22.5" customHeight="1" x14ac:dyDescent="0.25">
      <c r="A1945" s="816" t="s">
        <v>287</v>
      </c>
      <c r="B1945" s="880">
        <v>2025</v>
      </c>
      <c r="C1945" s="816" t="s">
        <v>1895</v>
      </c>
      <c r="D1945" s="816" t="s">
        <v>1896</v>
      </c>
      <c r="E1945" s="816" t="s">
        <v>2952</v>
      </c>
      <c r="F1945" s="826">
        <v>0</v>
      </c>
      <c r="G1945" s="880">
        <v>0</v>
      </c>
      <c r="H1945" s="465"/>
      <c r="I1945" s="465"/>
      <c r="J1945" s="826">
        <v>0</v>
      </c>
      <c r="K1945" s="878">
        <v>0</v>
      </c>
    </row>
    <row r="1946" spans="1:11" ht="22.5" customHeight="1" x14ac:dyDescent="0.25">
      <c r="A1946" s="816" t="s">
        <v>287</v>
      </c>
      <c r="B1946" s="880">
        <v>2025</v>
      </c>
      <c r="C1946" s="816" t="s">
        <v>1898</v>
      </c>
      <c r="D1946" s="816" t="s">
        <v>1899</v>
      </c>
      <c r="E1946" s="816" t="s">
        <v>2953</v>
      </c>
      <c r="F1946" s="826">
        <v>0</v>
      </c>
      <c r="G1946" s="880">
        <v>0</v>
      </c>
      <c r="H1946" s="465"/>
      <c r="I1946" s="465"/>
      <c r="J1946" s="826">
        <v>0</v>
      </c>
      <c r="K1946" s="878">
        <v>0</v>
      </c>
    </row>
    <row r="1947" spans="1:11" ht="22.5" customHeight="1" x14ac:dyDescent="0.25">
      <c r="A1947" s="816" t="s">
        <v>287</v>
      </c>
      <c r="B1947" s="880">
        <v>2025</v>
      </c>
      <c r="C1947" s="816" t="s">
        <v>1901</v>
      </c>
      <c r="D1947" s="816" t="s">
        <v>1902</v>
      </c>
      <c r="E1947" s="816" t="s">
        <v>2954</v>
      </c>
      <c r="F1947" s="826">
        <v>0</v>
      </c>
      <c r="G1947" s="880">
        <v>0</v>
      </c>
      <c r="H1947" s="465"/>
      <c r="I1947" s="465"/>
      <c r="J1947" s="826">
        <v>0</v>
      </c>
      <c r="K1947" s="878">
        <v>0</v>
      </c>
    </row>
    <row r="1948" spans="1:11" ht="22.5" customHeight="1" x14ac:dyDescent="0.25">
      <c r="A1948" s="816" t="s">
        <v>287</v>
      </c>
      <c r="B1948" s="880">
        <v>2025</v>
      </c>
      <c r="C1948" s="816" t="s">
        <v>1904</v>
      </c>
      <c r="D1948" s="816" t="s">
        <v>1905</v>
      </c>
      <c r="E1948" s="816" t="s">
        <v>2955</v>
      </c>
      <c r="F1948" s="826">
        <v>0</v>
      </c>
      <c r="G1948" s="880">
        <v>0</v>
      </c>
      <c r="H1948" s="465"/>
      <c r="I1948" s="465"/>
      <c r="J1948" s="826">
        <v>0</v>
      </c>
      <c r="K1948" s="878">
        <v>0</v>
      </c>
    </row>
    <row r="1949" spans="1:11" ht="22.5" customHeight="1" x14ac:dyDescent="0.25">
      <c r="A1949" s="816" t="s">
        <v>287</v>
      </c>
      <c r="B1949" s="880">
        <v>2025</v>
      </c>
      <c r="C1949" s="816" t="s">
        <v>1907</v>
      </c>
      <c r="D1949" s="816" t="s">
        <v>1908</v>
      </c>
      <c r="E1949" s="816" t="s">
        <v>2956</v>
      </c>
      <c r="F1949" s="826">
        <v>0</v>
      </c>
      <c r="G1949" s="880">
        <v>0</v>
      </c>
      <c r="H1949" s="465"/>
      <c r="I1949" s="465"/>
      <c r="J1949" s="826">
        <v>0</v>
      </c>
      <c r="K1949" s="878">
        <v>0</v>
      </c>
    </row>
    <row r="1950" spans="1:11" ht="22.5" customHeight="1" x14ac:dyDescent="0.25">
      <c r="A1950" s="816" t="s">
        <v>287</v>
      </c>
      <c r="B1950" s="880">
        <v>2025</v>
      </c>
      <c r="C1950" s="816" t="s">
        <v>1910</v>
      </c>
      <c r="D1950" s="816" t="s">
        <v>1911</v>
      </c>
      <c r="E1950" s="816" t="s">
        <v>2957</v>
      </c>
      <c r="F1950" s="826">
        <v>0</v>
      </c>
      <c r="G1950" s="880">
        <v>0</v>
      </c>
      <c r="H1950" s="465"/>
      <c r="I1950" s="465"/>
      <c r="J1950" s="826">
        <v>0</v>
      </c>
      <c r="K1950" s="878">
        <v>0</v>
      </c>
    </row>
    <row r="1951" spans="1:11" ht="22.5" customHeight="1" x14ac:dyDescent="0.25">
      <c r="A1951" s="816" t="s">
        <v>287</v>
      </c>
      <c r="B1951" s="880">
        <v>2025</v>
      </c>
      <c r="C1951" s="816" t="s">
        <v>1913</v>
      </c>
      <c r="D1951" s="816" t="s">
        <v>1914</v>
      </c>
      <c r="E1951" s="816" t="s">
        <v>2958</v>
      </c>
      <c r="F1951" s="826">
        <v>-498073</v>
      </c>
      <c r="G1951" s="880">
        <v>1</v>
      </c>
      <c r="H1951" s="826">
        <v>-462101</v>
      </c>
      <c r="I1951" s="826">
        <v>-35972</v>
      </c>
      <c r="J1951" s="826">
        <v>-498073</v>
      </c>
      <c r="K1951" s="878">
        <v>-498073</v>
      </c>
    </row>
    <row r="1952" spans="1:11" ht="22.5" customHeight="1" x14ac:dyDescent="0.25">
      <c r="A1952" s="816" t="s">
        <v>287</v>
      </c>
      <c r="B1952" s="880">
        <v>2025</v>
      </c>
      <c r="C1952" s="816" t="s">
        <v>1913</v>
      </c>
      <c r="D1952" s="816" t="s">
        <v>1916</v>
      </c>
      <c r="E1952" s="816" t="s">
        <v>2958</v>
      </c>
      <c r="F1952" s="826">
        <v>0</v>
      </c>
      <c r="G1952" s="880">
        <v>0</v>
      </c>
      <c r="H1952" s="465"/>
      <c r="I1952" s="465"/>
      <c r="J1952" s="826">
        <v>0</v>
      </c>
      <c r="K1952" s="881">
        <v>0</v>
      </c>
    </row>
    <row r="1953" spans="1:11" ht="22.5" customHeight="1" x14ac:dyDescent="0.25">
      <c r="A1953" s="816" t="s">
        <v>287</v>
      </c>
      <c r="B1953" s="880">
        <v>2025</v>
      </c>
      <c r="C1953" s="816" t="s">
        <v>1913</v>
      </c>
      <c r="D1953" s="816" t="s">
        <v>1917</v>
      </c>
      <c r="E1953" s="816" t="s">
        <v>2958</v>
      </c>
      <c r="F1953" s="826">
        <v>0</v>
      </c>
      <c r="G1953" s="880">
        <v>0</v>
      </c>
      <c r="H1953" s="465"/>
      <c r="I1953" s="465"/>
      <c r="J1953" s="826">
        <v>0</v>
      </c>
      <c r="K1953" s="881">
        <v>0</v>
      </c>
    </row>
    <row r="1954" spans="1:11" ht="22.5" customHeight="1" x14ac:dyDescent="0.25">
      <c r="A1954" s="816" t="s">
        <v>287</v>
      </c>
      <c r="B1954" s="880">
        <v>2025</v>
      </c>
      <c r="C1954" s="816" t="s">
        <v>1913</v>
      </c>
      <c r="D1954" s="816" t="s">
        <v>1918</v>
      </c>
      <c r="E1954" s="816" t="s">
        <v>2958</v>
      </c>
      <c r="F1954" s="826">
        <v>0</v>
      </c>
      <c r="G1954" s="880">
        <v>0</v>
      </c>
      <c r="H1954" s="465"/>
      <c r="I1954" s="465"/>
      <c r="J1954" s="826">
        <v>0</v>
      </c>
      <c r="K1954" s="881">
        <v>3128</v>
      </c>
    </row>
    <row r="1955" spans="1:11" ht="22.5" customHeight="1" x14ac:dyDescent="0.25">
      <c r="A1955" s="816" t="s">
        <v>287</v>
      </c>
      <c r="B1955" s="880">
        <v>2025</v>
      </c>
      <c r="C1955" s="816" t="s">
        <v>1913</v>
      </c>
      <c r="D1955" s="816" t="s">
        <v>1919</v>
      </c>
      <c r="E1955" s="816" t="s">
        <v>2958</v>
      </c>
      <c r="F1955" s="826">
        <v>0</v>
      </c>
      <c r="G1955" s="880">
        <v>0</v>
      </c>
      <c r="H1955" s="465"/>
      <c r="I1955" s="465"/>
      <c r="J1955" s="826">
        <v>0</v>
      </c>
      <c r="K1955" s="881">
        <v>234597</v>
      </c>
    </row>
    <row r="1956" spans="1:11" ht="22.5" customHeight="1" x14ac:dyDescent="0.25">
      <c r="A1956" s="816" t="s">
        <v>287</v>
      </c>
      <c r="B1956" s="880">
        <v>2025</v>
      </c>
      <c r="C1956" s="816" t="s">
        <v>1920</v>
      </c>
      <c r="D1956" s="816" t="s">
        <v>1921</v>
      </c>
      <c r="E1956" s="816" t="s">
        <v>2959</v>
      </c>
      <c r="F1956" s="826">
        <v>0</v>
      </c>
      <c r="G1956" s="880">
        <v>0</v>
      </c>
      <c r="H1956" s="465"/>
      <c r="I1956" s="465"/>
      <c r="J1956" s="826">
        <v>0</v>
      </c>
      <c r="K1956" s="878">
        <v>0</v>
      </c>
    </row>
    <row r="1957" spans="1:11" ht="22.5" customHeight="1" x14ac:dyDescent="0.25">
      <c r="A1957" s="816" t="s">
        <v>287</v>
      </c>
      <c r="B1957" s="880">
        <v>2025</v>
      </c>
      <c r="C1957" s="816" t="s">
        <v>1923</v>
      </c>
      <c r="D1957" s="816" t="s">
        <v>143</v>
      </c>
      <c r="E1957" s="816" t="s">
        <v>2960</v>
      </c>
      <c r="F1957" s="826">
        <v>791867</v>
      </c>
      <c r="G1957" s="880">
        <v>1</v>
      </c>
      <c r="H1957" s="826">
        <v>754728</v>
      </c>
      <c r="I1957" s="826">
        <v>37139</v>
      </c>
      <c r="J1957" s="826">
        <v>791867</v>
      </c>
      <c r="K1957" s="878">
        <v>791867</v>
      </c>
    </row>
    <row r="1958" spans="1:11" ht="22.5" customHeight="1" x14ac:dyDescent="0.25">
      <c r="A1958" s="816" t="s">
        <v>287</v>
      </c>
      <c r="B1958" s="880">
        <v>2025</v>
      </c>
      <c r="C1958" s="816" t="s">
        <v>1925</v>
      </c>
      <c r="D1958" s="816" t="s">
        <v>144</v>
      </c>
      <c r="E1958" s="816" t="s">
        <v>2961</v>
      </c>
      <c r="F1958" s="826">
        <v>385212</v>
      </c>
      <c r="G1958" s="880">
        <v>1</v>
      </c>
      <c r="H1958" s="826">
        <v>360758</v>
      </c>
      <c r="I1958" s="826">
        <v>24454</v>
      </c>
      <c r="J1958" s="826">
        <v>385212</v>
      </c>
      <c r="K1958" s="878">
        <v>385212</v>
      </c>
    </row>
    <row r="1959" spans="1:11" ht="22.5" customHeight="1" x14ac:dyDescent="0.25">
      <c r="A1959" s="816" t="s">
        <v>287</v>
      </c>
      <c r="B1959" s="880">
        <v>2025</v>
      </c>
      <c r="C1959" s="816" t="s">
        <v>1927</v>
      </c>
      <c r="D1959" s="816" t="s">
        <v>1928</v>
      </c>
      <c r="E1959" s="816" t="s">
        <v>2962</v>
      </c>
      <c r="F1959" s="826">
        <v>624051</v>
      </c>
      <c r="G1959" s="880">
        <v>1</v>
      </c>
      <c r="H1959" s="826">
        <v>538629</v>
      </c>
      <c r="I1959" s="826">
        <v>85422</v>
      </c>
      <c r="J1959" s="826">
        <v>624051</v>
      </c>
      <c r="K1959" s="878">
        <v>624051</v>
      </c>
    </row>
    <row r="1960" spans="1:11" ht="22.5" customHeight="1" x14ac:dyDescent="0.25">
      <c r="A1960" s="816" t="s">
        <v>287</v>
      </c>
      <c r="B1960" s="880">
        <v>2025</v>
      </c>
      <c r="C1960" s="816" t="s">
        <v>1930</v>
      </c>
      <c r="D1960" s="816" t="s">
        <v>156</v>
      </c>
      <c r="E1960" s="816" t="s">
        <v>2963</v>
      </c>
      <c r="F1960" s="826">
        <v>1008467</v>
      </c>
      <c r="G1960" s="880">
        <v>1</v>
      </c>
      <c r="H1960" s="826">
        <v>921777</v>
      </c>
      <c r="I1960" s="826">
        <v>86690</v>
      </c>
      <c r="J1960" s="826">
        <v>1008467</v>
      </c>
      <c r="K1960" s="878">
        <v>1008467</v>
      </c>
    </row>
    <row r="1961" spans="1:11" ht="22.5" customHeight="1" x14ac:dyDescent="0.25">
      <c r="A1961" s="816" t="s">
        <v>287</v>
      </c>
      <c r="B1961" s="880">
        <v>2025</v>
      </c>
      <c r="C1961" s="816" t="s">
        <v>1932</v>
      </c>
      <c r="D1961" s="816" t="s">
        <v>1933</v>
      </c>
      <c r="E1961" s="816" t="s">
        <v>2964</v>
      </c>
      <c r="F1961" s="826">
        <v>-93661</v>
      </c>
      <c r="G1961" s="880">
        <v>0</v>
      </c>
      <c r="H1961" s="465"/>
      <c r="I1961" s="465"/>
      <c r="J1961" s="826">
        <v>0</v>
      </c>
      <c r="K1961" s="878">
        <v>-93661</v>
      </c>
    </row>
    <row r="1962" spans="1:11" ht="22.5" customHeight="1" x14ac:dyDescent="0.25">
      <c r="A1962" s="816" t="s">
        <v>287</v>
      </c>
      <c r="B1962" s="880">
        <v>2025</v>
      </c>
      <c r="C1962" s="816" t="s">
        <v>1935</v>
      </c>
      <c r="D1962" s="816" t="s">
        <v>1936</v>
      </c>
      <c r="E1962" s="816" t="s">
        <v>8472</v>
      </c>
      <c r="F1962" s="826">
        <v>0</v>
      </c>
      <c r="G1962" s="880">
        <v>1</v>
      </c>
      <c r="H1962" s="465"/>
      <c r="I1962" s="465"/>
      <c r="J1962" s="826">
        <v>0</v>
      </c>
      <c r="K1962" s="878">
        <v>0</v>
      </c>
    </row>
    <row r="1963" spans="1:11" ht="22.5" customHeight="1" x14ac:dyDescent="0.25">
      <c r="A1963" s="816" t="s">
        <v>287</v>
      </c>
      <c r="B1963" s="880">
        <v>2025</v>
      </c>
      <c r="C1963" s="816" t="s">
        <v>1935</v>
      </c>
      <c r="D1963" s="816" t="s">
        <v>1937</v>
      </c>
      <c r="E1963" s="816" t="s">
        <v>8473</v>
      </c>
      <c r="F1963" s="826">
        <v>0</v>
      </c>
      <c r="G1963" s="880">
        <v>1</v>
      </c>
      <c r="H1963" s="465"/>
      <c r="I1963" s="465"/>
      <c r="J1963" s="826">
        <v>0</v>
      </c>
      <c r="K1963" s="878">
        <v>0</v>
      </c>
    </row>
    <row r="1964" spans="1:11" ht="22.5" customHeight="1" x14ac:dyDescent="0.25">
      <c r="A1964" s="816" t="s">
        <v>287</v>
      </c>
      <c r="B1964" s="880">
        <v>2025</v>
      </c>
      <c r="C1964" s="816" t="s">
        <v>1935</v>
      </c>
      <c r="D1964" s="816" t="s">
        <v>1938</v>
      </c>
      <c r="E1964" s="816" t="s">
        <v>8474</v>
      </c>
      <c r="F1964" s="826">
        <v>0</v>
      </c>
      <c r="G1964" s="880">
        <v>1</v>
      </c>
      <c r="H1964" s="465"/>
      <c r="I1964" s="465"/>
      <c r="J1964" s="826">
        <v>0</v>
      </c>
      <c r="K1964" s="878">
        <v>0</v>
      </c>
    </row>
    <row r="1965" spans="1:11" ht="22.5" customHeight="1" x14ac:dyDescent="0.25">
      <c r="A1965" s="816" t="s">
        <v>287</v>
      </c>
      <c r="B1965" s="880">
        <v>2025</v>
      </c>
      <c r="C1965" s="816" t="s">
        <v>1935</v>
      </c>
      <c r="D1965" s="816" t="s">
        <v>1939</v>
      </c>
      <c r="E1965" s="816" t="s">
        <v>8475</v>
      </c>
      <c r="F1965" s="826">
        <v>0</v>
      </c>
      <c r="G1965" s="880">
        <v>1</v>
      </c>
      <c r="H1965" s="465"/>
      <c r="I1965" s="465"/>
      <c r="J1965" s="826">
        <v>0</v>
      </c>
      <c r="K1965" s="878">
        <v>0</v>
      </c>
    </row>
    <row r="1966" spans="1:11" ht="22.5" customHeight="1" x14ac:dyDescent="0.25">
      <c r="A1966" s="816" t="s">
        <v>287</v>
      </c>
      <c r="B1966" s="880">
        <v>2025</v>
      </c>
      <c r="C1966" s="816" t="s">
        <v>1935</v>
      </c>
      <c r="D1966" s="816" t="s">
        <v>1940</v>
      </c>
      <c r="E1966" s="816" t="s">
        <v>8476</v>
      </c>
      <c r="F1966" s="826">
        <v>0</v>
      </c>
      <c r="G1966" s="880">
        <v>1</v>
      </c>
      <c r="H1966" s="465"/>
      <c r="I1966" s="465"/>
      <c r="J1966" s="826">
        <v>0</v>
      </c>
      <c r="K1966" s="878">
        <v>0</v>
      </c>
    </row>
    <row r="1967" spans="1:11" ht="22.5" customHeight="1" x14ac:dyDescent="0.25">
      <c r="A1967" s="816" t="s">
        <v>287</v>
      </c>
      <c r="B1967" s="880">
        <v>2025</v>
      </c>
      <c r="C1967" s="816" t="s">
        <v>1935</v>
      </c>
      <c r="D1967" s="816" t="s">
        <v>1941</v>
      </c>
      <c r="E1967" s="816" t="s">
        <v>8477</v>
      </c>
      <c r="F1967" s="826">
        <v>0</v>
      </c>
      <c r="G1967" s="880">
        <v>1</v>
      </c>
      <c r="H1967" s="465"/>
      <c r="I1967" s="465"/>
      <c r="J1967" s="826">
        <v>0</v>
      </c>
      <c r="K1967" s="878">
        <v>0</v>
      </c>
    </row>
    <row r="1968" spans="1:11" ht="22.5" customHeight="1" x14ac:dyDescent="0.25">
      <c r="A1968" s="816" t="s">
        <v>287</v>
      </c>
      <c r="B1968" s="880">
        <v>2025</v>
      </c>
      <c r="C1968" s="816" t="s">
        <v>1935</v>
      </c>
      <c r="D1968" s="816" t="s">
        <v>1942</v>
      </c>
      <c r="E1968" s="816" t="s">
        <v>8478</v>
      </c>
      <c r="F1968" s="826">
        <v>0</v>
      </c>
      <c r="G1968" s="880">
        <v>1</v>
      </c>
      <c r="H1968" s="465"/>
      <c r="I1968" s="465"/>
      <c r="J1968" s="826">
        <v>0</v>
      </c>
      <c r="K1968" s="878">
        <v>0</v>
      </c>
    </row>
    <row r="1969" spans="1:11" ht="22.5" customHeight="1" x14ac:dyDescent="0.25">
      <c r="A1969" s="816" t="s">
        <v>287</v>
      </c>
      <c r="B1969" s="880">
        <v>2025</v>
      </c>
      <c r="C1969" s="816" t="s">
        <v>1935</v>
      </c>
      <c r="D1969" s="816" t="s">
        <v>1943</v>
      </c>
      <c r="E1969" s="816" t="s">
        <v>8479</v>
      </c>
      <c r="F1969" s="826">
        <v>0</v>
      </c>
      <c r="G1969" s="880">
        <v>1</v>
      </c>
      <c r="H1969" s="465"/>
      <c r="I1969" s="465"/>
      <c r="J1969" s="826">
        <v>0</v>
      </c>
      <c r="K1969" s="878">
        <v>0</v>
      </c>
    </row>
    <row r="1970" spans="1:11" ht="22.5" customHeight="1" x14ac:dyDescent="0.25">
      <c r="A1970" s="816" t="s">
        <v>287</v>
      </c>
      <c r="B1970" s="880">
        <v>2025</v>
      </c>
      <c r="C1970" s="816" t="s">
        <v>1935</v>
      </c>
      <c r="D1970" s="816" t="s">
        <v>1944</v>
      </c>
      <c r="E1970" s="816" t="s">
        <v>8480</v>
      </c>
      <c r="F1970" s="826">
        <v>0</v>
      </c>
      <c r="G1970" s="880">
        <v>1</v>
      </c>
      <c r="H1970" s="465"/>
      <c r="I1970" s="465"/>
      <c r="J1970" s="826">
        <v>0</v>
      </c>
      <c r="K1970" s="878">
        <v>0</v>
      </c>
    </row>
    <row r="1971" spans="1:11" ht="22.5" customHeight="1" x14ac:dyDescent="0.25">
      <c r="A1971" s="816" t="s">
        <v>287</v>
      </c>
      <c r="B1971" s="880">
        <v>2025</v>
      </c>
      <c r="C1971" s="816" t="s">
        <v>1935</v>
      </c>
      <c r="D1971" s="816" t="s">
        <v>1945</v>
      </c>
      <c r="E1971" s="816" t="s">
        <v>8481</v>
      </c>
      <c r="F1971" s="826">
        <v>0</v>
      </c>
      <c r="G1971" s="880">
        <v>1</v>
      </c>
      <c r="H1971" s="465"/>
      <c r="I1971" s="465"/>
      <c r="J1971" s="826">
        <v>0</v>
      </c>
      <c r="K1971" s="878">
        <v>0</v>
      </c>
    </row>
    <row r="1972" spans="1:11" ht="22.5" customHeight="1" x14ac:dyDescent="0.25">
      <c r="A1972" s="816" t="s">
        <v>287</v>
      </c>
      <c r="B1972" s="880">
        <v>2025</v>
      </c>
      <c r="C1972" s="816" t="s">
        <v>1935</v>
      </c>
      <c r="D1972" s="816" t="s">
        <v>1946</v>
      </c>
      <c r="E1972" s="816" t="s">
        <v>8482</v>
      </c>
      <c r="F1972" s="826">
        <v>0</v>
      </c>
      <c r="G1972" s="880">
        <v>1</v>
      </c>
      <c r="H1972" s="826">
        <v>29142</v>
      </c>
      <c r="I1972" s="826">
        <v>-32561</v>
      </c>
      <c r="J1972" s="826">
        <v>-3419</v>
      </c>
      <c r="K1972" s="878">
        <v>-3419</v>
      </c>
    </row>
    <row r="1973" spans="1:11" ht="22.5" customHeight="1" x14ac:dyDescent="0.25">
      <c r="A1973" s="816" t="s">
        <v>287</v>
      </c>
      <c r="B1973" s="880">
        <v>2025</v>
      </c>
      <c r="C1973" s="816" t="s">
        <v>1935</v>
      </c>
      <c r="D1973" s="816" t="s">
        <v>1947</v>
      </c>
      <c r="E1973" s="816" t="s">
        <v>8483</v>
      </c>
      <c r="F1973" s="826">
        <v>0</v>
      </c>
      <c r="G1973" s="880">
        <v>1</v>
      </c>
      <c r="H1973" s="465"/>
      <c r="I1973" s="465"/>
      <c r="J1973" s="826">
        <v>0</v>
      </c>
      <c r="K1973" s="878">
        <v>0</v>
      </c>
    </row>
    <row r="1974" spans="1:11" ht="22.5" customHeight="1" x14ac:dyDescent="0.25">
      <c r="A1974" s="816" t="s">
        <v>287</v>
      </c>
      <c r="B1974" s="880">
        <v>2025</v>
      </c>
      <c r="C1974" s="816" t="s">
        <v>1935</v>
      </c>
      <c r="D1974" s="816" t="s">
        <v>1948</v>
      </c>
      <c r="E1974" s="816" t="s">
        <v>8484</v>
      </c>
      <c r="F1974" s="826">
        <v>0</v>
      </c>
      <c r="G1974" s="880">
        <v>1</v>
      </c>
      <c r="H1974" s="826">
        <v>-14659</v>
      </c>
      <c r="I1974" s="826">
        <v>13468</v>
      </c>
      <c r="J1974" s="826">
        <v>-1191</v>
      </c>
      <c r="K1974" s="878">
        <v>-1191</v>
      </c>
    </row>
    <row r="1975" spans="1:11" ht="22.5" customHeight="1" x14ac:dyDescent="0.25">
      <c r="A1975" s="816" t="s">
        <v>287</v>
      </c>
      <c r="B1975" s="880">
        <v>2025</v>
      </c>
      <c r="C1975" s="816" t="s">
        <v>1935</v>
      </c>
      <c r="D1975" s="816" t="s">
        <v>1949</v>
      </c>
      <c r="E1975" s="816" t="s">
        <v>8485</v>
      </c>
      <c r="F1975" s="826">
        <v>0</v>
      </c>
      <c r="G1975" s="880">
        <v>1</v>
      </c>
      <c r="H1975" s="826">
        <v>925638</v>
      </c>
      <c r="I1975" s="826">
        <v>-540299</v>
      </c>
      <c r="J1975" s="826">
        <v>385339</v>
      </c>
      <c r="K1975" s="878">
        <v>385339</v>
      </c>
    </row>
    <row r="1976" spans="1:11" ht="22.5" customHeight="1" x14ac:dyDescent="0.25">
      <c r="A1976" s="816" t="s">
        <v>287</v>
      </c>
      <c r="B1976" s="880">
        <v>2025</v>
      </c>
      <c r="C1976" s="816" t="s">
        <v>1935</v>
      </c>
      <c r="D1976" s="816" t="s">
        <v>1950</v>
      </c>
      <c r="E1976" s="816" t="s">
        <v>8486</v>
      </c>
      <c r="F1976" s="826">
        <v>0</v>
      </c>
      <c r="G1976" s="880">
        <v>1</v>
      </c>
      <c r="H1976" s="826">
        <v>1771</v>
      </c>
      <c r="I1976" s="826">
        <v>-264</v>
      </c>
      <c r="J1976" s="826">
        <v>1507</v>
      </c>
      <c r="K1976" s="878">
        <v>1507</v>
      </c>
    </row>
    <row r="1977" spans="1:11" ht="22.5" customHeight="1" x14ac:dyDescent="0.25">
      <c r="A1977" s="816" t="s">
        <v>287</v>
      </c>
      <c r="B1977" s="880">
        <v>2025</v>
      </c>
      <c r="C1977" s="816" t="s">
        <v>1935</v>
      </c>
      <c r="D1977" s="816" t="s">
        <v>1951</v>
      </c>
      <c r="E1977" s="816" t="s">
        <v>8487</v>
      </c>
      <c r="F1977" s="826">
        <v>0</v>
      </c>
      <c r="G1977" s="880">
        <v>1</v>
      </c>
      <c r="H1977" s="826">
        <v>-21723</v>
      </c>
      <c r="I1977" s="826">
        <v>16949</v>
      </c>
      <c r="J1977" s="826">
        <v>-4774</v>
      </c>
      <c r="K1977" s="878">
        <v>-4774</v>
      </c>
    </row>
    <row r="1978" spans="1:11" ht="22.5" customHeight="1" x14ac:dyDescent="0.25">
      <c r="A1978" s="816" t="s">
        <v>287</v>
      </c>
      <c r="B1978" s="880">
        <v>2025</v>
      </c>
      <c r="C1978" s="816" t="s">
        <v>1935</v>
      </c>
      <c r="D1978" s="816" t="s">
        <v>7801</v>
      </c>
      <c r="E1978" s="816" t="s">
        <v>8488</v>
      </c>
      <c r="F1978" s="826">
        <v>0</v>
      </c>
      <c r="G1978" s="880">
        <v>1</v>
      </c>
      <c r="H1978" s="826">
        <v>985659</v>
      </c>
      <c r="I1978" s="826">
        <v>214299</v>
      </c>
      <c r="J1978" s="826">
        <v>1199958</v>
      </c>
      <c r="K1978" s="878">
        <v>1199958</v>
      </c>
    </row>
    <row r="1979" spans="1:11" ht="22.5" customHeight="1" x14ac:dyDescent="0.25">
      <c r="A1979" s="816" t="s">
        <v>287</v>
      </c>
      <c r="B1979" s="880">
        <v>2025</v>
      </c>
      <c r="C1979" s="816" t="s">
        <v>1935</v>
      </c>
      <c r="D1979" s="816" t="s">
        <v>1952</v>
      </c>
      <c r="E1979" s="816" t="s">
        <v>8489</v>
      </c>
      <c r="F1979" s="826">
        <v>1577420</v>
      </c>
      <c r="G1979" s="880">
        <v>0</v>
      </c>
      <c r="H1979" s="465"/>
      <c r="I1979" s="465"/>
      <c r="J1979" s="826">
        <v>0</v>
      </c>
      <c r="K1979" s="878">
        <v>1577420</v>
      </c>
    </row>
    <row r="1980" spans="1:11" ht="22.5" customHeight="1" x14ac:dyDescent="0.25">
      <c r="A1980" s="816" t="s">
        <v>287</v>
      </c>
      <c r="B1980" s="880">
        <v>2025</v>
      </c>
      <c r="C1980" s="816" t="s">
        <v>1953</v>
      </c>
      <c r="D1980" s="816" t="s">
        <v>1954</v>
      </c>
      <c r="E1980" s="816" t="s">
        <v>2965</v>
      </c>
      <c r="F1980" s="826">
        <v>0</v>
      </c>
      <c r="G1980" s="880">
        <v>0</v>
      </c>
      <c r="H1980" s="465"/>
      <c r="I1980" s="465"/>
      <c r="J1980" s="826">
        <v>0</v>
      </c>
      <c r="K1980" s="878">
        <v>0</v>
      </c>
    </row>
    <row r="1981" spans="1:11" ht="22.5" customHeight="1" x14ac:dyDescent="0.25">
      <c r="A1981" s="816" t="s">
        <v>289</v>
      </c>
      <c r="B1981" s="880">
        <v>2025</v>
      </c>
      <c r="C1981" s="816" t="s">
        <v>1854</v>
      </c>
      <c r="D1981" s="816" t="s">
        <v>1855</v>
      </c>
      <c r="E1981" s="816" t="s">
        <v>2966</v>
      </c>
      <c r="F1981" s="826">
        <v>-223114.91</v>
      </c>
      <c r="G1981" s="880">
        <v>0</v>
      </c>
      <c r="H1981" s="465"/>
      <c r="I1981" s="465"/>
      <c r="J1981" s="826">
        <v>0</v>
      </c>
      <c r="K1981" s="878">
        <v>-223114.91</v>
      </c>
    </row>
    <row r="1982" spans="1:11" ht="22.5" customHeight="1" x14ac:dyDescent="0.25">
      <c r="A1982" s="816" t="s">
        <v>289</v>
      </c>
      <c r="B1982" s="880">
        <v>2025</v>
      </c>
      <c r="C1982" s="816" t="s">
        <v>7746</v>
      </c>
      <c r="D1982" s="816" t="s">
        <v>7747</v>
      </c>
      <c r="E1982" s="816" t="s">
        <v>7785</v>
      </c>
      <c r="F1982" s="826">
        <v>2626.21</v>
      </c>
      <c r="G1982" s="880">
        <v>0</v>
      </c>
      <c r="H1982" s="465"/>
      <c r="I1982" s="465"/>
      <c r="J1982" s="826">
        <v>0</v>
      </c>
      <c r="K1982" s="878">
        <v>2626.21</v>
      </c>
    </row>
    <row r="1983" spans="1:11" ht="22.5" customHeight="1" x14ac:dyDescent="0.25">
      <c r="A1983" s="816" t="s">
        <v>289</v>
      </c>
      <c r="B1983" s="880">
        <v>2025</v>
      </c>
      <c r="C1983" s="816" t="s">
        <v>1857</v>
      </c>
      <c r="D1983" s="816" t="s">
        <v>1858</v>
      </c>
      <c r="E1983" s="816" t="s">
        <v>2967</v>
      </c>
      <c r="F1983" s="826">
        <v>-1656.56</v>
      </c>
      <c r="G1983" s="880">
        <v>0</v>
      </c>
      <c r="H1983" s="465"/>
      <c r="I1983" s="465"/>
      <c r="J1983" s="826">
        <v>0</v>
      </c>
      <c r="K1983" s="878">
        <v>-1656.56</v>
      </c>
    </row>
    <row r="1984" spans="1:11" ht="22.5" customHeight="1" x14ac:dyDescent="0.25">
      <c r="A1984" s="816" t="s">
        <v>289</v>
      </c>
      <c r="B1984" s="880">
        <v>2025</v>
      </c>
      <c r="C1984" s="816" t="s">
        <v>1860</v>
      </c>
      <c r="D1984" s="816" t="s">
        <v>1861</v>
      </c>
      <c r="E1984" s="816" t="s">
        <v>2968</v>
      </c>
      <c r="F1984" s="826">
        <v>0</v>
      </c>
      <c r="G1984" s="880">
        <v>0</v>
      </c>
      <c r="H1984" s="465"/>
      <c r="I1984" s="465"/>
      <c r="J1984" s="826">
        <v>0</v>
      </c>
      <c r="K1984" s="878">
        <v>0</v>
      </c>
    </row>
    <row r="1985" spans="1:11" ht="22.5" customHeight="1" x14ac:dyDescent="0.25">
      <c r="A1985" s="816" t="s">
        <v>289</v>
      </c>
      <c r="B1985" s="880">
        <v>2025</v>
      </c>
      <c r="C1985" s="816" t="s">
        <v>1863</v>
      </c>
      <c r="D1985" s="816" t="s">
        <v>1864</v>
      </c>
      <c r="E1985" s="816" t="s">
        <v>2969</v>
      </c>
      <c r="F1985" s="826">
        <v>0</v>
      </c>
      <c r="G1985" s="880">
        <v>0</v>
      </c>
      <c r="H1985" s="465"/>
      <c r="I1985" s="465"/>
      <c r="J1985" s="826">
        <v>0</v>
      </c>
      <c r="K1985" s="878">
        <v>0</v>
      </c>
    </row>
    <row r="1986" spans="1:11" ht="22.5" customHeight="1" x14ac:dyDescent="0.25">
      <c r="A1986" s="816" t="s">
        <v>289</v>
      </c>
      <c r="B1986" s="880">
        <v>2025</v>
      </c>
      <c r="C1986" s="816" t="s">
        <v>1866</v>
      </c>
      <c r="D1986" s="816" t="s">
        <v>1867</v>
      </c>
      <c r="E1986" s="816" t="s">
        <v>2970</v>
      </c>
      <c r="F1986" s="826">
        <v>0</v>
      </c>
      <c r="G1986" s="880">
        <v>0</v>
      </c>
      <c r="H1986" s="465"/>
      <c r="I1986" s="465"/>
      <c r="J1986" s="826">
        <v>0</v>
      </c>
      <c r="K1986" s="878">
        <v>0</v>
      </c>
    </row>
    <row r="1987" spans="1:11" ht="22.5" customHeight="1" x14ac:dyDescent="0.25">
      <c r="A1987" s="816" t="s">
        <v>289</v>
      </c>
      <c r="B1987" s="880">
        <v>2025</v>
      </c>
      <c r="C1987" s="816" t="s">
        <v>1869</v>
      </c>
      <c r="D1987" s="816" t="s">
        <v>1870</v>
      </c>
      <c r="E1987" s="816" t="s">
        <v>2971</v>
      </c>
      <c r="F1987" s="826">
        <v>0</v>
      </c>
      <c r="G1987" s="880">
        <v>0</v>
      </c>
      <c r="H1987" s="465"/>
      <c r="I1987" s="465"/>
      <c r="J1987" s="826">
        <v>0</v>
      </c>
      <c r="K1987" s="878">
        <v>0</v>
      </c>
    </row>
    <row r="1988" spans="1:11" ht="22.5" customHeight="1" x14ac:dyDescent="0.25">
      <c r="A1988" s="816" t="s">
        <v>289</v>
      </c>
      <c r="B1988" s="880">
        <v>2025</v>
      </c>
      <c r="C1988" s="816" t="s">
        <v>1872</v>
      </c>
      <c r="D1988" s="816" t="s">
        <v>1873</v>
      </c>
      <c r="E1988" s="816" t="s">
        <v>2972</v>
      </c>
      <c r="F1988" s="826">
        <v>0</v>
      </c>
      <c r="G1988" s="880">
        <v>0</v>
      </c>
      <c r="H1988" s="465"/>
      <c r="I1988" s="465"/>
      <c r="J1988" s="826">
        <v>0</v>
      </c>
      <c r="K1988" s="878">
        <v>0</v>
      </c>
    </row>
    <row r="1989" spans="1:11" ht="22.5" customHeight="1" x14ac:dyDescent="0.25">
      <c r="A1989" s="816" t="s">
        <v>289</v>
      </c>
      <c r="B1989" s="880">
        <v>2025</v>
      </c>
      <c r="C1989" s="816" t="s">
        <v>1875</v>
      </c>
      <c r="D1989" s="816" t="s">
        <v>1876</v>
      </c>
      <c r="E1989" s="816" t="s">
        <v>2973</v>
      </c>
      <c r="F1989" s="826">
        <v>0</v>
      </c>
      <c r="G1989" s="880">
        <v>0</v>
      </c>
      <c r="H1989" s="465"/>
      <c r="I1989" s="465"/>
      <c r="J1989" s="826">
        <v>0</v>
      </c>
      <c r="K1989" s="878">
        <v>0</v>
      </c>
    </row>
    <row r="1990" spans="1:11" ht="22.5" customHeight="1" x14ac:dyDescent="0.25">
      <c r="A1990" s="816" t="s">
        <v>289</v>
      </c>
      <c r="B1990" s="880">
        <v>2025</v>
      </c>
      <c r="C1990" s="816" t="s">
        <v>1878</v>
      </c>
      <c r="D1990" s="816" t="s">
        <v>1879</v>
      </c>
      <c r="E1990" s="816" t="s">
        <v>2974</v>
      </c>
      <c r="F1990" s="826">
        <v>0</v>
      </c>
      <c r="G1990" s="880">
        <v>0</v>
      </c>
      <c r="H1990" s="465"/>
      <c r="I1990" s="465"/>
      <c r="J1990" s="826">
        <v>0</v>
      </c>
      <c r="K1990" s="878">
        <v>0</v>
      </c>
    </row>
    <row r="1991" spans="1:11" ht="22.5" customHeight="1" x14ac:dyDescent="0.25">
      <c r="A1991" s="816" t="s">
        <v>289</v>
      </c>
      <c r="B1991" s="880">
        <v>2025</v>
      </c>
      <c r="C1991" s="816" t="s">
        <v>1881</v>
      </c>
      <c r="D1991" s="816" t="s">
        <v>1882</v>
      </c>
      <c r="E1991" s="816" t="s">
        <v>2975</v>
      </c>
      <c r="F1991" s="826">
        <v>0</v>
      </c>
      <c r="G1991" s="880">
        <v>0</v>
      </c>
      <c r="H1991" s="465"/>
      <c r="I1991" s="465"/>
      <c r="J1991" s="826">
        <v>0</v>
      </c>
      <c r="K1991" s="878">
        <v>0</v>
      </c>
    </row>
    <row r="1992" spans="1:11" ht="22.5" customHeight="1" x14ac:dyDescent="0.25">
      <c r="A1992" s="816" t="s">
        <v>289</v>
      </c>
      <c r="B1992" s="880">
        <v>2025</v>
      </c>
      <c r="C1992" s="816" t="s">
        <v>1884</v>
      </c>
      <c r="D1992" s="816" t="s">
        <v>1885</v>
      </c>
      <c r="E1992" s="816" t="s">
        <v>2976</v>
      </c>
      <c r="F1992" s="826">
        <v>17880.97</v>
      </c>
      <c r="G1992" s="880">
        <v>0</v>
      </c>
      <c r="H1992" s="465"/>
      <c r="I1992" s="465"/>
      <c r="J1992" s="826">
        <v>0</v>
      </c>
      <c r="K1992" s="878">
        <v>17880.97</v>
      </c>
    </row>
    <row r="1993" spans="1:11" ht="22.5" customHeight="1" x14ac:dyDescent="0.25">
      <c r="A1993" s="816" t="s">
        <v>289</v>
      </c>
      <c r="B1993" s="880">
        <v>2025</v>
      </c>
      <c r="C1993" s="816" t="s">
        <v>1887</v>
      </c>
      <c r="D1993" s="816" t="s">
        <v>138</v>
      </c>
      <c r="E1993" s="816" t="s">
        <v>2977</v>
      </c>
      <c r="F1993" s="826">
        <v>153016.1</v>
      </c>
      <c r="G1993" s="880">
        <v>1</v>
      </c>
      <c r="H1993" s="826">
        <v>146718.09</v>
      </c>
      <c r="I1993" s="826">
        <v>6298.01</v>
      </c>
      <c r="J1993" s="826">
        <v>153016.1</v>
      </c>
      <c r="K1993" s="878">
        <v>153016.1</v>
      </c>
    </row>
    <row r="1994" spans="1:11" ht="22.5" customHeight="1" x14ac:dyDescent="0.25">
      <c r="A1994" s="816" t="s">
        <v>289</v>
      </c>
      <c r="B1994" s="880">
        <v>2025</v>
      </c>
      <c r="C1994" s="816" t="s">
        <v>1889</v>
      </c>
      <c r="D1994" s="816" t="s">
        <v>139</v>
      </c>
      <c r="E1994" s="816" t="s">
        <v>2978</v>
      </c>
      <c r="F1994" s="826">
        <v>-16804.59</v>
      </c>
      <c r="G1994" s="880">
        <v>1</v>
      </c>
      <c r="H1994" s="826">
        <v>-15809.51</v>
      </c>
      <c r="I1994" s="826">
        <v>-995.08</v>
      </c>
      <c r="J1994" s="826">
        <v>-16804.59</v>
      </c>
      <c r="K1994" s="878">
        <v>-16804.59</v>
      </c>
    </row>
    <row r="1995" spans="1:11" ht="22.5" customHeight="1" x14ac:dyDescent="0.25">
      <c r="A1995" s="816" t="s">
        <v>289</v>
      </c>
      <c r="B1995" s="880">
        <v>2025</v>
      </c>
      <c r="C1995" s="816" t="s">
        <v>1891</v>
      </c>
      <c r="D1995" s="816" t="s">
        <v>1892</v>
      </c>
      <c r="E1995" s="816" t="s">
        <v>2979</v>
      </c>
      <c r="F1995" s="826">
        <v>0</v>
      </c>
      <c r="G1995" s="880">
        <v>0</v>
      </c>
      <c r="H1995" s="465"/>
      <c r="I1995" s="465"/>
      <c r="J1995" s="826">
        <v>0</v>
      </c>
      <c r="K1995" s="878">
        <v>0</v>
      </c>
    </row>
    <row r="1996" spans="1:11" ht="22.5" customHeight="1" x14ac:dyDescent="0.25">
      <c r="A1996" s="816" t="s">
        <v>289</v>
      </c>
      <c r="B1996" s="880">
        <v>2025</v>
      </c>
      <c r="C1996" s="816" t="s">
        <v>1891</v>
      </c>
      <c r="D1996" s="816" t="s">
        <v>1894</v>
      </c>
      <c r="E1996" s="816" t="s">
        <v>2979</v>
      </c>
      <c r="F1996" s="826">
        <v>0</v>
      </c>
      <c r="G1996" s="880">
        <v>0</v>
      </c>
      <c r="H1996" s="465"/>
      <c r="I1996" s="465"/>
      <c r="J1996" s="826">
        <v>0</v>
      </c>
      <c r="K1996" s="881">
        <v>0</v>
      </c>
    </row>
    <row r="1997" spans="1:11" ht="22.5" customHeight="1" x14ac:dyDescent="0.25">
      <c r="A1997" s="816" t="s">
        <v>289</v>
      </c>
      <c r="B1997" s="880">
        <v>2025</v>
      </c>
      <c r="C1997" s="816" t="s">
        <v>1895</v>
      </c>
      <c r="D1997" s="816" t="s">
        <v>1896</v>
      </c>
      <c r="E1997" s="816" t="s">
        <v>2980</v>
      </c>
      <c r="F1997" s="826">
        <v>0</v>
      </c>
      <c r="G1997" s="880">
        <v>0</v>
      </c>
      <c r="H1997" s="465"/>
      <c r="I1997" s="465"/>
      <c r="J1997" s="826">
        <v>0</v>
      </c>
      <c r="K1997" s="878">
        <v>0</v>
      </c>
    </row>
    <row r="1998" spans="1:11" ht="22.5" customHeight="1" x14ac:dyDescent="0.25">
      <c r="A1998" s="816" t="s">
        <v>289</v>
      </c>
      <c r="B1998" s="880">
        <v>2025</v>
      </c>
      <c r="C1998" s="816" t="s">
        <v>1898</v>
      </c>
      <c r="D1998" s="816" t="s">
        <v>1899</v>
      </c>
      <c r="E1998" s="816" t="s">
        <v>2981</v>
      </c>
      <c r="F1998" s="826">
        <v>0</v>
      </c>
      <c r="G1998" s="880">
        <v>0</v>
      </c>
      <c r="H1998" s="465"/>
      <c r="I1998" s="465"/>
      <c r="J1998" s="826">
        <v>0</v>
      </c>
      <c r="K1998" s="878">
        <v>0</v>
      </c>
    </row>
    <row r="1999" spans="1:11" ht="22.5" customHeight="1" x14ac:dyDescent="0.25">
      <c r="A1999" s="816" t="s">
        <v>289</v>
      </c>
      <c r="B1999" s="880">
        <v>2025</v>
      </c>
      <c r="C1999" s="816" t="s">
        <v>1901</v>
      </c>
      <c r="D1999" s="816" t="s">
        <v>1902</v>
      </c>
      <c r="E1999" s="816" t="s">
        <v>2982</v>
      </c>
      <c r="F1999" s="826">
        <v>0</v>
      </c>
      <c r="G1999" s="880">
        <v>0</v>
      </c>
      <c r="H1999" s="465"/>
      <c r="I1999" s="465"/>
      <c r="J1999" s="826">
        <v>0</v>
      </c>
      <c r="K1999" s="878">
        <v>0</v>
      </c>
    </row>
    <row r="2000" spans="1:11" ht="22.5" customHeight="1" x14ac:dyDescent="0.25">
      <c r="A2000" s="816" t="s">
        <v>289</v>
      </c>
      <c r="B2000" s="880">
        <v>2025</v>
      </c>
      <c r="C2000" s="816" t="s">
        <v>1904</v>
      </c>
      <c r="D2000" s="816" t="s">
        <v>1905</v>
      </c>
      <c r="E2000" s="816" t="s">
        <v>2983</v>
      </c>
      <c r="F2000" s="826">
        <v>0</v>
      </c>
      <c r="G2000" s="880">
        <v>0</v>
      </c>
      <c r="H2000" s="465"/>
      <c r="I2000" s="465"/>
      <c r="J2000" s="826">
        <v>0</v>
      </c>
      <c r="K2000" s="878">
        <v>0</v>
      </c>
    </row>
    <row r="2001" spans="1:11" ht="22.5" customHeight="1" x14ac:dyDescent="0.25">
      <c r="A2001" s="816" t="s">
        <v>289</v>
      </c>
      <c r="B2001" s="880">
        <v>2025</v>
      </c>
      <c r="C2001" s="816" t="s">
        <v>1907</v>
      </c>
      <c r="D2001" s="816" t="s">
        <v>1908</v>
      </c>
      <c r="E2001" s="816" t="s">
        <v>2984</v>
      </c>
      <c r="F2001" s="826">
        <v>0</v>
      </c>
      <c r="G2001" s="880">
        <v>0</v>
      </c>
      <c r="H2001" s="465"/>
      <c r="I2001" s="465"/>
      <c r="J2001" s="826">
        <v>0</v>
      </c>
      <c r="K2001" s="878">
        <v>0</v>
      </c>
    </row>
    <row r="2002" spans="1:11" ht="22.5" customHeight="1" x14ac:dyDescent="0.25">
      <c r="A2002" s="816" t="s">
        <v>289</v>
      </c>
      <c r="B2002" s="880">
        <v>2025</v>
      </c>
      <c r="C2002" s="816" t="s">
        <v>1910</v>
      </c>
      <c r="D2002" s="816" t="s">
        <v>1911</v>
      </c>
      <c r="E2002" s="816" t="s">
        <v>2985</v>
      </c>
      <c r="F2002" s="826">
        <v>0</v>
      </c>
      <c r="G2002" s="880">
        <v>0</v>
      </c>
      <c r="H2002" s="465"/>
      <c r="I2002" s="465"/>
      <c r="J2002" s="826">
        <v>0</v>
      </c>
      <c r="K2002" s="878">
        <v>0</v>
      </c>
    </row>
    <row r="2003" spans="1:11" ht="22.5" customHeight="1" x14ac:dyDescent="0.25">
      <c r="A2003" s="816" t="s">
        <v>289</v>
      </c>
      <c r="B2003" s="880">
        <v>2025</v>
      </c>
      <c r="C2003" s="816" t="s">
        <v>1913</v>
      </c>
      <c r="D2003" s="816" t="s">
        <v>1914</v>
      </c>
      <c r="E2003" s="816" t="s">
        <v>2986</v>
      </c>
      <c r="F2003" s="826">
        <v>-136822.25</v>
      </c>
      <c r="G2003" s="880">
        <v>1</v>
      </c>
      <c r="H2003" s="826">
        <v>-128542.48</v>
      </c>
      <c r="I2003" s="826">
        <v>-8279.77</v>
      </c>
      <c r="J2003" s="826">
        <v>-136822.25</v>
      </c>
      <c r="K2003" s="878">
        <v>-136822.25</v>
      </c>
    </row>
    <row r="2004" spans="1:11" ht="22.5" customHeight="1" x14ac:dyDescent="0.25">
      <c r="A2004" s="816" t="s">
        <v>289</v>
      </c>
      <c r="B2004" s="880">
        <v>2025</v>
      </c>
      <c r="C2004" s="816" t="s">
        <v>1913</v>
      </c>
      <c r="D2004" s="816" t="s">
        <v>1916</v>
      </c>
      <c r="E2004" s="816" t="s">
        <v>2986</v>
      </c>
      <c r="F2004" s="826">
        <v>0</v>
      </c>
      <c r="G2004" s="880">
        <v>0</v>
      </c>
      <c r="H2004" s="465"/>
      <c r="I2004" s="465"/>
      <c r="J2004" s="826">
        <v>0</v>
      </c>
      <c r="K2004" s="881">
        <v>0</v>
      </c>
    </row>
    <row r="2005" spans="1:11" ht="22.5" customHeight="1" x14ac:dyDescent="0.25">
      <c r="A2005" s="816" t="s">
        <v>289</v>
      </c>
      <c r="B2005" s="880">
        <v>2025</v>
      </c>
      <c r="C2005" s="816" t="s">
        <v>1913</v>
      </c>
      <c r="D2005" s="816" t="s">
        <v>1917</v>
      </c>
      <c r="E2005" s="816" t="s">
        <v>2986</v>
      </c>
      <c r="F2005" s="826">
        <v>0</v>
      </c>
      <c r="G2005" s="880">
        <v>0</v>
      </c>
      <c r="H2005" s="465"/>
      <c r="I2005" s="465"/>
      <c r="J2005" s="826">
        <v>0</v>
      </c>
      <c r="K2005" s="881">
        <v>0</v>
      </c>
    </row>
    <row r="2006" spans="1:11" ht="22.5" customHeight="1" x14ac:dyDescent="0.25">
      <c r="A2006" s="816" t="s">
        <v>289</v>
      </c>
      <c r="B2006" s="880">
        <v>2025</v>
      </c>
      <c r="C2006" s="816" t="s">
        <v>1913</v>
      </c>
      <c r="D2006" s="816" t="s">
        <v>1918</v>
      </c>
      <c r="E2006" s="816" t="s">
        <v>2986</v>
      </c>
      <c r="F2006" s="826">
        <v>0</v>
      </c>
      <c r="G2006" s="880">
        <v>0</v>
      </c>
      <c r="H2006" s="465"/>
      <c r="I2006" s="465"/>
      <c r="J2006" s="826">
        <v>0</v>
      </c>
      <c r="K2006" s="881">
        <v>575.80999999999995</v>
      </c>
    </row>
    <row r="2007" spans="1:11" ht="22.5" customHeight="1" x14ac:dyDescent="0.25">
      <c r="A2007" s="816" t="s">
        <v>289</v>
      </c>
      <c r="B2007" s="880">
        <v>2025</v>
      </c>
      <c r="C2007" s="816" t="s">
        <v>1913</v>
      </c>
      <c r="D2007" s="816" t="s">
        <v>1919</v>
      </c>
      <c r="E2007" s="816" t="s">
        <v>2986</v>
      </c>
      <c r="F2007" s="826">
        <v>0</v>
      </c>
      <c r="G2007" s="880">
        <v>0</v>
      </c>
      <c r="H2007" s="465"/>
      <c r="I2007" s="465"/>
      <c r="J2007" s="826">
        <v>0</v>
      </c>
      <c r="K2007" s="881">
        <v>46946.15</v>
      </c>
    </row>
    <row r="2008" spans="1:11" ht="22.5" customHeight="1" x14ac:dyDescent="0.25">
      <c r="A2008" s="816" t="s">
        <v>289</v>
      </c>
      <c r="B2008" s="880">
        <v>2025</v>
      </c>
      <c r="C2008" s="816" t="s">
        <v>1920</v>
      </c>
      <c r="D2008" s="816" t="s">
        <v>1921</v>
      </c>
      <c r="E2008" s="816" t="s">
        <v>2987</v>
      </c>
      <c r="F2008" s="826">
        <v>0</v>
      </c>
      <c r="G2008" s="880">
        <v>0</v>
      </c>
      <c r="H2008" s="465"/>
      <c r="I2008" s="465"/>
      <c r="J2008" s="826">
        <v>0</v>
      </c>
      <c r="K2008" s="878">
        <v>0</v>
      </c>
    </row>
    <row r="2009" spans="1:11" ht="22.5" customHeight="1" x14ac:dyDescent="0.25">
      <c r="A2009" s="816" t="s">
        <v>289</v>
      </c>
      <c r="B2009" s="880">
        <v>2025</v>
      </c>
      <c r="C2009" s="816" t="s">
        <v>1923</v>
      </c>
      <c r="D2009" s="816" t="s">
        <v>143</v>
      </c>
      <c r="E2009" s="816" t="s">
        <v>2988</v>
      </c>
      <c r="F2009" s="826">
        <v>229230.41</v>
      </c>
      <c r="G2009" s="880">
        <v>1</v>
      </c>
      <c r="H2009" s="826">
        <v>218741.03</v>
      </c>
      <c r="I2009" s="826">
        <v>10489.38</v>
      </c>
      <c r="J2009" s="826">
        <v>229230.41</v>
      </c>
      <c r="K2009" s="878">
        <v>229230.41</v>
      </c>
    </row>
    <row r="2010" spans="1:11" ht="22.5" customHeight="1" x14ac:dyDescent="0.25">
      <c r="A2010" s="816" t="s">
        <v>289</v>
      </c>
      <c r="B2010" s="880">
        <v>2025</v>
      </c>
      <c r="C2010" s="816" t="s">
        <v>1925</v>
      </c>
      <c r="D2010" s="816" t="s">
        <v>144</v>
      </c>
      <c r="E2010" s="816" t="s">
        <v>2989</v>
      </c>
      <c r="F2010" s="826">
        <v>73053.13</v>
      </c>
      <c r="G2010" s="880">
        <v>1</v>
      </c>
      <c r="H2010" s="826">
        <v>69168.929999999993</v>
      </c>
      <c r="I2010" s="826">
        <v>3884.2</v>
      </c>
      <c r="J2010" s="826">
        <v>73053.13</v>
      </c>
      <c r="K2010" s="878">
        <v>73053.13</v>
      </c>
    </row>
    <row r="2011" spans="1:11" ht="22.5" customHeight="1" x14ac:dyDescent="0.25">
      <c r="A2011" s="816" t="s">
        <v>289</v>
      </c>
      <c r="B2011" s="880">
        <v>2025</v>
      </c>
      <c r="C2011" s="816" t="s">
        <v>1927</v>
      </c>
      <c r="D2011" s="816" t="s">
        <v>1928</v>
      </c>
      <c r="E2011" s="816" t="s">
        <v>2990</v>
      </c>
      <c r="F2011" s="826">
        <v>-124412.94</v>
      </c>
      <c r="G2011" s="880">
        <v>1</v>
      </c>
      <c r="H2011" s="826">
        <v>-118330.24000000001</v>
      </c>
      <c r="I2011" s="826">
        <v>-6082.7</v>
      </c>
      <c r="J2011" s="826">
        <v>-124412.94</v>
      </c>
      <c r="K2011" s="878">
        <v>-124412.94</v>
      </c>
    </row>
    <row r="2012" spans="1:11" ht="22.5" customHeight="1" x14ac:dyDescent="0.25">
      <c r="A2012" s="816" t="s">
        <v>289</v>
      </c>
      <c r="B2012" s="880">
        <v>2025</v>
      </c>
      <c r="C2012" s="816" t="s">
        <v>1930</v>
      </c>
      <c r="D2012" s="816" t="s">
        <v>156</v>
      </c>
      <c r="E2012" s="816" t="s">
        <v>2991</v>
      </c>
      <c r="F2012" s="826">
        <v>197275.2</v>
      </c>
      <c r="G2012" s="880">
        <v>1</v>
      </c>
      <c r="H2012" s="826">
        <v>184627.85</v>
      </c>
      <c r="I2012" s="826">
        <v>12647.35</v>
      </c>
      <c r="J2012" s="826">
        <v>197275.2</v>
      </c>
      <c r="K2012" s="878">
        <v>197275.2</v>
      </c>
    </row>
    <row r="2013" spans="1:11" ht="22.5" customHeight="1" x14ac:dyDescent="0.25">
      <c r="A2013" s="816" t="s">
        <v>289</v>
      </c>
      <c r="B2013" s="880">
        <v>2025</v>
      </c>
      <c r="C2013" s="816" t="s">
        <v>1932</v>
      </c>
      <c r="D2013" s="816" t="s">
        <v>1933</v>
      </c>
      <c r="E2013" s="816" t="s">
        <v>2992</v>
      </c>
      <c r="F2013" s="826">
        <v>-103759</v>
      </c>
      <c r="G2013" s="880">
        <v>0</v>
      </c>
      <c r="H2013" s="465"/>
      <c r="I2013" s="465"/>
      <c r="J2013" s="826">
        <v>0</v>
      </c>
      <c r="K2013" s="878">
        <v>-103759</v>
      </c>
    </row>
    <row r="2014" spans="1:11" ht="22.5" customHeight="1" x14ac:dyDescent="0.25">
      <c r="A2014" s="816" t="s">
        <v>289</v>
      </c>
      <c r="B2014" s="880">
        <v>2025</v>
      </c>
      <c r="C2014" s="816" t="s">
        <v>1935</v>
      </c>
      <c r="D2014" s="816" t="s">
        <v>1936</v>
      </c>
      <c r="E2014" s="816" t="s">
        <v>8490</v>
      </c>
      <c r="F2014" s="826">
        <v>0</v>
      </c>
      <c r="G2014" s="880">
        <v>1</v>
      </c>
      <c r="H2014" s="465"/>
      <c r="I2014" s="465"/>
      <c r="J2014" s="826">
        <v>0</v>
      </c>
      <c r="K2014" s="878">
        <v>0</v>
      </c>
    </row>
    <row r="2015" spans="1:11" ht="22.5" customHeight="1" x14ac:dyDescent="0.25">
      <c r="A2015" s="816" t="s">
        <v>289</v>
      </c>
      <c r="B2015" s="880">
        <v>2025</v>
      </c>
      <c r="C2015" s="816" t="s">
        <v>1935</v>
      </c>
      <c r="D2015" s="816" t="s">
        <v>1937</v>
      </c>
      <c r="E2015" s="816" t="s">
        <v>8491</v>
      </c>
      <c r="F2015" s="826">
        <v>0</v>
      </c>
      <c r="G2015" s="880">
        <v>1</v>
      </c>
      <c r="H2015" s="465"/>
      <c r="I2015" s="465"/>
      <c r="J2015" s="826">
        <v>0</v>
      </c>
      <c r="K2015" s="878">
        <v>0</v>
      </c>
    </row>
    <row r="2016" spans="1:11" ht="22.5" customHeight="1" x14ac:dyDescent="0.25">
      <c r="A2016" s="816" t="s">
        <v>289</v>
      </c>
      <c r="B2016" s="880">
        <v>2025</v>
      </c>
      <c r="C2016" s="816" t="s">
        <v>1935</v>
      </c>
      <c r="D2016" s="816" t="s">
        <v>1938</v>
      </c>
      <c r="E2016" s="816" t="s">
        <v>8492</v>
      </c>
      <c r="F2016" s="826">
        <v>0</v>
      </c>
      <c r="G2016" s="880">
        <v>1</v>
      </c>
      <c r="H2016" s="465"/>
      <c r="I2016" s="465"/>
      <c r="J2016" s="826">
        <v>0</v>
      </c>
      <c r="K2016" s="878">
        <v>0</v>
      </c>
    </row>
    <row r="2017" spans="1:11" ht="22.5" customHeight="1" x14ac:dyDescent="0.25">
      <c r="A2017" s="816" t="s">
        <v>289</v>
      </c>
      <c r="B2017" s="880">
        <v>2025</v>
      </c>
      <c r="C2017" s="816" t="s">
        <v>1935</v>
      </c>
      <c r="D2017" s="816" t="s">
        <v>1939</v>
      </c>
      <c r="E2017" s="816" t="s">
        <v>8493</v>
      </c>
      <c r="F2017" s="826">
        <v>0</v>
      </c>
      <c r="G2017" s="880">
        <v>1</v>
      </c>
      <c r="H2017" s="465"/>
      <c r="I2017" s="465"/>
      <c r="J2017" s="826">
        <v>0</v>
      </c>
      <c r="K2017" s="878">
        <v>0</v>
      </c>
    </row>
    <row r="2018" spans="1:11" ht="22.5" customHeight="1" x14ac:dyDescent="0.25">
      <c r="A2018" s="816" t="s">
        <v>289</v>
      </c>
      <c r="B2018" s="880">
        <v>2025</v>
      </c>
      <c r="C2018" s="816" t="s">
        <v>1935</v>
      </c>
      <c r="D2018" s="816" t="s">
        <v>1940</v>
      </c>
      <c r="E2018" s="816" t="s">
        <v>8494</v>
      </c>
      <c r="F2018" s="826">
        <v>0</v>
      </c>
      <c r="G2018" s="880">
        <v>1</v>
      </c>
      <c r="H2018" s="465"/>
      <c r="I2018" s="465"/>
      <c r="J2018" s="826">
        <v>0</v>
      </c>
      <c r="K2018" s="878">
        <v>0</v>
      </c>
    </row>
    <row r="2019" spans="1:11" ht="22.5" customHeight="1" x14ac:dyDescent="0.25">
      <c r="A2019" s="816" t="s">
        <v>289</v>
      </c>
      <c r="B2019" s="880">
        <v>2025</v>
      </c>
      <c r="C2019" s="816" t="s">
        <v>1935</v>
      </c>
      <c r="D2019" s="816" t="s">
        <v>1941</v>
      </c>
      <c r="E2019" s="816" t="s">
        <v>8495</v>
      </c>
      <c r="F2019" s="826">
        <v>0</v>
      </c>
      <c r="G2019" s="880">
        <v>1</v>
      </c>
      <c r="H2019" s="465"/>
      <c r="I2019" s="465"/>
      <c r="J2019" s="826">
        <v>0</v>
      </c>
      <c r="K2019" s="878">
        <v>0</v>
      </c>
    </row>
    <row r="2020" spans="1:11" ht="22.5" customHeight="1" x14ac:dyDescent="0.25">
      <c r="A2020" s="816" t="s">
        <v>289</v>
      </c>
      <c r="B2020" s="880">
        <v>2025</v>
      </c>
      <c r="C2020" s="816" t="s">
        <v>1935</v>
      </c>
      <c r="D2020" s="816" t="s">
        <v>1942</v>
      </c>
      <c r="E2020" s="816" t="s">
        <v>8496</v>
      </c>
      <c r="F2020" s="826">
        <v>0</v>
      </c>
      <c r="G2020" s="880">
        <v>1</v>
      </c>
      <c r="H2020" s="465"/>
      <c r="I2020" s="465"/>
      <c r="J2020" s="826">
        <v>0</v>
      </c>
      <c r="K2020" s="878">
        <v>0</v>
      </c>
    </row>
    <row r="2021" spans="1:11" ht="22.5" customHeight="1" x14ac:dyDescent="0.25">
      <c r="A2021" s="816" t="s">
        <v>289</v>
      </c>
      <c r="B2021" s="880">
        <v>2025</v>
      </c>
      <c r="C2021" s="816" t="s">
        <v>1935</v>
      </c>
      <c r="D2021" s="816" t="s">
        <v>1943</v>
      </c>
      <c r="E2021" s="816" t="s">
        <v>8497</v>
      </c>
      <c r="F2021" s="826">
        <v>0</v>
      </c>
      <c r="G2021" s="880">
        <v>1</v>
      </c>
      <c r="H2021" s="465"/>
      <c r="I2021" s="465"/>
      <c r="J2021" s="826">
        <v>0</v>
      </c>
      <c r="K2021" s="878">
        <v>0</v>
      </c>
    </row>
    <row r="2022" spans="1:11" ht="22.5" customHeight="1" x14ac:dyDescent="0.25">
      <c r="A2022" s="816" t="s">
        <v>289</v>
      </c>
      <c r="B2022" s="880">
        <v>2025</v>
      </c>
      <c r="C2022" s="816" t="s">
        <v>1935</v>
      </c>
      <c r="D2022" s="816" t="s">
        <v>1944</v>
      </c>
      <c r="E2022" s="816" t="s">
        <v>8498</v>
      </c>
      <c r="F2022" s="826">
        <v>0</v>
      </c>
      <c r="G2022" s="880">
        <v>1</v>
      </c>
      <c r="H2022" s="465"/>
      <c r="I2022" s="465"/>
      <c r="J2022" s="826">
        <v>0</v>
      </c>
      <c r="K2022" s="878">
        <v>0</v>
      </c>
    </row>
    <row r="2023" spans="1:11" ht="22.5" customHeight="1" x14ac:dyDescent="0.25">
      <c r="A2023" s="816" t="s">
        <v>289</v>
      </c>
      <c r="B2023" s="880">
        <v>2025</v>
      </c>
      <c r="C2023" s="816" t="s">
        <v>1935</v>
      </c>
      <c r="D2023" s="816" t="s">
        <v>1945</v>
      </c>
      <c r="E2023" s="816" t="s">
        <v>8499</v>
      </c>
      <c r="F2023" s="826">
        <v>0</v>
      </c>
      <c r="G2023" s="880">
        <v>1</v>
      </c>
      <c r="H2023" s="465"/>
      <c r="I2023" s="465"/>
      <c r="J2023" s="826">
        <v>0</v>
      </c>
      <c r="K2023" s="878">
        <v>0</v>
      </c>
    </row>
    <row r="2024" spans="1:11" ht="22.5" customHeight="1" x14ac:dyDescent="0.25">
      <c r="A2024" s="816" t="s">
        <v>289</v>
      </c>
      <c r="B2024" s="880">
        <v>2025</v>
      </c>
      <c r="C2024" s="816" t="s">
        <v>1935</v>
      </c>
      <c r="D2024" s="816" t="s">
        <v>1946</v>
      </c>
      <c r="E2024" s="816" t="s">
        <v>8500</v>
      </c>
      <c r="F2024" s="826">
        <v>0</v>
      </c>
      <c r="G2024" s="880">
        <v>1</v>
      </c>
      <c r="H2024" s="465"/>
      <c r="I2024" s="826">
        <v>-0.28000000000000003</v>
      </c>
      <c r="J2024" s="826">
        <v>-0.28000000000000003</v>
      </c>
      <c r="K2024" s="878">
        <v>-0.28000000000000003</v>
      </c>
    </row>
    <row r="2025" spans="1:11" ht="22.5" customHeight="1" x14ac:dyDescent="0.25">
      <c r="A2025" s="816" t="s">
        <v>289</v>
      </c>
      <c r="B2025" s="880">
        <v>2025</v>
      </c>
      <c r="C2025" s="816" t="s">
        <v>1935</v>
      </c>
      <c r="D2025" s="816" t="s">
        <v>1947</v>
      </c>
      <c r="E2025" s="816" t="s">
        <v>8501</v>
      </c>
      <c r="F2025" s="826">
        <v>0</v>
      </c>
      <c r="G2025" s="880">
        <v>1</v>
      </c>
      <c r="H2025" s="465"/>
      <c r="I2025" s="826">
        <v>-18.579999999999998</v>
      </c>
      <c r="J2025" s="826">
        <v>-18.579999999999998</v>
      </c>
      <c r="K2025" s="878">
        <v>-18.579999999999998</v>
      </c>
    </row>
    <row r="2026" spans="1:11" ht="22.5" customHeight="1" x14ac:dyDescent="0.25">
      <c r="A2026" s="816" t="s">
        <v>289</v>
      </c>
      <c r="B2026" s="880">
        <v>2025</v>
      </c>
      <c r="C2026" s="816" t="s">
        <v>1935</v>
      </c>
      <c r="D2026" s="816" t="s">
        <v>1948</v>
      </c>
      <c r="E2026" s="816" t="s">
        <v>8502</v>
      </c>
      <c r="F2026" s="826">
        <v>0</v>
      </c>
      <c r="G2026" s="880">
        <v>1</v>
      </c>
      <c r="H2026" s="826">
        <v>-29157.07</v>
      </c>
      <c r="I2026" s="826">
        <v>-3775.68</v>
      </c>
      <c r="J2026" s="826">
        <v>-32932.75</v>
      </c>
      <c r="K2026" s="878">
        <v>-32932.75</v>
      </c>
    </row>
    <row r="2027" spans="1:11" ht="22.5" customHeight="1" x14ac:dyDescent="0.25">
      <c r="A2027" s="816" t="s">
        <v>289</v>
      </c>
      <c r="B2027" s="880">
        <v>2025</v>
      </c>
      <c r="C2027" s="816" t="s">
        <v>1935</v>
      </c>
      <c r="D2027" s="816" t="s">
        <v>1949</v>
      </c>
      <c r="E2027" s="816" t="s">
        <v>8503</v>
      </c>
      <c r="F2027" s="826">
        <v>0</v>
      </c>
      <c r="G2027" s="880">
        <v>1</v>
      </c>
      <c r="H2027" s="826">
        <v>7168.46</v>
      </c>
      <c r="I2027" s="826">
        <v>1024.76</v>
      </c>
      <c r="J2027" s="826">
        <v>8193.2199999999993</v>
      </c>
      <c r="K2027" s="878">
        <v>8193.2199999999993</v>
      </c>
    </row>
    <row r="2028" spans="1:11" ht="22.5" customHeight="1" x14ac:dyDescent="0.25">
      <c r="A2028" s="816" t="s">
        <v>289</v>
      </c>
      <c r="B2028" s="880">
        <v>2025</v>
      </c>
      <c r="C2028" s="816" t="s">
        <v>1935</v>
      </c>
      <c r="D2028" s="816" t="s">
        <v>1950</v>
      </c>
      <c r="E2028" s="816" t="s">
        <v>8504</v>
      </c>
      <c r="F2028" s="826">
        <v>0</v>
      </c>
      <c r="G2028" s="880">
        <v>1</v>
      </c>
      <c r="H2028" s="826">
        <v>10109.59</v>
      </c>
      <c r="I2028" s="826">
        <v>1430.99</v>
      </c>
      <c r="J2028" s="826">
        <v>11540.58</v>
      </c>
      <c r="K2028" s="878">
        <v>11540.58</v>
      </c>
    </row>
    <row r="2029" spans="1:11" ht="22.5" customHeight="1" x14ac:dyDescent="0.25">
      <c r="A2029" s="816" t="s">
        <v>289</v>
      </c>
      <c r="B2029" s="880">
        <v>2025</v>
      </c>
      <c r="C2029" s="816" t="s">
        <v>1935</v>
      </c>
      <c r="D2029" s="816" t="s">
        <v>1951</v>
      </c>
      <c r="E2029" s="816" t="s">
        <v>8505</v>
      </c>
      <c r="F2029" s="826">
        <v>0</v>
      </c>
      <c r="G2029" s="880">
        <v>1</v>
      </c>
      <c r="H2029" s="826">
        <v>6006.35</v>
      </c>
      <c r="I2029" s="826">
        <v>5093.82</v>
      </c>
      <c r="J2029" s="826">
        <v>11100.17</v>
      </c>
      <c r="K2029" s="878">
        <v>11100.17</v>
      </c>
    </row>
    <row r="2030" spans="1:11" ht="22.5" customHeight="1" x14ac:dyDescent="0.25">
      <c r="A2030" s="816" t="s">
        <v>289</v>
      </c>
      <c r="B2030" s="880">
        <v>2025</v>
      </c>
      <c r="C2030" s="816" t="s">
        <v>1935</v>
      </c>
      <c r="D2030" s="816" t="s">
        <v>7801</v>
      </c>
      <c r="E2030" s="816" t="s">
        <v>8506</v>
      </c>
      <c r="F2030" s="826">
        <v>0</v>
      </c>
      <c r="G2030" s="880">
        <v>1</v>
      </c>
      <c r="H2030" s="826">
        <v>163218.10999999999</v>
      </c>
      <c r="I2030" s="826">
        <v>7082.6</v>
      </c>
      <c r="J2030" s="826">
        <v>170300.71</v>
      </c>
      <c r="K2030" s="878">
        <v>170300.71</v>
      </c>
    </row>
    <row r="2031" spans="1:11" ht="22.5" customHeight="1" x14ac:dyDescent="0.25">
      <c r="A2031" s="816" t="s">
        <v>289</v>
      </c>
      <c r="B2031" s="880">
        <v>2025</v>
      </c>
      <c r="C2031" s="816" t="s">
        <v>1935</v>
      </c>
      <c r="D2031" s="816" t="s">
        <v>1952</v>
      </c>
      <c r="E2031" s="816" t="s">
        <v>8507</v>
      </c>
      <c r="F2031" s="826">
        <v>168183.07</v>
      </c>
      <c r="G2031" s="880">
        <v>0</v>
      </c>
      <c r="H2031" s="465"/>
      <c r="I2031" s="465"/>
      <c r="J2031" s="826">
        <v>0</v>
      </c>
      <c r="K2031" s="878">
        <v>168183.07</v>
      </c>
    </row>
    <row r="2032" spans="1:11" ht="22.5" customHeight="1" x14ac:dyDescent="0.25">
      <c r="A2032" s="816" t="s">
        <v>289</v>
      </c>
      <c r="B2032" s="880">
        <v>2025</v>
      </c>
      <c r="C2032" s="816" t="s">
        <v>1953</v>
      </c>
      <c r="D2032" s="816" t="s">
        <v>1954</v>
      </c>
      <c r="E2032" s="816" t="s">
        <v>2993</v>
      </c>
      <c r="F2032" s="826">
        <v>0</v>
      </c>
      <c r="G2032" s="880">
        <v>0</v>
      </c>
      <c r="H2032" s="465"/>
      <c r="I2032" s="465"/>
      <c r="J2032" s="826">
        <v>0</v>
      </c>
      <c r="K2032" s="878">
        <v>0</v>
      </c>
    </row>
    <row r="2033" spans="1:11" ht="22.5" customHeight="1" x14ac:dyDescent="0.25">
      <c r="A2033" s="816" t="s">
        <v>291</v>
      </c>
      <c r="B2033" s="880">
        <v>2025</v>
      </c>
      <c r="C2033" s="816" t="s">
        <v>1854</v>
      </c>
      <c r="D2033" s="816" t="s">
        <v>1855</v>
      </c>
      <c r="E2033" s="816" t="s">
        <v>2994</v>
      </c>
      <c r="F2033" s="826">
        <v>1422809.12</v>
      </c>
      <c r="G2033" s="880">
        <v>0</v>
      </c>
      <c r="H2033" s="465"/>
      <c r="I2033" s="465"/>
      <c r="J2033" s="826">
        <v>0</v>
      </c>
      <c r="K2033" s="878">
        <v>1422809.12</v>
      </c>
    </row>
    <row r="2034" spans="1:11" ht="22.5" customHeight="1" x14ac:dyDescent="0.25">
      <c r="A2034" s="816" t="s">
        <v>291</v>
      </c>
      <c r="B2034" s="880">
        <v>2025</v>
      </c>
      <c r="C2034" s="816" t="s">
        <v>7746</v>
      </c>
      <c r="D2034" s="816" t="s">
        <v>7747</v>
      </c>
      <c r="E2034" s="816" t="s">
        <v>7786</v>
      </c>
      <c r="F2034" s="826">
        <v>0</v>
      </c>
      <c r="G2034" s="880">
        <v>0</v>
      </c>
      <c r="H2034" s="465"/>
      <c r="I2034" s="465"/>
      <c r="J2034" s="826">
        <v>0</v>
      </c>
      <c r="K2034" s="878">
        <v>0</v>
      </c>
    </row>
    <row r="2035" spans="1:11" ht="22.5" customHeight="1" x14ac:dyDescent="0.25">
      <c r="A2035" s="816" t="s">
        <v>291</v>
      </c>
      <c r="B2035" s="880">
        <v>2025</v>
      </c>
      <c r="C2035" s="816" t="s">
        <v>1857</v>
      </c>
      <c r="D2035" s="816" t="s">
        <v>1858</v>
      </c>
      <c r="E2035" s="816" t="s">
        <v>2995</v>
      </c>
      <c r="F2035" s="826">
        <v>557196.4</v>
      </c>
      <c r="G2035" s="880">
        <v>0</v>
      </c>
      <c r="H2035" s="465"/>
      <c r="I2035" s="465"/>
      <c r="J2035" s="826">
        <v>0</v>
      </c>
      <c r="K2035" s="878">
        <v>557196.4</v>
      </c>
    </row>
    <row r="2036" spans="1:11" ht="22.5" customHeight="1" x14ac:dyDescent="0.25">
      <c r="A2036" s="816" t="s">
        <v>291</v>
      </c>
      <c r="B2036" s="880">
        <v>2025</v>
      </c>
      <c r="C2036" s="816" t="s">
        <v>1860</v>
      </c>
      <c r="D2036" s="816" t="s">
        <v>1861</v>
      </c>
      <c r="E2036" s="816" t="s">
        <v>2996</v>
      </c>
      <c r="F2036" s="826">
        <v>0</v>
      </c>
      <c r="G2036" s="880">
        <v>0</v>
      </c>
      <c r="H2036" s="465"/>
      <c r="I2036" s="465"/>
      <c r="J2036" s="826">
        <v>0</v>
      </c>
      <c r="K2036" s="878">
        <v>0</v>
      </c>
    </row>
    <row r="2037" spans="1:11" ht="22.5" customHeight="1" x14ac:dyDescent="0.25">
      <c r="A2037" s="816" t="s">
        <v>291</v>
      </c>
      <c r="B2037" s="880">
        <v>2025</v>
      </c>
      <c r="C2037" s="816" t="s">
        <v>1863</v>
      </c>
      <c r="D2037" s="816" t="s">
        <v>1864</v>
      </c>
      <c r="E2037" s="816" t="s">
        <v>2997</v>
      </c>
      <c r="F2037" s="826">
        <v>0</v>
      </c>
      <c r="G2037" s="880">
        <v>0</v>
      </c>
      <c r="H2037" s="465"/>
      <c r="I2037" s="465"/>
      <c r="J2037" s="826">
        <v>0</v>
      </c>
      <c r="K2037" s="878">
        <v>0</v>
      </c>
    </row>
    <row r="2038" spans="1:11" ht="22.5" customHeight="1" x14ac:dyDescent="0.25">
      <c r="A2038" s="816" t="s">
        <v>291</v>
      </c>
      <c r="B2038" s="880">
        <v>2025</v>
      </c>
      <c r="C2038" s="816" t="s">
        <v>1866</v>
      </c>
      <c r="D2038" s="816" t="s">
        <v>1867</v>
      </c>
      <c r="E2038" s="816" t="s">
        <v>2998</v>
      </c>
      <c r="F2038" s="826">
        <v>0</v>
      </c>
      <c r="G2038" s="880">
        <v>0</v>
      </c>
      <c r="H2038" s="465"/>
      <c r="I2038" s="465"/>
      <c r="J2038" s="826">
        <v>0</v>
      </c>
      <c r="K2038" s="878">
        <v>0</v>
      </c>
    </row>
    <row r="2039" spans="1:11" ht="22.5" customHeight="1" x14ac:dyDescent="0.25">
      <c r="A2039" s="816" t="s">
        <v>291</v>
      </c>
      <c r="B2039" s="880">
        <v>2025</v>
      </c>
      <c r="C2039" s="816" t="s">
        <v>1869</v>
      </c>
      <c r="D2039" s="816" t="s">
        <v>1870</v>
      </c>
      <c r="E2039" s="816" t="s">
        <v>2999</v>
      </c>
      <c r="F2039" s="826">
        <v>0</v>
      </c>
      <c r="G2039" s="880">
        <v>0</v>
      </c>
      <c r="H2039" s="465"/>
      <c r="I2039" s="465"/>
      <c r="J2039" s="826">
        <v>0</v>
      </c>
      <c r="K2039" s="878">
        <v>0</v>
      </c>
    </row>
    <row r="2040" spans="1:11" ht="22.5" customHeight="1" x14ac:dyDescent="0.25">
      <c r="A2040" s="816" t="s">
        <v>291</v>
      </c>
      <c r="B2040" s="880">
        <v>2025</v>
      </c>
      <c r="C2040" s="816" t="s">
        <v>1872</v>
      </c>
      <c r="D2040" s="816" t="s">
        <v>1873</v>
      </c>
      <c r="E2040" s="816" t="s">
        <v>3000</v>
      </c>
      <c r="F2040" s="826">
        <v>0</v>
      </c>
      <c r="G2040" s="880">
        <v>0</v>
      </c>
      <c r="H2040" s="465"/>
      <c r="I2040" s="465"/>
      <c r="J2040" s="826">
        <v>0</v>
      </c>
      <c r="K2040" s="878">
        <v>0</v>
      </c>
    </row>
    <row r="2041" spans="1:11" ht="22.5" customHeight="1" x14ac:dyDescent="0.25">
      <c r="A2041" s="816" t="s">
        <v>291</v>
      </c>
      <c r="B2041" s="880">
        <v>2025</v>
      </c>
      <c r="C2041" s="816" t="s">
        <v>1875</v>
      </c>
      <c r="D2041" s="816" t="s">
        <v>1876</v>
      </c>
      <c r="E2041" s="816" t="s">
        <v>3001</v>
      </c>
      <c r="F2041" s="826">
        <v>0</v>
      </c>
      <c r="G2041" s="880">
        <v>0</v>
      </c>
      <c r="H2041" s="465"/>
      <c r="I2041" s="465"/>
      <c r="J2041" s="826">
        <v>0</v>
      </c>
      <c r="K2041" s="878">
        <v>0</v>
      </c>
    </row>
    <row r="2042" spans="1:11" ht="22.5" customHeight="1" x14ac:dyDescent="0.25">
      <c r="A2042" s="816" t="s">
        <v>291</v>
      </c>
      <c r="B2042" s="880">
        <v>2025</v>
      </c>
      <c r="C2042" s="816" t="s">
        <v>1878</v>
      </c>
      <c r="D2042" s="816" t="s">
        <v>1879</v>
      </c>
      <c r="E2042" s="816" t="s">
        <v>3002</v>
      </c>
      <c r="F2042" s="826">
        <v>37120.269999999997</v>
      </c>
      <c r="G2042" s="880">
        <v>0</v>
      </c>
      <c r="H2042" s="465"/>
      <c r="I2042" s="465"/>
      <c r="J2042" s="826">
        <v>0</v>
      </c>
      <c r="K2042" s="878">
        <v>37120.269999999997</v>
      </c>
    </row>
    <row r="2043" spans="1:11" ht="22.5" customHeight="1" x14ac:dyDescent="0.25">
      <c r="A2043" s="816" t="s">
        <v>291</v>
      </c>
      <c r="B2043" s="880">
        <v>2025</v>
      </c>
      <c r="C2043" s="816" t="s">
        <v>1881</v>
      </c>
      <c r="D2043" s="816" t="s">
        <v>1882</v>
      </c>
      <c r="E2043" s="816" t="s">
        <v>3003</v>
      </c>
      <c r="F2043" s="826">
        <v>0</v>
      </c>
      <c r="G2043" s="880">
        <v>0</v>
      </c>
      <c r="H2043" s="465"/>
      <c r="I2043" s="465"/>
      <c r="J2043" s="826">
        <v>0</v>
      </c>
      <c r="K2043" s="878">
        <v>0</v>
      </c>
    </row>
    <row r="2044" spans="1:11" ht="22.5" customHeight="1" x14ac:dyDescent="0.25">
      <c r="A2044" s="816" t="s">
        <v>291</v>
      </c>
      <c r="B2044" s="880">
        <v>2025</v>
      </c>
      <c r="C2044" s="816" t="s">
        <v>1884</v>
      </c>
      <c r="D2044" s="816" t="s">
        <v>1885</v>
      </c>
      <c r="E2044" s="816" t="s">
        <v>3004</v>
      </c>
      <c r="F2044" s="826">
        <v>-3856.29</v>
      </c>
      <c r="G2044" s="880">
        <v>0</v>
      </c>
      <c r="H2044" s="465"/>
      <c r="I2044" s="465"/>
      <c r="J2044" s="826">
        <v>0</v>
      </c>
      <c r="K2044" s="878">
        <v>-3856.29</v>
      </c>
    </row>
    <row r="2045" spans="1:11" ht="22.5" customHeight="1" x14ac:dyDescent="0.25">
      <c r="A2045" s="816" t="s">
        <v>291</v>
      </c>
      <c r="B2045" s="880">
        <v>2025</v>
      </c>
      <c r="C2045" s="816" t="s">
        <v>1887</v>
      </c>
      <c r="D2045" s="816" t="s">
        <v>138</v>
      </c>
      <c r="E2045" s="816" t="s">
        <v>3005</v>
      </c>
      <c r="F2045" s="826">
        <v>1304362.22</v>
      </c>
      <c r="G2045" s="880">
        <v>1</v>
      </c>
      <c r="H2045" s="826">
        <v>1250332.82</v>
      </c>
      <c r="I2045" s="826">
        <v>54029.4</v>
      </c>
      <c r="J2045" s="826">
        <v>1304362.22</v>
      </c>
      <c r="K2045" s="878">
        <v>1304362.22</v>
      </c>
    </row>
    <row r="2046" spans="1:11" ht="22.5" customHeight="1" x14ac:dyDescent="0.25">
      <c r="A2046" s="816" t="s">
        <v>291</v>
      </c>
      <c r="B2046" s="880">
        <v>2025</v>
      </c>
      <c r="C2046" s="816" t="s">
        <v>1889</v>
      </c>
      <c r="D2046" s="816" t="s">
        <v>139</v>
      </c>
      <c r="E2046" s="816" t="s">
        <v>3006</v>
      </c>
      <c r="F2046" s="826">
        <v>-213471.07</v>
      </c>
      <c r="G2046" s="880">
        <v>1</v>
      </c>
      <c r="H2046" s="826">
        <v>-201736.16</v>
      </c>
      <c r="I2046" s="826">
        <v>-11734.91</v>
      </c>
      <c r="J2046" s="826">
        <v>-213471.07</v>
      </c>
      <c r="K2046" s="878">
        <v>-213471.07</v>
      </c>
    </row>
    <row r="2047" spans="1:11" ht="22.5" customHeight="1" x14ac:dyDescent="0.25">
      <c r="A2047" s="816" t="s">
        <v>291</v>
      </c>
      <c r="B2047" s="880">
        <v>2025</v>
      </c>
      <c r="C2047" s="816" t="s">
        <v>1891</v>
      </c>
      <c r="D2047" s="816" t="s">
        <v>1892</v>
      </c>
      <c r="E2047" s="816" t="s">
        <v>3007</v>
      </c>
      <c r="F2047" s="826">
        <v>-210327.09</v>
      </c>
      <c r="G2047" s="880">
        <v>0</v>
      </c>
      <c r="H2047" s="465"/>
      <c r="I2047" s="465"/>
      <c r="J2047" s="826">
        <v>0</v>
      </c>
      <c r="K2047" s="878">
        <v>-210327.09</v>
      </c>
    </row>
    <row r="2048" spans="1:11" ht="22.5" customHeight="1" x14ac:dyDescent="0.25">
      <c r="A2048" s="816" t="s">
        <v>291</v>
      </c>
      <c r="B2048" s="880">
        <v>2025</v>
      </c>
      <c r="C2048" s="816" t="s">
        <v>1891</v>
      </c>
      <c r="D2048" s="816" t="s">
        <v>1894</v>
      </c>
      <c r="E2048" s="816" t="s">
        <v>3007</v>
      </c>
      <c r="F2048" s="826">
        <v>0</v>
      </c>
      <c r="G2048" s="880">
        <v>0</v>
      </c>
      <c r="H2048" s="465"/>
      <c r="I2048" s="465"/>
      <c r="J2048" s="826">
        <v>0</v>
      </c>
      <c r="K2048" s="881">
        <v>-210327</v>
      </c>
    </row>
    <row r="2049" spans="1:11" ht="22.5" customHeight="1" x14ac:dyDescent="0.25">
      <c r="A2049" s="816" t="s">
        <v>291</v>
      </c>
      <c r="B2049" s="880">
        <v>2025</v>
      </c>
      <c r="C2049" s="816" t="s">
        <v>1895</v>
      </c>
      <c r="D2049" s="816" t="s">
        <v>1896</v>
      </c>
      <c r="E2049" s="816" t="s">
        <v>3008</v>
      </c>
      <c r="F2049" s="826">
        <v>908291.84</v>
      </c>
      <c r="G2049" s="880">
        <v>0</v>
      </c>
      <c r="H2049" s="465"/>
      <c r="I2049" s="465"/>
      <c r="J2049" s="826">
        <v>0</v>
      </c>
      <c r="K2049" s="878">
        <v>908291.84</v>
      </c>
    </row>
    <row r="2050" spans="1:11" ht="22.5" customHeight="1" x14ac:dyDescent="0.25">
      <c r="A2050" s="816" t="s">
        <v>291</v>
      </c>
      <c r="B2050" s="880">
        <v>2025</v>
      </c>
      <c r="C2050" s="816" t="s">
        <v>1898</v>
      </c>
      <c r="D2050" s="816" t="s">
        <v>1899</v>
      </c>
      <c r="E2050" s="816" t="s">
        <v>3009</v>
      </c>
      <c r="F2050" s="826">
        <v>0</v>
      </c>
      <c r="G2050" s="880">
        <v>0</v>
      </c>
      <c r="H2050" s="465"/>
      <c r="I2050" s="465"/>
      <c r="J2050" s="826">
        <v>0</v>
      </c>
      <c r="K2050" s="878">
        <v>0</v>
      </c>
    </row>
    <row r="2051" spans="1:11" ht="22.5" customHeight="1" x14ac:dyDescent="0.25">
      <c r="A2051" s="816" t="s">
        <v>291</v>
      </c>
      <c r="B2051" s="880">
        <v>2025</v>
      </c>
      <c r="C2051" s="816" t="s">
        <v>1901</v>
      </c>
      <c r="D2051" s="816" t="s">
        <v>1902</v>
      </c>
      <c r="E2051" s="816" t="s">
        <v>3010</v>
      </c>
      <c r="F2051" s="826">
        <v>0</v>
      </c>
      <c r="G2051" s="880">
        <v>0</v>
      </c>
      <c r="H2051" s="465"/>
      <c r="I2051" s="465"/>
      <c r="J2051" s="826">
        <v>0</v>
      </c>
      <c r="K2051" s="878">
        <v>0</v>
      </c>
    </row>
    <row r="2052" spans="1:11" ht="22.5" customHeight="1" x14ac:dyDescent="0.25">
      <c r="A2052" s="816" t="s">
        <v>291</v>
      </c>
      <c r="B2052" s="880">
        <v>2025</v>
      </c>
      <c r="C2052" s="816" t="s">
        <v>1904</v>
      </c>
      <c r="D2052" s="816" t="s">
        <v>1905</v>
      </c>
      <c r="E2052" s="816" t="s">
        <v>3011</v>
      </c>
      <c r="F2052" s="826">
        <v>0</v>
      </c>
      <c r="G2052" s="880">
        <v>0</v>
      </c>
      <c r="H2052" s="465"/>
      <c r="I2052" s="465"/>
      <c r="J2052" s="826">
        <v>0</v>
      </c>
      <c r="K2052" s="878">
        <v>0</v>
      </c>
    </row>
    <row r="2053" spans="1:11" ht="22.5" customHeight="1" x14ac:dyDescent="0.25">
      <c r="A2053" s="816" t="s">
        <v>291</v>
      </c>
      <c r="B2053" s="880">
        <v>2025</v>
      </c>
      <c r="C2053" s="816" t="s">
        <v>1907</v>
      </c>
      <c r="D2053" s="816" t="s">
        <v>1908</v>
      </c>
      <c r="E2053" s="816" t="s">
        <v>3012</v>
      </c>
      <c r="F2053" s="826">
        <v>0</v>
      </c>
      <c r="G2053" s="880">
        <v>0</v>
      </c>
      <c r="H2053" s="465"/>
      <c r="I2053" s="465"/>
      <c r="J2053" s="826">
        <v>0</v>
      </c>
      <c r="K2053" s="878">
        <v>0</v>
      </c>
    </row>
    <row r="2054" spans="1:11" ht="22.5" customHeight="1" x14ac:dyDescent="0.25">
      <c r="A2054" s="816" t="s">
        <v>291</v>
      </c>
      <c r="B2054" s="880">
        <v>2025</v>
      </c>
      <c r="C2054" s="816" t="s">
        <v>1910</v>
      </c>
      <c r="D2054" s="816" t="s">
        <v>1911</v>
      </c>
      <c r="E2054" s="816" t="s">
        <v>3013</v>
      </c>
      <c r="F2054" s="826">
        <v>8653.5400000000009</v>
      </c>
      <c r="G2054" s="880">
        <v>0</v>
      </c>
      <c r="H2054" s="465"/>
      <c r="I2054" s="465"/>
      <c r="J2054" s="826">
        <v>0</v>
      </c>
      <c r="K2054" s="878">
        <v>8653.5400000000009</v>
      </c>
    </row>
    <row r="2055" spans="1:11" ht="22.5" customHeight="1" x14ac:dyDescent="0.25">
      <c r="A2055" s="816" t="s">
        <v>291</v>
      </c>
      <c r="B2055" s="880">
        <v>2025</v>
      </c>
      <c r="C2055" s="816" t="s">
        <v>1913</v>
      </c>
      <c r="D2055" s="816" t="s">
        <v>1914</v>
      </c>
      <c r="E2055" s="816" t="s">
        <v>3014</v>
      </c>
      <c r="F2055" s="826">
        <v>-1785790.87</v>
      </c>
      <c r="G2055" s="880">
        <v>1</v>
      </c>
      <c r="H2055" s="826">
        <v>-1661655.84</v>
      </c>
      <c r="I2055" s="826">
        <v>-124135.03</v>
      </c>
      <c r="J2055" s="826">
        <v>-1785790.87</v>
      </c>
      <c r="K2055" s="878">
        <v>-1785790.87</v>
      </c>
    </row>
    <row r="2056" spans="1:11" ht="22.5" customHeight="1" x14ac:dyDescent="0.25">
      <c r="A2056" s="816" t="s">
        <v>291</v>
      </c>
      <c r="B2056" s="880">
        <v>2025</v>
      </c>
      <c r="C2056" s="816" t="s">
        <v>1913</v>
      </c>
      <c r="D2056" s="816" t="s">
        <v>1916</v>
      </c>
      <c r="E2056" s="816" t="s">
        <v>3014</v>
      </c>
      <c r="F2056" s="826">
        <v>0</v>
      </c>
      <c r="G2056" s="880">
        <v>0</v>
      </c>
      <c r="H2056" s="465"/>
      <c r="I2056" s="465"/>
      <c r="J2056" s="826">
        <v>0</v>
      </c>
      <c r="K2056" s="881">
        <v>-103</v>
      </c>
    </row>
    <row r="2057" spans="1:11" ht="22.5" customHeight="1" x14ac:dyDescent="0.25">
      <c r="A2057" s="816" t="s">
        <v>291</v>
      </c>
      <c r="B2057" s="880">
        <v>2025</v>
      </c>
      <c r="C2057" s="816" t="s">
        <v>1913</v>
      </c>
      <c r="D2057" s="816" t="s">
        <v>1917</v>
      </c>
      <c r="E2057" s="816" t="s">
        <v>3014</v>
      </c>
      <c r="F2057" s="826">
        <v>0</v>
      </c>
      <c r="G2057" s="880">
        <v>0</v>
      </c>
      <c r="H2057" s="465"/>
      <c r="I2057" s="465"/>
      <c r="J2057" s="826">
        <v>0</v>
      </c>
      <c r="K2057" s="881">
        <v>9941</v>
      </c>
    </row>
    <row r="2058" spans="1:11" ht="22.5" customHeight="1" x14ac:dyDescent="0.25">
      <c r="A2058" s="816" t="s">
        <v>291</v>
      </c>
      <c r="B2058" s="880">
        <v>2025</v>
      </c>
      <c r="C2058" s="816" t="s">
        <v>1913</v>
      </c>
      <c r="D2058" s="816" t="s">
        <v>1918</v>
      </c>
      <c r="E2058" s="816" t="s">
        <v>3014</v>
      </c>
      <c r="F2058" s="826">
        <v>0</v>
      </c>
      <c r="G2058" s="880">
        <v>0</v>
      </c>
      <c r="H2058" s="465"/>
      <c r="I2058" s="465"/>
      <c r="J2058" s="826">
        <v>0</v>
      </c>
      <c r="K2058" s="881">
        <v>9941</v>
      </c>
    </row>
    <row r="2059" spans="1:11" ht="22.5" customHeight="1" x14ac:dyDescent="0.25">
      <c r="A2059" s="816" t="s">
        <v>291</v>
      </c>
      <c r="B2059" s="880">
        <v>2025</v>
      </c>
      <c r="C2059" s="816" t="s">
        <v>1913</v>
      </c>
      <c r="D2059" s="816" t="s">
        <v>1919</v>
      </c>
      <c r="E2059" s="816" t="s">
        <v>3014</v>
      </c>
      <c r="F2059" s="826">
        <v>0</v>
      </c>
      <c r="G2059" s="880">
        <v>0</v>
      </c>
      <c r="H2059" s="465"/>
      <c r="I2059" s="465"/>
      <c r="J2059" s="826">
        <v>0</v>
      </c>
      <c r="K2059" s="881">
        <v>1005877</v>
      </c>
    </row>
    <row r="2060" spans="1:11" ht="22.5" customHeight="1" x14ac:dyDescent="0.25">
      <c r="A2060" s="816" t="s">
        <v>291</v>
      </c>
      <c r="B2060" s="880">
        <v>2025</v>
      </c>
      <c r="C2060" s="816" t="s">
        <v>1920</v>
      </c>
      <c r="D2060" s="816" t="s">
        <v>1921</v>
      </c>
      <c r="E2060" s="816" t="s">
        <v>3015</v>
      </c>
      <c r="F2060" s="826">
        <v>0</v>
      </c>
      <c r="G2060" s="880">
        <v>0</v>
      </c>
      <c r="H2060" s="465"/>
      <c r="I2060" s="465"/>
      <c r="J2060" s="826">
        <v>0</v>
      </c>
      <c r="K2060" s="878">
        <v>0</v>
      </c>
    </row>
    <row r="2061" spans="1:11" ht="22.5" customHeight="1" x14ac:dyDescent="0.25">
      <c r="A2061" s="816" t="s">
        <v>291</v>
      </c>
      <c r="B2061" s="880">
        <v>2025</v>
      </c>
      <c r="C2061" s="816" t="s">
        <v>1923</v>
      </c>
      <c r="D2061" s="816" t="s">
        <v>143</v>
      </c>
      <c r="E2061" s="816" t="s">
        <v>3016</v>
      </c>
      <c r="F2061" s="826">
        <v>-75150.81</v>
      </c>
      <c r="G2061" s="880">
        <v>1</v>
      </c>
      <c r="H2061" s="826">
        <v>-74381.7</v>
      </c>
      <c r="I2061" s="826">
        <v>-769.11</v>
      </c>
      <c r="J2061" s="826">
        <v>-75150.81</v>
      </c>
      <c r="K2061" s="878">
        <v>-75150.81</v>
      </c>
    </row>
    <row r="2062" spans="1:11" ht="22.5" customHeight="1" x14ac:dyDescent="0.25">
      <c r="A2062" s="816" t="s">
        <v>291</v>
      </c>
      <c r="B2062" s="880">
        <v>2025</v>
      </c>
      <c r="C2062" s="816" t="s">
        <v>1925</v>
      </c>
      <c r="D2062" s="816" t="s">
        <v>144</v>
      </c>
      <c r="E2062" s="816" t="s">
        <v>3017</v>
      </c>
      <c r="F2062" s="826">
        <v>-876875.89</v>
      </c>
      <c r="G2062" s="880">
        <v>1</v>
      </c>
      <c r="H2062" s="826">
        <v>-867548.36</v>
      </c>
      <c r="I2062" s="826">
        <v>-9327.5300000000007</v>
      </c>
      <c r="J2062" s="826">
        <v>-876875.89</v>
      </c>
      <c r="K2062" s="878">
        <v>-876875.89</v>
      </c>
    </row>
    <row r="2063" spans="1:11" ht="22.5" customHeight="1" x14ac:dyDescent="0.25">
      <c r="A2063" s="816" t="s">
        <v>291</v>
      </c>
      <c r="B2063" s="880">
        <v>2025</v>
      </c>
      <c r="C2063" s="816" t="s">
        <v>1927</v>
      </c>
      <c r="D2063" s="816" t="s">
        <v>1928</v>
      </c>
      <c r="E2063" s="816" t="s">
        <v>3018</v>
      </c>
      <c r="F2063" s="826">
        <v>-968138.04</v>
      </c>
      <c r="G2063" s="880">
        <v>1</v>
      </c>
      <c r="H2063" s="826">
        <v>-939078.48</v>
      </c>
      <c r="I2063" s="826">
        <v>-29059.56</v>
      </c>
      <c r="J2063" s="826">
        <v>-968138.04</v>
      </c>
      <c r="K2063" s="878">
        <v>-968138.04</v>
      </c>
    </row>
    <row r="2064" spans="1:11" ht="22.5" customHeight="1" x14ac:dyDescent="0.25">
      <c r="A2064" s="816" t="s">
        <v>291</v>
      </c>
      <c r="B2064" s="880">
        <v>2025</v>
      </c>
      <c r="C2064" s="816" t="s">
        <v>1930</v>
      </c>
      <c r="D2064" s="816" t="s">
        <v>156</v>
      </c>
      <c r="E2064" s="816" t="s">
        <v>3019</v>
      </c>
      <c r="F2064" s="826">
        <v>5165784.13</v>
      </c>
      <c r="G2064" s="880">
        <v>1</v>
      </c>
      <c r="H2064" s="826">
        <v>4970067.2300000004</v>
      </c>
      <c r="I2064" s="826">
        <v>195716.9</v>
      </c>
      <c r="J2064" s="826">
        <v>5165784.13</v>
      </c>
      <c r="K2064" s="878">
        <v>5165784.13</v>
      </c>
    </row>
    <row r="2065" spans="1:11" ht="22.5" customHeight="1" x14ac:dyDescent="0.25">
      <c r="A2065" s="816" t="s">
        <v>291</v>
      </c>
      <c r="B2065" s="880">
        <v>2025</v>
      </c>
      <c r="C2065" s="816" t="s">
        <v>1932</v>
      </c>
      <c r="D2065" s="816" t="s">
        <v>1933</v>
      </c>
      <c r="E2065" s="816" t="s">
        <v>3020</v>
      </c>
      <c r="F2065" s="826">
        <v>0</v>
      </c>
      <c r="G2065" s="880">
        <v>0</v>
      </c>
      <c r="H2065" s="465"/>
      <c r="I2065" s="465"/>
      <c r="J2065" s="826">
        <v>0</v>
      </c>
      <c r="K2065" s="878">
        <v>0</v>
      </c>
    </row>
    <row r="2066" spans="1:11" ht="22.5" customHeight="1" x14ac:dyDescent="0.25">
      <c r="A2066" s="816" t="s">
        <v>291</v>
      </c>
      <c r="B2066" s="880">
        <v>2025</v>
      </c>
      <c r="C2066" s="816" t="s">
        <v>1935</v>
      </c>
      <c r="D2066" s="816" t="s">
        <v>1936</v>
      </c>
      <c r="E2066" s="816" t="s">
        <v>8508</v>
      </c>
      <c r="F2066" s="826">
        <v>0</v>
      </c>
      <c r="G2066" s="880">
        <v>1</v>
      </c>
      <c r="H2066" s="465"/>
      <c r="I2066" s="465"/>
      <c r="J2066" s="826">
        <v>0</v>
      </c>
      <c r="K2066" s="878">
        <v>0</v>
      </c>
    </row>
    <row r="2067" spans="1:11" ht="22.5" customHeight="1" x14ac:dyDescent="0.25">
      <c r="A2067" s="816" t="s">
        <v>291</v>
      </c>
      <c r="B2067" s="880">
        <v>2025</v>
      </c>
      <c r="C2067" s="816" t="s">
        <v>1935</v>
      </c>
      <c r="D2067" s="816" t="s">
        <v>1937</v>
      </c>
      <c r="E2067" s="816" t="s">
        <v>8509</v>
      </c>
      <c r="F2067" s="826">
        <v>0</v>
      </c>
      <c r="G2067" s="880">
        <v>1</v>
      </c>
      <c r="H2067" s="465"/>
      <c r="I2067" s="465"/>
      <c r="J2067" s="826">
        <v>0</v>
      </c>
      <c r="K2067" s="878">
        <v>0</v>
      </c>
    </row>
    <row r="2068" spans="1:11" ht="22.5" customHeight="1" x14ac:dyDescent="0.25">
      <c r="A2068" s="816" t="s">
        <v>291</v>
      </c>
      <c r="B2068" s="880">
        <v>2025</v>
      </c>
      <c r="C2068" s="816" t="s">
        <v>1935</v>
      </c>
      <c r="D2068" s="816" t="s">
        <v>1938</v>
      </c>
      <c r="E2068" s="816" t="s">
        <v>8510</v>
      </c>
      <c r="F2068" s="826">
        <v>0</v>
      </c>
      <c r="G2068" s="880">
        <v>1</v>
      </c>
      <c r="H2068" s="465"/>
      <c r="I2068" s="465"/>
      <c r="J2068" s="826">
        <v>0</v>
      </c>
      <c r="K2068" s="878">
        <v>0</v>
      </c>
    </row>
    <row r="2069" spans="1:11" ht="22.5" customHeight="1" x14ac:dyDescent="0.25">
      <c r="A2069" s="816" t="s">
        <v>291</v>
      </c>
      <c r="B2069" s="880">
        <v>2025</v>
      </c>
      <c r="C2069" s="816" t="s">
        <v>1935</v>
      </c>
      <c r="D2069" s="816" t="s">
        <v>1939</v>
      </c>
      <c r="E2069" s="816" t="s">
        <v>8511</v>
      </c>
      <c r="F2069" s="826">
        <v>0</v>
      </c>
      <c r="G2069" s="880">
        <v>1</v>
      </c>
      <c r="H2069" s="465"/>
      <c r="I2069" s="465"/>
      <c r="J2069" s="826">
        <v>0</v>
      </c>
      <c r="K2069" s="878">
        <v>0</v>
      </c>
    </row>
    <row r="2070" spans="1:11" ht="22.5" customHeight="1" x14ac:dyDescent="0.25">
      <c r="A2070" s="816" t="s">
        <v>291</v>
      </c>
      <c r="B2070" s="880">
        <v>2025</v>
      </c>
      <c r="C2070" s="816" t="s">
        <v>1935</v>
      </c>
      <c r="D2070" s="816" t="s">
        <v>1940</v>
      </c>
      <c r="E2070" s="816" t="s">
        <v>8512</v>
      </c>
      <c r="F2070" s="826">
        <v>0</v>
      </c>
      <c r="G2070" s="880">
        <v>1</v>
      </c>
      <c r="H2070" s="465"/>
      <c r="I2070" s="465"/>
      <c r="J2070" s="826">
        <v>0</v>
      </c>
      <c r="K2070" s="878">
        <v>0</v>
      </c>
    </row>
    <row r="2071" spans="1:11" ht="22.5" customHeight="1" x14ac:dyDescent="0.25">
      <c r="A2071" s="816" t="s">
        <v>291</v>
      </c>
      <c r="B2071" s="880">
        <v>2025</v>
      </c>
      <c r="C2071" s="816" t="s">
        <v>1935</v>
      </c>
      <c r="D2071" s="816" t="s">
        <v>1941</v>
      </c>
      <c r="E2071" s="816" t="s">
        <v>8513</v>
      </c>
      <c r="F2071" s="826">
        <v>0</v>
      </c>
      <c r="G2071" s="880">
        <v>1</v>
      </c>
      <c r="H2071" s="465"/>
      <c r="I2071" s="465"/>
      <c r="J2071" s="826">
        <v>0</v>
      </c>
      <c r="K2071" s="878">
        <v>0</v>
      </c>
    </row>
    <row r="2072" spans="1:11" ht="22.5" customHeight="1" x14ac:dyDescent="0.25">
      <c r="A2072" s="816" t="s">
        <v>291</v>
      </c>
      <c r="B2072" s="880">
        <v>2025</v>
      </c>
      <c r="C2072" s="816" t="s">
        <v>1935</v>
      </c>
      <c r="D2072" s="816" t="s">
        <v>1942</v>
      </c>
      <c r="E2072" s="816" t="s">
        <v>8514</v>
      </c>
      <c r="F2072" s="826">
        <v>0</v>
      </c>
      <c r="G2072" s="880">
        <v>1</v>
      </c>
      <c r="H2072" s="465"/>
      <c r="I2072" s="465"/>
      <c r="J2072" s="826">
        <v>0</v>
      </c>
      <c r="K2072" s="878">
        <v>0</v>
      </c>
    </row>
    <row r="2073" spans="1:11" ht="22.5" customHeight="1" x14ac:dyDescent="0.25">
      <c r="A2073" s="816" t="s">
        <v>291</v>
      </c>
      <c r="B2073" s="880">
        <v>2025</v>
      </c>
      <c r="C2073" s="816" t="s">
        <v>1935</v>
      </c>
      <c r="D2073" s="816" t="s">
        <v>1943</v>
      </c>
      <c r="E2073" s="816" t="s">
        <v>8515</v>
      </c>
      <c r="F2073" s="826">
        <v>0</v>
      </c>
      <c r="G2073" s="880">
        <v>1</v>
      </c>
      <c r="H2073" s="465"/>
      <c r="I2073" s="465"/>
      <c r="J2073" s="826">
        <v>0</v>
      </c>
      <c r="K2073" s="878">
        <v>0</v>
      </c>
    </row>
    <row r="2074" spans="1:11" ht="22.5" customHeight="1" x14ac:dyDescent="0.25">
      <c r="A2074" s="816" t="s">
        <v>291</v>
      </c>
      <c r="B2074" s="880">
        <v>2025</v>
      </c>
      <c r="C2074" s="816" t="s">
        <v>1935</v>
      </c>
      <c r="D2074" s="816" t="s">
        <v>1944</v>
      </c>
      <c r="E2074" s="816" t="s">
        <v>8516</v>
      </c>
      <c r="F2074" s="826">
        <v>0</v>
      </c>
      <c r="G2074" s="880">
        <v>1</v>
      </c>
      <c r="H2074" s="465"/>
      <c r="I2074" s="465"/>
      <c r="J2074" s="826">
        <v>0</v>
      </c>
      <c r="K2074" s="878">
        <v>0</v>
      </c>
    </row>
    <row r="2075" spans="1:11" ht="22.5" customHeight="1" x14ac:dyDescent="0.25">
      <c r="A2075" s="816" t="s">
        <v>291</v>
      </c>
      <c r="B2075" s="880">
        <v>2025</v>
      </c>
      <c r="C2075" s="816" t="s">
        <v>1935</v>
      </c>
      <c r="D2075" s="816" t="s">
        <v>1945</v>
      </c>
      <c r="E2075" s="816" t="s">
        <v>8517</v>
      </c>
      <c r="F2075" s="826">
        <v>0</v>
      </c>
      <c r="G2075" s="880">
        <v>1</v>
      </c>
      <c r="H2075" s="465"/>
      <c r="I2075" s="465"/>
      <c r="J2075" s="826">
        <v>0</v>
      </c>
      <c r="K2075" s="878">
        <v>0</v>
      </c>
    </row>
    <row r="2076" spans="1:11" ht="22.5" customHeight="1" x14ac:dyDescent="0.25">
      <c r="A2076" s="816" t="s">
        <v>291</v>
      </c>
      <c r="B2076" s="880">
        <v>2025</v>
      </c>
      <c r="C2076" s="816" t="s">
        <v>1935</v>
      </c>
      <c r="D2076" s="816" t="s">
        <v>1946</v>
      </c>
      <c r="E2076" s="816" t="s">
        <v>8518</v>
      </c>
      <c r="F2076" s="826">
        <v>0</v>
      </c>
      <c r="G2076" s="880">
        <v>1</v>
      </c>
      <c r="H2076" s="465"/>
      <c r="I2076" s="465"/>
      <c r="J2076" s="826">
        <v>0</v>
      </c>
      <c r="K2076" s="878">
        <v>0</v>
      </c>
    </row>
    <row r="2077" spans="1:11" ht="22.5" customHeight="1" x14ac:dyDescent="0.25">
      <c r="A2077" s="816" t="s">
        <v>291</v>
      </c>
      <c r="B2077" s="880">
        <v>2025</v>
      </c>
      <c r="C2077" s="816" t="s">
        <v>1935</v>
      </c>
      <c r="D2077" s="816" t="s">
        <v>1947</v>
      </c>
      <c r="E2077" s="816" t="s">
        <v>8519</v>
      </c>
      <c r="F2077" s="826">
        <v>0</v>
      </c>
      <c r="G2077" s="880">
        <v>1</v>
      </c>
      <c r="H2077" s="465"/>
      <c r="I2077" s="465"/>
      <c r="J2077" s="826">
        <v>0</v>
      </c>
      <c r="K2077" s="878">
        <v>0</v>
      </c>
    </row>
    <row r="2078" spans="1:11" ht="22.5" customHeight="1" x14ac:dyDescent="0.25">
      <c r="A2078" s="816" t="s">
        <v>291</v>
      </c>
      <c r="B2078" s="880">
        <v>2025</v>
      </c>
      <c r="C2078" s="816" t="s">
        <v>1935</v>
      </c>
      <c r="D2078" s="816" t="s">
        <v>1948</v>
      </c>
      <c r="E2078" s="816" t="s">
        <v>8520</v>
      </c>
      <c r="F2078" s="826">
        <v>0</v>
      </c>
      <c r="G2078" s="880">
        <v>1</v>
      </c>
      <c r="H2078" s="826">
        <v>0</v>
      </c>
      <c r="I2078" s="826">
        <v>0</v>
      </c>
      <c r="J2078" s="826">
        <v>0</v>
      </c>
      <c r="K2078" s="878">
        <v>0</v>
      </c>
    </row>
    <row r="2079" spans="1:11" ht="22.5" customHeight="1" x14ac:dyDescent="0.25">
      <c r="A2079" s="816" t="s">
        <v>291</v>
      </c>
      <c r="B2079" s="880">
        <v>2025</v>
      </c>
      <c r="C2079" s="816" t="s">
        <v>1935</v>
      </c>
      <c r="D2079" s="816" t="s">
        <v>1949</v>
      </c>
      <c r="E2079" s="816" t="s">
        <v>8521</v>
      </c>
      <c r="F2079" s="826">
        <v>0</v>
      </c>
      <c r="G2079" s="880">
        <v>1</v>
      </c>
      <c r="H2079" s="826">
        <v>1951.56</v>
      </c>
      <c r="I2079" s="826">
        <v>-2274.89</v>
      </c>
      <c r="J2079" s="826">
        <v>-323.33</v>
      </c>
      <c r="K2079" s="878">
        <v>-323.33</v>
      </c>
    </row>
    <row r="2080" spans="1:11" ht="22.5" customHeight="1" x14ac:dyDescent="0.25">
      <c r="A2080" s="816" t="s">
        <v>291</v>
      </c>
      <c r="B2080" s="880">
        <v>2025</v>
      </c>
      <c r="C2080" s="816" t="s">
        <v>1935</v>
      </c>
      <c r="D2080" s="816" t="s">
        <v>1950</v>
      </c>
      <c r="E2080" s="816" t="s">
        <v>8522</v>
      </c>
      <c r="F2080" s="826">
        <v>0</v>
      </c>
      <c r="G2080" s="880">
        <v>1</v>
      </c>
      <c r="H2080" s="826">
        <v>-479265.23</v>
      </c>
      <c r="I2080" s="826">
        <v>-84632.58</v>
      </c>
      <c r="J2080" s="826">
        <v>-563897.81000000006</v>
      </c>
      <c r="K2080" s="878">
        <v>-563897.81000000006</v>
      </c>
    </row>
    <row r="2081" spans="1:11" ht="22.5" customHeight="1" x14ac:dyDescent="0.25">
      <c r="A2081" s="816" t="s">
        <v>291</v>
      </c>
      <c r="B2081" s="880">
        <v>2025</v>
      </c>
      <c r="C2081" s="816" t="s">
        <v>1935</v>
      </c>
      <c r="D2081" s="816" t="s">
        <v>1951</v>
      </c>
      <c r="E2081" s="816" t="s">
        <v>8523</v>
      </c>
      <c r="F2081" s="826">
        <v>0</v>
      </c>
      <c r="G2081" s="880">
        <v>1</v>
      </c>
      <c r="H2081" s="826">
        <v>-227694.79</v>
      </c>
      <c r="I2081" s="826">
        <v>189916.14</v>
      </c>
      <c r="J2081" s="826">
        <v>-37778.65</v>
      </c>
      <c r="K2081" s="878">
        <v>-37778.65</v>
      </c>
    </row>
    <row r="2082" spans="1:11" ht="22.5" customHeight="1" x14ac:dyDescent="0.25">
      <c r="A2082" s="816" t="s">
        <v>291</v>
      </c>
      <c r="B2082" s="880">
        <v>2025</v>
      </c>
      <c r="C2082" s="816" t="s">
        <v>1935</v>
      </c>
      <c r="D2082" s="816" t="s">
        <v>7801</v>
      </c>
      <c r="E2082" s="816" t="s">
        <v>8524</v>
      </c>
      <c r="F2082" s="826">
        <v>0</v>
      </c>
      <c r="G2082" s="880">
        <v>1</v>
      </c>
      <c r="H2082" s="826">
        <v>389432.27</v>
      </c>
      <c r="I2082" s="826">
        <v>627336.36</v>
      </c>
      <c r="J2082" s="826">
        <v>1016768.63</v>
      </c>
      <c r="K2082" s="878">
        <v>1016768.63</v>
      </c>
    </row>
    <row r="2083" spans="1:11" ht="22.5" customHeight="1" x14ac:dyDescent="0.25">
      <c r="A2083" s="816" t="s">
        <v>291</v>
      </c>
      <c r="B2083" s="880">
        <v>2025</v>
      </c>
      <c r="C2083" s="816" t="s">
        <v>1935</v>
      </c>
      <c r="D2083" s="816" t="s">
        <v>1952</v>
      </c>
      <c r="E2083" s="816" t="s">
        <v>8525</v>
      </c>
      <c r="F2083" s="826">
        <v>414768.84</v>
      </c>
      <c r="G2083" s="880">
        <v>0</v>
      </c>
      <c r="H2083" s="465"/>
      <c r="I2083" s="465"/>
      <c r="J2083" s="826">
        <v>0</v>
      </c>
      <c r="K2083" s="878">
        <v>414768.84</v>
      </c>
    </row>
    <row r="2084" spans="1:11" ht="22.5" customHeight="1" x14ac:dyDescent="0.25">
      <c r="A2084" s="816" t="s">
        <v>291</v>
      </c>
      <c r="B2084" s="880">
        <v>2025</v>
      </c>
      <c r="C2084" s="816" t="s">
        <v>1953</v>
      </c>
      <c r="D2084" s="816" t="s">
        <v>1954</v>
      </c>
      <c r="E2084" s="816" t="s">
        <v>3021</v>
      </c>
      <c r="F2084" s="826">
        <v>0</v>
      </c>
      <c r="G2084" s="880">
        <v>0</v>
      </c>
      <c r="H2084" s="465"/>
      <c r="I2084" s="465"/>
      <c r="J2084" s="826">
        <v>0</v>
      </c>
      <c r="K2084" s="878">
        <v>0</v>
      </c>
    </row>
    <row r="2085" spans="1:11" ht="22.5" customHeight="1" x14ac:dyDescent="0.25">
      <c r="A2085" s="816" t="s">
        <v>293</v>
      </c>
      <c r="B2085" s="880">
        <v>2025</v>
      </c>
      <c r="C2085" s="816" t="s">
        <v>1854</v>
      </c>
      <c r="D2085" s="816" t="s">
        <v>1855</v>
      </c>
      <c r="E2085" s="816" t="s">
        <v>3022</v>
      </c>
      <c r="F2085" s="826">
        <v>67657.009999999995</v>
      </c>
      <c r="G2085" s="880">
        <v>0</v>
      </c>
      <c r="H2085" s="465"/>
      <c r="I2085" s="465"/>
      <c r="J2085" s="826">
        <v>0</v>
      </c>
      <c r="K2085" s="878">
        <v>67657.009999999995</v>
      </c>
    </row>
    <row r="2086" spans="1:11" ht="22.5" customHeight="1" x14ac:dyDescent="0.25">
      <c r="A2086" s="816" t="s">
        <v>293</v>
      </c>
      <c r="B2086" s="880">
        <v>2025</v>
      </c>
      <c r="C2086" s="816" t="s">
        <v>7746</v>
      </c>
      <c r="D2086" s="816" t="s">
        <v>7747</v>
      </c>
      <c r="E2086" s="816" t="s">
        <v>7787</v>
      </c>
      <c r="F2086" s="826">
        <v>0</v>
      </c>
      <c r="G2086" s="880">
        <v>0</v>
      </c>
      <c r="H2086" s="465"/>
      <c r="I2086" s="465"/>
      <c r="J2086" s="826">
        <v>0</v>
      </c>
      <c r="K2086" s="878">
        <v>0</v>
      </c>
    </row>
    <row r="2087" spans="1:11" ht="22.5" customHeight="1" x14ac:dyDescent="0.25">
      <c r="A2087" s="816" t="s">
        <v>293</v>
      </c>
      <c r="B2087" s="880">
        <v>2025</v>
      </c>
      <c r="C2087" s="816" t="s">
        <v>1857</v>
      </c>
      <c r="D2087" s="816" t="s">
        <v>1858</v>
      </c>
      <c r="E2087" s="816" t="s">
        <v>3023</v>
      </c>
      <c r="F2087" s="826">
        <v>0</v>
      </c>
      <c r="G2087" s="880">
        <v>0</v>
      </c>
      <c r="H2087" s="465"/>
      <c r="I2087" s="465"/>
      <c r="J2087" s="826">
        <v>0</v>
      </c>
      <c r="K2087" s="878">
        <v>0</v>
      </c>
    </row>
    <row r="2088" spans="1:11" ht="22.5" customHeight="1" x14ac:dyDescent="0.25">
      <c r="A2088" s="816" t="s">
        <v>293</v>
      </c>
      <c r="B2088" s="880">
        <v>2025</v>
      </c>
      <c r="C2088" s="816" t="s">
        <v>1860</v>
      </c>
      <c r="D2088" s="816" t="s">
        <v>1861</v>
      </c>
      <c r="E2088" s="816" t="s">
        <v>3024</v>
      </c>
      <c r="F2088" s="826">
        <v>0</v>
      </c>
      <c r="G2088" s="880">
        <v>0</v>
      </c>
      <c r="H2088" s="465"/>
      <c r="I2088" s="465"/>
      <c r="J2088" s="826">
        <v>0</v>
      </c>
      <c r="K2088" s="878">
        <v>0</v>
      </c>
    </row>
    <row r="2089" spans="1:11" ht="22.5" customHeight="1" x14ac:dyDescent="0.25">
      <c r="A2089" s="816" t="s">
        <v>293</v>
      </c>
      <c r="B2089" s="880">
        <v>2025</v>
      </c>
      <c r="C2089" s="816" t="s">
        <v>1863</v>
      </c>
      <c r="D2089" s="816" t="s">
        <v>1864</v>
      </c>
      <c r="E2089" s="816" t="s">
        <v>3025</v>
      </c>
      <c r="F2089" s="826">
        <v>0</v>
      </c>
      <c r="G2089" s="880">
        <v>0</v>
      </c>
      <c r="H2089" s="465"/>
      <c r="I2089" s="465"/>
      <c r="J2089" s="826">
        <v>0</v>
      </c>
      <c r="K2089" s="878">
        <v>0</v>
      </c>
    </row>
    <row r="2090" spans="1:11" ht="22.5" customHeight="1" x14ac:dyDescent="0.25">
      <c r="A2090" s="816" t="s">
        <v>293</v>
      </c>
      <c r="B2090" s="880">
        <v>2025</v>
      </c>
      <c r="C2090" s="816" t="s">
        <v>1866</v>
      </c>
      <c r="D2090" s="816" t="s">
        <v>1867</v>
      </c>
      <c r="E2090" s="816" t="s">
        <v>3026</v>
      </c>
      <c r="F2090" s="826">
        <v>0</v>
      </c>
      <c r="G2090" s="880">
        <v>0</v>
      </c>
      <c r="H2090" s="465"/>
      <c r="I2090" s="465"/>
      <c r="J2090" s="826">
        <v>0</v>
      </c>
      <c r="K2090" s="878">
        <v>0</v>
      </c>
    </row>
    <row r="2091" spans="1:11" ht="22.5" customHeight="1" x14ac:dyDescent="0.25">
      <c r="A2091" s="816" t="s">
        <v>293</v>
      </c>
      <c r="B2091" s="880">
        <v>2025</v>
      </c>
      <c r="C2091" s="816" t="s">
        <v>1869</v>
      </c>
      <c r="D2091" s="816" t="s">
        <v>1870</v>
      </c>
      <c r="E2091" s="816" t="s">
        <v>3027</v>
      </c>
      <c r="F2091" s="826">
        <v>0</v>
      </c>
      <c r="G2091" s="880">
        <v>0</v>
      </c>
      <c r="H2091" s="465"/>
      <c r="I2091" s="465"/>
      <c r="J2091" s="826">
        <v>0</v>
      </c>
      <c r="K2091" s="878">
        <v>0</v>
      </c>
    </row>
    <row r="2092" spans="1:11" ht="22.5" customHeight="1" x14ac:dyDescent="0.25">
      <c r="A2092" s="816" t="s">
        <v>293</v>
      </c>
      <c r="B2092" s="880">
        <v>2025</v>
      </c>
      <c r="C2092" s="816" t="s">
        <v>1872</v>
      </c>
      <c r="D2092" s="816" t="s">
        <v>1873</v>
      </c>
      <c r="E2092" s="816" t="s">
        <v>3028</v>
      </c>
      <c r="F2092" s="826">
        <v>0</v>
      </c>
      <c r="G2092" s="880">
        <v>0</v>
      </c>
      <c r="H2092" s="465"/>
      <c r="I2092" s="465"/>
      <c r="J2092" s="826">
        <v>0</v>
      </c>
      <c r="K2092" s="878">
        <v>0</v>
      </c>
    </row>
    <row r="2093" spans="1:11" ht="22.5" customHeight="1" x14ac:dyDescent="0.25">
      <c r="A2093" s="816" t="s">
        <v>293</v>
      </c>
      <c r="B2093" s="880">
        <v>2025</v>
      </c>
      <c r="C2093" s="816" t="s">
        <v>1875</v>
      </c>
      <c r="D2093" s="816" t="s">
        <v>1876</v>
      </c>
      <c r="E2093" s="816" t="s">
        <v>3029</v>
      </c>
      <c r="F2093" s="826">
        <v>0</v>
      </c>
      <c r="G2093" s="880">
        <v>0</v>
      </c>
      <c r="H2093" s="465"/>
      <c r="I2093" s="465"/>
      <c r="J2093" s="826">
        <v>0</v>
      </c>
      <c r="K2093" s="878">
        <v>0</v>
      </c>
    </row>
    <row r="2094" spans="1:11" ht="22.5" customHeight="1" x14ac:dyDescent="0.25">
      <c r="A2094" s="816" t="s">
        <v>293</v>
      </c>
      <c r="B2094" s="880">
        <v>2025</v>
      </c>
      <c r="C2094" s="816" t="s">
        <v>1878</v>
      </c>
      <c r="D2094" s="816" t="s">
        <v>1879</v>
      </c>
      <c r="E2094" s="816" t="s">
        <v>3030</v>
      </c>
      <c r="F2094" s="826">
        <v>0</v>
      </c>
      <c r="G2094" s="880">
        <v>0</v>
      </c>
      <c r="H2094" s="465"/>
      <c r="I2094" s="465"/>
      <c r="J2094" s="826">
        <v>0</v>
      </c>
      <c r="K2094" s="878">
        <v>0</v>
      </c>
    </row>
    <row r="2095" spans="1:11" ht="22.5" customHeight="1" x14ac:dyDescent="0.25">
      <c r="A2095" s="816" t="s">
        <v>293</v>
      </c>
      <c r="B2095" s="880">
        <v>2025</v>
      </c>
      <c r="C2095" s="816" t="s">
        <v>1881</v>
      </c>
      <c r="D2095" s="816" t="s">
        <v>1882</v>
      </c>
      <c r="E2095" s="816" t="s">
        <v>3031</v>
      </c>
      <c r="F2095" s="826">
        <v>0</v>
      </c>
      <c r="G2095" s="880">
        <v>0</v>
      </c>
      <c r="H2095" s="465"/>
      <c r="I2095" s="465"/>
      <c r="J2095" s="826">
        <v>0</v>
      </c>
      <c r="K2095" s="878">
        <v>0</v>
      </c>
    </row>
    <row r="2096" spans="1:11" ht="22.5" customHeight="1" x14ac:dyDescent="0.25">
      <c r="A2096" s="816" t="s">
        <v>293</v>
      </c>
      <c r="B2096" s="880">
        <v>2025</v>
      </c>
      <c r="C2096" s="816" t="s">
        <v>1884</v>
      </c>
      <c r="D2096" s="816" t="s">
        <v>1885</v>
      </c>
      <c r="E2096" s="816" t="s">
        <v>3032</v>
      </c>
      <c r="F2096" s="826">
        <v>0</v>
      </c>
      <c r="G2096" s="880">
        <v>0</v>
      </c>
      <c r="H2096" s="465"/>
      <c r="I2096" s="465"/>
      <c r="J2096" s="826">
        <v>0</v>
      </c>
      <c r="K2096" s="878">
        <v>0</v>
      </c>
    </row>
    <row r="2097" spans="1:11" ht="22.5" customHeight="1" x14ac:dyDescent="0.25">
      <c r="A2097" s="816" t="s">
        <v>293</v>
      </c>
      <c r="B2097" s="880">
        <v>2025</v>
      </c>
      <c r="C2097" s="816" t="s">
        <v>1887</v>
      </c>
      <c r="D2097" s="816" t="s">
        <v>138</v>
      </c>
      <c r="E2097" s="816" t="s">
        <v>3033</v>
      </c>
      <c r="F2097" s="826">
        <v>243964.25</v>
      </c>
      <c r="G2097" s="880">
        <v>1</v>
      </c>
      <c r="H2097" s="826">
        <v>213553.44</v>
      </c>
      <c r="I2097" s="826">
        <v>30410.81</v>
      </c>
      <c r="J2097" s="826">
        <v>243964.25</v>
      </c>
      <c r="K2097" s="878">
        <v>243964.25</v>
      </c>
    </row>
    <row r="2098" spans="1:11" ht="22.5" customHeight="1" x14ac:dyDescent="0.25">
      <c r="A2098" s="816" t="s">
        <v>293</v>
      </c>
      <c r="B2098" s="880">
        <v>2025</v>
      </c>
      <c r="C2098" s="816" t="s">
        <v>1889</v>
      </c>
      <c r="D2098" s="816" t="s">
        <v>139</v>
      </c>
      <c r="E2098" s="816" t="s">
        <v>3034</v>
      </c>
      <c r="F2098" s="826">
        <v>-37498.03</v>
      </c>
      <c r="G2098" s="880">
        <v>1</v>
      </c>
      <c r="H2098" s="826">
        <v>-35292.51</v>
      </c>
      <c r="I2098" s="826">
        <v>-2205.52</v>
      </c>
      <c r="J2098" s="826">
        <v>-37498.03</v>
      </c>
      <c r="K2098" s="878">
        <v>-37498.03</v>
      </c>
    </row>
    <row r="2099" spans="1:11" ht="22.5" customHeight="1" x14ac:dyDescent="0.25">
      <c r="A2099" s="816" t="s">
        <v>293</v>
      </c>
      <c r="B2099" s="880">
        <v>2025</v>
      </c>
      <c r="C2099" s="816" t="s">
        <v>1891</v>
      </c>
      <c r="D2099" s="816" t="s">
        <v>1892</v>
      </c>
      <c r="E2099" s="816" t="s">
        <v>3035</v>
      </c>
      <c r="F2099" s="826">
        <v>0</v>
      </c>
      <c r="G2099" s="880">
        <v>0</v>
      </c>
      <c r="H2099" s="465"/>
      <c r="I2099" s="465"/>
      <c r="J2099" s="826">
        <v>0</v>
      </c>
      <c r="K2099" s="878">
        <v>0</v>
      </c>
    </row>
    <row r="2100" spans="1:11" ht="22.5" customHeight="1" x14ac:dyDescent="0.25">
      <c r="A2100" s="816" t="s">
        <v>293</v>
      </c>
      <c r="B2100" s="880">
        <v>2025</v>
      </c>
      <c r="C2100" s="816" t="s">
        <v>1891</v>
      </c>
      <c r="D2100" s="816" t="s">
        <v>1894</v>
      </c>
      <c r="E2100" s="816" t="s">
        <v>3035</v>
      </c>
      <c r="F2100" s="826">
        <v>0</v>
      </c>
      <c r="G2100" s="880">
        <v>0</v>
      </c>
      <c r="H2100" s="465"/>
      <c r="I2100" s="465"/>
      <c r="J2100" s="826">
        <v>0</v>
      </c>
      <c r="K2100" s="881">
        <v>0</v>
      </c>
    </row>
    <row r="2101" spans="1:11" ht="22.5" customHeight="1" x14ac:dyDescent="0.25">
      <c r="A2101" s="816" t="s">
        <v>293</v>
      </c>
      <c r="B2101" s="880">
        <v>2025</v>
      </c>
      <c r="C2101" s="816" t="s">
        <v>1895</v>
      </c>
      <c r="D2101" s="816" t="s">
        <v>1896</v>
      </c>
      <c r="E2101" s="816" t="s">
        <v>3036</v>
      </c>
      <c r="F2101" s="826">
        <v>0</v>
      </c>
      <c r="G2101" s="880">
        <v>0</v>
      </c>
      <c r="H2101" s="465"/>
      <c r="I2101" s="465"/>
      <c r="J2101" s="826">
        <v>0</v>
      </c>
      <c r="K2101" s="878">
        <v>0</v>
      </c>
    </row>
    <row r="2102" spans="1:11" ht="22.5" customHeight="1" x14ac:dyDescent="0.25">
      <c r="A2102" s="816" t="s">
        <v>293</v>
      </c>
      <c r="B2102" s="880">
        <v>2025</v>
      </c>
      <c r="C2102" s="816" t="s">
        <v>1898</v>
      </c>
      <c r="D2102" s="816" t="s">
        <v>1899</v>
      </c>
      <c r="E2102" s="816" t="s">
        <v>3037</v>
      </c>
      <c r="F2102" s="826">
        <v>0</v>
      </c>
      <c r="G2102" s="880">
        <v>0</v>
      </c>
      <c r="H2102" s="465"/>
      <c r="I2102" s="465"/>
      <c r="J2102" s="826">
        <v>0</v>
      </c>
      <c r="K2102" s="878">
        <v>0</v>
      </c>
    </row>
    <row r="2103" spans="1:11" ht="22.5" customHeight="1" x14ac:dyDescent="0.25">
      <c r="A2103" s="816" t="s">
        <v>293</v>
      </c>
      <c r="B2103" s="880">
        <v>2025</v>
      </c>
      <c r="C2103" s="816" t="s">
        <v>1901</v>
      </c>
      <c r="D2103" s="816" t="s">
        <v>1902</v>
      </c>
      <c r="E2103" s="816" t="s">
        <v>3038</v>
      </c>
      <c r="F2103" s="826">
        <v>0</v>
      </c>
      <c r="G2103" s="880">
        <v>0</v>
      </c>
      <c r="H2103" s="465"/>
      <c r="I2103" s="465"/>
      <c r="J2103" s="826">
        <v>0</v>
      </c>
      <c r="K2103" s="878">
        <v>0</v>
      </c>
    </row>
    <row r="2104" spans="1:11" ht="22.5" customHeight="1" x14ac:dyDescent="0.25">
      <c r="A2104" s="816" t="s">
        <v>293</v>
      </c>
      <c r="B2104" s="880">
        <v>2025</v>
      </c>
      <c r="C2104" s="816" t="s">
        <v>1904</v>
      </c>
      <c r="D2104" s="816" t="s">
        <v>1905</v>
      </c>
      <c r="E2104" s="816" t="s">
        <v>3039</v>
      </c>
      <c r="F2104" s="826">
        <v>0</v>
      </c>
      <c r="G2104" s="880">
        <v>0</v>
      </c>
      <c r="H2104" s="465"/>
      <c r="I2104" s="465"/>
      <c r="J2104" s="826">
        <v>0</v>
      </c>
      <c r="K2104" s="878">
        <v>0</v>
      </c>
    </row>
    <row r="2105" spans="1:11" ht="22.5" customHeight="1" x14ac:dyDescent="0.25">
      <c r="A2105" s="816" t="s">
        <v>293</v>
      </c>
      <c r="B2105" s="880">
        <v>2025</v>
      </c>
      <c r="C2105" s="816" t="s">
        <v>1907</v>
      </c>
      <c r="D2105" s="816" t="s">
        <v>1908</v>
      </c>
      <c r="E2105" s="816" t="s">
        <v>3040</v>
      </c>
      <c r="F2105" s="826">
        <v>0</v>
      </c>
      <c r="G2105" s="880">
        <v>0</v>
      </c>
      <c r="H2105" s="465"/>
      <c r="I2105" s="465"/>
      <c r="J2105" s="826">
        <v>0</v>
      </c>
      <c r="K2105" s="878">
        <v>0</v>
      </c>
    </row>
    <row r="2106" spans="1:11" ht="22.5" customHeight="1" x14ac:dyDescent="0.25">
      <c r="A2106" s="816" t="s">
        <v>293</v>
      </c>
      <c r="B2106" s="880">
        <v>2025</v>
      </c>
      <c r="C2106" s="816" t="s">
        <v>1910</v>
      </c>
      <c r="D2106" s="816" t="s">
        <v>1911</v>
      </c>
      <c r="E2106" s="816" t="s">
        <v>3041</v>
      </c>
      <c r="F2106" s="826">
        <v>0</v>
      </c>
      <c r="G2106" s="880">
        <v>0</v>
      </c>
      <c r="H2106" s="465"/>
      <c r="I2106" s="465"/>
      <c r="J2106" s="826">
        <v>0</v>
      </c>
      <c r="K2106" s="878">
        <v>0</v>
      </c>
    </row>
    <row r="2107" spans="1:11" ht="22.5" customHeight="1" x14ac:dyDescent="0.25">
      <c r="A2107" s="816" t="s">
        <v>293</v>
      </c>
      <c r="B2107" s="880">
        <v>2025</v>
      </c>
      <c r="C2107" s="816" t="s">
        <v>1913</v>
      </c>
      <c r="D2107" s="816" t="s">
        <v>1914</v>
      </c>
      <c r="E2107" s="816" t="s">
        <v>3042</v>
      </c>
      <c r="F2107" s="826">
        <v>-322674.43</v>
      </c>
      <c r="G2107" s="880">
        <v>1</v>
      </c>
      <c r="H2107" s="826">
        <v>-304113.03000000003</v>
      </c>
      <c r="I2107" s="826">
        <v>-18561.400000000001</v>
      </c>
      <c r="J2107" s="826">
        <v>-322674.43</v>
      </c>
      <c r="K2107" s="878">
        <v>-322674.43</v>
      </c>
    </row>
    <row r="2108" spans="1:11" ht="22.5" customHeight="1" x14ac:dyDescent="0.25">
      <c r="A2108" s="816" t="s">
        <v>293</v>
      </c>
      <c r="B2108" s="880">
        <v>2025</v>
      </c>
      <c r="C2108" s="816" t="s">
        <v>1913</v>
      </c>
      <c r="D2108" s="816" t="s">
        <v>1916</v>
      </c>
      <c r="E2108" s="816" t="s">
        <v>3042</v>
      </c>
      <c r="F2108" s="826">
        <v>0</v>
      </c>
      <c r="G2108" s="880">
        <v>0</v>
      </c>
      <c r="H2108" s="465"/>
      <c r="I2108" s="465"/>
      <c r="J2108" s="826">
        <v>0</v>
      </c>
      <c r="K2108" s="881">
        <v>0</v>
      </c>
    </row>
    <row r="2109" spans="1:11" ht="22.5" customHeight="1" x14ac:dyDescent="0.25">
      <c r="A2109" s="816" t="s">
        <v>293</v>
      </c>
      <c r="B2109" s="880">
        <v>2025</v>
      </c>
      <c r="C2109" s="816" t="s">
        <v>1913</v>
      </c>
      <c r="D2109" s="816" t="s">
        <v>1917</v>
      </c>
      <c r="E2109" s="816" t="s">
        <v>3042</v>
      </c>
      <c r="F2109" s="826">
        <v>0</v>
      </c>
      <c r="G2109" s="880">
        <v>0</v>
      </c>
      <c r="H2109" s="465"/>
      <c r="I2109" s="465"/>
      <c r="J2109" s="826">
        <v>0</v>
      </c>
      <c r="K2109" s="881">
        <v>-0.03</v>
      </c>
    </row>
    <row r="2110" spans="1:11" ht="22.5" customHeight="1" x14ac:dyDescent="0.25">
      <c r="A2110" s="816" t="s">
        <v>293</v>
      </c>
      <c r="B2110" s="880">
        <v>2025</v>
      </c>
      <c r="C2110" s="816" t="s">
        <v>1913</v>
      </c>
      <c r="D2110" s="816" t="s">
        <v>1918</v>
      </c>
      <c r="E2110" s="816" t="s">
        <v>3042</v>
      </c>
      <c r="F2110" s="826">
        <v>0</v>
      </c>
      <c r="G2110" s="880">
        <v>0</v>
      </c>
      <c r="H2110" s="465"/>
      <c r="I2110" s="465"/>
      <c r="J2110" s="826">
        <v>0</v>
      </c>
      <c r="K2110" s="881">
        <v>1386.47</v>
      </c>
    </row>
    <row r="2111" spans="1:11" ht="22.5" customHeight="1" x14ac:dyDescent="0.25">
      <c r="A2111" s="816" t="s">
        <v>293</v>
      </c>
      <c r="B2111" s="880">
        <v>2025</v>
      </c>
      <c r="C2111" s="816" t="s">
        <v>1913</v>
      </c>
      <c r="D2111" s="816" t="s">
        <v>1919</v>
      </c>
      <c r="E2111" s="816" t="s">
        <v>3042</v>
      </c>
      <c r="F2111" s="826">
        <v>0</v>
      </c>
      <c r="G2111" s="880">
        <v>0</v>
      </c>
      <c r="H2111" s="465"/>
      <c r="I2111" s="465"/>
      <c r="J2111" s="826">
        <v>0</v>
      </c>
      <c r="K2111" s="881">
        <v>113388.31</v>
      </c>
    </row>
    <row r="2112" spans="1:11" ht="22.5" customHeight="1" x14ac:dyDescent="0.25">
      <c r="A2112" s="816" t="s">
        <v>293</v>
      </c>
      <c r="B2112" s="880">
        <v>2025</v>
      </c>
      <c r="C2112" s="816" t="s">
        <v>1920</v>
      </c>
      <c r="D2112" s="816" t="s">
        <v>1921</v>
      </c>
      <c r="E2112" s="816" t="s">
        <v>3043</v>
      </c>
      <c r="F2112" s="826">
        <v>0</v>
      </c>
      <c r="G2112" s="880">
        <v>0</v>
      </c>
      <c r="H2112" s="465"/>
      <c r="I2112" s="465"/>
      <c r="J2112" s="826">
        <v>0</v>
      </c>
      <c r="K2112" s="878">
        <v>0</v>
      </c>
    </row>
    <row r="2113" spans="1:11" ht="22.5" customHeight="1" x14ac:dyDescent="0.25">
      <c r="A2113" s="816" t="s">
        <v>293</v>
      </c>
      <c r="B2113" s="880">
        <v>2025</v>
      </c>
      <c r="C2113" s="816" t="s">
        <v>1923</v>
      </c>
      <c r="D2113" s="816" t="s">
        <v>143</v>
      </c>
      <c r="E2113" s="816" t="s">
        <v>3044</v>
      </c>
      <c r="F2113" s="826">
        <v>26708.11</v>
      </c>
      <c r="G2113" s="880">
        <v>1</v>
      </c>
      <c r="H2113" s="826">
        <v>24684.25</v>
      </c>
      <c r="I2113" s="826">
        <v>2023.86</v>
      </c>
      <c r="J2113" s="826">
        <v>26708.11</v>
      </c>
      <c r="K2113" s="878">
        <v>26708.11</v>
      </c>
    </row>
    <row r="2114" spans="1:11" ht="22.5" customHeight="1" x14ac:dyDescent="0.25">
      <c r="A2114" s="816" t="s">
        <v>293</v>
      </c>
      <c r="B2114" s="880">
        <v>2025</v>
      </c>
      <c r="C2114" s="816" t="s">
        <v>1925</v>
      </c>
      <c r="D2114" s="816" t="s">
        <v>144</v>
      </c>
      <c r="E2114" s="816" t="s">
        <v>3045</v>
      </c>
      <c r="F2114" s="826">
        <v>106411.4</v>
      </c>
      <c r="G2114" s="880">
        <v>1</v>
      </c>
      <c r="H2114" s="826">
        <v>98434.32</v>
      </c>
      <c r="I2114" s="826">
        <v>7977.08</v>
      </c>
      <c r="J2114" s="826">
        <v>106411.4</v>
      </c>
      <c r="K2114" s="878">
        <v>106411.4</v>
      </c>
    </row>
    <row r="2115" spans="1:11" ht="22.5" customHeight="1" x14ac:dyDescent="0.25">
      <c r="A2115" s="816" t="s">
        <v>293</v>
      </c>
      <c r="B2115" s="880">
        <v>2025</v>
      </c>
      <c r="C2115" s="816" t="s">
        <v>1927</v>
      </c>
      <c r="D2115" s="816" t="s">
        <v>1928</v>
      </c>
      <c r="E2115" s="816" t="s">
        <v>3046</v>
      </c>
      <c r="F2115" s="826">
        <v>-255135.31</v>
      </c>
      <c r="G2115" s="880">
        <v>1</v>
      </c>
      <c r="H2115" s="826">
        <v>-189479.24</v>
      </c>
      <c r="I2115" s="826">
        <v>-65656.070000000007</v>
      </c>
      <c r="J2115" s="826">
        <v>-255135.31</v>
      </c>
      <c r="K2115" s="878">
        <v>-255135.31</v>
      </c>
    </row>
    <row r="2116" spans="1:11" ht="22.5" customHeight="1" x14ac:dyDescent="0.25">
      <c r="A2116" s="816" t="s">
        <v>293</v>
      </c>
      <c r="B2116" s="880">
        <v>2025</v>
      </c>
      <c r="C2116" s="816" t="s">
        <v>1930</v>
      </c>
      <c r="D2116" s="816" t="s">
        <v>156</v>
      </c>
      <c r="E2116" s="816" t="s">
        <v>3047</v>
      </c>
      <c r="F2116" s="826">
        <v>495584.66</v>
      </c>
      <c r="G2116" s="880">
        <v>1</v>
      </c>
      <c r="H2116" s="826">
        <v>414094.24</v>
      </c>
      <c r="I2116" s="826">
        <v>81490.42</v>
      </c>
      <c r="J2116" s="826">
        <v>495584.66</v>
      </c>
      <c r="K2116" s="878">
        <v>495584.66</v>
      </c>
    </row>
    <row r="2117" spans="1:11" ht="22.5" customHeight="1" x14ac:dyDescent="0.25">
      <c r="A2117" s="816" t="s">
        <v>293</v>
      </c>
      <c r="B2117" s="880">
        <v>2025</v>
      </c>
      <c r="C2117" s="816" t="s">
        <v>1932</v>
      </c>
      <c r="D2117" s="816" t="s">
        <v>1933</v>
      </c>
      <c r="E2117" s="816" t="s">
        <v>3048</v>
      </c>
      <c r="F2117" s="826">
        <v>0</v>
      </c>
      <c r="G2117" s="880">
        <v>0</v>
      </c>
      <c r="H2117" s="465"/>
      <c r="I2117" s="465"/>
      <c r="J2117" s="826">
        <v>0</v>
      </c>
      <c r="K2117" s="878">
        <v>0</v>
      </c>
    </row>
    <row r="2118" spans="1:11" ht="22.5" customHeight="1" x14ac:dyDescent="0.25">
      <c r="A2118" s="816" t="s">
        <v>293</v>
      </c>
      <c r="B2118" s="880">
        <v>2025</v>
      </c>
      <c r="C2118" s="816" t="s">
        <v>1935</v>
      </c>
      <c r="D2118" s="816" t="s">
        <v>1936</v>
      </c>
      <c r="E2118" s="816" t="s">
        <v>8526</v>
      </c>
      <c r="F2118" s="826">
        <v>0</v>
      </c>
      <c r="G2118" s="880">
        <v>1</v>
      </c>
      <c r="H2118" s="465"/>
      <c r="I2118" s="465"/>
      <c r="J2118" s="826">
        <v>0</v>
      </c>
      <c r="K2118" s="878">
        <v>0</v>
      </c>
    </row>
    <row r="2119" spans="1:11" ht="22.5" customHeight="1" x14ac:dyDescent="0.25">
      <c r="A2119" s="816" t="s">
        <v>293</v>
      </c>
      <c r="B2119" s="880">
        <v>2025</v>
      </c>
      <c r="C2119" s="816" t="s">
        <v>1935</v>
      </c>
      <c r="D2119" s="816" t="s">
        <v>1937</v>
      </c>
      <c r="E2119" s="816" t="s">
        <v>8527</v>
      </c>
      <c r="F2119" s="826">
        <v>0</v>
      </c>
      <c r="G2119" s="880">
        <v>1</v>
      </c>
      <c r="H2119" s="465"/>
      <c r="I2119" s="465"/>
      <c r="J2119" s="826">
        <v>0</v>
      </c>
      <c r="K2119" s="878">
        <v>0</v>
      </c>
    </row>
    <row r="2120" spans="1:11" ht="22.5" customHeight="1" x14ac:dyDescent="0.25">
      <c r="A2120" s="816" t="s">
        <v>293</v>
      </c>
      <c r="B2120" s="880">
        <v>2025</v>
      </c>
      <c r="C2120" s="816" t="s">
        <v>1935</v>
      </c>
      <c r="D2120" s="816" t="s">
        <v>1938</v>
      </c>
      <c r="E2120" s="816" t="s">
        <v>8528</v>
      </c>
      <c r="F2120" s="826">
        <v>0</v>
      </c>
      <c r="G2120" s="880">
        <v>1</v>
      </c>
      <c r="H2120" s="465"/>
      <c r="I2120" s="465"/>
      <c r="J2120" s="826">
        <v>0</v>
      </c>
      <c r="K2120" s="878">
        <v>0</v>
      </c>
    </row>
    <row r="2121" spans="1:11" ht="22.5" customHeight="1" x14ac:dyDescent="0.25">
      <c r="A2121" s="816" t="s">
        <v>293</v>
      </c>
      <c r="B2121" s="880">
        <v>2025</v>
      </c>
      <c r="C2121" s="816" t="s">
        <v>1935</v>
      </c>
      <c r="D2121" s="816" t="s">
        <v>1939</v>
      </c>
      <c r="E2121" s="816" t="s">
        <v>8529</v>
      </c>
      <c r="F2121" s="826">
        <v>0</v>
      </c>
      <c r="G2121" s="880">
        <v>1</v>
      </c>
      <c r="H2121" s="465"/>
      <c r="I2121" s="465"/>
      <c r="J2121" s="826">
        <v>0</v>
      </c>
      <c r="K2121" s="878">
        <v>0</v>
      </c>
    </row>
    <row r="2122" spans="1:11" ht="22.5" customHeight="1" x14ac:dyDescent="0.25">
      <c r="A2122" s="816" t="s">
        <v>293</v>
      </c>
      <c r="B2122" s="880">
        <v>2025</v>
      </c>
      <c r="C2122" s="816" t="s">
        <v>1935</v>
      </c>
      <c r="D2122" s="816" t="s">
        <v>1940</v>
      </c>
      <c r="E2122" s="816" t="s">
        <v>8530</v>
      </c>
      <c r="F2122" s="826">
        <v>0</v>
      </c>
      <c r="G2122" s="880">
        <v>1</v>
      </c>
      <c r="H2122" s="465"/>
      <c r="I2122" s="465"/>
      <c r="J2122" s="826">
        <v>0</v>
      </c>
      <c r="K2122" s="878">
        <v>0</v>
      </c>
    </row>
    <row r="2123" spans="1:11" ht="22.5" customHeight="1" x14ac:dyDescent="0.25">
      <c r="A2123" s="816" t="s">
        <v>293</v>
      </c>
      <c r="B2123" s="880">
        <v>2025</v>
      </c>
      <c r="C2123" s="816" t="s">
        <v>1935</v>
      </c>
      <c r="D2123" s="816" t="s">
        <v>1941</v>
      </c>
      <c r="E2123" s="816" t="s">
        <v>8531</v>
      </c>
      <c r="F2123" s="826">
        <v>0</v>
      </c>
      <c r="G2123" s="880">
        <v>1</v>
      </c>
      <c r="H2123" s="465"/>
      <c r="I2123" s="465"/>
      <c r="J2123" s="826">
        <v>0</v>
      </c>
      <c r="K2123" s="878">
        <v>0</v>
      </c>
    </row>
    <row r="2124" spans="1:11" ht="22.5" customHeight="1" x14ac:dyDescent="0.25">
      <c r="A2124" s="816" t="s">
        <v>293</v>
      </c>
      <c r="B2124" s="880">
        <v>2025</v>
      </c>
      <c r="C2124" s="816" t="s">
        <v>1935</v>
      </c>
      <c r="D2124" s="816" t="s">
        <v>1942</v>
      </c>
      <c r="E2124" s="816" t="s">
        <v>8532</v>
      </c>
      <c r="F2124" s="826">
        <v>0</v>
      </c>
      <c r="G2124" s="880">
        <v>1</v>
      </c>
      <c r="H2124" s="465"/>
      <c r="I2124" s="465"/>
      <c r="J2124" s="826">
        <v>0</v>
      </c>
      <c r="K2124" s="878">
        <v>0</v>
      </c>
    </row>
    <row r="2125" spans="1:11" ht="22.5" customHeight="1" x14ac:dyDescent="0.25">
      <c r="A2125" s="816" t="s">
        <v>293</v>
      </c>
      <c r="B2125" s="880">
        <v>2025</v>
      </c>
      <c r="C2125" s="816" t="s">
        <v>1935</v>
      </c>
      <c r="D2125" s="816" t="s">
        <v>1943</v>
      </c>
      <c r="E2125" s="816" t="s">
        <v>8533</v>
      </c>
      <c r="F2125" s="826">
        <v>0</v>
      </c>
      <c r="G2125" s="880">
        <v>1</v>
      </c>
      <c r="H2125" s="465"/>
      <c r="I2125" s="465"/>
      <c r="J2125" s="826">
        <v>0</v>
      </c>
      <c r="K2125" s="878">
        <v>0</v>
      </c>
    </row>
    <row r="2126" spans="1:11" ht="22.5" customHeight="1" x14ac:dyDescent="0.25">
      <c r="A2126" s="816" t="s">
        <v>293</v>
      </c>
      <c r="B2126" s="880">
        <v>2025</v>
      </c>
      <c r="C2126" s="816" t="s">
        <v>1935</v>
      </c>
      <c r="D2126" s="816" t="s">
        <v>1944</v>
      </c>
      <c r="E2126" s="816" t="s">
        <v>8534</v>
      </c>
      <c r="F2126" s="826">
        <v>0</v>
      </c>
      <c r="G2126" s="880">
        <v>1</v>
      </c>
      <c r="H2126" s="465"/>
      <c r="I2126" s="465"/>
      <c r="J2126" s="826">
        <v>0</v>
      </c>
      <c r="K2126" s="878">
        <v>0</v>
      </c>
    </row>
    <row r="2127" spans="1:11" ht="22.5" customHeight="1" x14ac:dyDescent="0.25">
      <c r="A2127" s="816" t="s">
        <v>293</v>
      </c>
      <c r="B2127" s="880">
        <v>2025</v>
      </c>
      <c r="C2127" s="816" t="s">
        <v>1935</v>
      </c>
      <c r="D2127" s="816" t="s">
        <v>1945</v>
      </c>
      <c r="E2127" s="816" t="s">
        <v>8535</v>
      </c>
      <c r="F2127" s="826">
        <v>0</v>
      </c>
      <c r="G2127" s="880">
        <v>1</v>
      </c>
      <c r="H2127" s="465"/>
      <c r="I2127" s="465"/>
      <c r="J2127" s="826">
        <v>0</v>
      </c>
      <c r="K2127" s="878">
        <v>0</v>
      </c>
    </row>
    <row r="2128" spans="1:11" ht="22.5" customHeight="1" x14ac:dyDescent="0.25">
      <c r="A2128" s="816" t="s">
        <v>293</v>
      </c>
      <c r="B2128" s="880">
        <v>2025</v>
      </c>
      <c r="C2128" s="816" t="s">
        <v>1935</v>
      </c>
      <c r="D2128" s="816" t="s">
        <v>1946</v>
      </c>
      <c r="E2128" s="816" t="s">
        <v>8536</v>
      </c>
      <c r="F2128" s="826">
        <v>0</v>
      </c>
      <c r="G2128" s="880">
        <v>1</v>
      </c>
      <c r="H2128" s="465"/>
      <c r="I2128" s="465"/>
      <c r="J2128" s="826">
        <v>0</v>
      </c>
      <c r="K2128" s="878">
        <v>0</v>
      </c>
    </row>
    <row r="2129" spans="1:11" ht="22.5" customHeight="1" x14ac:dyDescent="0.25">
      <c r="A2129" s="816" t="s">
        <v>293</v>
      </c>
      <c r="B2129" s="880">
        <v>2025</v>
      </c>
      <c r="C2129" s="816" t="s">
        <v>1935</v>
      </c>
      <c r="D2129" s="816" t="s">
        <v>1947</v>
      </c>
      <c r="E2129" s="816" t="s">
        <v>8537</v>
      </c>
      <c r="F2129" s="826">
        <v>0</v>
      </c>
      <c r="G2129" s="880">
        <v>1</v>
      </c>
      <c r="H2129" s="465"/>
      <c r="I2129" s="465"/>
      <c r="J2129" s="826">
        <v>0</v>
      </c>
      <c r="K2129" s="878">
        <v>0</v>
      </c>
    </row>
    <row r="2130" spans="1:11" ht="22.5" customHeight="1" x14ac:dyDescent="0.25">
      <c r="A2130" s="816" t="s">
        <v>293</v>
      </c>
      <c r="B2130" s="880">
        <v>2025</v>
      </c>
      <c r="C2130" s="816" t="s">
        <v>1935</v>
      </c>
      <c r="D2130" s="816" t="s">
        <v>1948</v>
      </c>
      <c r="E2130" s="816" t="s">
        <v>8538</v>
      </c>
      <c r="F2130" s="826">
        <v>0</v>
      </c>
      <c r="G2130" s="880">
        <v>1</v>
      </c>
      <c r="H2130" s="826">
        <v>6087.58</v>
      </c>
      <c r="I2130" s="826">
        <v>9590.11</v>
      </c>
      <c r="J2130" s="826">
        <v>15677.69</v>
      </c>
      <c r="K2130" s="878">
        <v>15677.69</v>
      </c>
    </row>
    <row r="2131" spans="1:11" ht="22.5" customHeight="1" x14ac:dyDescent="0.25">
      <c r="A2131" s="816" t="s">
        <v>293</v>
      </c>
      <c r="B2131" s="880">
        <v>2025</v>
      </c>
      <c r="C2131" s="816" t="s">
        <v>1935</v>
      </c>
      <c r="D2131" s="816" t="s">
        <v>1949</v>
      </c>
      <c r="E2131" s="816" t="s">
        <v>8539</v>
      </c>
      <c r="F2131" s="826">
        <v>0</v>
      </c>
      <c r="G2131" s="880">
        <v>1</v>
      </c>
      <c r="H2131" s="826">
        <v>-25864.01</v>
      </c>
      <c r="I2131" s="826">
        <v>3202.34</v>
      </c>
      <c r="J2131" s="826">
        <v>-22661.67</v>
      </c>
      <c r="K2131" s="878">
        <v>-22661.67</v>
      </c>
    </row>
    <row r="2132" spans="1:11" ht="22.5" customHeight="1" x14ac:dyDescent="0.25">
      <c r="A2132" s="816" t="s">
        <v>293</v>
      </c>
      <c r="B2132" s="880">
        <v>2025</v>
      </c>
      <c r="C2132" s="816" t="s">
        <v>1935</v>
      </c>
      <c r="D2132" s="816" t="s">
        <v>1950</v>
      </c>
      <c r="E2132" s="816" t="s">
        <v>8540</v>
      </c>
      <c r="F2132" s="826">
        <v>0</v>
      </c>
      <c r="G2132" s="880">
        <v>1</v>
      </c>
      <c r="H2132" s="826">
        <v>-65131.64</v>
      </c>
      <c r="I2132" s="826">
        <v>12804.29</v>
      </c>
      <c r="J2132" s="826">
        <v>-52327.35</v>
      </c>
      <c r="K2132" s="878">
        <v>-52327.35</v>
      </c>
    </row>
    <row r="2133" spans="1:11" ht="22.5" customHeight="1" x14ac:dyDescent="0.25">
      <c r="A2133" s="816" t="s">
        <v>293</v>
      </c>
      <c r="B2133" s="880">
        <v>2025</v>
      </c>
      <c r="C2133" s="816" t="s">
        <v>1935</v>
      </c>
      <c r="D2133" s="816" t="s">
        <v>1951</v>
      </c>
      <c r="E2133" s="816" t="s">
        <v>8541</v>
      </c>
      <c r="F2133" s="826">
        <v>0</v>
      </c>
      <c r="G2133" s="880">
        <v>1</v>
      </c>
      <c r="H2133" s="826">
        <v>-113461.14</v>
      </c>
      <c r="I2133" s="826">
        <v>32658.42</v>
      </c>
      <c r="J2133" s="826">
        <v>-80802.720000000001</v>
      </c>
      <c r="K2133" s="878">
        <v>-80802.720000000001</v>
      </c>
    </row>
    <row r="2134" spans="1:11" ht="22.5" customHeight="1" x14ac:dyDescent="0.25">
      <c r="A2134" s="816" t="s">
        <v>293</v>
      </c>
      <c r="B2134" s="880">
        <v>2025</v>
      </c>
      <c r="C2134" s="816" t="s">
        <v>1935</v>
      </c>
      <c r="D2134" s="816" t="s">
        <v>7801</v>
      </c>
      <c r="E2134" s="816" t="s">
        <v>8542</v>
      </c>
      <c r="F2134" s="826">
        <v>0</v>
      </c>
      <c r="G2134" s="880">
        <v>1</v>
      </c>
      <c r="H2134" s="826">
        <v>588167.13</v>
      </c>
      <c r="I2134" s="826">
        <v>36180.089999999997</v>
      </c>
      <c r="J2134" s="826">
        <v>624347.22</v>
      </c>
      <c r="K2134" s="878">
        <v>624347.22</v>
      </c>
    </row>
    <row r="2135" spans="1:11" ht="22.5" customHeight="1" x14ac:dyDescent="0.25">
      <c r="A2135" s="816" t="s">
        <v>293</v>
      </c>
      <c r="B2135" s="880">
        <v>2025</v>
      </c>
      <c r="C2135" s="816" t="s">
        <v>1935</v>
      </c>
      <c r="D2135" s="816" t="s">
        <v>1952</v>
      </c>
      <c r="E2135" s="816" t="s">
        <v>8543</v>
      </c>
      <c r="F2135" s="826">
        <v>484233.17</v>
      </c>
      <c r="G2135" s="880">
        <v>0</v>
      </c>
      <c r="H2135" s="465"/>
      <c r="I2135" s="465"/>
      <c r="J2135" s="826">
        <v>0</v>
      </c>
      <c r="K2135" s="878">
        <v>484233.17</v>
      </c>
    </row>
    <row r="2136" spans="1:11" ht="22.5" customHeight="1" x14ac:dyDescent="0.25">
      <c r="A2136" s="816" t="s">
        <v>293</v>
      </c>
      <c r="B2136" s="880">
        <v>2025</v>
      </c>
      <c r="C2136" s="816" t="s">
        <v>1953</v>
      </c>
      <c r="D2136" s="816" t="s">
        <v>1954</v>
      </c>
      <c r="E2136" s="816" t="s">
        <v>3049</v>
      </c>
      <c r="F2136" s="826">
        <v>0</v>
      </c>
      <c r="G2136" s="880">
        <v>0</v>
      </c>
      <c r="H2136" s="465"/>
      <c r="I2136" s="465"/>
      <c r="J2136" s="826">
        <v>0</v>
      </c>
      <c r="K2136" s="878">
        <v>0</v>
      </c>
    </row>
    <row r="2137" spans="1:11" ht="22.5" customHeight="1" x14ac:dyDescent="0.25">
      <c r="A2137" s="816" t="s">
        <v>295</v>
      </c>
      <c r="B2137" s="880">
        <v>2025</v>
      </c>
      <c r="C2137" s="816" t="s">
        <v>1854</v>
      </c>
      <c r="D2137" s="816" t="s">
        <v>1855</v>
      </c>
      <c r="E2137" s="816" t="s">
        <v>3050</v>
      </c>
      <c r="F2137" s="826">
        <v>-4096848.64</v>
      </c>
      <c r="G2137" s="880">
        <v>0</v>
      </c>
      <c r="H2137" s="465"/>
      <c r="I2137" s="465"/>
      <c r="J2137" s="826">
        <v>0</v>
      </c>
      <c r="K2137" s="878">
        <v>-4096848.64</v>
      </c>
    </row>
    <row r="2138" spans="1:11" ht="22.5" customHeight="1" x14ac:dyDescent="0.25">
      <c r="A2138" s="816" t="s">
        <v>295</v>
      </c>
      <c r="B2138" s="880">
        <v>2025</v>
      </c>
      <c r="C2138" s="816" t="s">
        <v>7746</v>
      </c>
      <c r="D2138" s="816" t="s">
        <v>7747</v>
      </c>
      <c r="E2138" s="816" t="s">
        <v>7788</v>
      </c>
      <c r="F2138" s="826">
        <v>0</v>
      </c>
      <c r="G2138" s="880">
        <v>0</v>
      </c>
      <c r="H2138" s="465"/>
      <c r="I2138" s="465"/>
      <c r="J2138" s="826">
        <v>0</v>
      </c>
      <c r="K2138" s="878">
        <v>0</v>
      </c>
    </row>
    <row r="2139" spans="1:11" ht="22.5" customHeight="1" x14ac:dyDescent="0.25">
      <c r="A2139" s="816" t="s">
        <v>295</v>
      </c>
      <c r="B2139" s="880">
        <v>2025</v>
      </c>
      <c r="C2139" s="816" t="s">
        <v>1857</v>
      </c>
      <c r="D2139" s="816" t="s">
        <v>1858</v>
      </c>
      <c r="E2139" s="816" t="s">
        <v>3051</v>
      </c>
      <c r="F2139" s="826">
        <v>0</v>
      </c>
      <c r="G2139" s="880">
        <v>0</v>
      </c>
      <c r="H2139" s="465"/>
      <c r="I2139" s="465"/>
      <c r="J2139" s="826">
        <v>0</v>
      </c>
      <c r="K2139" s="878">
        <v>0</v>
      </c>
    </row>
    <row r="2140" spans="1:11" ht="22.5" customHeight="1" x14ac:dyDescent="0.25">
      <c r="A2140" s="816" t="s">
        <v>295</v>
      </c>
      <c r="B2140" s="880">
        <v>2025</v>
      </c>
      <c r="C2140" s="816" t="s">
        <v>1860</v>
      </c>
      <c r="D2140" s="816" t="s">
        <v>1861</v>
      </c>
      <c r="E2140" s="816" t="s">
        <v>3052</v>
      </c>
      <c r="F2140" s="826">
        <v>0</v>
      </c>
      <c r="G2140" s="880">
        <v>0</v>
      </c>
      <c r="H2140" s="465"/>
      <c r="I2140" s="465"/>
      <c r="J2140" s="826">
        <v>0</v>
      </c>
      <c r="K2140" s="878">
        <v>0</v>
      </c>
    </row>
    <row r="2141" spans="1:11" ht="22.5" customHeight="1" x14ac:dyDescent="0.25">
      <c r="A2141" s="816" t="s">
        <v>295</v>
      </c>
      <c r="B2141" s="880">
        <v>2025</v>
      </c>
      <c r="C2141" s="816" t="s">
        <v>1863</v>
      </c>
      <c r="D2141" s="816" t="s">
        <v>1864</v>
      </c>
      <c r="E2141" s="816" t="s">
        <v>3053</v>
      </c>
      <c r="F2141" s="826">
        <v>0</v>
      </c>
      <c r="G2141" s="880">
        <v>0</v>
      </c>
      <c r="H2141" s="465"/>
      <c r="I2141" s="465"/>
      <c r="J2141" s="826">
        <v>0</v>
      </c>
      <c r="K2141" s="878">
        <v>0</v>
      </c>
    </row>
    <row r="2142" spans="1:11" ht="22.5" customHeight="1" x14ac:dyDescent="0.25">
      <c r="A2142" s="816" t="s">
        <v>295</v>
      </c>
      <c r="B2142" s="880">
        <v>2025</v>
      </c>
      <c r="C2142" s="816" t="s">
        <v>1866</v>
      </c>
      <c r="D2142" s="816" t="s">
        <v>1867</v>
      </c>
      <c r="E2142" s="816" t="s">
        <v>3054</v>
      </c>
      <c r="F2142" s="826">
        <v>0</v>
      </c>
      <c r="G2142" s="880">
        <v>0</v>
      </c>
      <c r="H2142" s="465"/>
      <c r="I2142" s="465"/>
      <c r="J2142" s="826">
        <v>0</v>
      </c>
      <c r="K2142" s="878">
        <v>0</v>
      </c>
    </row>
    <row r="2143" spans="1:11" ht="22.5" customHeight="1" x14ac:dyDescent="0.25">
      <c r="A2143" s="816" t="s">
        <v>295</v>
      </c>
      <c r="B2143" s="880">
        <v>2025</v>
      </c>
      <c r="C2143" s="816" t="s">
        <v>1869</v>
      </c>
      <c r="D2143" s="816" t="s">
        <v>1870</v>
      </c>
      <c r="E2143" s="816" t="s">
        <v>3055</v>
      </c>
      <c r="F2143" s="826">
        <v>0</v>
      </c>
      <c r="G2143" s="880">
        <v>0</v>
      </c>
      <c r="H2143" s="465"/>
      <c r="I2143" s="465"/>
      <c r="J2143" s="826">
        <v>0</v>
      </c>
      <c r="K2143" s="878">
        <v>0</v>
      </c>
    </row>
    <row r="2144" spans="1:11" ht="22.5" customHeight="1" x14ac:dyDescent="0.25">
      <c r="A2144" s="816" t="s">
        <v>295</v>
      </c>
      <c r="B2144" s="880">
        <v>2025</v>
      </c>
      <c r="C2144" s="816" t="s">
        <v>1872</v>
      </c>
      <c r="D2144" s="816" t="s">
        <v>1873</v>
      </c>
      <c r="E2144" s="816" t="s">
        <v>3056</v>
      </c>
      <c r="F2144" s="826">
        <v>0</v>
      </c>
      <c r="G2144" s="880">
        <v>0</v>
      </c>
      <c r="H2144" s="465"/>
      <c r="I2144" s="465"/>
      <c r="J2144" s="826">
        <v>0</v>
      </c>
      <c r="K2144" s="878">
        <v>0</v>
      </c>
    </row>
    <row r="2145" spans="1:11" ht="22.5" customHeight="1" x14ac:dyDescent="0.25">
      <c r="A2145" s="816" t="s">
        <v>295</v>
      </c>
      <c r="B2145" s="880">
        <v>2025</v>
      </c>
      <c r="C2145" s="816" t="s">
        <v>1875</v>
      </c>
      <c r="D2145" s="816" t="s">
        <v>1876</v>
      </c>
      <c r="E2145" s="816" t="s">
        <v>3057</v>
      </c>
      <c r="F2145" s="826">
        <v>0</v>
      </c>
      <c r="G2145" s="880">
        <v>0</v>
      </c>
      <c r="H2145" s="465"/>
      <c r="I2145" s="465"/>
      <c r="J2145" s="826">
        <v>0</v>
      </c>
      <c r="K2145" s="878">
        <v>0</v>
      </c>
    </row>
    <row r="2146" spans="1:11" ht="22.5" customHeight="1" x14ac:dyDescent="0.25">
      <c r="A2146" s="816" t="s">
        <v>295</v>
      </c>
      <c r="B2146" s="880">
        <v>2025</v>
      </c>
      <c r="C2146" s="816" t="s">
        <v>1878</v>
      </c>
      <c r="D2146" s="816" t="s">
        <v>1879</v>
      </c>
      <c r="E2146" s="816" t="s">
        <v>3058</v>
      </c>
      <c r="F2146" s="826">
        <v>0</v>
      </c>
      <c r="G2146" s="880">
        <v>0</v>
      </c>
      <c r="H2146" s="465"/>
      <c r="I2146" s="465"/>
      <c r="J2146" s="826">
        <v>0</v>
      </c>
      <c r="K2146" s="878">
        <v>0</v>
      </c>
    </row>
    <row r="2147" spans="1:11" ht="22.5" customHeight="1" x14ac:dyDescent="0.25">
      <c r="A2147" s="816" t="s">
        <v>295</v>
      </c>
      <c r="B2147" s="880">
        <v>2025</v>
      </c>
      <c r="C2147" s="816" t="s">
        <v>1881</v>
      </c>
      <c r="D2147" s="816" t="s">
        <v>1882</v>
      </c>
      <c r="E2147" s="816" t="s">
        <v>3059</v>
      </c>
      <c r="F2147" s="826">
        <v>0</v>
      </c>
      <c r="G2147" s="880">
        <v>0</v>
      </c>
      <c r="H2147" s="465"/>
      <c r="I2147" s="465"/>
      <c r="J2147" s="826">
        <v>0</v>
      </c>
      <c r="K2147" s="878">
        <v>0</v>
      </c>
    </row>
    <row r="2148" spans="1:11" ht="22.5" customHeight="1" x14ac:dyDescent="0.25">
      <c r="A2148" s="816" t="s">
        <v>295</v>
      </c>
      <c r="B2148" s="880">
        <v>2025</v>
      </c>
      <c r="C2148" s="816" t="s">
        <v>1884</v>
      </c>
      <c r="D2148" s="816" t="s">
        <v>1885</v>
      </c>
      <c r="E2148" s="816" t="s">
        <v>3060</v>
      </c>
      <c r="F2148" s="826">
        <v>0</v>
      </c>
      <c r="G2148" s="880">
        <v>0</v>
      </c>
      <c r="H2148" s="465"/>
      <c r="I2148" s="465"/>
      <c r="J2148" s="826">
        <v>0</v>
      </c>
      <c r="K2148" s="878">
        <v>0</v>
      </c>
    </row>
    <row r="2149" spans="1:11" ht="22.5" customHeight="1" x14ac:dyDescent="0.25">
      <c r="A2149" s="816" t="s">
        <v>295</v>
      </c>
      <c r="B2149" s="880">
        <v>2025</v>
      </c>
      <c r="C2149" s="816" t="s">
        <v>1887</v>
      </c>
      <c r="D2149" s="816" t="s">
        <v>138</v>
      </c>
      <c r="E2149" s="816" t="s">
        <v>3061</v>
      </c>
      <c r="F2149" s="826">
        <v>0</v>
      </c>
      <c r="G2149" s="880">
        <v>1</v>
      </c>
      <c r="H2149" s="465"/>
      <c r="I2149" s="465"/>
      <c r="J2149" s="826">
        <v>0</v>
      </c>
      <c r="K2149" s="878">
        <v>0</v>
      </c>
    </row>
    <row r="2150" spans="1:11" ht="22.5" customHeight="1" x14ac:dyDescent="0.25">
      <c r="A2150" s="816" t="s">
        <v>295</v>
      </c>
      <c r="B2150" s="880">
        <v>2025</v>
      </c>
      <c r="C2150" s="816" t="s">
        <v>1889</v>
      </c>
      <c r="D2150" s="816" t="s">
        <v>139</v>
      </c>
      <c r="E2150" s="816" t="s">
        <v>3062</v>
      </c>
      <c r="F2150" s="826">
        <v>-176205.63</v>
      </c>
      <c r="G2150" s="880">
        <v>1</v>
      </c>
      <c r="H2150" s="826">
        <v>-168087.04000000001</v>
      </c>
      <c r="I2150" s="826">
        <v>-8118.59</v>
      </c>
      <c r="J2150" s="826">
        <v>-176205.63</v>
      </c>
      <c r="K2150" s="878">
        <v>-176205.63</v>
      </c>
    </row>
    <row r="2151" spans="1:11" ht="22.5" customHeight="1" x14ac:dyDescent="0.25">
      <c r="A2151" s="816" t="s">
        <v>295</v>
      </c>
      <c r="B2151" s="880">
        <v>2025</v>
      </c>
      <c r="C2151" s="816" t="s">
        <v>1891</v>
      </c>
      <c r="D2151" s="816" t="s">
        <v>1892</v>
      </c>
      <c r="E2151" s="816" t="s">
        <v>3063</v>
      </c>
      <c r="F2151" s="826">
        <v>0</v>
      </c>
      <c r="G2151" s="880">
        <v>0</v>
      </c>
      <c r="H2151" s="465"/>
      <c r="I2151" s="465"/>
      <c r="J2151" s="826">
        <v>0</v>
      </c>
      <c r="K2151" s="878">
        <v>0</v>
      </c>
    </row>
    <row r="2152" spans="1:11" ht="22.5" customHeight="1" x14ac:dyDescent="0.25">
      <c r="A2152" s="816" t="s">
        <v>295</v>
      </c>
      <c r="B2152" s="880">
        <v>2025</v>
      </c>
      <c r="C2152" s="816" t="s">
        <v>1891</v>
      </c>
      <c r="D2152" s="816" t="s">
        <v>1894</v>
      </c>
      <c r="E2152" s="816" t="s">
        <v>3063</v>
      </c>
      <c r="F2152" s="826">
        <v>0</v>
      </c>
      <c r="G2152" s="880">
        <v>0</v>
      </c>
      <c r="H2152" s="465"/>
      <c r="I2152" s="465"/>
      <c r="J2152" s="826">
        <v>0</v>
      </c>
      <c r="K2152" s="881">
        <v>0</v>
      </c>
    </row>
    <row r="2153" spans="1:11" ht="22.5" customHeight="1" x14ac:dyDescent="0.25">
      <c r="A2153" s="816" t="s">
        <v>295</v>
      </c>
      <c r="B2153" s="880">
        <v>2025</v>
      </c>
      <c r="C2153" s="816" t="s">
        <v>1895</v>
      </c>
      <c r="D2153" s="816" t="s">
        <v>1896</v>
      </c>
      <c r="E2153" s="816" t="s">
        <v>3064</v>
      </c>
      <c r="F2153" s="826">
        <v>0</v>
      </c>
      <c r="G2153" s="880">
        <v>0</v>
      </c>
      <c r="H2153" s="465"/>
      <c r="I2153" s="465"/>
      <c r="J2153" s="826">
        <v>0</v>
      </c>
      <c r="K2153" s="878">
        <v>0</v>
      </c>
    </row>
    <row r="2154" spans="1:11" ht="22.5" customHeight="1" x14ac:dyDescent="0.25">
      <c r="A2154" s="816" t="s">
        <v>295</v>
      </c>
      <c r="B2154" s="880">
        <v>2025</v>
      </c>
      <c r="C2154" s="816" t="s">
        <v>1898</v>
      </c>
      <c r="D2154" s="816" t="s">
        <v>1899</v>
      </c>
      <c r="E2154" s="816" t="s">
        <v>3065</v>
      </c>
      <c r="F2154" s="826">
        <v>0</v>
      </c>
      <c r="G2154" s="880">
        <v>0</v>
      </c>
      <c r="H2154" s="465"/>
      <c r="I2154" s="465"/>
      <c r="J2154" s="826">
        <v>0</v>
      </c>
      <c r="K2154" s="878">
        <v>0</v>
      </c>
    </row>
    <row r="2155" spans="1:11" ht="22.5" customHeight="1" x14ac:dyDescent="0.25">
      <c r="A2155" s="816" t="s">
        <v>295</v>
      </c>
      <c r="B2155" s="880">
        <v>2025</v>
      </c>
      <c r="C2155" s="816" t="s">
        <v>1901</v>
      </c>
      <c r="D2155" s="816" t="s">
        <v>1902</v>
      </c>
      <c r="E2155" s="816" t="s">
        <v>3066</v>
      </c>
      <c r="F2155" s="826">
        <v>0</v>
      </c>
      <c r="G2155" s="880">
        <v>0</v>
      </c>
      <c r="H2155" s="465"/>
      <c r="I2155" s="465"/>
      <c r="J2155" s="826">
        <v>0</v>
      </c>
      <c r="K2155" s="878">
        <v>0</v>
      </c>
    </row>
    <row r="2156" spans="1:11" ht="22.5" customHeight="1" x14ac:dyDescent="0.25">
      <c r="A2156" s="816" t="s">
        <v>295</v>
      </c>
      <c r="B2156" s="880">
        <v>2025</v>
      </c>
      <c r="C2156" s="816" t="s">
        <v>1904</v>
      </c>
      <c r="D2156" s="816" t="s">
        <v>1905</v>
      </c>
      <c r="E2156" s="816" t="s">
        <v>3067</v>
      </c>
      <c r="F2156" s="826">
        <v>0</v>
      </c>
      <c r="G2156" s="880">
        <v>0</v>
      </c>
      <c r="H2156" s="465"/>
      <c r="I2156" s="465"/>
      <c r="J2156" s="826">
        <v>0</v>
      </c>
      <c r="K2156" s="878">
        <v>0</v>
      </c>
    </row>
    <row r="2157" spans="1:11" ht="22.5" customHeight="1" x14ac:dyDescent="0.25">
      <c r="A2157" s="816" t="s">
        <v>295</v>
      </c>
      <c r="B2157" s="880">
        <v>2025</v>
      </c>
      <c r="C2157" s="816" t="s">
        <v>1907</v>
      </c>
      <c r="D2157" s="816" t="s">
        <v>1908</v>
      </c>
      <c r="E2157" s="816" t="s">
        <v>3068</v>
      </c>
      <c r="F2157" s="826">
        <v>0</v>
      </c>
      <c r="G2157" s="880">
        <v>0</v>
      </c>
      <c r="H2157" s="465"/>
      <c r="I2157" s="465"/>
      <c r="J2157" s="826">
        <v>0</v>
      </c>
      <c r="K2157" s="878">
        <v>0</v>
      </c>
    </row>
    <row r="2158" spans="1:11" ht="22.5" customHeight="1" x14ac:dyDescent="0.25">
      <c r="A2158" s="816" t="s">
        <v>295</v>
      </c>
      <c r="B2158" s="880">
        <v>2025</v>
      </c>
      <c r="C2158" s="816" t="s">
        <v>1910</v>
      </c>
      <c r="D2158" s="816" t="s">
        <v>1911</v>
      </c>
      <c r="E2158" s="816" t="s">
        <v>3069</v>
      </c>
      <c r="F2158" s="826">
        <v>0</v>
      </c>
      <c r="G2158" s="880">
        <v>0</v>
      </c>
      <c r="H2158" s="465"/>
      <c r="I2158" s="465"/>
      <c r="J2158" s="826">
        <v>0</v>
      </c>
      <c r="K2158" s="878">
        <v>0</v>
      </c>
    </row>
    <row r="2159" spans="1:11" ht="22.5" customHeight="1" x14ac:dyDescent="0.25">
      <c r="A2159" s="816" t="s">
        <v>295</v>
      </c>
      <c r="B2159" s="880">
        <v>2025</v>
      </c>
      <c r="C2159" s="816" t="s">
        <v>1913</v>
      </c>
      <c r="D2159" s="816" t="s">
        <v>1914</v>
      </c>
      <c r="E2159" s="816" t="s">
        <v>3070</v>
      </c>
      <c r="F2159" s="826">
        <v>-876345.67</v>
      </c>
      <c r="G2159" s="880">
        <v>1</v>
      </c>
      <c r="H2159" s="826">
        <v>-819727.38</v>
      </c>
      <c r="I2159" s="826">
        <v>-56618.29</v>
      </c>
      <c r="J2159" s="826">
        <v>-876345.67</v>
      </c>
      <c r="K2159" s="878">
        <v>-876345.67</v>
      </c>
    </row>
    <row r="2160" spans="1:11" ht="22.5" customHeight="1" x14ac:dyDescent="0.25">
      <c r="A2160" s="816" t="s">
        <v>295</v>
      </c>
      <c r="B2160" s="880">
        <v>2025</v>
      </c>
      <c r="C2160" s="816" t="s">
        <v>1913</v>
      </c>
      <c r="D2160" s="816" t="s">
        <v>1916</v>
      </c>
      <c r="E2160" s="816" t="s">
        <v>3070</v>
      </c>
      <c r="F2160" s="826">
        <v>0</v>
      </c>
      <c r="G2160" s="880">
        <v>0</v>
      </c>
      <c r="H2160" s="465"/>
      <c r="I2160" s="465"/>
      <c r="J2160" s="826">
        <v>0</v>
      </c>
      <c r="K2160" s="881">
        <v>0</v>
      </c>
    </row>
    <row r="2161" spans="1:11" ht="22.5" customHeight="1" x14ac:dyDescent="0.25">
      <c r="A2161" s="816" t="s">
        <v>295</v>
      </c>
      <c r="B2161" s="880">
        <v>2025</v>
      </c>
      <c r="C2161" s="816" t="s">
        <v>1913</v>
      </c>
      <c r="D2161" s="816" t="s">
        <v>1917</v>
      </c>
      <c r="E2161" s="816" t="s">
        <v>3070</v>
      </c>
      <c r="F2161" s="826">
        <v>0</v>
      </c>
      <c r="G2161" s="880">
        <v>0</v>
      </c>
      <c r="H2161" s="465"/>
      <c r="I2161" s="465"/>
      <c r="J2161" s="826">
        <v>0</v>
      </c>
      <c r="K2161" s="881">
        <v>0</v>
      </c>
    </row>
    <row r="2162" spans="1:11" ht="22.5" customHeight="1" x14ac:dyDescent="0.25">
      <c r="A2162" s="816" t="s">
        <v>295</v>
      </c>
      <c r="B2162" s="880">
        <v>2025</v>
      </c>
      <c r="C2162" s="816" t="s">
        <v>1913</v>
      </c>
      <c r="D2162" s="816" t="s">
        <v>1918</v>
      </c>
      <c r="E2162" s="816" t="s">
        <v>3070</v>
      </c>
      <c r="F2162" s="826">
        <v>0</v>
      </c>
      <c r="G2162" s="880">
        <v>0</v>
      </c>
      <c r="H2162" s="465"/>
      <c r="I2162" s="465"/>
      <c r="J2162" s="826">
        <v>0</v>
      </c>
      <c r="K2162" s="881">
        <v>9300.73</v>
      </c>
    </row>
    <row r="2163" spans="1:11" ht="22.5" customHeight="1" x14ac:dyDescent="0.25">
      <c r="A2163" s="816" t="s">
        <v>295</v>
      </c>
      <c r="B2163" s="880">
        <v>2025</v>
      </c>
      <c r="C2163" s="816" t="s">
        <v>1913</v>
      </c>
      <c r="D2163" s="816" t="s">
        <v>1919</v>
      </c>
      <c r="E2163" s="816" t="s">
        <v>3070</v>
      </c>
      <c r="F2163" s="826">
        <v>0</v>
      </c>
      <c r="G2163" s="880">
        <v>0</v>
      </c>
      <c r="H2163" s="465"/>
      <c r="I2163" s="465"/>
      <c r="J2163" s="826">
        <v>0</v>
      </c>
      <c r="K2163" s="881">
        <v>621431.63</v>
      </c>
    </row>
    <row r="2164" spans="1:11" ht="22.5" customHeight="1" x14ac:dyDescent="0.25">
      <c r="A2164" s="816" t="s">
        <v>295</v>
      </c>
      <c r="B2164" s="880">
        <v>2025</v>
      </c>
      <c r="C2164" s="816" t="s">
        <v>1920</v>
      </c>
      <c r="D2164" s="816" t="s">
        <v>1921</v>
      </c>
      <c r="E2164" s="816" t="s">
        <v>3071</v>
      </c>
      <c r="F2164" s="826">
        <v>0</v>
      </c>
      <c r="G2164" s="880">
        <v>0</v>
      </c>
      <c r="H2164" s="465"/>
      <c r="I2164" s="465"/>
      <c r="J2164" s="826">
        <v>0</v>
      </c>
      <c r="K2164" s="878">
        <v>0</v>
      </c>
    </row>
    <row r="2165" spans="1:11" ht="22.5" customHeight="1" x14ac:dyDescent="0.25">
      <c r="A2165" s="816" t="s">
        <v>295</v>
      </c>
      <c r="B2165" s="880">
        <v>2025</v>
      </c>
      <c r="C2165" s="816" t="s">
        <v>1923</v>
      </c>
      <c r="D2165" s="816" t="s">
        <v>143</v>
      </c>
      <c r="E2165" s="816" t="s">
        <v>3072</v>
      </c>
      <c r="F2165" s="826">
        <v>223585.96</v>
      </c>
      <c r="G2165" s="880">
        <v>1</v>
      </c>
      <c r="H2165" s="826">
        <v>186293.39</v>
      </c>
      <c r="I2165" s="826">
        <v>37292.57</v>
      </c>
      <c r="J2165" s="826">
        <v>223585.96</v>
      </c>
      <c r="K2165" s="878">
        <v>223585.96</v>
      </c>
    </row>
    <row r="2166" spans="1:11" ht="22.5" customHeight="1" x14ac:dyDescent="0.25">
      <c r="A2166" s="816" t="s">
        <v>295</v>
      </c>
      <c r="B2166" s="880">
        <v>2025</v>
      </c>
      <c r="C2166" s="816" t="s">
        <v>1925</v>
      </c>
      <c r="D2166" s="816" t="s">
        <v>144</v>
      </c>
      <c r="E2166" s="816" t="s">
        <v>3073</v>
      </c>
      <c r="F2166" s="826">
        <v>-142414.39999999999</v>
      </c>
      <c r="G2166" s="880">
        <v>1</v>
      </c>
      <c r="H2166" s="826">
        <v>-177886.95</v>
      </c>
      <c r="I2166" s="826">
        <v>35472.550000000003</v>
      </c>
      <c r="J2166" s="826">
        <v>-142414.39999999999</v>
      </c>
      <c r="K2166" s="878">
        <v>-142414.39999999999</v>
      </c>
    </row>
    <row r="2167" spans="1:11" ht="22.5" customHeight="1" x14ac:dyDescent="0.25">
      <c r="A2167" s="816" t="s">
        <v>295</v>
      </c>
      <c r="B2167" s="880">
        <v>2025</v>
      </c>
      <c r="C2167" s="816" t="s">
        <v>1927</v>
      </c>
      <c r="D2167" s="816" t="s">
        <v>1928</v>
      </c>
      <c r="E2167" s="816" t="s">
        <v>3074</v>
      </c>
      <c r="F2167" s="826">
        <v>265617.62</v>
      </c>
      <c r="G2167" s="880">
        <v>1</v>
      </c>
      <c r="H2167" s="826">
        <v>205516.73</v>
      </c>
      <c r="I2167" s="826">
        <v>60100.89</v>
      </c>
      <c r="J2167" s="826">
        <v>265617.62</v>
      </c>
      <c r="K2167" s="878">
        <v>265617.62</v>
      </c>
    </row>
    <row r="2168" spans="1:11" ht="22.5" customHeight="1" x14ac:dyDescent="0.25">
      <c r="A2168" s="816" t="s">
        <v>295</v>
      </c>
      <c r="B2168" s="880">
        <v>2025</v>
      </c>
      <c r="C2168" s="816" t="s">
        <v>1930</v>
      </c>
      <c r="D2168" s="816" t="s">
        <v>156</v>
      </c>
      <c r="E2168" s="816" t="s">
        <v>3075</v>
      </c>
      <c r="F2168" s="826">
        <v>1634448.21</v>
      </c>
      <c r="G2168" s="880">
        <v>1</v>
      </c>
      <c r="H2168" s="826">
        <v>1518795.56</v>
      </c>
      <c r="I2168" s="826">
        <v>115652.65</v>
      </c>
      <c r="J2168" s="826">
        <v>1634448.21</v>
      </c>
      <c r="K2168" s="878">
        <v>1634448.21</v>
      </c>
    </row>
    <row r="2169" spans="1:11" ht="22.5" customHeight="1" x14ac:dyDescent="0.25">
      <c r="A2169" s="816" t="s">
        <v>295</v>
      </c>
      <c r="B2169" s="880">
        <v>2025</v>
      </c>
      <c r="C2169" s="816" t="s">
        <v>1932</v>
      </c>
      <c r="D2169" s="816" t="s">
        <v>1933</v>
      </c>
      <c r="E2169" s="816" t="s">
        <v>3076</v>
      </c>
      <c r="F2169" s="826">
        <v>-508074.82</v>
      </c>
      <c r="G2169" s="880">
        <v>0</v>
      </c>
      <c r="H2169" s="465"/>
      <c r="I2169" s="465"/>
      <c r="J2169" s="826">
        <v>0</v>
      </c>
      <c r="K2169" s="878">
        <v>-508074.82</v>
      </c>
    </row>
    <row r="2170" spans="1:11" ht="22.5" customHeight="1" x14ac:dyDescent="0.25">
      <c r="A2170" s="816" t="s">
        <v>295</v>
      </c>
      <c r="B2170" s="880">
        <v>2025</v>
      </c>
      <c r="C2170" s="816" t="s">
        <v>1935</v>
      </c>
      <c r="D2170" s="816" t="s">
        <v>1936</v>
      </c>
      <c r="E2170" s="816" t="s">
        <v>8544</v>
      </c>
      <c r="F2170" s="826">
        <v>0</v>
      </c>
      <c r="G2170" s="880">
        <v>1</v>
      </c>
      <c r="H2170" s="465"/>
      <c r="I2170" s="465"/>
      <c r="J2170" s="826">
        <v>0</v>
      </c>
      <c r="K2170" s="878">
        <v>0</v>
      </c>
    </row>
    <row r="2171" spans="1:11" ht="22.5" customHeight="1" x14ac:dyDescent="0.25">
      <c r="A2171" s="816" t="s">
        <v>295</v>
      </c>
      <c r="B2171" s="880">
        <v>2025</v>
      </c>
      <c r="C2171" s="816" t="s">
        <v>1935</v>
      </c>
      <c r="D2171" s="816" t="s">
        <v>1937</v>
      </c>
      <c r="E2171" s="816" t="s">
        <v>8545</v>
      </c>
      <c r="F2171" s="826">
        <v>0</v>
      </c>
      <c r="G2171" s="880">
        <v>1</v>
      </c>
      <c r="H2171" s="465"/>
      <c r="I2171" s="465"/>
      <c r="J2171" s="826">
        <v>0</v>
      </c>
      <c r="K2171" s="878">
        <v>0</v>
      </c>
    </row>
    <row r="2172" spans="1:11" ht="22.5" customHeight="1" x14ac:dyDescent="0.25">
      <c r="A2172" s="816" t="s">
        <v>295</v>
      </c>
      <c r="B2172" s="880">
        <v>2025</v>
      </c>
      <c r="C2172" s="816" t="s">
        <v>1935</v>
      </c>
      <c r="D2172" s="816" t="s">
        <v>1938</v>
      </c>
      <c r="E2172" s="816" t="s">
        <v>8546</v>
      </c>
      <c r="F2172" s="826">
        <v>0</v>
      </c>
      <c r="G2172" s="880">
        <v>1</v>
      </c>
      <c r="H2172" s="465"/>
      <c r="I2172" s="465"/>
      <c r="J2172" s="826">
        <v>0</v>
      </c>
      <c r="K2172" s="878">
        <v>0</v>
      </c>
    </row>
    <row r="2173" spans="1:11" ht="22.5" customHeight="1" x14ac:dyDescent="0.25">
      <c r="A2173" s="816" t="s">
        <v>295</v>
      </c>
      <c r="B2173" s="880">
        <v>2025</v>
      </c>
      <c r="C2173" s="816" t="s">
        <v>1935</v>
      </c>
      <c r="D2173" s="816" t="s">
        <v>1939</v>
      </c>
      <c r="E2173" s="816" t="s">
        <v>8547</v>
      </c>
      <c r="F2173" s="826">
        <v>0</v>
      </c>
      <c r="G2173" s="880">
        <v>1</v>
      </c>
      <c r="H2173" s="465"/>
      <c r="I2173" s="465"/>
      <c r="J2173" s="826">
        <v>0</v>
      </c>
      <c r="K2173" s="878">
        <v>0</v>
      </c>
    </row>
    <row r="2174" spans="1:11" ht="22.5" customHeight="1" x14ac:dyDescent="0.25">
      <c r="A2174" s="816" t="s">
        <v>295</v>
      </c>
      <c r="B2174" s="880">
        <v>2025</v>
      </c>
      <c r="C2174" s="816" t="s">
        <v>1935</v>
      </c>
      <c r="D2174" s="816" t="s">
        <v>1940</v>
      </c>
      <c r="E2174" s="816" t="s">
        <v>8548</v>
      </c>
      <c r="F2174" s="826">
        <v>0</v>
      </c>
      <c r="G2174" s="880">
        <v>1</v>
      </c>
      <c r="H2174" s="465"/>
      <c r="I2174" s="465"/>
      <c r="J2174" s="826">
        <v>0</v>
      </c>
      <c r="K2174" s="878">
        <v>0</v>
      </c>
    </row>
    <row r="2175" spans="1:11" ht="22.5" customHeight="1" x14ac:dyDescent="0.25">
      <c r="A2175" s="816" t="s">
        <v>295</v>
      </c>
      <c r="B2175" s="880">
        <v>2025</v>
      </c>
      <c r="C2175" s="816" t="s">
        <v>1935</v>
      </c>
      <c r="D2175" s="816" t="s">
        <v>1941</v>
      </c>
      <c r="E2175" s="816" t="s">
        <v>8549</v>
      </c>
      <c r="F2175" s="826">
        <v>0</v>
      </c>
      <c r="G2175" s="880">
        <v>1</v>
      </c>
      <c r="H2175" s="465"/>
      <c r="I2175" s="465"/>
      <c r="J2175" s="826">
        <v>0</v>
      </c>
      <c r="K2175" s="878">
        <v>0</v>
      </c>
    </row>
    <row r="2176" spans="1:11" ht="22.5" customHeight="1" x14ac:dyDescent="0.25">
      <c r="A2176" s="816" t="s">
        <v>295</v>
      </c>
      <c r="B2176" s="880">
        <v>2025</v>
      </c>
      <c r="C2176" s="816" t="s">
        <v>1935</v>
      </c>
      <c r="D2176" s="816" t="s">
        <v>1942</v>
      </c>
      <c r="E2176" s="816" t="s">
        <v>8550</v>
      </c>
      <c r="F2176" s="826">
        <v>0</v>
      </c>
      <c r="G2176" s="880">
        <v>1</v>
      </c>
      <c r="H2176" s="465"/>
      <c r="I2176" s="465"/>
      <c r="J2176" s="826">
        <v>0</v>
      </c>
      <c r="K2176" s="878">
        <v>0</v>
      </c>
    </row>
    <row r="2177" spans="1:11" ht="22.5" customHeight="1" x14ac:dyDescent="0.25">
      <c r="A2177" s="816" t="s">
        <v>295</v>
      </c>
      <c r="B2177" s="880">
        <v>2025</v>
      </c>
      <c r="C2177" s="816" t="s">
        <v>1935</v>
      </c>
      <c r="D2177" s="816" t="s">
        <v>1943</v>
      </c>
      <c r="E2177" s="816" t="s">
        <v>8551</v>
      </c>
      <c r="F2177" s="826">
        <v>0</v>
      </c>
      <c r="G2177" s="880">
        <v>1</v>
      </c>
      <c r="H2177" s="465"/>
      <c r="I2177" s="465"/>
      <c r="J2177" s="826">
        <v>0</v>
      </c>
      <c r="K2177" s="878">
        <v>0</v>
      </c>
    </row>
    <row r="2178" spans="1:11" ht="22.5" customHeight="1" x14ac:dyDescent="0.25">
      <c r="A2178" s="816" t="s">
        <v>295</v>
      </c>
      <c r="B2178" s="880">
        <v>2025</v>
      </c>
      <c r="C2178" s="816" t="s">
        <v>1935</v>
      </c>
      <c r="D2178" s="816" t="s">
        <v>1944</v>
      </c>
      <c r="E2178" s="816" t="s">
        <v>8552</v>
      </c>
      <c r="F2178" s="826">
        <v>0</v>
      </c>
      <c r="G2178" s="880">
        <v>1</v>
      </c>
      <c r="H2178" s="465"/>
      <c r="I2178" s="465"/>
      <c r="J2178" s="826">
        <v>0</v>
      </c>
      <c r="K2178" s="878">
        <v>0</v>
      </c>
    </row>
    <row r="2179" spans="1:11" ht="22.5" customHeight="1" x14ac:dyDescent="0.25">
      <c r="A2179" s="816" t="s">
        <v>295</v>
      </c>
      <c r="B2179" s="880">
        <v>2025</v>
      </c>
      <c r="C2179" s="816" t="s">
        <v>1935</v>
      </c>
      <c r="D2179" s="816" t="s">
        <v>1945</v>
      </c>
      <c r="E2179" s="816" t="s">
        <v>8553</v>
      </c>
      <c r="F2179" s="826">
        <v>0</v>
      </c>
      <c r="G2179" s="880">
        <v>1</v>
      </c>
      <c r="H2179" s="465"/>
      <c r="I2179" s="465"/>
      <c r="J2179" s="826">
        <v>0</v>
      </c>
      <c r="K2179" s="878">
        <v>0</v>
      </c>
    </row>
    <row r="2180" spans="1:11" ht="22.5" customHeight="1" x14ac:dyDescent="0.25">
      <c r="A2180" s="816" t="s">
        <v>295</v>
      </c>
      <c r="B2180" s="880">
        <v>2025</v>
      </c>
      <c r="C2180" s="816" t="s">
        <v>1935</v>
      </c>
      <c r="D2180" s="816" t="s">
        <v>1946</v>
      </c>
      <c r="E2180" s="816" t="s">
        <v>8554</v>
      </c>
      <c r="F2180" s="826">
        <v>0</v>
      </c>
      <c r="G2180" s="880">
        <v>1</v>
      </c>
      <c r="H2180" s="465"/>
      <c r="I2180" s="465"/>
      <c r="J2180" s="826">
        <v>0</v>
      </c>
      <c r="K2180" s="878">
        <v>0</v>
      </c>
    </row>
    <row r="2181" spans="1:11" ht="22.5" customHeight="1" x14ac:dyDescent="0.25">
      <c r="A2181" s="816" t="s">
        <v>295</v>
      </c>
      <c r="B2181" s="880">
        <v>2025</v>
      </c>
      <c r="C2181" s="816" t="s">
        <v>1935</v>
      </c>
      <c r="D2181" s="816" t="s">
        <v>1947</v>
      </c>
      <c r="E2181" s="816" t="s">
        <v>8555</v>
      </c>
      <c r="F2181" s="826">
        <v>0</v>
      </c>
      <c r="G2181" s="880">
        <v>1</v>
      </c>
      <c r="H2181" s="465"/>
      <c r="I2181" s="465"/>
      <c r="J2181" s="826">
        <v>0</v>
      </c>
      <c r="K2181" s="878">
        <v>0</v>
      </c>
    </row>
    <row r="2182" spans="1:11" ht="22.5" customHeight="1" x14ac:dyDescent="0.25">
      <c r="A2182" s="816" t="s">
        <v>295</v>
      </c>
      <c r="B2182" s="880">
        <v>2025</v>
      </c>
      <c r="C2182" s="816" t="s">
        <v>1935</v>
      </c>
      <c r="D2182" s="816" t="s">
        <v>1948</v>
      </c>
      <c r="E2182" s="816" t="s">
        <v>8556</v>
      </c>
      <c r="F2182" s="826">
        <v>0</v>
      </c>
      <c r="G2182" s="880">
        <v>1</v>
      </c>
      <c r="H2182" s="465"/>
      <c r="I2182" s="465"/>
      <c r="J2182" s="826">
        <v>0</v>
      </c>
      <c r="K2182" s="878">
        <v>0</v>
      </c>
    </row>
    <row r="2183" spans="1:11" ht="22.5" customHeight="1" x14ac:dyDescent="0.25">
      <c r="A2183" s="816" t="s">
        <v>295</v>
      </c>
      <c r="B2183" s="880">
        <v>2025</v>
      </c>
      <c r="C2183" s="816" t="s">
        <v>1935</v>
      </c>
      <c r="D2183" s="816" t="s">
        <v>1949</v>
      </c>
      <c r="E2183" s="816" t="s">
        <v>8557</v>
      </c>
      <c r="F2183" s="826">
        <v>0</v>
      </c>
      <c r="G2183" s="880">
        <v>1</v>
      </c>
      <c r="H2183" s="826">
        <v>-38493.68</v>
      </c>
      <c r="I2183" s="826">
        <v>45893.24</v>
      </c>
      <c r="J2183" s="826">
        <v>7399.56</v>
      </c>
      <c r="K2183" s="878">
        <v>7399.56</v>
      </c>
    </row>
    <row r="2184" spans="1:11" ht="22.5" customHeight="1" x14ac:dyDescent="0.25">
      <c r="A2184" s="816" t="s">
        <v>295</v>
      </c>
      <c r="B2184" s="880">
        <v>2025</v>
      </c>
      <c r="C2184" s="816" t="s">
        <v>1935</v>
      </c>
      <c r="D2184" s="816" t="s">
        <v>1950</v>
      </c>
      <c r="E2184" s="816" t="s">
        <v>8558</v>
      </c>
      <c r="F2184" s="826">
        <v>0</v>
      </c>
      <c r="G2184" s="880">
        <v>1</v>
      </c>
      <c r="H2184" s="465"/>
      <c r="I2184" s="465"/>
      <c r="J2184" s="826">
        <v>0</v>
      </c>
      <c r="K2184" s="878">
        <v>0</v>
      </c>
    </row>
    <row r="2185" spans="1:11" ht="22.5" customHeight="1" x14ac:dyDescent="0.25">
      <c r="A2185" s="816" t="s">
        <v>295</v>
      </c>
      <c r="B2185" s="880">
        <v>2025</v>
      </c>
      <c r="C2185" s="816" t="s">
        <v>1935</v>
      </c>
      <c r="D2185" s="816" t="s">
        <v>1951</v>
      </c>
      <c r="E2185" s="816" t="s">
        <v>8559</v>
      </c>
      <c r="F2185" s="826">
        <v>0</v>
      </c>
      <c r="G2185" s="880">
        <v>1</v>
      </c>
      <c r="H2185" s="826">
        <v>225958.83</v>
      </c>
      <c r="I2185" s="826">
        <v>-396676.54</v>
      </c>
      <c r="J2185" s="826">
        <v>-170717.71</v>
      </c>
      <c r="K2185" s="878">
        <v>-170717.71</v>
      </c>
    </row>
    <row r="2186" spans="1:11" ht="22.5" customHeight="1" x14ac:dyDescent="0.25">
      <c r="A2186" s="816" t="s">
        <v>295</v>
      </c>
      <c r="B2186" s="880">
        <v>2025</v>
      </c>
      <c r="C2186" s="816" t="s">
        <v>1935</v>
      </c>
      <c r="D2186" s="816" t="s">
        <v>7801</v>
      </c>
      <c r="E2186" s="816" t="s">
        <v>8560</v>
      </c>
      <c r="F2186" s="826">
        <v>0</v>
      </c>
      <c r="G2186" s="880">
        <v>1</v>
      </c>
      <c r="H2186" s="826">
        <v>20144.21</v>
      </c>
      <c r="I2186" s="826">
        <v>330080.46000000002</v>
      </c>
      <c r="J2186" s="826">
        <v>350224.67</v>
      </c>
      <c r="K2186" s="878">
        <v>350224.67</v>
      </c>
    </row>
    <row r="2187" spans="1:11" ht="22.5" customHeight="1" x14ac:dyDescent="0.25">
      <c r="A2187" s="816" t="s">
        <v>295</v>
      </c>
      <c r="B2187" s="880">
        <v>2025</v>
      </c>
      <c r="C2187" s="816" t="s">
        <v>1935</v>
      </c>
      <c r="D2187" s="816" t="s">
        <v>1952</v>
      </c>
      <c r="E2187" s="816" t="s">
        <v>8561</v>
      </c>
      <c r="F2187" s="826">
        <v>186906.52</v>
      </c>
      <c r="G2187" s="880">
        <v>0</v>
      </c>
      <c r="H2187" s="465"/>
      <c r="I2187" s="465"/>
      <c r="J2187" s="826">
        <v>0</v>
      </c>
      <c r="K2187" s="878">
        <v>186906.52</v>
      </c>
    </row>
    <row r="2188" spans="1:11" ht="22.5" customHeight="1" x14ac:dyDescent="0.25">
      <c r="A2188" s="816" t="s">
        <v>295</v>
      </c>
      <c r="B2188" s="880">
        <v>2025</v>
      </c>
      <c r="C2188" s="816" t="s">
        <v>1953</v>
      </c>
      <c r="D2188" s="816" t="s">
        <v>1954</v>
      </c>
      <c r="E2188" s="816" t="s">
        <v>3077</v>
      </c>
      <c r="F2188" s="826">
        <v>0</v>
      </c>
      <c r="G2188" s="880">
        <v>0</v>
      </c>
      <c r="H2188" s="465"/>
      <c r="I2188" s="465"/>
      <c r="J2188" s="826">
        <v>0</v>
      </c>
      <c r="K2188" s="878">
        <v>0</v>
      </c>
    </row>
    <row r="2189" spans="1:11" ht="22.5" customHeight="1" x14ac:dyDescent="0.25">
      <c r="A2189" s="816" t="s">
        <v>297</v>
      </c>
      <c r="B2189" s="880">
        <v>2025</v>
      </c>
      <c r="C2189" s="816" t="s">
        <v>1854</v>
      </c>
      <c r="D2189" s="816" t="s">
        <v>1855</v>
      </c>
      <c r="E2189" s="816" t="s">
        <v>3078</v>
      </c>
      <c r="F2189" s="826">
        <v>-1284759.05</v>
      </c>
      <c r="G2189" s="880">
        <v>0</v>
      </c>
      <c r="H2189" s="465"/>
      <c r="I2189" s="465"/>
      <c r="J2189" s="826">
        <v>0</v>
      </c>
      <c r="K2189" s="878">
        <v>-1284759.05</v>
      </c>
    </row>
    <row r="2190" spans="1:11" ht="22.5" customHeight="1" x14ac:dyDescent="0.25">
      <c r="A2190" s="816" t="s">
        <v>297</v>
      </c>
      <c r="B2190" s="880">
        <v>2025</v>
      </c>
      <c r="C2190" s="816" t="s">
        <v>7746</v>
      </c>
      <c r="D2190" s="816" t="s">
        <v>7747</v>
      </c>
      <c r="E2190" s="816" t="s">
        <v>7789</v>
      </c>
      <c r="F2190" s="826">
        <v>0</v>
      </c>
      <c r="G2190" s="880">
        <v>0</v>
      </c>
      <c r="H2190" s="465"/>
      <c r="I2190" s="465"/>
      <c r="J2190" s="826">
        <v>0</v>
      </c>
      <c r="K2190" s="878">
        <v>0</v>
      </c>
    </row>
    <row r="2191" spans="1:11" ht="22.5" customHeight="1" x14ac:dyDescent="0.25">
      <c r="A2191" s="816" t="s">
        <v>297</v>
      </c>
      <c r="B2191" s="880">
        <v>2025</v>
      </c>
      <c r="C2191" s="816" t="s">
        <v>1857</v>
      </c>
      <c r="D2191" s="816" t="s">
        <v>1858</v>
      </c>
      <c r="E2191" s="816" t="s">
        <v>3079</v>
      </c>
      <c r="F2191" s="826">
        <v>0</v>
      </c>
      <c r="G2191" s="880">
        <v>0</v>
      </c>
      <c r="H2191" s="465"/>
      <c r="I2191" s="465"/>
      <c r="J2191" s="826">
        <v>0</v>
      </c>
      <c r="K2191" s="878">
        <v>0</v>
      </c>
    </row>
    <row r="2192" spans="1:11" ht="22.5" customHeight="1" x14ac:dyDescent="0.25">
      <c r="A2192" s="816" t="s">
        <v>297</v>
      </c>
      <c r="B2192" s="880">
        <v>2025</v>
      </c>
      <c r="C2192" s="816" t="s">
        <v>1860</v>
      </c>
      <c r="D2192" s="816" t="s">
        <v>1861</v>
      </c>
      <c r="E2192" s="816" t="s">
        <v>3080</v>
      </c>
      <c r="F2192" s="826">
        <v>0</v>
      </c>
      <c r="G2192" s="880">
        <v>0</v>
      </c>
      <c r="H2192" s="465"/>
      <c r="I2192" s="465"/>
      <c r="J2192" s="826">
        <v>0</v>
      </c>
      <c r="K2192" s="878">
        <v>0</v>
      </c>
    </row>
    <row r="2193" spans="1:11" ht="22.5" customHeight="1" x14ac:dyDescent="0.25">
      <c r="A2193" s="816" t="s">
        <v>297</v>
      </c>
      <c r="B2193" s="880">
        <v>2025</v>
      </c>
      <c r="C2193" s="816" t="s">
        <v>1863</v>
      </c>
      <c r="D2193" s="816" t="s">
        <v>1864</v>
      </c>
      <c r="E2193" s="816" t="s">
        <v>3081</v>
      </c>
      <c r="F2193" s="826">
        <v>0</v>
      </c>
      <c r="G2193" s="880">
        <v>0</v>
      </c>
      <c r="H2193" s="465"/>
      <c r="I2193" s="465"/>
      <c r="J2193" s="826">
        <v>0</v>
      </c>
      <c r="K2193" s="878">
        <v>0</v>
      </c>
    </row>
    <row r="2194" spans="1:11" ht="22.5" customHeight="1" x14ac:dyDescent="0.25">
      <c r="A2194" s="816" t="s">
        <v>297</v>
      </c>
      <c r="B2194" s="880">
        <v>2025</v>
      </c>
      <c r="C2194" s="816" t="s">
        <v>1866</v>
      </c>
      <c r="D2194" s="816" t="s">
        <v>1867</v>
      </c>
      <c r="E2194" s="816" t="s">
        <v>3082</v>
      </c>
      <c r="F2194" s="826">
        <v>0</v>
      </c>
      <c r="G2194" s="880">
        <v>0</v>
      </c>
      <c r="H2194" s="465"/>
      <c r="I2194" s="465"/>
      <c r="J2194" s="826">
        <v>0</v>
      </c>
      <c r="K2194" s="878">
        <v>0</v>
      </c>
    </row>
    <row r="2195" spans="1:11" ht="22.5" customHeight="1" x14ac:dyDescent="0.25">
      <c r="A2195" s="816" t="s">
        <v>297</v>
      </c>
      <c r="B2195" s="880">
        <v>2025</v>
      </c>
      <c r="C2195" s="816" t="s">
        <v>1869</v>
      </c>
      <c r="D2195" s="816" t="s">
        <v>1870</v>
      </c>
      <c r="E2195" s="816" t="s">
        <v>3083</v>
      </c>
      <c r="F2195" s="826">
        <v>0</v>
      </c>
      <c r="G2195" s="880">
        <v>0</v>
      </c>
      <c r="H2195" s="465"/>
      <c r="I2195" s="465"/>
      <c r="J2195" s="826">
        <v>0</v>
      </c>
      <c r="K2195" s="878">
        <v>0</v>
      </c>
    </row>
    <row r="2196" spans="1:11" ht="22.5" customHeight="1" x14ac:dyDescent="0.25">
      <c r="A2196" s="816" t="s">
        <v>297</v>
      </c>
      <c r="B2196" s="880">
        <v>2025</v>
      </c>
      <c r="C2196" s="816" t="s">
        <v>1872</v>
      </c>
      <c r="D2196" s="816" t="s">
        <v>1873</v>
      </c>
      <c r="E2196" s="816" t="s">
        <v>3084</v>
      </c>
      <c r="F2196" s="826">
        <v>0</v>
      </c>
      <c r="G2196" s="880">
        <v>0</v>
      </c>
      <c r="H2196" s="465"/>
      <c r="I2196" s="465"/>
      <c r="J2196" s="826">
        <v>0</v>
      </c>
      <c r="K2196" s="878">
        <v>0</v>
      </c>
    </row>
    <row r="2197" spans="1:11" ht="22.5" customHeight="1" x14ac:dyDescent="0.25">
      <c r="A2197" s="816" t="s">
        <v>297</v>
      </c>
      <c r="B2197" s="880">
        <v>2025</v>
      </c>
      <c r="C2197" s="816" t="s">
        <v>1875</v>
      </c>
      <c r="D2197" s="816" t="s">
        <v>1876</v>
      </c>
      <c r="E2197" s="816" t="s">
        <v>3085</v>
      </c>
      <c r="F2197" s="826">
        <v>0</v>
      </c>
      <c r="G2197" s="880">
        <v>0</v>
      </c>
      <c r="H2197" s="465"/>
      <c r="I2197" s="465"/>
      <c r="J2197" s="826">
        <v>0</v>
      </c>
      <c r="K2197" s="878">
        <v>0</v>
      </c>
    </row>
    <row r="2198" spans="1:11" ht="22.5" customHeight="1" x14ac:dyDescent="0.25">
      <c r="A2198" s="816" t="s">
        <v>297</v>
      </c>
      <c r="B2198" s="880">
        <v>2025</v>
      </c>
      <c r="C2198" s="816" t="s">
        <v>1878</v>
      </c>
      <c r="D2198" s="816" t="s">
        <v>1879</v>
      </c>
      <c r="E2198" s="816" t="s">
        <v>3086</v>
      </c>
      <c r="F2198" s="826">
        <v>0</v>
      </c>
      <c r="G2198" s="880">
        <v>0</v>
      </c>
      <c r="H2198" s="465"/>
      <c r="I2198" s="465"/>
      <c r="J2198" s="826">
        <v>0</v>
      </c>
      <c r="K2198" s="878">
        <v>0</v>
      </c>
    </row>
    <row r="2199" spans="1:11" ht="22.5" customHeight="1" x14ac:dyDescent="0.25">
      <c r="A2199" s="816" t="s">
        <v>297</v>
      </c>
      <c r="B2199" s="880">
        <v>2025</v>
      </c>
      <c r="C2199" s="816" t="s">
        <v>1881</v>
      </c>
      <c r="D2199" s="816" t="s">
        <v>1882</v>
      </c>
      <c r="E2199" s="816" t="s">
        <v>3087</v>
      </c>
      <c r="F2199" s="826">
        <v>0</v>
      </c>
      <c r="G2199" s="880">
        <v>0</v>
      </c>
      <c r="H2199" s="465"/>
      <c r="I2199" s="465"/>
      <c r="J2199" s="826">
        <v>0</v>
      </c>
      <c r="K2199" s="878">
        <v>0</v>
      </c>
    </row>
    <row r="2200" spans="1:11" ht="22.5" customHeight="1" x14ac:dyDescent="0.25">
      <c r="A2200" s="816" t="s">
        <v>297</v>
      </c>
      <c r="B2200" s="880">
        <v>2025</v>
      </c>
      <c r="C2200" s="816" t="s">
        <v>1884</v>
      </c>
      <c r="D2200" s="816" t="s">
        <v>1885</v>
      </c>
      <c r="E2200" s="816" t="s">
        <v>3088</v>
      </c>
      <c r="F2200" s="826">
        <v>0</v>
      </c>
      <c r="G2200" s="880">
        <v>0</v>
      </c>
      <c r="H2200" s="465"/>
      <c r="I2200" s="465"/>
      <c r="J2200" s="826">
        <v>0</v>
      </c>
      <c r="K2200" s="878">
        <v>0</v>
      </c>
    </row>
    <row r="2201" spans="1:11" ht="22.5" customHeight="1" x14ac:dyDescent="0.25">
      <c r="A2201" s="816" t="s">
        <v>297</v>
      </c>
      <c r="B2201" s="880">
        <v>2025</v>
      </c>
      <c r="C2201" s="816" t="s">
        <v>1887</v>
      </c>
      <c r="D2201" s="816" t="s">
        <v>138</v>
      </c>
      <c r="E2201" s="816" t="s">
        <v>3089</v>
      </c>
      <c r="F2201" s="826">
        <v>176208.02</v>
      </c>
      <c r="G2201" s="880">
        <v>1</v>
      </c>
      <c r="H2201" s="826">
        <v>160311.70000000001</v>
      </c>
      <c r="I2201" s="826">
        <v>15896.32</v>
      </c>
      <c r="J2201" s="826">
        <v>176208.02</v>
      </c>
      <c r="K2201" s="878">
        <v>176208.02</v>
      </c>
    </row>
    <row r="2202" spans="1:11" ht="22.5" customHeight="1" x14ac:dyDescent="0.25">
      <c r="A2202" s="816" t="s">
        <v>297</v>
      </c>
      <c r="B2202" s="880">
        <v>2025</v>
      </c>
      <c r="C2202" s="816" t="s">
        <v>1889</v>
      </c>
      <c r="D2202" s="816" t="s">
        <v>139</v>
      </c>
      <c r="E2202" s="816" t="s">
        <v>3090</v>
      </c>
      <c r="F2202" s="826">
        <v>-32424.38</v>
      </c>
      <c r="G2202" s="880">
        <v>1</v>
      </c>
      <c r="H2202" s="826">
        <v>-30090.41</v>
      </c>
      <c r="I2202" s="826">
        <v>-2333.9699999999998</v>
      </c>
      <c r="J2202" s="826">
        <v>-32424.38</v>
      </c>
      <c r="K2202" s="878">
        <v>-32424.38</v>
      </c>
    </row>
    <row r="2203" spans="1:11" ht="22.5" customHeight="1" x14ac:dyDescent="0.25">
      <c r="A2203" s="816" t="s">
        <v>297</v>
      </c>
      <c r="B2203" s="880">
        <v>2025</v>
      </c>
      <c r="C2203" s="816" t="s">
        <v>1891</v>
      </c>
      <c r="D2203" s="816" t="s">
        <v>1892</v>
      </c>
      <c r="E2203" s="816" t="s">
        <v>3091</v>
      </c>
      <c r="F2203" s="826">
        <v>0</v>
      </c>
      <c r="G2203" s="880">
        <v>0</v>
      </c>
      <c r="H2203" s="465"/>
      <c r="I2203" s="465"/>
      <c r="J2203" s="826">
        <v>0</v>
      </c>
      <c r="K2203" s="878">
        <v>0</v>
      </c>
    </row>
    <row r="2204" spans="1:11" ht="22.5" customHeight="1" x14ac:dyDescent="0.25">
      <c r="A2204" s="816" t="s">
        <v>297</v>
      </c>
      <c r="B2204" s="880">
        <v>2025</v>
      </c>
      <c r="C2204" s="816" t="s">
        <v>1891</v>
      </c>
      <c r="D2204" s="816" t="s">
        <v>1894</v>
      </c>
      <c r="E2204" s="816" t="s">
        <v>3091</v>
      </c>
      <c r="F2204" s="826">
        <v>0</v>
      </c>
      <c r="G2204" s="880">
        <v>0</v>
      </c>
      <c r="H2204" s="465"/>
      <c r="I2204" s="465"/>
      <c r="J2204" s="826">
        <v>0</v>
      </c>
      <c r="K2204" s="881">
        <v>0</v>
      </c>
    </row>
    <row r="2205" spans="1:11" ht="22.5" customHeight="1" x14ac:dyDescent="0.25">
      <c r="A2205" s="816" t="s">
        <v>297</v>
      </c>
      <c r="B2205" s="880">
        <v>2025</v>
      </c>
      <c r="C2205" s="816" t="s">
        <v>1895</v>
      </c>
      <c r="D2205" s="816" t="s">
        <v>1896</v>
      </c>
      <c r="E2205" s="816" t="s">
        <v>3092</v>
      </c>
      <c r="F2205" s="826">
        <v>0</v>
      </c>
      <c r="G2205" s="880">
        <v>0</v>
      </c>
      <c r="H2205" s="465"/>
      <c r="I2205" s="465"/>
      <c r="J2205" s="826">
        <v>0</v>
      </c>
      <c r="K2205" s="878">
        <v>0</v>
      </c>
    </row>
    <row r="2206" spans="1:11" ht="22.5" customHeight="1" x14ac:dyDescent="0.25">
      <c r="A2206" s="816" t="s">
        <v>297</v>
      </c>
      <c r="B2206" s="880">
        <v>2025</v>
      </c>
      <c r="C2206" s="816" t="s">
        <v>1898</v>
      </c>
      <c r="D2206" s="816" t="s">
        <v>1899</v>
      </c>
      <c r="E2206" s="816" t="s">
        <v>3093</v>
      </c>
      <c r="F2206" s="826">
        <v>0</v>
      </c>
      <c r="G2206" s="880">
        <v>0</v>
      </c>
      <c r="H2206" s="465"/>
      <c r="I2206" s="465"/>
      <c r="J2206" s="826">
        <v>0</v>
      </c>
      <c r="K2206" s="878">
        <v>0</v>
      </c>
    </row>
    <row r="2207" spans="1:11" ht="22.5" customHeight="1" x14ac:dyDescent="0.25">
      <c r="A2207" s="816" t="s">
        <v>297</v>
      </c>
      <c r="B2207" s="880">
        <v>2025</v>
      </c>
      <c r="C2207" s="816" t="s">
        <v>1901</v>
      </c>
      <c r="D2207" s="816" t="s">
        <v>1902</v>
      </c>
      <c r="E2207" s="816" t="s">
        <v>3094</v>
      </c>
      <c r="F2207" s="826">
        <v>0</v>
      </c>
      <c r="G2207" s="880">
        <v>0</v>
      </c>
      <c r="H2207" s="465"/>
      <c r="I2207" s="465"/>
      <c r="J2207" s="826">
        <v>0</v>
      </c>
      <c r="K2207" s="878">
        <v>0</v>
      </c>
    </row>
    <row r="2208" spans="1:11" ht="22.5" customHeight="1" x14ac:dyDescent="0.25">
      <c r="A2208" s="816" t="s">
        <v>297</v>
      </c>
      <c r="B2208" s="880">
        <v>2025</v>
      </c>
      <c r="C2208" s="816" t="s">
        <v>1904</v>
      </c>
      <c r="D2208" s="816" t="s">
        <v>1905</v>
      </c>
      <c r="E2208" s="816" t="s">
        <v>3095</v>
      </c>
      <c r="F2208" s="826">
        <v>0</v>
      </c>
      <c r="G2208" s="880">
        <v>0</v>
      </c>
      <c r="H2208" s="465"/>
      <c r="I2208" s="465"/>
      <c r="J2208" s="826">
        <v>0</v>
      </c>
      <c r="K2208" s="878">
        <v>0</v>
      </c>
    </row>
    <row r="2209" spans="1:11" ht="22.5" customHeight="1" x14ac:dyDescent="0.25">
      <c r="A2209" s="816" t="s">
        <v>297</v>
      </c>
      <c r="B2209" s="880">
        <v>2025</v>
      </c>
      <c r="C2209" s="816" t="s">
        <v>1907</v>
      </c>
      <c r="D2209" s="816" t="s">
        <v>1908</v>
      </c>
      <c r="E2209" s="816" t="s">
        <v>3096</v>
      </c>
      <c r="F2209" s="826">
        <v>0</v>
      </c>
      <c r="G2209" s="880">
        <v>0</v>
      </c>
      <c r="H2209" s="465"/>
      <c r="I2209" s="465"/>
      <c r="J2209" s="826">
        <v>0</v>
      </c>
      <c r="K2209" s="878">
        <v>0</v>
      </c>
    </row>
    <row r="2210" spans="1:11" ht="22.5" customHeight="1" x14ac:dyDescent="0.25">
      <c r="A2210" s="816" t="s">
        <v>297</v>
      </c>
      <c r="B2210" s="880">
        <v>2025</v>
      </c>
      <c r="C2210" s="816" t="s">
        <v>1910</v>
      </c>
      <c r="D2210" s="816" t="s">
        <v>1911</v>
      </c>
      <c r="E2210" s="816" t="s">
        <v>3097</v>
      </c>
      <c r="F2210" s="826">
        <v>0</v>
      </c>
      <c r="G2210" s="880">
        <v>0</v>
      </c>
      <c r="H2210" s="465"/>
      <c r="I2210" s="465"/>
      <c r="J2210" s="826">
        <v>0</v>
      </c>
      <c r="K2210" s="878">
        <v>0</v>
      </c>
    </row>
    <row r="2211" spans="1:11" ht="22.5" customHeight="1" x14ac:dyDescent="0.25">
      <c r="A2211" s="816" t="s">
        <v>297</v>
      </c>
      <c r="B2211" s="880">
        <v>2025</v>
      </c>
      <c r="C2211" s="816" t="s">
        <v>1913</v>
      </c>
      <c r="D2211" s="816" t="s">
        <v>1914</v>
      </c>
      <c r="E2211" s="816" t="s">
        <v>3098</v>
      </c>
      <c r="F2211" s="826">
        <v>-458373.33</v>
      </c>
      <c r="G2211" s="880">
        <v>1</v>
      </c>
      <c r="H2211" s="826">
        <v>-435704.22</v>
      </c>
      <c r="I2211" s="826">
        <v>-22669.11</v>
      </c>
      <c r="J2211" s="826">
        <v>-458373.33</v>
      </c>
      <c r="K2211" s="878">
        <v>-458373.33</v>
      </c>
    </row>
    <row r="2212" spans="1:11" ht="22.5" customHeight="1" x14ac:dyDescent="0.25">
      <c r="A2212" s="816" t="s">
        <v>297</v>
      </c>
      <c r="B2212" s="880">
        <v>2025</v>
      </c>
      <c r="C2212" s="816" t="s">
        <v>1913</v>
      </c>
      <c r="D2212" s="816" t="s">
        <v>1916</v>
      </c>
      <c r="E2212" s="816" t="s">
        <v>3098</v>
      </c>
      <c r="F2212" s="826">
        <v>0</v>
      </c>
      <c r="G2212" s="880">
        <v>0</v>
      </c>
      <c r="H2212" s="465"/>
      <c r="I2212" s="465"/>
      <c r="J2212" s="826">
        <v>0</v>
      </c>
      <c r="K2212" s="881">
        <v>0</v>
      </c>
    </row>
    <row r="2213" spans="1:11" ht="22.5" customHeight="1" x14ac:dyDescent="0.25">
      <c r="A2213" s="816" t="s">
        <v>297</v>
      </c>
      <c r="B2213" s="880">
        <v>2025</v>
      </c>
      <c r="C2213" s="816" t="s">
        <v>1913</v>
      </c>
      <c r="D2213" s="816" t="s">
        <v>1917</v>
      </c>
      <c r="E2213" s="816" t="s">
        <v>3098</v>
      </c>
      <c r="F2213" s="826">
        <v>0</v>
      </c>
      <c r="G2213" s="880">
        <v>0</v>
      </c>
      <c r="H2213" s="465"/>
      <c r="I2213" s="465"/>
      <c r="J2213" s="826">
        <v>0</v>
      </c>
      <c r="K2213" s="881">
        <v>0</v>
      </c>
    </row>
    <row r="2214" spans="1:11" ht="22.5" customHeight="1" x14ac:dyDescent="0.25">
      <c r="A2214" s="816" t="s">
        <v>297</v>
      </c>
      <c r="B2214" s="880">
        <v>2025</v>
      </c>
      <c r="C2214" s="816" t="s">
        <v>1913</v>
      </c>
      <c r="D2214" s="816" t="s">
        <v>1918</v>
      </c>
      <c r="E2214" s="816" t="s">
        <v>3098</v>
      </c>
      <c r="F2214" s="826">
        <v>0</v>
      </c>
      <c r="G2214" s="880">
        <v>0</v>
      </c>
      <c r="H2214" s="465"/>
      <c r="I2214" s="465"/>
      <c r="J2214" s="826">
        <v>0</v>
      </c>
      <c r="K2214" s="881">
        <v>0</v>
      </c>
    </row>
    <row r="2215" spans="1:11" ht="22.5" customHeight="1" x14ac:dyDescent="0.25">
      <c r="A2215" s="816" t="s">
        <v>297</v>
      </c>
      <c r="B2215" s="880">
        <v>2025</v>
      </c>
      <c r="C2215" s="816" t="s">
        <v>1913</v>
      </c>
      <c r="D2215" s="816" t="s">
        <v>1919</v>
      </c>
      <c r="E2215" s="816" t="s">
        <v>3098</v>
      </c>
      <c r="F2215" s="826">
        <v>0</v>
      </c>
      <c r="G2215" s="880">
        <v>0</v>
      </c>
      <c r="H2215" s="465"/>
      <c r="I2215" s="465"/>
      <c r="J2215" s="826">
        <v>0</v>
      </c>
      <c r="K2215" s="881">
        <v>0</v>
      </c>
    </row>
    <row r="2216" spans="1:11" ht="22.5" customHeight="1" x14ac:dyDescent="0.25">
      <c r="A2216" s="816" t="s">
        <v>297</v>
      </c>
      <c r="B2216" s="880">
        <v>2025</v>
      </c>
      <c r="C2216" s="816" t="s">
        <v>1920</v>
      </c>
      <c r="D2216" s="816" t="s">
        <v>1921</v>
      </c>
      <c r="E2216" s="816" t="s">
        <v>3099</v>
      </c>
      <c r="F2216" s="826">
        <v>0</v>
      </c>
      <c r="G2216" s="880">
        <v>0</v>
      </c>
      <c r="H2216" s="465"/>
      <c r="I2216" s="465"/>
      <c r="J2216" s="826">
        <v>0</v>
      </c>
      <c r="K2216" s="878">
        <v>0</v>
      </c>
    </row>
    <row r="2217" spans="1:11" ht="22.5" customHeight="1" x14ac:dyDescent="0.25">
      <c r="A2217" s="816" t="s">
        <v>297</v>
      </c>
      <c r="B2217" s="880">
        <v>2025</v>
      </c>
      <c r="C2217" s="816" t="s">
        <v>1923</v>
      </c>
      <c r="D2217" s="816" t="s">
        <v>143</v>
      </c>
      <c r="E2217" s="816" t="s">
        <v>3100</v>
      </c>
      <c r="F2217" s="826">
        <v>200094.79</v>
      </c>
      <c r="G2217" s="880">
        <v>1</v>
      </c>
      <c r="H2217" s="826">
        <v>185007.96</v>
      </c>
      <c r="I2217" s="826">
        <v>15086.83</v>
      </c>
      <c r="J2217" s="826">
        <v>200094.79</v>
      </c>
      <c r="K2217" s="878">
        <v>200094.79</v>
      </c>
    </row>
    <row r="2218" spans="1:11" ht="22.5" customHeight="1" x14ac:dyDescent="0.25">
      <c r="A2218" s="816" t="s">
        <v>297</v>
      </c>
      <c r="B2218" s="880">
        <v>2025</v>
      </c>
      <c r="C2218" s="816" t="s">
        <v>1925</v>
      </c>
      <c r="D2218" s="816" t="s">
        <v>144</v>
      </c>
      <c r="E2218" s="816" t="s">
        <v>3101</v>
      </c>
      <c r="F2218" s="826">
        <v>114425.96</v>
      </c>
      <c r="G2218" s="880">
        <v>1</v>
      </c>
      <c r="H2218" s="826">
        <v>104280.77</v>
      </c>
      <c r="I2218" s="826">
        <v>10145.19</v>
      </c>
      <c r="J2218" s="826">
        <v>114425.96</v>
      </c>
      <c r="K2218" s="878">
        <v>114425.96</v>
      </c>
    </row>
    <row r="2219" spans="1:11" ht="22.5" customHeight="1" x14ac:dyDescent="0.25">
      <c r="A2219" s="816" t="s">
        <v>297</v>
      </c>
      <c r="B2219" s="880">
        <v>2025</v>
      </c>
      <c r="C2219" s="816" t="s">
        <v>1927</v>
      </c>
      <c r="D2219" s="816" t="s">
        <v>1928</v>
      </c>
      <c r="E2219" s="816" t="s">
        <v>3102</v>
      </c>
      <c r="F2219" s="826">
        <v>1558298.37</v>
      </c>
      <c r="G2219" s="880">
        <v>1</v>
      </c>
      <c r="H2219" s="826">
        <v>1412348.78</v>
      </c>
      <c r="I2219" s="826">
        <v>145949.59</v>
      </c>
      <c r="J2219" s="826">
        <v>1558298.37</v>
      </c>
      <c r="K2219" s="878">
        <v>1558298.37</v>
      </c>
    </row>
    <row r="2220" spans="1:11" ht="22.5" customHeight="1" x14ac:dyDescent="0.25">
      <c r="A2220" s="816" t="s">
        <v>297</v>
      </c>
      <c r="B2220" s="880">
        <v>2025</v>
      </c>
      <c r="C2220" s="816" t="s">
        <v>1930</v>
      </c>
      <c r="D2220" s="816" t="s">
        <v>156</v>
      </c>
      <c r="E2220" s="816" t="s">
        <v>3103</v>
      </c>
      <c r="F2220" s="826">
        <v>-488097.17</v>
      </c>
      <c r="G2220" s="880">
        <v>1</v>
      </c>
      <c r="H2220" s="826">
        <v>-530339.89</v>
      </c>
      <c r="I2220" s="826">
        <v>42242.720000000001</v>
      </c>
      <c r="J2220" s="826">
        <v>-488097.17</v>
      </c>
      <c r="K2220" s="878">
        <v>-488097.17</v>
      </c>
    </row>
    <row r="2221" spans="1:11" ht="22.5" customHeight="1" x14ac:dyDescent="0.25">
      <c r="A2221" s="816" t="s">
        <v>297</v>
      </c>
      <c r="B2221" s="880">
        <v>2025</v>
      </c>
      <c r="C2221" s="816" t="s">
        <v>1932</v>
      </c>
      <c r="D2221" s="816" t="s">
        <v>1933</v>
      </c>
      <c r="E2221" s="816" t="s">
        <v>3104</v>
      </c>
      <c r="F2221" s="826">
        <v>-10890.47</v>
      </c>
      <c r="G2221" s="880">
        <v>0</v>
      </c>
      <c r="H2221" s="465"/>
      <c r="I2221" s="465"/>
      <c r="J2221" s="826">
        <v>0</v>
      </c>
      <c r="K2221" s="878">
        <v>-10890.47</v>
      </c>
    </row>
    <row r="2222" spans="1:11" ht="22.5" customHeight="1" x14ac:dyDescent="0.25">
      <c r="A2222" s="816" t="s">
        <v>297</v>
      </c>
      <c r="B2222" s="880">
        <v>2025</v>
      </c>
      <c r="C2222" s="816" t="s">
        <v>1935</v>
      </c>
      <c r="D2222" s="816" t="s">
        <v>1936</v>
      </c>
      <c r="E2222" s="816" t="s">
        <v>8562</v>
      </c>
      <c r="F2222" s="826">
        <v>0</v>
      </c>
      <c r="G2222" s="880">
        <v>1</v>
      </c>
      <c r="H2222" s="465"/>
      <c r="I2222" s="465"/>
      <c r="J2222" s="826">
        <v>0</v>
      </c>
      <c r="K2222" s="878">
        <v>0</v>
      </c>
    </row>
    <row r="2223" spans="1:11" ht="22.5" customHeight="1" x14ac:dyDescent="0.25">
      <c r="A2223" s="816" t="s">
        <v>297</v>
      </c>
      <c r="B2223" s="880">
        <v>2025</v>
      </c>
      <c r="C2223" s="816" t="s">
        <v>1935</v>
      </c>
      <c r="D2223" s="816" t="s">
        <v>1937</v>
      </c>
      <c r="E2223" s="816" t="s">
        <v>8563</v>
      </c>
      <c r="F2223" s="826">
        <v>0</v>
      </c>
      <c r="G2223" s="880">
        <v>1</v>
      </c>
      <c r="H2223" s="465"/>
      <c r="I2223" s="465"/>
      <c r="J2223" s="826">
        <v>0</v>
      </c>
      <c r="K2223" s="878">
        <v>0</v>
      </c>
    </row>
    <row r="2224" spans="1:11" ht="22.5" customHeight="1" x14ac:dyDescent="0.25">
      <c r="A2224" s="816" t="s">
        <v>297</v>
      </c>
      <c r="B2224" s="880">
        <v>2025</v>
      </c>
      <c r="C2224" s="816" t="s">
        <v>1935</v>
      </c>
      <c r="D2224" s="816" t="s">
        <v>1938</v>
      </c>
      <c r="E2224" s="816" t="s">
        <v>8564</v>
      </c>
      <c r="F2224" s="826">
        <v>0</v>
      </c>
      <c r="G2224" s="880">
        <v>1</v>
      </c>
      <c r="H2224" s="465"/>
      <c r="I2224" s="465"/>
      <c r="J2224" s="826">
        <v>0</v>
      </c>
      <c r="K2224" s="878">
        <v>0</v>
      </c>
    </row>
    <row r="2225" spans="1:11" ht="22.5" customHeight="1" x14ac:dyDescent="0.25">
      <c r="A2225" s="816" t="s">
        <v>297</v>
      </c>
      <c r="B2225" s="880">
        <v>2025</v>
      </c>
      <c r="C2225" s="816" t="s">
        <v>1935</v>
      </c>
      <c r="D2225" s="816" t="s">
        <v>1939</v>
      </c>
      <c r="E2225" s="816" t="s">
        <v>8565</v>
      </c>
      <c r="F2225" s="826">
        <v>0</v>
      </c>
      <c r="G2225" s="880">
        <v>1</v>
      </c>
      <c r="H2225" s="465"/>
      <c r="I2225" s="465"/>
      <c r="J2225" s="826">
        <v>0</v>
      </c>
      <c r="K2225" s="878">
        <v>0</v>
      </c>
    </row>
    <row r="2226" spans="1:11" ht="22.5" customHeight="1" x14ac:dyDescent="0.25">
      <c r="A2226" s="816" t="s">
        <v>297</v>
      </c>
      <c r="B2226" s="880">
        <v>2025</v>
      </c>
      <c r="C2226" s="816" t="s">
        <v>1935</v>
      </c>
      <c r="D2226" s="816" t="s">
        <v>1940</v>
      </c>
      <c r="E2226" s="816" t="s">
        <v>8566</v>
      </c>
      <c r="F2226" s="826">
        <v>0</v>
      </c>
      <c r="G2226" s="880">
        <v>1</v>
      </c>
      <c r="H2226" s="465"/>
      <c r="I2226" s="465"/>
      <c r="J2226" s="826">
        <v>0</v>
      </c>
      <c r="K2226" s="878">
        <v>0</v>
      </c>
    </row>
    <row r="2227" spans="1:11" ht="22.5" customHeight="1" x14ac:dyDescent="0.25">
      <c r="A2227" s="816" t="s">
        <v>297</v>
      </c>
      <c r="B2227" s="880">
        <v>2025</v>
      </c>
      <c r="C2227" s="816" t="s">
        <v>1935</v>
      </c>
      <c r="D2227" s="816" t="s">
        <v>1941</v>
      </c>
      <c r="E2227" s="816" t="s">
        <v>8567</v>
      </c>
      <c r="F2227" s="826">
        <v>0</v>
      </c>
      <c r="G2227" s="880">
        <v>1</v>
      </c>
      <c r="H2227" s="465"/>
      <c r="I2227" s="465"/>
      <c r="J2227" s="826">
        <v>0</v>
      </c>
      <c r="K2227" s="878">
        <v>0</v>
      </c>
    </row>
    <row r="2228" spans="1:11" ht="22.5" customHeight="1" x14ac:dyDescent="0.25">
      <c r="A2228" s="816" t="s">
        <v>297</v>
      </c>
      <c r="B2228" s="880">
        <v>2025</v>
      </c>
      <c r="C2228" s="816" t="s">
        <v>1935</v>
      </c>
      <c r="D2228" s="816" t="s">
        <v>1942</v>
      </c>
      <c r="E2228" s="816" t="s">
        <v>8568</v>
      </c>
      <c r="F2228" s="826">
        <v>0</v>
      </c>
      <c r="G2228" s="880">
        <v>1</v>
      </c>
      <c r="H2228" s="465"/>
      <c r="I2228" s="465"/>
      <c r="J2228" s="826">
        <v>0</v>
      </c>
      <c r="K2228" s="878">
        <v>0</v>
      </c>
    </row>
    <row r="2229" spans="1:11" ht="22.5" customHeight="1" x14ac:dyDescent="0.25">
      <c r="A2229" s="816" t="s">
        <v>297</v>
      </c>
      <c r="B2229" s="880">
        <v>2025</v>
      </c>
      <c r="C2229" s="816" t="s">
        <v>1935</v>
      </c>
      <c r="D2229" s="816" t="s">
        <v>1943</v>
      </c>
      <c r="E2229" s="816" t="s">
        <v>8569</v>
      </c>
      <c r="F2229" s="826">
        <v>0</v>
      </c>
      <c r="G2229" s="880">
        <v>1</v>
      </c>
      <c r="H2229" s="465"/>
      <c r="I2229" s="465"/>
      <c r="J2229" s="826">
        <v>0</v>
      </c>
      <c r="K2229" s="878">
        <v>0</v>
      </c>
    </row>
    <row r="2230" spans="1:11" ht="22.5" customHeight="1" x14ac:dyDescent="0.25">
      <c r="A2230" s="816" t="s">
        <v>297</v>
      </c>
      <c r="B2230" s="880">
        <v>2025</v>
      </c>
      <c r="C2230" s="816" t="s">
        <v>1935</v>
      </c>
      <c r="D2230" s="816" t="s">
        <v>1944</v>
      </c>
      <c r="E2230" s="816" t="s">
        <v>8570</v>
      </c>
      <c r="F2230" s="826">
        <v>0</v>
      </c>
      <c r="G2230" s="880">
        <v>1</v>
      </c>
      <c r="H2230" s="465"/>
      <c r="I2230" s="465"/>
      <c r="J2230" s="826">
        <v>0</v>
      </c>
      <c r="K2230" s="878">
        <v>0</v>
      </c>
    </row>
    <row r="2231" spans="1:11" ht="22.5" customHeight="1" x14ac:dyDescent="0.25">
      <c r="A2231" s="816" t="s">
        <v>297</v>
      </c>
      <c r="B2231" s="880">
        <v>2025</v>
      </c>
      <c r="C2231" s="816" t="s">
        <v>1935</v>
      </c>
      <c r="D2231" s="816" t="s">
        <v>1945</v>
      </c>
      <c r="E2231" s="816" t="s">
        <v>8571</v>
      </c>
      <c r="F2231" s="826">
        <v>0</v>
      </c>
      <c r="G2231" s="880">
        <v>1</v>
      </c>
      <c r="H2231" s="465"/>
      <c r="I2231" s="465"/>
      <c r="J2231" s="826">
        <v>0</v>
      </c>
      <c r="K2231" s="878">
        <v>0</v>
      </c>
    </row>
    <row r="2232" spans="1:11" ht="22.5" customHeight="1" x14ac:dyDescent="0.25">
      <c r="A2232" s="816" t="s">
        <v>297</v>
      </c>
      <c r="B2232" s="880">
        <v>2025</v>
      </c>
      <c r="C2232" s="816" t="s">
        <v>1935</v>
      </c>
      <c r="D2232" s="816" t="s">
        <v>1946</v>
      </c>
      <c r="E2232" s="816" t="s">
        <v>8572</v>
      </c>
      <c r="F2232" s="826">
        <v>0</v>
      </c>
      <c r="G2232" s="880">
        <v>1</v>
      </c>
      <c r="H2232" s="465"/>
      <c r="I2232" s="465"/>
      <c r="J2232" s="826">
        <v>0</v>
      </c>
      <c r="K2232" s="878">
        <v>0</v>
      </c>
    </row>
    <row r="2233" spans="1:11" ht="22.5" customHeight="1" x14ac:dyDescent="0.25">
      <c r="A2233" s="816" t="s">
        <v>297</v>
      </c>
      <c r="B2233" s="880">
        <v>2025</v>
      </c>
      <c r="C2233" s="816" t="s">
        <v>1935</v>
      </c>
      <c r="D2233" s="816" t="s">
        <v>1947</v>
      </c>
      <c r="E2233" s="816" t="s">
        <v>8573</v>
      </c>
      <c r="F2233" s="826">
        <v>0</v>
      </c>
      <c r="G2233" s="880">
        <v>1</v>
      </c>
      <c r="H2233" s="465"/>
      <c r="I2233" s="465"/>
      <c r="J2233" s="826">
        <v>0</v>
      </c>
      <c r="K2233" s="878">
        <v>0</v>
      </c>
    </row>
    <row r="2234" spans="1:11" ht="22.5" customHeight="1" x14ac:dyDescent="0.25">
      <c r="A2234" s="816" t="s">
        <v>297</v>
      </c>
      <c r="B2234" s="880">
        <v>2025</v>
      </c>
      <c r="C2234" s="816" t="s">
        <v>1935</v>
      </c>
      <c r="D2234" s="816" t="s">
        <v>1948</v>
      </c>
      <c r="E2234" s="816" t="s">
        <v>8574</v>
      </c>
      <c r="F2234" s="826">
        <v>0</v>
      </c>
      <c r="G2234" s="880">
        <v>1</v>
      </c>
      <c r="H2234" s="465"/>
      <c r="I2234" s="465"/>
      <c r="J2234" s="826">
        <v>0</v>
      </c>
      <c r="K2234" s="878">
        <v>0</v>
      </c>
    </row>
    <row r="2235" spans="1:11" ht="22.5" customHeight="1" x14ac:dyDescent="0.25">
      <c r="A2235" s="816" t="s">
        <v>297</v>
      </c>
      <c r="B2235" s="880">
        <v>2025</v>
      </c>
      <c r="C2235" s="816" t="s">
        <v>1935</v>
      </c>
      <c r="D2235" s="816" t="s">
        <v>1949</v>
      </c>
      <c r="E2235" s="816" t="s">
        <v>8575</v>
      </c>
      <c r="F2235" s="826">
        <v>0</v>
      </c>
      <c r="G2235" s="880">
        <v>1</v>
      </c>
      <c r="H2235" s="826">
        <v>464.15</v>
      </c>
      <c r="I2235" s="826">
        <v>1405.19</v>
      </c>
      <c r="J2235" s="826">
        <v>1869.34</v>
      </c>
      <c r="K2235" s="878">
        <v>1869.34</v>
      </c>
    </row>
    <row r="2236" spans="1:11" ht="22.5" customHeight="1" x14ac:dyDescent="0.25">
      <c r="A2236" s="816" t="s">
        <v>297</v>
      </c>
      <c r="B2236" s="880">
        <v>2025</v>
      </c>
      <c r="C2236" s="816" t="s">
        <v>1935</v>
      </c>
      <c r="D2236" s="816" t="s">
        <v>1950</v>
      </c>
      <c r="E2236" s="816" t="s">
        <v>8576</v>
      </c>
      <c r="F2236" s="826">
        <v>0</v>
      </c>
      <c r="G2236" s="880">
        <v>1</v>
      </c>
      <c r="H2236" s="826">
        <v>-10744.2</v>
      </c>
      <c r="I2236" s="826">
        <v>-2725.36</v>
      </c>
      <c r="J2236" s="826">
        <v>-13469.56</v>
      </c>
      <c r="K2236" s="878">
        <v>-13469.56</v>
      </c>
    </row>
    <row r="2237" spans="1:11" ht="22.5" customHeight="1" x14ac:dyDescent="0.25">
      <c r="A2237" s="816" t="s">
        <v>297</v>
      </c>
      <c r="B2237" s="880">
        <v>2025</v>
      </c>
      <c r="C2237" s="816" t="s">
        <v>1935</v>
      </c>
      <c r="D2237" s="816" t="s">
        <v>1951</v>
      </c>
      <c r="E2237" s="816" t="s">
        <v>8577</v>
      </c>
      <c r="F2237" s="826">
        <v>0</v>
      </c>
      <c r="G2237" s="880">
        <v>1</v>
      </c>
      <c r="H2237" s="826">
        <v>-117383.1</v>
      </c>
      <c r="I2237" s="826">
        <v>22643.74</v>
      </c>
      <c r="J2237" s="826">
        <v>-94739.36</v>
      </c>
      <c r="K2237" s="878">
        <v>-94739.36</v>
      </c>
    </row>
    <row r="2238" spans="1:11" ht="22.5" customHeight="1" x14ac:dyDescent="0.25">
      <c r="A2238" s="816" t="s">
        <v>297</v>
      </c>
      <c r="B2238" s="880">
        <v>2025</v>
      </c>
      <c r="C2238" s="816" t="s">
        <v>1935</v>
      </c>
      <c r="D2238" s="816" t="s">
        <v>7801</v>
      </c>
      <c r="E2238" s="816" t="s">
        <v>8578</v>
      </c>
      <c r="F2238" s="826">
        <v>0</v>
      </c>
      <c r="G2238" s="880">
        <v>1</v>
      </c>
      <c r="H2238" s="826">
        <v>-2802988.58</v>
      </c>
      <c r="I2238" s="826">
        <v>-101570.74</v>
      </c>
      <c r="J2238" s="826">
        <v>-2904559.32</v>
      </c>
      <c r="K2238" s="878">
        <v>-2904559.32</v>
      </c>
    </row>
    <row r="2239" spans="1:11" ht="22.5" customHeight="1" x14ac:dyDescent="0.25">
      <c r="A2239" s="816" t="s">
        <v>297</v>
      </c>
      <c r="B2239" s="880">
        <v>2025</v>
      </c>
      <c r="C2239" s="816" t="s">
        <v>1935</v>
      </c>
      <c r="D2239" s="816" t="s">
        <v>1952</v>
      </c>
      <c r="E2239" s="816" t="s">
        <v>8579</v>
      </c>
      <c r="F2239" s="826">
        <v>-3010898.9</v>
      </c>
      <c r="G2239" s="880">
        <v>0</v>
      </c>
      <c r="H2239" s="465"/>
      <c r="I2239" s="465"/>
      <c r="J2239" s="826">
        <v>0</v>
      </c>
      <c r="K2239" s="878">
        <v>-3010898.9</v>
      </c>
    </row>
    <row r="2240" spans="1:11" ht="22.5" customHeight="1" x14ac:dyDescent="0.25">
      <c r="A2240" s="816" t="s">
        <v>297</v>
      </c>
      <c r="B2240" s="880">
        <v>2025</v>
      </c>
      <c r="C2240" s="816" t="s">
        <v>1953</v>
      </c>
      <c r="D2240" s="816" t="s">
        <v>1954</v>
      </c>
      <c r="E2240" s="816" t="s">
        <v>3105</v>
      </c>
      <c r="F2240" s="826">
        <v>0</v>
      </c>
      <c r="G2240" s="880">
        <v>0</v>
      </c>
      <c r="H2240" s="465"/>
      <c r="I2240" s="465"/>
      <c r="J2240" s="826">
        <v>0</v>
      </c>
      <c r="K2240" s="878">
        <v>0</v>
      </c>
    </row>
    <row r="2241" spans="1:11" ht="22.5" customHeight="1" x14ac:dyDescent="0.25">
      <c r="A2241" s="816" t="s">
        <v>299</v>
      </c>
      <c r="B2241" s="880">
        <v>2025</v>
      </c>
      <c r="C2241" s="816" t="s">
        <v>1854</v>
      </c>
      <c r="D2241" s="816" t="s">
        <v>1855</v>
      </c>
      <c r="E2241" s="816" t="s">
        <v>3106</v>
      </c>
      <c r="F2241" s="826">
        <v>86610.72</v>
      </c>
      <c r="G2241" s="880">
        <v>0</v>
      </c>
      <c r="H2241" s="465"/>
      <c r="I2241" s="465"/>
      <c r="J2241" s="826">
        <v>0</v>
      </c>
      <c r="K2241" s="878">
        <v>86610.72</v>
      </c>
    </row>
    <row r="2242" spans="1:11" ht="22.5" customHeight="1" x14ac:dyDescent="0.25">
      <c r="A2242" s="816" t="s">
        <v>299</v>
      </c>
      <c r="B2242" s="880">
        <v>2025</v>
      </c>
      <c r="C2242" s="816" t="s">
        <v>7746</v>
      </c>
      <c r="D2242" s="816" t="s">
        <v>7747</v>
      </c>
      <c r="E2242" s="816" t="s">
        <v>7790</v>
      </c>
      <c r="F2242" s="826">
        <v>0</v>
      </c>
      <c r="G2242" s="880">
        <v>0</v>
      </c>
      <c r="H2242" s="465"/>
      <c r="I2242" s="465"/>
      <c r="J2242" s="826">
        <v>0</v>
      </c>
      <c r="K2242" s="878">
        <v>0</v>
      </c>
    </row>
    <row r="2243" spans="1:11" ht="22.5" customHeight="1" x14ac:dyDescent="0.25">
      <c r="A2243" s="816" t="s">
        <v>299</v>
      </c>
      <c r="B2243" s="880">
        <v>2025</v>
      </c>
      <c r="C2243" s="816" t="s">
        <v>1857</v>
      </c>
      <c r="D2243" s="816" t="s">
        <v>1858</v>
      </c>
      <c r="E2243" s="816" t="s">
        <v>3107</v>
      </c>
      <c r="F2243" s="826">
        <v>0</v>
      </c>
      <c r="G2243" s="880">
        <v>0</v>
      </c>
      <c r="H2243" s="465"/>
      <c r="I2243" s="465"/>
      <c r="J2243" s="826">
        <v>0</v>
      </c>
      <c r="K2243" s="878">
        <v>0</v>
      </c>
    </row>
    <row r="2244" spans="1:11" ht="22.5" customHeight="1" x14ac:dyDescent="0.25">
      <c r="A2244" s="816" t="s">
        <v>299</v>
      </c>
      <c r="B2244" s="880">
        <v>2025</v>
      </c>
      <c r="C2244" s="816" t="s">
        <v>1860</v>
      </c>
      <c r="D2244" s="816" t="s">
        <v>1861</v>
      </c>
      <c r="E2244" s="816" t="s">
        <v>3108</v>
      </c>
      <c r="F2244" s="826">
        <v>0</v>
      </c>
      <c r="G2244" s="880">
        <v>0</v>
      </c>
      <c r="H2244" s="465"/>
      <c r="I2244" s="465"/>
      <c r="J2244" s="826">
        <v>0</v>
      </c>
      <c r="K2244" s="878">
        <v>0</v>
      </c>
    </row>
    <row r="2245" spans="1:11" ht="22.5" customHeight="1" x14ac:dyDescent="0.25">
      <c r="A2245" s="816" t="s">
        <v>299</v>
      </c>
      <c r="B2245" s="880">
        <v>2025</v>
      </c>
      <c r="C2245" s="816" t="s">
        <v>1863</v>
      </c>
      <c r="D2245" s="816" t="s">
        <v>1864</v>
      </c>
      <c r="E2245" s="816" t="s">
        <v>3109</v>
      </c>
      <c r="F2245" s="826">
        <v>0</v>
      </c>
      <c r="G2245" s="880">
        <v>0</v>
      </c>
      <c r="H2245" s="465"/>
      <c r="I2245" s="465"/>
      <c r="J2245" s="826">
        <v>0</v>
      </c>
      <c r="K2245" s="878">
        <v>0</v>
      </c>
    </row>
    <row r="2246" spans="1:11" ht="22.5" customHeight="1" x14ac:dyDescent="0.25">
      <c r="A2246" s="816" t="s">
        <v>299</v>
      </c>
      <c r="B2246" s="880">
        <v>2025</v>
      </c>
      <c r="C2246" s="816" t="s">
        <v>1866</v>
      </c>
      <c r="D2246" s="816" t="s">
        <v>1867</v>
      </c>
      <c r="E2246" s="816" t="s">
        <v>3110</v>
      </c>
      <c r="F2246" s="826">
        <v>0</v>
      </c>
      <c r="G2246" s="880">
        <v>0</v>
      </c>
      <c r="H2246" s="465"/>
      <c r="I2246" s="465"/>
      <c r="J2246" s="826">
        <v>0</v>
      </c>
      <c r="K2246" s="878">
        <v>0</v>
      </c>
    </row>
    <row r="2247" spans="1:11" ht="22.5" customHeight="1" x14ac:dyDescent="0.25">
      <c r="A2247" s="816" t="s">
        <v>299</v>
      </c>
      <c r="B2247" s="880">
        <v>2025</v>
      </c>
      <c r="C2247" s="816" t="s">
        <v>1869</v>
      </c>
      <c r="D2247" s="816" t="s">
        <v>1870</v>
      </c>
      <c r="E2247" s="816" t="s">
        <v>3111</v>
      </c>
      <c r="F2247" s="826">
        <v>0</v>
      </c>
      <c r="G2247" s="880">
        <v>0</v>
      </c>
      <c r="H2247" s="465"/>
      <c r="I2247" s="465"/>
      <c r="J2247" s="826">
        <v>0</v>
      </c>
      <c r="K2247" s="878">
        <v>0</v>
      </c>
    </row>
    <row r="2248" spans="1:11" ht="22.5" customHeight="1" x14ac:dyDescent="0.25">
      <c r="A2248" s="816" t="s">
        <v>299</v>
      </c>
      <c r="B2248" s="880">
        <v>2025</v>
      </c>
      <c r="C2248" s="816" t="s">
        <v>1872</v>
      </c>
      <c r="D2248" s="816" t="s">
        <v>1873</v>
      </c>
      <c r="E2248" s="816" t="s">
        <v>3112</v>
      </c>
      <c r="F2248" s="826">
        <v>0</v>
      </c>
      <c r="G2248" s="880">
        <v>0</v>
      </c>
      <c r="H2248" s="465"/>
      <c r="I2248" s="465"/>
      <c r="J2248" s="826">
        <v>0</v>
      </c>
      <c r="K2248" s="878">
        <v>0</v>
      </c>
    </row>
    <row r="2249" spans="1:11" ht="22.5" customHeight="1" x14ac:dyDescent="0.25">
      <c r="A2249" s="816" t="s">
        <v>299</v>
      </c>
      <c r="B2249" s="880">
        <v>2025</v>
      </c>
      <c r="C2249" s="816" t="s">
        <v>1875</v>
      </c>
      <c r="D2249" s="816" t="s">
        <v>1876</v>
      </c>
      <c r="E2249" s="816" t="s">
        <v>3113</v>
      </c>
      <c r="F2249" s="826">
        <v>0</v>
      </c>
      <c r="G2249" s="880">
        <v>0</v>
      </c>
      <c r="H2249" s="465"/>
      <c r="I2249" s="465"/>
      <c r="J2249" s="826">
        <v>0</v>
      </c>
      <c r="K2249" s="878">
        <v>0</v>
      </c>
    </row>
    <row r="2250" spans="1:11" ht="22.5" customHeight="1" x14ac:dyDescent="0.25">
      <c r="A2250" s="816" t="s">
        <v>299</v>
      </c>
      <c r="B2250" s="880">
        <v>2025</v>
      </c>
      <c r="C2250" s="816" t="s">
        <v>1878</v>
      </c>
      <c r="D2250" s="816" t="s">
        <v>1879</v>
      </c>
      <c r="E2250" s="816" t="s">
        <v>3114</v>
      </c>
      <c r="F2250" s="826">
        <v>0</v>
      </c>
      <c r="G2250" s="880">
        <v>0</v>
      </c>
      <c r="H2250" s="465"/>
      <c r="I2250" s="465"/>
      <c r="J2250" s="826">
        <v>0</v>
      </c>
      <c r="K2250" s="878">
        <v>0</v>
      </c>
    </row>
    <row r="2251" spans="1:11" ht="22.5" customHeight="1" x14ac:dyDescent="0.25">
      <c r="A2251" s="816" t="s">
        <v>299</v>
      </c>
      <c r="B2251" s="880">
        <v>2025</v>
      </c>
      <c r="C2251" s="816" t="s">
        <v>1881</v>
      </c>
      <c r="D2251" s="816" t="s">
        <v>1882</v>
      </c>
      <c r="E2251" s="816" t="s">
        <v>3115</v>
      </c>
      <c r="F2251" s="826">
        <v>0</v>
      </c>
      <c r="G2251" s="880">
        <v>0</v>
      </c>
      <c r="H2251" s="465"/>
      <c r="I2251" s="465"/>
      <c r="J2251" s="826">
        <v>0</v>
      </c>
      <c r="K2251" s="878">
        <v>0</v>
      </c>
    </row>
    <row r="2252" spans="1:11" ht="22.5" customHeight="1" x14ac:dyDescent="0.25">
      <c r="A2252" s="816" t="s">
        <v>299</v>
      </c>
      <c r="B2252" s="880">
        <v>2025</v>
      </c>
      <c r="C2252" s="816" t="s">
        <v>1884</v>
      </c>
      <c r="D2252" s="816" t="s">
        <v>1885</v>
      </c>
      <c r="E2252" s="816" t="s">
        <v>3116</v>
      </c>
      <c r="F2252" s="826">
        <v>0</v>
      </c>
      <c r="G2252" s="880">
        <v>0</v>
      </c>
      <c r="H2252" s="465"/>
      <c r="I2252" s="465"/>
      <c r="J2252" s="826">
        <v>0</v>
      </c>
      <c r="K2252" s="878">
        <v>0</v>
      </c>
    </row>
    <row r="2253" spans="1:11" ht="22.5" customHeight="1" x14ac:dyDescent="0.25">
      <c r="A2253" s="816" t="s">
        <v>299</v>
      </c>
      <c r="B2253" s="880">
        <v>2025</v>
      </c>
      <c r="C2253" s="816" t="s">
        <v>1887</v>
      </c>
      <c r="D2253" s="816" t="s">
        <v>138</v>
      </c>
      <c r="E2253" s="816" t="s">
        <v>3117</v>
      </c>
      <c r="F2253" s="826">
        <v>0</v>
      </c>
      <c r="G2253" s="880">
        <v>1</v>
      </c>
      <c r="H2253" s="465"/>
      <c r="I2253" s="465"/>
      <c r="J2253" s="826">
        <v>0</v>
      </c>
      <c r="K2253" s="878">
        <v>0</v>
      </c>
    </row>
    <row r="2254" spans="1:11" ht="22.5" customHeight="1" x14ac:dyDescent="0.25">
      <c r="A2254" s="816" t="s">
        <v>299</v>
      </c>
      <c r="B2254" s="880">
        <v>2025</v>
      </c>
      <c r="C2254" s="816" t="s">
        <v>1889</v>
      </c>
      <c r="D2254" s="816" t="s">
        <v>139</v>
      </c>
      <c r="E2254" s="816" t="s">
        <v>3118</v>
      </c>
      <c r="F2254" s="826">
        <v>-98220.38</v>
      </c>
      <c r="G2254" s="880">
        <v>1</v>
      </c>
      <c r="H2254" s="826">
        <v>-92242.12</v>
      </c>
      <c r="I2254" s="826">
        <v>-5978.26</v>
      </c>
      <c r="J2254" s="826">
        <v>-98220.38</v>
      </c>
      <c r="K2254" s="878">
        <v>-98220.38</v>
      </c>
    </row>
    <row r="2255" spans="1:11" ht="22.5" customHeight="1" x14ac:dyDescent="0.25">
      <c r="A2255" s="816" t="s">
        <v>299</v>
      </c>
      <c r="B2255" s="880">
        <v>2025</v>
      </c>
      <c r="C2255" s="816" t="s">
        <v>1891</v>
      </c>
      <c r="D2255" s="816" t="s">
        <v>1892</v>
      </c>
      <c r="E2255" s="816" t="s">
        <v>3119</v>
      </c>
      <c r="F2255" s="826">
        <v>0</v>
      </c>
      <c r="G2255" s="880">
        <v>0</v>
      </c>
      <c r="H2255" s="465"/>
      <c r="I2255" s="465"/>
      <c r="J2255" s="826">
        <v>0</v>
      </c>
      <c r="K2255" s="878">
        <v>0</v>
      </c>
    </row>
    <row r="2256" spans="1:11" ht="22.5" customHeight="1" x14ac:dyDescent="0.25">
      <c r="A2256" s="816" t="s">
        <v>299</v>
      </c>
      <c r="B2256" s="880">
        <v>2025</v>
      </c>
      <c r="C2256" s="816" t="s">
        <v>1891</v>
      </c>
      <c r="D2256" s="816" t="s">
        <v>1894</v>
      </c>
      <c r="E2256" s="816" t="s">
        <v>3119</v>
      </c>
      <c r="F2256" s="826">
        <v>0</v>
      </c>
      <c r="G2256" s="880">
        <v>0</v>
      </c>
      <c r="H2256" s="465"/>
      <c r="I2256" s="465"/>
      <c r="J2256" s="826">
        <v>0</v>
      </c>
      <c r="K2256" s="881">
        <v>0</v>
      </c>
    </row>
    <row r="2257" spans="1:11" ht="22.5" customHeight="1" x14ac:dyDescent="0.25">
      <c r="A2257" s="816" t="s">
        <v>299</v>
      </c>
      <c r="B2257" s="880">
        <v>2025</v>
      </c>
      <c r="C2257" s="816" t="s">
        <v>1895</v>
      </c>
      <c r="D2257" s="816" t="s">
        <v>1896</v>
      </c>
      <c r="E2257" s="816" t="s">
        <v>3120</v>
      </c>
      <c r="F2257" s="826">
        <v>0</v>
      </c>
      <c r="G2257" s="880">
        <v>0</v>
      </c>
      <c r="H2257" s="465"/>
      <c r="I2257" s="465"/>
      <c r="J2257" s="826">
        <v>0</v>
      </c>
      <c r="K2257" s="878">
        <v>0</v>
      </c>
    </row>
    <row r="2258" spans="1:11" ht="22.5" customHeight="1" x14ac:dyDescent="0.25">
      <c r="A2258" s="816" t="s">
        <v>299</v>
      </c>
      <c r="B2258" s="880">
        <v>2025</v>
      </c>
      <c r="C2258" s="816" t="s">
        <v>1898</v>
      </c>
      <c r="D2258" s="816" t="s">
        <v>1899</v>
      </c>
      <c r="E2258" s="816" t="s">
        <v>3121</v>
      </c>
      <c r="F2258" s="826">
        <v>0</v>
      </c>
      <c r="G2258" s="880">
        <v>0</v>
      </c>
      <c r="H2258" s="465"/>
      <c r="I2258" s="465"/>
      <c r="J2258" s="826">
        <v>0</v>
      </c>
      <c r="K2258" s="878">
        <v>0</v>
      </c>
    </row>
    <row r="2259" spans="1:11" ht="22.5" customHeight="1" x14ac:dyDescent="0.25">
      <c r="A2259" s="816" t="s">
        <v>299</v>
      </c>
      <c r="B2259" s="880">
        <v>2025</v>
      </c>
      <c r="C2259" s="816" t="s">
        <v>1901</v>
      </c>
      <c r="D2259" s="816" t="s">
        <v>1902</v>
      </c>
      <c r="E2259" s="816" t="s">
        <v>3122</v>
      </c>
      <c r="F2259" s="826">
        <v>0</v>
      </c>
      <c r="G2259" s="880">
        <v>0</v>
      </c>
      <c r="H2259" s="465"/>
      <c r="I2259" s="465"/>
      <c r="J2259" s="826">
        <v>0</v>
      </c>
      <c r="K2259" s="878">
        <v>0</v>
      </c>
    </row>
    <row r="2260" spans="1:11" ht="22.5" customHeight="1" x14ac:dyDescent="0.25">
      <c r="A2260" s="816" t="s">
        <v>299</v>
      </c>
      <c r="B2260" s="880">
        <v>2025</v>
      </c>
      <c r="C2260" s="816" t="s">
        <v>1904</v>
      </c>
      <c r="D2260" s="816" t="s">
        <v>1905</v>
      </c>
      <c r="E2260" s="816" t="s">
        <v>3123</v>
      </c>
      <c r="F2260" s="826">
        <v>0</v>
      </c>
      <c r="G2260" s="880">
        <v>0</v>
      </c>
      <c r="H2260" s="465"/>
      <c r="I2260" s="465"/>
      <c r="J2260" s="826">
        <v>0</v>
      </c>
      <c r="K2260" s="878">
        <v>0</v>
      </c>
    </row>
    <row r="2261" spans="1:11" ht="22.5" customHeight="1" x14ac:dyDescent="0.25">
      <c r="A2261" s="816" t="s">
        <v>299</v>
      </c>
      <c r="B2261" s="880">
        <v>2025</v>
      </c>
      <c r="C2261" s="816" t="s">
        <v>1907</v>
      </c>
      <c r="D2261" s="816" t="s">
        <v>1908</v>
      </c>
      <c r="E2261" s="816" t="s">
        <v>3124</v>
      </c>
      <c r="F2261" s="826">
        <v>0</v>
      </c>
      <c r="G2261" s="880">
        <v>0</v>
      </c>
      <c r="H2261" s="465"/>
      <c r="I2261" s="465"/>
      <c r="J2261" s="826">
        <v>0</v>
      </c>
      <c r="K2261" s="878">
        <v>0</v>
      </c>
    </row>
    <row r="2262" spans="1:11" ht="22.5" customHeight="1" x14ac:dyDescent="0.25">
      <c r="A2262" s="816" t="s">
        <v>299</v>
      </c>
      <c r="B2262" s="880">
        <v>2025</v>
      </c>
      <c r="C2262" s="816" t="s">
        <v>1910</v>
      </c>
      <c r="D2262" s="816" t="s">
        <v>1911</v>
      </c>
      <c r="E2262" s="816" t="s">
        <v>3125</v>
      </c>
      <c r="F2262" s="826">
        <v>0</v>
      </c>
      <c r="G2262" s="880">
        <v>0</v>
      </c>
      <c r="H2262" s="465"/>
      <c r="I2262" s="465"/>
      <c r="J2262" s="826">
        <v>0</v>
      </c>
      <c r="K2262" s="878">
        <v>0</v>
      </c>
    </row>
    <row r="2263" spans="1:11" ht="22.5" customHeight="1" x14ac:dyDescent="0.25">
      <c r="A2263" s="816" t="s">
        <v>299</v>
      </c>
      <c r="B2263" s="880">
        <v>2025</v>
      </c>
      <c r="C2263" s="816" t="s">
        <v>1913</v>
      </c>
      <c r="D2263" s="816" t="s">
        <v>1914</v>
      </c>
      <c r="E2263" s="816" t="s">
        <v>3126</v>
      </c>
      <c r="F2263" s="826">
        <v>-609168.04</v>
      </c>
      <c r="G2263" s="880">
        <v>1</v>
      </c>
      <c r="H2263" s="826">
        <v>-544806.36</v>
      </c>
      <c r="I2263" s="826">
        <v>-64361.68</v>
      </c>
      <c r="J2263" s="826">
        <v>-609168.04</v>
      </c>
      <c r="K2263" s="878">
        <v>-609168.04</v>
      </c>
    </row>
    <row r="2264" spans="1:11" ht="22.5" customHeight="1" x14ac:dyDescent="0.25">
      <c r="A2264" s="816" t="s">
        <v>299</v>
      </c>
      <c r="B2264" s="880">
        <v>2025</v>
      </c>
      <c r="C2264" s="816" t="s">
        <v>1913</v>
      </c>
      <c r="D2264" s="816" t="s">
        <v>1916</v>
      </c>
      <c r="E2264" s="816" t="s">
        <v>3126</v>
      </c>
      <c r="F2264" s="826">
        <v>0</v>
      </c>
      <c r="G2264" s="880">
        <v>0</v>
      </c>
      <c r="H2264" s="465"/>
      <c r="I2264" s="465"/>
      <c r="J2264" s="826">
        <v>0</v>
      </c>
      <c r="K2264" s="881">
        <v>0</v>
      </c>
    </row>
    <row r="2265" spans="1:11" ht="22.5" customHeight="1" x14ac:dyDescent="0.25">
      <c r="A2265" s="816" t="s">
        <v>299</v>
      </c>
      <c r="B2265" s="880">
        <v>2025</v>
      </c>
      <c r="C2265" s="816" t="s">
        <v>1913</v>
      </c>
      <c r="D2265" s="816" t="s">
        <v>1917</v>
      </c>
      <c r="E2265" s="816" t="s">
        <v>3126</v>
      </c>
      <c r="F2265" s="826">
        <v>0</v>
      </c>
      <c r="G2265" s="880">
        <v>0</v>
      </c>
      <c r="H2265" s="465"/>
      <c r="I2265" s="465"/>
      <c r="J2265" s="826">
        <v>0</v>
      </c>
      <c r="K2265" s="881">
        <v>0</v>
      </c>
    </row>
    <row r="2266" spans="1:11" ht="22.5" customHeight="1" x14ac:dyDescent="0.25">
      <c r="A2266" s="816" t="s">
        <v>299</v>
      </c>
      <c r="B2266" s="880">
        <v>2025</v>
      </c>
      <c r="C2266" s="816" t="s">
        <v>1913</v>
      </c>
      <c r="D2266" s="816" t="s">
        <v>1918</v>
      </c>
      <c r="E2266" s="816" t="s">
        <v>3126</v>
      </c>
      <c r="F2266" s="826">
        <v>0</v>
      </c>
      <c r="G2266" s="880">
        <v>0</v>
      </c>
      <c r="H2266" s="465"/>
      <c r="I2266" s="465"/>
      <c r="J2266" s="826">
        <v>0</v>
      </c>
      <c r="K2266" s="881">
        <v>-17838.61</v>
      </c>
    </row>
    <row r="2267" spans="1:11" ht="22.5" customHeight="1" x14ac:dyDescent="0.25">
      <c r="A2267" s="816" t="s">
        <v>299</v>
      </c>
      <c r="B2267" s="880">
        <v>2025</v>
      </c>
      <c r="C2267" s="816" t="s">
        <v>1913</v>
      </c>
      <c r="D2267" s="816" t="s">
        <v>1919</v>
      </c>
      <c r="E2267" s="816" t="s">
        <v>3126</v>
      </c>
      <c r="F2267" s="826">
        <v>0</v>
      </c>
      <c r="G2267" s="880">
        <v>0</v>
      </c>
      <c r="H2267" s="465"/>
      <c r="I2267" s="465"/>
      <c r="J2267" s="826">
        <v>0</v>
      </c>
      <c r="K2267" s="881">
        <v>298406.3</v>
      </c>
    </row>
    <row r="2268" spans="1:11" ht="22.5" customHeight="1" x14ac:dyDescent="0.25">
      <c r="A2268" s="816" t="s">
        <v>299</v>
      </c>
      <c r="B2268" s="880">
        <v>2025</v>
      </c>
      <c r="C2268" s="816" t="s">
        <v>1920</v>
      </c>
      <c r="D2268" s="816" t="s">
        <v>1921</v>
      </c>
      <c r="E2268" s="816" t="s">
        <v>3127</v>
      </c>
      <c r="F2268" s="826">
        <v>0</v>
      </c>
      <c r="G2268" s="880">
        <v>0</v>
      </c>
      <c r="H2268" s="465"/>
      <c r="I2268" s="465"/>
      <c r="J2268" s="826">
        <v>0</v>
      </c>
      <c r="K2268" s="878">
        <v>0</v>
      </c>
    </row>
    <row r="2269" spans="1:11" ht="22.5" customHeight="1" x14ac:dyDescent="0.25">
      <c r="A2269" s="816" t="s">
        <v>299</v>
      </c>
      <c r="B2269" s="880">
        <v>2025</v>
      </c>
      <c r="C2269" s="816" t="s">
        <v>1923</v>
      </c>
      <c r="D2269" s="816" t="s">
        <v>143</v>
      </c>
      <c r="E2269" s="816" t="s">
        <v>3128</v>
      </c>
      <c r="F2269" s="826">
        <v>384602.24</v>
      </c>
      <c r="G2269" s="880">
        <v>1</v>
      </c>
      <c r="H2269" s="826">
        <v>353129.05</v>
      </c>
      <c r="I2269" s="826">
        <v>31473.19</v>
      </c>
      <c r="J2269" s="826">
        <v>384602.24</v>
      </c>
      <c r="K2269" s="878">
        <v>384602.24</v>
      </c>
    </row>
    <row r="2270" spans="1:11" ht="22.5" customHeight="1" x14ac:dyDescent="0.25">
      <c r="A2270" s="816" t="s">
        <v>299</v>
      </c>
      <c r="B2270" s="880">
        <v>2025</v>
      </c>
      <c r="C2270" s="816" t="s">
        <v>1925</v>
      </c>
      <c r="D2270" s="816" t="s">
        <v>144</v>
      </c>
      <c r="E2270" s="816" t="s">
        <v>3129</v>
      </c>
      <c r="F2270" s="826">
        <v>0</v>
      </c>
      <c r="G2270" s="880">
        <v>1</v>
      </c>
      <c r="H2270" s="465"/>
      <c r="I2270" s="465"/>
      <c r="J2270" s="826">
        <v>0</v>
      </c>
      <c r="K2270" s="878">
        <v>0</v>
      </c>
    </row>
    <row r="2271" spans="1:11" ht="22.5" customHeight="1" x14ac:dyDescent="0.25">
      <c r="A2271" s="816" t="s">
        <v>299</v>
      </c>
      <c r="B2271" s="880">
        <v>2025</v>
      </c>
      <c r="C2271" s="816" t="s">
        <v>1927</v>
      </c>
      <c r="D2271" s="816" t="s">
        <v>1928</v>
      </c>
      <c r="E2271" s="816" t="s">
        <v>3130</v>
      </c>
      <c r="F2271" s="826">
        <v>61905.78</v>
      </c>
      <c r="G2271" s="880">
        <v>1</v>
      </c>
      <c r="H2271" s="826">
        <v>22374.51</v>
      </c>
      <c r="I2271" s="826">
        <v>39531.269999999997</v>
      </c>
      <c r="J2271" s="826">
        <v>61905.78</v>
      </c>
      <c r="K2271" s="878">
        <v>61905.78</v>
      </c>
    </row>
    <row r="2272" spans="1:11" ht="22.5" customHeight="1" x14ac:dyDescent="0.25">
      <c r="A2272" s="816" t="s">
        <v>299</v>
      </c>
      <c r="B2272" s="880">
        <v>2025</v>
      </c>
      <c r="C2272" s="816" t="s">
        <v>1930</v>
      </c>
      <c r="D2272" s="816" t="s">
        <v>156</v>
      </c>
      <c r="E2272" s="816" t="s">
        <v>3131</v>
      </c>
      <c r="F2272" s="826">
        <v>1186720.44</v>
      </c>
      <c r="G2272" s="880">
        <v>1</v>
      </c>
      <c r="H2272" s="826">
        <v>1083938.68</v>
      </c>
      <c r="I2272" s="826">
        <v>102781.75999999999</v>
      </c>
      <c r="J2272" s="826">
        <v>1186720.44</v>
      </c>
      <c r="K2272" s="878">
        <v>1186720.44</v>
      </c>
    </row>
    <row r="2273" spans="1:11" ht="22.5" customHeight="1" x14ac:dyDescent="0.25">
      <c r="A2273" s="816" t="s">
        <v>299</v>
      </c>
      <c r="B2273" s="880">
        <v>2025</v>
      </c>
      <c r="C2273" s="816" t="s">
        <v>1932</v>
      </c>
      <c r="D2273" s="816" t="s">
        <v>1933</v>
      </c>
      <c r="E2273" s="816" t="s">
        <v>3132</v>
      </c>
      <c r="F2273" s="826">
        <v>0</v>
      </c>
      <c r="G2273" s="880">
        <v>0</v>
      </c>
      <c r="H2273" s="465"/>
      <c r="I2273" s="465"/>
      <c r="J2273" s="826">
        <v>0</v>
      </c>
      <c r="K2273" s="878">
        <v>0</v>
      </c>
    </row>
    <row r="2274" spans="1:11" ht="22.5" customHeight="1" x14ac:dyDescent="0.25">
      <c r="A2274" s="816" t="s">
        <v>299</v>
      </c>
      <c r="B2274" s="880">
        <v>2025</v>
      </c>
      <c r="C2274" s="816" t="s">
        <v>1935</v>
      </c>
      <c r="D2274" s="816" t="s">
        <v>1936</v>
      </c>
      <c r="E2274" s="816" t="s">
        <v>8580</v>
      </c>
      <c r="F2274" s="826">
        <v>0</v>
      </c>
      <c r="G2274" s="880">
        <v>1</v>
      </c>
      <c r="H2274" s="465"/>
      <c r="I2274" s="465"/>
      <c r="J2274" s="826">
        <v>0</v>
      </c>
      <c r="K2274" s="878">
        <v>0</v>
      </c>
    </row>
    <row r="2275" spans="1:11" ht="22.5" customHeight="1" x14ac:dyDescent="0.25">
      <c r="A2275" s="816" t="s">
        <v>299</v>
      </c>
      <c r="B2275" s="880">
        <v>2025</v>
      </c>
      <c r="C2275" s="816" t="s">
        <v>1935</v>
      </c>
      <c r="D2275" s="816" t="s">
        <v>1937</v>
      </c>
      <c r="E2275" s="816" t="s">
        <v>8581</v>
      </c>
      <c r="F2275" s="826">
        <v>0</v>
      </c>
      <c r="G2275" s="880">
        <v>1</v>
      </c>
      <c r="H2275" s="465"/>
      <c r="I2275" s="465"/>
      <c r="J2275" s="826">
        <v>0</v>
      </c>
      <c r="K2275" s="878">
        <v>0</v>
      </c>
    </row>
    <row r="2276" spans="1:11" ht="22.5" customHeight="1" x14ac:dyDescent="0.25">
      <c r="A2276" s="816" t="s">
        <v>299</v>
      </c>
      <c r="B2276" s="880">
        <v>2025</v>
      </c>
      <c r="C2276" s="816" t="s">
        <v>1935</v>
      </c>
      <c r="D2276" s="816" t="s">
        <v>1938</v>
      </c>
      <c r="E2276" s="816" t="s">
        <v>8582</v>
      </c>
      <c r="F2276" s="826">
        <v>0</v>
      </c>
      <c r="G2276" s="880">
        <v>1</v>
      </c>
      <c r="H2276" s="465"/>
      <c r="I2276" s="465"/>
      <c r="J2276" s="826">
        <v>0</v>
      </c>
      <c r="K2276" s="878">
        <v>0</v>
      </c>
    </row>
    <row r="2277" spans="1:11" ht="22.5" customHeight="1" x14ac:dyDescent="0.25">
      <c r="A2277" s="816" t="s">
        <v>299</v>
      </c>
      <c r="B2277" s="880">
        <v>2025</v>
      </c>
      <c r="C2277" s="816" t="s">
        <v>1935</v>
      </c>
      <c r="D2277" s="816" t="s">
        <v>1939</v>
      </c>
      <c r="E2277" s="816" t="s">
        <v>8583</v>
      </c>
      <c r="F2277" s="826">
        <v>0</v>
      </c>
      <c r="G2277" s="880">
        <v>1</v>
      </c>
      <c r="H2277" s="465"/>
      <c r="I2277" s="465"/>
      <c r="J2277" s="826">
        <v>0</v>
      </c>
      <c r="K2277" s="878">
        <v>0</v>
      </c>
    </row>
    <row r="2278" spans="1:11" ht="22.5" customHeight="1" x14ac:dyDescent="0.25">
      <c r="A2278" s="816" t="s">
        <v>299</v>
      </c>
      <c r="B2278" s="880">
        <v>2025</v>
      </c>
      <c r="C2278" s="816" t="s">
        <v>1935</v>
      </c>
      <c r="D2278" s="816" t="s">
        <v>1940</v>
      </c>
      <c r="E2278" s="816" t="s">
        <v>8584</v>
      </c>
      <c r="F2278" s="826">
        <v>0</v>
      </c>
      <c r="G2278" s="880">
        <v>1</v>
      </c>
      <c r="H2278" s="465"/>
      <c r="I2278" s="465"/>
      <c r="J2278" s="826">
        <v>0</v>
      </c>
      <c r="K2278" s="878">
        <v>0</v>
      </c>
    </row>
    <row r="2279" spans="1:11" ht="22.5" customHeight="1" x14ac:dyDescent="0.25">
      <c r="A2279" s="816" t="s">
        <v>299</v>
      </c>
      <c r="B2279" s="880">
        <v>2025</v>
      </c>
      <c r="C2279" s="816" t="s">
        <v>1935</v>
      </c>
      <c r="D2279" s="816" t="s">
        <v>1941</v>
      </c>
      <c r="E2279" s="816" t="s">
        <v>8585</v>
      </c>
      <c r="F2279" s="826">
        <v>0</v>
      </c>
      <c r="G2279" s="880">
        <v>1</v>
      </c>
      <c r="H2279" s="465"/>
      <c r="I2279" s="465"/>
      <c r="J2279" s="826">
        <v>0</v>
      </c>
      <c r="K2279" s="878">
        <v>0</v>
      </c>
    </row>
    <row r="2280" spans="1:11" ht="22.5" customHeight="1" x14ac:dyDescent="0.25">
      <c r="A2280" s="816" t="s">
        <v>299</v>
      </c>
      <c r="B2280" s="880">
        <v>2025</v>
      </c>
      <c r="C2280" s="816" t="s">
        <v>1935</v>
      </c>
      <c r="D2280" s="816" t="s">
        <v>1942</v>
      </c>
      <c r="E2280" s="816" t="s">
        <v>8586</v>
      </c>
      <c r="F2280" s="826">
        <v>0</v>
      </c>
      <c r="G2280" s="880">
        <v>1</v>
      </c>
      <c r="H2280" s="465"/>
      <c r="I2280" s="465"/>
      <c r="J2280" s="826">
        <v>0</v>
      </c>
      <c r="K2280" s="878">
        <v>0</v>
      </c>
    </row>
    <row r="2281" spans="1:11" ht="22.5" customHeight="1" x14ac:dyDescent="0.25">
      <c r="A2281" s="816" t="s">
        <v>299</v>
      </c>
      <c r="B2281" s="880">
        <v>2025</v>
      </c>
      <c r="C2281" s="816" t="s">
        <v>1935</v>
      </c>
      <c r="D2281" s="816" t="s">
        <v>1943</v>
      </c>
      <c r="E2281" s="816" t="s">
        <v>8587</v>
      </c>
      <c r="F2281" s="826">
        <v>0</v>
      </c>
      <c r="G2281" s="880">
        <v>1</v>
      </c>
      <c r="H2281" s="465"/>
      <c r="I2281" s="465"/>
      <c r="J2281" s="826">
        <v>0</v>
      </c>
      <c r="K2281" s="878">
        <v>0</v>
      </c>
    </row>
    <row r="2282" spans="1:11" ht="22.5" customHeight="1" x14ac:dyDescent="0.25">
      <c r="A2282" s="816" t="s">
        <v>299</v>
      </c>
      <c r="B2282" s="880">
        <v>2025</v>
      </c>
      <c r="C2282" s="816" t="s">
        <v>1935</v>
      </c>
      <c r="D2282" s="816" t="s">
        <v>1944</v>
      </c>
      <c r="E2282" s="816" t="s">
        <v>8588</v>
      </c>
      <c r="F2282" s="826">
        <v>0</v>
      </c>
      <c r="G2282" s="880">
        <v>1</v>
      </c>
      <c r="H2282" s="465"/>
      <c r="I2282" s="465"/>
      <c r="J2282" s="826">
        <v>0</v>
      </c>
      <c r="K2282" s="878">
        <v>0</v>
      </c>
    </row>
    <row r="2283" spans="1:11" ht="22.5" customHeight="1" x14ac:dyDescent="0.25">
      <c r="A2283" s="816" t="s">
        <v>299</v>
      </c>
      <c r="B2283" s="880">
        <v>2025</v>
      </c>
      <c r="C2283" s="816" t="s">
        <v>1935</v>
      </c>
      <c r="D2283" s="816" t="s">
        <v>1945</v>
      </c>
      <c r="E2283" s="816" t="s">
        <v>8589</v>
      </c>
      <c r="F2283" s="826">
        <v>0</v>
      </c>
      <c r="G2283" s="880">
        <v>1</v>
      </c>
      <c r="H2283" s="465"/>
      <c r="I2283" s="465"/>
      <c r="J2283" s="826">
        <v>0</v>
      </c>
      <c r="K2283" s="878">
        <v>0</v>
      </c>
    </row>
    <row r="2284" spans="1:11" ht="22.5" customHeight="1" x14ac:dyDescent="0.25">
      <c r="A2284" s="816" t="s">
        <v>299</v>
      </c>
      <c r="B2284" s="880">
        <v>2025</v>
      </c>
      <c r="C2284" s="816" t="s">
        <v>1935</v>
      </c>
      <c r="D2284" s="816" t="s">
        <v>1946</v>
      </c>
      <c r="E2284" s="816" t="s">
        <v>8590</v>
      </c>
      <c r="F2284" s="826">
        <v>0</v>
      </c>
      <c r="G2284" s="880">
        <v>1</v>
      </c>
      <c r="H2284" s="465"/>
      <c r="I2284" s="465"/>
      <c r="J2284" s="826">
        <v>0</v>
      </c>
      <c r="K2284" s="878">
        <v>0</v>
      </c>
    </row>
    <row r="2285" spans="1:11" ht="22.5" customHeight="1" x14ac:dyDescent="0.25">
      <c r="A2285" s="816" t="s">
        <v>299</v>
      </c>
      <c r="B2285" s="880">
        <v>2025</v>
      </c>
      <c r="C2285" s="816" t="s">
        <v>1935</v>
      </c>
      <c r="D2285" s="816" t="s">
        <v>1947</v>
      </c>
      <c r="E2285" s="816" t="s">
        <v>8591</v>
      </c>
      <c r="F2285" s="826">
        <v>0</v>
      </c>
      <c r="G2285" s="880">
        <v>1</v>
      </c>
      <c r="H2285" s="465"/>
      <c r="I2285" s="465"/>
      <c r="J2285" s="826">
        <v>0</v>
      </c>
      <c r="K2285" s="878">
        <v>0</v>
      </c>
    </row>
    <row r="2286" spans="1:11" ht="22.5" customHeight="1" x14ac:dyDescent="0.25">
      <c r="A2286" s="816" t="s">
        <v>299</v>
      </c>
      <c r="B2286" s="880">
        <v>2025</v>
      </c>
      <c r="C2286" s="816" t="s">
        <v>1935</v>
      </c>
      <c r="D2286" s="816" t="s">
        <v>1948</v>
      </c>
      <c r="E2286" s="816" t="s">
        <v>8592</v>
      </c>
      <c r="F2286" s="826">
        <v>0</v>
      </c>
      <c r="G2286" s="880">
        <v>1</v>
      </c>
      <c r="H2286" s="465"/>
      <c r="I2286" s="465"/>
      <c r="J2286" s="826">
        <v>0</v>
      </c>
      <c r="K2286" s="878">
        <v>0</v>
      </c>
    </row>
    <row r="2287" spans="1:11" ht="22.5" customHeight="1" x14ac:dyDescent="0.25">
      <c r="A2287" s="816" t="s">
        <v>299</v>
      </c>
      <c r="B2287" s="880">
        <v>2025</v>
      </c>
      <c r="C2287" s="816" t="s">
        <v>1935</v>
      </c>
      <c r="D2287" s="816" t="s">
        <v>1949</v>
      </c>
      <c r="E2287" s="816" t="s">
        <v>8593</v>
      </c>
      <c r="F2287" s="826">
        <v>0</v>
      </c>
      <c r="G2287" s="880">
        <v>1</v>
      </c>
      <c r="H2287" s="826">
        <v>10128.450000000001</v>
      </c>
      <c r="I2287" s="826">
        <v>2928.09</v>
      </c>
      <c r="J2287" s="826">
        <v>13056.54</v>
      </c>
      <c r="K2287" s="878">
        <v>13056.54</v>
      </c>
    </row>
    <row r="2288" spans="1:11" ht="22.5" customHeight="1" x14ac:dyDescent="0.25">
      <c r="A2288" s="816" t="s">
        <v>299</v>
      </c>
      <c r="B2288" s="880">
        <v>2025</v>
      </c>
      <c r="C2288" s="816" t="s">
        <v>1935</v>
      </c>
      <c r="D2288" s="816" t="s">
        <v>1950</v>
      </c>
      <c r="E2288" s="816" t="s">
        <v>8594</v>
      </c>
      <c r="F2288" s="826">
        <v>0</v>
      </c>
      <c r="G2288" s="880">
        <v>1</v>
      </c>
      <c r="H2288" s="826">
        <v>-67745.06</v>
      </c>
      <c r="I2288" s="826">
        <v>5346.78</v>
      </c>
      <c r="J2288" s="826">
        <v>-62398.28</v>
      </c>
      <c r="K2288" s="878">
        <v>-62398.28</v>
      </c>
    </row>
    <row r="2289" spans="1:11" ht="22.5" customHeight="1" x14ac:dyDescent="0.25">
      <c r="A2289" s="816" t="s">
        <v>299</v>
      </c>
      <c r="B2289" s="880">
        <v>2025</v>
      </c>
      <c r="C2289" s="816" t="s">
        <v>1935</v>
      </c>
      <c r="D2289" s="816" t="s">
        <v>1951</v>
      </c>
      <c r="E2289" s="816" t="s">
        <v>8595</v>
      </c>
      <c r="F2289" s="826">
        <v>0</v>
      </c>
      <c r="G2289" s="880">
        <v>1</v>
      </c>
      <c r="H2289" s="826">
        <v>4955.17</v>
      </c>
      <c r="I2289" s="826">
        <v>3944.77</v>
      </c>
      <c r="J2289" s="826">
        <v>8899.94</v>
      </c>
      <c r="K2289" s="878">
        <v>8899.94</v>
      </c>
    </row>
    <row r="2290" spans="1:11" ht="22.5" customHeight="1" x14ac:dyDescent="0.25">
      <c r="A2290" s="816" t="s">
        <v>299</v>
      </c>
      <c r="B2290" s="880">
        <v>2025</v>
      </c>
      <c r="C2290" s="816" t="s">
        <v>1935</v>
      </c>
      <c r="D2290" s="816" t="s">
        <v>7801</v>
      </c>
      <c r="E2290" s="816" t="s">
        <v>8596</v>
      </c>
      <c r="F2290" s="826">
        <v>0</v>
      </c>
      <c r="G2290" s="880">
        <v>1</v>
      </c>
      <c r="H2290" s="826">
        <v>1064349.75</v>
      </c>
      <c r="I2290" s="826">
        <v>53816.18</v>
      </c>
      <c r="J2290" s="826">
        <v>1118165.93</v>
      </c>
      <c r="K2290" s="878">
        <v>1118165.93</v>
      </c>
    </row>
    <row r="2291" spans="1:11" ht="22.5" customHeight="1" x14ac:dyDescent="0.25">
      <c r="A2291" s="816" t="s">
        <v>299</v>
      </c>
      <c r="B2291" s="880">
        <v>2025</v>
      </c>
      <c r="C2291" s="816" t="s">
        <v>1935</v>
      </c>
      <c r="D2291" s="816" t="s">
        <v>1952</v>
      </c>
      <c r="E2291" s="816" t="s">
        <v>8597</v>
      </c>
      <c r="F2291" s="826">
        <v>1077724.1299999999</v>
      </c>
      <c r="G2291" s="880">
        <v>0</v>
      </c>
      <c r="H2291" s="465"/>
      <c r="I2291" s="465"/>
      <c r="J2291" s="826">
        <v>0</v>
      </c>
      <c r="K2291" s="878">
        <v>1077724.1299999999</v>
      </c>
    </row>
    <row r="2292" spans="1:11" ht="22.5" customHeight="1" x14ac:dyDescent="0.25">
      <c r="A2292" s="816" t="s">
        <v>299</v>
      </c>
      <c r="B2292" s="880">
        <v>2025</v>
      </c>
      <c r="C2292" s="816" t="s">
        <v>1953</v>
      </c>
      <c r="D2292" s="816" t="s">
        <v>1954</v>
      </c>
      <c r="E2292" s="816" t="s">
        <v>3133</v>
      </c>
      <c r="F2292" s="826">
        <v>0</v>
      </c>
      <c r="G2292" s="880">
        <v>0</v>
      </c>
      <c r="H2292" s="465"/>
      <c r="I2292" s="465"/>
      <c r="J2292" s="826">
        <v>0</v>
      </c>
      <c r="K2292" s="878">
        <v>0</v>
      </c>
    </row>
    <row r="2293" spans="1:11" ht="22.5" customHeight="1" x14ac:dyDescent="0.25">
      <c r="A2293" s="816" t="s">
        <v>301</v>
      </c>
      <c r="B2293" s="880">
        <v>2025</v>
      </c>
      <c r="C2293" s="816" t="s">
        <v>1854</v>
      </c>
      <c r="D2293" s="816" t="s">
        <v>1855</v>
      </c>
      <c r="E2293" s="816" t="s">
        <v>3134</v>
      </c>
      <c r="F2293" s="826">
        <v>24889.57</v>
      </c>
      <c r="G2293" s="880">
        <v>0</v>
      </c>
      <c r="H2293" s="465"/>
      <c r="I2293" s="465"/>
      <c r="J2293" s="826">
        <v>0</v>
      </c>
      <c r="K2293" s="878">
        <v>24889.57</v>
      </c>
    </row>
    <row r="2294" spans="1:11" ht="22.5" customHeight="1" x14ac:dyDescent="0.25">
      <c r="A2294" s="816" t="s">
        <v>301</v>
      </c>
      <c r="B2294" s="880">
        <v>2025</v>
      </c>
      <c r="C2294" s="816" t="s">
        <v>7746</v>
      </c>
      <c r="D2294" s="816" t="s">
        <v>7747</v>
      </c>
      <c r="E2294" s="816" t="s">
        <v>7791</v>
      </c>
      <c r="F2294" s="826">
        <v>3917.26</v>
      </c>
      <c r="G2294" s="880">
        <v>0</v>
      </c>
      <c r="H2294" s="465"/>
      <c r="I2294" s="465"/>
      <c r="J2294" s="826">
        <v>0</v>
      </c>
      <c r="K2294" s="878">
        <v>3917.26</v>
      </c>
    </row>
    <row r="2295" spans="1:11" ht="22.5" customHeight="1" x14ac:dyDescent="0.25">
      <c r="A2295" s="816" t="s">
        <v>301</v>
      </c>
      <c r="B2295" s="880">
        <v>2025</v>
      </c>
      <c r="C2295" s="816" t="s">
        <v>1857</v>
      </c>
      <c r="D2295" s="816" t="s">
        <v>1858</v>
      </c>
      <c r="E2295" s="816" t="s">
        <v>3135</v>
      </c>
      <c r="F2295" s="826">
        <v>0</v>
      </c>
      <c r="G2295" s="880">
        <v>0</v>
      </c>
      <c r="H2295" s="465"/>
      <c r="I2295" s="465"/>
      <c r="J2295" s="826">
        <v>0</v>
      </c>
      <c r="K2295" s="878">
        <v>0</v>
      </c>
    </row>
    <row r="2296" spans="1:11" ht="22.5" customHeight="1" x14ac:dyDescent="0.25">
      <c r="A2296" s="816" t="s">
        <v>301</v>
      </c>
      <c r="B2296" s="880">
        <v>2025</v>
      </c>
      <c r="C2296" s="816" t="s">
        <v>1860</v>
      </c>
      <c r="D2296" s="816" t="s">
        <v>1861</v>
      </c>
      <c r="E2296" s="816" t="s">
        <v>3136</v>
      </c>
      <c r="F2296" s="826">
        <v>0</v>
      </c>
      <c r="G2296" s="880">
        <v>0</v>
      </c>
      <c r="H2296" s="465"/>
      <c r="I2296" s="465"/>
      <c r="J2296" s="826">
        <v>0</v>
      </c>
      <c r="K2296" s="878">
        <v>0</v>
      </c>
    </row>
    <row r="2297" spans="1:11" ht="22.5" customHeight="1" x14ac:dyDescent="0.25">
      <c r="A2297" s="816" t="s">
        <v>301</v>
      </c>
      <c r="B2297" s="880">
        <v>2025</v>
      </c>
      <c r="C2297" s="816" t="s">
        <v>1863</v>
      </c>
      <c r="D2297" s="816" t="s">
        <v>1864</v>
      </c>
      <c r="E2297" s="816" t="s">
        <v>3137</v>
      </c>
      <c r="F2297" s="826">
        <v>0</v>
      </c>
      <c r="G2297" s="880">
        <v>0</v>
      </c>
      <c r="H2297" s="465"/>
      <c r="I2297" s="465"/>
      <c r="J2297" s="826">
        <v>0</v>
      </c>
      <c r="K2297" s="878">
        <v>0</v>
      </c>
    </row>
    <row r="2298" spans="1:11" ht="22.5" customHeight="1" x14ac:dyDescent="0.25">
      <c r="A2298" s="816" t="s">
        <v>301</v>
      </c>
      <c r="B2298" s="880">
        <v>2025</v>
      </c>
      <c r="C2298" s="816" t="s">
        <v>1866</v>
      </c>
      <c r="D2298" s="816" t="s">
        <v>1867</v>
      </c>
      <c r="E2298" s="816" t="s">
        <v>3138</v>
      </c>
      <c r="F2298" s="826">
        <v>0</v>
      </c>
      <c r="G2298" s="880">
        <v>0</v>
      </c>
      <c r="H2298" s="465"/>
      <c r="I2298" s="465"/>
      <c r="J2298" s="826">
        <v>0</v>
      </c>
      <c r="K2298" s="878">
        <v>0</v>
      </c>
    </row>
    <row r="2299" spans="1:11" ht="22.5" customHeight="1" x14ac:dyDescent="0.25">
      <c r="A2299" s="816" t="s">
        <v>301</v>
      </c>
      <c r="B2299" s="880">
        <v>2025</v>
      </c>
      <c r="C2299" s="816" t="s">
        <v>1869</v>
      </c>
      <c r="D2299" s="816" t="s">
        <v>1870</v>
      </c>
      <c r="E2299" s="816" t="s">
        <v>3139</v>
      </c>
      <c r="F2299" s="826">
        <v>0</v>
      </c>
      <c r="G2299" s="880">
        <v>0</v>
      </c>
      <c r="H2299" s="465"/>
      <c r="I2299" s="465"/>
      <c r="J2299" s="826">
        <v>0</v>
      </c>
      <c r="K2299" s="878">
        <v>0</v>
      </c>
    </row>
    <row r="2300" spans="1:11" ht="22.5" customHeight="1" x14ac:dyDescent="0.25">
      <c r="A2300" s="816" t="s">
        <v>301</v>
      </c>
      <c r="B2300" s="880">
        <v>2025</v>
      </c>
      <c r="C2300" s="816" t="s">
        <v>1872</v>
      </c>
      <c r="D2300" s="816" t="s">
        <v>1873</v>
      </c>
      <c r="E2300" s="816" t="s">
        <v>3140</v>
      </c>
      <c r="F2300" s="826">
        <v>0</v>
      </c>
      <c r="G2300" s="880">
        <v>0</v>
      </c>
      <c r="H2300" s="465"/>
      <c r="I2300" s="465"/>
      <c r="J2300" s="826">
        <v>0</v>
      </c>
      <c r="K2300" s="878">
        <v>0</v>
      </c>
    </row>
    <row r="2301" spans="1:11" ht="22.5" customHeight="1" x14ac:dyDescent="0.25">
      <c r="A2301" s="816" t="s">
        <v>301</v>
      </c>
      <c r="B2301" s="880">
        <v>2025</v>
      </c>
      <c r="C2301" s="816" t="s">
        <v>1875</v>
      </c>
      <c r="D2301" s="816" t="s">
        <v>1876</v>
      </c>
      <c r="E2301" s="816" t="s">
        <v>3141</v>
      </c>
      <c r="F2301" s="826">
        <v>0</v>
      </c>
      <c r="G2301" s="880">
        <v>0</v>
      </c>
      <c r="H2301" s="465"/>
      <c r="I2301" s="465"/>
      <c r="J2301" s="826">
        <v>0</v>
      </c>
      <c r="K2301" s="878">
        <v>0</v>
      </c>
    </row>
    <row r="2302" spans="1:11" ht="22.5" customHeight="1" x14ac:dyDescent="0.25">
      <c r="A2302" s="816" t="s">
        <v>301</v>
      </c>
      <c r="B2302" s="880">
        <v>2025</v>
      </c>
      <c r="C2302" s="816" t="s">
        <v>1878</v>
      </c>
      <c r="D2302" s="816" t="s">
        <v>1879</v>
      </c>
      <c r="E2302" s="816" t="s">
        <v>3142</v>
      </c>
      <c r="F2302" s="826">
        <v>0</v>
      </c>
      <c r="G2302" s="880">
        <v>0</v>
      </c>
      <c r="H2302" s="465"/>
      <c r="I2302" s="465"/>
      <c r="J2302" s="826">
        <v>0</v>
      </c>
      <c r="K2302" s="878">
        <v>0</v>
      </c>
    </row>
    <row r="2303" spans="1:11" ht="22.5" customHeight="1" x14ac:dyDescent="0.25">
      <c r="A2303" s="816" t="s">
        <v>301</v>
      </c>
      <c r="B2303" s="880">
        <v>2025</v>
      </c>
      <c r="C2303" s="816" t="s">
        <v>1881</v>
      </c>
      <c r="D2303" s="816" t="s">
        <v>1882</v>
      </c>
      <c r="E2303" s="816" t="s">
        <v>3143</v>
      </c>
      <c r="F2303" s="826">
        <v>0</v>
      </c>
      <c r="G2303" s="880">
        <v>0</v>
      </c>
      <c r="H2303" s="465"/>
      <c r="I2303" s="465"/>
      <c r="J2303" s="826">
        <v>0</v>
      </c>
      <c r="K2303" s="878">
        <v>0</v>
      </c>
    </row>
    <row r="2304" spans="1:11" ht="22.5" customHeight="1" x14ac:dyDescent="0.25">
      <c r="A2304" s="816" t="s">
        <v>301</v>
      </c>
      <c r="B2304" s="880">
        <v>2025</v>
      </c>
      <c r="C2304" s="816" t="s">
        <v>1884</v>
      </c>
      <c r="D2304" s="816" t="s">
        <v>1885</v>
      </c>
      <c r="E2304" s="816" t="s">
        <v>3144</v>
      </c>
      <c r="F2304" s="826">
        <v>0</v>
      </c>
      <c r="G2304" s="880">
        <v>0</v>
      </c>
      <c r="H2304" s="465"/>
      <c r="I2304" s="465"/>
      <c r="J2304" s="826">
        <v>0</v>
      </c>
      <c r="K2304" s="878">
        <v>0</v>
      </c>
    </row>
    <row r="2305" spans="1:11" ht="22.5" customHeight="1" x14ac:dyDescent="0.25">
      <c r="A2305" s="816" t="s">
        <v>301</v>
      </c>
      <c r="B2305" s="880">
        <v>2025</v>
      </c>
      <c r="C2305" s="816" t="s">
        <v>1887</v>
      </c>
      <c r="D2305" s="816" t="s">
        <v>138</v>
      </c>
      <c r="E2305" s="816" t="s">
        <v>3145</v>
      </c>
      <c r="F2305" s="826">
        <v>1710.56</v>
      </c>
      <c r="G2305" s="880">
        <v>1</v>
      </c>
      <c r="H2305" s="826">
        <v>-2049.0300000000002</v>
      </c>
      <c r="I2305" s="826">
        <v>3759.59</v>
      </c>
      <c r="J2305" s="826">
        <v>1710.56</v>
      </c>
      <c r="K2305" s="878">
        <v>1710.56</v>
      </c>
    </row>
    <row r="2306" spans="1:11" ht="22.5" customHeight="1" x14ac:dyDescent="0.25">
      <c r="A2306" s="816" t="s">
        <v>301</v>
      </c>
      <c r="B2306" s="880">
        <v>2025</v>
      </c>
      <c r="C2306" s="816" t="s">
        <v>1889</v>
      </c>
      <c r="D2306" s="816" t="s">
        <v>139</v>
      </c>
      <c r="E2306" s="816" t="s">
        <v>3146</v>
      </c>
      <c r="F2306" s="826">
        <v>-12453.62</v>
      </c>
      <c r="G2306" s="880">
        <v>1</v>
      </c>
      <c r="H2306" s="826">
        <v>-11809.04</v>
      </c>
      <c r="I2306" s="826">
        <v>-644.58000000000004</v>
      </c>
      <c r="J2306" s="826">
        <v>-12453.62</v>
      </c>
      <c r="K2306" s="878">
        <v>-12453.62</v>
      </c>
    </row>
    <row r="2307" spans="1:11" ht="22.5" customHeight="1" x14ac:dyDescent="0.25">
      <c r="A2307" s="816" t="s">
        <v>301</v>
      </c>
      <c r="B2307" s="880">
        <v>2025</v>
      </c>
      <c r="C2307" s="816" t="s">
        <v>1891</v>
      </c>
      <c r="D2307" s="816" t="s">
        <v>1892</v>
      </c>
      <c r="E2307" s="816" t="s">
        <v>3147</v>
      </c>
      <c r="F2307" s="826">
        <v>0</v>
      </c>
      <c r="G2307" s="880">
        <v>0</v>
      </c>
      <c r="H2307" s="465"/>
      <c r="I2307" s="465"/>
      <c r="J2307" s="826">
        <v>0</v>
      </c>
      <c r="K2307" s="878">
        <v>0</v>
      </c>
    </row>
    <row r="2308" spans="1:11" ht="22.5" customHeight="1" x14ac:dyDescent="0.25">
      <c r="A2308" s="816" t="s">
        <v>301</v>
      </c>
      <c r="B2308" s="880">
        <v>2025</v>
      </c>
      <c r="C2308" s="816" t="s">
        <v>1891</v>
      </c>
      <c r="D2308" s="816" t="s">
        <v>1894</v>
      </c>
      <c r="E2308" s="816" t="s">
        <v>3147</v>
      </c>
      <c r="F2308" s="826">
        <v>0</v>
      </c>
      <c r="G2308" s="880">
        <v>0</v>
      </c>
      <c r="H2308" s="465"/>
      <c r="I2308" s="465"/>
      <c r="J2308" s="826">
        <v>0</v>
      </c>
      <c r="K2308" s="881">
        <v>0</v>
      </c>
    </row>
    <row r="2309" spans="1:11" ht="22.5" customHeight="1" x14ac:dyDescent="0.25">
      <c r="A2309" s="816" t="s">
        <v>301</v>
      </c>
      <c r="B2309" s="880">
        <v>2025</v>
      </c>
      <c r="C2309" s="816" t="s">
        <v>1895</v>
      </c>
      <c r="D2309" s="816" t="s">
        <v>1896</v>
      </c>
      <c r="E2309" s="816" t="s">
        <v>3148</v>
      </c>
      <c r="F2309" s="826">
        <v>0</v>
      </c>
      <c r="G2309" s="880">
        <v>0</v>
      </c>
      <c r="H2309" s="465"/>
      <c r="I2309" s="465"/>
      <c r="J2309" s="826">
        <v>0</v>
      </c>
      <c r="K2309" s="878">
        <v>0</v>
      </c>
    </row>
    <row r="2310" spans="1:11" ht="22.5" customHeight="1" x14ac:dyDescent="0.25">
      <c r="A2310" s="816" t="s">
        <v>301</v>
      </c>
      <c r="B2310" s="880">
        <v>2025</v>
      </c>
      <c r="C2310" s="816" t="s">
        <v>1898</v>
      </c>
      <c r="D2310" s="816" t="s">
        <v>1899</v>
      </c>
      <c r="E2310" s="816" t="s">
        <v>3149</v>
      </c>
      <c r="F2310" s="826">
        <v>0</v>
      </c>
      <c r="G2310" s="880">
        <v>0</v>
      </c>
      <c r="H2310" s="465"/>
      <c r="I2310" s="465"/>
      <c r="J2310" s="826">
        <v>0</v>
      </c>
      <c r="K2310" s="878">
        <v>0</v>
      </c>
    </row>
    <row r="2311" spans="1:11" ht="22.5" customHeight="1" x14ac:dyDescent="0.25">
      <c r="A2311" s="816" t="s">
        <v>301</v>
      </c>
      <c r="B2311" s="880">
        <v>2025</v>
      </c>
      <c r="C2311" s="816" t="s">
        <v>1901</v>
      </c>
      <c r="D2311" s="816" t="s">
        <v>1902</v>
      </c>
      <c r="E2311" s="816" t="s">
        <v>3150</v>
      </c>
      <c r="F2311" s="826">
        <v>0</v>
      </c>
      <c r="G2311" s="880">
        <v>0</v>
      </c>
      <c r="H2311" s="465"/>
      <c r="I2311" s="465"/>
      <c r="J2311" s="826">
        <v>0</v>
      </c>
      <c r="K2311" s="878">
        <v>0</v>
      </c>
    </row>
    <row r="2312" spans="1:11" ht="22.5" customHeight="1" x14ac:dyDescent="0.25">
      <c r="A2312" s="816" t="s">
        <v>301</v>
      </c>
      <c r="B2312" s="880">
        <v>2025</v>
      </c>
      <c r="C2312" s="816" t="s">
        <v>1904</v>
      </c>
      <c r="D2312" s="816" t="s">
        <v>1905</v>
      </c>
      <c r="E2312" s="816" t="s">
        <v>3151</v>
      </c>
      <c r="F2312" s="826">
        <v>0</v>
      </c>
      <c r="G2312" s="880">
        <v>0</v>
      </c>
      <c r="H2312" s="465"/>
      <c r="I2312" s="465"/>
      <c r="J2312" s="826">
        <v>0</v>
      </c>
      <c r="K2312" s="878">
        <v>0</v>
      </c>
    </row>
    <row r="2313" spans="1:11" ht="22.5" customHeight="1" x14ac:dyDescent="0.25">
      <c r="A2313" s="816" t="s">
        <v>301</v>
      </c>
      <c r="B2313" s="880">
        <v>2025</v>
      </c>
      <c r="C2313" s="816" t="s">
        <v>1907</v>
      </c>
      <c r="D2313" s="816" t="s">
        <v>1908</v>
      </c>
      <c r="E2313" s="816" t="s">
        <v>3152</v>
      </c>
      <c r="F2313" s="826">
        <v>0</v>
      </c>
      <c r="G2313" s="880">
        <v>0</v>
      </c>
      <c r="H2313" s="465"/>
      <c r="I2313" s="465"/>
      <c r="J2313" s="826">
        <v>0</v>
      </c>
      <c r="K2313" s="878">
        <v>0</v>
      </c>
    </row>
    <row r="2314" spans="1:11" ht="22.5" customHeight="1" x14ac:dyDescent="0.25">
      <c r="A2314" s="816" t="s">
        <v>301</v>
      </c>
      <c r="B2314" s="880">
        <v>2025</v>
      </c>
      <c r="C2314" s="816" t="s">
        <v>1910</v>
      </c>
      <c r="D2314" s="816" t="s">
        <v>1911</v>
      </c>
      <c r="E2314" s="816" t="s">
        <v>3153</v>
      </c>
      <c r="F2314" s="826">
        <v>1010.65</v>
      </c>
      <c r="G2314" s="880">
        <v>0</v>
      </c>
      <c r="H2314" s="465"/>
      <c r="I2314" s="465"/>
      <c r="J2314" s="826">
        <v>0</v>
      </c>
      <c r="K2314" s="878">
        <v>1010.65</v>
      </c>
    </row>
    <row r="2315" spans="1:11" ht="22.5" customHeight="1" x14ac:dyDescent="0.25">
      <c r="A2315" s="816" t="s">
        <v>301</v>
      </c>
      <c r="B2315" s="880">
        <v>2025</v>
      </c>
      <c r="C2315" s="816" t="s">
        <v>1913</v>
      </c>
      <c r="D2315" s="816" t="s">
        <v>1914</v>
      </c>
      <c r="E2315" s="816" t="s">
        <v>3154</v>
      </c>
      <c r="F2315" s="826">
        <v>-204527.27</v>
      </c>
      <c r="G2315" s="880">
        <v>1</v>
      </c>
      <c r="H2315" s="826">
        <v>-195085.95</v>
      </c>
      <c r="I2315" s="826">
        <v>-9441.32</v>
      </c>
      <c r="J2315" s="826">
        <v>-204527.27</v>
      </c>
      <c r="K2315" s="878">
        <v>-204527.27</v>
      </c>
    </row>
    <row r="2316" spans="1:11" ht="22.5" customHeight="1" x14ac:dyDescent="0.25">
      <c r="A2316" s="816" t="s">
        <v>301</v>
      </c>
      <c r="B2316" s="880">
        <v>2025</v>
      </c>
      <c r="C2316" s="816" t="s">
        <v>1913</v>
      </c>
      <c r="D2316" s="816" t="s">
        <v>1916</v>
      </c>
      <c r="E2316" s="816" t="s">
        <v>3154</v>
      </c>
      <c r="F2316" s="826">
        <v>0</v>
      </c>
      <c r="G2316" s="880">
        <v>0</v>
      </c>
      <c r="H2316" s="465"/>
      <c r="I2316" s="465"/>
      <c r="J2316" s="826">
        <v>0</v>
      </c>
      <c r="K2316" s="881">
        <v>0</v>
      </c>
    </row>
    <row r="2317" spans="1:11" ht="22.5" customHeight="1" x14ac:dyDescent="0.25">
      <c r="A2317" s="816" t="s">
        <v>301</v>
      </c>
      <c r="B2317" s="880">
        <v>2025</v>
      </c>
      <c r="C2317" s="816" t="s">
        <v>1913</v>
      </c>
      <c r="D2317" s="816" t="s">
        <v>1917</v>
      </c>
      <c r="E2317" s="816" t="s">
        <v>3154</v>
      </c>
      <c r="F2317" s="826">
        <v>0</v>
      </c>
      <c r="G2317" s="880">
        <v>0</v>
      </c>
      <c r="H2317" s="465"/>
      <c r="I2317" s="465"/>
      <c r="J2317" s="826">
        <v>0</v>
      </c>
      <c r="K2317" s="881">
        <v>0</v>
      </c>
    </row>
    <row r="2318" spans="1:11" ht="22.5" customHeight="1" x14ac:dyDescent="0.25">
      <c r="A2318" s="816" t="s">
        <v>301</v>
      </c>
      <c r="B2318" s="880">
        <v>2025</v>
      </c>
      <c r="C2318" s="816" t="s">
        <v>1913</v>
      </c>
      <c r="D2318" s="816" t="s">
        <v>1918</v>
      </c>
      <c r="E2318" s="816" t="s">
        <v>3154</v>
      </c>
      <c r="F2318" s="826">
        <v>0</v>
      </c>
      <c r="G2318" s="880">
        <v>0</v>
      </c>
      <c r="H2318" s="465"/>
      <c r="I2318" s="465"/>
      <c r="J2318" s="826">
        <v>0</v>
      </c>
      <c r="K2318" s="881">
        <v>995.82</v>
      </c>
    </row>
    <row r="2319" spans="1:11" ht="22.5" customHeight="1" x14ac:dyDescent="0.25">
      <c r="A2319" s="816" t="s">
        <v>301</v>
      </c>
      <c r="B2319" s="880">
        <v>2025</v>
      </c>
      <c r="C2319" s="816" t="s">
        <v>1913</v>
      </c>
      <c r="D2319" s="816" t="s">
        <v>1919</v>
      </c>
      <c r="E2319" s="816" t="s">
        <v>3154</v>
      </c>
      <c r="F2319" s="826">
        <v>0</v>
      </c>
      <c r="G2319" s="880">
        <v>0</v>
      </c>
      <c r="H2319" s="465"/>
      <c r="I2319" s="465"/>
      <c r="J2319" s="826">
        <v>0</v>
      </c>
      <c r="K2319" s="881">
        <v>19811.34</v>
      </c>
    </row>
    <row r="2320" spans="1:11" ht="22.5" customHeight="1" x14ac:dyDescent="0.25">
      <c r="A2320" s="816" t="s">
        <v>301</v>
      </c>
      <c r="B2320" s="880">
        <v>2025</v>
      </c>
      <c r="C2320" s="816" t="s">
        <v>1920</v>
      </c>
      <c r="D2320" s="816" t="s">
        <v>1921</v>
      </c>
      <c r="E2320" s="816" t="s">
        <v>3155</v>
      </c>
      <c r="F2320" s="826">
        <v>0</v>
      </c>
      <c r="G2320" s="880">
        <v>0</v>
      </c>
      <c r="H2320" s="465"/>
      <c r="I2320" s="465"/>
      <c r="J2320" s="826">
        <v>0</v>
      </c>
      <c r="K2320" s="878">
        <v>0</v>
      </c>
    </row>
    <row r="2321" spans="1:11" ht="22.5" customHeight="1" x14ac:dyDescent="0.25">
      <c r="A2321" s="816" t="s">
        <v>301</v>
      </c>
      <c r="B2321" s="880">
        <v>2025</v>
      </c>
      <c r="C2321" s="816" t="s">
        <v>1923</v>
      </c>
      <c r="D2321" s="816" t="s">
        <v>143</v>
      </c>
      <c r="E2321" s="816" t="s">
        <v>3156</v>
      </c>
      <c r="F2321" s="826">
        <v>117151.56</v>
      </c>
      <c r="G2321" s="880">
        <v>1</v>
      </c>
      <c r="H2321" s="826">
        <v>112504.26</v>
      </c>
      <c r="I2321" s="826">
        <v>4647.3</v>
      </c>
      <c r="J2321" s="826">
        <v>117151.56</v>
      </c>
      <c r="K2321" s="878">
        <v>117151.56</v>
      </c>
    </row>
    <row r="2322" spans="1:11" ht="22.5" customHeight="1" x14ac:dyDescent="0.25">
      <c r="A2322" s="816" t="s">
        <v>301</v>
      </c>
      <c r="B2322" s="880">
        <v>2025</v>
      </c>
      <c r="C2322" s="816" t="s">
        <v>1925</v>
      </c>
      <c r="D2322" s="816" t="s">
        <v>144</v>
      </c>
      <c r="E2322" s="816" t="s">
        <v>3157</v>
      </c>
      <c r="F2322" s="826">
        <v>162251.04999999999</v>
      </c>
      <c r="G2322" s="880">
        <v>1</v>
      </c>
      <c r="H2322" s="826">
        <v>153591.23000000001</v>
      </c>
      <c r="I2322" s="826">
        <v>8659.82</v>
      </c>
      <c r="J2322" s="826">
        <v>162251.04999999999</v>
      </c>
      <c r="K2322" s="878">
        <v>162251.04999999999</v>
      </c>
    </row>
    <row r="2323" spans="1:11" ht="22.5" customHeight="1" x14ac:dyDescent="0.25">
      <c r="A2323" s="816" t="s">
        <v>301</v>
      </c>
      <c r="B2323" s="880">
        <v>2025</v>
      </c>
      <c r="C2323" s="816" t="s">
        <v>1927</v>
      </c>
      <c r="D2323" s="816" t="s">
        <v>1928</v>
      </c>
      <c r="E2323" s="816" t="s">
        <v>3158</v>
      </c>
      <c r="F2323" s="826">
        <v>-109167.67999999999</v>
      </c>
      <c r="G2323" s="880">
        <v>1</v>
      </c>
      <c r="H2323" s="826">
        <v>-103163.37</v>
      </c>
      <c r="I2323" s="826">
        <v>-6004.31</v>
      </c>
      <c r="J2323" s="826">
        <v>-109167.67999999999</v>
      </c>
      <c r="K2323" s="878">
        <v>-109167.67999999999</v>
      </c>
    </row>
    <row r="2324" spans="1:11" ht="22.5" customHeight="1" x14ac:dyDescent="0.25">
      <c r="A2324" s="816" t="s">
        <v>301</v>
      </c>
      <c r="B2324" s="880">
        <v>2025</v>
      </c>
      <c r="C2324" s="816" t="s">
        <v>1930</v>
      </c>
      <c r="D2324" s="816" t="s">
        <v>156</v>
      </c>
      <c r="E2324" s="816" t="s">
        <v>3159</v>
      </c>
      <c r="F2324" s="826">
        <v>153314.28</v>
      </c>
      <c r="G2324" s="880">
        <v>1</v>
      </c>
      <c r="H2324" s="826">
        <v>144342.93</v>
      </c>
      <c r="I2324" s="826">
        <v>8971.35</v>
      </c>
      <c r="J2324" s="826">
        <v>153314.28</v>
      </c>
      <c r="K2324" s="878">
        <v>153314.28</v>
      </c>
    </row>
    <row r="2325" spans="1:11" ht="22.5" customHeight="1" x14ac:dyDescent="0.25">
      <c r="A2325" s="816" t="s">
        <v>301</v>
      </c>
      <c r="B2325" s="880">
        <v>2025</v>
      </c>
      <c r="C2325" s="816" t="s">
        <v>1932</v>
      </c>
      <c r="D2325" s="816" t="s">
        <v>1933</v>
      </c>
      <c r="E2325" s="816" t="s">
        <v>3160</v>
      </c>
      <c r="F2325" s="826">
        <v>0</v>
      </c>
      <c r="G2325" s="880">
        <v>0</v>
      </c>
      <c r="H2325" s="465"/>
      <c r="I2325" s="465"/>
      <c r="J2325" s="826">
        <v>0</v>
      </c>
      <c r="K2325" s="878">
        <v>0</v>
      </c>
    </row>
    <row r="2326" spans="1:11" ht="22.5" customHeight="1" x14ac:dyDescent="0.25">
      <c r="A2326" s="816" t="s">
        <v>301</v>
      </c>
      <c r="B2326" s="880">
        <v>2025</v>
      </c>
      <c r="C2326" s="816" t="s">
        <v>1935</v>
      </c>
      <c r="D2326" s="816" t="s">
        <v>1936</v>
      </c>
      <c r="E2326" s="816" t="s">
        <v>8598</v>
      </c>
      <c r="F2326" s="826">
        <v>0</v>
      </c>
      <c r="G2326" s="880">
        <v>1</v>
      </c>
      <c r="H2326" s="465"/>
      <c r="I2326" s="465"/>
      <c r="J2326" s="826">
        <v>0</v>
      </c>
      <c r="K2326" s="878">
        <v>0</v>
      </c>
    </row>
    <row r="2327" spans="1:11" ht="22.5" customHeight="1" x14ac:dyDescent="0.25">
      <c r="A2327" s="816" t="s">
        <v>301</v>
      </c>
      <c r="B2327" s="880">
        <v>2025</v>
      </c>
      <c r="C2327" s="816" t="s">
        <v>1935</v>
      </c>
      <c r="D2327" s="816" t="s">
        <v>1937</v>
      </c>
      <c r="E2327" s="816" t="s">
        <v>8599</v>
      </c>
      <c r="F2327" s="826">
        <v>0</v>
      </c>
      <c r="G2327" s="880">
        <v>1</v>
      </c>
      <c r="H2327" s="465"/>
      <c r="I2327" s="465"/>
      <c r="J2327" s="826">
        <v>0</v>
      </c>
      <c r="K2327" s="878">
        <v>0</v>
      </c>
    </row>
    <row r="2328" spans="1:11" ht="22.5" customHeight="1" x14ac:dyDescent="0.25">
      <c r="A2328" s="816" t="s">
        <v>301</v>
      </c>
      <c r="B2328" s="880">
        <v>2025</v>
      </c>
      <c r="C2328" s="816" t="s">
        <v>1935</v>
      </c>
      <c r="D2328" s="816" t="s">
        <v>1938</v>
      </c>
      <c r="E2328" s="816" t="s">
        <v>8600</v>
      </c>
      <c r="F2328" s="826">
        <v>0</v>
      </c>
      <c r="G2328" s="880">
        <v>1</v>
      </c>
      <c r="H2328" s="465"/>
      <c r="I2328" s="465"/>
      <c r="J2328" s="826">
        <v>0</v>
      </c>
      <c r="K2328" s="878">
        <v>0</v>
      </c>
    </row>
    <row r="2329" spans="1:11" ht="22.5" customHeight="1" x14ac:dyDescent="0.25">
      <c r="A2329" s="816" t="s">
        <v>301</v>
      </c>
      <c r="B2329" s="880">
        <v>2025</v>
      </c>
      <c r="C2329" s="816" t="s">
        <v>1935</v>
      </c>
      <c r="D2329" s="816" t="s">
        <v>1939</v>
      </c>
      <c r="E2329" s="816" t="s">
        <v>8601</v>
      </c>
      <c r="F2329" s="826">
        <v>0</v>
      </c>
      <c r="G2329" s="880">
        <v>1</v>
      </c>
      <c r="H2329" s="465"/>
      <c r="I2329" s="465"/>
      <c r="J2329" s="826">
        <v>0</v>
      </c>
      <c r="K2329" s="878">
        <v>0</v>
      </c>
    </row>
    <row r="2330" spans="1:11" ht="22.5" customHeight="1" x14ac:dyDescent="0.25">
      <c r="A2330" s="816" t="s">
        <v>301</v>
      </c>
      <c r="B2330" s="880">
        <v>2025</v>
      </c>
      <c r="C2330" s="816" t="s">
        <v>1935</v>
      </c>
      <c r="D2330" s="816" t="s">
        <v>1940</v>
      </c>
      <c r="E2330" s="816" t="s">
        <v>8602</v>
      </c>
      <c r="F2330" s="826">
        <v>0</v>
      </c>
      <c r="G2330" s="880">
        <v>1</v>
      </c>
      <c r="H2330" s="465"/>
      <c r="I2330" s="465"/>
      <c r="J2330" s="826">
        <v>0</v>
      </c>
      <c r="K2330" s="878">
        <v>0</v>
      </c>
    </row>
    <row r="2331" spans="1:11" ht="22.5" customHeight="1" x14ac:dyDescent="0.25">
      <c r="A2331" s="816" t="s">
        <v>301</v>
      </c>
      <c r="B2331" s="880">
        <v>2025</v>
      </c>
      <c r="C2331" s="816" t="s">
        <v>1935</v>
      </c>
      <c r="D2331" s="816" t="s">
        <v>1941</v>
      </c>
      <c r="E2331" s="816" t="s">
        <v>8603</v>
      </c>
      <c r="F2331" s="826">
        <v>0</v>
      </c>
      <c r="G2331" s="880">
        <v>1</v>
      </c>
      <c r="H2331" s="465"/>
      <c r="I2331" s="465"/>
      <c r="J2331" s="826">
        <v>0</v>
      </c>
      <c r="K2331" s="878">
        <v>0</v>
      </c>
    </row>
    <row r="2332" spans="1:11" ht="22.5" customHeight="1" x14ac:dyDescent="0.25">
      <c r="A2332" s="816" t="s">
        <v>301</v>
      </c>
      <c r="B2332" s="880">
        <v>2025</v>
      </c>
      <c r="C2332" s="816" t="s">
        <v>1935</v>
      </c>
      <c r="D2332" s="816" t="s">
        <v>1942</v>
      </c>
      <c r="E2332" s="816" t="s">
        <v>8604</v>
      </c>
      <c r="F2332" s="826">
        <v>0</v>
      </c>
      <c r="G2332" s="880">
        <v>1</v>
      </c>
      <c r="H2332" s="465"/>
      <c r="I2332" s="465"/>
      <c r="J2332" s="826">
        <v>0</v>
      </c>
      <c r="K2332" s="878">
        <v>0</v>
      </c>
    </row>
    <row r="2333" spans="1:11" ht="22.5" customHeight="1" x14ac:dyDescent="0.25">
      <c r="A2333" s="816" t="s">
        <v>301</v>
      </c>
      <c r="B2333" s="880">
        <v>2025</v>
      </c>
      <c r="C2333" s="816" t="s">
        <v>1935</v>
      </c>
      <c r="D2333" s="816" t="s">
        <v>1943</v>
      </c>
      <c r="E2333" s="816" t="s">
        <v>8605</v>
      </c>
      <c r="F2333" s="826">
        <v>0</v>
      </c>
      <c r="G2333" s="880">
        <v>1</v>
      </c>
      <c r="H2333" s="465"/>
      <c r="I2333" s="465"/>
      <c r="J2333" s="826">
        <v>0</v>
      </c>
      <c r="K2333" s="878">
        <v>0</v>
      </c>
    </row>
    <row r="2334" spans="1:11" ht="22.5" customHeight="1" x14ac:dyDescent="0.25">
      <c r="A2334" s="816" t="s">
        <v>301</v>
      </c>
      <c r="B2334" s="880">
        <v>2025</v>
      </c>
      <c r="C2334" s="816" t="s">
        <v>1935</v>
      </c>
      <c r="D2334" s="816" t="s">
        <v>1944</v>
      </c>
      <c r="E2334" s="816" t="s">
        <v>8606</v>
      </c>
      <c r="F2334" s="826">
        <v>0</v>
      </c>
      <c r="G2334" s="880">
        <v>1</v>
      </c>
      <c r="H2334" s="465"/>
      <c r="I2334" s="465"/>
      <c r="J2334" s="826">
        <v>0</v>
      </c>
      <c r="K2334" s="878">
        <v>0</v>
      </c>
    </row>
    <row r="2335" spans="1:11" ht="22.5" customHeight="1" x14ac:dyDescent="0.25">
      <c r="A2335" s="816" t="s">
        <v>301</v>
      </c>
      <c r="B2335" s="880">
        <v>2025</v>
      </c>
      <c r="C2335" s="816" t="s">
        <v>1935</v>
      </c>
      <c r="D2335" s="816" t="s">
        <v>1945</v>
      </c>
      <c r="E2335" s="816" t="s">
        <v>8607</v>
      </c>
      <c r="F2335" s="826">
        <v>0</v>
      </c>
      <c r="G2335" s="880">
        <v>1</v>
      </c>
      <c r="H2335" s="465"/>
      <c r="I2335" s="465"/>
      <c r="J2335" s="826">
        <v>0</v>
      </c>
      <c r="K2335" s="878">
        <v>0</v>
      </c>
    </row>
    <row r="2336" spans="1:11" ht="22.5" customHeight="1" x14ac:dyDescent="0.25">
      <c r="A2336" s="816" t="s">
        <v>301</v>
      </c>
      <c r="B2336" s="880">
        <v>2025</v>
      </c>
      <c r="C2336" s="816" t="s">
        <v>1935</v>
      </c>
      <c r="D2336" s="816" t="s">
        <v>1946</v>
      </c>
      <c r="E2336" s="816" t="s">
        <v>8608</v>
      </c>
      <c r="F2336" s="826">
        <v>0</v>
      </c>
      <c r="G2336" s="880">
        <v>1</v>
      </c>
      <c r="H2336" s="465"/>
      <c r="I2336" s="465"/>
      <c r="J2336" s="826">
        <v>0</v>
      </c>
      <c r="K2336" s="878">
        <v>0</v>
      </c>
    </row>
    <row r="2337" spans="1:11" ht="22.5" customHeight="1" x14ac:dyDescent="0.25">
      <c r="A2337" s="816" t="s">
        <v>301</v>
      </c>
      <c r="B2337" s="880">
        <v>2025</v>
      </c>
      <c r="C2337" s="816" t="s">
        <v>1935</v>
      </c>
      <c r="D2337" s="816" t="s">
        <v>1947</v>
      </c>
      <c r="E2337" s="816" t="s">
        <v>8609</v>
      </c>
      <c r="F2337" s="826">
        <v>0</v>
      </c>
      <c r="G2337" s="880">
        <v>1</v>
      </c>
      <c r="H2337" s="465"/>
      <c r="I2337" s="465"/>
      <c r="J2337" s="826">
        <v>0</v>
      </c>
      <c r="K2337" s="878">
        <v>0</v>
      </c>
    </row>
    <row r="2338" spans="1:11" ht="22.5" customHeight="1" x14ac:dyDescent="0.25">
      <c r="A2338" s="816" t="s">
        <v>301</v>
      </c>
      <c r="B2338" s="880">
        <v>2025</v>
      </c>
      <c r="C2338" s="816" t="s">
        <v>1935</v>
      </c>
      <c r="D2338" s="816" t="s">
        <v>1948</v>
      </c>
      <c r="E2338" s="816" t="s">
        <v>8610</v>
      </c>
      <c r="F2338" s="826">
        <v>0</v>
      </c>
      <c r="G2338" s="880">
        <v>1</v>
      </c>
      <c r="H2338" s="465"/>
      <c r="I2338" s="465"/>
      <c r="J2338" s="826">
        <v>0</v>
      </c>
      <c r="K2338" s="878">
        <v>0</v>
      </c>
    </row>
    <row r="2339" spans="1:11" ht="22.5" customHeight="1" x14ac:dyDescent="0.25">
      <c r="A2339" s="816" t="s">
        <v>301</v>
      </c>
      <c r="B2339" s="880">
        <v>2025</v>
      </c>
      <c r="C2339" s="816" t="s">
        <v>1935</v>
      </c>
      <c r="D2339" s="816" t="s">
        <v>1949</v>
      </c>
      <c r="E2339" s="816" t="s">
        <v>8611</v>
      </c>
      <c r="F2339" s="826">
        <v>0</v>
      </c>
      <c r="G2339" s="880">
        <v>1</v>
      </c>
      <c r="H2339" s="826">
        <v>3260.45</v>
      </c>
      <c r="I2339" s="826">
        <v>554.11</v>
      </c>
      <c r="J2339" s="826">
        <v>3814.56</v>
      </c>
      <c r="K2339" s="878">
        <v>3814.56</v>
      </c>
    </row>
    <row r="2340" spans="1:11" ht="22.5" customHeight="1" x14ac:dyDescent="0.25">
      <c r="A2340" s="816" t="s">
        <v>301</v>
      </c>
      <c r="B2340" s="880">
        <v>2025</v>
      </c>
      <c r="C2340" s="816" t="s">
        <v>1935</v>
      </c>
      <c r="D2340" s="816" t="s">
        <v>1950</v>
      </c>
      <c r="E2340" s="816" t="s">
        <v>8612</v>
      </c>
      <c r="F2340" s="826">
        <v>0</v>
      </c>
      <c r="G2340" s="880">
        <v>1</v>
      </c>
      <c r="H2340" s="826">
        <v>6886.81</v>
      </c>
      <c r="I2340" s="826">
        <v>198.35</v>
      </c>
      <c r="J2340" s="826">
        <v>7085.16</v>
      </c>
      <c r="K2340" s="878">
        <v>7085.16</v>
      </c>
    </row>
    <row r="2341" spans="1:11" ht="22.5" customHeight="1" x14ac:dyDescent="0.25">
      <c r="A2341" s="816" t="s">
        <v>301</v>
      </c>
      <c r="B2341" s="880">
        <v>2025</v>
      </c>
      <c r="C2341" s="816" t="s">
        <v>1935</v>
      </c>
      <c r="D2341" s="816" t="s">
        <v>1951</v>
      </c>
      <c r="E2341" s="816" t="s">
        <v>8613</v>
      </c>
      <c r="F2341" s="826">
        <v>0</v>
      </c>
      <c r="G2341" s="880">
        <v>1</v>
      </c>
      <c r="H2341" s="826">
        <v>4916.37</v>
      </c>
      <c r="I2341" s="826">
        <v>-2260.94</v>
      </c>
      <c r="J2341" s="826">
        <v>2655.43</v>
      </c>
      <c r="K2341" s="878">
        <v>2655.43</v>
      </c>
    </row>
    <row r="2342" spans="1:11" ht="22.5" customHeight="1" x14ac:dyDescent="0.25">
      <c r="A2342" s="816" t="s">
        <v>301</v>
      </c>
      <c r="B2342" s="880">
        <v>2025</v>
      </c>
      <c r="C2342" s="816" t="s">
        <v>1935</v>
      </c>
      <c r="D2342" s="816" t="s">
        <v>7801</v>
      </c>
      <c r="E2342" s="816" t="s">
        <v>8614</v>
      </c>
      <c r="F2342" s="826">
        <v>0</v>
      </c>
      <c r="G2342" s="880">
        <v>1</v>
      </c>
      <c r="H2342" s="826">
        <v>-125282.18</v>
      </c>
      <c r="I2342" s="826">
        <v>-24544.61</v>
      </c>
      <c r="J2342" s="826">
        <v>-149826.79</v>
      </c>
      <c r="K2342" s="878">
        <v>-149826.79</v>
      </c>
    </row>
    <row r="2343" spans="1:11" ht="22.5" customHeight="1" x14ac:dyDescent="0.25">
      <c r="A2343" s="816" t="s">
        <v>301</v>
      </c>
      <c r="B2343" s="880">
        <v>2025</v>
      </c>
      <c r="C2343" s="816" t="s">
        <v>1935</v>
      </c>
      <c r="D2343" s="816" t="s">
        <v>1952</v>
      </c>
      <c r="E2343" s="816" t="s">
        <v>8615</v>
      </c>
      <c r="F2343" s="826">
        <v>-136271.64000000001</v>
      </c>
      <c r="G2343" s="880">
        <v>0</v>
      </c>
      <c r="H2343" s="465"/>
      <c r="I2343" s="465"/>
      <c r="J2343" s="826">
        <v>0</v>
      </c>
      <c r="K2343" s="878">
        <v>-136271.64000000001</v>
      </c>
    </row>
    <row r="2344" spans="1:11" ht="22.5" customHeight="1" x14ac:dyDescent="0.25">
      <c r="A2344" s="816" t="s">
        <v>301</v>
      </c>
      <c r="B2344" s="880">
        <v>2025</v>
      </c>
      <c r="C2344" s="816" t="s">
        <v>1953</v>
      </c>
      <c r="D2344" s="816" t="s">
        <v>1954</v>
      </c>
      <c r="E2344" s="816" t="s">
        <v>3161</v>
      </c>
      <c r="F2344" s="826">
        <v>0</v>
      </c>
      <c r="G2344" s="880">
        <v>0</v>
      </c>
      <c r="H2344" s="465"/>
      <c r="I2344" s="465"/>
      <c r="J2344" s="826">
        <v>0</v>
      </c>
      <c r="K2344" s="878">
        <v>0</v>
      </c>
    </row>
    <row r="2345" spans="1:11" ht="22.5" customHeight="1" x14ac:dyDescent="0.25">
      <c r="A2345" s="816" t="s">
        <v>303</v>
      </c>
      <c r="B2345" s="880">
        <v>2025</v>
      </c>
      <c r="C2345" s="816" t="s">
        <v>1854</v>
      </c>
      <c r="D2345" s="816" t="s">
        <v>1855</v>
      </c>
      <c r="E2345" s="816" t="s">
        <v>3162</v>
      </c>
      <c r="F2345" s="826">
        <v>842461.38</v>
      </c>
      <c r="G2345" s="880">
        <v>0</v>
      </c>
      <c r="H2345" s="465"/>
      <c r="I2345" s="465"/>
      <c r="J2345" s="826">
        <v>0</v>
      </c>
      <c r="K2345" s="878">
        <v>842461.38</v>
      </c>
    </row>
    <row r="2346" spans="1:11" ht="22.5" customHeight="1" x14ac:dyDescent="0.25">
      <c r="A2346" s="816" t="s">
        <v>303</v>
      </c>
      <c r="B2346" s="880">
        <v>2025</v>
      </c>
      <c r="C2346" s="816" t="s">
        <v>7746</v>
      </c>
      <c r="D2346" s="816" t="s">
        <v>7747</v>
      </c>
      <c r="E2346" s="816" t="s">
        <v>7792</v>
      </c>
      <c r="F2346" s="826">
        <v>0</v>
      </c>
      <c r="G2346" s="880">
        <v>0</v>
      </c>
      <c r="H2346" s="465"/>
      <c r="I2346" s="465"/>
      <c r="J2346" s="826">
        <v>0</v>
      </c>
      <c r="K2346" s="878">
        <v>0</v>
      </c>
    </row>
    <row r="2347" spans="1:11" ht="22.5" customHeight="1" x14ac:dyDescent="0.25">
      <c r="A2347" s="816" t="s">
        <v>303</v>
      </c>
      <c r="B2347" s="880">
        <v>2025</v>
      </c>
      <c r="C2347" s="816" t="s">
        <v>1857</v>
      </c>
      <c r="D2347" s="816" t="s">
        <v>1858</v>
      </c>
      <c r="E2347" s="816" t="s">
        <v>3163</v>
      </c>
      <c r="F2347" s="826">
        <v>-1490.14</v>
      </c>
      <c r="G2347" s="880">
        <v>0</v>
      </c>
      <c r="H2347" s="465"/>
      <c r="I2347" s="465"/>
      <c r="J2347" s="826">
        <v>0</v>
      </c>
      <c r="K2347" s="878">
        <v>-1490.14</v>
      </c>
    </row>
    <row r="2348" spans="1:11" ht="22.5" customHeight="1" x14ac:dyDescent="0.25">
      <c r="A2348" s="816" t="s">
        <v>303</v>
      </c>
      <c r="B2348" s="880">
        <v>2025</v>
      </c>
      <c r="C2348" s="816" t="s">
        <v>1860</v>
      </c>
      <c r="D2348" s="816" t="s">
        <v>1861</v>
      </c>
      <c r="E2348" s="816" t="s">
        <v>3164</v>
      </c>
      <c r="F2348" s="826">
        <v>-395.01</v>
      </c>
      <c r="G2348" s="880">
        <v>0</v>
      </c>
      <c r="H2348" s="465"/>
      <c r="I2348" s="465"/>
      <c r="J2348" s="826">
        <v>0</v>
      </c>
      <c r="K2348" s="878">
        <v>-395.01</v>
      </c>
    </row>
    <row r="2349" spans="1:11" ht="22.5" customHeight="1" x14ac:dyDescent="0.25">
      <c r="A2349" s="816" t="s">
        <v>303</v>
      </c>
      <c r="B2349" s="880">
        <v>2025</v>
      </c>
      <c r="C2349" s="816" t="s">
        <v>1863</v>
      </c>
      <c r="D2349" s="816" t="s">
        <v>1864</v>
      </c>
      <c r="E2349" s="816" t="s">
        <v>3165</v>
      </c>
      <c r="F2349" s="826">
        <v>0</v>
      </c>
      <c r="G2349" s="880">
        <v>0</v>
      </c>
      <c r="H2349" s="465"/>
      <c r="I2349" s="465"/>
      <c r="J2349" s="826">
        <v>0</v>
      </c>
      <c r="K2349" s="878">
        <v>0</v>
      </c>
    </row>
    <row r="2350" spans="1:11" ht="22.5" customHeight="1" x14ac:dyDescent="0.25">
      <c r="A2350" s="816" t="s">
        <v>303</v>
      </c>
      <c r="B2350" s="880">
        <v>2025</v>
      </c>
      <c r="C2350" s="816" t="s">
        <v>1866</v>
      </c>
      <c r="D2350" s="816" t="s">
        <v>1867</v>
      </c>
      <c r="E2350" s="816" t="s">
        <v>3166</v>
      </c>
      <c r="F2350" s="826">
        <v>0</v>
      </c>
      <c r="G2350" s="880">
        <v>0</v>
      </c>
      <c r="H2350" s="465"/>
      <c r="I2350" s="465"/>
      <c r="J2350" s="826">
        <v>0</v>
      </c>
      <c r="K2350" s="878">
        <v>0</v>
      </c>
    </row>
    <row r="2351" spans="1:11" ht="22.5" customHeight="1" x14ac:dyDescent="0.25">
      <c r="A2351" s="816" t="s">
        <v>303</v>
      </c>
      <c r="B2351" s="880">
        <v>2025</v>
      </c>
      <c r="C2351" s="816" t="s">
        <v>1869</v>
      </c>
      <c r="D2351" s="816" t="s">
        <v>1870</v>
      </c>
      <c r="E2351" s="816" t="s">
        <v>3167</v>
      </c>
      <c r="F2351" s="826">
        <v>0</v>
      </c>
      <c r="G2351" s="880">
        <v>0</v>
      </c>
      <c r="H2351" s="465"/>
      <c r="I2351" s="465"/>
      <c r="J2351" s="826">
        <v>0</v>
      </c>
      <c r="K2351" s="878">
        <v>0</v>
      </c>
    </row>
    <row r="2352" spans="1:11" ht="22.5" customHeight="1" x14ac:dyDescent="0.25">
      <c r="A2352" s="816" t="s">
        <v>303</v>
      </c>
      <c r="B2352" s="880">
        <v>2025</v>
      </c>
      <c r="C2352" s="816" t="s">
        <v>1872</v>
      </c>
      <c r="D2352" s="816" t="s">
        <v>1873</v>
      </c>
      <c r="E2352" s="816" t="s">
        <v>3168</v>
      </c>
      <c r="F2352" s="826">
        <v>0</v>
      </c>
      <c r="G2352" s="880">
        <v>0</v>
      </c>
      <c r="H2352" s="465"/>
      <c r="I2352" s="465"/>
      <c r="J2352" s="826">
        <v>0</v>
      </c>
      <c r="K2352" s="878">
        <v>0</v>
      </c>
    </row>
    <row r="2353" spans="1:11" ht="22.5" customHeight="1" x14ac:dyDescent="0.25">
      <c r="A2353" s="816" t="s">
        <v>303</v>
      </c>
      <c r="B2353" s="880">
        <v>2025</v>
      </c>
      <c r="C2353" s="816" t="s">
        <v>1875</v>
      </c>
      <c r="D2353" s="816" t="s">
        <v>1876</v>
      </c>
      <c r="E2353" s="816" t="s">
        <v>3169</v>
      </c>
      <c r="F2353" s="826">
        <v>0</v>
      </c>
      <c r="G2353" s="880">
        <v>0</v>
      </c>
      <c r="H2353" s="465"/>
      <c r="I2353" s="465"/>
      <c r="J2353" s="826">
        <v>0</v>
      </c>
      <c r="K2353" s="878">
        <v>0</v>
      </c>
    </row>
    <row r="2354" spans="1:11" ht="22.5" customHeight="1" x14ac:dyDescent="0.25">
      <c r="A2354" s="816" t="s">
        <v>303</v>
      </c>
      <c r="B2354" s="880">
        <v>2025</v>
      </c>
      <c r="C2354" s="816" t="s">
        <v>1878</v>
      </c>
      <c r="D2354" s="816" t="s">
        <v>1879</v>
      </c>
      <c r="E2354" s="816" t="s">
        <v>3170</v>
      </c>
      <c r="F2354" s="826">
        <v>0</v>
      </c>
      <c r="G2354" s="880">
        <v>0</v>
      </c>
      <c r="H2354" s="465"/>
      <c r="I2354" s="465"/>
      <c r="J2354" s="826">
        <v>0</v>
      </c>
      <c r="K2354" s="878">
        <v>0</v>
      </c>
    </row>
    <row r="2355" spans="1:11" ht="22.5" customHeight="1" x14ac:dyDescent="0.25">
      <c r="A2355" s="816" t="s">
        <v>303</v>
      </c>
      <c r="B2355" s="880">
        <v>2025</v>
      </c>
      <c r="C2355" s="816" t="s">
        <v>1881</v>
      </c>
      <c r="D2355" s="816" t="s">
        <v>1882</v>
      </c>
      <c r="E2355" s="816" t="s">
        <v>3171</v>
      </c>
      <c r="F2355" s="826">
        <v>0</v>
      </c>
      <c r="G2355" s="880">
        <v>0</v>
      </c>
      <c r="H2355" s="465"/>
      <c r="I2355" s="465"/>
      <c r="J2355" s="826">
        <v>0</v>
      </c>
      <c r="K2355" s="878">
        <v>0</v>
      </c>
    </row>
    <row r="2356" spans="1:11" ht="22.5" customHeight="1" x14ac:dyDescent="0.25">
      <c r="A2356" s="816" t="s">
        <v>303</v>
      </c>
      <c r="B2356" s="880">
        <v>2025</v>
      </c>
      <c r="C2356" s="816" t="s">
        <v>1884</v>
      </c>
      <c r="D2356" s="816" t="s">
        <v>1885</v>
      </c>
      <c r="E2356" s="816" t="s">
        <v>3172</v>
      </c>
      <c r="F2356" s="826">
        <v>212.69</v>
      </c>
      <c r="G2356" s="880">
        <v>0</v>
      </c>
      <c r="H2356" s="465"/>
      <c r="I2356" s="465"/>
      <c r="J2356" s="826">
        <v>0</v>
      </c>
      <c r="K2356" s="878">
        <v>212.69</v>
      </c>
    </row>
    <row r="2357" spans="1:11" ht="22.5" customHeight="1" x14ac:dyDescent="0.25">
      <c r="A2357" s="816" t="s">
        <v>303</v>
      </c>
      <c r="B2357" s="880">
        <v>2025</v>
      </c>
      <c r="C2357" s="816" t="s">
        <v>1887</v>
      </c>
      <c r="D2357" s="816" t="s">
        <v>138</v>
      </c>
      <c r="E2357" s="816" t="s">
        <v>3173</v>
      </c>
      <c r="F2357" s="826">
        <v>-65515.93</v>
      </c>
      <c r="G2357" s="880">
        <v>1</v>
      </c>
      <c r="H2357" s="826">
        <v>-62186.68</v>
      </c>
      <c r="I2357" s="826">
        <v>-3329.25</v>
      </c>
      <c r="J2357" s="826">
        <v>-65515.93</v>
      </c>
      <c r="K2357" s="878">
        <v>-65515.93</v>
      </c>
    </row>
    <row r="2358" spans="1:11" ht="22.5" customHeight="1" x14ac:dyDescent="0.25">
      <c r="A2358" s="816" t="s">
        <v>303</v>
      </c>
      <c r="B2358" s="880">
        <v>2025</v>
      </c>
      <c r="C2358" s="816" t="s">
        <v>1889</v>
      </c>
      <c r="D2358" s="816" t="s">
        <v>139</v>
      </c>
      <c r="E2358" s="816" t="s">
        <v>3174</v>
      </c>
      <c r="F2358" s="826">
        <v>-25443.51</v>
      </c>
      <c r="G2358" s="880">
        <v>1</v>
      </c>
      <c r="H2358" s="826">
        <v>-23904.67</v>
      </c>
      <c r="I2358" s="826">
        <v>-1538.84</v>
      </c>
      <c r="J2358" s="826">
        <v>-25443.51</v>
      </c>
      <c r="K2358" s="878">
        <v>-25443.51</v>
      </c>
    </row>
    <row r="2359" spans="1:11" ht="22.5" customHeight="1" x14ac:dyDescent="0.25">
      <c r="A2359" s="816" t="s">
        <v>303</v>
      </c>
      <c r="B2359" s="880">
        <v>2025</v>
      </c>
      <c r="C2359" s="816" t="s">
        <v>1891</v>
      </c>
      <c r="D2359" s="816" t="s">
        <v>1892</v>
      </c>
      <c r="E2359" s="816" t="s">
        <v>3175</v>
      </c>
      <c r="F2359" s="826">
        <v>0</v>
      </c>
      <c r="G2359" s="880">
        <v>0</v>
      </c>
      <c r="H2359" s="465"/>
      <c r="I2359" s="465"/>
      <c r="J2359" s="826">
        <v>0</v>
      </c>
      <c r="K2359" s="878">
        <v>0</v>
      </c>
    </row>
    <row r="2360" spans="1:11" ht="22.5" customHeight="1" x14ac:dyDescent="0.25">
      <c r="A2360" s="816" t="s">
        <v>303</v>
      </c>
      <c r="B2360" s="880">
        <v>2025</v>
      </c>
      <c r="C2360" s="816" t="s">
        <v>1891</v>
      </c>
      <c r="D2360" s="816" t="s">
        <v>1894</v>
      </c>
      <c r="E2360" s="816" t="s">
        <v>3175</v>
      </c>
      <c r="F2360" s="826">
        <v>0</v>
      </c>
      <c r="G2360" s="880">
        <v>0</v>
      </c>
      <c r="H2360" s="465"/>
      <c r="I2360" s="465"/>
      <c r="J2360" s="826">
        <v>0</v>
      </c>
      <c r="K2360" s="881">
        <v>0</v>
      </c>
    </row>
    <row r="2361" spans="1:11" ht="22.5" customHeight="1" x14ac:dyDescent="0.25">
      <c r="A2361" s="816" t="s">
        <v>303</v>
      </c>
      <c r="B2361" s="880">
        <v>2025</v>
      </c>
      <c r="C2361" s="816" t="s">
        <v>1895</v>
      </c>
      <c r="D2361" s="816" t="s">
        <v>1896</v>
      </c>
      <c r="E2361" s="816" t="s">
        <v>3176</v>
      </c>
      <c r="F2361" s="826">
        <v>0</v>
      </c>
      <c r="G2361" s="880">
        <v>0</v>
      </c>
      <c r="H2361" s="465"/>
      <c r="I2361" s="465"/>
      <c r="J2361" s="826">
        <v>0</v>
      </c>
      <c r="K2361" s="878">
        <v>0</v>
      </c>
    </row>
    <row r="2362" spans="1:11" ht="22.5" customHeight="1" x14ac:dyDescent="0.25">
      <c r="A2362" s="816" t="s">
        <v>303</v>
      </c>
      <c r="B2362" s="880">
        <v>2025</v>
      </c>
      <c r="C2362" s="816" t="s">
        <v>1898</v>
      </c>
      <c r="D2362" s="816" t="s">
        <v>1899</v>
      </c>
      <c r="E2362" s="816" t="s">
        <v>3177</v>
      </c>
      <c r="F2362" s="826">
        <v>0</v>
      </c>
      <c r="G2362" s="880">
        <v>0</v>
      </c>
      <c r="H2362" s="465"/>
      <c r="I2362" s="465"/>
      <c r="J2362" s="826">
        <v>0</v>
      </c>
      <c r="K2362" s="878">
        <v>0</v>
      </c>
    </row>
    <row r="2363" spans="1:11" ht="22.5" customHeight="1" x14ac:dyDescent="0.25">
      <c r="A2363" s="816" t="s">
        <v>303</v>
      </c>
      <c r="B2363" s="880">
        <v>2025</v>
      </c>
      <c r="C2363" s="816" t="s">
        <v>1901</v>
      </c>
      <c r="D2363" s="816" t="s">
        <v>1902</v>
      </c>
      <c r="E2363" s="816" t="s">
        <v>3178</v>
      </c>
      <c r="F2363" s="826">
        <v>0</v>
      </c>
      <c r="G2363" s="880">
        <v>0</v>
      </c>
      <c r="H2363" s="465"/>
      <c r="I2363" s="465"/>
      <c r="J2363" s="826">
        <v>0</v>
      </c>
      <c r="K2363" s="878">
        <v>0</v>
      </c>
    </row>
    <row r="2364" spans="1:11" ht="22.5" customHeight="1" x14ac:dyDescent="0.25">
      <c r="A2364" s="816" t="s">
        <v>303</v>
      </c>
      <c r="B2364" s="880">
        <v>2025</v>
      </c>
      <c r="C2364" s="816" t="s">
        <v>1904</v>
      </c>
      <c r="D2364" s="816" t="s">
        <v>1905</v>
      </c>
      <c r="E2364" s="816" t="s">
        <v>3179</v>
      </c>
      <c r="F2364" s="826">
        <v>0</v>
      </c>
      <c r="G2364" s="880">
        <v>0</v>
      </c>
      <c r="H2364" s="465"/>
      <c r="I2364" s="465"/>
      <c r="J2364" s="826">
        <v>0</v>
      </c>
      <c r="K2364" s="878">
        <v>0</v>
      </c>
    </row>
    <row r="2365" spans="1:11" ht="22.5" customHeight="1" x14ac:dyDescent="0.25">
      <c r="A2365" s="816" t="s">
        <v>303</v>
      </c>
      <c r="B2365" s="880">
        <v>2025</v>
      </c>
      <c r="C2365" s="816" t="s">
        <v>1907</v>
      </c>
      <c r="D2365" s="816" t="s">
        <v>1908</v>
      </c>
      <c r="E2365" s="816" t="s">
        <v>3180</v>
      </c>
      <c r="F2365" s="826">
        <v>0</v>
      </c>
      <c r="G2365" s="880">
        <v>0</v>
      </c>
      <c r="H2365" s="465"/>
      <c r="I2365" s="465"/>
      <c r="J2365" s="826">
        <v>0</v>
      </c>
      <c r="K2365" s="878">
        <v>0</v>
      </c>
    </row>
    <row r="2366" spans="1:11" ht="22.5" customHeight="1" x14ac:dyDescent="0.25">
      <c r="A2366" s="816" t="s">
        <v>303</v>
      </c>
      <c r="B2366" s="880">
        <v>2025</v>
      </c>
      <c r="C2366" s="816" t="s">
        <v>1910</v>
      </c>
      <c r="D2366" s="816" t="s">
        <v>1911</v>
      </c>
      <c r="E2366" s="816" t="s">
        <v>3181</v>
      </c>
      <c r="F2366" s="826">
        <v>0</v>
      </c>
      <c r="G2366" s="880">
        <v>0</v>
      </c>
      <c r="H2366" s="465"/>
      <c r="I2366" s="465"/>
      <c r="J2366" s="826">
        <v>0</v>
      </c>
      <c r="K2366" s="878">
        <v>0</v>
      </c>
    </row>
    <row r="2367" spans="1:11" ht="22.5" customHeight="1" x14ac:dyDescent="0.25">
      <c r="A2367" s="816" t="s">
        <v>303</v>
      </c>
      <c r="B2367" s="880">
        <v>2025</v>
      </c>
      <c r="C2367" s="816" t="s">
        <v>1913</v>
      </c>
      <c r="D2367" s="816" t="s">
        <v>1914</v>
      </c>
      <c r="E2367" s="816" t="s">
        <v>3182</v>
      </c>
      <c r="F2367" s="826">
        <v>-77008.600000000006</v>
      </c>
      <c r="G2367" s="880">
        <v>1</v>
      </c>
      <c r="H2367" s="826">
        <v>-74079.37</v>
      </c>
      <c r="I2367" s="826">
        <v>-2929.23</v>
      </c>
      <c r="J2367" s="826">
        <v>-77008.600000000006</v>
      </c>
      <c r="K2367" s="878">
        <v>-77008.600000000006</v>
      </c>
    </row>
    <row r="2368" spans="1:11" ht="22.5" customHeight="1" x14ac:dyDescent="0.25">
      <c r="A2368" s="816" t="s">
        <v>303</v>
      </c>
      <c r="B2368" s="880">
        <v>2025</v>
      </c>
      <c r="C2368" s="816" t="s">
        <v>1913</v>
      </c>
      <c r="D2368" s="816" t="s">
        <v>1916</v>
      </c>
      <c r="E2368" s="816" t="s">
        <v>3182</v>
      </c>
      <c r="F2368" s="826">
        <v>0</v>
      </c>
      <c r="G2368" s="880">
        <v>0</v>
      </c>
      <c r="H2368" s="465"/>
      <c r="I2368" s="465"/>
      <c r="J2368" s="826">
        <v>0</v>
      </c>
      <c r="K2368" s="881">
        <v>-3965.7</v>
      </c>
    </row>
    <row r="2369" spans="1:11" ht="22.5" customHeight="1" x14ac:dyDescent="0.25">
      <c r="A2369" s="816" t="s">
        <v>303</v>
      </c>
      <c r="B2369" s="880">
        <v>2025</v>
      </c>
      <c r="C2369" s="816" t="s">
        <v>1913</v>
      </c>
      <c r="D2369" s="816" t="s">
        <v>1917</v>
      </c>
      <c r="E2369" s="816" t="s">
        <v>3182</v>
      </c>
      <c r="F2369" s="826">
        <v>0</v>
      </c>
      <c r="G2369" s="880">
        <v>0</v>
      </c>
      <c r="H2369" s="465"/>
      <c r="I2369" s="465"/>
      <c r="J2369" s="826">
        <v>0</v>
      </c>
      <c r="K2369" s="881">
        <v>-137530.23999999999</v>
      </c>
    </row>
    <row r="2370" spans="1:11" ht="22.5" customHeight="1" x14ac:dyDescent="0.25">
      <c r="A2370" s="816" t="s">
        <v>303</v>
      </c>
      <c r="B2370" s="880">
        <v>2025</v>
      </c>
      <c r="C2370" s="816" t="s">
        <v>1913</v>
      </c>
      <c r="D2370" s="816" t="s">
        <v>1918</v>
      </c>
      <c r="E2370" s="816" t="s">
        <v>3182</v>
      </c>
      <c r="F2370" s="826">
        <v>0</v>
      </c>
      <c r="G2370" s="880">
        <v>0</v>
      </c>
      <c r="H2370" s="465"/>
      <c r="I2370" s="465"/>
      <c r="J2370" s="826">
        <v>0</v>
      </c>
      <c r="K2370" s="881">
        <v>1036.47</v>
      </c>
    </row>
    <row r="2371" spans="1:11" ht="22.5" customHeight="1" x14ac:dyDescent="0.25">
      <c r="A2371" s="816" t="s">
        <v>303</v>
      </c>
      <c r="B2371" s="880">
        <v>2025</v>
      </c>
      <c r="C2371" s="816" t="s">
        <v>1913</v>
      </c>
      <c r="D2371" s="816" t="s">
        <v>1919</v>
      </c>
      <c r="E2371" s="816" t="s">
        <v>3182</v>
      </c>
      <c r="F2371" s="826">
        <v>0</v>
      </c>
      <c r="G2371" s="880">
        <v>0</v>
      </c>
      <c r="H2371" s="465"/>
      <c r="I2371" s="465"/>
      <c r="J2371" s="826">
        <v>0</v>
      </c>
      <c r="K2371" s="881">
        <v>63450.87</v>
      </c>
    </row>
    <row r="2372" spans="1:11" ht="22.5" customHeight="1" x14ac:dyDescent="0.25">
      <c r="A2372" s="816" t="s">
        <v>303</v>
      </c>
      <c r="B2372" s="880">
        <v>2025</v>
      </c>
      <c r="C2372" s="816" t="s">
        <v>1920</v>
      </c>
      <c r="D2372" s="816" t="s">
        <v>1921</v>
      </c>
      <c r="E2372" s="816" t="s">
        <v>3183</v>
      </c>
      <c r="F2372" s="826">
        <v>0</v>
      </c>
      <c r="G2372" s="880">
        <v>0</v>
      </c>
      <c r="H2372" s="465"/>
      <c r="I2372" s="465"/>
      <c r="J2372" s="826">
        <v>0</v>
      </c>
      <c r="K2372" s="878">
        <v>0</v>
      </c>
    </row>
    <row r="2373" spans="1:11" ht="22.5" customHeight="1" x14ac:dyDescent="0.25">
      <c r="A2373" s="816" t="s">
        <v>303</v>
      </c>
      <c r="B2373" s="880">
        <v>2025</v>
      </c>
      <c r="C2373" s="816" t="s">
        <v>1923</v>
      </c>
      <c r="D2373" s="816" t="s">
        <v>143</v>
      </c>
      <c r="E2373" s="816" t="s">
        <v>3184</v>
      </c>
      <c r="F2373" s="826">
        <v>34508.28</v>
      </c>
      <c r="G2373" s="880">
        <v>1</v>
      </c>
      <c r="H2373" s="826">
        <v>32408.81</v>
      </c>
      <c r="I2373" s="826">
        <v>2099.4699999999998</v>
      </c>
      <c r="J2373" s="826">
        <v>34508.28</v>
      </c>
      <c r="K2373" s="878">
        <v>34508.28</v>
      </c>
    </row>
    <row r="2374" spans="1:11" ht="22.5" customHeight="1" x14ac:dyDescent="0.25">
      <c r="A2374" s="816" t="s">
        <v>303</v>
      </c>
      <c r="B2374" s="880">
        <v>2025</v>
      </c>
      <c r="C2374" s="816" t="s">
        <v>1925</v>
      </c>
      <c r="D2374" s="816" t="s">
        <v>144</v>
      </c>
      <c r="E2374" s="816" t="s">
        <v>3185</v>
      </c>
      <c r="F2374" s="826">
        <v>49293.65</v>
      </c>
      <c r="G2374" s="880">
        <v>1</v>
      </c>
      <c r="H2374" s="826">
        <v>47489.22</v>
      </c>
      <c r="I2374" s="826">
        <v>1804.43</v>
      </c>
      <c r="J2374" s="826">
        <v>49293.65</v>
      </c>
      <c r="K2374" s="878">
        <v>49293.65</v>
      </c>
    </row>
    <row r="2375" spans="1:11" ht="22.5" customHeight="1" x14ac:dyDescent="0.25">
      <c r="A2375" s="816" t="s">
        <v>303</v>
      </c>
      <c r="B2375" s="880">
        <v>2025</v>
      </c>
      <c r="C2375" s="816" t="s">
        <v>1927</v>
      </c>
      <c r="D2375" s="816" t="s">
        <v>1928</v>
      </c>
      <c r="E2375" s="816" t="s">
        <v>3186</v>
      </c>
      <c r="F2375" s="826">
        <v>187324.1</v>
      </c>
      <c r="G2375" s="880">
        <v>1</v>
      </c>
      <c r="H2375" s="826">
        <v>185568.94</v>
      </c>
      <c r="I2375" s="826">
        <v>1755.16</v>
      </c>
      <c r="J2375" s="826">
        <v>187324.1</v>
      </c>
      <c r="K2375" s="878">
        <v>187324.1</v>
      </c>
    </row>
    <row r="2376" spans="1:11" ht="22.5" customHeight="1" x14ac:dyDescent="0.25">
      <c r="A2376" s="816" t="s">
        <v>303</v>
      </c>
      <c r="B2376" s="880">
        <v>2025</v>
      </c>
      <c r="C2376" s="816" t="s">
        <v>1930</v>
      </c>
      <c r="D2376" s="816" t="s">
        <v>156</v>
      </c>
      <c r="E2376" s="816" t="s">
        <v>3187</v>
      </c>
      <c r="F2376" s="826">
        <v>482687.41</v>
      </c>
      <c r="G2376" s="880">
        <v>1</v>
      </c>
      <c r="H2376" s="826">
        <v>461256.83</v>
      </c>
      <c r="I2376" s="826">
        <v>21430.58</v>
      </c>
      <c r="J2376" s="826">
        <v>482687.41</v>
      </c>
      <c r="K2376" s="878">
        <v>482687.41</v>
      </c>
    </row>
    <row r="2377" spans="1:11" ht="22.5" customHeight="1" x14ac:dyDescent="0.25">
      <c r="A2377" s="816" t="s">
        <v>303</v>
      </c>
      <c r="B2377" s="880">
        <v>2025</v>
      </c>
      <c r="C2377" s="816" t="s">
        <v>1932</v>
      </c>
      <c r="D2377" s="816" t="s">
        <v>1933</v>
      </c>
      <c r="E2377" s="816" t="s">
        <v>3188</v>
      </c>
      <c r="F2377" s="826">
        <v>3158.07</v>
      </c>
      <c r="G2377" s="880">
        <v>0</v>
      </c>
      <c r="H2377" s="465"/>
      <c r="I2377" s="465"/>
      <c r="J2377" s="826">
        <v>0</v>
      </c>
      <c r="K2377" s="878">
        <v>3158.07</v>
      </c>
    </row>
    <row r="2378" spans="1:11" ht="22.5" customHeight="1" x14ac:dyDescent="0.25">
      <c r="A2378" s="816" t="s">
        <v>303</v>
      </c>
      <c r="B2378" s="880">
        <v>2025</v>
      </c>
      <c r="C2378" s="816" t="s">
        <v>1935</v>
      </c>
      <c r="D2378" s="816" t="s">
        <v>1936</v>
      </c>
      <c r="E2378" s="816" t="s">
        <v>8616</v>
      </c>
      <c r="F2378" s="826">
        <v>0</v>
      </c>
      <c r="G2378" s="880">
        <v>1</v>
      </c>
      <c r="H2378" s="465"/>
      <c r="I2378" s="465"/>
      <c r="J2378" s="826">
        <v>0</v>
      </c>
      <c r="K2378" s="878">
        <v>0</v>
      </c>
    </row>
    <row r="2379" spans="1:11" ht="22.5" customHeight="1" x14ac:dyDescent="0.25">
      <c r="A2379" s="816" t="s">
        <v>303</v>
      </c>
      <c r="B2379" s="880">
        <v>2025</v>
      </c>
      <c r="C2379" s="816" t="s">
        <v>1935</v>
      </c>
      <c r="D2379" s="816" t="s">
        <v>1937</v>
      </c>
      <c r="E2379" s="816" t="s">
        <v>8617</v>
      </c>
      <c r="F2379" s="826">
        <v>0</v>
      </c>
      <c r="G2379" s="880">
        <v>1</v>
      </c>
      <c r="H2379" s="465"/>
      <c r="I2379" s="465"/>
      <c r="J2379" s="826">
        <v>0</v>
      </c>
      <c r="K2379" s="878">
        <v>0</v>
      </c>
    </row>
    <row r="2380" spans="1:11" ht="22.5" customHeight="1" x14ac:dyDescent="0.25">
      <c r="A2380" s="816" t="s">
        <v>303</v>
      </c>
      <c r="B2380" s="880">
        <v>2025</v>
      </c>
      <c r="C2380" s="816" t="s">
        <v>1935</v>
      </c>
      <c r="D2380" s="816" t="s">
        <v>1938</v>
      </c>
      <c r="E2380" s="816" t="s">
        <v>8618</v>
      </c>
      <c r="F2380" s="826">
        <v>0</v>
      </c>
      <c r="G2380" s="880">
        <v>1</v>
      </c>
      <c r="H2380" s="465"/>
      <c r="I2380" s="465"/>
      <c r="J2380" s="826">
        <v>0</v>
      </c>
      <c r="K2380" s="878">
        <v>0</v>
      </c>
    </row>
    <row r="2381" spans="1:11" ht="22.5" customHeight="1" x14ac:dyDescent="0.25">
      <c r="A2381" s="816" t="s">
        <v>303</v>
      </c>
      <c r="B2381" s="880">
        <v>2025</v>
      </c>
      <c r="C2381" s="816" t="s">
        <v>1935</v>
      </c>
      <c r="D2381" s="816" t="s">
        <v>1939</v>
      </c>
      <c r="E2381" s="816" t="s">
        <v>8619</v>
      </c>
      <c r="F2381" s="826">
        <v>0</v>
      </c>
      <c r="G2381" s="880">
        <v>1</v>
      </c>
      <c r="H2381" s="465"/>
      <c r="I2381" s="465"/>
      <c r="J2381" s="826">
        <v>0</v>
      </c>
      <c r="K2381" s="878">
        <v>0</v>
      </c>
    </row>
    <row r="2382" spans="1:11" ht="22.5" customHeight="1" x14ac:dyDescent="0.25">
      <c r="A2382" s="816" t="s">
        <v>303</v>
      </c>
      <c r="B2382" s="880">
        <v>2025</v>
      </c>
      <c r="C2382" s="816" t="s">
        <v>1935</v>
      </c>
      <c r="D2382" s="816" t="s">
        <v>1940</v>
      </c>
      <c r="E2382" s="816" t="s">
        <v>8620</v>
      </c>
      <c r="F2382" s="826">
        <v>0</v>
      </c>
      <c r="G2382" s="880">
        <v>1</v>
      </c>
      <c r="H2382" s="465"/>
      <c r="I2382" s="465"/>
      <c r="J2382" s="826">
        <v>0</v>
      </c>
      <c r="K2382" s="878">
        <v>0</v>
      </c>
    </row>
    <row r="2383" spans="1:11" ht="22.5" customHeight="1" x14ac:dyDescent="0.25">
      <c r="A2383" s="816" t="s">
        <v>303</v>
      </c>
      <c r="B2383" s="880">
        <v>2025</v>
      </c>
      <c r="C2383" s="816" t="s">
        <v>1935</v>
      </c>
      <c r="D2383" s="816" t="s">
        <v>1941</v>
      </c>
      <c r="E2383" s="816" t="s">
        <v>8621</v>
      </c>
      <c r="F2383" s="826">
        <v>0</v>
      </c>
      <c r="G2383" s="880">
        <v>1</v>
      </c>
      <c r="H2383" s="465"/>
      <c r="I2383" s="465"/>
      <c r="J2383" s="826">
        <v>0</v>
      </c>
      <c r="K2383" s="878">
        <v>0</v>
      </c>
    </row>
    <row r="2384" spans="1:11" ht="22.5" customHeight="1" x14ac:dyDescent="0.25">
      <c r="A2384" s="816" t="s">
        <v>303</v>
      </c>
      <c r="B2384" s="880">
        <v>2025</v>
      </c>
      <c r="C2384" s="816" t="s">
        <v>1935</v>
      </c>
      <c r="D2384" s="816" t="s">
        <v>1942</v>
      </c>
      <c r="E2384" s="816" t="s">
        <v>8622</v>
      </c>
      <c r="F2384" s="826">
        <v>0</v>
      </c>
      <c r="G2384" s="880">
        <v>1</v>
      </c>
      <c r="H2384" s="465"/>
      <c r="I2384" s="465"/>
      <c r="J2384" s="826">
        <v>0</v>
      </c>
      <c r="K2384" s="878">
        <v>0</v>
      </c>
    </row>
    <row r="2385" spans="1:11" ht="22.5" customHeight="1" x14ac:dyDescent="0.25">
      <c r="A2385" s="816" t="s">
        <v>303</v>
      </c>
      <c r="B2385" s="880">
        <v>2025</v>
      </c>
      <c r="C2385" s="816" t="s">
        <v>1935</v>
      </c>
      <c r="D2385" s="816" t="s">
        <v>1943</v>
      </c>
      <c r="E2385" s="816" t="s">
        <v>8623</v>
      </c>
      <c r="F2385" s="826">
        <v>0</v>
      </c>
      <c r="G2385" s="880">
        <v>1</v>
      </c>
      <c r="H2385" s="465"/>
      <c r="I2385" s="465"/>
      <c r="J2385" s="826">
        <v>0</v>
      </c>
      <c r="K2385" s="878">
        <v>0</v>
      </c>
    </row>
    <row r="2386" spans="1:11" ht="22.5" customHeight="1" x14ac:dyDescent="0.25">
      <c r="A2386" s="816" t="s">
        <v>303</v>
      </c>
      <c r="B2386" s="880">
        <v>2025</v>
      </c>
      <c r="C2386" s="816" t="s">
        <v>1935</v>
      </c>
      <c r="D2386" s="816" t="s">
        <v>1944</v>
      </c>
      <c r="E2386" s="816" t="s">
        <v>8624</v>
      </c>
      <c r="F2386" s="826">
        <v>0</v>
      </c>
      <c r="G2386" s="880">
        <v>1</v>
      </c>
      <c r="H2386" s="465"/>
      <c r="I2386" s="465"/>
      <c r="J2386" s="826">
        <v>0</v>
      </c>
      <c r="K2386" s="878">
        <v>0</v>
      </c>
    </row>
    <row r="2387" spans="1:11" ht="22.5" customHeight="1" x14ac:dyDescent="0.25">
      <c r="A2387" s="816" t="s">
        <v>303</v>
      </c>
      <c r="B2387" s="880">
        <v>2025</v>
      </c>
      <c r="C2387" s="816" t="s">
        <v>1935</v>
      </c>
      <c r="D2387" s="816" t="s">
        <v>1945</v>
      </c>
      <c r="E2387" s="816" t="s">
        <v>8625</v>
      </c>
      <c r="F2387" s="826">
        <v>0</v>
      </c>
      <c r="G2387" s="880">
        <v>1</v>
      </c>
      <c r="H2387" s="826">
        <v>-1.69</v>
      </c>
      <c r="I2387" s="465"/>
      <c r="J2387" s="826">
        <v>-1.69</v>
      </c>
      <c r="K2387" s="878">
        <v>-1.69</v>
      </c>
    </row>
    <row r="2388" spans="1:11" ht="22.5" customHeight="1" x14ac:dyDescent="0.25">
      <c r="A2388" s="816" t="s">
        <v>303</v>
      </c>
      <c r="B2388" s="880">
        <v>2025</v>
      </c>
      <c r="C2388" s="816" t="s">
        <v>1935</v>
      </c>
      <c r="D2388" s="816" t="s">
        <v>1946</v>
      </c>
      <c r="E2388" s="816" t="s">
        <v>8626</v>
      </c>
      <c r="F2388" s="826">
        <v>0</v>
      </c>
      <c r="G2388" s="880">
        <v>1</v>
      </c>
      <c r="H2388" s="465"/>
      <c r="I2388" s="465"/>
      <c r="J2388" s="826">
        <v>0</v>
      </c>
      <c r="K2388" s="878">
        <v>0</v>
      </c>
    </row>
    <row r="2389" spans="1:11" ht="22.5" customHeight="1" x14ac:dyDescent="0.25">
      <c r="A2389" s="816" t="s">
        <v>303</v>
      </c>
      <c r="B2389" s="880">
        <v>2025</v>
      </c>
      <c r="C2389" s="816" t="s">
        <v>1935</v>
      </c>
      <c r="D2389" s="816" t="s">
        <v>1947</v>
      </c>
      <c r="E2389" s="816" t="s">
        <v>8627</v>
      </c>
      <c r="F2389" s="826">
        <v>0</v>
      </c>
      <c r="G2389" s="880">
        <v>1</v>
      </c>
      <c r="H2389" s="465"/>
      <c r="I2389" s="465"/>
      <c r="J2389" s="826">
        <v>0</v>
      </c>
      <c r="K2389" s="878">
        <v>0</v>
      </c>
    </row>
    <row r="2390" spans="1:11" ht="22.5" customHeight="1" x14ac:dyDescent="0.25">
      <c r="A2390" s="816" t="s">
        <v>303</v>
      </c>
      <c r="B2390" s="880">
        <v>2025</v>
      </c>
      <c r="C2390" s="816" t="s">
        <v>1935</v>
      </c>
      <c r="D2390" s="816" t="s">
        <v>1948</v>
      </c>
      <c r="E2390" s="816" t="s">
        <v>8628</v>
      </c>
      <c r="F2390" s="826">
        <v>0</v>
      </c>
      <c r="G2390" s="880">
        <v>1</v>
      </c>
      <c r="H2390" s="826">
        <v>-3501.98</v>
      </c>
      <c r="I2390" s="826">
        <v>-13736.8</v>
      </c>
      <c r="J2390" s="826">
        <v>-17238.78</v>
      </c>
      <c r="K2390" s="878">
        <v>-17238.78</v>
      </c>
    </row>
    <row r="2391" spans="1:11" ht="22.5" customHeight="1" x14ac:dyDescent="0.25">
      <c r="A2391" s="816" t="s">
        <v>303</v>
      </c>
      <c r="B2391" s="880">
        <v>2025</v>
      </c>
      <c r="C2391" s="816" t="s">
        <v>1935</v>
      </c>
      <c r="D2391" s="816" t="s">
        <v>1949</v>
      </c>
      <c r="E2391" s="816" t="s">
        <v>8629</v>
      </c>
      <c r="F2391" s="826">
        <v>0</v>
      </c>
      <c r="G2391" s="880">
        <v>1</v>
      </c>
      <c r="H2391" s="826">
        <v>-4795.07</v>
      </c>
      <c r="I2391" s="826">
        <v>3406.35</v>
      </c>
      <c r="J2391" s="826">
        <v>-1388.72</v>
      </c>
      <c r="K2391" s="878">
        <v>-1388.72</v>
      </c>
    </row>
    <row r="2392" spans="1:11" ht="22.5" customHeight="1" x14ac:dyDescent="0.25">
      <c r="A2392" s="816" t="s">
        <v>303</v>
      </c>
      <c r="B2392" s="880">
        <v>2025</v>
      </c>
      <c r="C2392" s="816" t="s">
        <v>1935</v>
      </c>
      <c r="D2392" s="816" t="s">
        <v>1950</v>
      </c>
      <c r="E2392" s="816" t="s">
        <v>8630</v>
      </c>
      <c r="F2392" s="826">
        <v>0</v>
      </c>
      <c r="G2392" s="880">
        <v>1</v>
      </c>
      <c r="H2392" s="826">
        <v>-8051.77</v>
      </c>
      <c r="I2392" s="826">
        <v>-476.66</v>
      </c>
      <c r="J2392" s="826">
        <v>-8528.43</v>
      </c>
      <c r="K2392" s="878">
        <v>-8528.43</v>
      </c>
    </row>
    <row r="2393" spans="1:11" ht="22.5" customHeight="1" x14ac:dyDescent="0.25">
      <c r="A2393" s="816" t="s">
        <v>303</v>
      </c>
      <c r="B2393" s="880">
        <v>2025</v>
      </c>
      <c r="C2393" s="816" t="s">
        <v>1935</v>
      </c>
      <c r="D2393" s="816" t="s">
        <v>1951</v>
      </c>
      <c r="E2393" s="816" t="s">
        <v>8631</v>
      </c>
      <c r="F2393" s="826">
        <v>0</v>
      </c>
      <c r="G2393" s="880">
        <v>1</v>
      </c>
      <c r="H2393" s="826">
        <v>-21866.1</v>
      </c>
      <c r="I2393" s="826">
        <v>16736.95</v>
      </c>
      <c r="J2393" s="826">
        <v>-5129.1499999999996</v>
      </c>
      <c r="K2393" s="878">
        <v>-5129.1499999999996</v>
      </c>
    </row>
    <row r="2394" spans="1:11" ht="22.5" customHeight="1" x14ac:dyDescent="0.25">
      <c r="A2394" s="816" t="s">
        <v>303</v>
      </c>
      <c r="B2394" s="880">
        <v>2025</v>
      </c>
      <c r="C2394" s="816" t="s">
        <v>1935</v>
      </c>
      <c r="D2394" s="816" t="s">
        <v>7801</v>
      </c>
      <c r="E2394" s="816" t="s">
        <v>8632</v>
      </c>
      <c r="F2394" s="826">
        <v>0</v>
      </c>
      <c r="G2394" s="880">
        <v>1</v>
      </c>
      <c r="H2394" s="826">
        <v>112118.91</v>
      </c>
      <c r="I2394" s="826">
        <v>45795</v>
      </c>
      <c r="J2394" s="826">
        <v>157913.91</v>
      </c>
      <c r="K2394" s="878">
        <v>157913.91</v>
      </c>
    </row>
    <row r="2395" spans="1:11" ht="22.5" customHeight="1" x14ac:dyDescent="0.25">
      <c r="A2395" s="816" t="s">
        <v>303</v>
      </c>
      <c r="B2395" s="880">
        <v>2025</v>
      </c>
      <c r="C2395" s="816" t="s">
        <v>1935</v>
      </c>
      <c r="D2395" s="816" t="s">
        <v>1952</v>
      </c>
      <c r="E2395" s="816" t="s">
        <v>8633</v>
      </c>
      <c r="F2395" s="826">
        <v>125627.14</v>
      </c>
      <c r="G2395" s="880">
        <v>0</v>
      </c>
      <c r="H2395" s="465"/>
      <c r="I2395" s="465"/>
      <c r="J2395" s="826">
        <v>0</v>
      </c>
      <c r="K2395" s="878">
        <v>125627.14</v>
      </c>
    </row>
    <row r="2396" spans="1:11" ht="22.5" customHeight="1" x14ac:dyDescent="0.25">
      <c r="A2396" s="816" t="s">
        <v>303</v>
      </c>
      <c r="B2396" s="880">
        <v>2025</v>
      </c>
      <c r="C2396" s="816" t="s">
        <v>1953</v>
      </c>
      <c r="D2396" s="816" t="s">
        <v>1954</v>
      </c>
      <c r="E2396" s="816" t="s">
        <v>3189</v>
      </c>
      <c r="F2396" s="826">
        <v>0</v>
      </c>
      <c r="G2396" s="880">
        <v>0</v>
      </c>
      <c r="H2396" s="465"/>
      <c r="I2396" s="465"/>
      <c r="J2396" s="826">
        <v>0</v>
      </c>
      <c r="K2396" s="878">
        <v>0</v>
      </c>
    </row>
    <row r="2397" spans="1:11" ht="22.5" customHeight="1" x14ac:dyDescent="0.25">
      <c r="A2397" s="816" t="s">
        <v>305</v>
      </c>
      <c r="B2397" s="880">
        <v>2025</v>
      </c>
      <c r="C2397" s="816" t="s">
        <v>1854</v>
      </c>
      <c r="D2397" s="816" t="s">
        <v>1855</v>
      </c>
      <c r="E2397" s="816" t="s">
        <v>3190</v>
      </c>
      <c r="F2397" s="826">
        <v>-227220.02</v>
      </c>
      <c r="G2397" s="880">
        <v>0</v>
      </c>
      <c r="H2397" s="465"/>
      <c r="I2397" s="465"/>
      <c r="J2397" s="826">
        <v>0</v>
      </c>
      <c r="K2397" s="878">
        <v>-227220.02</v>
      </c>
    </row>
    <row r="2398" spans="1:11" ht="22.5" customHeight="1" x14ac:dyDescent="0.25">
      <c r="A2398" s="816" t="s">
        <v>305</v>
      </c>
      <c r="B2398" s="880">
        <v>2025</v>
      </c>
      <c r="C2398" s="816" t="s">
        <v>7746</v>
      </c>
      <c r="D2398" s="816" t="s">
        <v>7747</v>
      </c>
      <c r="E2398" s="816" t="s">
        <v>7793</v>
      </c>
      <c r="F2398" s="826">
        <v>0</v>
      </c>
      <c r="G2398" s="880">
        <v>0</v>
      </c>
      <c r="H2398" s="465"/>
      <c r="I2398" s="465"/>
      <c r="J2398" s="826">
        <v>0</v>
      </c>
      <c r="K2398" s="878">
        <v>0</v>
      </c>
    </row>
    <row r="2399" spans="1:11" ht="22.5" customHeight="1" x14ac:dyDescent="0.25">
      <c r="A2399" s="816" t="s">
        <v>305</v>
      </c>
      <c r="B2399" s="880">
        <v>2025</v>
      </c>
      <c r="C2399" s="816" t="s">
        <v>1857</v>
      </c>
      <c r="D2399" s="816" t="s">
        <v>1858</v>
      </c>
      <c r="E2399" s="816" t="s">
        <v>3191</v>
      </c>
      <c r="F2399" s="826">
        <v>-20515.47</v>
      </c>
      <c r="G2399" s="880">
        <v>0</v>
      </c>
      <c r="H2399" s="465"/>
      <c r="I2399" s="465"/>
      <c r="J2399" s="826">
        <v>0</v>
      </c>
      <c r="K2399" s="878">
        <v>-20515.47</v>
      </c>
    </row>
    <row r="2400" spans="1:11" ht="22.5" customHeight="1" x14ac:dyDescent="0.25">
      <c r="A2400" s="816" t="s">
        <v>305</v>
      </c>
      <c r="B2400" s="880">
        <v>2025</v>
      </c>
      <c r="C2400" s="816" t="s">
        <v>1860</v>
      </c>
      <c r="D2400" s="816" t="s">
        <v>1861</v>
      </c>
      <c r="E2400" s="816" t="s">
        <v>3192</v>
      </c>
      <c r="F2400" s="826">
        <v>0</v>
      </c>
      <c r="G2400" s="880">
        <v>0</v>
      </c>
      <c r="H2400" s="465"/>
      <c r="I2400" s="465"/>
      <c r="J2400" s="826">
        <v>0</v>
      </c>
      <c r="K2400" s="878">
        <v>0</v>
      </c>
    </row>
    <row r="2401" spans="1:11" ht="22.5" customHeight="1" x14ac:dyDescent="0.25">
      <c r="A2401" s="816" t="s">
        <v>305</v>
      </c>
      <c r="B2401" s="880">
        <v>2025</v>
      </c>
      <c r="C2401" s="816" t="s">
        <v>1863</v>
      </c>
      <c r="D2401" s="816" t="s">
        <v>1864</v>
      </c>
      <c r="E2401" s="816" t="s">
        <v>3193</v>
      </c>
      <c r="F2401" s="826">
        <v>0</v>
      </c>
      <c r="G2401" s="880">
        <v>0</v>
      </c>
      <c r="H2401" s="465"/>
      <c r="I2401" s="465"/>
      <c r="J2401" s="826">
        <v>0</v>
      </c>
      <c r="K2401" s="878">
        <v>0</v>
      </c>
    </row>
    <row r="2402" spans="1:11" ht="22.5" customHeight="1" x14ac:dyDescent="0.25">
      <c r="A2402" s="816" t="s">
        <v>305</v>
      </c>
      <c r="B2402" s="880">
        <v>2025</v>
      </c>
      <c r="C2402" s="816" t="s">
        <v>1866</v>
      </c>
      <c r="D2402" s="816" t="s">
        <v>1867</v>
      </c>
      <c r="E2402" s="816" t="s">
        <v>3194</v>
      </c>
      <c r="F2402" s="826">
        <v>0</v>
      </c>
      <c r="G2402" s="880">
        <v>0</v>
      </c>
      <c r="H2402" s="465"/>
      <c r="I2402" s="465"/>
      <c r="J2402" s="826">
        <v>0</v>
      </c>
      <c r="K2402" s="878">
        <v>0</v>
      </c>
    </row>
    <row r="2403" spans="1:11" ht="22.5" customHeight="1" x14ac:dyDescent="0.25">
      <c r="A2403" s="816" t="s">
        <v>305</v>
      </c>
      <c r="B2403" s="880">
        <v>2025</v>
      </c>
      <c r="C2403" s="816" t="s">
        <v>1869</v>
      </c>
      <c r="D2403" s="816" t="s">
        <v>1870</v>
      </c>
      <c r="E2403" s="816" t="s">
        <v>3195</v>
      </c>
      <c r="F2403" s="826">
        <v>0</v>
      </c>
      <c r="G2403" s="880">
        <v>0</v>
      </c>
      <c r="H2403" s="465"/>
      <c r="I2403" s="465"/>
      <c r="J2403" s="826">
        <v>0</v>
      </c>
      <c r="K2403" s="878">
        <v>0</v>
      </c>
    </row>
    <row r="2404" spans="1:11" ht="22.5" customHeight="1" x14ac:dyDescent="0.25">
      <c r="A2404" s="816" t="s">
        <v>305</v>
      </c>
      <c r="B2404" s="880">
        <v>2025</v>
      </c>
      <c r="C2404" s="816" t="s">
        <v>1872</v>
      </c>
      <c r="D2404" s="816" t="s">
        <v>1873</v>
      </c>
      <c r="E2404" s="816" t="s">
        <v>3196</v>
      </c>
      <c r="F2404" s="826">
        <v>0</v>
      </c>
      <c r="G2404" s="880">
        <v>0</v>
      </c>
      <c r="H2404" s="465"/>
      <c r="I2404" s="465"/>
      <c r="J2404" s="826">
        <v>0</v>
      </c>
      <c r="K2404" s="878">
        <v>0</v>
      </c>
    </row>
    <row r="2405" spans="1:11" ht="22.5" customHeight="1" x14ac:dyDescent="0.25">
      <c r="A2405" s="816" t="s">
        <v>305</v>
      </c>
      <c r="B2405" s="880">
        <v>2025</v>
      </c>
      <c r="C2405" s="816" t="s">
        <v>1875</v>
      </c>
      <c r="D2405" s="816" t="s">
        <v>1876</v>
      </c>
      <c r="E2405" s="816" t="s">
        <v>3197</v>
      </c>
      <c r="F2405" s="826">
        <v>0</v>
      </c>
      <c r="G2405" s="880">
        <v>0</v>
      </c>
      <c r="H2405" s="465"/>
      <c r="I2405" s="465"/>
      <c r="J2405" s="826">
        <v>0</v>
      </c>
      <c r="K2405" s="878">
        <v>0</v>
      </c>
    </row>
    <row r="2406" spans="1:11" ht="22.5" customHeight="1" x14ac:dyDescent="0.25">
      <c r="A2406" s="816" t="s">
        <v>305</v>
      </c>
      <c r="B2406" s="880">
        <v>2025</v>
      </c>
      <c r="C2406" s="816" t="s">
        <v>1878</v>
      </c>
      <c r="D2406" s="816" t="s">
        <v>1879</v>
      </c>
      <c r="E2406" s="816" t="s">
        <v>3198</v>
      </c>
      <c r="F2406" s="826">
        <v>0</v>
      </c>
      <c r="G2406" s="880">
        <v>0</v>
      </c>
      <c r="H2406" s="465"/>
      <c r="I2406" s="465"/>
      <c r="J2406" s="826">
        <v>0</v>
      </c>
      <c r="K2406" s="878">
        <v>0</v>
      </c>
    </row>
    <row r="2407" spans="1:11" ht="22.5" customHeight="1" x14ac:dyDescent="0.25">
      <c r="A2407" s="816" t="s">
        <v>305</v>
      </c>
      <c r="B2407" s="880">
        <v>2025</v>
      </c>
      <c r="C2407" s="816" t="s">
        <v>1881</v>
      </c>
      <c r="D2407" s="816" t="s">
        <v>1882</v>
      </c>
      <c r="E2407" s="816" t="s">
        <v>3199</v>
      </c>
      <c r="F2407" s="826">
        <v>0</v>
      </c>
      <c r="G2407" s="880">
        <v>0</v>
      </c>
      <c r="H2407" s="465"/>
      <c r="I2407" s="465"/>
      <c r="J2407" s="826">
        <v>0</v>
      </c>
      <c r="K2407" s="878">
        <v>0</v>
      </c>
    </row>
    <row r="2408" spans="1:11" ht="22.5" customHeight="1" x14ac:dyDescent="0.25">
      <c r="A2408" s="816" t="s">
        <v>305</v>
      </c>
      <c r="B2408" s="880">
        <v>2025</v>
      </c>
      <c r="C2408" s="816" t="s">
        <v>1884</v>
      </c>
      <c r="D2408" s="816" t="s">
        <v>1885</v>
      </c>
      <c r="E2408" s="816" t="s">
        <v>3200</v>
      </c>
      <c r="F2408" s="826">
        <v>-105.71</v>
      </c>
      <c r="G2408" s="880">
        <v>0</v>
      </c>
      <c r="H2408" s="465"/>
      <c r="I2408" s="465"/>
      <c r="J2408" s="826">
        <v>0</v>
      </c>
      <c r="K2408" s="878">
        <v>-105.71</v>
      </c>
    </row>
    <row r="2409" spans="1:11" ht="22.5" customHeight="1" x14ac:dyDescent="0.25">
      <c r="A2409" s="816" t="s">
        <v>305</v>
      </c>
      <c r="B2409" s="880">
        <v>2025</v>
      </c>
      <c r="C2409" s="816" t="s">
        <v>1887</v>
      </c>
      <c r="D2409" s="816" t="s">
        <v>138</v>
      </c>
      <c r="E2409" s="816" t="s">
        <v>3201</v>
      </c>
      <c r="F2409" s="826">
        <v>321300.57</v>
      </c>
      <c r="G2409" s="880">
        <v>1</v>
      </c>
      <c r="H2409" s="826">
        <v>305929.07</v>
      </c>
      <c r="I2409" s="826">
        <v>15371.5</v>
      </c>
      <c r="J2409" s="826">
        <v>321300.57</v>
      </c>
      <c r="K2409" s="878">
        <v>321300.57</v>
      </c>
    </row>
    <row r="2410" spans="1:11" ht="22.5" customHeight="1" x14ac:dyDescent="0.25">
      <c r="A2410" s="816" t="s">
        <v>305</v>
      </c>
      <c r="B2410" s="880">
        <v>2025</v>
      </c>
      <c r="C2410" s="816" t="s">
        <v>1889</v>
      </c>
      <c r="D2410" s="816" t="s">
        <v>139</v>
      </c>
      <c r="E2410" s="816" t="s">
        <v>3202</v>
      </c>
      <c r="F2410" s="826">
        <v>-8386.61</v>
      </c>
      <c r="G2410" s="880">
        <v>1</v>
      </c>
      <c r="H2410" s="826">
        <v>-7879.94</v>
      </c>
      <c r="I2410" s="826">
        <v>-506.67</v>
      </c>
      <c r="J2410" s="826">
        <v>-8386.61</v>
      </c>
      <c r="K2410" s="878">
        <v>-8386.61</v>
      </c>
    </row>
    <row r="2411" spans="1:11" ht="22.5" customHeight="1" x14ac:dyDescent="0.25">
      <c r="A2411" s="816" t="s">
        <v>305</v>
      </c>
      <c r="B2411" s="880">
        <v>2025</v>
      </c>
      <c r="C2411" s="816" t="s">
        <v>1891</v>
      </c>
      <c r="D2411" s="816" t="s">
        <v>1892</v>
      </c>
      <c r="E2411" s="816" t="s">
        <v>3203</v>
      </c>
      <c r="F2411" s="826">
        <v>0</v>
      </c>
      <c r="G2411" s="880">
        <v>0</v>
      </c>
      <c r="H2411" s="465"/>
      <c r="I2411" s="465"/>
      <c r="J2411" s="826">
        <v>0</v>
      </c>
      <c r="K2411" s="878">
        <v>0</v>
      </c>
    </row>
    <row r="2412" spans="1:11" ht="22.5" customHeight="1" x14ac:dyDescent="0.25">
      <c r="A2412" s="816" t="s">
        <v>305</v>
      </c>
      <c r="B2412" s="880">
        <v>2025</v>
      </c>
      <c r="C2412" s="816" t="s">
        <v>1891</v>
      </c>
      <c r="D2412" s="816" t="s">
        <v>1894</v>
      </c>
      <c r="E2412" s="816" t="s">
        <v>3203</v>
      </c>
      <c r="F2412" s="826">
        <v>0</v>
      </c>
      <c r="G2412" s="880">
        <v>0</v>
      </c>
      <c r="H2412" s="465"/>
      <c r="I2412" s="465"/>
      <c r="J2412" s="826">
        <v>0</v>
      </c>
      <c r="K2412" s="881">
        <v>0</v>
      </c>
    </row>
    <row r="2413" spans="1:11" ht="22.5" customHeight="1" x14ac:dyDescent="0.25">
      <c r="A2413" s="816" t="s">
        <v>305</v>
      </c>
      <c r="B2413" s="880">
        <v>2025</v>
      </c>
      <c r="C2413" s="816" t="s">
        <v>1895</v>
      </c>
      <c r="D2413" s="816" t="s">
        <v>1896</v>
      </c>
      <c r="E2413" s="816" t="s">
        <v>3204</v>
      </c>
      <c r="F2413" s="826">
        <v>0</v>
      </c>
      <c r="G2413" s="880">
        <v>0</v>
      </c>
      <c r="H2413" s="465"/>
      <c r="I2413" s="465"/>
      <c r="J2413" s="826">
        <v>0</v>
      </c>
      <c r="K2413" s="878">
        <v>0</v>
      </c>
    </row>
    <row r="2414" spans="1:11" ht="22.5" customHeight="1" x14ac:dyDescent="0.25">
      <c r="A2414" s="816" t="s">
        <v>305</v>
      </c>
      <c r="B2414" s="880">
        <v>2025</v>
      </c>
      <c r="C2414" s="816" t="s">
        <v>1898</v>
      </c>
      <c r="D2414" s="816" t="s">
        <v>1899</v>
      </c>
      <c r="E2414" s="816" t="s">
        <v>3205</v>
      </c>
      <c r="F2414" s="826">
        <v>0</v>
      </c>
      <c r="G2414" s="880">
        <v>0</v>
      </c>
      <c r="H2414" s="465"/>
      <c r="I2414" s="465"/>
      <c r="J2414" s="826">
        <v>0</v>
      </c>
      <c r="K2414" s="878">
        <v>0</v>
      </c>
    </row>
    <row r="2415" spans="1:11" ht="22.5" customHeight="1" x14ac:dyDescent="0.25">
      <c r="A2415" s="816" t="s">
        <v>305</v>
      </c>
      <c r="B2415" s="880">
        <v>2025</v>
      </c>
      <c r="C2415" s="816" t="s">
        <v>1901</v>
      </c>
      <c r="D2415" s="816" t="s">
        <v>1902</v>
      </c>
      <c r="E2415" s="816" t="s">
        <v>3206</v>
      </c>
      <c r="F2415" s="826">
        <v>35322.67</v>
      </c>
      <c r="G2415" s="880">
        <v>0</v>
      </c>
      <c r="H2415" s="465"/>
      <c r="I2415" s="465"/>
      <c r="J2415" s="826">
        <v>0</v>
      </c>
      <c r="K2415" s="878">
        <v>35322.67</v>
      </c>
    </row>
    <row r="2416" spans="1:11" ht="22.5" customHeight="1" x14ac:dyDescent="0.25">
      <c r="A2416" s="816" t="s">
        <v>305</v>
      </c>
      <c r="B2416" s="880">
        <v>2025</v>
      </c>
      <c r="C2416" s="816" t="s">
        <v>1904</v>
      </c>
      <c r="D2416" s="816" t="s">
        <v>1905</v>
      </c>
      <c r="E2416" s="816" t="s">
        <v>3207</v>
      </c>
      <c r="F2416" s="826">
        <v>0</v>
      </c>
      <c r="G2416" s="880">
        <v>0</v>
      </c>
      <c r="H2416" s="465"/>
      <c r="I2416" s="465"/>
      <c r="J2416" s="826">
        <v>0</v>
      </c>
      <c r="K2416" s="878">
        <v>0</v>
      </c>
    </row>
    <row r="2417" spans="1:11" ht="22.5" customHeight="1" x14ac:dyDescent="0.25">
      <c r="A2417" s="816" t="s">
        <v>305</v>
      </c>
      <c r="B2417" s="880">
        <v>2025</v>
      </c>
      <c r="C2417" s="816" t="s">
        <v>1907</v>
      </c>
      <c r="D2417" s="816" t="s">
        <v>1908</v>
      </c>
      <c r="E2417" s="816" t="s">
        <v>3208</v>
      </c>
      <c r="F2417" s="826">
        <v>0</v>
      </c>
      <c r="G2417" s="880">
        <v>0</v>
      </c>
      <c r="H2417" s="465"/>
      <c r="I2417" s="465"/>
      <c r="J2417" s="826">
        <v>0</v>
      </c>
      <c r="K2417" s="878">
        <v>0</v>
      </c>
    </row>
    <row r="2418" spans="1:11" ht="22.5" customHeight="1" x14ac:dyDescent="0.25">
      <c r="A2418" s="816" t="s">
        <v>305</v>
      </c>
      <c r="B2418" s="880">
        <v>2025</v>
      </c>
      <c r="C2418" s="816" t="s">
        <v>1910</v>
      </c>
      <c r="D2418" s="816" t="s">
        <v>1911</v>
      </c>
      <c r="E2418" s="816" t="s">
        <v>3209</v>
      </c>
      <c r="F2418" s="826">
        <v>0</v>
      </c>
      <c r="G2418" s="880">
        <v>0</v>
      </c>
      <c r="H2418" s="465"/>
      <c r="I2418" s="465"/>
      <c r="J2418" s="826">
        <v>0</v>
      </c>
      <c r="K2418" s="878">
        <v>0</v>
      </c>
    </row>
    <row r="2419" spans="1:11" ht="22.5" customHeight="1" x14ac:dyDescent="0.25">
      <c r="A2419" s="816" t="s">
        <v>305</v>
      </c>
      <c r="B2419" s="880">
        <v>2025</v>
      </c>
      <c r="C2419" s="816" t="s">
        <v>1913</v>
      </c>
      <c r="D2419" s="816" t="s">
        <v>1914</v>
      </c>
      <c r="E2419" s="816" t="s">
        <v>3210</v>
      </c>
      <c r="F2419" s="826">
        <v>-694.28</v>
      </c>
      <c r="G2419" s="880">
        <v>1</v>
      </c>
      <c r="H2419" s="826">
        <v>-682.14</v>
      </c>
      <c r="I2419" s="826">
        <v>-12.14</v>
      </c>
      <c r="J2419" s="826">
        <v>-694.28</v>
      </c>
      <c r="K2419" s="878">
        <v>-694.28</v>
      </c>
    </row>
    <row r="2420" spans="1:11" ht="22.5" customHeight="1" x14ac:dyDescent="0.25">
      <c r="A2420" s="816" t="s">
        <v>305</v>
      </c>
      <c r="B2420" s="880">
        <v>2025</v>
      </c>
      <c r="C2420" s="816" t="s">
        <v>1913</v>
      </c>
      <c r="D2420" s="816" t="s">
        <v>1916</v>
      </c>
      <c r="E2420" s="816" t="s">
        <v>3210</v>
      </c>
      <c r="F2420" s="826">
        <v>0</v>
      </c>
      <c r="G2420" s="880">
        <v>0</v>
      </c>
      <c r="H2420" s="465"/>
      <c r="I2420" s="465"/>
      <c r="J2420" s="826">
        <v>0</v>
      </c>
      <c r="K2420" s="881">
        <v>0</v>
      </c>
    </row>
    <row r="2421" spans="1:11" ht="22.5" customHeight="1" x14ac:dyDescent="0.25">
      <c r="A2421" s="816" t="s">
        <v>305</v>
      </c>
      <c r="B2421" s="880">
        <v>2025</v>
      </c>
      <c r="C2421" s="816" t="s">
        <v>1913</v>
      </c>
      <c r="D2421" s="816" t="s">
        <v>1917</v>
      </c>
      <c r="E2421" s="816" t="s">
        <v>3210</v>
      </c>
      <c r="F2421" s="826">
        <v>0</v>
      </c>
      <c r="G2421" s="880">
        <v>0</v>
      </c>
      <c r="H2421" s="465"/>
      <c r="I2421" s="465"/>
      <c r="J2421" s="826">
        <v>0</v>
      </c>
      <c r="K2421" s="881">
        <v>0</v>
      </c>
    </row>
    <row r="2422" spans="1:11" ht="22.5" customHeight="1" x14ac:dyDescent="0.25">
      <c r="A2422" s="816" t="s">
        <v>305</v>
      </c>
      <c r="B2422" s="880">
        <v>2025</v>
      </c>
      <c r="C2422" s="816" t="s">
        <v>1913</v>
      </c>
      <c r="D2422" s="816" t="s">
        <v>1918</v>
      </c>
      <c r="E2422" s="816" t="s">
        <v>3210</v>
      </c>
      <c r="F2422" s="826">
        <v>0</v>
      </c>
      <c r="G2422" s="880">
        <v>0</v>
      </c>
      <c r="H2422" s="465"/>
      <c r="I2422" s="465"/>
      <c r="J2422" s="826">
        <v>0</v>
      </c>
      <c r="K2422" s="881">
        <v>0</v>
      </c>
    </row>
    <row r="2423" spans="1:11" ht="22.5" customHeight="1" x14ac:dyDescent="0.25">
      <c r="A2423" s="816" t="s">
        <v>305</v>
      </c>
      <c r="B2423" s="880">
        <v>2025</v>
      </c>
      <c r="C2423" s="816" t="s">
        <v>1913</v>
      </c>
      <c r="D2423" s="816" t="s">
        <v>1919</v>
      </c>
      <c r="E2423" s="816" t="s">
        <v>3210</v>
      </c>
      <c r="F2423" s="826">
        <v>0</v>
      </c>
      <c r="G2423" s="880">
        <v>0</v>
      </c>
      <c r="H2423" s="465"/>
      <c r="I2423" s="465"/>
      <c r="J2423" s="826">
        <v>0</v>
      </c>
      <c r="K2423" s="881">
        <v>0</v>
      </c>
    </row>
    <row r="2424" spans="1:11" ht="22.5" customHeight="1" x14ac:dyDescent="0.25">
      <c r="A2424" s="816" t="s">
        <v>305</v>
      </c>
      <c r="B2424" s="880">
        <v>2025</v>
      </c>
      <c r="C2424" s="816" t="s">
        <v>1920</v>
      </c>
      <c r="D2424" s="816" t="s">
        <v>1921</v>
      </c>
      <c r="E2424" s="816" t="s">
        <v>3211</v>
      </c>
      <c r="F2424" s="826">
        <v>0</v>
      </c>
      <c r="G2424" s="880">
        <v>0</v>
      </c>
      <c r="H2424" s="465"/>
      <c r="I2424" s="465"/>
      <c r="J2424" s="826">
        <v>0</v>
      </c>
      <c r="K2424" s="878">
        <v>0</v>
      </c>
    </row>
    <row r="2425" spans="1:11" ht="22.5" customHeight="1" x14ac:dyDescent="0.25">
      <c r="A2425" s="816" t="s">
        <v>305</v>
      </c>
      <c r="B2425" s="880">
        <v>2025</v>
      </c>
      <c r="C2425" s="816" t="s">
        <v>1923</v>
      </c>
      <c r="D2425" s="816" t="s">
        <v>143</v>
      </c>
      <c r="E2425" s="816" t="s">
        <v>3212</v>
      </c>
      <c r="F2425" s="826">
        <v>109015.29</v>
      </c>
      <c r="G2425" s="880">
        <v>1</v>
      </c>
      <c r="H2425" s="826">
        <v>102422.91</v>
      </c>
      <c r="I2425" s="826">
        <v>6592.38</v>
      </c>
      <c r="J2425" s="826">
        <v>109015.29</v>
      </c>
      <c r="K2425" s="878">
        <v>109015.29</v>
      </c>
    </row>
    <row r="2426" spans="1:11" ht="22.5" customHeight="1" x14ac:dyDescent="0.25">
      <c r="A2426" s="816" t="s">
        <v>305</v>
      </c>
      <c r="B2426" s="880">
        <v>2025</v>
      </c>
      <c r="C2426" s="816" t="s">
        <v>1925</v>
      </c>
      <c r="D2426" s="816" t="s">
        <v>144</v>
      </c>
      <c r="E2426" s="816" t="s">
        <v>3213</v>
      </c>
      <c r="F2426" s="826">
        <v>6674.4</v>
      </c>
      <c r="G2426" s="880">
        <v>1</v>
      </c>
      <c r="H2426" s="826">
        <v>6639.23</v>
      </c>
      <c r="I2426" s="826">
        <v>35.17</v>
      </c>
      <c r="J2426" s="826">
        <v>6674.4</v>
      </c>
      <c r="K2426" s="878">
        <v>6674.4</v>
      </c>
    </row>
    <row r="2427" spans="1:11" ht="22.5" customHeight="1" x14ac:dyDescent="0.25">
      <c r="A2427" s="816" t="s">
        <v>305</v>
      </c>
      <c r="B2427" s="880">
        <v>2025</v>
      </c>
      <c r="C2427" s="816" t="s">
        <v>1927</v>
      </c>
      <c r="D2427" s="816" t="s">
        <v>1928</v>
      </c>
      <c r="E2427" s="816" t="s">
        <v>3214</v>
      </c>
      <c r="F2427" s="826">
        <v>-21283.75</v>
      </c>
      <c r="G2427" s="880">
        <v>1</v>
      </c>
      <c r="H2427" s="826">
        <v>-22681.599999999999</v>
      </c>
      <c r="I2427" s="826">
        <v>1397.85</v>
      </c>
      <c r="J2427" s="826">
        <v>-21283.75</v>
      </c>
      <c r="K2427" s="878">
        <v>-21283.75</v>
      </c>
    </row>
    <row r="2428" spans="1:11" ht="22.5" customHeight="1" x14ac:dyDescent="0.25">
      <c r="A2428" s="816" t="s">
        <v>305</v>
      </c>
      <c r="B2428" s="880">
        <v>2025</v>
      </c>
      <c r="C2428" s="816" t="s">
        <v>1930</v>
      </c>
      <c r="D2428" s="816" t="s">
        <v>156</v>
      </c>
      <c r="E2428" s="816" t="s">
        <v>3215</v>
      </c>
      <c r="F2428" s="826">
        <v>154661.44</v>
      </c>
      <c r="G2428" s="880">
        <v>1</v>
      </c>
      <c r="H2428" s="826">
        <v>144790.49</v>
      </c>
      <c r="I2428" s="826">
        <v>9870.9500000000007</v>
      </c>
      <c r="J2428" s="826">
        <v>154661.44</v>
      </c>
      <c r="K2428" s="878">
        <v>154661.44</v>
      </c>
    </row>
    <row r="2429" spans="1:11" ht="22.5" customHeight="1" x14ac:dyDescent="0.25">
      <c r="A2429" s="816" t="s">
        <v>305</v>
      </c>
      <c r="B2429" s="880">
        <v>2025</v>
      </c>
      <c r="C2429" s="816" t="s">
        <v>1932</v>
      </c>
      <c r="D2429" s="816" t="s">
        <v>1933</v>
      </c>
      <c r="E2429" s="816" t="s">
        <v>3216</v>
      </c>
      <c r="F2429" s="826">
        <v>-56779.28</v>
      </c>
      <c r="G2429" s="880">
        <v>0</v>
      </c>
      <c r="H2429" s="465"/>
      <c r="I2429" s="465"/>
      <c r="J2429" s="826">
        <v>0</v>
      </c>
      <c r="K2429" s="878">
        <v>-56779.28</v>
      </c>
    </row>
    <row r="2430" spans="1:11" ht="22.5" customHeight="1" x14ac:dyDescent="0.25">
      <c r="A2430" s="816" t="s">
        <v>305</v>
      </c>
      <c r="B2430" s="880">
        <v>2025</v>
      </c>
      <c r="C2430" s="816" t="s">
        <v>1935</v>
      </c>
      <c r="D2430" s="816" t="s">
        <v>1936</v>
      </c>
      <c r="E2430" s="816" t="s">
        <v>8634</v>
      </c>
      <c r="F2430" s="826">
        <v>0</v>
      </c>
      <c r="G2430" s="880">
        <v>1</v>
      </c>
      <c r="H2430" s="465"/>
      <c r="I2430" s="465"/>
      <c r="J2430" s="826">
        <v>0</v>
      </c>
      <c r="K2430" s="878">
        <v>0</v>
      </c>
    </row>
    <row r="2431" spans="1:11" ht="22.5" customHeight="1" x14ac:dyDescent="0.25">
      <c r="A2431" s="816" t="s">
        <v>305</v>
      </c>
      <c r="B2431" s="880">
        <v>2025</v>
      </c>
      <c r="C2431" s="816" t="s">
        <v>1935</v>
      </c>
      <c r="D2431" s="816" t="s">
        <v>1937</v>
      </c>
      <c r="E2431" s="816" t="s">
        <v>8635</v>
      </c>
      <c r="F2431" s="826">
        <v>0</v>
      </c>
      <c r="G2431" s="880">
        <v>1</v>
      </c>
      <c r="H2431" s="465"/>
      <c r="I2431" s="465"/>
      <c r="J2431" s="826">
        <v>0</v>
      </c>
      <c r="K2431" s="878">
        <v>0</v>
      </c>
    </row>
    <row r="2432" spans="1:11" ht="22.5" customHeight="1" x14ac:dyDescent="0.25">
      <c r="A2432" s="816" t="s">
        <v>305</v>
      </c>
      <c r="B2432" s="880">
        <v>2025</v>
      </c>
      <c r="C2432" s="816" t="s">
        <v>1935</v>
      </c>
      <c r="D2432" s="816" t="s">
        <v>1938</v>
      </c>
      <c r="E2432" s="816" t="s">
        <v>8636</v>
      </c>
      <c r="F2432" s="826">
        <v>0</v>
      </c>
      <c r="G2432" s="880">
        <v>1</v>
      </c>
      <c r="H2432" s="465"/>
      <c r="I2432" s="465"/>
      <c r="J2432" s="826">
        <v>0</v>
      </c>
      <c r="K2432" s="878">
        <v>0</v>
      </c>
    </row>
    <row r="2433" spans="1:11" ht="22.5" customHeight="1" x14ac:dyDescent="0.25">
      <c r="A2433" s="816" t="s">
        <v>305</v>
      </c>
      <c r="B2433" s="880">
        <v>2025</v>
      </c>
      <c r="C2433" s="816" t="s">
        <v>1935</v>
      </c>
      <c r="D2433" s="816" t="s">
        <v>1939</v>
      </c>
      <c r="E2433" s="816" t="s">
        <v>8637</v>
      </c>
      <c r="F2433" s="826">
        <v>0</v>
      </c>
      <c r="G2433" s="880">
        <v>1</v>
      </c>
      <c r="H2433" s="465"/>
      <c r="I2433" s="465"/>
      <c r="J2433" s="826">
        <v>0</v>
      </c>
      <c r="K2433" s="878">
        <v>0</v>
      </c>
    </row>
    <row r="2434" spans="1:11" ht="22.5" customHeight="1" x14ac:dyDescent="0.25">
      <c r="A2434" s="816" t="s">
        <v>305</v>
      </c>
      <c r="B2434" s="880">
        <v>2025</v>
      </c>
      <c r="C2434" s="816" t="s">
        <v>1935</v>
      </c>
      <c r="D2434" s="816" t="s">
        <v>1940</v>
      </c>
      <c r="E2434" s="816" t="s">
        <v>8638</v>
      </c>
      <c r="F2434" s="826">
        <v>0</v>
      </c>
      <c r="G2434" s="880">
        <v>1</v>
      </c>
      <c r="H2434" s="465"/>
      <c r="I2434" s="465"/>
      <c r="J2434" s="826">
        <v>0</v>
      </c>
      <c r="K2434" s="878">
        <v>0</v>
      </c>
    </row>
    <row r="2435" spans="1:11" ht="22.5" customHeight="1" x14ac:dyDescent="0.25">
      <c r="A2435" s="816" t="s">
        <v>305</v>
      </c>
      <c r="B2435" s="880">
        <v>2025</v>
      </c>
      <c r="C2435" s="816" t="s">
        <v>1935</v>
      </c>
      <c r="D2435" s="816" t="s">
        <v>1941</v>
      </c>
      <c r="E2435" s="816" t="s">
        <v>8639</v>
      </c>
      <c r="F2435" s="826">
        <v>0</v>
      </c>
      <c r="G2435" s="880">
        <v>1</v>
      </c>
      <c r="H2435" s="465"/>
      <c r="I2435" s="465"/>
      <c r="J2435" s="826">
        <v>0</v>
      </c>
      <c r="K2435" s="878">
        <v>0</v>
      </c>
    </row>
    <row r="2436" spans="1:11" ht="22.5" customHeight="1" x14ac:dyDescent="0.25">
      <c r="A2436" s="816" t="s">
        <v>305</v>
      </c>
      <c r="B2436" s="880">
        <v>2025</v>
      </c>
      <c r="C2436" s="816" t="s">
        <v>1935</v>
      </c>
      <c r="D2436" s="816" t="s">
        <v>1942</v>
      </c>
      <c r="E2436" s="816" t="s">
        <v>8640</v>
      </c>
      <c r="F2436" s="826">
        <v>0</v>
      </c>
      <c r="G2436" s="880">
        <v>1</v>
      </c>
      <c r="H2436" s="465"/>
      <c r="I2436" s="465"/>
      <c r="J2436" s="826">
        <v>0</v>
      </c>
      <c r="K2436" s="878">
        <v>0</v>
      </c>
    </row>
    <row r="2437" spans="1:11" ht="22.5" customHeight="1" x14ac:dyDescent="0.25">
      <c r="A2437" s="816" t="s">
        <v>305</v>
      </c>
      <c r="B2437" s="880">
        <v>2025</v>
      </c>
      <c r="C2437" s="816" t="s">
        <v>1935</v>
      </c>
      <c r="D2437" s="816" t="s">
        <v>1943</v>
      </c>
      <c r="E2437" s="816" t="s">
        <v>8641</v>
      </c>
      <c r="F2437" s="826">
        <v>0</v>
      </c>
      <c r="G2437" s="880">
        <v>1</v>
      </c>
      <c r="H2437" s="465"/>
      <c r="I2437" s="465"/>
      <c r="J2437" s="826">
        <v>0</v>
      </c>
      <c r="K2437" s="878">
        <v>0</v>
      </c>
    </row>
    <row r="2438" spans="1:11" ht="22.5" customHeight="1" x14ac:dyDescent="0.25">
      <c r="A2438" s="816" t="s">
        <v>305</v>
      </c>
      <c r="B2438" s="880">
        <v>2025</v>
      </c>
      <c r="C2438" s="816" t="s">
        <v>1935</v>
      </c>
      <c r="D2438" s="816" t="s">
        <v>1944</v>
      </c>
      <c r="E2438" s="816" t="s">
        <v>8642</v>
      </c>
      <c r="F2438" s="826">
        <v>0</v>
      </c>
      <c r="G2438" s="880">
        <v>1</v>
      </c>
      <c r="H2438" s="465"/>
      <c r="I2438" s="465"/>
      <c r="J2438" s="826">
        <v>0</v>
      </c>
      <c r="K2438" s="878">
        <v>0</v>
      </c>
    </row>
    <row r="2439" spans="1:11" ht="22.5" customHeight="1" x14ac:dyDescent="0.25">
      <c r="A2439" s="816" t="s">
        <v>305</v>
      </c>
      <c r="B2439" s="880">
        <v>2025</v>
      </c>
      <c r="C2439" s="816" t="s">
        <v>1935</v>
      </c>
      <c r="D2439" s="816" t="s">
        <v>1945</v>
      </c>
      <c r="E2439" s="816" t="s">
        <v>8643</v>
      </c>
      <c r="F2439" s="826">
        <v>0</v>
      </c>
      <c r="G2439" s="880">
        <v>1</v>
      </c>
      <c r="H2439" s="465"/>
      <c r="I2439" s="465"/>
      <c r="J2439" s="826">
        <v>0</v>
      </c>
      <c r="K2439" s="878">
        <v>0</v>
      </c>
    </row>
    <row r="2440" spans="1:11" ht="22.5" customHeight="1" x14ac:dyDescent="0.25">
      <c r="A2440" s="816" t="s">
        <v>305</v>
      </c>
      <c r="B2440" s="880">
        <v>2025</v>
      </c>
      <c r="C2440" s="816" t="s">
        <v>1935</v>
      </c>
      <c r="D2440" s="816" t="s">
        <v>1946</v>
      </c>
      <c r="E2440" s="816" t="s">
        <v>8644</v>
      </c>
      <c r="F2440" s="826">
        <v>0</v>
      </c>
      <c r="G2440" s="880">
        <v>1</v>
      </c>
      <c r="H2440" s="465"/>
      <c r="I2440" s="465"/>
      <c r="J2440" s="826">
        <v>0</v>
      </c>
      <c r="K2440" s="878">
        <v>0</v>
      </c>
    </row>
    <row r="2441" spans="1:11" ht="22.5" customHeight="1" x14ac:dyDescent="0.25">
      <c r="A2441" s="816" t="s">
        <v>305</v>
      </c>
      <c r="B2441" s="880">
        <v>2025</v>
      </c>
      <c r="C2441" s="816" t="s">
        <v>1935</v>
      </c>
      <c r="D2441" s="816" t="s">
        <v>1947</v>
      </c>
      <c r="E2441" s="816" t="s">
        <v>8645</v>
      </c>
      <c r="F2441" s="826">
        <v>0</v>
      </c>
      <c r="G2441" s="880">
        <v>1</v>
      </c>
      <c r="H2441" s="465"/>
      <c r="I2441" s="465"/>
      <c r="J2441" s="826">
        <v>0</v>
      </c>
      <c r="K2441" s="878">
        <v>0</v>
      </c>
    </row>
    <row r="2442" spans="1:11" ht="22.5" customHeight="1" x14ac:dyDescent="0.25">
      <c r="A2442" s="816" t="s">
        <v>305</v>
      </c>
      <c r="B2442" s="880">
        <v>2025</v>
      </c>
      <c r="C2442" s="816" t="s">
        <v>1935</v>
      </c>
      <c r="D2442" s="816" t="s">
        <v>1948</v>
      </c>
      <c r="E2442" s="816" t="s">
        <v>8646</v>
      </c>
      <c r="F2442" s="826">
        <v>0</v>
      </c>
      <c r="G2442" s="880">
        <v>1</v>
      </c>
      <c r="H2442" s="826">
        <v>17836.009999999998</v>
      </c>
      <c r="I2442" s="826">
        <v>-217.37</v>
      </c>
      <c r="J2442" s="826">
        <v>17618.64</v>
      </c>
      <c r="K2442" s="878">
        <v>17618.64</v>
      </c>
    </row>
    <row r="2443" spans="1:11" ht="22.5" customHeight="1" x14ac:dyDescent="0.25">
      <c r="A2443" s="816" t="s">
        <v>305</v>
      </c>
      <c r="B2443" s="880">
        <v>2025</v>
      </c>
      <c r="C2443" s="816" t="s">
        <v>1935</v>
      </c>
      <c r="D2443" s="816" t="s">
        <v>1949</v>
      </c>
      <c r="E2443" s="816" t="s">
        <v>8647</v>
      </c>
      <c r="F2443" s="826">
        <v>0</v>
      </c>
      <c r="G2443" s="880">
        <v>1</v>
      </c>
      <c r="H2443" s="826">
        <v>10317.040000000001</v>
      </c>
      <c r="I2443" s="826">
        <v>-8806.82</v>
      </c>
      <c r="J2443" s="826">
        <v>1510.22</v>
      </c>
      <c r="K2443" s="878">
        <v>1510.22</v>
      </c>
    </row>
    <row r="2444" spans="1:11" ht="22.5" customHeight="1" x14ac:dyDescent="0.25">
      <c r="A2444" s="816" t="s">
        <v>305</v>
      </c>
      <c r="B2444" s="880">
        <v>2025</v>
      </c>
      <c r="C2444" s="816" t="s">
        <v>1935</v>
      </c>
      <c r="D2444" s="816" t="s">
        <v>1950</v>
      </c>
      <c r="E2444" s="816" t="s">
        <v>8648</v>
      </c>
      <c r="F2444" s="826">
        <v>0</v>
      </c>
      <c r="G2444" s="880">
        <v>1</v>
      </c>
      <c r="H2444" s="826">
        <v>4116.84</v>
      </c>
      <c r="I2444" s="826">
        <v>-4553.75</v>
      </c>
      <c r="J2444" s="826">
        <v>-436.91</v>
      </c>
      <c r="K2444" s="878">
        <v>-436.91</v>
      </c>
    </row>
    <row r="2445" spans="1:11" ht="22.5" customHeight="1" x14ac:dyDescent="0.25">
      <c r="A2445" s="816" t="s">
        <v>305</v>
      </c>
      <c r="B2445" s="880">
        <v>2025</v>
      </c>
      <c r="C2445" s="816" t="s">
        <v>1935</v>
      </c>
      <c r="D2445" s="816" t="s">
        <v>1951</v>
      </c>
      <c r="E2445" s="816" t="s">
        <v>8649</v>
      </c>
      <c r="F2445" s="826">
        <v>0</v>
      </c>
      <c r="G2445" s="880">
        <v>1</v>
      </c>
      <c r="H2445" s="826">
        <v>-73400.479999999996</v>
      </c>
      <c r="I2445" s="826">
        <v>61322.52</v>
      </c>
      <c r="J2445" s="826">
        <v>-12077.96</v>
      </c>
      <c r="K2445" s="878">
        <v>-12077.96</v>
      </c>
    </row>
    <row r="2446" spans="1:11" ht="22.5" customHeight="1" x14ac:dyDescent="0.25">
      <c r="A2446" s="816" t="s">
        <v>305</v>
      </c>
      <c r="B2446" s="880">
        <v>2025</v>
      </c>
      <c r="C2446" s="816" t="s">
        <v>1935</v>
      </c>
      <c r="D2446" s="816" t="s">
        <v>7801</v>
      </c>
      <c r="E2446" s="816" t="s">
        <v>8650</v>
      </c>
      <c r="F2446" s="826">
        <v>0</v>
      </c>
      <c r="G2446" s="880">
        <v>1</v>
      </c>
      <c r="H2446" s="826">
        <v>48059.48</v>
      </c>
      <c r="I2446" s="826">
        <v>27504.16</v>
      </c>
      <c r="J2446" s="826">
        <v>75563.64</v>
      </c>
      <c r="K2446" s="878">
        <v>75563.64</v>
      </c>
    </row>
    <row r="2447" spans="1:11" ht="22.5" customHeight="1" x14ac:dyDescent="0.25">
      <c r="A2447" s="816" t="s">
        <v>305</v>
      </c>
      <c r="B2447" s="880">
        <v>2025</v>
      </c>
      <c r="C2447" s="816" t="s">
        <v>1935</v>
      </c>
      <c r="D2447" s="816" t="s">
        <v>1952</v>
      </c>
      <c r="E2447" s="816" t="s">
        <v>8651</v>
      </c>
      <c r="F2447" s="826">
        <v>82177.63</v>
      </c>
      <c r="G2447" s="880">
        <v>0</v>
      </c>
      <c r="H2447" s="465"/>
      <c r="I2447" s="465"/>
      <c r="J2447" s="826">
        <v>0</v>
      </c>
      <c r="K2447" s="878">
        <v>82177.63</v>
      </c>
    </row>
    <row r="2448" spans="1:11" ht="22.5" customHeight="1" x14ac:dyDescent="0.25">
      <c r="A2448" s="816" t="s">
        <v>305</v>
      </c>
      <c r="B2448" s="880">
        <v>2025</v>
      </c>
      <c r="C2448" s="816" t="s">
        <v>1953</v>
      </c>
      <c r="D2448" s="816" t="s">
        <v>1954</v>
      </c>
      <c r="E2448" s="816" t="s">
        <v>3217</v>
      </c>
      <c r="F2448" s="826">
        <v>0</v>
      </c>
      <c r="G2448" s="880">
        <v>0</v>
      </c>
      <c r="H2448" s="465"/>
      <c r="I2448" s="465"/>
      <c r="J2448" s="826">
        <v>0</v>
      </c>
      <c r="K2448" s="878">
        <v>0</v>
      </c>
    </row>
    <row r="2449" spans="1:11" ht="22.5" customHeight="1" x14ac:dyDescent="0.25">
      <c r="A2449" s="816" t="s">
        <v>307</v>
      </c>
      <c r="B2449" s="880">
        <v>2025</v>
      </c>
      <c r="C2449" s="816" t="s">
        <v>1854</v>
      </c>
      <c r="D2449" s="816" t="s">
        <v>1855</v>
      </c>
      <c r="E2449" s="816" t="s">
        <v>3218</v>
      </c>
      <c r="F2449" s="826">
        <v>695580.95</v>
      </c>
      <c r="G2449" s="880">
        <v>0</v>
      </c>
      <c r="H2449" s="465"/>
      <c r="I2449" s="465"/>
      <c r="J2449" s="826">
        <v>0</v>
      </c>
      <c r="K2449" s="878">
        <v>695580.95</v>
      </c>
    </row>
    <row r="2450" spans="1:11" ht="22.5" customHeight="1" x14ac:dyDescent="0.25">
      <c r="A2450" s="816" t="s">
        <v>307</v>
      </c>
      <c r="B2450" s="880">
        <v>2025</v>
      </c>
      <c r="C2450" s="816" t="s">
        <v>7746</v>
      </c>
      <c r="D2450" s="816" t="s">
        <v>7747</v>
      </c>
      <c r="E2450" s="816" t="s">
        <v>7794</v>
      </c>
      <c r="F2450" s="826">
        <v>0</v>
      </c>
      <c r="G2450" s="880">
        <v>0</v>
      </c>
      <c r="H2450" s="465"/>
      <c r="I2450" s="465"/>
      <c r="J2450" s="826">
        <v>0</v>
      </c>
      <c r="K2450" s="878">
        <v>0</v>
      </c>
    </row>
    <row r="2451" spans="1:11" ht="22.5" customHeight="1" x14ac:dyDescent="0.25">
      <c r="A2451" s="816" t="s">
        <v>307</v>
      </c>
      <c r="B2451" s="880">
        <v>2025</v>
      </c>
      <c r="C2451" s="816" t="s">
        <v>1857</v>
      </c>
      <c r="D2451" s="816" t="s">
        <v>1858</v>
      </c>
      <c r="E2451" s="816" t="s">
        <v>3219</v>
      </c>
      <c r="F2451" s="826">
        <v>0</v>
      </c>
      <c r="G2451" s="880">
        <v>0</v>
      </c>
      <c r="H2451" s="465"/>
      <c r="I2451" s="465"/>
      <c r="J2451" s="826">
        <v>0</v>
      </c>
      <c r="K2451" s="878">
        <v>0</v>
      </c>
    </row>
    <row r="2452" spans="1:11" ht="22.5" customHeight="1" x14ac:dyDescent="0.25">
      <c r="A2452" s="816" t="s">
        <v>307</v>
      </c>
      <c r="B2452" s="880">
        <v>2025</v>
      </c>
      <c r="C2452" s="816" t="s">
        <v>1860</v>
      </c>
      <c r="D2452" s="816" t="s">
        <v>1861</v>
      </c>
      <c r="E2452" s="816" t="s">
        <v>3220</v>
      </c>
      <c r="F2452" s="826">
        <v>-7590.37</v>
      </c>
      <c r="G2452" s="880">
        <v>0</v>
      </c>
      <c r="H2452" s="465"/>
      <c r="I2452" s="465"/>
      <c r="J2452" s="826">
        <v>0</v>
      </c>
      <c r="K2452" s="878">
        <v>-7590.37</v>
      </c>
    </row>
    <row r="2453" spans="1:11" ht="22.5" customHeight="1" x14ac:dyDescent="0.25">
      <c r="A2453" s="816" t="s">
        <v>307</v>
      </c>
      <c r="B2453" s="880">
        <v>2025</v>
      </c>
      <c r="C2453" s="816" t="s">
        <v>1863</v>
      </c>
      <c r="D2453" s="816" t="s">
        <v>1864</v>
      </c>
      <c r="E2453" s="816" t="s">
        <v>3221</v>
      </c>
      <c r="F2453" s="826">
        <v>0</v>
      </c>
      <c r="G2453" s="880">
        <v>0</v>
      </c>
      <c r="H2453" s="465"/>
      <c r="I2453" s="465"/>
      <c r="J2453" s="826">
        <v>0</v>
      </c>
      <c r="K2453" s="878">
        <v>0</v>
      </c>
    </row>
    <row r="2454" spans="1:11" ht="22.5" customHeight="1" x14ac:dyDescent="0.25">
      <c r="A2454" s="816" t="s">
        <v>307</v>
      </c>
      <c r="B2454" s="880">
        <v>2025</v>
      </c>
      <c r="C2454" s="816" t="s">
        <v>1866</v>
      </c>
      <c r="D2454" s="816" t="s">
        <v>1867</v>
      </c>
      <c r="E2454" s="816" t="s">
        <v>3222</v>
      </c>
      <c r="F2454" s="826">
        <v>0</v>
      </c>
      <c r="G2454" s="880">
        <v>0</v>
      </c>
      <c r="H2454" s="465"/>
      <c r="I2454" s="465"/>
      <c r="J2454" s="826">
        <v>0</v>
      </c>
      <c r="K2454" s="878">
        <v>0</v>
      </c>
    </row>
    <row r="2455" spans="1:11" ht="22.5" customHeight="1" x14ac:dyDescent="0.25">
      <c r="A2455" s="816" t="s">
        <v>307</v>
      </c>
      <c r="B2455" s="880">
        <v>2025</v>
      </c>
      <c r="C2455" s="816" t="s">
        <v>1869</v>
      </c>
      <c r="D2455" s="816" t="s">
        <v>1870</v>
      </c>
      <c r="E2455" s="816" t="s">
        <v>3223</v>
      </c>
      <c r="F2455" s="826">
        <v>0</v>
      </c>
      <c r="G2455" s="880">
        <v>0</v>
      </c>
      <c r="H2455" s="465"/>
      <c r="I2455" s="465"/>
      <c r="J2455" s="826">
        <v>0</v>
      </c>
      <c r="K2455" s="878">
        <v>0</v>
      </c>
    </row>
    <row r="2456" spans="1:11" ht="22.5" customHeight="1" x14ac:dyDescent="0.25">
      <c r="A2456" s="816" t="s">
        <v>307</v>
      </c>
      <c r="B2456" s="880">
        <v>2025</v>
      </c>
      <c r="C2456" s="816" t="s">
        <v>1872</v>
      </c>
      <c r="D2456" s="816" t="s">
        <v>1873</v>
      </c>
      <c r="E2456" s="816" t="s">
        <v>3224</v>
      </c>
      <c r="F2456" s="826">
        <v>0</v>
      </c>
      <c r="G2456" s="880">
        <v>0</v>
      </c>
      <c r="H2456" s="465"/>
      <c r="I2456" s="465"/>
      <c r="J2456" s="826">
        <v>0</v>
      </c>
      <c r="K2456" s="878">
        <v>0</v>
      </c>
    </row>
    <row r="2457" spans="1:11" ht="22.5" customHeight="1" x14ac:dyDescent="0.25">
      <c r="A2457" s="816" t="s">
        <v>307</v>
      </c>
      <c r="B2457" s="880">
        <v>2025</v>
      </c>
      <c r="C2457" s="816" t="s">
        <v>1875</v>
      </c>
      <c r="D2457" s="816" t="s">
        <v>1876</v>
      </c>
      <c r="E2457" s="816" t="s">
        <v>3225</v>
      </c>
      <c r="F2457" s="826">
        <v>0</v>
      </c>
      <c r="G2457" s="880">
        <v>0</v>
      </c>
      <c r="H2457" s="465"/>
      <c r="I2457" s="465"/>
      <c r="J2457" s="826">
        <v>0</v>
      </c>
      <c r="K2457" s="878">
        <v>0</v>
      </c>
    </row>
    <row r="2458" spans="1:11" ht="22.5" customHeight="1" x14ac:dyDescent="0.25">
      <c r="A2458" s="816" t="s">
        <v>307</v>
      </c>
      <c r="B2458" s="880">
        <v>2025</v>
      </c>
      <c r="C2458" s="816" t="s">
        <v>1878</v>
      </c>
      <c r="D2458" s="816" t="s">
        <v>1879</v>
      </c>
      <c r="E2458" s="816" t="s">
        <v>3226</v>
      </c>
      <c r="F2458" s="826">
        <v>0</v>
      </c>
      <c r="G2458" s="880">
        <v>0</v>
      </c>
      <c r="H2458" s="465"/>
      <c r="I2458" s="465"/>
      <c r="J2458" s="826">
        <v>0</v>
      </c>
      <c r="K2458" s="878">
        <v>0</v>
      </c>
    </row>
    <row r="2459" spans="1:11" ht="22.5" customHeight="1" x14ac:dyDescent="0.25">
      <c r="A2459" s="816" t="s">
        <v>307</v>
      </c>
      <c r="B2459" s="880">
        <v>2025</v>
      </c>
      <c r="C2459" s="816" t="s">
        <v>1881</v>
      </c>
      <c r="D2459" s="816" t="s">
        <v>1882</v>
      </c>
      <c r="E2459" s="816" t="s">
        <v>3227</v>
      </c>
      <c r="F2459" s="826">
        <v>0</v>
      </c>
      <c r="G2459" s="880">
        <v>0</v>
      </c>
      <c r="H2459" s="465"/>
      <c r="I2459" s="465"/>
      <c r="J2459" s="826">
        <v>0</v>
      </c>
      <c r="K2459" s="878">
        <v>0</v>
      </c>
    </row>
    <row r="2460" spans="1:11" ht="22.5" customHeight="1" x14ac:dyDescent="0.25">
      <c r="A2460" s="816" t="s">
        <v>307</v>
      </c>
      <c r="B2460" s="880">
        <v>2025</v>
      </c>
      <c r="C2460" s="816" t="s">
        <v>1884</v>
      </c>
      <c r="D2460" s="816" t="s">
        <v>1885</v>
      </c>
      <c r="E2460" s="816" t="s">
        <v>3228</v>
      </c>
      <c r="F2460" s="826">
        <v>0</v>
      </c>
      <c r="G2460" s="880">
        <v>0</v>
      </c>
      <c r="H2460" s="465"/>
      <c r="I2460" s="465"/>
      <c r="J2460" s="826">
        <v>0</v>
      </c>
      <c r="K2460" s="878">
        <v>0</v>
      </c>
    </row>
    <row r="2461" spans="1:11" ht="22.5" customHeight="1" x14ac:dyDescent="0.25">
      <c r="A2461" s="816" t="s">
        <v>307</v>
      </c>
      <c r="B2461" s="880">
        <v>2025</v>
      </c>
      <c r="C2461" s="816" t="s">
        <v>1887</v>
      </c>
      <c r="D2461" s="816" t="s">
        <v>138</v>
      </c>
      <c r="E2461" s="816" t="s">
        <v>3229</v>
      </c>
      <c r="F2461" s="826">
        <v>0</v>
      </c>
      <c r="G2461" s="880">
        <v>1</v>
      </c>
      <c r="H2461" s="465"/>
      <c r="I2461" s="465"/>
      <c r="J2461" s="826">
        <v>0</v>
      </c>
      <c r="K2461" s="878">
        <v>0</v>
      </c>
    </row>
    <row r="2462" spans="1:11" ht="22.5" customHeight="1" x14ac:dyDescent="0.25">
      <c r="A2462" s="816" t="s">
        <v>307</v>
      </c>
      <c r="B2462" s="880">
        <v>2025</v>
      </c>
      <c r="C2462" s="816" t="s">
        <v>1889</v>
      </c>
      <c r="D2462" s="816" t="s">
        <v>139</v>
      </c>
      <c r="E2462" s="816" t="s">
        <v>3230</v>
      </c>
      <c r="F2462" s="826">
        <v>-160716.35</v>
      </c>
      <c r="G2462" s="880">
        <v>1</v>
      </c>
      <c r="H2462" s="826">
        <v>-151557.87</v>
      </c>
      <c r="I2462" s="826">
        <v>-9158.48</v>
      </c>
      <c r="J2462" s="826">
        <v>-160716.35</v>
      </c>
      <c r="K2462" s="878">
        <v>-160716.35</v>
      </c>
    </row>
    <row r="2463" spans="1:11" ht="22.5" customHeight="1" x14ac:dyDescent="0.25">
      <c r="A2463" s="816" t="s">
        <v>307</v>
      </c>
      <c r="B2463" s="880">
        <v>2025</v>
      </c>
      <c r="C2463" s="816" t="s">
        <v>1891</v>
      </c>
      <c r="D2463" s="816" t="s">
        <v>1892</v>
      </c>
      <c r="E2463" s="816" t="s">
        <v>3231</v>
      </c>
      <c r="F2463" s="826">
        <v>0</v>
      </c>
      <c r="G2463" s="880">
        <v>0</v>
      </c>
      <c r="H2463" s="465"/>
      <c r="I2463" s="465"/>
      <c r="J2463" s="826">
        <v>0</v>
      </c>
      <c r="K2463" s="878">
        <v>0</v>
      </c>
    </row>
    <row r="2464" spans="1:11" ht="22.5" customHeight="1" x14ac:dyDescent="0.25">
      <c r="A2464" s="816" t="s">
        <v>307</v>
      </c>
      <c r="B2464" s="880">
        <v>2025</v>
      </c>
      <c r="C2464" s="816" t="s">
        <v>1891</v>
      </c>
      <c r="D2464" s="816" t="s">
        <v>1894</v>
      </c>
      <c r="E2464" s="816" t="s">
        <v>3231</v>
      </c>
      <c r="F2464" s="826">
        <v>0</v>
      </c>
      <c r="G2464" s="880">
        <v>0</v>
      </c>
      <c r="H2464" s="465"/>
      <c r="I2464" s="465"/>
      <c r="J2464" s="826">
        <v>0</v>
      </c>
      <c r="K2464" s="881">
        <v>0</v>
      </c>
    </row>
    <row r="2465" spans="1:11" ht="22.5" customHeight="1" x14ac:dyDescent="0.25">
      <c r="A2465" s="816" t="s">
        <v>307</v>
      </c>
      <c r="B2465" s="880">
        <v>2025</v>
      </c>
      <c r="C2465" s="816" t="s">
        <v>1895</v>
      </c>
      <c r="D2465" s="816" t="s">
        <v>1896</v>
      </c>
      <c r="E2465" s="816" t="s">
        <v>3232</v>
      </c>
      <c r="F2465" s="826">
        <v>0</v>
      </c>
      <c r="G2465" s="880">
        <v>0</v>
      </c>
      <c r="H2465" s="465"/>
      <c r="I2465" s="465"/>
      <c r="J2465" s="826">
        <v>0</v>
      </c>
      <c r="K2465" s="878">
        <v>0</v>
      </c>
    </row>
    <row r="2466" spans="1:11" ht="22.5" customHeight="1" x14ac:dyDescent="0.25">
      <c r="A2466" s="816" t="s">
        <v>307</v>
      </c>
      <c r="B2466" s="880">
        <v>2025</v>
      </c>
      <c r="C2466" s="816" t="s">
        <v>1898</v>
      </c>
      <c r="D2466" s="816" t="s">
        <v>1899</v>
      </c>
      <c r="E2466" s="816" t="s">
        <v>3233</v>
      </c>
      <c r="F2466" s="826">
        <v>0</v>
      </c>
      <c r="G2466" s="880">
        <v>0</v>
      </c>
      <c r="H2466" s="465"/>
      <c r="I2466" s="465"/>
      <c r="J2466" s="826">
        <v>0</v>
      </c>
      <c r="K2466" s="878">
        <v>0</v>
      </c>
    </row>
    <row r="2467" spans="1:11" ht="22.5" customHeight="1" x14ac:dyDescent="0.25">
      <c r="A2467" s="816" t="s">
        <v>307</v>
      </c>
      <c r="B2467" s="880">
        <v>2025</v>
      </c>
      <c r="C2467" s="816" t="s">
        <v>1901</v>
      </c>
      <c r="D2467" s="816" t="s">
        <v>1902</v>
      </c>
      <c r="E2467" s="816" t="s">
        <v>3234</v>
      </c>
      <c r="F2467" s="826">
        <v>0</v>
      </c>
      <c r="G2467" s="880">
        <v>0</v>
      </c>
      <c r="H2467" s="465"/>
      <c r="I2467" s="465"/>
      <c r="J2467" s="826">
        <v>0</v>
      </c>
      <c r="K2467" s="878">
        <v>0</v>
      </c>
    </row>
    <row r="2468" spans="1:11" ht="22.5" customHeight="1" x14ac:dyDescent="0.25">
      <c r="A2468" s="816" t="s">
        <v>307</v>
      </c>
      <c r="B2468" s="880">
        <v>2025</v>
      </c>
      <c r="C2468" s="816" t="s">
        <v>1904</v>
      </c>
      <c r="D2468" s="816" t="s">
        <v>1905</v>
      </c>
      <c r="E2468" s="816" t="s">
        <v>3235</v>
      </c>
      <c r="F2468" s="826">
        <v>0</v>
      </c>
      <c r="G2468" s="880">
        <v>0</v>
      </c>
      <c r="H2468" s="465"/>
      <c r="I2468" s="465"/>
      <c r="J2468" s="826">
        <v>0</v>
      </c>
      <c r="K2468" s="878">
        <v>0</v>
      </c>
    </row>
    <row r="2469" spans="1:11" ht="22.5" customHeight="1" x14ac:dyDescent="0.25">
      <c r="A2469" s="816" t="s">
        <v>307</v>
      </c>
      <c r="B2469" s="880">
        <v>2025</v>
      </c>
      <c r="C2469" s="816" t="s">
        <v>1907</v>
      </c>
      <c r="D2469" s="816" t="s">
        <v>1908</v>
      </c>
      <c r="E2469" s="816" t="s">
        <v>3236</v>
      </c>
      <c r="F2469" s="826">
        <v>0</v>
      </c>
      <c r="G2469" s="880">
        <v>0</v>
      </c>
      <c r="H2469" s="465"/>
      <c r="I2469" s="465"/>
      <c r="J2469" s="826">
        <v>0</v>
      </c>
      <c r="K2469" s="878">
        <v>0</v>
      </c>
    </row>
    <row r="2470" spans="1:11" ht="22.5" customHeight="1" x14ac:dyDescent="0.25">
      <c r="A2470" s="816" t="s">
        <v>307</v>
      </c>
      <c r="B2470" s="880">
        <v>2025</v>
      </c>
      <c r="C2470" s="816" t="s">
        <v>1910</v>
      </c>
      <c r="D2470" s="816" t="s">
        <v>1911</v>
      </c>
      <c r="E2470" s="816" t="s">
        <v>3237</v>
      </c>
      <c r="F2470" s="826">
        <v>0</v>
      </c>
      <c r="G2470" s="880">
        <v>0</v>
      </c>
      <c r="H2470" s="465"/>
      <c r="I2470" s="465"/>
      <c r="J2470" s="826">
        <v>0</v>
      </c>
      <c r="K2470" s="878">
        <v>0</v>
      </c>
    </row>
    <row r="2471" spans="1:11" ht="22.5" customHeight="1" x14ac:dyDescent="0.25">
      <c r="A2471" s="816" t="s">
        <v>307</v>
      </c>
      <c r="B2471" s="880">
        <v>2025</v>
      </c>
      <c r="C2471" s="816" t="s">
        <v>1913</v>
      </c>
      <c r="D2471" s="816" t="s">
        <v>1914</v>
      </c>
      <c r="E2471" s="816" t="s">
        <v>3238</v>
      </c>
      <c r="F2471" s="826">
        <v>-1244076.96</v>
      </c>
      <c r="G2471" s="880">
        <v>1</v>
      </c>
      <c r="H2471" s="826">
        <v>-1173512.22</v>
      </c>
      <c r="I2471" s="826">
        <v>-70564.740000000005</v>
      </c>
      <c r="J2471" s="826">
        <v>-1244076.96</v>
      </c>
      <c r="K2471" s="878">
        <v>-1244076.96</v>
      </c>
    </row>
    <row r="2472" spans="1:11" ht="22.5" customHeight="1" x14ac:dyDescent="0.25">
      <c r="A2472" s="816" t="s">
        <v>307</v>
      </c>
      <c r="B2472" s="880">
        <v>2025</v>
      </c>
      <c r="C2472" s="816" t="s">
        <v>1913</v>
      </c>
      <c r="D2472" s="816" t="s">
        <v>1916</v>
      </c>
      <c r="E2472" s="816" t="s">
        <v>3238</v>
      </c>
      <c r="F2472" s="826">
        <v>0</v>
      </c>
      <c r="G2472" s="880">
        <v>0</v>
      </c>
      <c r="H2472" s="465"/>
      <c r="I2472" s="465"/>
      <c r="J2472" s="826">
        <v>0</v>
      </c>
      <c r="K2472" s="881">
        <v>0</v>
      </c>
    </row>
    <row r="2473" spans="1:11" ht="22.5" customHeight="1" x14ac:dyDescent="0.25">
      <c r="A2473" s="816" t="s">
        <v>307</v>
      </c>
      <c r="B2473" s="880">
        <v>2025</v>
      </c>
      <c r="C2473" s="816" t="s">
        <v>1913</v>
      </c>
      <c r="D2473" s="816" t="s">
        <v>1917</v>
      </c>
      <c r="E2473" s="816" t="s">
        <v>3238</v>
      </c>
      <c r="F2473" s="826">
        <v>0</v>
      </c>
      <c r="G2473" s="880">
        <v>0</v>
      </c>
      <c r="H2473" s="465"/>
      <c r="I2473" s="465"/>
      <c r="J2473" s="826">
        <v>0</v>
      </c>
      <c r="K2473" s="881">
        <v>0</v>
      </c>
    </row>
    <row r="2474" spans="1:11" ht="22.5" customHeight="1" x14ac:dyDescent="0.25">
      <c r="A2474" s="816" t="s">
        <v>307</v>
      </c>
      <c r="B2474" s="880">
        <v>2025</v>
      </c>
      <c r="C2474" s="816" t="s">
        <v>1913</v>
      </c>
      <c r="D2474" s="816" t="s">
        <v>1918</v>
      </c>
      <c r="E2474" s="816" t="s">
        <v>3238</v>
      </c>
      <c r="F2474" s="826">
        <v>0</v>
      </c>
      <c r="G2474" s="880">
        <v>0</v>
      </c>
      <c r="H2474" s="465"/>
      <c r="I2474" s="465"/>
      <c r="J2474" s="826">
        <v>0</v>
      </c>
      <c r="K2474" s="881">
        <v>3821.76</v>
      </c>
    </row>
    <row r="2475" spans="1:11" ht="22.5" customHeight="1" x14ac:dyDescent="0.25">
      <c r="A2475" s="816" t="s">
        <v>307</v>
      </c>
      <c r="B2475" s="880">
        <v>2025</v>
      </c>
      <c r="C2475" s="816" t="s">
        <v>1913</v>
      </c>
      <c r="D2475" s="816" t="s">
        <v>1919</v>
      </c>
      <c r="E2475" s="816" t="s">
        <v>3238</v>
      </c>
      <c r="F2475" s="826">
        <v>0</v>
      </c>
      <c r="G2475" s="880">
        <v>0</v>
      </c>
      <c r="H2475" s="465"/>
      <c r="I2475" s="465"/>
      <c r="J2475" s="826">
        <v>0</v>
      </c>
      <c r="K2475" s="881">
        <v>368847.47</v>
      </c>
    </row>
    <row r="2476" spans="1:11" ht="22.5" customHeight="1" x14ac:dyDescent="0.25">
      <c r="A2476" s="816" t="s">
        <v>307</v>
      </c>
      <c r="B2476" s="880">
        <v>2025</v>
      </c>
      <c r="C2476" s="816" t="s">
        <v>1920</v>
      </c>
      <c r="D2476" s="816" t="s">
        <v>1921</v>
      </c>
      <c r="E2476" s="816" t="s">
        <v>3239</v>
      </c>
      <c r="F2476" s="826">
        <v>0</v>
      </c>
      <c r="G2476" s="880">
        <v>0</v>
      </c>
      <c r="H2476" s="465"/>
      <c r="I2476" s="465"/>
      <c r="J2476" s="826">
        <v>0</v>
      </c>
      <c r="K2476" s="878">
        <v>0</v>
      </c>
    </row>
    <row r="2477" spans="1:11" ht="22.5" customHeight="1" x14ac:dyDescent="0.25">
      <c r="A2477" s="816" t="s">
        <v>307</v>
      </c>
      <c r="B2477" s="880">
        <v>2025</v>
      </c>
      <c r="C2477" s="816" t="s">
        <v>1923</v>
      </c>
      <c r="D2477" s="816" t="s">
        <v>143</v>
      </c>
      <c r="E2477" s="816" t="s">
        <v>3240</v>
      </c>
      <c r="F2477" s="826">
        <v>1470788.67</v>
      </c>
      <c r="G2477" s="880">
        <v>1</v>
      </c>
      <c r="H2477" s="826">
        <v>1396146.28</v>
      </c>
      <c r="I2477" s="826">
        <v>74642.39</v>
      </c>
      <c r="J2477" s="826">
        <v>1470788.67</v>
      </c>
      <c r="K2477" s="878">
        <v>1470788.67</v>
      </c>
    </row>
    <row r="2478" spans="1:11" ht="22.5" customHeight="1" x14ac:dyDescent="0.25">
      <c r="A2478" s="816" t="s">
        <v>307</v>
      </c>
      <c r="B2478" s="880">
        <v>2025</v>
      </c>
      <c r="C2478" s="816" t="s">
        <v>1925</v>
      </c>
      <c r="D2478" s="816" t="s">
        <v>144</v>
      </c>
      <c r="E2478" s="816" t="s">
        <v>3241</v>
      </c>
      <c r="F2478" s="826">
        <v>375939.17</v>
      </c>
      <c r="G2478" s="880">
        <v>1</v>
      </c>
      <c r="H2478" s="826">
        <v>343217.16</v>
      </c>
      <c r="I2478" s="826">
        <v>32722.01</v>
      </c>
      <c r="J2478" s="826">
        <v>375939.17</v>
      </c>
      <c r="K2478" s="878">
        <v>375939.17</v>
      </c>
    </row>
    <row r="2479" spans="1:11" ht="22.5" customHeight="1" x14ac:dyDescent="0.25">
      <c r="A2479" s="816" t="s">
        <v>307</v>
      </c>
      <c r="B2479" s="880">
        <v>2025</v>
      </c>
      <c r="C2479" s="816" t="s">
        <v>1927</v>
      </c>
      <c r="D2479" s="816" t="s">
        <v>1928</v>
      </c>
      <c r="E2479" s="816" t="s">
        <v>3242</v>
      </c>
      <c r="F2479" s="826">
        <v>-372596.05</v>
      </c>
      <c r="G2479" s="880">
        <v>1</v>
      </c>
      <c r="H2479" s="826">
        <v>-298880.69</v>
      </c>
      <c r="I2479" s="826">
        <v>-73715.360000000001</v>
      </c>
      <c r="J2479" s="826">
        <v>-372596.05</v>
      </c>
      <c r="K2479" s="878">
        <v>-372596.05</v>
      </c>
    </row>
    <row r="2480" spans="1:11" ht="22.5" customHeight="1" x14ac:dyDescent="0.25">
      <c r="A2480" s="816" t="s">
        <v>307</v>
      </c>
      <c r="B2480" s="880">
        <v>2025</v>
      </c>
      <c r="C2480" s="816" t="s">
        <v>1930</v>
      </c>
      <c r="D2480" s="816" t="s">
        <v>156</v>
      </c>
      <c r="E2480" s="816" t="s">
        <v>3243</v>
      </c>
      <c r="F2480" s="826">
        <v>2003892.23</v>
      </c>
      <c r="G2480" s="880">
        <v>1</v>
      </c>
      <c r="H2480" s="826">
        <v>1916502.41</v>
      </c>
      <c r="I2480" s="826">
        <v>87389.82</v>
      </c>
      <c r="J2480" s="826">
        <v>2003892.23</v>
      </c>
      <c r="K2480" s="878">
        <v>2003892.23</v>
      </c>
    </row>
    <row r="2481" spans="1:11" ht="22.5" customHeight="1" x14ac:dyDescent="0.25">
      <c r="A2481" s="816" t="s">
        <v>307</v>
      </c>
      <c r="B2481" s="880">
        <v>2025</v>
      </c>
      <c r="C2481" s="816" t="s">
        <v>1932</v>
      </c>
      <c r="D2481" s="816" t="s">
        <v>1933</v>
      </c>
      <c r="E2481" s="816" t="s">
        <v>3244</v>
      </c>
      <c r="F2481" s="826">
        <v>0</v>
      </c>
      <c r="G2481" s="880">
        <v>0</v>
      </c>
      <c r="H2481" s="465"/>
      <c r="I2481" s="465"/>
      <c r="J2481" s="826">
        <v>0</v>
      </c>
      <c r="K2481" s="878">
        <v>0</v>
      </c>
    </row>
    <row r="2482" spans="1:11" ht="22.5" customHeight="1" x14ac:dyDescent="0.25">
      <c r="A2482" s="816" t="s">
        <v>307</v>
      </c>
      <c r="B2482" s="880">
        <v>2025</v>
      </c>
      <c r="C2482" s="816" t="s">
        <v>1935</v>
      </c>
      <c r="D2482" s="816" t="s">
        <v>1936</v>
      </c>
      <c r="E2482" s="816" t="s">
        <v>8652</v>
      </c>
      <c r="F2482" s="826">
        <v>0</v>
      </c>
      <c r="G2482" s="880">
        <v>1</v>
      </c>
      <c r="H2482" s="465"/>
      <c r="I2482" s="465"/>
      <c r="J2482" s="826">
        <v>0</v>
      </c>
      <c r="K2482" s="878">
        <v>0</v>
      </c>
    </row>
    <row r="2483" spans="1:11" ht="22.5" customHeight="1" x14ac:dyDescent="0.25">
      <c r="A2483" s="816" t="s">
        <v>307</v>
      </c>
      <c r="B2483" s="880">
        <v>2025</v>
      </c>
      <c r="C2483" s="816" t="s">
        <v>1935</v>
      </c>
      <c r="D2483" s="816" t="s">
        <v>1937</v>
      </c>
      <c r="E2483" s="816" t="s">
        <v>8653</v>
      </c>
      <c r="F2483" s="826">
        <v>0</v>
      </c>
      <c r="G2483" s="880">
        <v>1</v>
      </c>
      <c r="H2483" s="465"/>
      <c r="I2483" s="465"/>
      <c r="J2483" s="826">
        <v>0</v>
      </c>
      <c r="K2483" s="878">
        <v>0</v>
      </c>
    </row>
    <row r="2484" spans="1:11" ht="22.5" customHeight="1" x14ac:dyDescent="0.25">
      <c r="A2484" s="816" t="s">
        <v>307</v>
      </c>
      <c r="B2484" s="880">
        <v>2025</v>
      </c>
      <c r="C2484" s="816" t="s">
        <v>1935</v>
      </c>
      <c r="D2484" s="816" t="s">
        <v>1938</v>
      </c>
      <c r="E2484" s="816" t="s">
        <v>8654</v>
      </c>
      <c r="F2484" s="826">
        <v>0</v>
      </c>
      <c r="G2484" s="880">
        <v>1</v>
      </c>
      <c r="H2484" s="465"/>
      <c r="I2484" s="465"/>
      <c r="J2484" s="826">
        <v>0</v>
      </c>
      <c r="K2484" s="878">
        <v>0</v>
      </c>
    </row>
    <row r="2485" spans="1:11" ht="22.5" customHeight="1" x14ac:dyDescent="0.25">
      <c r="A2485" s="816" t="s">
        <v>307</v>
      </c>
      <c r="B2485" s="880">
        <v>2025</v>
      </c>
      <c r="C2485" s="816" t="s">
        <v>1935</v>
      </c>
      <c r="D2485" s="816" t="s">
        <v>1939</v>
      </c>
      <c r="E2485" s="816" t="s">
        <v>8655</v>
      </c>
      <c r="F2485" s="826">
        <v>0</v>
      </c>
      <c r="G2485" s="880">
        <v>1</v>
      </c>
      <c r="H2485" s="465"/>
      <c r="I2485" s="465"/>
      <c r="J2485" s="826">
        <v>0</v>
      </c>
      <c r="K2485" s="878">
        <v>0</v>
      </c>
    </row>
    <row r="2486" spans="1:11" ht="22.5" customHeight="1" x14ac:dyDescent="0.25">
      <c r="A2486" s="816" t="s">
        <v>307</v>
      </c>
      <c r="B2486" s="880">
        <v>2025</v>
      </c>
      <c r="C2486" s="816" t="s">
        <v>1935</v>
      </c>
      <c r="D2486" s="816" t="s">
        <v>1940</v>
      </c>
      <c r="E2486" s="816" t="s">
        <v>8656</v>
      </c>
      <c r="F2486" s="826">
        <v>0</v>
      </c>
      <c r="G2486" s="880">
        <v>1</v>
      </c>
      <c r="H2486" s="465"/>
      <c r="I2486" s="465"/>
      <c r="J2486" s="826">
        <v>0</v>
      </c>
      <c r="K2486" s="878">
        <v>0</v>
      </c>
    </row>
    <row r="2487" spans="1:11" ht="22.5" customHeight="1" x14ac:dyDescent="0.25">
      <c r="A2487" s="816" t="s">
        <v>307</v>
      </c>
      <c r="B2487" s="880">
        <v>2025</v>
      </c>
      <c r="C2487" s="816" t="s">
        <v>1935</v>
      </c>
      <c r="D2487" s="816" t="s">
        <v>1941</v>
      </c>
      <c r="E2487" s="816" t="s">
        <v>8657</v>
      </c>
      <c r="F2487" s="826">
        <v>0</v>
      </c>
      <c r="G2487" s="880">
        <v>1</v>
      </c>
      <c r="H2487" s="465"/>
      <c r="I2487" s="465"/>
      <c r="J2487" s="826">
        <v>0</v>
      </c>
      <c r="K2487" s="878">
        <v>0</v>
      </c>
    </row>
    <row r="2488" spans="1:11" ht="22.5" customHeight="1" x14ac:dyDescent="0.25">
      <c r="A2488" s="816" t="s">
        <v>307</v>
      </c>
      <c r="B2488" s="880">
        <v>2025</v>
      </c>
      <c r="C2488" s="816" t="s">
        <v>1935</v>
      </c>
      <c r="D2488" s="816" t="s">
        <v>1942</v>
      </c>
      <c r="E2488" s="816" t="s">
        <v>8658</v>
      </c>
      <c r="F2488" s="826">
        <v>0</v>
      </c>
      <c r="G2488" s="880">
        <v>1</v>
      </c>
      <c r="H2488" s="465"/>
      <c r="I2488" s="465"/>
      <c r="J2488" s="826">
        <v>0</v>
      </c>
      <c r="K2488" s="878">
        <v>0</v>
      </c>
    </row>
    <row r="2489" spans="1:11" ht="22.5" customHeight="1" x14ac:dyDescent="0.25">
      <c r="A2489" s="816" t="s">
        <v>307</v>
      </c>
      <c r="B2489" s="880">
        <v>2025</v>
      </c>
      <c r="C2489" s="816" t="s">
        <v>1935</v>
      </c>
      <c r="D2489" s="816" t="s">
        <v>1943</v>
      </c>
      <c r="E2489" s="816" t="s">
        <v>8659</v>
      </c>
      <c r="F2489" s="826">
        <v>0</v>
      </c>
      <c r="G2489" s="880">
        <v>1</v>
      </c>
      <c r="H2489" s="465"/>
      <c r="I2489" s="465"/>
      <c r="J2489" s="826">
        <v>0</v>
      </c>
      <c r="K2489" s="878">
        <v>0</v>
      </c>
    </row>
    <row r="2490" spans="1:11" ht="22.5" customHeight="1" x14ac:dyDescent="0.25">
      <c r="A2490" s="816" t="s">
        <v>307</v>
      </c>
      <c r="B2490" s="880">
        <v>2025</v>
      </c>
      <c r="C2490" s="816" t="s">
        <v>1935</v>
      </c>
      <c r="D2490" s="816" t="s">
        <v>1944</v>
      </c>
      <c r="E2490" s="816" t="s">
        <v>8660</v>
      </c>
      <c r="F2490" s="826">
        <v>0</v>
      </c>
      <c r="G2490" s="880">
        <v>1</v>
      </c>
      <c r="H2490" s="465"/>
      <c r="I2490" s="465"/>
      <c r="J2490" s="826">
        <v>0</v>
      </c>
      <c r="K2490" s="878">
        <v>0</v>
      </c>
    </row>
    <row r="2491" spans="1:11" ht="22.5" customHeight="1" x14ac:dyDescent="0.25">
      <c r="A2491" s="816" t="s">
        <v>307</v>
      </c>
      <c r="B2491" s="880">
        <v>2025</v>
      </c>
      <c r="C2491" s="816" t="s">
        <v>1935</v>
      </c>
      <c r="D2491" s="816" t="s">
        <v>1945</v>
      </c>
      <c r="E2491" s="816" t="s">
        <v>8661</v>
      </c>
      <c r="F2491" s="826">
        <v>0</v>
      </c>
      <c r="G2491" s="880">
        <v>1</v>
      </c>
      <c r="H2491" s="465"/>
      <c r="I2491" s="465"/>
      <c r="J2491" s="826">
        <v>0</v>
      </c>
      <c r="K2491" s="878">
        <v>0</v>
      </c>
    </row>
    <row r="2492" spans="1:11" ht="22.5" customHeight="1" x14ac:dyDescent="0.25">
      <c r="A2492" s="816" t="s">
        <v>307</v>
      </c>
      <c r="B2492" s="880">
        <v>2025</v>
      </c>
      <c r="C2492" s="816" t="s">
        <v>1935</v>
      </c>
      <c r="D2492" s="816" t="s">
        <v>1946</v>
      </c>
      <c r="E2492" s="816" t="s">
        <v>8662</v>
      </c>
      <c r="F2492" s="826">
        <v>0</v>
      </c>
      <c r="G2492" s="880">
        <v>1</v>
      </c>
      <c r="H2492" s="465"/>
      <c r="I2492" s="465"/>
      <c r="J2492" s="826">
        <v>0</v>
      </c>
      <c r="K2492" s="878">
        <v>0</v>
      </c>
    </row>
    <row r="2493" spans="1:11" ht="22.5" customHeight="1" x14ac:dyDescent="0.25">
      <c r="A2493" s="816" t="s">
        <v>307</v>
      </c>
      <c r="B2493" s="880">
        <v>2025</v>
      </c>
      <c r="C2493" s="816" t="s">
        <v>1935</v>
      </c>
      <c r="D2493" s="816" t="s">
        <v>1947</v>
      </c>
      <c r="E2493" s="816" t="s">
        <v>8663</v>
      </c>
      <c r="F2493" s="826">
        <v>0</v>
      </c>
      <c r="G2493" s="880">
        <v>1</v>
      </c>
      <c r="H2493" s="465"/>
      <c r="I2493" s="465"/>
      <c r="J2493" s="826">
        <v>0</v>
      </c>
      <c r="K2493" s="878">
        <v>0</v>
      </c>
    </row>
    <row r="2494" spans="1:11" ht="22.5" customHeight="1" x14ac:dyDescent="0.25">
      <c r="A2494" s="816" t="s">
        <v>307</v>
      </c>
      <c r="B2494" s="880">
        <v>2025</v>
      </c>
      <c r="C2494" s="816" t="s">
        <v>1935</v>
      </c>
      <c r="D2494" s="816" t="s">
        <v>1948</v>
      </c>
      <c r="E2494" s="816" t="s">
        <v>8664</v>
      </c>
      <c r="F2494" s="826">
        <v>0</v>
      </c>
      <c r="G2494" s="880">
        <v>1</v>
      </c>
      <c r="H2494" s="826">
        <v>-8279.2999999999993</v>
      </c>
      <c r="I2494" s="826">
        <v>4861.0200000000004</v>
      </c>
      <c r="J2494" s="826">
        <v>-3418.28</v>
      </c>
      <c r="K2494" s="878">
        <v>-3418.28</v>
      </c>
    </row>
    <row r="2495" spans="1:11" ht="22.5" customHeight="1" x14ac:dyDescent="0.25">
      <c r="A2495" s="816" t="s">
        <v>307</v>
      </c>
      <c r="B2495" s="880">
        <v>2025</v>
      </c>
      <c r="C2495" s="816" t="s">
        <v>1935</v>
      </c>
      <c r="D2495" s="816" t="s">
        <v>1949</v>
      </c>
      <c r="E2495" s="816" t="s">
        <v>8665</v>
      </c>
      <c r="F2495" s="826">
        <v>0</v>
      </c>
      <c r="G2495" s="880">
        <v>1</v>
      </c>
      <c r="H2495" s="826">
        <v>22185.37</v>
      </c>
      <c r="I2495" s="826">
        <v>1809.67</v>
      </c>
      <c r="J2495" s="826">
        <v>23995.040000000001</v>
      </c>
      <c r="K2495" s="878">
        <v>23995.040000000001</v>
      </c>
    </row>
    <row r="2496" spans="1:11" ht="22.5" customHeight="1" x14ac:dyDescent="0.25">
      <c r="A2496" s="816" t="s">
        <v>307</v>
      </c>
      <c r="B2496" s="880">
        <v>2025</v>
      </c>
      <c r="C2496" s="816" t="s">
        <v>1935</v>
      </c>
      <c r="D2496" s="816" t="s">
        <v>1950</v>
      </c>
      <c r="E2496" s="816" t="s">
        <v>8666</v>
      </c>
      <c r="F2496" s="826">
        <v>0</v>
      </c>
      <c r="G2496" s="880">
        <v>1</v>
      </c>
      <c r="H2496" s="826">
        <v>73668.5</v>
      </c>
      <c r="I2496" s="826">
        <v>-24087.35</v>
      </c>
      <c r="J2496" s="826">
        <v>49581.15</v>
      </c>
      <c r="K2496" s="878">
        <v>49581.15</v>
      </c>
    </row>
    <row r="2497" spans="1:11" ht="22.5" customHeight="1" x14ac:dyDescent="0.25">
      <c r="A2497" s="816" t="s">
        <v>307</v>
      </c>
      <c r="B2497" s="880">
        <v>2025</v>
      </c>
      <c r="C2497" s="816" t="s">
        <v>1935</v>
      </c>
      <c r="D2497" s="816" t="s">
        <v>1951</v>
      </c>
      <c r="E2497" s="816" t="s">
        <v>8667</v>
      </c>
      <c r="F2497" s="826">
        <v>0</v>
      </c>
      <c r="G2497" s="880">
        <v>1</v>
      </c>
      <c r="H2497" s="826">
        <v>57494.239999999998</v>
      </c>
      <c r="I2497" s="826">
        <v>-57482.36</v>
      </c>
      <c r="J2497" s="826">
        <v>11.8799999999974</v>
      </c>
      <c r="K2497" s="878">
        <v>11.8799999999974</v>
      </c>
    </row>
    <row r="2498" spans="1:11" ht="22.5" customHeight="1" x14ac:dyDescent="0.25">
      <c r="A2498" s="816" t="s">
        <v>307</v>
      </c>
      <c r="B2498" s="880">
        <v>2025</v>
      </c>
      <c r="C2498" s="816" t="s">
        <v>1935</v>
      </c>
      <c r="D2498" s="816" t="s">
        <v>7801</v>
      </c>
      <c r="E2498" s="816" t="s">
        <v>8668</v>
      </c>
      <c r="F2498" s="826">
        <v>0</v>
      </c>
      <c r="G2498" s="880">
        <v>1</v>
      </c>
      <c r="H2498" s="826">
        <v>-97416.86</v>
      </c>
      <c r="I2498" s="826">
        <v>-613020.11</v>
      </c>
      <c r="J2498" s="826">
        <v>-710436.97</v>
      </c>
      <c r="K2498" s="878">
        <v>-710436.97</v>
      </c>
    </row>
    <row r="2499" spans="1:11" ht="22.5" customHeight="1" x14ac:dyDescent="0.25">
      <c r="A2499" s="816" t="s">
        <v>307</v>
      </c>
      <c r="B2499" s="880">
        <v>2025</v>
      </c>
      <c r="C2499" s="816" t="s">
        <v>1935</v>
      </c>
      <c r="D2499" s="816" t="s">
        <v>1952</v>
      </c>
      <c r="E2499" s="816" t="s">
        <v>8669</v>
      </c>
      <c r="F2499" s="826">
        <v>-640267.18000000005</v>
      </c>
      <c r="G2499" s="880">
        <v>0</v>
      </c>
      <c r="H2499" s="465"/>
      <c r="I2499" s="465"/>
      <c r="J2499" s="826">
        <v>0</v>
      </c>
      <c r="K2499" s="878">
        <v>-640267.18000000005</v>
      </c>
    </row>
    <row r="2500" spans="1:11" ht="22.5" customHeight="1" x14ac:dyDescent="0.25">
      <c r="A2500" s="816" t="s">
        <v>307</v>
      </c>
      <c r="B2500" s="880">
        <v>2025</v>
      </c>
      <c r="C2500" s="816" t="s">
        <v>1953</v>
      </c>
      <c r="D2500" s="816" t="s">
        <v>1954</v>
      </c>
      <c r="E2500" s="816" t="s">
        <v>3245</v>
      </c>
      <c r="F2500" s="826">
        <v>0</v>
      </c>
      <c r="G2500" s="880">
        <v>0</v>
      </c>
      <c r="H2500" s="465"/>
      <c r="I2500" s="465"/>
      <c r="J2500" s="826">
        <v>0</v>
      </c>
      <c r="K2500" s="878">
        <v>0</v>
      </c>
    </row>
    <row r="2501" spans="1:11" ht="22.5" customHeight="1" x14ac:dyDescent="0.25">
      <c r="A2501" s="816" t="s">
        <v>309</v>
      </c>
      <c r="B2501" s="880">
        <v>2025</v>
      </c>
      <c r="C2501" s="816" t="s">
        <v>1854</v>
      </c>
      <c r="D2501" s="816" t="s">
        <v>1855</v>
      </c>
      <c r="E2501" s="816" t="s">
        <v>3246</v>
      </c>
      <c r="F2501" s="826">
        <v>16353.4</v>
      </c>
      <c r="G2501" s="880">
        <v>0</v>
      </c>
      <c r="H2501" s="465"/>
      <c r="I2501" s="465"/>
      <c r="J2501" s="826">
        <v>0</v>
      </c>
      <c r="K2501" s="878">
        <v>16353.4</v>
      </c>
    </row>
    <row r="2502" spans="1:11" ht="22.5" customHeight="1" x14ac:dyDescent="0.25">
      <c r="A2502" s="816" t="s">
        <v>309</v>
      </c>
      <c r="B2502" s="880">
        <v>2025</v>
      </c>
      <c r="C2502" s="816" t="s">
        <v>7746</v>
      </c>
      <c r="D2502" s="816" t="s">
        <v>7747</v>
      </c>
      <c r="E2502" s="816" t="s">
        <v>7795</v>
      </c>
      <c r="F2502" s="826">
        <v>0</v>
      </c>
      <c r="G2502" s="880">
        <v>0</v>
      </c>
      <c r="H2502" s="465"/>
      <c r="I2502" s="465"/>
      <c r="J2502" s="826">
        <v>0</v>
      </c>
      <c r="K2502" s="878">
        <v>0</v>
      </c>
    </row>
    <row r="2503" spans="1:11" ht="22.5" customHeight="1" x14ac:dyDescent="0.25">
      <c r="A2503" s="816" t="s">
        <v>309</v>
      </c>
      <c r="B2503" s="880">
        <v>2025</v>
      </c>
      <c r="C2503" s="816" t="s">
        <v>1857</v>
      </c>
      <c r="D2503" s="816" t="s">
        <v>1858</v>
      </c>
      <c r="E2503" s="816" t="s">
        <v>3247</v>
      </c>
      <c r="F2503" s="826">
        <v>0</v>
      </c>
      <c r="G2503" s="880">
        <v>0</v>
      </c>
      <c r="H2503" s="465"/>
      <c r="I2503" s="465"/>
      <c r="J2503" s="826">
        <v>0</v>
      </c>
      <c r="K2503" s="878">
        <v>0</v>
      </c>
    </row>
    <row r="2504" spans="1:11" ht="22.5" customHeight="1" x14ac:dyDescent="0.25">
      <c r="A2504" s="816" t="s">
        <v>309</v>
      </c>
      <c r="B2504" s="880">
        <v>2025</v>
      </c>
      <c r="C2504" s="816" t="s">
        <v>1860</v>
      </c>
      <c r="D2504" s="816" t="s">
        <v>1861</v>
      </c>
      <c r="E2504" s="816" t="s">
        <v>3248</v>
      </c>
      <c r="F2504" s="826">
        <v>0</v>
      </c>
      <c r="G2504" s="880">
        <v>0</v>
      </c>
      <c r="H2504" s="465"/>
      <c r="I2504" s="465"/>
      <c r="J2504" s="826">
        <v>0</v>
      </c>
      <c r="K2504" s="878">
        <v>0</v>
      </c>
    </row>
    <row r="2505" spans="1:11" ht="22.5" customHeight="1" x14ac:dyDescent="0.25">
      <c r="A2505" s="816" t="s">
        <v>309</v>
      </c>
      <c r="B2505" s="880">
        <v>2025</v>
      </c>
      <c r="C2505" s="816" t="s">
        <v>1863</v>
      </c>
      <c r="D2505" s="816" t="s">
        <v>1864</v>
      </c>
      <c r="E2505" s="816" t="s">
        <v>3249</v>
      </c>
      <c r="F2505" s="826">
        <v>0</v>
      </c>
      <c r="G2505" s="880">
        <v>0</v>
      </c>
      <c r="H2505" s="465"/>
      <c r="I2505" s="465"/>
      <c r="J2505" s="826">
        <v>0</v>
      </c>
      <c r="K2505" s="878">
        <v>0</v>
      </c>
    </row>
    <row r="2506" spans="1:11" ht="22.5" customHeight="1" x14ac:dyDescent="0.25">
      <c r="A2506" s="816" t="s">
        <v>309</v>
      </c>
      <c r="B2506" s="880">
        <v>2025</v>
      </c>
      <c r="C2506" s="816" t="s">
        <v>1866</v>
      </c>
      <c r="D2506" s="816" t="s">
        <v>1867</v>
      </c>
      <c r="E2506" s="816" t="s">
        <v>3250</v>
      </c>
      <c r="F2506" s="826">
        <v>0</v>
      </c>
      <c r="G2506" s="880">
        <v>0</v>
      </c>
      <c r="H2506" s="465"/>
      <c r="I2506" s="465"/>
      <c r="J2506" s="826">
        <v>0</v>
      </c>
      <c r="K2506" s="878">
        <v>0</v>
      </c>
    </row>
    <row r="2507" spans="1:11" ht="22.5" customHeight="1" x14ac:dyDescent="0.25">
      <c r="A2507" s="816" t="s">
        <v>309</v>
      </c>
      <c r="B2507" s="880">
        <v>2025</v>
      </c>
      <c r="C2507" s="816" t="s">
        <v>1869</v>
      </c>
      <c r="D2507" s="816" t="s">
        <v>1870</v>
      </c>
      <c r="E2507" s="816" t="s">
        <v>3251</v>
      </c>
      <c r="F2507" s="826">
        <v>0</v>
      </c>
      <c r="G2507" s="880">
        <v>0</v>
      </c>
      <c r="H2507" s="465"/>
      <c r="I2507" s="465"/>
      <c r="J2507" s="826">
        <v>0</v>
      </c>
      <c r="K2507" s="878">
        <v>0</v>
      </c>
    </row>
    <row r="2508" spans="1:11" ht="22.5" customHeight="1" x14ac:dyDescent="0.25">
      <c r="A2508" s="816" t="s">
        <v>309</v>
      </c>
      <c r="B2508" s="880">
        <v>2025</v>
      </c>
      <c r="C2508" s="816" t="s">
        <v>1872</v>
      </c>
      <c r="D2508" s="816" t="s">
        <v>1873</v>
      </c>
      <c r="E2508" s="816" t="s">
        <v>3252</v>
      </c>
      <c r="F2508" s="826">
        <v>0</v>
      </c>
      <c r="G2508" s="880">
        <v>0</v>
      </c>
      <c r="H2508" s="465"/>
      <c r="I2508" s="465"/>
      <c r="J2508" s="826">
        <v>0</v>
      </c>
      <c r="K2508" s="878">
        <v>0</v>
      </c>
    </row>
    <row r="2509" spans="1:11" ht="22.5" customHeight="1" x14ac:dyDescent="0.25">
      <c r="A2509" s="816" t="s">
        <v>309</v>
      </c>
      <c r="B2509" s="880">
        <v>2025</v>
      </c>
      <c r="C2509" s="816" t="s">
        <v>1875</v>
      </c>
      <c r="D2509" s="816" t="s">
        <v>1876</v>
      </c>
      <c r="E2509" s="816" t="s">
        <v>3253</v>
      </c>
      <c r="F2509" s="826">
        <v>0</v>
      </c>
      <c r="G2509" s="880">
        <v>0</v>
      </c>
      <c r="H2509" s="465"/>
      <c r="I2509" s="465"/>
      <c r="J2509" s="826">
        <v>0</v>
      </c>
      <c r="K2509" s="878">
        <v>0</v>
      </c>
    </row>
    <row r="2510" spans="1:11" ht="22.5" customHeight="1" x14ac:dyDescent="0.25">
      <c r="A2510" s="816" t="s">
        <v>309</v>
      </c>
      <c r="B2510" s="880">
        <v>2025</v>
      </c>
      <c r="C2510" s="816" t="s">
        <v>1878</v>
      </c>
      <c r="D2510" s="816" t="s">
        <v>1879</v>
      </c>
      <c r="E2510" s="816" t="s">
        <v>3254</v>
      </c>
      <c r="F2510" s="826">
        <v>0</v>
      </c>
      <c r="G2510" s="880">
        <v>0</v>
      </c>
      <c r="H2510" s="465"/>
      <c r="I2510" s="465"/>
      <c r="J2510" s="826">
        <v>0</v>
      </c>
      <c r="K2510" s="878">
        <v>0</v>
      </c>
    </row>
    <row r="2511" spans="1:11" ht="22.5" customHeight="1" x14ac:dyDescent="0.25">
      <c r="A2511" s="816" t="s">
        <v>309</v>
      </c>
      <c r="B2511" s="880">
        <v>2025</v>
      </c>
      <c r="C2511" s="816" t="s">
        <v>1881</v>
      </c>
      <c r="D2511" s="816" t="s">
        <v>1882</v>
      </c>
      <c r="E2511" s="816" t="s">
        <v>3255</v>
      </c>
      <c r="F2511" s="826">
        <v>0</v>
      </c>
      <c r="G2511" s="880">
        <v>0</v>
      </c>
      <c r="H2511" s="465"/>
      <c r="I2511" s="465"/>
      <c r="J2511" s="826">
        <v>0</v>
      </c>
      <c r="K2511" s="878">
        <v>0</v>
      </c>
    </row>
    <row r="2512" spans="1:11" ht="22.5" customHeight="1" x14ac:dyDescent="0.25">
      <c r="A2512" s="816" t="s">
        <v>309</v>
      </c>
      <c r="B2512" s="880">
        <v>2025</v>
      </c>
      <c r="C2512" s="816" t="s">
        <v>1884</v>
      </c>
      <c r="D2512" s="816" t="s">
        <v>1885</v>
      </c>
      <c r="E2512" s="816" t="s">
        <v>3256</v>
      </c>
      <c r="F2512" s="826">
        <v>0</v>
      </c>
      <c r="G2512" s="880">
        <v>0</v>
      </c>
      <c r="H2512" s="465"/>
      <c r="I2512" s="465"/>
      <c r="J2512" s="826">
        <v>0</v>
      </c>
      <c r="K2512" s="878">
        <v>0</v>
      </c>
    </row>
    <row r="2513" spans="1:11" ht="22.5" customHeight="1" x14ac:dyDescent="0.25">
      <c r="A2513" s="816" t="s">
        <v>309</v>
      </c>
      <c r="B2513" s="880">
        <v>2025</v>
      </c>
      <c r="C2513" s="816" t="s">
        <v>1887</v>
      </c>
      <c r="D2513" s="816" t="s">
        <v>138</v>
      </c>
      <c r="E2513" s="816" t="s">
        <v>3257</v>
      </c>
      <c r="F2513" s="826">
        <v>0</v>
      </c>
      <c r="G2513" s="880">
        <v>1</v>
      </c>
      <c r="H2513" s="465"/>
      <c r="I2513" s="465"/>
      <c r="J2513" s="826">
        <v>0</v>
      </c>
      <c r="K2513" s="878">
        <v>0</v>
      </c>
    </row>
    <row r="2514" spans="1:11" ht="22.5" customHeight="1" x14ac:dyDescent="0.25">
      <c r="A2514" s="816" t="s">
        <v>309</v>
      </c>
      <c r="B2514" s="880">
        <v>2025</v>
      </c>
      <c r="C2514" s="816" t="s">
        <v>1889</v>
      </c>
      <c r="D2514" s="816" t="s">
        <v>139</v>
      </c>
      <c r="E2514" s="816" t="s">
        <v>3258</v>
      </c>
      <c r="F2514" s="826">
        <v>-27017.4</v>
      </c>
      <c r="G2514" s="880">
        <v>1</v>
      </c>
      <c r="H2514" s="826">
        <v>-24289.74</v>
      </c>
      <c r="I2514" s="826">
        <v>-2727.66</v>
      </c>
      <c r="J2514" s="826">
        <v>-27017.4</v>
      </c>
      <c r="K2514" s="878">
        <v>-27017.4</v>
      </c>
    </row>
    <row r="2515" spans="1:11" ht="22.5" customHeight="1" x14ac:dyDescent="0.25">
      <c r="A2515" s="816" t="s">
        <v>309</v>
      </c>
      <c r="B2515" s="880">
        <v>2025</v>
      </c>
      <c r="C2515" s="816" t="s">
        <v>1891</v>
      </c>
      <c r="D2515" s="816" t="s">
        <v>1892</v>
      </c>
      <c r="E2515" s="816" t="s">
        <v>3259</v>
      </c>
      <c r="F2515" s="826">
        <v>-425.14</v>
      </c>
      <c r="G2515" s="880">
        <v>0</v>
      </c>
      <c r="H2515" s="465"/>
      <c r="I2515" s="465"/>
      <c r="J2515" s="826">
        <v>0</v>
      </c>
      <c r="K2515" s="878">
        <v>-425.14</v>
      </c>
    </row>
    <row r="2516" spans="1:11" ht="22.5" customHeight="1" x14ac:dyDescent="0.25">
      <c r="A2516" s="816" t="s">
        <v>309</v>
      </c>
      <c r="B2516" s="880">
        <v>2025</v>
      </c>
      <c r="C2516" s="816" t="s">
        <v>1891</v>
      </c>
      <c r="D2516" s="816" t="s">
        <v>1894</v>
      </c>
      <c r="E2516" s="816" t="s">
        <v>3259</v>
      </c>
      <c r="F2516" s="826">
        <v>0</v>
      </c>
      <c r="G2516" s="880">
        <v>0</v>
      </c>
      <c r="H2516" s="465"/>
      <c r="I2516" s="465"/>
      <c r="J2516" s="826">
        <v>0</v>
      </c>
      <c r="K2516" s="881">
        <v>-425.14</v>
      </c>
    </row>
    <row r="2517" spans="1:11" ht="22.5" customHeight="1" x14ac:dyDescent="0.25">
      <c r="A2517" s="816" t="s">
        <v>309</v>
      </c>
      <c r="B2517" s="880">
        <v>2025</v>
      </c>
      <c r="C2517" s="816" t="s">
        <v>1895</v>
      </c>
      <c r="D2517" s="816" t="s">
        <v>1896</v>
      </c>
      <c r="E2517" s="816" t="s">
        <v>3260</v>
      </c>
      <c r="F2517" s="826">
        <v>0</v>
      </c>
      <c r="G2517" s="880">
        <v>0</v>
      </c>
      <c r="H2517" s="465"/>
      <c r="I2517" s="465"/>
      <c r="J2517" s="826">
        <v>0</v>
      </c>
      <c r="K2517" s="878">
        <v>0</v>
      </c>
    </row>
    <row r="2518" spans="1:11" ht="22.5" customHeight="1" x14ac:dyDescent="0.25">
      <c r="A2518" s="816" t="s">
        <v>309</v>
      </c>
      <c r="B2518" s="880">
        <v>2025</v>
      </c>
      <c r="C2518" s="816" t="s">
        <v>1898</v>
      </c>
      <c r="D2518" s="816" t="s">
        <v>1899</v>
      </c>
      <c r="E2518" s="816" t="s">
        <v>3261</v>
      </c>
      <c r="F2518" s="826">
        <v>0</v>
      </c>
      <c r="G2518" s="880">
        <v>0</v>
      </c>
      <c r="H2518" s="465"/>
      <c r="I2518" s="465"/>
      <c r="J2518" s="826">
        <v>0</v>
      </c>
      <c r="K2518" s="878">
        <v>0</v>
      </c>
    </row>
    <row r="2519" spans="1:11" ht="22.5" customHeight="1" x14ac:dyDescent="0.25">
      <c r="A2519" s="816" t="s">
        <v>309</v>
      </c>
      <c r="B2519" s="880">
        <v>2025</v>
      </c>
      <c r="C2519" s="816" t="s">
        <v>1901</v>
      </c>
      <c r="D2519" s="816" t="s">
        <v>1902</v>
      </c>
      <c r="E2519" s="816" t="s">
        <v>3262</v>
      </c>
      <c r="F2519" s="826">
        <v>0</v>
      </c>
      <c r="G2519" s="880">
        <v>0</v>
      </c>
      <c r="H2519" s="465"/>
      <c r="I2519" s="465"/>
      <c r="J2519" s="826">
        <v>0</v>
      </c>
      <c r="K2519" s="878">
        <v>0</v>
      </c>
    </row>
    <row r="2520" spans="1:11" ht="22.5" customHeight="1" x14ac:dyDescent="0.25">
      <c r="A2520" s="816" t="s">
        <v>309</v>
      </c>
      <c r="B2520" s="880">
        <v>2025</v>
      </c>
      <c r="C2520" s="816" t="s">
        <v>1904</v>
      </c>
      <c r="D2520" s="816" t="s">
        <v>1905</v>
      </c>
      <c r="E2520" s="816" t="s">
        <v>3263</v>
      </c>
      <c r="F2520" s="826">
        <v>0</v>
      </c>
      <c r="G2520" s="880">
        <v>0</v>
      </c>
      <c r="H2520" s="465"/>
      <c r="I2520" s="465"/>
      <c r="J2520" s="826">
        <v>0</v>
      </c>
      <c r="K2520" s="878">
        <v>0</v>
      </c>
    </row>
    <row r="2521" spans="1:11" ht="22.5" customHeight="1" x14ac:dyDescent="0.25">
      <c r="A2521" s="816" t="s">
        <v>309</v>
      </c>
      <c r="B2521" s="880">
        <v>2025</v>
      </c>
      <c r="C2521" s="816" t="s">
        <v>1907</v>
      </c>
      <c r="D2521" s="816" t="s">
        <v>1908</v>
      </c>
      <c r="E2521" s="816" t="s">
        <v>3264</v>
      </c>
      <c r="F2521" s="826">
        <v>0</v>
      </c>
      <c r="G2521" s="880">
        <v>0</v>
      </c>
      <c r="H2521" s="465"/>
      <c r="I2521" s="465"/>
      <c r="J2521" s="826">
        <v>0</v>
      </c>
      <c r="K2521" s="878">
        <v>0</v>
      </c>
    </row>
    <row r="2522" spans="1:11" ht="22.5" customHeight="1" x14ac:dyDescent="0.25">
      <c r="A2522" s="816" t="s">
        <v>309</v>
      </c>
      <c r="B2522" s="880">
        <v>2025</v>
      </c>
      <c r="C2522" s="816" t="s">
        <v>1910</v>
      </c>
      <c r="D2522" s="816" t="s">
        <v>1911</v>
      </c>
      <c r="E2522" s="816" t="s">
        <v>3265</v>
      </c>
      <c r="F2522" s="826">
        <v>0</v>
      </c>
      <c r="G2522" s="880">
        <v>0</v>
      </c>
      <c r="H2522" s="465"/>
      <c r="I2522" s="465"/>
      <c r="J2522" s="826">
        <v>0</v>
      </c>
      <c r="K2522" s="878">
        <v>0</v>
      </c>
    </row>
    <row r="2523" spans="1:11" ht="22.5" customHeight="1" x14ac:dyDescent="0.25">
      <c r="A2523" s="816" t="s">
        <v>309</v>
      </c>
      <c r="B2523" s="880">
        <v>2025</v>
      </c>
      <c r="C2523" s="816" t="s">
        <v>1913</v>
      </c>
      <c r="D2523" s="816" t="s">
        <v>1914</v>
      </c>
      <c r="E2523" s="816" t="s">
        <v>3266</v>
      </c>
      <c r="F2523" s="826">
        <v>-108274.38</v>
      </c>
      <c r="G2523" s="880">
        <v>1</v>
      </c>
      <c r="H2523" s="826">
        <v>-100910.25</v>
      </c>
      <c r="I2523" s="826">
        <v>-7364.13</v>
      </c>
      <c r="J2523" s="826">
        <v>-108274.38</v>
      </c>
      <c r="K2523" s="878">
        <v>-108274.38</v>
      </c>
    </row>
    <row r="2524" spans="1:11" ht="22.5" customHeight="1" x14ac:dyDescent="0.25">
      <c r="A2524" s="816" t="s">
        <v>309</v>
      </c>
      <c r="B2524" s="880">
        <v>2025</v>
      </c>
      <c r="C2524" s="816" t="s">
        <v>1913</v>
      </c>
      <c r="D2524" s="816" t="s">
        <v>1916</v>
      </c>
      <c r="E2524" s="816" t="s">
        <v>3266</v>
      </c>
      <c r="F2524" s="826">
        <v>0</v>
      </c>
      <c r="G2524" s="880">
        <v>0</v>
      </c>
      <c r="H2524" s="465"/>
      <c r="I2524" s="465"/>
      <c r="J2524" s="826">
        <v>0</v>
      </c>
      <c r="K2524" s="881">
        <v>0</v>
      </c>
    </row>
    <row r="2525" spans="1:11" ht="22.5" customHeight="1" x14ac:dyDescent="0.25">
      <c r="A2525" s="816" t="s">
        <v>309</v>
      </c>
      <c r="B2525" s="880">
        <v>2025</v>
      </c>
      <c r="C2525" s="816" t="s">
        <v>1913</v>
      </c>
      <c r="D2525" s="816" t="s">
        <v>1917</v>
      </c>
      <c r="E2525" s="816" t="s">
        <v>3266</v>
      </c>
      <c r="F2525" s="826">
        <v>0</v>
      </c>
      <c r="G2525" s="880">
        <v>0</v>
      </c>
      <c r="H2525" s="465"/>
      <c r="I2525" s="465"/>
      <c r="J2525" s="826">
        <v>0</v>
      </c>
      <c r="K2525" s="881">
        <v>0</v>
      </c>
    </row>
    <row r="2526" spans="1:11" ht="22.5" customHeight="1" x14ac:dyDescent="0.25">
      <c r="A2526" s="816" t="s">
        <v>309</v>
      </c>
      <c r="B2526" s="880">
        <v>2025</v>
      </c>
      <c r="C2526" s="816" t="s">
        <v>1913</v>
      </c>
      <c r="D2526" s="816" t="s">
        <v>1918</v>
      </c>
      <c r="E2526" s="816" t="s">
        <v>3266</v>
      </c>
      <c r="F2526" s="826">
        <v>0</v>
      </c>
      <c r="G2526" s="880">
        <v>0</v>
      </c>
      <c r="H2526" s="465"/>
      <c r="I2526" s="465"/>
      <c r="J2526" s="826">
        <v>0</v>
      </c>
      <c r="K2526" s="881">
        <v>-8337.7199999999993</v>
      </c>
    </row>
    <row r="2527" spans="1:11" ht="22.5" customHeight="1" x14ac:dyDescent="0.25">
      <c r="A2527" s="816" t="s">
        <v>309</v>
      </c>
      <c r="B2527" s="880">
        <v>2025</v>
      </c>
      <c r="C2527" s="816" t="s">
        <v>1913</v>
      </c>
      <c r="D2527" s="816" t="s">
        <v>1919</v>
      </c>
      <c r="E2527" s="816" t="s">
        <v>3266</v>
      </c>
      <c r="F2527" s="826">
        <v>0</v>
      </c>
      <c r="G2527" s="880">
        <v>0</v>
      </c>
      <c r="H2527" s="465"/>
      <c r="I2527" s="465"/>
      <c r="J2527" s="826">
        <v>0</v>
      </c>
      <c r="K2527" s="881">
        <v>62895.88</v>
      </c>
    </row>
    <row r="2528" spans="1:11" ht="22.5" customHeight="1" x14ac:dyDescent="0.25">
      <c r="A2528" s="816" t="s">
        <v>309</v>
      </c>
      <c r="B2528" s="880">
        <v>2025</v>
      </c>
      <c r="C2528" s="816" t="s">
        <v>1920</v>
      </c>
      <c r="D2528" s="816" t="s">
        <v>1921</v>
      </c>
      <c r="E2528" s="816" t="s">
        <v>3267</v>
      </c>
      <c r="F2528" s="826">
        <v>0</v>
      </c>
      <c r="G2528" s="880">
        <v>0</v>
      </c>
      <c r="H2528" s="465"/>
      <c r="I2528" s="465"/>
      <c r="J2528" s="826">
        <v>0</v>
      </c>
      <c r="K2528" s="878">
        <v>0</v>
      </c>
    </row>
    <row r="2529" spans="1:11" ht="22.5" customHeight="1" x14ac:dyDescent="0.25">
      <c r="A2529" s="816" t="s">
        <v>309</v>
      </c>
      <c r="B2529" s="880">
        <v>2025</v>
      </c>
      <c r="C2529" s="816" t="s">
        <v>1923</v>
      </c>
      <c r="D2529" s="816" t="s">
        <v>143</v>
      </c>
      <c r="E2529" s="816" t="s">
        <v>3268</v>
      </c>
      <c r="F2529" s="826">
        <v>195896.69</v>
      </c>
      <c r="G2529" s="880">
        <v>1</v>
      </c>
      <c r="H2529" s="826">
        <v>182353.2</v>
      </c>
      <c r="I2529" s="826">
        <v>13543.49</v>
      </c>
      <c r="J2529" s="826">
        <v>195896.69</v>
      </c>
      <c r="K2529" s="878">
        <v>195896.69</v>
      </c>
    </row>
    <row r="2530" spans="1:11" ht="22.5" customHeight="1" x14ac:dyDescent="0.25">
      <c r="A2530" s="816" t="s">
        <v>309</v>
      </c>
      <c r="B2530" s="880">
        <v>2025</v>
      </c>
      <c r="C2530" s="816" t="s">
        <v>1925</v>
      </c>
      <c r="D2530" s="816" t="s">
        <v>144</v>
      </c>
      <c r="E2530" s="816" t="s">
        <v>3269</v>
      </c>
      <c r="F2530" s="826">
        <v>5204.74</v>
      </c>
      <c r="G2530" s="880">
        <v>1</v>
      </c>
      <c r="H2530" s="826">
        <v>1280.3800000000001</v>
      </c>
      <c r="I2530" s="826">
        <v>3924.36</v>
      </c>
      <c r="J2530" s="826">
        <v>5204.74</v>
      </c>
      <c r="K2530" s="878">
        <v>5204.74</v>
      </c>
    </row>
    <row r="2531" spans="1:11" ht="22.5" customHeight="1" x14ac:dyDescent="0.25">
      <c r="A2531" s="816" t="s">
        <v>309</v>
      </c>
      <c r="B2531" s="880">
        <v>2025</v>
      </c>
      <c r="C2531" s="816" t="s">
        <v>1927</v>
      </c>
      <c r="D2531" s="816" t="s">
        <v>1928</v>
      </c>
      <c r="E2531" s="816" t="s">
        <v>3270</v>
      </c>
      <c r="F2531" s="826">
        <v>354065.87</v>
      </c>
      <c r="G2531" s="880">
        <v>1</v>
      </c>
      <c r="H2531" s="826">
        <v>191436.44</v>
      </c>
      <c r="I2531" s="826">
        <v>162629.43</v>
      </c>
      <c r="J2531" s="826">
        <v>354065.87</v>
      </c>
      <c r="K2531" s="878">
        <v>354065.87</v>
      </c>
    </row>
    <row r="2532" spans="1:11" ht="22.5" customHeight="1" x14ac:dyDescent="0.25">
      <c r="A2532" s="816" t="s">
        <v>309</v>
      </c>
      <c r="B2532" s="880">
        <v>2025</v>
      </c>
      <c r="C2532" s="816" t="s">
        <v>1930</v>
      </c>
      <c r="D2532" s="816" t="s">
        <v>156</v>
      </c>
      <c r="E2532" s="816" t="s">
        <v>3271</v>
      </c>
      <c r="F2532" s="826">
        <v>468016.11</v>
      </c>
      <c r="G2532" s="880">
        <v>1</v>
      </c>
      <c r="H2532" s="826">
        <v>585211.68999999994</v>
      </c>
      <c r="I2532" s="826">
        <v>-117195.58</v>
      </c>
      <c r="J2532" s="826">
        <v>468016.11</v>
      </c>
      <c r="K2532" s="878">
        <v>468016.11</v>
      </c>
    </row>
    <row r="2533" spans="1:11" ht="22.5" customHeight="1" x14ac:dyDescent="0.25">
      <c r="A2533" s="816" t="s">
        <v>309</v>
      </c>
      <c r="B2533" s="880">
        <v>2025</v>
      </c>
      <c r="C2533" s="816" t="s">
        <v>1932</v>
      </c>
      <c r="D2533" s="816" t="s">
        <v>1933</v>
      </c>
      <c r="E2533" s="816" t="s">
        <v>3272</v>
      </c>
      <c r="F2533" s="826">
        <v>0</v>
      </c>
      <c r="G2533" s="880">
        <v>0</v>
      </c>
      <c r="H2533" s="465"/>
      <c r="I2533" s="465"/>
      <c r="J2533" s="826">
        <v>0</v>
      </c>
      <c r="K2533" s="878">
        <v>0</v>
      </c>
    </row>
    <row r="2534" spans="1:11" ht="22.5" customHeight="1" x14ac:dyDescent="0.25">
      <c r="A2534" s="816" t="s">
        <v>309</v>
      </c>
      <c r="B2534" s="880">
        <v>2025</v>
      </c>
      <c r="C2534" s="816" t="s">
        <v>1935</v>
      </c>
      <c r="D2534" s="816" t="s">
        <v>1936</v>
      </c>
      <c r="E2534" s="816" t="s">
        <v>8670</v>
      </c>
      <c r="F2534" s="826">
        <v>0</v>
      </c>
      <c r="G2534" s="880">
        <v>1</v>
      </c>
      <c r="H2534" s="465"/>
      <c r="I2534" s="465"/>
      <c r="J2534" s="826">
        <v>0</v>
      </c>
      <c r="K2534" s="878">
        <v>0</v>
      </c>
    </row>
    <row r="2535" spans="1:11" ht="22.5" customHeight="1" x14ac:dyDescent="0.25">
      <c r="A2535" s="816" t="s">
        <v>309</v>
      </c>
      <c r="B2535" s="880">
        <v>2025</v>
      </c>
      <c r="C2535" s="816" t="s">
        <v>1935</v>
      </c>
      <c r="D2535" s="816" t="s">
        <v>1937</v>
      </c>
      <c r="E2535" s="816" t="s">
        <v>8671</v>
      </c>
      <c r="F2535" s="826">
        <v>0</v>
      </c>
      <c r="G2535" s="880">
        <v>1</v>
      </c>
      <c r="H2535" s="465"/>
      <c r="I2535" s="465"/>
      <c r="J2535" s="826">
        <v>0</v>
      </c>
      <c r="K2535" s="878">
        <v>0</v>
      </c>
    </row>
    <row r="2536" spans="1:11" ht="22.5" customHeight="1" x14ac:dyDescent="0.25">
      <c r="A2536" s="816" t="s">
        <v>309</v>
      </c>
      <c r="B2536" s="880">
        <v>2025</v>
      </c>
      <c r="C2536" s="816" t="s">
        <v>1935</v>
      </c>
      <c r="D2536" s="816" t="s">
        <v>1938</v>
      </c>
      <c r="E2536" s="816" t="s">
        <v>8672</v>
      </c>
      <c r="F2536" s="826">
        <v>0</v>
      </c>
      <c r="G2536" s="880">
        <v>1</v>
      </c>
      <c r="H2536" s="465"/>
      <c r="I2536" s="465"/>
      <c r="J2536" s="826">
        <v>0</v>
      </c>
      <c r="K2536" s="878">
        <v>0</v>
      </c>
    </row>
    <row r="2537" spans="1:11" ht="22.5" customHeight="1" x14ac:dyDescent="0.25">
      <c r="A2537" s="816" t="s">
        <v>309</v>
      </c>
      <c r="B2537" s="880">
        <v>2025</v>
      </c>
      <c r="C2537" s="816" t="s">
        <v>1935</v>
      </c>
      <c r="D2537" s="816" t="s">
        <v>1939</v>
      </c>
      <c r="E2537" s="816" t="s">
        <v>8673</v>
      </c>
      <c r="F2537" s="826">
        <v>0</v>
      </c>
      <c r="G2537" s="880">
        <v>1</v>
      </c>
      <c r="H2537" s="465"/>
      <c r="I2537" s="465"/>
      <c r="J2537" s="826">
        <v>0</v>
      </c>
      <c r="K2537" s="878">
        <v>0</v>
      </c>
    </row>
    <row r="2538" spans="1:11" ht="22.5" customHeight="1" x14ac:dyDescent="0.25">
      <c r="A2538" s="816" t="s">
        <v>309</v>
      </c>
      <c r="B2538" s="880">
        <v>2025</v>
      </c>
      <c r="C2538" s="816" t="s">
        <v>1935</v>
      </c>
      <c r="D2538" s="816" t="s">
        <v>1940</v>
      </c>
      <c r="E2538" s="816" t="s">
        <v>8674</v>
      </c>
      <c r="F2538" s="826">
        <v>0</v>
      </c>
      <c r="G2538" s="880">
        <v>1</v>
      </c>
      <c r="H2538" s="465"/>
      <c r="I2538" s="465"/>
      <c r="J2538" s="826">
        <v>0</v>
      </c>
      <c r="K2538" s="878">
        <v>0</v>
      </c>
    </row>
    <row r="2539" spans="1:11" ht="22.5" customHeight="1" x14ac:dyDescent="0.25">
      <c r="A2539" s="816" t="s">
        <v>309</v>
      </c>
      <c r="B2539" s="880">
        <v>2025</v>
      </c>
      <c r="C2539" s="816" t="s">
        <v>1935</v>
      </c>
      <c r="D2539" s="816" t="s">
        <v>1941</v>
      </c>
      <c r="E2539" s="816" t="s">
        <v>8675</v>
      </c>
      <c r="F2539" s="826">
        <v>0</v>
      </c>
      <c r="G2539" s="880">
        <v>1</v>
      </c>
      <c r="H2539" s="465"/>
      <c r="I2539" s="465"/>
      <c r="J2539" s="826">
        <v>0</v>
      </c>
      <c r="K2539" s="878">
        <v>0</v>
      </c>
    </row>
    <row r="2540" spans="1:11" ht="22.5" customHeight="1" x14ac:dyDescent="0.25">
      <c r="A2540" s="816" t="s">
        <v>309</v>
      </c>
      <c r="B2540" s="880">
        <v>2025</v>
      </c>
      <c r="C2540" s="816" t="s">
        <v>1935</v>
      </c>
      <c r="D2540" s="816" t="s">
        <v>1942</v>
      </c>
      <c r="E2540" s="816" t="s">
        <v>8676</v>
      </c>
      <c r="F2540" s="826">
        <v>0</v>
      </c>
      <c r="G2540" s="880">
        <v>1</v>
      </c>
      <c r="H2540" s="465"/>
      <c r="I2540" s="465"/>
      <c r="J2540" s="826">
        <v>0</v>
      </c>
      <c r="K2540" s="878">
        <v>0</v>
      </c>
    </row>
    <row r="2541" spans="1:11" ht="22.5" customHeight="1" x14ac:dyDescent="0.25">
      <c r="A2541" s="816" t="s">
        <v>309</v>
      </c>
      <c r="B2541" s="880">
        <v>2025</v>
      </c>
      <c r="C2541" s="816" t="s">
        <v>1935</v>
      </c>
      <c r="D2541" s="816" t="s">
        <v>1943</v>
      </c>
      <c r="E2541" s="816" t="s">
        <v>8677</v>
      </c>
      <c r="F2541" s="826">
        <v>0</v>
      </c>
      <c r="G2541" s="880">
        <v>1</v>
      </c>
      <c r="H2541" s="826">
        <v>-94631.9</v>
      </c>
      <c r="I2541" s="826">
        <v>-33418.239999999998</v>
      </c>
      <c r="J2541" s="826">
        <v>-128050.14</v>
      </c>
      <c r="K2541" s="878">
        <v>-128050.14</v>
      </c>
    </row>
    <row r="2542" spans="1:11" ht="22.5" customHeight="1" x14ac:dyDescent="0.25">
      <c r="A2542" s="816" t="s">
        <v>309</v>
      </c>
      <c r="B2542" s="880">
        <v>2025</v>
      </c>
      <c r="C2542" s="816" t="s">
        <v>1935</v>
      </c>
      <c r="D2542" s="816" t="s">
        <v>1944</v>
      </c>
      <c r="E2542" s="816" t="s">
        <v>8678</v>
      </c>
      <c r="F2542" s="826">
        <v>0</v>
      </c>
      <c r="G2542" s="880">
        <v>1</v>
      </c>
      <c r="H2542" s="826">
        <v>54541.04</v>
      </c>
      <c r="I2542" s="826">
        <v>-24721.95</v>
      </c>
      <c r="J2542" s="826">
        <v>29819.09</v>
      </c>
      <c r="K2542" s="878">
        <v>29819.09</v>
      </c>
    </row>
    <row r="2543" spans="1:11" ht="22.5" customHeight="1" x14ac:dyDescent="0.25">
      <c r="A2543" s="816" t="s">
        <v>309</v>
      </c>
      <c r="B2543" s="880">
        <v>2025</v>
      </c>
      <c r="C2543" s="816" t="s">
        <v>1935</v>
      </c>
      <c r="D2543" s="816" t="s">
        <v>1945</v>
      </c>
      <c r="E2543" s="816" t="s">
        <v>8679</v>
      </c>
      <c r="F2543" s="826">
        <v>0</v>
      </c>
      <c r="G2543" s="880">
        <v>1</v>
      </c>
      <c r="H2543" s="826">
        <v>111181.03</v>
      </c>
      <c r="I2543" s="826">
        <v>10767.43</v>
      </c>
      <c r="J2543" s="826">
        <v>121948.46</v>
      </c>
      <c r="K2543" s="878">
        <v>121948.46</v>
      </c>
    </row>
    <row r="2544" spans="1:11" ht="22.5" customHeight="1" x14ac:dyDescent="0.25">
      <c r="A2544" s="816" t="s">
        <v>309</v>
      </c>
      <c r="B2544" s="880">
        <v>2025</v>
      </c>
      <c r="C2544" s="816" t="s">
        <v>1935</v>
      </c>
      <c r="D2544" s="816" t="s">
        <v>1946</v>
      </c>
      <c r="E2544" s="816" t="s">
        <v>8680</v>
      </c>
      <c r="F2544" s="826">
        <v>0</v>
      </c>
      <c r="G2544" s="880">
        <v>1</v>
      </c>
      <c r="H2544" s="465"/>
      <c r="I2544" s="465"/>
      <c r="J2544" s="826">
        <v>0</v>
      </c>
      <c r="K2544" s="878">
        <v>0</v>
      </c>
    </row>
    <row r="2545" spans="1:11" ht="22.5" customHeight="1" x14ac:dyDescent="0.25">
      <c r="A2545" s="816" t="s">
        <v>309</v>
      </c>
      <c r="B2545" s="880">
        <v>2025</v>
      </c>
      <c r="C2545" s="816" t="s">
        <v>1935</v>
      </c>
      <c r="D2545" s="816" t="s">
        <v>1947</v>
      </c>
      <c r="E2545" s="816" t="s">
        <v>8681</v>
      </c>
      <c r="F2545" s="826">
        <v>0</v>
      </c>
      <c r="G2545" s="880">
        <v>1</v>
      </c>
      <c r="H2545" s="465"/>
      <c r="I2545" s="465"/>
      <c r="J2545" s="826">
        <v>0</v>
      </c>
      <c r="K2545" s="878">
        <v>0</v>
      </c>
    </row>
    <row r="2546" spans="1:11" ht="22.5" customHeight="1" x14ac:dyDescent="0.25">
      <c r="A2546" s="816" t="s">
        <v>309</v>
      </c>
      <c r="B2546" s="880">
        <v>2025</v>
      </c>
      <c r="C2546" s="816" t="s">
        <v>1935</v>
      </c>
      <c r="D2546" s="816" t="s">
        <v>1948</v>
      </c>
      <c r="E2546" s="816" t="s">
        <v>8682</v>
      </c>
      <c r="F2546" s="826">
        <v>0</v>
      </c>
      <c r="G2546" s="880">
        <v>1</v>
      </c>
      <c r="H2546" s="465"/>
      <c r="I2546" s="465"/>
      <c r="J2546" s="826">
        <v>0</v>
      </c>
      <c r="K2546" s="878">
        <v>0</v>
      </c>
    </row>
    <row r="2547" spans="1:11" ht="22.5" customHeight="1" x14ac:dyDescent="0.25">
      <c r="A2547" s="816" t="s">
        <v>309</v>
      </c>
      <c r="B2547" s="880">
        <v>2025</v>
      </c>
      <c r="C2547" s="816" t="s">
        <v>1935</v>
      </c>
      <c r="D2547" s="816" t="s">
        <v>1949</v>
      </c>
      <c r="E2547" s="816" t="s">
        <v>8683</v>
      </c>
      <c r="F2547" s="826">
        <v>0</v>
      </c>
      <c r="G2547" s="880">
        <v>1</v>
      </c>
      <c r="H2547" s="465"/>
      <c r="I2547" s="465"/>
      <c r="J2547" s="826">
        <v>0</v>
      </c>
      <c r="K2547" s="878">
        <v>0</v>
      </c>
    </row>
    <row r="2548" spans="1:11" ht="22.5" customHeight="1" x14ac:dyDescent="0.25">
      <c r="A2548" s="816" t="s">
        <v>309</v>
      </c>
      <c r="B2548" s="880">
        <v>2025</v>
      </c>
      <c r="C2548" s="816" t="s">
        <v>1935</v>
      </c>
      <c r="D2548" s="816" t="s">
        <v>1950</v>
      </c>
      <c r="E2548" s="816" t="s">
        <v>8684</v>
      </c>
      <c r="F2548" s="826">
        <v>0</v>
      </c>
      <c r="G2548" s="880">
        <v>1</v>
      </c>
      <c r="H2548" s="465"/>
      <c r="I2548" s="465"/>
      <c r="J2548" s="826">
        <v>0</v>
      </c>
      <c r="K2548" s="878">
        <v>0</v>
      </c>
    </row>
    <row r="2549" spans="1:11" ht="22.5" customHeight="1" x14ac:dyDescent="0.25">
      <c r="A2549" s="816" t="s">
        <v>309</v>
      </c>
      <c r="B2549" s="880">
        <v>2025</v>
      </c>
      <c r="C2549" s="816" t="s">
        <v>1935</v>
      </c>
      <c r="D2549" s="816" t="s">
        <v>1951</v>
      </c>
      <c r="E2549" s="816" t="s">
        <v>8685</v>
      </c>
      <c r="F2549" s="826">
        <v>0</v>
      </c>
      <c r="G2549" s="880">
        <v>1</v>
      </c>
      <c r="H2549" s="465"/>
      <c r="I2549" s="465"/>
      <c r="J2549" s="826">
        <v>0</v>
      </c>
      <c r="K2549" s="878">
        <v>0</v>
      </c>
    </row>
    <row r="2550" spans="1:11" ht="22.5" customHeight="1" x14ac:dyDescent="0.25">
      <c r="A2550" s="816" t="s">
        <v>309</v>
      </c>
      <c r="B2550" s="880">
        <v>2025</v>
      </c>
      <c r="C2550" s="816" t="s">
        <v>1935</v>
      </c>
      <c r="D2550" s="816" t="s">
        <v>7801</v>
      </c>
      <c r="E2550" s="816" t="s">
        <v>8686</v>
      </c>
      <c r="F2550" s="826">
        <v>0</v>
      </c>
      <c r="G2550" s="880">
        <v>1</v>
      </c>
      <c r="H2550" s="826">
        <v>1134085.52</v>
      </c>
      <c r="I2550" s="826">
        <v>104772.25</v>
      </c>
      <c r="J2550" s="826">
        <v>1238857.77</v>
      </c>
      <c r="K2550" s="878">
        <v>1238857.77</v>
      </c>
    </row>
    <row r="2551" spans="1:11" ht="22.5" customHeight="1" x14ac:dyDescent="0.25">
      <c r="A2551" s="816" t="s">
        <v>309</v>
      </c>
      <c r="B2551" s="880">
        <v>2025</v>
      </c>
      <c r="C2551" s="816" t="s">
        <v>1935</v>
      </c>
      <c r="D2551" s="816" t="s">
        <v>1952</v>
      </c>
      <c r="E2551" s="816" t="s">
        <v>8687</v>
      </c>
      <c r="F2551" s="826">
        <v>1262575.18</v>
      </c>
      <c r="G2551" s="880">
        <v>0</v>
      </c>
      <c r="H2551" s="465"/>
      <c r="I2551" s="465"/>
      <c r="J2551" s="826">
        <v>0</v>
      </c>
      <c r="K2551" s="878">
        <v>1262575.18</v>
      </c>
    </row>
    <row r="2552" spans="1:11" ht="22.5" customHeight="1" x14ac:dyDescent="0.25">
      <c r="A2552" s="816" t="s">
        <v>309</v>
      </c>
      <c r="B2552" s="880">
        <v>2025</v>
      </c>
      <c r="C2552" s="816" t="s">
        <v>1953</v>
      </c>
      <c r="D2552" s="816" t="s">
        <v>1954</v>
      </c>
      <c r="E2552" s="816" t="s">
        <v>3273</v>
      </c>
      <c r="F2552" s="826">
        <v>-1297913</v>
      </c>
      <c r="G2552" s="880">
        <v>0</v>
      </c>
      <c r="H2552" s="465"/>
      <c r="I2552" s="465"/>
      <c r="J2552" s="826">
        <v>0</v>
      </c>
      <c r="K2552" s="878">
        <v>-1297913</v>
      </c>
    </row>
    <row r="2553" spans="1:11" ht="22.5" customHeight="1" x14ac:dyDescent="0.25">
      <c r="A2553" s="816" t="s">
        <v>311</v>
      </c>
      <c r="B2553" s="880">
        <v>2025</v>
      </c>
      <c r="C2553" s="816" t="s">
        <v>1854</v>
      </c>
      <c r="D2553" s="816" t="s">
        <v>1855</v>
      </c>
      <c r="E2553" s="816" t="s">
        <v>3274</v>
      </c>
      <c r="F2553" s="826">
        <v>-186904416.34</v>
      </c>
      <c r="G2553" s="880">
        <v>0</v>
      </c>
      <c r="H2553" s="465"/>
      <c r="I2553" s="465"/>
      <c r="J2553" s="826">
        <v>0</v>
      </c>
      <c r="K2553" s="878">
        <v>-186904416.34</v>
      </c>
    </row>
    <row r="2554" spans="1:11" ht="22.5" customHeight="1" x14ac:dyDescent="0.25">
      <c r="A2554" s="816" t="s">
        <v>311</v>
      </c>
      <c r="B2554" s="880">
        <v>2025</v>
      </c>
      <c r="C2554" s="816" t="s">
        <v>7746</v>
      </c>
      <c r="D2554" s="816" t="s">
        <v>7747</v>
      </c>
      <c r="E2554" s="816" t="s">
        <v>7796</v>
      </c>
      <c r="F2554" s="826">
        <v>0</v>
      </c>
      <c r="G2554" s="880">
        <v>0</v>
      </c>
      <c r="H2554" s="465"/>
      <c r="I2554" s="465"/>
      <c r="J2554" s="826">
        <v>0</v>
      </c>
      <c r="K2554" s="878">
        <v>0</v>
      </c>
    </row>
    <row r="2555" spans="1:11" ht="22.5" customHeight="1" x14ac:dyDescent="0.25">
      <c r="A2555" s="816" t="s">
        <v>311</v>
      </c>
      <c r="B2555" s="880">
        <v>2025</v>
      </c>
      <c r="C2555" s="816" t="s">
        <v>1857</v>
      </c>
      <c r="D2555" s="816" t="s">
        <v>1858</v>
      </c>
      <c r="E2555" s="816" t="s">
        <v>3275</v>
      </c>
      <c r="F2555" s="826">
        <v>0</v>
      </c>
      <c r="G2555" s="880">
        <v>0</v>
      </c>
      <c r="H2555" s="465"/>
      <c r="I2555" s="465"/>
      <c r="J2555" s="826">
        <v>0</v>
      </c>
      <c r="K2555" s="878">
        <v>0</v>
      </c>
    </row>
    <row r="2556" spans="1:11" ht="22.5" customHeight="1" x14ac:dyDescent="0.25">
      <c r="A2556" s="816" t="s">
        <v>311</v>
      </c>
      <c r="B2556" s="880">
        <v>2025</v>
      </c>
      <c r="C2556" s="816" t="s">
        <v>1860</v>
      </c>
      <c r="D2556" s="816" t="s">
        <v>1861</v>
      </c>
      <c r="E2556" s="816" t="s">
        <v>3276</v>
      </c>
      <c r="F2556" s="826">
        <v>-18338.810000000001</v>
      </c>
      <c r="G2556" s="880">
        <v>0</v>
      </c>
      <c r="H2556" s="465"/>
      <c r="I2556" s="465"/>
      <c r="J2556" s="826">
        <v>0</v>
      </c>
      <c r="K2556" s="878">
        <v>-18338.810000000001</v>
      </c>
    </row>
    <row r="2557" spans="1:11" ht="22.5" customHeight="1" x14ac:dyDescent="0.25">
      <c r="A2557" s="816" t="s">
        <v>311</v>
      </c>
      <c r="B2557" s="880">
        <v>2025</v>
      </c>
      <c r="C2557" s="816" t="s">
        <v>1863</v>
      </c>
      <c r="D2557" s="816" t="s">
        <v>1864</v>
      </c>
      <c r="E2557" s="816" t="s">
        <v>3277</v>
      </c>
      <c r="F2557" s="826">
        <v>0</v>
      </c>
      <c r="G2557" s="880">
        <v>0</v>
      </c>
      <c r="H2557" s="465"/>
      <c r="I2557" s="465"/>
      <c r="J2557" s="826">
        <v>0</v>
      </c>
      <c r="K2557" s="878">
        <v>0</v>
      </c>
    </row>
    <row r="2558" spans="1:11" ht="22.5" customHeight="1" x14ac:dyDescent="0.25">
      <c r="A2558" s="816" t="s">
        <v>311</v>
      </c>
      <c r="B2558" s="880">
        <v>2025</v>
      </c>
      <c r="C2558" s="816" t="s">
        <v>1866</v>
      </c>
      <c r="D2558" s="816" t="s">
        <v>1867</v>
      </c>
      <c r="E2558" s="816" t="s">
        <v>3278</v>
      </c>
      <c r="F2558" s="826">
        <v>0</v>
      </c>
      <c r="G2558" s="880">
        <v>0</v>
      </c>
      <c r="H2558" s="465"/>
      <c r="I2558" s="465"/>
      <c r="J2558" s="826">
        <v>0</v>
      </c>
      <c r="K2558" s="878">
        <v>0</v>
      </c>
    </row>
    <row r="2559" spans="1:11" ht="22.5" customHeight="1" x14ac:dyDescent="0.25">
      <c r="A2559" s="816" t="s">
        <v>311</v>
      </c>
      <c r="B2559" s="880">
        <v>2025</v>
      </c>
      <c r="C2559" s="816" t="s">
        <v>1869</v>
      </c>
      <c r="D2559" s="816" t="s">
        <v>1870</v>
      </c>
      <c r="E2559" s="816" t="s">
        <v>3279</v>
      </c>
      <c r="F2559" s="826">
        <v>0</v>
      </c>
      <c r="G2559" s="880">
        <v>0</v>
      </c>
      <c r="H2559" s="465"/>
      <c r="I2559" s="465"/>
      <c r="J2559" s="826">
        <v>0</v>
      </c>
      <c r="K2559" s="878">
        <v>0</v>
      </c>
    </row>
    <row r="2560" spans="1:11" ht="22.5" customHeight="1" x14ac:dyDescent="0.25">
      <c r="A2560" s="816" t="s">
        <v>311</v>
      </c>
      <c r="B2560" s="880">
        <v>2025</v>
      </c>
      <c r="C2560" s="816" t="s">
        <v>1872</v>
      </c>
      <c r="D2560" s="816" t="s">
        <v>1873</v>
      </c>
      <c r="E2560" s="816" t="s">
        <v>3280</v>
      </c>
      <c r="F2560" s="826">
        <v>-6131973.5599999996</v>
      </c>
      <c r="G2560" s="880">
        <v>0</v>
      </c>
      <c r="H2560" s="465"/>
      <c r="I2560" s="465"/>
      <c r="J2560" s="826">
        <v>0</v>
      </c>
      <c r="K2560" s="878">
        <v>-6131973.5599999996</v>
      </c>
    </row>
    <row r="2561" spans="1:11" ht="22.5" customHeight="1" x14ac:dyDescent="0.25">
      <c r="A2561" s="816" t="s">
        <v>311</v>
      </c>
      <c r="B2561" s="880">
        <v>2025</v>
      </c>
      <c r="C2561" s="816" t="s">
        <v>1875</v>
      </c>
      <c r="D2561" s="816" t="s">
        <v>1876</v>
      </c>
      <c r="E2561" s="816" t="s">
        <v>3281</v>
      </c>
      <c r="F2561" s="826">
        <v>0</v>
      </c>
      <c r="G2561" s="880">
        <v>0</v>
      </c>
      <c r="H2561" s="465"/>
      <c r="I2561" s="465"/>
      <c r="J2561" s="826">
        <v>0</v>
      </c>
      <c r="K2561" s="878">
        <v>0</v>
      </c>
    </row>
    <row r="2562" spans="1:11" ht="22.5" customHeight="1" x14ac:dyDescent="0.25">
      <c r="A2562" s="816" t="s">
        <v>311</v>
      </c>
      <c r="B2562" s="880">
        <v>2025</v>
      </c>
      <c r="C2562" s="816" t="s">
        <v>1878</v>
      </c>
      <c r="D2562" s="816" t="s">
        <v>1879</v>
      </c>
      <c r="E2562" s="816" t="s">
        <v>3282</v>
      </c>
      <c r="F2562" s="826">
        <v>0</v>
      </c>
      <c r="G2562" s="880">
        <v>0</v>
      </c>
      <c r="H2562" s="465"/>
      <c r="I2562" s="465"/>
      <c r="J2562" s="826">
        <v>0</v>
      </c>
      <c r="K2562" s="878">
        <v>0</v>
      </c>
    </row>
    <row r="2563" spans="1:11" ht="22.5" customHeight="1" x14ac:dyDescent="0.25">
      <c r="A2563" s="816" t="s">
        <v>311</v>
      </c>
      <c r="B2563" s="880">
        <v>2025</v>
      </c>
      <c r="C2563" s="816" t="s">
        <v>1881</v>
      </c>
      <c r="D2563" s="816" t="s">
        <v>1882</v>
      </c>
      <c r="E2563" s="816" t="s">
        <v>3283</v>
      </c>
      <c r="F2563" s="826">
        <v>0</v>
      </c>
      <c r="G2563" s="880">
        <v>0</v>
      </c>
      <c r="H2563" s="465"/>
      <c r="I2563" s="465"/>
      <c r="J2563" s="826">
        <v>0</v>
      </c>
      <c r="K2563" s="878">
        <v>0</v>
      </c>
    </row>
    <row r="2564" spans="1:11" ht="22.5" customHeight="1" x14ac:dyDescent="0.25">
      <c r="A2564" s="816" t="s">
        <v>311</v>
      </c>
      <c r="B2564" s="880">
        <v>2025</v>
      </c>
      <c r="C2564" s="816" t="s">
        <v>1884</v>
      </c>
      <c r="D2564" s="816" t="s">
        <v>1885</v>
      </c>
      <c r="E2564" s="816" t="s">
        <v>3284</v>
      </c>
      <c r="F2564" s="826">
        <v>0</v>
      </c>
      <c r="G2564" s="880">
        <v>0</v>
      </c>
      <c r="H2564" s="465"/>
      <c r="I2564" s="465"/>
      <c r="J2564" s="826">
        <v>0</v>
      </c>
      <c r="K2564" s="878">
        <v>0</v>
      </c>
    </row>
    <row r="2565" spans="1:11" ht="22.5" customHeight="1" x14ac:dyDescent="0.25">
      <c r="A2565" s="816" t="s">
        <v>311</v>
      </c>
      <c r="B2565" s="880">
        <v>2025</v>
      </c>
      <c r="C2565" s="816" t="s">
        <v>1887</v>
      </c>
      <c r="D2565" s="816" t="s">
        <v>138</v>
      </c>
      <c r="E2565" s="816" t="s">
        <v>3285</v>
      </c>
      <c r="F2565" s="826">
        <v>855709.14</v>
      </c>
      <c r="G2565" s="880">
        <v>1</v>
      </c>
      <c r="H2565" s="826">
        <v>814388.64</v>
      </c>
      <c r="I2565" s="826">
        <v>41320.5</v>
      </c>
      <c r="J2565" s="826">
        <v>855709.14</v>
      </c>
      <c r="K2565" s="878">
        <v>855709.14</v>
      </c>
    </row>
    <row r="2566" spans="1:11" ht="22.5" customHeight="1" x14ac:dyDescent="0.25">
      <c r="A2566" s="816" t="s">
        <v>311</v>
      </c>
      <c r="B2566" s="880">
        <v>2025</v>
      </c>
      <c r="C2566" s="816" t="s">
        <v>1889</v>
      </c>
      <c r="D2566" s="816" t="s">
        <v>139</v>
      </c>
      <c r="E2566" s="816" t="s">
        <v>3286</v>
      </c>
      <c r="F2566" s="826">
        <v>-2192189.4700000002</v>
      </c>
      <c r="G2566" s="880">
        <v>1</v>
      </c>
      <c r="H2566" s="826">
        <v>-2110893.64</v>
      </c>
      <c r="I2566" s="826">
        <v>-81295.83</v>
      </c>
      <c r="J2566" s="826">
        <v>-2192189.4700000002</v>
      </c>
      <c r="K2566" s="878">
        <v>-2192189.4700000002</v>
      </c>
    </row>
    <row r="2567" spans="1:11" ht="22.5" customHeight="1" x14ac:dyDescent="0.25">
      <c r="A2567" s="816" t="s">
        <v>311</v>
      </c>
      <c r="B2567" s="880">
        <v>2025</v>
      </c>
      <c r="C2567" s="816" t="s">
        <v>1891</v>
      </c>
      <c r="D2567" s="816" t="s">
        <v>1892</v>
      </c>
      <c r="E2567" s="816" t="s">
        <v>3287</v>
      </c>
      <c r="F2567" s="826">
        <v>-129301.91</v>
      </c>
      <c r="G2567" s="880">
        <v>0</v>
      </c>
      <c r="H2567" s="465"/>
      <c r="I2567" s="465"/>
      <c r="J2567" s="826">
        <v>0</v>
      </c>
      <c r="K2567" s="878">
        <v>-129301.91</v>
      </c>
    </row>
    <row r="2568" spans="1:11" ht="22.5" customHeight="1" x14ac:dyDescent="0.25">
      <c r="A2568" s="816" t="s">
        <v>311</v>
      </c>
      <c r="B2568" s="880">
        <v>2025</v>
      </c>
      <c r="C2568" s="816" t="s">
        <v>1891</v>
      </c>
      <c r="D2568" s="816" t="s">
        <v>1894</v>
      </c>
      <c r="E2568" s="816" t="s">
        <v>3287</v>
      </c>
      <c r="F2568" s="826">
        <v>0</v>
      </c>
      <c r="G2568" s="880">
        <v>0</v>
      </c>
      <c r="H2568" s="465"/>
      <c r="I2568" s="465"/>
      <c r="J2568" s="826">
        <v>0</v>
      </c>
      <c r="K2568" s="881">
        <v>-129301.91</v>
      </c>
    </row>
    <row r="2569" spans="1:11" ht="22.5" customHeight="1" x14ac:dyDescent="0.25">
      <c r="A2569" s="816" t="s">
        <v>311</v>
      </c>
      <c r="B2569" s="880">
        <v>2025</v>
      </c>
      <c r="C2569" s="816" t="s">
        <v>1895</v>
      </c>
      <c r="D2569" s="816" t="s">
        <v>1896</v>
      </c>
      <c r="E2569" s="816" t="s">
        <v>3288</v>
      </c>
      <c r="F2569" s="826">
        <v>0</v>
      </c>
      <c r="G2569" s="880">
        <v>0</v>
      </c>
      <c r="H2569" s="465"/>
      <c r="I2569" s="465"/>
      <c r="J2569" s="826">
        <v>0</v>
      </c>
      <c r="K2569" s="878">
        <v>0</v>
      </c>
    </row>
    <row r="2570" spans="1:11" ht="22.5" customHeight="1" x14ac:dyDescent="0.25">
      <c r="A2570" s="816" t="s">
        <v>311</v>
      </c>
      <c r="B2570" s="880">
        <v>2025</v>
      </c>
      <c r="C2570" s="816" t="s">
        <v>1898</v>
      </c>
      <c r="D2570" s="816" t="s">
        <v>1899</v>
      </c>
      <c r="E2570" s="816" t="s">
        <v>3289</v>
      </c>
      <c r="F2570" s="826">
        <v>0</v>
      </c>
      <c r="G2570" s="880">
        <v>0</v>
      </c>
      <c r="H2570" s="465"/>
      <c r="I2570" s="465"/>
      <c r="J2570" s="826">
        <v>0</v>
      </c>
      <c r="K2570" s="878">
        <v>0</v>
      </c>
    </row>
    <row r="2571" spans="1:11" ht="22.5" customHeight="1" x14ac:dyDescent="0.25">
      <c r="A2571" s="816" t="s">
        <v>311</v>
      </c>
      <c r="B2571" s="880">
        <v>2025</v>
      </c>
      <c r="C2571" s="816" t="s">
        <v>1901</v>
      </c>
      <c r="D2571" s="816" t="s">
        <v>1902</v>
      </c>
      <c r="E2571" s="816" t="s">
        <v>3290</v>
      </c>
      <c r="F2571" s="826">
        <v>0</v>
      </c>
      <c r="G2571" s="880">
        <v>0</v>
      </c>
      <c r="H2571" s="465"/>
      <c r="I2571" s="465"/>
      <c r="J2571" s="826">
        <v>0</v>
      </c>
      <c r="K2571" s="878">
        <v>0</v>
      </c>
    </row>
    <row r="2572" spans="1:11" ht="22.5" customHeight="1" x14ac:dyDescent="0.25">
      <c r="A2572" s="816" t="s">
        <v>311</v>
      </c>
      <c r="B2572" s="880">
        <v>2025</v>
      </c>
      <c r="C2572" s="816" t="s">
        <v>1904</v>
      </c>
      <c r="D2572" s="816" t="s">
        <v>1905</v>
      </c>
      <c r="E2572" s="816" t="s">
        <v>3291</v>
      </c>
      <c r="F2572" s="826">
        <v>0</v>
      </c>
      <c r="G2572" s="880">
        <v>0</v>
      </c>
      <c r="H2572" s="465"/>
      <c r="I2572" s="465"/>
      <c r="J2572" s="826">
        <v>0</v>
      </c>
      <c r="K2572" s="878">
        <v>0</v>
      </c>
    </row>
    <row r="2573" spans="1:11" ht="22.5" customHeight="1" x14ac:dyDescent="0.25">
      <c r="A2573" s="816" t="s">
        <v>311</v>
      </c>
      <c r="B2573" s="880">
        <v>2025</v>
      </c>
      <c r="C2573" s="816" t="s">
        <v>1907</v>
      </c>
      <c r="D2573" s="816" t="s">
        <v>1908</v>
      </c>
      <c r="E2573" s="816" t="s">
        <v>3292</v>
      </c>
      <c r="F2573" s="826">
        <v>-151867.78</v>
      </c>
      <c r="G2573" s="880">
        <v>0</v>
      </c>
      <c r="H2573" s="465"/>
      <c r="I2573" s="465"/>
      <c r="J2573" s="826">
        <v>0</v>
      </c>
      <c r="K2573" s="878">
        <v>-151867.78</v>
      </c>
    </row>
    <row r="2574" spans="1:11" ht="22.5" customHeight="1" x14ac:dyDescent="0.25">
      <c r="A2574" s="816" t="s">
        <v>311</v>
      </c>
      <c r="B2574" s="880">
        <v>2025</v>
      </c>
      <c r="C2574" s="816" t="s">
        <v>1910</v>
      </c>
      <c r="D2574" s="816" t="s">
        <v>1911</v>
      </c>
      <c r="E2574" s="816" t="s">
        <v>3293</v>
      </c>
      <c r="F2574" s="826">
        <v>0</v>
      </c>
      <c r="G2574" s="880">
        <v>0</v>
      </c>
      <c r="H2574" s="465"/>
      <c r="I2574" s="465"/>
      <c r="J2574" s="826">
        <v>0</v>
      </c>
      <c r="K2574" s="878">
        <v>0</v>
      </c>
    </row>
    <row r="2575" spans="1:11" ht="22.5" customHeight="1" x14ac:dyDescent="0.25">
      <c r="A2575" s="816" t="s">
        <v>311</v>
      </c>
      <c r="B2575" s="880">
        <v>2025</v>
      </c>
      <c r="C2575" s="816" t="s">
        <v>1913</v>
      </c>
      <c r="D2575" s="816" t="s">
        <v>1914</v>
      </c>
      <c r="E2575" s="816" t="s">
        <v>3294</v>
      </c>
      <c r="F2575" s="826">
        <v>-21170716.07</v>
      </c>
      <c r="G2575" s="880">
        <v>1</v>
      </c>
      <c r="H2575" s="826">
        <v>-20239690.870000001</v>
      </c>
      <c r="I2575" s="826">
        <v>-931025.2</v>
      </c>
      <c r="J2575" s="826">
        <v>-21170716.07</v>
      </c>
      <c r="K2575" s="878">
        <v>-21170716.07</v>
      </c>
    </row>
    <row r="2576" spans="1:11" ht="22.5" customHeight="1" x14ac:dyDescent="0.25">
      <c r="A2576" s="816" t="s">
        <v>311</v>
      </c>
      <c r="B2576" s="880">
        <v>2025</v>
      </c>
      <c r="C2576" s="816" t="s">
        <v>1913</v>
      </c>
      <c r="D2576" s="816" t="s">
        <v>1916</v>
      </c>
      <c r="E2576" s="816" t="s">
        <v>3294</v>
      </c>
      <c r="F2576" s="826">
        <v>0</v>
      </c>
      <c r="G2576" s="880">
        <v>0</v>
      </c>
      <c r="H2576" s="465"/>
      <c r="I2576" s="465"/>
      <c r="J2576" s="826">
        <v>0</v>
      </c>
      <c r="K2576" s="881">
        <v>0</v>
      </c>
    </row>
    <row r="2577" spans="1:11" ht="22.5" customHeight="1" x14ac:dyDescent="0.25">
      <c r="A2577" s="816" t="s">
        <v>311</v>
      </c>
      <c r="B2577" s="880">
        <v>2025</v>
      </c>
      <c r="C2577" s="816" t="s">
        <v>1913</v>
      </c>
      <c r="D2577" s="816" t="s">
        <v>1917</v>
      </c>
      <c r="E2577" s="816" t="s">
        <v>3294</v>
      </c>
      <c r="F2577" s="826">
        <v>0</v>
      </c>
      <c r="G2577" s="880">
        <v>0</v>
      </c>
      <c r="H2577" s="465"/>
      <c r="I2577" s="465"/>
      <c r="J2577" s="826">
        <v>0</v>
      </c>
      <c r="K2577" s="881">
        <v>0</v>
      </c>
    </row>
    <row r="2578" spans="1:11" ht="22.5" customHeight="1" x14ac:dyDescent="0.25">
      <c r="A2578" s="816" t="s">
        <v>311</v>
      </c>
      <c r="B2578" s="880">
        <v>2025</v>
      </c>
      <c r="C2578" s="816" t="s">
        <v>1913</v>
      </c>
      <c r="D2578" s="816" t="s">
        <v>1918</v>
      </c>
      <c r="E2578" s="816" t="s">
        <v>3294</v>
      </c>
      <c r="F2578" s="826">
        <v>0</v>
      </c>
      <c r="G2578" s="880">
        <v>0</v>
      </c>
      <c r="H2578" s="465"/>
      <c r="I2578" s="465"/>
      <c r="J2578" s="826">
        <v>0</v>
      </c>
      <c r="K2578" s="881">
        <v>179204.01</v>
      </c>
    </row>
    <row r="2579" spans="1:11" ht="22.5" customHeight="1" x14ac:dyDescent="0.25">
      <c r="A2579" s="816" t="s">
        <v>311</v>
      </c>
      <c r="B2579" s="880">
        <v>2025</v>
      </c>
      <c r="C2579" s="816" t="s">
        <v>1913</v>
      </c>
      <c r="D2579" s="816" t="s">
        <v>1919</v>
      </c>
      <c r="E2579" s="816" t="s">
        <v>3294</v>
      </c>
      <c r="F2579" s="826">
        <v>0</v>
      </c>
      <c r="G2579" s="880">
        <v>0</v>
      </c>
      <c r="H2579" s="465"/>
      <c r="I2579" s="465"/>
      <c r="J2579" s="826">
        <v>0</v>
      </c>
      <c r="K2579" s="881">
        <v>11193575.640000001</v>
      </c>
    </row>
    <row r="2580" spans="1:11" ht="22.5" customHeight="1" x14ac:dyDescent="0.25">
      <c r="A2580" s="816" t="s">
        <v>311</v>
      </c>
      <c r="B2580" s="880">
        <v>2025</v>
      </c>
      <c r="C2580" s="816" t="s">
        <v>1920</v>
      </c>
      <c r="D2580" s="816" t="s">
        <v>1921</v>
      </c>
      <c r="E2580" s="816" t="s">
        <v>3295</v>
      </c>
      <c r="F2580" s="826">
        <v>0</v>
      </c>
      <c r="G2580" s="880">
        <v>0</v>
      </c>
      <c r="H2580" s="465"/>
      <c r="I2580" s="465"/>
      <c r="J2580" s="826">
        <v>0</v>
      </c>
      <c r="K2580" s="878">
        <v>0</v>
      </c>
    </row>
    <row r="2581" spans="1:11" ht="22.5" customHeight="1" x14ac:dyDescent="0.25">
      <c r="A2581" s="816" t="s">
        <v>311</v>
      </c>
      <c r="B2581" s="880">
        <v>2025</v>
      </c>
      <c r="C2581" s="816" t="s">
        <v>1923</v>
      </c>
      <c r="D2581" s="816" t="s">
        <v>143</v>
      </c>
      <c r="E2581" s="816" t="s">
        <v>3296</v>
      </c>
      <c r="F2581" s="826">
        <v>44666110.049999997</v>
      </c>
      <c r="G2581" s="880">
        <v>1</v>
      </c>
      <c r="H2581" s="826">
        <v>42545776.280000001</v>
      </c>
      <c r="I2581" s="826">
        <v>2120333.77</v>
      </c>
      <c r="J2581" s="826">
        <v>44666110.049999997</v>
      </c>
      <c r="K2581" s="878">
        <v>44666110.049999997</v>
      </c>
    </row>
    <row r="2582" spans="1:11" ht="22.5" customHeight="1" x14ac:dyDescent="0.25">
      <c r="A2582" s="816" t="s">
        <v>311</v>
      </c>
      <c r="B2582" s="880">
        <v>2025</v>
      </c>
      <c r="C2582" s="816" t="s">
        <v>1925</v>
      </c>
      <c r="D2582" s="816" t="s">
        <v>144</v>
      </c>
      <c r="E2582" s="816" t="s">
        <v>3297</v>
      </c>
      <c r="F2582" s="826">
        <v>27570970.75</v>
      </c>
      <c r="G2582" s="880">
        <v>1</v>
      </c>
      <c r="H2582" s="826">
        <v>25706043.449999999</v>
      </c>
      <c r="I2582" s="826">
        <v>1864927.3</v>
      </c>
      <c r="J2582" s="826">
        <v>27570970.75</v>
      </c>
      <c r="K2582" s="878">
        <v>27570970.75</v>
      </c>
    </row>
    <row r="2583" spans="1:11" ht="22.5" customHeight="1" x14ac:dyDescent="0.25">
      <c r="A2583" s="816" t="s">
        <v>311</v>
      </c>
      <c r="B2583" s="880">
        <v>2025</v>
      </c>
      <c r="C2583" s="816" t="s">
        <v>1927</v>
      </c>
      <c r="D2583" s="816" t="s">
        <v>1928</v>
      </c>
      <c r="E2583" s="816" t="s">
        <v>3298</v>
      </c>
      <c r="F2583" s="826">
        <v>49812666.020000003</v>
      </c>
      <c r="G2583" s="880">
        <v>1</v>
      </c>
      <c r="H2583" s="826">
        <v>46140741.539999999</v>
      </c>
      <c r="I2583" s="826">
        <v>3671924.48</v>
      </c>
      <c r="J2583" s="826">
        <v>49812666.020000003</v>
      </c>
      <c r="K2583" s="878">
        <v>49812666.020000003</v>
      </c>
    </row>
    <row r="2584" spans="1:11" ht="22.5" customHeight="1" x14ac:dyDescent="0.25">
      <c r="A2584" s="816" t="s">
        <v>311</v>
      </c>
      <c r="B2584" s="880">
        <v>2025</v>
      </c>
      <c r="C2584" s="816" t="s">
        <v>1930</v>
      </c>
      <c r="D2584" s="816" t="s">
        <v>156</v>
      </c>
      <c r="E2584" s="816" t="s">
        <v>3299</v>
      </c>
      <c r="F2584" s="826">
        <v>46203185.939999998</v>
      </c>
      <c r="G2584" s="880">
        <v>1</v>
      </c>
      <c r="H2584" s="826">
        <v>44384096.799999997</v>
      </c>
      <c r="I2584" s="826">
        <v>1819089.14</v>
      </c>
      <c r="J2584" s="826">
        <v>46203185.939999998</v>
      </c>
      <c r="K2584" s="878">
        <v>46203185.939999998</v>
      </c>
    </row>
    <row r="2585" spans="1:11" ht="22.5" customHeight="1" x14ac:dyDescent="0.25">
      <c r="A2585" s="816" t="s">
        <v>311</v>
      </c>
      <c r="B2585" s="880">
        <v>2025</v>
      </c>
      <c r="C2585" s="816" t="s">
        <v>1932</v>
      </c>
      <c r="D2585" s="816" t="s">
        <v>1933</v>
      </c>
      <c r="E2585" s="816" t="s">
        <v>3300</v>
      </c>
      <c r="F2585" s="826">
        <v>-1787684.24</v>
      </c>
      <c r="G2585" s="880">
        <v>0</v>
      </c>
      <c r="H2585" s="465"/>
      <c r="I2585" s="465"/>
      <c r="J2585" s="826">
        <v>0</v>
      </c>
      <c r="K2585" s="878">
        <v>-1787684.24</v>
      </c>
    </row>
    <row r="2586" spans="1:11" ht="22.5" customHeight="1" x14ac:dyDescent="0.25">
      <c r="A2586" s="816" t="s">
        <v>311</v>
      </c>
      <c r="B2586" s="880">
        <v>2025</v>
      </c>
      <c r="C2586" s="816" t="s">
        <v>1935</v>
      </c>
      <c r="D2586" s="816" t="s">
        <v>1936</v>
      </c>
      <c r="E2586" s="816" t="s">
        <v>8688</v>
      </c>
      <c r="F2586" s="826">
        <v>0</v>
      </c>
      <c r="G2586" s="880">
        <v>1</v>
      </c>
      <c r="H2586" s="465"/>
      <c r="I2586" s="465"/>
      <c r="J2586" s="826">
        <v>0</v>
      </c>
      <c r="K2586" s="878">
        <v>0</v>
      </c>
    </row>
    <row r="2587" spans="1:11" ht="22.5" customHeight="1" x14ac:dyDescent="0.25">
      <c r="A2587" s="816" t="s">
        <v>311</v>
      </c>
      <c r="B2587" s="880">
        <v>2025</v>
      </c>
      <c r="C2587" s="816" t="s">
        <v>1935</v>
      </c>
      <c r="D2587" s="816" t="s">
        <v>1937</v>
      </c>
      <c r="E2587" s="816" t="s">
        <v>8689</v>
      </c>
      <c r="F2587" s="826">
        <v>0</v>
      </c>
      <c r="G2587" s="880">
        <v>1</v>
      </c>
      <c r="H2587" s="465"/>
      <c r="I2587" s="465"/>
      <c r="J2587" s="826">
        <v>0</v>
      </c>
      <c r="K2587" s="878">
        <v>0</v>
      </c>
    </row>
    <row r="2588" spans="1:11" ht="22.5" customHeight="1" x14ac:dyDescent="0.25">
      <c r="A2588" s="816" t="s">
        <v>311</v>
      </c>
      <c r="B2588" s="880">
        <v>2025</v>
      </c>
      <c r="C2588" s="816" t="s">
        <v>1935</v>
      </c>
      <c r="D2588" s="816" t="s">
        <v>1938</v>
      </c>
      <c r="E2588" s="816" t="s">
        <v>8690</v>
      </c>
      <c r="F2588" s="826">
        <v>0</v>
      </c>
      <c r="G2588" s="880">
        <v>1</v>
      </c>
      <c r="H2588" s="465"/>
      <c r="I2588" s="465"/>
      <c r="J2588" s="826">
        <v>0</v>
      </c>
      <c r="K2588" s="878">
        <v>0</v>
      </c>
    </row>
    <row r="2589" spans="1:11" ht="22.5" customHeight="1" x14ac:dyDescent="0.25">
      <c r="A2589" s="816" t="s">
        <v>311</v>
      </c>
      <c r="B2589" s="880">
        <v>2025</v>
      </c>
      <c r="C2589" s="816" t="s">
        <v>1935</v>
      </c>
      <c r="D2589" s="816" t="s">
        <v>1939</v>
      </c>
      <c r="E2589" s="816" t="s">
        <v>8691</v>
      </c>
      <c r="F2589" s="826">
        <v>0</v>
      </c>
      <c r="G2589" s="880">
        <v>1</v>
      </c>
      <c r="H2589" s="465"/>
      <c r="I2589" s="465"/>
      <c r="J2589" s="826">
        <v>0</v>
      </c>
      <c r="K2589" s="878">
        <v>0</v>
      </c>
    </row>
    <row r="2590" spans="1:11" ht="22.5" customHeight="1" x14ac:dyDescent="0.25">
      <c r="A2590" s="816" t="s">
        <v>311</v>
      </c>
      <c r="B2590" s="880">
        <v>2025</v>
      </c>
      <c r="C2590" s="816" t="s">
        <v>1935</v>
      </c>
      <c r="D2590" s="816" t="s">
        <v>1940</v>
      </c>
      <c r="E2590" s="816" t="s">
        <v>8692</v>
      </c>
      <c r="F2590" s="826">
        <v>0</v>
      </c>
      <c r="G2590" s="880">
        <v>1</v>
      </c>
      <c r="H2590" s="465"/>
      <c r="I2590" s="465"/>
      <c r="J2590" s="826">
        <v>0</v>
      </c>
      <c r="K2590" s="878">
        <v>0</v>
      </c>
    </row>
    <row r="2591" spans="1:11" ht="22.5" customHeight="1" x14ac:dyDescent="0.25">
      <c r="A2591" s="816" t="s">
        <v>311</v>
      </c>
      <c r="B2591" s="880">
        <v>2025</v>
      </c>
      <c r="C2591" s="816" t="s">
        <v>1935</v>
      </c>
      <c r="D2591" s="816" t="s">
        <v>1941</v>
      </c>
      <c r="E2591" s="816" t="s">
        <v>8693</v>
      </c>
      <c r="F2591" s="826">
        <v>0</v>
      </c>
      <c r="G2591" s="880">
        <v>1</v>
      </c>
      <c r="H2591" s="465"/>
      <c r="I2591" s="465"/>
      <c r="J2591" s="826">
        <v>0</v>
      </c>
      <c r="K2591" s="878">
        <v>0</v>
      </c>
    </row>
    <row r="2592" spans="1:11" ht="22.5" customHeight="1" x14ac:dyDescent="0.25">
      <c r="A2592" s="816" t="s">
        <v>311</v>
      </c>
      <c r="B2592" s="880">
        <v>2025</v>
      </c>
      <c r="C2592" s="816" t="s">
        <v>1935</v>
      </c>
      <c r="D2592" s="816" t="s">
        <v>1942</v>
      </c>
      <c r="E2592" s="816" t="s">
        <v>8694</v>
      </c>
      <c r="F2592" s="826">
        <v>0</v>
      </c>
      <c r="G2592" s="880">
        <v>1</v>
      </c>
      <c r="H2592" s="465"/>
      <c r="I2592" s="465"/>
      <c r="J2592" s="826">
        <v>0</v>
      </c>
      <c r="K2592" s="878">
        <v>0</v>
      </c>
    </row>
    <row r="2593" spans="1:11" ht="22.5" customHeight="1" x14ac:dyDescent="0.25">
      <c r="A2593" s="816" t="s">
        <v>311</v>
      </c>
      <c r="B2593" s="880">
        <v>2025</v>
      </c>
      <c r="C2593" s="816" t="s">
        <v>1935</v>
      </c>
      <c r="D2593" s="816" t="s">
        <v>1943</v>
      </c>
      <c r="E2593" s="816" t="s">
        <v>8695</v>
      </c>
      <c r="F2593" s="826">
        <v>0</v>
      </c>
      <c r="G2593" s="880">
        <v>1</v>
      </c>
      <c r="H2593" s="465"/>
      <c r="I2593" s="465"/>
      <c r="J2593" s="826">
        <v>0</v>
      </c>
      <c r="K2593" s="878">
        <v>0</v>
      </c>
    </row>
    <row r="2594" spans="1:11" ht="22.5" customHeight="1" x14ac:dyDescent="0.25">
      <c r="A2594" s="816" t="s">
        <v>311</v>
      </c>
      <c r="B2594" s="880">
        <v>2025</v>
      </c>
      <c r="C2594" s="816" t="s">
        <v>1935</v>
      </c>
      <c r="D2594" s="816" t="s">
        <v>1944</v>
      </c>
      <c r="E2594" s="816" t="s">
        <v>8696</v>
      </c>
      <c r="F2594" s="826">
        <v>0</v>
      </c>
      <c r="G2594" s="880">
        <v>1</v>
      </c>
      <c r="H2594" s="465"/>
      <c r="I2594" s="465"/>
      <c r="J2594" s="826">
        <v>0</v>
      </c>
      <c r="K2594" s="878">
        <v>0</v>
      </c>
    </row>
    <row r="2595" spans="1:11" ht="22.5" customHeight="1" x14ac:dyDescent="0.25">
      <c r="A2595" s="816" t="s">
        <v>311</v>
      </c>
      <c r="B2595" s="880">
        <v>2025</v>
      </c>
      <c r="C2595" s="816" t="s">
        <v>1935</v>
      </c>
      <c r="D2595" s="816" t="s">
        <v>1945</v>
      </c>
      <c r="E2595" s="816" t="s">
        <v>8697</v>
      </c>
      <c r="F2595" s="826">
        <v>0</v>
      </c>
      <c r="G2595" s="880">
        <v>1</v>
      </c>
      <c r="H2595" s="465"/>
      <c r="I2595" s="465"/>
      <c r="J2595" s="826">
        <v>0</v>
      </c>
      <c r="K2595" s="878">
        <v>0</v>
      </c>
    </row>
    <row r="2596" spans="1:11" ht="22.5" customHeight="1" x14ac:dyDescent="0.25">
      <c r="A2596" s="816" t="s">
        <v>311</v>
      </c>
      <c r="B2596" s="880">
        <v>2025</v>
      </c>
      <c r="C2596" s="816" t="s">
        <v>1935</v>
      </c>
      <c r="D2596" s="816" t="s">
        <v>1946</v>
      </c>
      <c r="E2596" s="816" t="s">
        <v>8698</v>
      </c>
      <c r="F2596" s="826">
        <v>0</v>
      </c>
      <c r="G2596" s="880">
        <v>1</v>
      </c>
      <c r="H2596" s="465"/>
      <c r="I2596" s="465"/>
      <c r="J2596" s="826">
        <v>0</v>
      </c>
      <c r="K2596" s="878">
        <v>0</v>
      </c>
    </row>
    <row r="2597" spans="1:11" ht="22.5" customHeight="1" x14ac:dyDescent="0.25">
      <c r="A2597" s="816" t="s">
        <v>311</v>
      </c>
      <c r="B2597" s="880">
        <v>2025</v>
      </c>
      <c r="C2597" s="816" t="s">
        <v>1935</v>
      </c>
      <c r="D2597" s="816" t="s">
        <v>1947</v>
      </c>
      <c r="E2597" s="816" t="s">
        <v>8699</v>
      </c>
      <c r="F2597" s="826">
        <v>0</v>
      </c>
      <c r="G2597" s="880">
        <v>1</v>
      </c>
      <c r="H2597" s="465"/>
      <c r="I2597" s="465"/>
      <c r="J2597" s="826">
        <v>0</v>
      </c>
      <c r="K2597" s="878">
        <v>0</v>
      </c>
    </row>
    <row r="2598" spans="1:11" ht="22.5" customHeight="1" x14ac:dyDescent="0.25">
      <c r="A2598" s="816" t="s">
        <v>311</v>
      </c>
      <c r="B2598" s="880">
        <v>2025</v>
      </c>
      <c r="C2598" s="816" t="s">
        <v>1935</v>
      </c>
      <c r="D2598" s="816" t="s">
        <v>1948</v>
      </c>
      <c r="E2598" s="816" t="s">
        <v>8700</v>
      </c>
      <c r="F2598" s="826">
        <v>0</v>
      </c>
      <c r="G2598" s="880">
        <v>1</v>
      </c>
      <c r="H2598" s="826">
        <v>-2265780.04</v>
      </c>
      <c r="I2598" s="826">
        <v>-1302047.3600000001</v>
      </c>
      <c r="J2598" s="826">
        <v>-3567827.4</v>
      </c>
      <c r="K2598" s="878">
        <v>-3567827.4</v>
      </c>
    </row>
    <row r="2599" spans="1:11" ht="22.5" customHeight="1" x14ac:dyDescent="0.25">
      <c r="A2599" s="816" t="s">
        <v>311</v>
      </c>
      <c r="B2599" s="880">
        <v>2025</v>
      </c>
      <c r="C2599" s="816" t="s">
        <v>1935</v>
      </c>
      <c r="D2599" s="816" t="s">
        <v>1949</v>
      </c>
      <c r="E2599" s="816" t="s">
        <v>8701</v>
      </c>
      <c r="F2599" s="826">
        <v>0</v>
      </c>
      <c r="G2599" s="880">
        <v>1</v>
      </c>
      <c r="H2599" s="826">
        <v>2733170.55</v>
      </c>
      <c r="I2599" s="826">
        <v>-335782.08</v>
      </c>
      <c r="J2599" s="826">
        <v>2397388.4700000002</v>
      </c>
      <c r="K2599" s="878">
        <v>2397388.4700000002</v>
      </c>
    </row>
    <row r="2600" spans="1:11" ht="22.5" customHeight="1" x14ac:dyDescent="0.25">
      <c r="A2600" s="816" t="s">
        <v>311</v>
      </c>
      <c r="B2600" s="880">
        <v>2025</v>
      </c>
      <c r="C2600" s="816" t="s">
        <v>1935</v>
      </c>
      <c r="D2600" s="816" t="s">
        <v>1950</v>
      </c>
      <c r="E2600" s="816" t="s">
        <v>8702</v>
      </c>
      <c r="F2600" s="826">
        <v>0</v>
      </c>
      <c r="G2600" s="880">
        <v>1</v>
      </c>
      <c r="H2600" s="826">
        <v>142871.34</v>
      </c>
      <c r="I2600" s="826">
        <v>30796.2</v>
      </c>
      <c r="J2600" s="826">
        <v>173667.54</v>
      </c>
      <c r="K2600" s="878">
        <v>173667.54</v>
      </c>
    </row>
    <row r="2601" spans="1:11" ht="22.5" customHeight="1" x14ac:dyDescent="0.25">
      <c r="A2601" s="816" t="s">
        <v>311</v>
      </c>
      <c r="B2601" s="880">
        <v>2025</v>
      </c>
      <c r="C2601" s="816" t="s">
        <v>1935</v>
      </c>
      <c r="D2601" s="816" t="s">
        <v>1951</v>
      </c>
      <c r="E2601" s="816" t="s">
        <v>8703</v>
      </c>
      <c r="F2601" s="826">
        <v>0</v>
      </c>
      <c r="G2601" s="880">
        <v>1</v>
      </c>
      <c r="H2601" s="826">
        <v>-1973950.91</v>
      </c>
      <c r="I2601" s="826">
        <v>-2949099.06</v>
      </c>
      <c r="J2601" s="826">
        <v>-4923049.97</v>
      </c>
      <c r="K2601" s="878">
        <v>-4923049.97</v>
      </c>
    </row>
    <row r="2602" spans="1:11" ht="22.5" customHeight="1" x14ac:dyDescent="0.25">
      <c r="A2602" s="816" t="s">
        <v>311</v>
      </c>
      <c r="B2602" s="880">
        <v>2025</v>
      </c>
      <c r="C2602" s="816" t="s">
        <v>1935</v>
      </c>
      <c r="D2602" s="816" t="s">
        <v>7801</v>
      </c>
      <c r="E2602" s="816" t="s">
        <v>8704</v>
      </c>
      <c r="F2602" s="826">
        <v>0</v>
      </c>
      <c r="G2602" s="880">
        <v>1</v>
      </c>
      <c r="H2602" s="826">
        <v>7651234.6600000001</v>
      </c>
      <c r="I2602" s="826">
        <v>2681697.31</v>
      </c>
      <c r="J2602" s="826">
        <v>10332931.970000001</v>
      </c>
      <c r="K2602" s="878">
        <v>10332931.970000001</v>
      </c>
    </row>
    <row r="2603" spans="1:11" ht="22.5" customHeight="1" x14ac:dyDescent="0.25">
      <c r="A2603" s="816" t="s">
        <v>311</v>
      </c>
      <c r="B2603" s="880">
        <v>2025</v>
      </c>
      <c r="C2603" s="816" t="s">
        <v>1935</v>
      </c>
      <c r="D2603" s="816" t="s">
        <v>1952</v>
      </c>
      <c r="E2603" s="816" t="s">
        <v>8705</v>
      </c>
      <c r="F2603" s="826">
        <v>4413110.6100000003</v>
      </c>
      <c r="G2603" s="880">
        <v>0</v>
      </c>
      <c r="H2603" s="465"/>
      <c r="I2603" s="465"/>
      <c r="J2603" s="826">
        <v>0</v>
      </c>
      <c r="K2603" s="878">
        <v>4413110.6100000003</v>
      </c>
    </row>
    <row r="2604" spans="1:11" ht="22.5" customHeight="1" x14ac:dyDescent="0.25">
      <c r="A2604" s="816" t="s">
        <v>311</v>
      </c>
      <c r="B2604" s="880">
        <v>2025</v>
      </c>
      <c r="C2604" s="816" t="s">
        <v>1953</v>
      </c>
      <c r="D2604" s="816" t="s">
        <v>1954</v>
      </c>
      <c r="E2604" s="816" t="s">
        <v>3301</v>
      </c>
      <c r="F2604" s="826">
        <v>0</v>
      </c>
      <c r="G2604" s="880">
        <v>0</v>
      </c>
      <c r="H2604" s="465"/>
      <c r="I2604" s="465"/>
      <c r="J2604" s="826">
        <v>0</v>
      </c>
      <c r="K2604" s="878">
        <v>0</v>
      </c>
    </row>
    <row r="2605" spans="1:11" ht="22.5" customHeight="1" x14ac:dyDescent="0.25">
      <c r="A2605" s="816" t="s">
        <v>313</v>
      </c>
      <c r="B2605" s="880">
        <v>2025</v>
      </c>
      <c r="C2605" s="816" t="s">
        <v>1854</v>
      </c>
      <c r="D2605" s="816" t="s">
        <v>1855</v>
      </c>
      <c r="E2605" s="816" t="s">
        <v>3302</v>
      </c>
      <c r="F2605" s="826">
        <v>62889.15</v>
      </c>
      <c r="G2605" s="880">
        <v>0</v>
      </c>
      <c r="H2605" s="465"/>
      <c r="I2605" s="465"/>
      <c r="J2605" s="826">
        <v>0</v>
      </c>
      <c r="K2605" s="878">
        <v>62889.15</v>
      </c>
    </row>
    <row r="2606" spans="1:11" ht="22.5" customHeight="1" x14ac:dyDescent="0.25">
      <c r="A2606" s="816" t="s">
        <v>313</v>
      </c>
      <c r="B2606" s="880">
        <v>2025</v>
      </c>
      <c r="C2606" s="816" t="s">
        <v>7746</v>
      </c>
      <c r="D2606" s="816" t="s">
        <v>7747</v>
      </c>
      <c r="E2606" s="816" t="s">
        <v>7797</v>
      </c>
      <c r="F2606" s="826">
        <v>-1907.95</v>
      </c>
      <c r="G2606" s="880">
        <v>0</v>
      </c>
      <c r="H2606" s="465"/>
      <c r="I2606" s="465"/>
      <c r="J2606" s="826">
        <v>0</v>
      </c>
      <c r="K2606" s="878">
        <v>-1907.95</v>
      </c>
    </row>
    <row r="2607" spans="1:11" ht="22.5" customHeight="1" x14ac:dyDescent="0.25">
      <c r="A2607" s="816" t="s">
        <v>313</v>
      </c>
      <c r="B2607" s="880">
        <v>2025</v>
      </c>
      <c r="C2607" s="816" t="s">
        <v>1857</v>
      </c>
      <c r="D2607" s="816" t="s">
        <v>1858</v>
      </c>
      <c r="E2607" s="816" t="s">
        <v>3303</v>
      </c>
      <c r="F2607" s="826">
        <v>0</v>
      </c>
      <c r="G2607" s="880">
        <v>0</v>
      </c>
      <c r="H2607" s="465"/>
      <c r="I2607" s="465"/>
      <c r="J2607" s="826">
        <v>0</v>
      </c>
      <c r="K2607" s="878">
        <v>0</v>
      </c>
    </row>
    <row r="2608" spans="1:11" ht="22.5" customHeight="1" x14ac:dyDescent="0.25">
      <c r="A2608" s="816" t="s">
        <v>313</v>
      </c>
      <c r="B2608" s="880">
        <v>2025</v>
      </c>
      <c r="C2608" s="816" t="s">
        <v>1860</v>
      </c>
      <c r="D2608" s="816" t="s">
        <v>1861</v>
      </c>
      <c r="E2608" s="816" t="s">
        <v>3304</v>
      </c>
      <c r="F2608" s="826">
        <v>0</v>
      </c>
      <c r="G2608" s="880">
        <v>0</v>
      </c>
      <c r="H2608" s="465"/>
      <c r="I2608" s="465"/>
      <c r="J2608" s="826">
        <v>0</v>
      </c>
      <c r="K2608" s="878">
        <v>0</v>
      </c>
    </row>
    <row r="2609" spans="1:11" ht="22.5" customHeight="1" x14ac:dyDescent="0.25">
      <c r="A2609" s="816" t="s">
        <v>313</v>
      </c>
      <c r="B2609" s="880">
        <v>2025</v>
      </c>
      <c r="C2609" s="816" t="s">
        <v>1863</v>
      </c>
      <c r="D2609" s="816" t="s">
        <v>1864</v>
      </c>
      <c r="E2609" s="816" t="s">
        <v>3305</v>
      </c>
      <c r="F2609" s="826">
        <v>0</v>
      </c>
      <c r="G2609" s="880">
        <v>0</v>
      </c>
      <c r="H2609" s="465"/>
      <c r="I2609" s="465"/>
      <c r="J2609" s="826">
        <v>0</v>
      </c>
      <c r="K2609" s="878">
        <v>0</v>
      </c>
    </row>
    <row r="2610" spans="1:11" ht="22.5" customHeight="1" x14ac:dyDescent="0.25">
      <c r="A2610" s="816" t="s">
        <v>313</v>
      </c>
      <c r="B2610" s="880">
        <v>2025</v>
      </c>
      <c r="C2610" s="816" t="s">
        <v>1866</v>
      </c>
      <c r="D2610" s="816" t="s">
        <v>1867</v>
      </c>
      <c r="E2610" s="816" t="s">
        <v>3306</v>
      </c>
      <c r="F2610" s="826">
        <v>0</v>
      </c>
      <c r="G2610" s="880">
        <v>0</v>
      </c>
      <c r="H2610" s="465"/>
      <c r="I2610" s="465"/>
      <c r="J2610" s="826">
        <v>0</v>
      </c>
      <c r="K2610" s="878">
        <v>0</v>
      </c>
    </row>
    <row r="2611" spans="1:11" ht="22.5" customHeight="1" x14ac:dyDescent="0.25">
      <c r="A2611" s="816" t="s">
        <v>313</v>
      </c>
      <c r="B2611" s="880">
        <v>2025</v>
      </c>
      <c r="C2611" s="816" t="s">
        <v>1869</v>
      </c>
      <c r="D2611" s="816" t="s">
        <v>1870</v>
      </c>
      <c r="E2611" s="816" t="s">
        <v>3307</v>
      </c>
      <c r="F2611" s="826">
        <v>0</v>
      </c>
      <c r="G2611" s="880">
        <v>0</v>
      </c>
      <c r="H2611" s="465"/>
      <c r="I2611" s="465"/>
      <c r="J2611" s="826">
        <v>0</v>
      </c>
      <c r="K2611" s="878">
        <v>0</v>
      </c>
    </row>
    <row r="2612" spans="1:11" ht="22.5" customHeight="1" x14ac:dyDescent="0.25">
      <c r="A2612" s="816" t="s">
        <v>313</v>
      </c>
      <c r="B2612" s="880">
        <v>2025</v>
      </c>
      <c r="C2612" s="816" t="s">
        <v>1872</v>
      </c>
      <c r="D2612" s="816" t="s">
        <v>1873</v>
      </c>
      <c r="E2612" s="816" t="s">
        <v>3308</v>
      </c>
      <c r="F2612" s="826">
        <v>0</v>
      </c>
      <c r="G2612" s="880">
        <v>0</v>
      </c>
      <c r="H2612" s="465"/>
      <c r="I2612" s="465"/>
      <c r="J2612" s="826">
        <v>0</v>
      </c>
      <c r="K2612" s="878">
        <v>0</v>
      </c>
    </row>
    <row r="2613" spans="1:11" ht="22.5" customHeight="1" x14ac:dyDescent="0.25">
      <c r="A2613" s="816" t="s">
        <v>313</v>
      </c>
      <c r="B2613" s="880">
        <v>2025</v>
      </c>
      <c r="C2613" s="816" t="s">
        <v>1875</v>
      </c>
      <c r="D2613" s="816" t="s">
        <v>1876</v>
      </c>
      <c r="E2613" s="816" t="s">
        <v>3309</v>
      </c>
      <c r="F2613" s="826">
        <v>0</v>
      </c>
      <c r="G2613" s="880">
        <v>0</v>
      </c>
      <c r="H2613" s="465"/>
      <c r="I2613" s="465"/>
      <c r="J2613" s="826">
        <v>0</v>
      </c>
      <c r="K2613" s="878">
        <v>0</v>
      </c>
    </row>
    <row r="2614" spans="1:11" ht="22.5" customHeight="1" x14ac:dyDescent="0.25">
      <c r="A2614" s="816" t="s">
        <v>313</v>
      </c>
      <c r="B2614" s="880">
        <v>2025</v>
      </c>
      <c r="C2614" s="816" t="s">
        <v>1878</v>
      </c>
      <c r="D2614" s="816" t="s">
        <v>1879</v>
      </c>
      <c r="E2614" s="816" t="s">
        <v>3310</v>
      </c>
      <c r="F2614" s="826">
        <v>0</v>
      </c>
      <c r="G2614" s="880">
        <v>0</v>
      </c>
      <c r="H2614" s="465"/>
      <c r="I2614" s="465"/>
      <c r="J2614" s="826">
        <v>0</v>
      </c>
      <c r="K2614" s="878">
        <v>0</v>
      </c>
    </row>
    <row r="2615" spans="1:11" ht="22.5" customHeight="1" x14ac:dyDescent="0.25">
      <c r="A2615" s="816" t="s">
        <v>313</v>
      </c>
      <c r="B2615" s="880">
        <v>2025</v>
      </c>
      <c r="C2615" s="816" t="s">
        <v>1881</v>
      </c>
      <c r="D2615" s="816" t="s">
        <v>1882</v>
      </c>
      <c r="E2615" s="816" t="s">
        <v>3311</v>
      </c>
      <c r="F2615" s="826">
        <v>0</v>
      </c>
      <c r="G2615" s="880">
        <v>0</v>
      </c>
      <c r="H2615" s="465"/>
      <c r="I2615" s="465"/>
      <c r="J2615" s="826">
        <v>0</v>
      </c>
      <c r="K2615" s="878">
        <v>0</v>
      </c>
    </row>
    <row r="2616" spans="1:11" ht="22.5" customHeight="1" x14ac:dyDescent="0.25">
      <c r="A2616" s="816" t="s">
        <v>313</v>
      </c>
      <c r="B2616" s="880">
        <v>2025</v>
      </c>
      <c r="C2616" s="816" t="s">
        <v>1884</v>
      </c>
      <c r="D2616" s="816" t="s">
        <v>1885</v>
      </c>
      <c r="E2616" s="816" t="s">
        <v>3312</v>
      </c>
      <c r="F2616" s="826">
        <v>0</v>
      </c>
      <c r="G2616" s="880">
        <v>0</v>
      </c>
      <c r="H2616" s="465"/>
      <c r="I2616" s="465"/>
      <c r="J2616" s="826">
        <v>0</v>
      </c>
      <c r="K2616" s="878">
        <v>0</v>
      </c>
    </row>
    <row r="2617" spans="1:11" ht="22.5" customHeight="1" x14ac:dyDescent="0.25">
      <c r="A2617" s="816" t="s">
        <v>313</v>
      </c>
      <c r="B2617" s="880">
        <v>2025</v>
      </c>
      <c r="C2617" s="816" t="s">
        <v>1887</v>
      </c>
      <c r="D2617" s="816" t="s">
        <v>138</v>
      </c>
      <c r="E2617" s="816" t="s">
        <v>3313</v>
      </c>
      <c r="F2617" s="826">
        <v>150779.35</v>
      </c>
      <c r="G2617" s="880">
        <v>1</v>
      </c>
      <c r="H2617" s="826">
        <v>135952.76999999999</v>
      </c>
      <c r="I2617" s="826">
        <v>14826.58</v>
      </c>
      <c r="J2617" s="826">
        <v>150779.35</v>
      </c>
      <c r="K2617" s="878">
        <v>150779.35</v>
      </c>
    </row>
    <row r="2618" spans="1:11" ht="22.5" customHeight="1" x14ac:dyDescent="0.25">
      <c r="A2618" s="816" t="s">
        <v>313</v>
      </c>
      <c r="B2618" s="880">
        <v>2025</v>
      </c>
      <c r="C2618" s="816" t="s">
        <v>1889</v>
      </c>
      <c r="D2618" s="816" t="s">
        <v>139</v>
      </c>
      <c r="E2618" s="816" t="s">
        <v>3314</v>
      </c>
      <c r="F2618" s="826">
        <v>-46136.31</v>
      </c>
      <c r="G2618" s="880">
        <v>1</v>
      </c>
      <c r="H2618" s="826">
        <v>-43523.21</v>
      </c>
      <c r="I2618" s="826">
        <v>-2613.1</v>
      </c>
      <c r="J2618" s="826">
        <v>-46136.31</v>
      </c>
      <c r="K2618" s="878">
        <v>-46136.31</v>
      </c>
    </row>
    <row r="2619" spans="1:11" ht="22.5" customHeight="1" x14ac:dyDescent="0.25">
      <c r="A2619" s="816" t="s">
        <v>313</v>
      </c>
      <c r="B2619" s="880">
        <v>2025</v>
      </c>
      <c r="C2619" s="816" t="s">
        <v>1891</v>
      </c>
      <c r="D2619" s="816" t="s">
        <v>1892</v>
      </c>
      <c r="E2619" s="816" t="s">
        <v>3315</v>
      </c>
      <c r="F2619" s="826">
        <v>0</v>
      </c>
      <c r="G2619" s="880">
        <v>0</v>
      </c>
      <c r="H2619" s="465"/>
      <c r="I2619" s="465"/>
      <c r="J2619" s="826">
        <v>0</v>
      </c>
      <c r="K2619" s="878">
        <v>0</v>
      </c>
    </row>
    <row r="2620" spans="1:11" ht="22.5" customHeight="1" x14ac:dyDescent="0.25">
      <c r="A2620" s="816" t="s">
        <v>313</v>
      </c>
      <c r="B2620" s="880">
        <v>2025</v>
      </c>
      <c r="C2620" s="816" t="s">
        <v>1891</v>
      </c>
      <c r="D2620" s="816" t="s">
        <v>1894</v>
      </c>
      <c r="E2620" s="816" t="s">
        <v>3315</v>
      </c>
      <c r="F2620" s="826">
        <v>0</v>
      </c>
      <c r="G2620" s="880">
        <v>0</v>
      </c>
      <c r="H2620" s="465"/>
      <c r="I2620" s="465"/>
      <c r="J2620" s="826">
        <v>0</v>
      </c>
      <c r="K2620" s="881">
        <v>0</v>
      </c>
    </row>
    <row r="2621" spans="1:11" ht="22.5" customHeight="1" x14ac:dyDescent="0.25">
      <c r="A2621" s="816" t="s">
        <v>313</v>
      </c>
      <c r="B2621" s="880">
        <v>2025</v>
      </c>
      <c r="C2621" s="816" t="s">
        <v>1895</v>
      </c>
      <c r="D2621" s="816" t="s">
        <v>1896</v>
      </c>
      <c r="E2621" s="816" t="s">
        <v>3316</v>
      </c>
      <c r="F2621" s="826">
        <v>0</v>
      </c>
      <c r="G2621" s="880">
        <v>0</v>
      </c>
      <c r="H2621" s="465"/>
      <c r="I2621" s="465"/>
      <c r="J2621" s="826">
        <v>0</v>
      </c>
      <c r="K2621" s="878">
        <v>0</v>
      </c>
    </row>
    <row r="2622" spans="1:11" ht="22.5" customHeight="1" x14ac:dyDescent="0.25">
      <c r="A2622" s="816" t="s">
        <v>313</v>
      </c>
      <c r="B2622" s="880">
        <v>2025</v>
      </c>
      <c r="C2622" s="816" t="s">
        <v>1898</v>
      </c>
      <c r="D2622" s="816" t="s">
        <v>1899</v>
      </c>
      <c r="E2622" s="816" t="s">
        <v>3317</v>
      </c>
      <c r="F2622" s="826">
        <v>0</v>
      </c>
      <c r="G2622" s="880">
        <v>0</v>
      </c>
      <c r="H2622" s="465"/>
      <c r="I2622" s="465"/>
      <c r="J2622" s="826">
        <v>0</v>
      </c>
      <c r="K2622" s="878">
        <v>0</v>
      </c>
    </row>
    <row r="2623" spans="1:11" ht="22.5" customHeight="1" x14ac:dyDescent="0.25">
      <c r="A2623" s="816" t="s">
        <v>313</v>
      </c>
      <c r="B2623" s="880">
        <v>2025</v>
      </c>
      <c r="C2623" s="816" t="s">
        <v>1901</v>
      </c>
      <c r="D2623" s="816" t="s">
        <v>1902</v>
      </c>
      <c r="E2623" s="816" t="s">
        <v>3318</v>
      </c>
      <c r="F2623" s="826">
        <v>0</v>
      </c>
      <c r="G2623" s="880">
        <v>0</v>
      </c>
      <c r="H2623" s="465"/>
      <c r="I2623" s="465"/>
      <c r="J2623" s="826">
        <v>0</v>
      </c>
      <c r="K2623" s="878">
        <v>0</v>
      </c>
    </row>
    <row r="2624" spans="1:11" ht="22.5" customHeight="1" x14ac:dyDescent="0.25">
      <c r="A2624" s="816" t="s">
        <v>313</v>
      </c>
      <c r="B2624" s="880">
        <v>2025</v>
      </c>
      <c r="C2624" s="816" t="s">
        <v>1904</v>
      </c>
      <c r="D2624" s="816" t="s">
        <v>1905</v>
      </c>
      <c r="E2624" s="816" t="s">
        <v>3319</v>
      </c>
      <c r="F2624" s="826">
        <v>0</v>
      </c>
      <c r="G2624" s="880">
        <v>0</v>
      </c>
      <c r="H2624" s="465"/>
      <c r="I2624" s="465"/>
      <c r="J2624" s="826">
        <v>0</v>
      </c>
      <c r="K2624" s="878">
        <v>0</v>
      </c>
    </row>
    <row r="2625" spans="1:11" ht="22.5" customHeight="1" x14ac:dyDescent="0.25">
      <c r="A2625" s="816" t="s">
        <v>313</v>
      </c>
      <c r="B2625" s="880">
        <v>2025</v>
      </c>
      <c r="C2625" s="816" t="s">
        <v>1907</v>
      </c>
      <c r="D2625" s="816" t="s">
        <v>1908</v>
      </c>
      <c r="E2625" s="816" t="s">
        <v>3320</v>
      </c>
      <c r="F2625" s="826">
        <v>0</v>
      </c>
      <c r="G2625" s="880">
        <v>0</v>
      </c>
      <c r="H2625" s="465"/>
      <c r="I2625" s="465"/>
      <c r="J2625" s="826">
        <v>0</v>
      </c>
      <c r="K2625" s="878">
        <v>0</v>
      </c>
    </row>
    <row r="2626" spans="1:11" ht="22.5" customHeight="1" x14ac:dyDescent="0.25">
      <c r="A2626" s="816" t="s">
        <v>313</v>
      </c>
      <c r="B2626" s="880">
        <v>2025</v>
      </c>
      <c r="C2626" s="816" t="s">
        <v>1910</v>
      </c>
      <c r="D2626" s="816" t="s">
        <v>1911</v>
      </c>
      <c r="E2626" s="816" t="s">
        <v>3321</v>
      </c>
      <c r="F2626" s="826">
        <v>0</v>
      </c>
      <c r="G2626" s="880">
        <v>0</v>
      </c>
      <c r="H2626" s="465"/>
      <c r="I2626" s="465"/>
      <c r="J2626" s="826">
        <v>0</v>
      </c>
      <c r="K2626" s="878">
        <v>0</v>
      </c>
    </row>
    <row r="2627" spans="1:11" ht="22.5" customHeight="1" x14ac:dyDescent="0.25">
      <c r="A2627" s="816" t="s">
        <v>313</v>
      </c>
      <c r="B2627" s="880">
        <v>2025</v>
      </c>
      <c r="C2627" s="816" t="s">
        <v>1913</v>
      </c>
      <c r="D2627" s="816" t="s">
        <v>1914</v>
      </c>
      <c r="E2627" s="816" t="s">
        <v>3322</v>
      </c>
      <c r="F2627" s="826">
        <v>-117448.75</v>
      </c>
      <c r="G2627" s="880">
        <v>1</v>
      </c>
      <c r="H2627" s="826">
        <v>-109091.05</v>
      </c>
      <c r="I2627" s="826">
        <v>-8357.7000000000007</v>
      </c>
      <c r="J2627" s="826">
        <v>-117448.75</v>
      </c>
      <c r="K2627" s="878">
        <v>-117448.75</v>
      </c>
    </row>
    <row r="2628" spans="1:11" ht="22.5" customHeight="1" x14ac:dyDescent="0.25">
      <c r="A2628" s="816" t="s">
        <v>313</v>
      </c>
      <c r="B2628" s="880">
        <v>2025</v>
      </c>
      <c r="C2628" s="816" t="s">
        <v>1913</v>
      </c>
      <c r="D2628" s="816" t="s">
        <v>1916</v>
      </c>
      <c r="E2628" s="816" t="s">
        <v>3322</v>
      </c>
      <c r="F2628" s="826">
        <v>0</v>
      </c>
      <c r="G2628" s="880">
        <v>0</v>
      </c>
      <c r="H2628" s="465"/>
      <c r="I2628" s="465"/>
      <c r="J2628" s="826">
        <v>0</v>
      </c>
      <c r="K2628" s="881">
        <v>0</v>
      </c>
    </row>
    <row r="2629" spans="1:11" ht="22.5" customHeight="1" x14ac:dyDescent="0.25">
      <c r="A2629" s="816" t="s">
        <v>313</v>
      </c>
      <c r="B2629" s="880">
        <v>2025</v>
      </c>
      <c r="C2629" s="816" t="s">
        <v>1913</v>
      </c>
      <c r="D2629" s="816" t="s">
        <v>1917</v>
      </c>
      <c r="E2629" s="816" t="s">
        <v>3322</v>
      </c>
      <c r="F2629" s="826">
        <v>0</v>
      </c>
      <c r="G2629" s="880">
        <v>0</v>
      </c>
      <c r="H2629" s="465"/>
      <c r="I2629" s="465"/>
      <c r="J2629" s="826">
        <v>0</v>
      </c>
      <c r="K2629" s="881">
        <v>0</v>
      </c>
    </row>
    <row r="2630" spans="1:11" ht="22.5" customHeight="1" x14ac:dyDescent="0.25">
      <c r="A2630" s="816" t="s">
        <v>313</v>
      </c>
      <c r="B2630" s="880">
        <v>2025</v>
      </c>
      <c r="C2630" s="816" t="s">
        <v>1913</v>
      </c>
      <c r="D2630" s="816" t="s">
        <v>1918</v>
      </c>
      <c r="E2630" s="816" t="s">
        <v>3322</v>
      </c>
      <c r="F2630" s="826">
        <v>0</v>
      </c>
      <c r="G2630" s="880">
        <v>0</v>
      </c>
      <c r="H2630" s="465"/>
      <c r="I2630" s="465"/>
      <c r="J2630" s="826">
        <v>0</v>
      </c>
      <c r="K2630" s="881">
        <v>1263.99</v>
      </c>
    </row>
    <row r="2631" spans="1:11" ht="22.5" customHeight="1" x14ac:dyDescent="0.25">
      <c r="A2631" s="816" t="s">
        <v>313</v>
      </c>
      <c r="B2631" s="880">
        <v>2025</v>
      </c>
      <c r="C2631" s="816" t="s">
        <v>1913</v>
      </c>
      <c r="D2631" s="816" t="s">
        <v>1919</v>
      </c>
      <c r="E2631" s="816" t="s">
        <v>3322</v>
      </c>
      <c r="F2631" s="826">
        <v>0</v>
      </c>
      <c r="G2631" s="880">
        <v>0</v>
      </c>
      <c r="H2631" s="465"/>
      <c r="I2631" s="465"/>
      <c r="J2631" s="826">
        <v>0</v>
      </c>
      <c r="K2631" s="881">
        <v>93328.639999999999</v>
      </c>
    </row>
    <row r="2632" spans="1:11" ht="22.5" customHeight="1" x14ac:dyDescent="0.25">
      <c r="A2632" s="816" t="s">
        <v>313</v>
      </c>
      <c r="B2632" s="880">
        <v>2025</v>
      </c>
      <c r="C2632" s="816" t="s">
        <v>1920</v>
      </c>
      <c r="D2632" s="816" t="s">
        <v>1921</v>
      </c>
      <c r="E2632" s="816" t="s">
        <v>3323</v>
      </c>
      <c r="F2632" s="826">
        <v>0</v>
      </c>
      <c r="G2632" s="880">
        <v>0</v>
      </c>
      <c r="H2632" s="465"/>
      <c r="I2632" s="465"/>
      <c r="J2632" s="826">
        <v>0</v>
      </c>
      <c r="K2632" s="878">
        <v>0</v>
      </c>
    </row>
    <row r="2633" spans="1:11" ht="22.5" customHeight="1" x14ac:dyDescent="0.25">
      <c r="A2633" s="816" t="s">
        <v>313</v>
      </c>
      <c r="B2633" s="880">
        <v>2025</v>
      </c>
      <c r="C2633" s="816" t="s">
        <v>1923</v>
      </c>
      <c r="D2633" s="816" t="s">
        <v>143</v>
      </c>
      <c r="E2633" s="816" t="s">
        <v>3324</v>
      </c>
      <c r="F2633" s="826">
        <v>113115.17</v>
      </c>
      <c r="G2633" s="880">
        <v>1</v>
      </c>
      <c r="H2633" s="826">
        <v>106286.54</v>
      </c>
      <c r="I2633" s="826">
        <v>6828.63</v>
      </c>
      <c r="J2633" s="826">
        <v>113115.17</v>
      </c>
      <c r="K2633" s="878">
        <v>113115.17</v>
      </c>
    </row>
    <row r="2634" spans="1:11" ht="22.5" customHeight="1" x14ac:dyDescent="0.25">
      <c r="A2634" s="816" t="s">
        <v>313</v>
      </c>
      <c r="B2634" s="880">
        <v>2025</v>
      </c>
      <c r="C2634" s="816" t="s">
        <v>1925</v>
      </c>
      <c r="D2634" s="816" t="s">
        <v>144</v>
      </c>
      <c r="E2634" s="816" t="s">
        <v>3325</v>
      </c>
      <c r="F2634" s="826">
        <v>74117.16</v>
      </c>
      <c r="G2634" s="880">
        <v>1</v>
      </c>
      <c r="H2634" s="826">
        <v>67631</v>
      </c>
      <c r="I2634" s="826">
        <v>6486.16</v>
      </c>
      <c r="J2634" s="826">
        <v>74117.16</v>
      </c>
      <c r="K2634" s="878">
        <v>74117.16</v>
      </c>
    </row>
    <row r="2635" spans="1:11" ht="22.5" customHeight="1" x14ac:dyDescent="0.25">
      <c r="A2635" s="816" t="s">
        <v>313</v>
      </c>
      <c r="B2635" s="880">
        <v>2025</v>
      </c>
      <c r="C2635" s="816" t="s">
        <v>1927</v>
      </c>
      <c r="D2635" s="816" t="s">
        <v>1928</v>
      </c>
      <c r="E2635" s="816" t="s">
        <v>3326</v>
      </c>
      <c r="F2635" s="826">
        <v>-18694.82</v>
      </c>
      <c r="G2635" s="880">
        <v>1</v>
      </c>
      <c r="H2635" s="826">
        <v>-16633.59</v>
      </c>
      <c r="I2635" s="826">
        <v>-2061.23</v>
      </c>
      <c r="J2635" s="826">
        <v>-18694.82</v>
      </c>
      <c r="K2635" s="878">
        <v>-18694.82</v>
      </c>
    </row>
    <row r="2636" spans="1:11" ht="22.5" customHeight="1" x14ac:dyDescent="0.25">
      <c r="A2636" s="816" t="s">
        <v>313</v>
      </c>
      <c r="B2636" s="880">
        <v>2025</v>
      </c>
      <c r="C2636" s="816" t="s">
        <v>1930</v>
      </c>
      <c r="D2636" s="816" t="s">
        <v>156</v>
      </c>
      <c r="E2636" s="816" t="s">
        <v>3327</v>
      </c>
      <c r="F2636" s="826">
        <v>159312.6</v>
      </c>
      <c r="G2636" s="880">
        <v>1</v>
      </c>
      <c r="H2636" s="826">
        <v>152827.59</v>
      </c>
      <c r="I2636" s="826">
        <v>6485.01</v>
      </c>
      <c r="J2636" s="826">
        <v>159312.6</v>
      </c>
      <c r="K2636" s="878">
        <v>159312.6</v>
      </c>
    </row>
    <row r="2637" spans="1:11" ht="22.5" customHeight="1" x14ac:dyDescent="0.25">
      <c r="A2637" s="816" t="s">
        <v>313</v>
      </c>
      <c r="B2637" s="880">
        <v>2025</v>
      </c>
      <c r="C2637" s="816" t="s">
        <v>1932</v>
      </c>
      <c r="D2637" s="816" t="s">
        <v>1933</v>
      </c>
      <c r="E2637" s="816" t="s">
        <v>3328</v>
      </c>
      <c r="F2637" s="826">
        <v>0</v>
      </c>
      <c r="G2637" s="880">
        <v>0</v>
      </c>
      <c r="H2637" s="465"/>
      <c r="I2637" s="465"/>
      <c r="J2637" s="826">
        <v>0</v>
      </c>
      <c r="K2637" s="878">
        <v>0</v>
      </c>
    </row>
    <row r="2638" spans="1:11" ht="22.5" customHeight="1" x14ac:dyDescent="0.25">
      <c r="A2638" s="816" t="s">
        <v>313</v>
      </c>
      <c r="B2638" s="880">
        <v>2025</v>
      </c>
      <c r="C2638" s="816" t="s">
        <v>1935</v>
      </c>
      <c r="D2638" s="816" t="s">
        <v>1936</v>
      </c>
      <c r="E2638" s="816" t="s">
        <v>8706</v>
      </c>
      <c r="F2638" s="826">
        <v>0</v>
      </c>
      <c r="G2638" s="880">
        <v>1</v>
      </c>
      <c r="H2638" s="465"/>
      <c r="I2638" s="465"/>
      <c r="J2638" s="826">
        <v>0</v>
      </c>
      <c r="K2638" s="878">
        <v>0</v>
      </c>
    </row>
    <row r="2639" spans="1:11" ht="22.5" customHeight="1" x14ac:dyDescent="0.25">
      <c r="A2639" s="816" t="s">
        <v>313</v>
      </c>
      <c r="B2639" s="880">
        <v>2025</v>
      </c>
      <c r="C2639" s="816" t="s">
        <v>1935</v>
      </c>
      <c r="D2639" s="816" t="s">
        <v>1937</v>
      </c>
      <c r="E2639" s="816" t="s">
        <v>8707</v>
      </c>
      <c r="F2639" s="826">
        <v>0</v>
      </c>
      <c r="G2639" s="880">
        <v>1</v>
      </c>
      <c r="H2639" s="826">
        <v>21.29</v>
      </c>
      <c r="I2639" s="465"/>
      <c r="J2639" s="826">
        <v>21.29</v>
      </c>
      <c r="K2639" s="878">
        <v>21.29</v>
      </c>
    </row>
    <row r="2640" spans="1:11" ht="22.5" customHeight="1" x14ac:dyDescent="0.25">
      <c r="A2640" s="816" t="s">
        <v>313</v>
      </c>
      <c r="B2640" s="880">
        <v>2025</v>
      </c>
      <c r="C2640" s="816" t="s">
        <v>1935</v>
      </c>
      <c r="D2640" s="816" t="s">
        <v>1938</v>
      </c>
      <c r="E2640" s="816" t="s">
        <v>8708</v>
      </c>
      <c r="F2640" s="826">
        <v>0</v>
      </c>
      <c r="G2640" s="880">
        <v>1</v>
      </c>
      <c r="H2640" s="465"/>
      <c r="I2640" s="465"/>
      <c r="J2640" s="826">
        <v>0</v>
      </c>
      <c r="K2640" s="878">
        <v>0</v>
      </c>
    </row>
    <row r="2641" spans="1:11" ht="22.5" customHeight="1" x14ac:dyDescent="0.25">
      <c r="A2641" s="816" t="s">
        <v>313</v>
      </c>
      <c r="B2641" s="880">
        <v>2025</v>
      </c>
      <c r="C2641" s="816" t="s">
        <v>1935</v>
      </c>
      <c r="D2641" s="816" t="s">
        <v>1939</v>
      </c>
      <c r="E2641" s="816" t="s">
        <v>8709</v>
      </c>
      <c r="F2641" s="826">
        <v>0</v>
      </c>
      <c r="G2641" s="880">
        <v>1</v>
      </c>
      <c r="H2641" s="465"/>
      <c r="I2641" s="465"/>
      <c r="J2641" s="826">
        <v>0</v>
      </c>
      <c r="K2641" s="878">
        <v>0</v>
      </c>
    </row>
    <row r="2642" spans="1:11" ht="22.5" customHeight="1" x14ac:dyDescent="0.25">
      <c r="A2642" s="816" t="s">
        <v>313</v>
      </c>
      <c r="B2642" s="880">
        <v>2025</v>
      </c>
      <c r="C2642" s="816" t="s">
        <v>1935</v>
      </c>
      <c r="D2642" s="816" t="s">
        <v>1940</v>
      </c>
      <c r="E2642" s="816" t="s">
        <v>8710</v>
      </c>
      <c r="F2642" s="826">
        <v>0</v>
      </c>
      <c r="G2642" s="880">
        <v>1</v>
      </c>
      <c r="H2642" s="465"/>
      <c r="I2642" s="465"/>
      <c r="J2642" s="826">
        <v>0</v>
      </c>
      <c r="K2642" s="878">
        <v>0</v>
      </c>
    </row>
    <row r="2643" spans="1:11" ht="22.5" customHeight="1" x14ac:dyDescent="0.25">
      <c r="A2643" s="816" t="s">
        <v>313</v>
      </c>
      <c r="B2643" s="880">
        <v>2025</v>
      </c>
      <c r="C2643" s="816" t="s">
        <v>1935</v>
      </c>
      <c r="D2643" s="816" t="s">
        <v>1941</v>
      </c>
      <c r="E2643" s="816" t="s">
        <v>8711</v>
      </c>
      <c r="F2643" s="826">
        <v>0</v>
      </c>
      <c r="G2643" s="880">
        <v>1</v>
      </c>
      <c r="H2643" s="465"/>
      <c r="I2643" s="465"/>
      <c r="J2643" s="826">
        <v>0</v>
      </c>
      <c r="K2643" s="878">
        <v>0</v>
      </c>
    </row>
    <row r="2644" spans="1:11" ht="22.5" customHeight="1" x14ac:dyDescent="0.25">
      <c r="A2644" s="816" t="s">
        <v>313</v>
      </c>
      <c r="B2644" s="880">
        <v>2025</v>
      </c>
      <c r="C2644" s="816" t="s">
        <v>1935</v>
      </c>
      <c r="D2644" s="816" t="s">
        <v>1942</v>
      </c>
      <c r="E2644" s="816" t="s">
        <v>8712</v>
      </c>
      <c r="F2644" s="826">
        <v>0</v>
      </c>
      <c r="G2644" s="880">
        <v>1</v>
      </c>
      <c r="H2644" s="465"/>
      <c r="I2644" s="465"/>
      <c r="J2644" s="826">
        <v>0</v>
      </c>
      <c r="K2644" s="878">
        <v>0</v>
      </c>
    </row>
    <row r="2645" spans="1:11" ht="22.5" customHeight="1" x14ac:dyDescent="0.25">
      <c r="A2645" s="816" t="s">
        <v>313</v>
      </c>
      <c r="B2645" s="880">
        <v>2025</v>
      </c>
      <c r="C2645" s="816" t="s">
        <v>1935</v>
      </c>
      <c r="D2645" s="816" t="s">
        <v>1943</v>
      </c>
      <c r="E2645" s="816" t="s">
        <v>8713</v>
      </c>
      <c r="F2645" s="826">
        <v>0</v>
      </c>
      <c r="G2645" s="880">
        <v>1</v>
      </c>
      <c r="H2645" s="465"/>
      <c r="I2645" s="465"/>
      <c r="J2645" s="826">
        <v>0</v>
      </c>
      <c r="K2645" s="878">
        <v>0</v>
      </c>
    </row>
    <row r="2646" spans="1:11" ht="22.5" customHeight="1" x14ac:dyDescent="0.25">
      <c r="A2646" s="816" t="s">
        <v>313</v>
      </c>
      <c r="B2646" s="880">
        <v>2025</v>
      </c>
      <c r="C2646" s="816" t="s">
        <v>1935</v>
      </c>
      <c r="D2646" s="816" t="s">
        <v>1944</v>
      </c>
      <c r="E2646" s="816" t="s">
        <v>8714</v>
      </c>
      <c r="F2646" s="826">
        <v>0</v>
      </c>
      <c r="G2646" s="880">
        <v>1</v>
      </c>
      <c r="H2646" s="465"/>
      <c r="I2646" s="465"/>
      <c r="J2646" s="826">
        <v>0</v>
      </c>
      <c r="K2646" s="878">
        <v>0</v>
      </c>
    </row>
    <row r="2647" spans="1:11" ht="22.5" customHeight="1" x14ac:dyDescent="0.25">
      <c r="A2647" s="816" t="s">
        <v>313</v>
      </c>
      <c r="B2647" s="880">
        <v>2025</v>
      </c>
      <c r="C2647" s="816" t="s">
        <v>1935</v>
      </c>
      <c r="D2647" s="816" t="s">
        <v>1945</v>
      </c>
      <c r="E2647" s="816" t="s">
        <v>8715</v>
      </c>
      <c r="F2647" s="826">
        <v>0</v>
      </c>
      <c r="G2647" s="880">
        <v>1</v>
      </c>
      <c r="H2647" s="465"/>
      <c r="I2647" s="465"/>
      <c r="J2647" s="826">
        <v>0</v>
      </c>
      <c r="K2647" s="878">
        <v>0</v>
      </c>
    </row>
    <row r="2648" spans="1:11" ht="22.5" customHeight="1" x14ac:dyDescent="0.25">
      <c r="A2648" s="816" t="s">
        <v>313</v>
      </c>
      <c r="B2648" s="880">
        <v>2025</v>
      </c>
      <c r="C2648" s="816" t="s">
        <v>1935</v>
      </c>
      <c r="D2648" s="816" t="s">
        <v>1946</v>
      </c>
      <c r="E2648" s="816" t="s">
        <v>8716</v>
      </c>
      <c r="F2648" s="826">
        <v>0</v>
      </c>
      <c r="G2648" s="880">
        <v>1</v>
      </c>
      <c r="H2648" s="465"/>
      <c r="I2648" s="826">
        <v>7.63</v>
      </c>
      <c r="J2648" s="826">
        <v>7.63</v>
      </c>
      <c r="K2648" s="878">
        <v>7.63</v>
      </c>
    </row>
    <row r="2649" spans="1:11" ht="22.5" customHeight="1" x14ac:dyDescent="0.25">
      <c r="A2649" s="816" t="s">
        <v>313</v>
      </c>
      <c r="B2649" s="880">
        <v>2025</v>
      </c>
      <c r="C2649" s="816" t="s">
        <v>1935</v>
      </c>
      <c r="D2649" s="816" t="s">
        <v>1947</v>
      </c>
      <c r="E2649" s="816" t="s">
        <v>8717</v>
      </c>
      <c r="F2649" s="826">
        <v>0</v>
      </c>
      <c r="G2649" s="880">
        <v>1</v>
      </c>
      <c r="H2649" s="465"/>
      <c r="I2649" s="465"/>
      <c r="J2649" s="826">
        <v>0</v>
      </c>
      <c r="K2649" s="878">
        <v>0</v>
      </c>
    </row>
    <row r="2650" spans="1:11" ht="22.5" customHeight="1" x14ac:dyDescent="0.25">
      <c r="A2650" s="816" t="s">
        <v>313</v>
      </c>
      <c r="B2650" s="880">
        <v>2025</v>
      </c>
      <c r="C2650" s="816" t="s">
        <v>1935</v>
      </c>
      <c r="D2650" s="816" t="s">
        <v>1948</v>
      </c>
      <c r="E2650" s="816" t="s">
        <v>8718</v>
      </c>
      <c r="F2650" s="826">
        <v>0</v>
      </c>
      <c r="G2650" s="880">
        <v>1</v>
      </c>
      <c r="H2650" s="465"/>
      <c r="I2650" s="465"/>
      <c r="J2650" s="826">
        <v>0</v>
      </c>
      <c r="K2650" s="878">
        <v>0</v>
      </c>
    </row>
    <row r="2651" spans="1:11" ht="22.5" customHeight="1" x14ac:dyDescent="0.25">
      <c r="A2651" s="816" t="s">
        <v>313</v>
      </c>
      <c r="B2651" s="880">
        <v>2025</v>
      </c>
      <c r="C2651" s="816" t="s">
        <v>1935</v>
      </c>
      <c r="D2651" s="816" t="s">
        <v>1949</v>
      </c>
      <c r="E2651" s="816" t="s">
        <v>8719</v>
      </c>
      <c r="F2651" s="826">
        <v>0</v>
      </c>
      <c r="G2651" s="880">
        <v>1</v>
      </c>
      <c r="H2651" s="826">
        <v>-55462.87</v>
      </c>
      <c r="I2651" s="826">
        <v>374.01</v>
      </c>
      <c r="J2651" s="826">
        <v>-55088.86</v>
      </c>
      <c r="K2651" s="878">
        <v>-55088.86</v>
      </c>
    </row>
    <row r="2652" spans="1:11" ht="22.5" customHeight="1" x14ac:dyDescent="0.25">
      <c r="A2652" s="816" t="s">
        <v>313</v>
      </c>
      <c r="B2652" s="880">
        <v>2025</v>
      </c>
      <c r="C2652" s="816" t="s">
        <v>1935</v>
      </c>
      <c r="D2652" s="816" t="s">
        <v>1950</v>
      </c>
      <c r="E2652" s="816" t="s">
        <v>8720</v>
      </c>
      <c r="F2652" s="826">
        <v>0</v>
      </c>
      <c r="G2652" s="880">
        <v>1</v>
      </c>
      <c r="H2652" s="826">
        <v>-4833.91</v>
      </c>
      <c r="I2652" s="826">
        <v>15893.43</v>
      </c>
      <c r="J2652" s="826">
        <v>11059.52</v>
      </c>
      <c r="K2652" s="878">
        <v>11059.52</v>
      </c>
    </row>
    <row r="2653" spans="1:11" ht="22.5" customHeight="1" x14ac:dyDescent="0.25">
      <c r="A2653" s="816" t="s">
        <v>313</v>
      </c>
      <c r="B2653" s="880">
        <v>2025</v>
      </c>
      <c r="C2653" s="816" t="s">
        <v>1935</v>
      </c>
      <c r="D2653" s="816" t="s">
        <v>1951</v>
      </c>
      <c r="E2653" s="816" t="s">
        <v>8721</v>
      </c>
      <c r="F2653" s="826">
        <v>0</v>
      </c>
      <c r="G2653" s="880">
        <v>1</v>
      </c>
      <c r="H2653" s="826">
        <v>-61878.53</v>
      </c>
      <c r="I2653" s="826">
        <v>30146.65</v>
      </c>
      <c r="J2653" s="826">
        <v>-31731.88</v>
      </c>
      <c r="K2653" s="878">
        <v>-31731.88</v>
      </c>
    </row>
    <row r="2654" spans="1:11" ht="22.5" customHeight="1" x14ac:dyDescent="0.25">
      <c r="A2654" s="816" t="s">
        <v>313</v>
      </c>
      <c r="B2654" s="880">
        <v>2025</v>
      </c>
      <c r="C2654" s="816" t="s">
        <v>1935</v>
      </c>
      <c r="D2654" s="816" t="s">
        <v>7801</v>
      </c>
      <c r="E2654" s="816" t="s">
        <v>8722</v>
      </c>
      <c r="F2654" s="826">
        <v>0</v>
      </c>
      <c r="G2654" s="880">
        <v>1</v>
      </c>
      <c r="H2654" s="826">
        <v>72761.19</v>
      </c>
      <c r="I2654" s="826">
        <v>27088.45</v>
      </c>
      <c r="J2654" s="826">
        <v>99849.64</v>
      </c>
      <c r="K2654" s="878">
        <v>99849.64</v>
      </c>
    </row>
    <row r="2655" spans="1:11" ht="22.5" customHeight="1" x14ac:dyDescent="0.25">
      <c r="A2655" s="816" t="s">
        <v>313</v>
      </c>
      <c r="B2655" s="880">
        <v>2025</v>
      </c>
      <c r="C2655" s="816" t="s">
        <v>1935</v>
      </c>
      <c r="D2655" s="816" t="s">
        <v>1952</v>
      </c>
      <c r="E2655" s="816" t="s">
        <v>8723</v>
      </c>
      <c r="F2655" s="826">
        <v>24117.34</v>
      </c>
      <c r="G2655" s="880">
        <v>0</v>
      </c>
      <c r="H2655" s="465"/>
      <c r="I2655" s="465"/>
      <c r="J2655" s="826">
        <v>0</v>
      </c>
      <c r="K2655" s="878">
        <v>24117.34</v>
      </c>
    </row>
    <row r="2656" spans="1:11" ht="22.5" customHeight="1" x14ac:dyDescent="0.25">
      <c r="A2656" s="816" t="s">
        <v>313</v>
      </c>
      <c r="B2656" s="880">
        <v>2025</v>
      </c>
      <c r="C2656" s="816" t="s">
        <v>1953</v>
      </c>
      <c r="D2656" s="816" t="s">
        <v>1954</v>
      </c>
      <c r="E2656" s="816" t="s">
        <v>3329</v>
      </c>
      <c r="F2656" s="826">
        <v>0</v>
      </c>
      <c r="G2656" s="880">
        <v>0</v>
      </c>
      <c r="H2656" s="465"/>
      <c r="I2656" s="465"/>
      <c r="J2656" s="826">
        <v>0</v>
      </c>
      <c r="K2656" s="878">
        <v>0</v>
      </c>
    </row>
    <row r="2657" spans="1:11" ht="22.5" customHeight="1" x14ac:dyDescent="0.25">
      <c r="A2657" s="816" t="s">
        <v>315</v>
      </c>
      <c r="B2657" s="880">
        <v>2025</v>
      </c>
      <c r="C2657" s="816" t="s">
        <v>1854</v>
      </c>
      <c r="D2657" s="816" t="s">
        <v>1855</v>
      </c>
      <c r="E2657" s="816" t="s">
        <v>3330</v>
      </c>
      <c r="F2657" s="826">
        <v>-726179.85</v>
      </c>
      <c r="G2657" s="880">
        <v>0</v>
      </c>
      <c r="H2657" s="465"/>
      <c r="I2657" s="465"/>
      <c r="J2657" s="826">
        <v>0</v>
      </c>
      <c r="K2657" s="878">
        <v>-726179.85</v>
      </c>
    </row>
    <row r="2658" spans="1:11" ht="22.5" customHeight="1" x14ac:dyDescent="0.25">
      <c r="A2658" s="816" t="s">
        <v>315</v>
      </c>
      <c r="B2658" s="880">
        <v>2025</v>
      </c>
      <c r="C2658" s="816" t="s">
        <v>7746</v>
      </c>
      <c r="D2658" s="816" t="s">
        <v>7747</v>
      </c>
      <c r="E2658" s="816" t="s">
        <v>7798</v>
      </c>
      <c r="F2658" s="826">
        <v>0</v>
      </c>
      <c r="G2658" s="880">
        <v>0</v>
      </c>
      <c r="H2658" s="465"/>
      <c r="I2658" s="465"/>
      <c r="J2658" s="826">
        <v>0</v>
      </c>
      <c r="K2658" s="878">
        <v>0</v>
      </c>
    </row>
    <row r="2659" spans="1:11" ht="22.5" customHeight="1" x14ac:dyDescent="0.25">
      <c r="A2659" s="816" t="s">
        <v>315</v>
      </c>
      <c r="B2659" s="880">
        <v>2025</v>
      </c>
      <c r="C2659" s="816" t="s">
        <v>1857</v>
      </c>
      <c r="D2659" s="816" t="s">
        <v>1858</v>
      </c>
      <c r="E2659" s="816" t="s">
        <v>3331</v>
      </c>
      <c r="F2659" s="826">
        <v>0</v>
      </c>
      <c r="G2659" s="880">
        <v>0</v>
      </c>
      <c r="H2659" s="465"/>
      <c r="I2659" s="465"/>
      <c r="J2659" s="826">
        <v>0</v>
      </c>
      <c r="K2659" s="878">
        <v>0</v>
      </c>
    </row>
    <row r="2660" spans="1:11" ht="22.5" customHeight="1" x14ac:dyDescent="0.25">
      <c r="A2660" s="816" t="s">
        <v>315</v>
      </c>
      <c r="B2660" s="880">
        <v>2025</v>
      </c>
      <c r="C2660" s="816" t="s">
        <v>1860</v>
      </c>
      <c r="D2660" s="816" t="s">
        <v>1861</v>
      </c>
      <c r="E2660" s="816" t="s">
        <v>3332</v>
      </c>
      <c r="F2660" s="826">
        <v>0</v>
      </c>
      <c r="G2660" s="880">
        <v>0</v>
      </c>
      <c r="H2660" s="465"/>
      <c r="I2660" s="465"/>
      <c r="J2660" s="826">
        <v>0</v>
      </c>
      <c r="K2660" s="878">
        <v>0</v>
      </c>
    </row>
    <row r="2661" spans="1:11" ht="22.5" customHeight="1" x14ac:dyDescent="0.25">
      <c r="A2661" s="816" t="s">
        <v>315</v>
      </c>
      <c r="B2661" s="880">
        <v>2025</v>
      </c>
      <c r="C2661" s="816" t="s">
        <v>1863</v>
      </c>
      <c r="D2661" s="816" t="s">
        <v>1864</v>
      </c>
      <c r="E2661" s="816" t="s">
        <v>3333</v>
      </c>
      <c r="F2661" s="826">
        <v>0</v>
      </c>
      <c r="G2661" s="880">
        <v>0</v>
      </c>
      <c r="H2661" s="465"/>
      <c r="I2661" s="465"/>
      <c r="J2661" s="826">
        <v>0</v>
      </c>
      <c r="K2661" s="878">
        <v>0</v>
      </c>
    </row>
    <row r="2662" spans="1:11" ht="22.5" customHeight="1" x14ac:dyDescent="0.25">
      <c r="A2662" s="816" t="s">
        <v>315</v>
      </c>
      <c r="B2662" s="880">
        <v>2025</v>
      </c>
      <c r="C2662" s="816" t="s">
        <v>1866</v>
      </c>
      <c r="D2662" s="816" t="s">
        <v>1867</v>
      </c>
      <c r="E2662" s="816" t="s">
        <v>3334</v>
      </c>
      <c r="F2662" s="826">
        <v>0</v>
      </c>
      <c r="G2662" s="880">
        <v>0</v>
      </c>
      <c r="H2662" s="465"/>
      <c r="I2662" s="465"/>
      <c r="J2662" s="826">
        <v>0</v>
      </c>
      <c r="K2662" s="878">
        <v>0</v>
      </c>
    </row>
    <row r="2663" spans="1:11" ht="22.5" customHeight="1" x14ac:dyDescent="0.25">
      <c r="A2663" s="816" t="s">
        <v>315</v>
      </c>
      <c r="B2663" s="880">
        <v>2025</v>
      </c>
      <c r="C2663" s="816" t="s">
        <v>1869</v>
      </c>
      <c r="D2663" s="816" t="s">
        <v>1870</v>
      </c>
      <c r="E2663" s="816" t="s">
        <v>3335</v>
      </c>
      <c r="F2663" s="826">
        <v>0</v>
      </c>
      <c r="G2663" s="880">
        <v>0</v>
      </c>
      <c r="H2663" s="465"/>
      <c r="I2663" s="465"/>
      <c r="J2663" s="826">
        <v>0</v>
      </c>
      <c r="K2663" s="878">
        <v>0</v>
      </c>
    </row>
    <row r="2664" spans="1:11" ht="22.5" customHeight="1" x14ac:dyDescent="0.25">
      <c r="A2664" s="816" t="s">
        <v>315</v>
      </c>
      <c r="B2664" s="880">
        <v>2025</v>
      </c>
      <c r="C2664" s="816" t="s">
        <v>1872</v>
      </c>
      <c r="D2664" s="816" t="s">
        <v>1873</v>
      </c>
      <c r="E2664" s="816" t="s">
        <v>3336</v>
      </c>
      <c r="F2664" s="826">
        <v>0</v>
      </c>
      <c r="G2664" s="880">
        <v>0</v>
      </c>
      <c r="H2664" s="465"/>
      <c r="I2664" s="465"/>
      <c r="J2664" s="826">
        <v>0</v>
      </c>
      <c r="K2664" s="878">
        <v>0</v>
      </c>
    </row>
    <row r="2665" spans="1:11" ht="22.5" customHeight="1" x14ac:dyDescent="0.25">
      <c r="A2665" s="816" t="s">
        <v>315</v>
      </c>
      <c r="B2665" s="880">
        <v>2025</v>
      </c>
      <c r="C2665" s="816" t="s">
        <v>1875</v>
      </c>
      <c r="D2665" s="816" t="s">
        <v>1876</v>
      </c>
      <c r="E2665" s="816" t="s">
        <v>3337</v>
      </c>
      <c r="F2665" s="826">
        <v>0</v>
      </c>
      <c r="G2665" s="880">
        <v>0</v>
      </c>
      <c r="H2665" s="465"/>
      <c r="I2665" s="465"/>
      <c r="J2665" s="826">
        <v>0</v>
      </c>
      <c r="K2665" s="878">
        <v>0</v>
      </c>
    </row>
    <row r="2666" spans="1:11" ht="22.5" customHeight="1" x14ac:dyDescent="0.25">
      <c r="A2666" s="816" t="s">
        <v>315</v>
      </c>
      <c r="B2666" s="880">
        <v>2025</v>
      </c>
      <c r="C2666" s="816" t="s">
        <v>1878</v>
      </c>
      <c r="D2666" s="816" t="s">
        <v>1879</v>
      </c>
      <c r="E2666" s="816" t="s">
        <v>3338</v>
      </c>
      <c r="F2666" s="826">
        <v>0</v>
      </c>
      <c r="G2666" s="880">
        <v>0</v>
      </c>
      <c r="H2666" s="465"/>
      <c r="I2666" s="465"/>
      <c r="J2666" s="826">
        <v>0</v>
      </c>
      <c r="K2666" s="878">
        <v>0</v>
      </c>
    </row>
    <row r="2667" spans="1:11" ht="22.5" customHeight="1" x14ac:dyDescent="0.25">
      <c r="A2667" s="816" t="s">
        <v>315</v>
      </c>
      <c r="B2667" s="880">
        <v>2025</v>
      </c>
      <c r="C2667" s="816" t="s">
        <v>1881</v>
      </c>
      <c r="D2667" s="816" t="s">
        <v>1882</v>
      </c>
      <c r="E2667" s="816" t="s">
        <v>3339</v>
      </c>
      <c r="F2667" s="826">
        <v>0</v>
      </c>
      <c r="G2667" s="880">
        <v>0</v>
      </c>
      <c r="H2667" s="465"/>
      <c r="I2667" s="465"/>
      <c r="J2667" s="826">
        <v>0</v>
      </c>
      <c r="K2667" s="878">
        <v>0</v>
      </c>
    </row>
    <row r="2668" spans="1:11" ht="22.5" customHeight="1" x14ac:dyDescent="0.25">
      <c r="A2668" s="816" t="s">
        <v>315</v>
      </c>
      <c r="B2668" s="880">
        <v>2025</v>
      </c>
      <c r="C2668" s="816" t="s">
        <v>1884</v>
      </c>
      <c r="D2668" s="816" t="s">
        <v>1885</v>
      </c>
      <c r="E2668" s="816" t="s">
        <v>3340</v>
      </c>
      <c r="F2668" s="826">
        <v>0</v>
      </c>
      <c r="G2668" s="880">
        <v>0</v>
      </c>
      <c r="H2668" s="465"/>
      <c r="I2668" s="465"/>
      <c r="J2668" s="826">
        <v>0</v>
      </c>
      <c r="K2668" s="878">
        <v>0</v>
      </c>
    </row>
    <row r="2669" spans="1:11" ht="22.5" customHeight="1" x14ac:dyDescent="0.25">
      <c r="A2669" s="816" t="s">
        <v>315</v>
      </c>
      <c r="B2669" s="880">
        <v>2025</v>
      </c>
      <c r="C2669" s="816" t="s">
        <v>1887</v>
      </c>
      <c r="D2669" s="816" t="s">
        <v>138</v>
      </c>
      <c r="E2669" s="816" t="s">
        <v>3341</v>
      </c>
      <c r="F2669" s="826">
        <v>0</v>
      </c>
      <c r="G2669" s="880">
        <v>1</v>
      </c>
      <c r="H2669" s="465"/>
      <c r="I2669" s="465"/>
      <c r="J2669" s="826">
        <v>0</v>
      </c>
      <c r="K2669" s="878">
        <v>0</v>
      </c>
    </row>
    <row r="2670" spans="1:11" ht="22.5" customHeight="1" x14ac:dyDescent="0.25">
      <c r="A2670" s="816" t="s">
        <v>315</v>
      </c>
      <c r="B2670" s="880">
        <v>2025</v>
      </c>
      <c r="C2670" s="816" t="s">
        <v>1889</v>
      </c>
      <c r="D2670" s="816" t="s">
        <v>139</v>
      </c>
      <c r="E2670" s="816" t="s">
        <v>3342</v>
      </c>
      <c r="F2670" s="826">
        <v>-75052.179999999993</v>
      </c>
      <c r="G2670" s="880">
        <v>1</v>
      </c>
      <c r="H2670" s="826">
        <v>-70392.289999999994</v>
      </c>
      <c r="I2670" s="826">
        <v>-4659.8900000000003</v>
      </c>
      <c r="J2670" s="826">
        <v>-75052.179999999993</v>
      </c>
      <c r="K2670" s="878">
        <v>-75052.179999999993</v>
      </c>
    </row>
    <row r="2671" spans="1:11" ht="22.5" customHeight="1" x14ac:dyDescent="0.25">
      <c r="A2671" s="816" t="s">
        <v>315</v>
      </c>
      <c r="B2671" s="880">
        <v>2025</v>
      </c>
      <c r="C2671" s="816" t="s">
        <v>1891</v>
      </c>
      <c r="D2671" s="816" t="s">
        <v>1892</v>
      </c>
      <c r="E2671" s="816" t="s">
        <v>3343</v>
      </c>
      <c r="F2671" s="826">
        <v>0</v>
      </c>
      <c r="G2671" s="880">
        <v>0</v>
      </c>
      <c r="H2671" s="465"/>
      <c r="I2671" s="465"/>
      <c r="J2671" s="826">
        <v>0</v>
      </c>
      <c r="K2671" s="878">
        <v>0</v>
      </c>
    </row>
    <row r="2672" spans="1:11" ht="22.5" customHeight="1" x14ac:dyDescent="0.25">
      <c r="A2672" s="816" t="s">
        <v>315</v>
      </c>
      <c r="B2672" s="880">
        <v>2025</v>
      </c>
      <c r="C2672" s="816" t="s">
        <v>1891</v>
      </c>
      <c r="D2672" s="816" t="s">
        <v>1894</v>
      </c>
      <c r="E2672" s="816" t="s">
        <v>3343</v>
      </c>
      <c r="F2672" s="826">
        <v>0</v>
      </c>
      <c r="G2672" s="880">
        <v>0</v>
      </c>
      <c r="H2672" s="465"/>
      <c r="I2672" s="465"/>
      <c r="J2672" s="826">
        <v>0</v>
      </c>
      <c r="K2672" s="881">
        <v>0</v>
      </c>
    </row>
    <row r="2673" spans="1:11" ht="22.5" customHeight="1" x14ac:dyDescent="0.25">
      <c r="A2673" s="816" t="s">
        <v>315</v>
      </c>
      <c r="B2673" s="880">
        <v>2025</v>
      </c>
      <c r="C2673" s="816" t="s">
        <v>1895</v>
      </c>
      <c r="D2673" s="816" t="s">
        <v>1896</v>
      </c>
      <c r="E2673" s="816" t="s">
        <v>3344</v>
      </c>
      <c r="F2673" s="826">
        <v>239361.68</v>
      </c>
      <c r="G2673" s="880">
        <v>0</v>
      </c>
      <c r="H2673" s="465"/>
      <c r="I2673" s="465"/>
      <c r="J2673" s="826">
        <v>0</v>
      </c>
      <c r="K2673" s="878">
        <v>239361.68</v>
      </c>
    </row>
    <row r="2674" spans="1:11" ht="22.5" customHeight="1" x14ac:dyDescent="0.25">
      <c r="A2674" s="816" t="s">
        <v>315</v>
      </c>
      <c r="B2674" s="880">
        <v>2025</v>
      </c>
      <c r="C2674" s="816" t="s">
        <v>1898</v>
      </c>
      <c r="D2674" s="816" t="s">
        <v>1899</v>
      </c>
      <c r="E2674" s="816" t="s">
        <v>3345</v>
      </c>
      <c r="F2674" s="826">
        <v>0</v>
      </c>
      <c r="G2674" s="880">
        <v>0</v>
      </c>
      <c r="H2674" s="465"/>
      <c r="I2674" s="465"/>
      <c r="J2674" s="826">
        <v>0</v>
      </c>
      <c r="K2674" s="878">
        <v>0</v>
      </c>
    </row>
    <row r="2675" spans="1:11" ht="22.5" customHeight="1" x14ac:dyDescent="0.25">
      <c r="A2675" s="816" t="s">
        <v>315</v>
      </c>
      <c r="B2675" s="880">
        <v>2025</v>
      </c>
      <c r="C2675" s="816" t="s">
        <v>1901</v>
      </c>
      <c r="D2675" s="816" t="s">
        <v>1902</v>
      </c>
      <c r="E2675" s="816" t="s">
        <v>3346</v>
      </c>
      <c r="F2675" s="826">
        <v>0</v>
      </c>
      <c r="G2675" s="880">
        <v>0</v>
      </c>
      <c r="H2675" s="465"/>
      <c r="I2675" s="465"/>
      <c r="J2675" s="826">
        <v>0</v>
      </c>
      <c r="K2675" s="878">
        <v>0</v>
      </c>
    </row>
    <row r="2676" spans="1:11" ht="22.5" customHeight="1" x14ac:dyDescent="0.25">
      <c r="A2676" s="816" t="s">
        <v>315</v>
      </c>
      <c r="B2676" s="880">
        <v>2025</v>
      </c>
      <c r="C2676" s="816" t="s">
        <v>1904</v>
      </c>
      <c r="D2676" s="816" t="s">
        <v>1905</v>
      </c>
      <c r="E2676" s="816" t="s">
        <v>3347</v>
      </c>
      <c r="F2676" s="826">
        <v>0</v>
      </c>
      <c r="G2676" s="880">
        <v>0</v>
      </c>
      <c r="H2676" s="465"/>
      <c r="I2676" s="465"/>
      <c r="J2676" s="826">
        <v>0</v>
      </c>
      <c r="K2676" s="878">
        <v>0</v>
      </c>
    </row>
    <row r="2677" spans="1:11" ht="22.5" customHeight="1" x14ac:dyDescent="0.25">
      <c r="A2677" s="816" t="s">
        <v>315</v>
      </c>
      <c r="B2677" s="880">
        <v>2025</v>
      </c>
      <c r="C2677" s="816" t="s">
        <v>1907</v>
      </c>
      <c r="D2677" s="816" t="s">
        <v>1908</v>
      </c>
      <c r="E2677" s="816" t="s">
        <v>3348</v>
      </c>
      <c r="F2677" s="826">
        <v>0</v>
      </c>
      <c r="G2677" s="880">
        <v>0</v>
      </c>
      <c r="H2677" s="465"/>
      <c r="I2677" s="465"/>
      <c r="J2677" s="826">
        <v>0</v>
      </c>
      <c r="K2677" s="878">
        <v>0</v>
      </c>
    </row>
    <row r="2678" spans="1:11" ht="22.5" customHeight="1" x14ac:dyDescent="0.25">
      <c r="A2678" s="816" t="s">
        <v>315</v>
      </c>
      <c r="B2678" s="880">
        <v>2025</v>
      </c>
      <c r="C2678" s="816" t="s">
        <v>1910</v>
      </c>
      <c r="D2678" s="816" t="s">
        <v>1911</v>
      </c>
      <c r="E2678" s="816" t="s">
        <v>3349</v>
      </c>
      <c r="F2678" s="826">
        <v>0</v>
      </c>
      <c r="G2678" s="880">
        <v>0</v>
      </c>
      <c r="H2678" s="465"/>
      <c r="I2678" s="465"/>
      <c r="J2678" s="826">
        <v>0</v>
      </c>
      <c r="K2678" s="878">
        <v>0</v>
      </c>
    </row>
    <row r="2679" spans="1:11" ht="22.5" customHeight="1" x14ac:dyDescent="0.25">
      <c r="A2679" s="816" t="s">
        <v>315</v>
      </c>
      <c r="B2679" s="880">
        <v>2025</v>
      </c>
      <c r="C2679" s="816" t="s">
        <v>1913</v>
      </c>
      <c r="D2679" s="816" t="s">
        <v>1914</v>
      </c>
      <c r="E2679" s="816" t="s">
        <v>3350</v>
      </c>
      <c r="F2679" s="826">
        <v>-424825.02</v>
      </c>
      <c r="G2679" s="880">
        <v>1</v>
      </c>
      <c r="H2679" s="826">
        <v>-404042.54</v>
      </c>
      <c r="I2679" s="826">
        <v>-20782.48</v>
      </c>
      <c r="J2679" s="826">
        <v>-424825.02</v>
      </c>
      <c r="K2679" s="878">
        <v>-424825.02</v>
      </c>
    </row>
    <row r="2680" spans="1:11" ht="22.5" customHeight="1" x14ac:dyDescent="0.25">
      <c r="A2680" s="816" t="s">
        <v>315</v>
      </c>
      <c r="B2680" s="880">
        <v>2025</v>
      </c>
      <c r="C2680" s="816" t="s">
        <v>1913</v>
      </c>
      <c r="D2680" s="816" t="s">
        <v>1916</v>
      </c>
      <c r="E2680" s="816" t="s">
        <v>3350</v>
      </c>
      <c r="F2680" s="826">
        <v>0</v>
      </c>
      <c r="G2680" s="880">
        <v>0</v>
      </c>
      <c r="H2680" s="465"/>
      <c r="I2680" s="465"/>
      <c r="J2680" s="826">
        <v>0</v>
      </c>
      <c r="K2680" s="881">
        <v>0</v>
      </c>
    </row>
    <row r="2681" spans="1:11" ht="22.5" customHeight="1" x14ac:dyDescent="0.25">
      <c r="A2681" s="816" t="s">
        <v>315</v>
      </c>
      <c r="B2681" s="880">
        <v>2025</v>
      </c>
      <c r="C2681" s="816" t="s">
        <v>1913</v>
      </c>
      <c r="D2681" s="816" t="s">
        <v>1917</v>
      </c>
      <c r="E2681" s="816" t="s">
        <v>3350</v>
      </c>
      <c r="F2681" s="826">
        <v>0</v>
      </c>
      <c r="G2681" s="880">
        <v>0</v>
      </c>
      <c r="H2681" s="465"/>
      <c r="I2681" s="465"/>
      <c r="J2681" s="826">
        <v>0</v>
      </c>
      <c r="K2681" s="881">
        <v>0</v>
      </c>
    </row>
    <row r="2682" spans="1:11" ht="22.5" customHeight="1" x14ac:dyDescent="0.25">
      <c r="A2682" s="816" t="s">
        <v>315</v>
      </c>
      <c r="B2682" s="880">
        <v>2025</v>
      </c>
      <c r="C2682" s="816" t="s">
        <v>1913</v>
      </c>
      <c r="D2682" s="816" t="s">
        <v>1918</v>
      </c>
      <c r="E2682" s="816" t="s">
        <v>3350</v>
      </c>
      <c r="F2682" s="826">
        <v>0</v>
      </c>
      <c r="G2682" s="880">
        <v>0</v>
      </c>
      <c r="H2682" s="465"/>
      <c r="I2682" s="465"/>
      <c r="J2682" s="826">
        <v>0</v>
      </c>
      <c r="K2682" s="881">
        <v>3003.04</v>
      </c>
    </row>
    <row r="2683" spans="1:11" ht="22.5" customHeight="1" x14ac:dyDescent="0.25">
      <c r="A2683" s="816" t="s">
        <v>315</v>
      </c>
      <c r="B2683" s="880">
        <v>2025</v>
      </c>
      <c r="C2683" s="816" t="s">
        <v>1913</v>
      </c>
      <c r="D2683" s="816" t="s">
        <v>1919</v>
      </c>
      <c r="E2683" s="816" t="s">
        <v>3350</v>
      </c>
      <c r="F2683" s="826">
        <v>0</v>
      </c>
      <c r="G2683" s="880">
        <v>0</v>
      </c>
      <c r="H2683" s="465"/>
      <c r="I2683" s="465"/>
      <c r="J2683" s="826">
        <v>0</v>
      </c>
      <c r="K2683" s="881">
        <v>221760.35</v>
      </c>
    </row>
    <row r="2684" spans="1:11" ht="22.5" customHeight="1" x14ac:dyDescent="0.25">
      <c r="A2684" s="816" t="s">
        <v>315</v>
      </c>
      <c r="B2684" s="880">
        <v>2025</v>
      </c>
      <c r="C2684" s="816" t="s">
        <v>1920</v>
      </c>
      <c r="D2684" s="816" t="s">
        <v>1921</v>
      </c>
      <c r="E2684" s="816" t="s">
        <v>3351</v>
      </c>
      <c r="F2684" s="826">
        <v>0</v>
      </c>
      <c r="G2684" s="880">
        <v>0</v>
      </c>
      <c r="H2684" s="465"/>
      <c r="I2684" s="465"/>
      <c r="J2684" s="826">
        <v>0</v>
      </c>
      <c r="K2684" s="878">
        <v>0</v>
      </c>
    </row>
    <row r="2685" spans="1:11" ht="22.5" customHeight="1" x14ac:dyDescent="0.25">
      <c r="A2685" s="816" t="s">
        <v>315</v>
      </c>
      <c r="B2685" s="880">
        <v>2025</v>
      </c>
      <c r="C2685" s="816" t="s">
        <v>1923</v>
      </c>
      <c r="D2685" s="816" t="s">
        <v>143</v>
      </c>
      <c r="E2685" s="816" t="s">
        <v>3352</v>
      </c>
      <c r="F2685" s="826">
        <v>465112.48</v>
      </c>
      <c r="G2685" s="880">
        <v>1</v>
      </c>
      <c r="H2685" s="826">
        <v>440131.36</v>
      </c>
      <c r="I2685" s="826">
        <v>24981.119999999999</v>
      </c>
      <c r="J2685" s="826">
        <v>465112.48</v>
      </c>
      <c r="K2685" s="878">
        <v>465112.48</v>
      </c>
    </row>
    <row r="2686" spans="1:11" ht="22.5" customHeight="1" x14ac:dyDescent="0.25">
      <c r="A2686" s="816" t="s">
        <v>315</v>
      </c>
      <c r="B2686" s="880">
        <v>2025</v>
      </c>
      <c r="C2686" s="816" t="s">
        <v>1925</v>
      </c>
      <c r="D2686" s="816" t="s">
        <v>144</v>
      </c>
      <c r="E2686" s="816" t="s">
        <v>3353</v>
      </c>
      <c r="F2686" s="826">
        <v>193318.87</v>
      </c>
      <c r="G2686" s="880">
        <v>1</v>
      </c>
      <c r="H2686" s="826">
        <v>177773.39</v>
      </c>
      <c r="I2686" s="826">
        <v>15545.48</v>
      </c>
      <c r="J2686" s="826">
        <v>193318.87</v>
      </c>
      <c r="K2686" s="878">
        <v>193318.87</v>
      </c>
    </row>
    <row r="2687" spans="1:11" ht="22.5" customHeight="1" x14ac:dyDescent="0.25">
      <c r="A2687" s="816" t="s">
        <v>315</v>
      </c>
      <c r="B2687" s="880">
        <v>2025</v>
      </c>
      <c r="C2687" s="816" t="s">
        <v>1927</v>
      </c>
      <c r="D2687" s="816" t="s">
        <v>1928</v>
      </c>
      <c r="E2687" s="816" t="s">
        <v>3354</v>
      </c>
      <c r="F2687" s="826">
        <v>-206618.47</v>
      </c>
      <c r="G2687" s="880">
        <v>1</v>
      </c>
      <c r="H2687" s="826">
        <v>-195203.39</v>
      </c>
      <c r="I2687" s="826">
        <v>-11415.08</v>
      </c>
      <c r="J2687" s="826">
        <v>-206618.47</v>
      </c>
      <c r="K2687" s="878">
        <v>-206618.47</v>
      </c>
    </row>
    <row r="2688" spans="1:11" ht="22.5" customHeight="1" x14ac:dyDescent="0.25">
      <c r="A2688" s="816" t="s">
        <v>315</v>
      </c>
      <c r="B2688" s="880">
        <v>2025</v>
      </c>
      <c r="C2688" s="816" t="s">
        <v>1930</v>
      </c>
      <c r="D2688" s="816" t="s">
        <v>156</v>
      </c>
      <c r="E2688" s="816" t="s">
        <v>3355</v>
      </c>
      <c r="F2688" s="826">
        <v>-64909.279999999999</v>
      </c>
      <c r="G2688" s="880">
        <v>1</v>
      </c>
      <c r="H2688" s="826">
        <v>-61294.95</v>
      </c>
      <c r="I2688" s="826">
        <v>-3614.33</v>
      </c>
      <c r="J2688" s="826">
        <v>-64909.279999999999</v>
      </c>
      <c r="K2688" s="878">
        <v>-64909.279999999999</v>
      </c>
    </row>
    <row r="2689" spans="1:11" ht="22.5" customHeight="1" x14ac:dyDescent="0.25">
      <c r="A2689" s="816" t="s">
        <v>315</v>
      </c>
      <c r="B2689" s="880">
        <v>2025</v>
      </c>
      <c r="C2689" s="816" t="s">
        <v>1932</v>
      </c>
      <c r="D2689" s="816" t="s">
        <v>1933</v>
      </c>
      <c r="E2689" s="816" t="s">
        <v>3356</v>
      </c>
      <c r="F2689" s="826">
        <v>-552124.78</v>
      </c>
      <c r="G2689" s="880">
        <v>0</v>
      </c>
      <c r="H2689" s="465"/>
      <c r="I2689" s="465"/>
      <c r="J2689" s="826">
        <v>0</v>
      </c>
      <c r="K2689" s="878">
        <v>-552124.78</v>
      </c>
    </row>
    <row r="2690" spans="1:11" ht="22.5" customHeight="1" x14ac:dyDescent="0.25">
      <c r="A2690" s="816" t="s">
        <v>315</v>
      </c>
      <c r="B2690" s="880">
        <v>2025</v>
      </c>
      <c r="C2690" s="816" t="s">
        <v>1935</v>
      </c>
      <c r="D2690" s="816" t="s">
        <v>1936</v>
      </c>
      <c r="E2690" s="816" t="s">
        <v>8724</v>
      </c>
      <c r="F2690" s="826">
        <v>0</v>
      </c>
      <c r="G2690" s="880">
        <v>1</v>
      </c>
      <c r="H2690" s="465"/>
      <c r="I2690" s="465"/>
      <c r="J2690" s="826">
        <v>0</v>
      </c>
      <c r="K2690" s="878">
        <v>0</v>
      </c>
    </row>
    <row r="2691" spans="1:11" ht="22.5" customHeight="1" x14ac:dyDescent="0.25">
      <c r="A2691" s="816" t="s">
        <v>315</v>
      </c>
      <c r="B2691" s="880">
        <v>2025</v>
      </c>
      <c r="C2691" s="816" t="s">
        <v>1935</v>
      </c>
      <c r="D2691" s="816" t="s">
        <v>1937</v>
      </c>
      <c r="E2691" s="816" t="s">
        <v>8725</v>
      </c>
      <c r="F2691" s="826">
        <v>0</v>
      </c>
      <c r="G2691" s="880">
        <v>1</v>
      </c>
      <c r="H2691" s="465"/>
      <c r="I2691" s="465"/>
      <c r="J2691" s="826">
        <v>0</v>
      </c>
      <c r="K2691" s="878">
        <v>0</v>
      </c>
    </row>
    <row r="2692" spans="1:11" ht="22.5" customHeight="1" x14ac:dyDescent="0.25">
      <c r="A2692" s="816" t="s">
        <v>315</v>
      </c>
      <c r="B2692" s="880">
        <v>2025</v>
      </c>
      <c r="C2692" s="816" t="s">
        <v>1935</v>
      </c>
      <c r="D2692" s="816" t="s">
        <v>1938</v>
      </c>
      <c r="E2692" s="816" t="s">
        <v>8726</v>
      </c>
      <c r="F2692" s="826">
        <v>0</v>
      </c>
      <c r="G2692" s="880">
        <v>1</v>
      </c>
      <c r="H2692" s="465"/>
      <c r="I2692" s="465"/>
      <c r="J2692" s="826">
        <v>0</v>
      </c>
      <c r="K2692" s="878">
        <v>0</v>
      </c>
    </row>
    <row r="2693" spans="1:11" ht="22.5" customHeight="1" x14ac:dyDescent="0.25">
      <c r="A2693" s="816" t="s">
        <v>315</v>
      </c>
      <c r="B2693" s="880">
        <v>2025</v>
      </c>
      <c r="C2693" s="816" t="s">
        <v>1935</v>
      </c>
      <c r="D2693" s="816" t="s">
        <v>1939</v>
      </c>
      <c r="E2693" s="816" t="s">
        <v>8727</v>
      </c>
      <c r="F2693" s="826">
        <v>0</v>
      </c>
      <c r="G2693" s="880">
        <v>1</v>
      </c>
      <c r="H2693" s="465"/>
      <c r="I2693" s="465"/>
      <c r="J2693" s="826">
        <v>0</v>
      </c>
      <c r="K2693" s="878">
        <v>0</v>
      </c>
    </row>
    <row r="2694" spans="1:11" ht="22.5" customHeight="1" x14ac:dyDescent="0.25">
      <c r="A2694" s="816" t="s">
        <v>315</v>
      </c>
      <c r="B2694" s="880">
        <v>2025</v>
      </c>
      <c r="C2694" s="816" t="s">
        <v>1935</v>
      </c>
      <c r="D2694" s="816" t="s">
        <v>1940</v>
      </c>
      <c r="E2694" s="816" t="s">
        <v>8728</v>
      </c>
      <c r="F2694" s="826">
        <v>0</v>
      </c>
      <c r="G2694" s="880">
        <v>1</v>
      </c>
      <c r="H2694" s="465"/>
      <c r="I2694" s="465"/>
      <c r="J2694" s="826">
        <v>0</v>
      </c>
      <c r="K2694" s="878">
        <v>0</v>
      </c>
    </row>
    <row r="2695" spans="1:11" ht="22.5" customHeight="1" x14ac:dyDescent="0.25">
      <c r="A2695" s="816" t="s">
        <v>315</v>
      </c>
      <c r="B2695" s="880">
        <v>2025</v>
      </c>
      <c r="C2695" s="816" t="s">
        <v>1935</v>
      </c>
      <c r="D2695" s="816" t="s">
        <v>1941</v>
      </c>
      <c r="E2695" s="816" t="s">
        <v>8729</v>
      </c>
      <c r="F2695" s="826">
        <v>0</v>
      </c>
      <c r="G2695" s="880">
        <v>1</v>
      </c>
      <c r="H2695" s="465"/>
      <c r="I2695" s="465"/>
      <c r="J2695" s="826">
        <v>0</v>
      </c>
      <c r="K2695" s="878">
        <v>0</v>
      </c>
    </row>
    <row r="2696" spans="1:11" ht="22.5" customHeight="1" x14ac:dyDescent="0.25">
      <c r="A2696" s="816" t="s">
        <v>315</v>
      </c>
      <c r="B2696" s="880">
        <v>2025</v>
      </c>
      <c r="C2696" s="816" t="s">
        <v>1935</v>
      </c>
      <c r="D2696" s="816" t="s">
        <v>1942</v>
      </c>
      <c r="E2696" s="816" t="s">
        <v>8730</v>
      </c>
      <c r="F2696" s="826">
        <v>0</v>
      </c>
      <c r="G2696" s="880">
        <v>1</v>
      </c>
      <c r="H2696" s="465"/>
      <c r="I2696" s="465"/>
      <c r="J2696" s="826">
        <v>0</v>
      </c>
      <c r="K2696" s="878">
        <v>0</v>
      </c>
    </row>
    <row r="2697" spans="1:11" ht="22.5" customHeight="1" x14ac:dyDescent="0.25">
      <c r="A2697" s="816" t="s">
        <v>315</v>
      </c>
      <c r="B2697" s="880">
        <v>2025</v>
      </c>
      <c r="C2697" s="816" t="s">
        <v>1935</v>
      </c>
      <c r="D2697" s="816" t="s">
        <v>1943</v>
      </c>
      <c r="E2697" s="816" t="s">
        <v>8731</v>
      </c>
      <c r="F2697" s="826">
        <v>0</v>
      </c>
      <c r="G2697" s="880">
        <v>1</v>
      </c>
      <c r="H2697" s="465"/>
      <c r="I2697" s="465"/>
      <c r="J2697" s="826">
        <v>0</v>
      </c>
      <c r="K2697" s="878">
        <v>0</v>
      </c>
    </row>
    <row r="2698" spans="1:11" ht="22.5" customHeight="1" x14ac:dyDescent="0.25">
      <c r="A2698" s="816" t="s">
        <v>315</v>
      </c>
      <c r="B2698" s="880">
        <v>2025</v>
      </c>
      <c r="C2698" s="816" t="s">
        <v>1935</v>
      </c>
      <c r="D2698" s="816" t="s">
        <v>1944</v>
      </c>
      <c r="E2698" s="816" t="s">
        <v>8732</v>
      </c>
      <c r="F2698" s="826">
        <v>0</v>
      </c>
      <c r="G2698" s="880">
        <v>1</v>
      </c>
      <c r="H2698" s="465"/>
      <c r="I2698" s="465"/>
      <c r="J2698" s="826">
        <v>0</v>
      </c>
      <c r="K2698" s="878">
        <v>0</v>
      </c>
    </row>
    <row r="2699" spans="1:11" ht="22.5" customHeight="1" x14ac:dyDescent="0.25">
      <c r="A2699" s="816" t="s">
        <v>315</v>
      </c>
      <c r="B2699" s="880">
        <v>2025</v>
      </c>
      <c r="C2699" s="816" t="s">
        <v>1935</v>
      </c>
      <c r="D2699" s="816" t="s">
        <v>1945</v>
      </c>
      <c r="E2699" s="816" t="s">
        <v>8733</v>
      </c>
      <c r="F2699" s="826">
        <v>0</v>
      </c>
      <c r="G2699" s="880">
        <v>1</v>
      </c>
      <c r="H2699" s="465"/>
      <c r="I2699" s="465"/>
      <c r="J2699" s="826">
        <v>0</v>
      </c>
      <c r="K2699" s="878">
        <v>0</v>
      </c>
    </row>
    <row r="2700" spans="1:11" ht="22.5" customHeight="1" x14ac:dyDescent="0.25">
      <c r="A2700" s="816" t="s">
        <v>315</v>
      </c>
      <c r="B2700" s="880">
        <v>2025</v>
      </c>
      <c r="C2700" s="816" t="s">
        <v>1935</v>
      </c>
      <c r="D2700" s="816" t="s">
        <v>1946</v>
      </c>
      <c r="E2700" s="816" t="s">
        <v>8734</v>
      </c>
      <c r="F2700" s="826">
        <v>0</v>
      </c>
      <c r="G2700" s="880">
        <v>1</v>
      </c>
      <c r="H2700" s="465"/>
      <c r="I2700" s="465"/>
      <c r="J2700" s="826">
        <v>0</v>
      </c>
      <c r="K2700" s="878">
        <v>0</v>
      </c>
    </row>
    <row r="2701" spans="1:11" ht="22.5" customHeight="1" x14ac:dyDescent="0.25">
      <c r="A2701" s="816" t="s">
        <v>315</v>
      </c>
      <c r="B2701" s="880">
        <v>2025</v>
      </c>
      <c r="C2701" s="816" t="s">
        <v>1935</v>
      </c>
      <c r="D2701" s="816" t="s">
        <v>1947</v>
      </c>
      <c r="E2701" s="816" t="s">
        <v>8735</v>
      </c>
      <c r="F2701" s="826">
        <v>0</v>
      </c>
      <c r="G2701" s="880">
        <v>1</v>
      </c>
      <c r="H2701" s="465"/>
      <c r="I2701" s="465"/>
      <c r="J2701" s="826">
        <v>0</v>
      </c>
      <c r="K2701" s="878">
        <v>0</v>
      </c>
    </row>
    <row r="2702" spans="1:11" ht="22.5" customHeight="1" x14ac:dyDescent="0.25">
      <c r="A2702" s="816" t="s">
        <v>315</v>
      </c>
      <c r="B2702" s="880">
        <v>2025</v>
      </c>
      <c r="C2702" s="816" t="s">
        <v>1935</v>
      </c>
      <c r="D2702" s="816" t="s">
        <v>1948</v>
      </c>
      <c r="E2702" s="816" t="s">
        <v>8736</v>
      </c>
      <c r="F2702" s="826">
        <v>0</v>
      </c>
      <c r="G2702" s="880">
        <v>1</v>
      </c>
      <c r="H2702" s="465"/>
      <c r="I2702" s="826">
        <v>-13597.72</v>
      </c>
      <c r="J2702" s="826">
        <v>-13597.72</v>
      </c>
      <c r="K2702" s="878">
        <v>-13597.72</v>
      </c>
    </row>
    <row r="2703" spans="1:11" ht="22.5" customHeight="1" x14ac:dyDescent="0.25">
      <c r="A2703" s="816" t="s">
        <v>315</v>
      </c>
      <c r="B2703" s="880">
        <v>2025</v>
      </c>
      <c r="C2703" s="816" t="s">
        <v>1935</v>
      </c>
      <c r="D2703" s="816" t="s">
        <v>1949</v>
      </c>
      <c r="E2703" s="816" t="s">
        <v>8737</v>
      </c>
      <c r="F2703" s="826">
        <v>0</v>
      </c>
      <c r="G2703" s="880">
        <v>1</v>
      </c>
      <c r="H2703" s="826">
        <v>9361.5</v>
      </c>
      <c r="I2703" s="826">
        <v>1153.24</v>
      </c>
      <c r="J2703" s="826">
        <v>10514.74</v>
      </c>
      <c r="K2703" s="878">
        <v>10514.74</v>
      </c>
    </row>
    <row r="2704" spans="1:11" ht="22.5" customHeight="1" x14ac:dyDescent="0.25">
      <c r="A2704" s="816" t="s">
        <v>315</v>
      </c>
      <c r="B2704" s="880">
        <v>2025</v>
      </c>
      <c r="C2704" s="816" t="s">
        <v>1935</v>
      </c>
      <c r="D2704" s="816" t="s">
        <v>1950</v>
      </c>
      <c r="E2704" s="816" t="s">
        <v>8738</v>
      </c>
      <c r="F2704" s="826">
        <v>0</v>
      </c>
      <c r="G2704" s="880">
        <v>1</v>
      </c>
      <c r="H2704" s="826">
        <v>-2612.9699999999998</v>
      </c>
      <c r="I2704" s="826">
        <v>-6777.81</v>
      </c>
      <c r="J2704" s="826">
        <v>-9390.7800000000007</v>
      </c>
      <c r="K2704" s="878">
        <v>-9390.7800000000007</v>
      </c>
    </row>
    <row r="2705" spans="1:11" ht="22.5" customHeight="1" x14ac:dyDescent="0.25">
      <c r="A2705" s="816" t="s">
        <v>315</v>
      </c>
      <c r="B2705" s="880">
        <v>2025</v>
      </c>
      <c r="C2705" s="816" t="s">
        <v>1935</v>
      </c>
      <c r="D2705" s="816" t="s">
        <v>1951</v>
      </c>
      <c r="E2705" s="816" t="s">
        <v>8739</v>
      </c>
      <c r="F2705" s="826">
        <v>0</v>
      </c>
      <c r="G2705" s="880">
        <v>1</v>
      </c>
      <c r="H2705" s="826">
        <v>9712.31</v>
      </c>
      <c r="I2705" s="826">
        <v>3906.91</v>
      </c>
      <c r="J2705" s="826">
        <v>13619.22</v>
      </c>
      <c r="K2705" s="878">
        <v>13619.22</v>
      </c>
    </row>
    <row r="2706" spans="1:11" ht="22.5" customHeight="1" x14ac:dyDescent="0.25">
      <c r="A2706" s="816" t="s">
        <v>315</v>
      </c>
      <c r="B2706" s="880">
        <v>2025</v>
      </c>
      <c r="C2706" s="816" t="s">
        <v>1935</v>
      </c>
      <c r="D2706" s="816" t="s">
        <v>7801</v>
      </c>
      <c r="E2706" s="816" t="s">
        <v>8740</v>
      </c>
      <c r="F2706" s="826">
        <v>0</v>
      </c>
      <c r="G2706" s="880">
        <v>1</v>
      </c>
      <c r="H2706" s="826">
        <v>214323.61</v>
      </c>
      <c r="I2706" s="826">
        <v>82640.850000000006</v>
      </c>
      <c r="J2706" s="826">
        <v>296964.46000000002</v>
      </c>
      <c r="K2706" s="878">
        <v>296964.46000000002</v>
      </c>
    </row>
    <row r="2707" spans="1:11" ht="22.5" customHeight="1" x14ac:dyDescent="0.25">
      <c r="A2707" s="816" t="s">
        <v>315</v>
      </c>
      <c r="B2707" s="880">
        <v>2025</v>
      </c>
      <c r="C2707" s="816" t="s">
        <v>1935</v>
      </c>
      <c r="D2707" s="816" t="s">
        <v>1952</v>
      </c>
      <c r="E2707" s="816" t="s">
        <v>8741</v>
      </c>
      <c r="F2707" s="826">
        <v>298109.92</v>
      </c>
      <c r="G2707" s="880">
        <v>0</v>
      </c>
      <c r="H2707" s="465"/>
      <c r="I2707" s="465"/>
      <c r="J2707" s="826">
        <v>0</v>
      </c>
      <c r="K2707" s="878">
        <v>298109.92</v>
      </c>
    </row>
    <row r="2708" spans="1:11" ht="22.5" customHeight="1" x14ac:dyDescent="0.25">
      <c r="A2708" s="816" t="s">
        <v>315</v>
      </c>
      <c r="B2708" s="880">
        <v>2025</v>
      </c>
      <c r="C2708" s="816" t="s">
        <v>1953</v>
      </c>
      <c r="D2708" s="816" t="s">
        <v>1954</v>
      </c>
      <c r="E2708" s="816" t="s">
        <v>3357</v>
      </c>
      <c r="F2708" s="826">
        <v>0</v>
      </c>
      <c r="G2708" s="880">
        <v>0</v>
      </c>
      <c r="H2708" s="465"/>
      <c r="I2708" s="465"/>
      <c r="J2708" s="826">
        <v>0</v>
      </c>
      <c r="K2708" s="878">
        <v>0</v>
      </c>
    </row>
    <row r="2709" spans="1:11" ht="22.5" customHeight="1" x14ac:dyDescent="0.25">
      <c r="A2709" s="816" t="s">
        <v>317</v>
      </c>
      <c r="B2709" s="880">
        <v>2025</v>
      </c>
      <c r="C2709" s="816" t="s">
        <v>1854</v>
      </c>
      <c r="D2709" s="816" t="s">
        <v>1855</v>
      </c>
      <c r="E2709" s="816" t="s">
        <v>3358</v>
      </c>
      <c r="F2709" s="826">
        <v>77103.02</v>
      </c>
      <c r="G2709" s="880">
        <v>0</v>
      </c>
      <c r="H2709" s="465"/>
      <c r="I2709" s="465"/>
      <c r="J2709" s="826">
        <v>0</v>
      </c>
      <c r="K2709" s="878">
        <v>77103.02</v>
      </c>
    </row>
    <row r="2710" spans="1:11" ht="22.5" customHeight="1" x14ac:dyDescent="0.25">
      <c r="A2710" s="816" t="s">
        <v>317</v>
      </c>
      <c r="B2710" s="880">
        <v>2025</v>
      </c>
      <c r="C2710" s="816" t="s">
        <v>7746</v>
      </c>
      <c r="D2710" s="816" t="s">
        <v>7747</v>
      </c>
      <c r="E2710" s="816" t="s">
        <v>7799</v>
      </c>
      <c r="F2710" s="826">
        <v>0</v>
      </c>
      <c r="G2710" s="880">
        <v>0</v>
      </c>
      <c r="H2710" s="465"/>
      <c r="I2710" s="465"/>
      <c r="J2710" s="826">
        <v>0</v>
      </c>
      <c r="K2710" s="878">
        <v>0</v>
      </c>
    </row>
    <row r="2711" spans="1:11" ht="22.5" customHeight="1" x14ac:dyDescent="0.25">
      <c r="A2711" s="816" t="s">
        <v>317</v>
      </c>
      <c r="B2711" s="880">
        <v>2025</v>
      </c>
      <c r="C2711" s="816" t="s">
        <v>1857</v>
      </c>
      <c r="D2711" s="816" t="s">
        <v>1858</v>
      </c>
      <c r="E2711" s="816" t="s">
        <v>3359</v>
      </c>
      <c r="F2711" s="826">
        <v>0</v>
      </c>
      <c r="G2711" s="880">
        <v>0</v>
      </c>
      <c r="H2711" s="465"/>
      <c r="I2711" s="465"/>
      <c r="J2711" s="826">
        <v>0</v>
      </c>
      <c r="K2711" s="878">
        <v>0</v>
      </c>
    </row>
    <row r="2712" spans="1:11" ht="22.5" customHeight="1" x14ac:dyDescent="0.25">
      <c r="A2712" s="816" t="s">
        <v>317</v>
      </c>
      <c r="B2712" s="880">
        <v>2025</v>
      </c>
      <c r="C2712" s="816" t="s">
        <v>1860</v>
      </c>
      <c r="D2712" s="816" t="s">
        <v>1861</v>
      </c>
      <c r="E2712" s="816" t="s">
        <v>3360</v>
      </c>
      <c r="F2712" s="826">
        <v>0</v>
      </c>
      <c r="G2712" s="880">
        <v>0</v>
      </c>
      <c r="H2712" s="465"/>
      <c r="I2712" s="465"/>
      <c r="J2712" s="826">
        <v>0</v>
      </c>
      <c r="K2712" s="878">
        <v>0</v>
      </c>
    </row>
    <row r="2713" spans="1:11" ht="22.5" customHeight="1" x14ac:dyDescent="0.25">
      <c r="A2713" s="816" t="s">
        <v>317</v>
      </c>
      <c r="B2713" s="880">
        <v>2025</v>
      </c>
      <c r="C2713" s="816" t="s">
        <v>1863</v>
      </c>
      <c r="D2713" s="816" t="s">
        <v>1864</v>
      </c>
      <c r="E2713" s="816" t="s">
        <v>3361</v>
      </c>
      <c r="F2713" s="826">
        <v>0</v>
      </c>
      <c r="G2713" s="880">
        <v>0</v>
      </c>
      <c r="H2713" s="465"/>
      <c r="I2713" s="465"/>
      <c r="J2713" s="826">
        <v>0</v>
      </c>
      <c r="K2713" s="878">
        <v>0</v>
      </c>
    </row>
    <row r="2714" spans="1:11" ht="22.5" customHeight="1" x14ac:dyDescent="0.25">
      <c r="A2714" s="816" t="s">
        <v>317</v>
      </c>
      <c r="B2714" s="880">
        <v>2025</v>
      </c>
      <c r="C2714" s="816" t="s">
        <v>1866</v>
      </c>
      <c r="D2714" s="816" t="s">
        <v>1867</v>
      </c>
      <c r="E2714" s="816" t="s">
        <v>3362</v>
      </c>
      <c r="F2714" s="826">
        <v>0</v>
      </c>
      <c r="G2714" s="880">
        <v>0</v>
      </c>
      <c r="H2714" s="465"/>
      <c r="I2714" s="465"/>
      <c r="J2714" s="826">
        <v>0</v>
      </c>
      <c r="K2714" s="878">
        <v>0</v>
      </c>
    </row>
    <row r="2715" spans="1:11" ht="22.5" customHeight="1" x14ac:dyDescent="0.25">
      <c r="A2715" s="816" t="s">
        <v>317</v>
      </c>
      <c r="B2715" s="880">
        <v>2025</v>
      </c>
      <c r="C2715" s="816" t="s">
        <v>1869</v>
      </c>
      <c r="D2715" s="816" t="s">
        <v>1870</v>
      </c>
      <c r="E2715" s="816" t="s">
        <v>3363</v>
      </c>
      <c r="F2715" s="826">
        <v>0</v>
      </c>
      <c r="G2715" s="880">
        <v>0</v>
      </c>
      <c r="H2715" s="465"/>
      <c r="I2715" s="465"/>
      <c r="J2715" s="826">
        <v>0</v>
      </c>
      <c r="K2715" s="878">
        <v>0</v>
      </c>
    </row>
    <row r="2716" spans="1:11" ht="22.5" customHeight="1" x14ac:dyDescent="0.25">
      <c r="A2716" s="816" t="s">
        <v>317</v>
      </c>
      <c r="B2716" s="880">
        <v>2025</v>
      </c>
      <c r="C2716" s="816" t="s">
        <v>1872</v>
      </c>
      <c r="D2716" s="816" t="s">
        <v>1873</v>
      </c>
      <c r="E2716" s="816" t="s">
        <v>3364</v>
      </c>
      <c r="F2716" s="826">
        <v>0</v>
      </c>
      <c r="G2716" s="880">
        <v>0</v>
      </c>
      <c r="H2716" s="465"/>
      <c r="I2716" s="465"/>
      <c r="J2716" s="826">
        <v>0</v>
      </c>
      <c r="K2716" s="878">
        <v>0</v>
      </c>
    </row>
    <row r="2717" spans="1:11" ht="22.5" customHeight="1" x14ac:dyDescent="0.25">
      <c r="A2717" s="816" t="s">
        <v>317</v>
      </c>
      <c r="B2717" s="880">
        <v>2025</v>
      </c>
      <c r="C2717" s="816" t="s">
        <v>1875</v>
      </c>
      <c r="D2717" s="816" t="s">
        <v>1876</v>
      </c>
      <c r="E2717" s="816" t="s">
        <v>3365</v>
      </c>
      <c r="F2717" s="826">
        <v>0</v>
      </c>
      <c r="G2717" s="880">
        <v>0</v>
      </c>
      <c r="H2717" s="465"/>
      <c r="I2717" s="465"/>
      <c r="J2717" s="826">
        <v>0</v>
      </c>
      <c r="K2717" s="878">
        <v>0</v>
      </c>
    </row>
    <row r="2718" spans="1:11" ht="22.5" customHeight="1" x14ac:dyDescent="0.25">
      <c r="A2718" s="816" t="s">
        <v>317</v>
      </c>
      <c r="B2718" s="880">
        <v>2025</v>
      </c>
      <c r="C2718" s="816" t="s">
        <v>1878</v>
      </c>
      <c r="D2718" s="816" t="s">
        <v>1879</v>
      </c>
      <c r="E2718" s="816" t="s">
        <v>3366</v>
      </c>
      <c r="F2718" s="826">
        <v>0</v>
      </c>
      <c r="G2718" s="880">
        <v>0</v>
      </c>
      <c r="H2718" s="465"/>
      <c r="I2718" s="465"/>
      <c r="J2718" s="826">
        <v>0</v>
      </c>
      <c r="K2718" s="878">
        <v>0</v>
      </c>
    </row>
    <row r="2719" spans="1:11" ht="22.5" customHeight="1" x14ac:dyDescent="0.25">
      <c r="A2719" s="816" t="s">
        <v>317</v>
      </c>
      <c r="B2719" s="880">
        <v>2025</v>
      </c>
      <c r="C2719" s="816" t="s">
        <v>1881</v>
      </c>
      <c r="D2719" s="816" t="s">
        <v>1882</v>
      </c>
      <c r="E2719" s="816" t="s">
        <v>3367</v>
      </c>
      <c r="F2719" s="826">
        <v>0</v>
      </c>
      <c r="G2719" s="880">
        <v>0</v>
      </c>
      <c r="H2719" s="465"/>
      <c r="I2719" s="465"/>
      <c r="J2719" s="826">
        <v>0</v>
      </c>
      <c r="K2719" s="878">
        <v>0</v>
      </c>
    </row>
    <row r="2720" spans="1:11" ht="22.5" customHeight="1" x14ac:dyDescent="0.25">
      <c r="A2720" s="816" t="s">
        <v>317</v>
      </c>
      <c r="B2720" s="880">
        <v>2025</v>
      </c>
      <c r="C2720" s="816" t="s">
        <v>1884</v>
      </c>
      <c r="D2720" s="816" t="s">
        <v>1885</v>
      </c>
      <c r="E2720" s="816" t="s">
        <v>3368</v>
      </c>
      <c r="F2720" s="826">
        <v>0</v>
      </c>
      <c r="G2720" s="880">
        <v>0</v>
      </c>
      <c r="H2720" s="465"/>
      <c r="I2720" s="465"/>
      <c r="J2720" s="826">
        <v>0</v>
      </c>
      <c r="K2720" s="878">
        <v>0</v>
      </c>
    </row>
    <row r="2721" spans="1:11" ht="22.5" customHeight="1" x14ac:dyDescent="0.25">
      <c r="A2721" s="816" t="s">
        <v>317</v>
      </c>
      <c r="B2721" s="880">
        <v>2025</v>
      </c>
      <c r="C2721" s="816" t="s">
        <v>1887</v>
      </c>
      <c r="D2721" s="816" t="s">
        <v>138</v>
      </c>
      <c r="E2721" s="816" t="s">
        <v>3369</v>
      </c>
      <c r="F2721" s="826">
        <v>-31022.959999999999</v>
      </c>
      <c r="G2721" s="880">
        <v>1</v>
      </c>
      <c r="H2721" s="826">
        <v>-34509.230000000003</v>
      </c>
      <c r="I2721" s="826">
        <v>3486.27</v>
      </c>
      <c r="J2721" s="826">
        <v>-31022.959999999999</v>
      </c>
      <c r="K2721" s="878">
        <v>-31022.959999999999</v>
      </c>
    </row>
    <row r="2722" spans="1:11" ht="22.5" customHeight="1" x14ac:dyDescent="0.25">
      <c r="A2722" s="816" t="s">
        <v>317</v>
      </c>
      <c r="B2722" s="880">
        <v>2025</v>
      </c>
      <c r="C2722" s="816" t="s">
        <v>1889</v>
      </c>
      <c r="D2722" s="816" t="s">
        <v>139</v>
      </c>
      <c r="E2722" s="816" t="s">
        <v>3370</v>
      </c>
      <c r="F2722" s="826">
        <v>-13634.91</v>
      </c>
      <c r="G2722" s="880">
        <v>1</v>
      </c>
      <c r="H2722" s="826">
        <v>-12830.97</v>
      </c>
      <c r="I2722" s="826">
        <v>-803.94</v>
      </c>
      <c r="J2722" s="826">
        <v>-13634.91</v>
      </c>
      <c r="K2722" s="878">
        <v>-13634.91</v>
      </c>
    </row>
    <row r="2723" spans="1:11" ht="22.5" customHeight="1" x14ac:dyDescent="0.25">
      <c r="A2723" s="816" t="s">
        <v>317</v>
      </c>
      <c r="B2723" s="880">
        <v>2025</v>
      </c>
      <c r="C2723" s="816" t="s">
        <v>1891</v>
      </c>
      <c r="D2723" s="816" t="s">
        <v>1892</v>
      </c>
      <c r="E2723" s="816" t="s">
        <v>3371</v>
      </c>
      <c r="F2723" s="826">
        <v>0</v>
      </c>
      <c r="G2723" s="880">
        <v>0</v>
      </c>
      <c r="H2723" s="465"/>
      <c r="I2723" s="465"/>
      <c r="J2723" s="826">
        <v>0</v>
      </c>
      <c r="K2723" s="878">
        <v>0</v>
      </c>
    </row>
    <row r="2724" spans="1:11" ht="22.5" customHeight="1" x14ac:dyDescent="0.25">
      <c r="A2724" s="816" t="s">
        <v>317</v>
      </c>
      <c r="B2724" s="880">
        <v>2025</v>
      </c>
      <c r="C2724" s="816" t="s">
        <v>1891</v>
      </c>
      <c r="D2724" s="816" t="s">
        <v>1894</v>
      </c>
      <c r="E2724" s="816" t="s">
        <v>3371</v>
      </c>
      <c r="F2724" s="826">
        <v>0</v>
      </c>
      <c r="G2724" s="880">
        <v>0</v>
      </c>
      <c r="H2724" s="465"/>
      <c r="I2724" s="465"/>
      <c r="J2724" s="826">
        <v>0</v>
      </c>
      <c r="K2724" s="881">
        <v>0</v>
      </c>
    </row>
    <row r="2725" spans="1:11" ht="22.5" customHeight="1" x14ac:dyDescent="0.25">
      <c r="A2725" s="816" t="s">
        <v>317</v>
      </c>
      <c r="B2725" s="880">
        <v>2025</v>
      </c>
      <c r="C2725" s="816" t="s">
        <v>1895</v>
      </c>
      <c r="D2725" s="816" t="s">
        <v>1896</v>
      </c>
      <c r="E2725" s="816" t="s">
        <v>3372</v>
      </c>
      <c r="F2725" s="826">
        <v>0</v>
      </c>
      <c r="G2725" s="880">
        <v>0</v>
      </c>
      <c r="H2725" s="465"/>
      <c r="I2725" s="465"/>
      <c r="J2725" s="826">
        <v>0</v>
      </c>
      <c r="K2725" s="878">
        <v>0</v>
      </c>
    </row>
    <row r="2726" spans="1:11" ht="22.5" customHeight="1" x14ac:dyDescent="0.25">
      <c r="A2726" s="816" t="s">
        <v>317</v>
      </c>
      <c r="B2726" s="880">
        <v>2025</v>
      </c>
      <c r="C2726" s="816" t="s">
        <v>1898</v>
      </c>
      <c r="D2726" s="816" t="s">
        <v>1899</v>
      </c>
      <c r="E2726" s="816" t="s">
        <v>3373</v>
      </c>
      <c r="F2726" s="826">
        <v>0</v>
      </c>
      <c r="G2726" s="880">
        <v>0</v>
      </c>
      <c r="H2726" s="465"/>
      <c r="I2726" s="465"/>
      <c r="J2726" s="826">
        <v>0</v>
      </c>
      <c r="K2726" s="878">
        <v>0</v>
      </c>
    </row>
    <row r="2727" spans="1:11" ht="22.5" customHeight="1" x14ac:dyDescent="0.25">
      <c r="A2727" s="816" t="s">
        <v>317</v>
      </c>
      <c r="B2727" s="880">
        <v>2025</v>
      </c>
      <c r="C2727" s="816" t="s">
        <v>1901</v>
      </c>
      <c r="D2727" s="816" t="s">
        <v>1902</v>
      </c>
      <c r="E2727" s="816" t="s">
        <v>3374</v>
      </c>
      <c r="F2727" s="826">
        <v>0</v>
      </c>
      <c r="G2727" s="880">
        <v>0</v>
      </c>
      <c r="H2727" s="465"/>
      <c r="I2727" s="465"/>
      <c r="J2727" s="826">
        <v>0</v>
      </c>
      <c r="K2727" s="878">
        <v>0</v>
      </c>
    </row>
    <row r="2728" spans="1:11" ht="22.5" customHeight="1" x14ac:dyDescent="0.25">
      <c r="A2728" s="816" t="s">
        <v>317</v>
      </c>
      <c r="B2728" s="880">
        <v>2025</v>
      </c>
      <c r="C2728" s="816" t="s">
        <v>1904</v>
      </c>
      <c r="D2728" s="816" t="s">
        <v>1905</v>
      </c>
      <c r="E2728" s="816" t="s">
        <v>3375</v>
      </c>
      <c r="F2728" s="826">
        <v>0</v>
      </c>
      <c r="G2728" s="880">
        <v>0</v>
      </c>
      <c r="H2728" s="465"/>
      <c r="I2728" s="465"/>
      <c r="J2728" s="826">
        <v>0</v>
      </c>
      <c r="K2728" s="878">
        <v>0</v>
      </c>
    </row>
    <row r="2729" spans="1:11" ht="22.5" customHeight="1" x14ac:dyDescent="0.25">
      <c r="A2729" s="816" t="s">
        <v>317</v>
      </c>
      <c r="B2729" s="880">
        <v>2025</v>
      </c>
      <c r="C2729" s="816" t="s">
        <v>1907</v>
      </c>
      <c r="D2729" s="816" t="s">
        <v>1908</v>
      </c>
      <c r="E2729" s="816" t="s">
        <v>3376</v>
      </c>
      <c r="F2729" s="826">
        <v>0</v>
      </c>
      <c r="G2729" s="880">
        <v>0</v>
      </c>
      <c r="H2729" s="465"/>
      <c r="I2729" s="465"/>
      <c r="J2729" s="826">
        <v>0</v>
      </c>
      <c r="K2729" s="878">
        <v>0</v>
      </c>
    </row>
    <row r="2730" spans="1:11" ht="22.5" customHeight="1" x14ac:dyDescent="0.25">
      <c r="A2730" s="816" t="s">
        <v>317</v>
      </c>
      <c r="B2730" s="880">
        <v>2025</v>
      </c>
      <c r="C2730" s="816" t="s">
        <v>1910</v>
      </c>
      <c r="D2730" s="816" t="s">
        <v>1911</v>
      </c>
      <c r="E2730" s="816" t="s">
        <v>3377</v>
      </c>
      <c r="F2730" s="826">
        <v>0</v>
      </c>
      <c r="G2730" s="880">
        <v>0</v>
      </c>
      <c r="H2730" s="465"/>
      <c r="I2730" s="465"/>
      <c r="J2730" s="826">
        <v>0</v>
      </c>
      <c r="K2730" s="878">
        <v>0</v>
      </c>
    </row>
    <row r="2731" spans="1:11" ht="22.5" customHeight="1" x14ac:dyDescent="0.25">
      <c r="A2731" s="816" t="s">
        <v>317</v>
      </c>
      <c r="B2731" s="880">
        <v>2025</v>
      </c>
      <c r="C2731" s="816" t="s">
        <v>1913</v>
      </c>
      <c r="D2731" s="816" t="s">
        <v>1914</v>
      </c>
      <c r="E2731" s="816" t="s">
        <v>3378</v>
      </c>
      <c r="F2731" s="826">
        <v>-131380.16</v>
      </c>
      <c r="G2731" s="880">
        <v>1</v>
      </c>
      <c r="H2731" s="826">
        <v>-126581.47</v>
      </c>
      <c r="I2731" s="826">
        <v>-4798.6899999999996</v>
      </c>
      <c r="J2731" s="826">
        <v>-131380.16</v>
      </c>
      <c r="K2731" s="878">
        <v>-131380.16</v>
      </c>
    </row>
    <row r="2732" spans="1:11" ht="22.5" customHeight="1" x14ac:dyDescent="0.25">
      <c r="A2732" s="816" t="s">
        <v>317</v>
      </c>
      <c r="B2732" s="880">
        <v>2025</v>
      </c>
      <c r="C2732" s="816" t="s">
        <v>1913</v>
      </c>
      <c r="D2732" s="816" t="s">
        <v>1916</v>
      </c>
      <c r="E2732" s="816" t="s">
        <v>3378</v>
      </c>
      <c r="F2732" s="826">
        <v>0</v>
      </c>
      <c r="G2732" s="880">
        <v>0</v>
      </c>
      <c r="H2732" s="465"/>
      <c r="I2732" s="465"/>
      <c r="J2732" s="826">
        <v>0</v>
      </c>
      <c r="K2732" s="881">
        <v>0</v>
      </c>
    </row>
    <row r="2733" spans="1:11" ht="22.5" customHeight="1" x14ac:dyDescent="0.25">
      <c r="A2733" s="816" t="s">
        <v>317</v>
      </c>
      <c r="B2733" s="880">
        <v>2025</v>
      </c>
      <c r="C2733" s="816" t="s">
        <v>1913</v>
      </c>
      <c r="D2733" s="816" t="s">
        <v>1917</v>
      </c>
      <c r="E2733" s="816" t="s">
        <v>3378</v>
      </c>
      <c r="F2733" s="826">
        <v>0</v>
      </c>
      <c r="G2733" s="880">
        <v>0</v>
      </c>
      <c r="H2733" s="465"/>
      <c r="I2733" s="465"/>
      <c r="J2733" s="826">
        <v>0</v>
      </c>
      <c r="K2733" s="881">
        <v>0</v>
      </c>
    </row>
    <row r="2734" spans="1:11" ht="22.5" customHeight="1" x14ac:dyDescent="0.25">
      <c r="A2734" s="816" t="s">
        <v>317</v>
      </c>
      <c r="B2734" s="880">
        <v>2025</v>
      </c>
      <c r="C2734" s="816" t="s">
        <v>1913</v>
      </c>
      <c r="D2734" s="816" t="s">
        <v>1918</v>
      </c>
      <c r="E2734" s="816" t="s">
        <v>3378</v>
      </c>
      <c r="F2734" s="826">
        <v>0</v>
      </c>
      <c r="G2734" s="880">
        <v>0</v>
      </c>
      <c r="H2734" s="465"/>
      <c r="I2734" s="465"/>
      <c r="J2734" s="826">
        <v>0</v>
      </c>
      <c r="K2734" s="881">
        <v>237.93</v>
      </c>
    </row>
    <row r="2735" spans="1:11" ht="22.5" customHeight="1" x14ac:dyDescent="0.25">
      <c r="A2735" s="816" t="s">
        <v>317</v>
      </c>
      <c r="B2735" s="880">
        <v>2025</v>
      </c>
      <c r="C2735" s="816" t="s">
        <v>1913</v>
      </c>
      <c r="D2735" s="816" t="s">
        <v>1919</v>
      </c>
      <c r="E2735" s="816" t="s">
        <v>3378</v>
      </c>
      <c r="F2735" s="826">
        <v>0</v>
      </c>
      <c r="G2735" s="880">
        <v>0</v>
      </c>
      <c r="H2735" s="465"/>
      <c r="I2735" s="465"/>
      <c r="J2735" s="826">
        <v>0</v>
      </c>
      <c r="K2735" s="881">
        <v>27166.37</v>
      </c>
    </row>
    <row r="2736" spans="1:11" ht="22.5" customHeight="1" x14ac:dyDescent="0.25">
      <c r="A2736" s="816" t="s">
        <v>317</v>
      </c>
      <c r="B2736" s="880">
        <v>2025</v>
      </c>
      <c r="C2736" s="816" t="s">
        <v>1920</v>
      </c>
      <c r="D2736" s="816" t="s">
        <v>1921</v>
      </c>
      <c r="E2736" s="816" t="s">
        <v>3379</v>
      </c>
      <c r="F2736" s="826">
        <v>0</v>
      </c>
      <c r="G2736" s="880">
        <v>0</v>
      </c>
      <c r="H2736" s="465"/>
      <c r="I2736" s="465"/>
      <c r="J2736" s="826">
        <v>0</v>
      </c>
      <c r="K2736" s="878">
        <v>0</v>
      </c>
    </row>
    <row r="2737" spans="1:11" ht="22.5" customHeight="1" x14ac:dyDescent="0.25">
      <c r="A2737" s="816" t="s">
        <v>317</v>
      </c>
      <c r="B2737" s="880">
        <v>2025</v>
      </c>
      <c r="C2737" s="816" t="s">
        <v>1923</v>
      </c>
      <c r="D2737" s="816" t="s">
        <v>143</v>
      </c>
      <c r="E2737" s="816" t="s">
        <v>3380</v>
      </c>
      <c r="F2737" s="826">
        <v>130812.34</v>
      </c>
      <c r="G2737" s="880">
        <v>1</v>
      </c>
      <c r="H2737" s="826">
        <v>121391.57</v>
      </c>
      <c r="I2737" s="826">
        <v>9420.77</v>
      </c>
      <c r="J2737" s="826">
        <v>130812.34</v>
      </c>
      <c r="K2737" s="878">
        <v>130812.34</v>
      </c>
    </row>
    <row r="2738" spans="1:11" ht="22.5" customHeight="1" x14ac:dyDescent="0.25">
      <c r="A2738" s="816" t="s">
        <v>317</v>
      </c>
      <c r="B2738" s="880">
        <v>2025</v>
      </c>
      <c r="C2738" s="816" t="s">
        <v>1925</v>
      </c>
      <c r="D2738" s="816" t="s">
        <v>144</v>
      </c>
      <c r="E2738" s="816" t="s">
        <v>3381</v>
      </c>
      <c r="F2738" s="826">
        <v>131757.04999999999</v>
      </c>
      <c r="G2738" s="880">
        <v>1</v>
      </c>
      <c r="H2738" s="826">
        <v>122748.84</v>
      </c>
      <c r="I2738" s="826">
        <v>9008.2099999999991</v>
      </c>
      <c r="J2738" s="826">
        <v>131757.04999999999</v>
      </c>
      <c r="K2738" s="878">
        <v>131757.04999999999</v>
      </c>
    </row>
    <row r="2739" spans="1:11" ht="22.5" customHeight="1" x14ac:dyDescent="0.25">
      <c r="A2739" s="816" t="s">
        <v>317</v>
      </c>
      <c r="B2739" s="880">
        <v>2025</v>
      </c>
      <c r="C2739" s="816" t="s">
        <v>1927</v>
      </c>
      <c r="D2739" s="816" t="s">
        <v>1928</v>
      </c>
      <c r="E2739" s="816" t="s">
        <v>3382</v>
      </c>
      <c r="F2739" s="826">
        <v>73212.509999999995</v>
      </c>
      <c r="G2739" s="880">
        <v>1</v>
      </c>
      <c r="H2739" s="826">
        <v>68649.91</v>
      </c>
      <c r="I2739" s="826">
        <v>4562.6000000000004</v>
      </c>
      <c r="J2739" s="826">
        <v>73212.509999999995</v>
      </c>
      <c r="K2739" s="878">
        <v>73212.509999999995</v>
      </c>
    </row>
    <row r="2740" spans="1:11" ht="22.5" customHeight="1" x14ac:dyDescent="0.25">
      <c r="A2740" s="816" t="s">
        <v>317</v>
      </c>
      <c r="B2740" s="880">
        <v>2025</v>
      </c>
      <c r="C2740" s="816" t="s">
        <v>1930</v>
      </c>
      <c r="D2740" s="816" t="s">
        <v>156</v>
      </c>
      <c r="E2740" s="816" t="s">
        <v>3383</v>
      </c>
      <c r="F2740" s="826">
        <v>53406.75</v>
      </c>
      <c r="G2740" s="880">
        <v>1</v>
      </c>
      <c r="H2740" s="826">
        <v>48598.96</v>
      </c>
      <c r="I2740" s="826">
        <v>4807.79</v>
      </c>
      <c r="J2740" s="826">
        <v>53406.75</v>
      </c>
      <c r="K2740" s="878">
        <v>53406.75</v>
      </c>
    </row>
    <row r="2741" spans="1:11" ht="22.5" customHeight="1" x14ac:dyDescent="0.25">
      <c r="A2741" s="816" t="s">
        <v>317</v>
      </c>
      <c r="B2741" s="880">
        <v>2025</v>
      </c>
      <c r="C2741" s="816" t="s">
        <v>1932</v>
      </c>
      <c r="D2741" s="816" t="s">
        <v>1933</v>
      </c>
      <c r="E2741" s="816" t="s">
        <v>3384</v>
      </c>
      <c r="F2741" s="826">
        <v>-42689.13</v>
      </c>
      <c r="G2741" s="880">
        <v>0</v>
      </c>
      <c r="H2741" s="465"/>
      <c r="I2741" s="465"/>
      <c r="J2741" s="826">
        <v>0</v>
      </c>
      <c r="K2741" s="878">
        <v>-42689.13</v>
      </c>
    </row>
    <row r="2742" spans="1:11" ht="22.5" customHeight="1" x14ac:dyDescent="0.25">
      <c r="A2742" s="816" t="s">
        <v>317</v>
      </c>
      <c r="B2742" s="880">
        <v>2025</v>
      </c>
      <c r="C2742" s="816" t="s">
        <v>1935</v>
      </c>
      <c r="D2742" s="816" t="s">
        <v>1936</v>
      </c>
      <c r="E2742" s="816" t="s">
        <v>8742</v>
      </c>
      <c r="F2742" s="826">
        <v>0</v>
      </c>
      <c r="G2742" s="880">
        <v>1</v>
      </c>
      <c r="H2742" s="465"/>
      <c r="I2742" s="465"/>
      <c r="J2742" s="826">
        <v>0</v>
      </c>
      <c r="K2742" s="878">
        <v>0</v>
      </c>
    </row>
    <row r="2743" spans="1:11" ht="22.5" customHeight="1" x14ac:dyDescent="0.25">
      <c r="A2743" s="816" t="s">
        <v>317</v>
      </c>
      <c r="B2743" s="880">
        <v>2025</v>
      </c>
      <c r="C2743" s="816" t="s">
        <v>1935</v>
      </c>
      <c r="D2743" s="816" t="s">
        <v>1937</v>
      </c>
      <c r="E2743" s="816" t="s">
        <v>8743</v>
      </c>
      <c r="F2743" s="826">
        <v>0</v>
      </c>
      <c r="G2743" s="880">
        <v>1</v>
      </c>
      <c r="H2743" s="465"/>
      <c r="I2743" s="465"/>
      <c r="J2743" s="826">
        <v>0</v>
      </c>
      <c r="K2743" s="878">
        <v>0</v>
      </c>
    </row>
    <row r="2744" spans="1:11" ht="22.5" customHeight="1" x14ac:dyDescent="0.25">
      <c r="A2744" s="816" t="s">
        <v>317</v>
      </c>
      <c r="B2744" s="880">
        <v>2025</v>
      </c>
      <c r="C2744" s="816" t="s">
        <v>1935</v>
      </c>
      <c r="D2744" s="816" t="s">
        <v>1938</v>
      </c>
      <c r="E2744" s="816" t="s">
        <v>8744</v>
      </c>
      <c r="F2744" s="826">
        <v>0</v>
      </c>
      <c r="G2744" s="880">
        <v>1</v>
      </c>
      <c r="H2744" s="465"/>
      <c r="I2744" s="465"/>
      <c r="J2744" s="826">
        <v>0</v>
      </c>
      <c r="K2744" s="878">
        <v>0</v>
      </c>
    </row>
    <row r="2745" spans="1:11" ht="22.5" customHeight="1" x14ac:dyDescent="0.25">
      <c r="A2745" s="816" t="s">
        <v>317</v>
      </c>
      <c r="B2745" s="880">
        <v>2025</v>
      </c>
      <c r="C2745" s="816" t="s">
        <v>1935</v>
      </c>
      <c r="D2745" s="816" t="s">
        <v>1939</v>
      </c>
      <c r="E2745" s="816" t="s">
        <v>8745</v>
      </c>
      <c r="F2745" s="826">
        <v>0</v>
      </c>
      <c r="G2745" s="880">
        <v>1</v>
      </c>
      <c r="H2745" s="465"/>
      <c r="I2745" s="465"/>
      <c r="J2745" s="826">
        <v>0</v>
      </c>
      <c r="K2745" s="878">
        <v>0</v>
      </c>
    </row>
    <row r="2746" spans="1:11" ht="22.5" customHeight="1" x14ac:dyDescent="0.25">
      <c r="A2746" s="816" t="s">
        <v>317</v>
      </c>
      <c r="B2746" s="880">
        <v>2025</v>
      </c>
      <c r="C2746" s="816" t="s">
        <v>1935</v>
      </c>
      <c r="D2746" s="816" t="s">
        <v>1940</v>
      </c>
      <c r="E2746" s="816" t="s">
        <v>8746</v>
      </c>
      <c r="F2746" s="826">
        <v>0</v>
      </c>
      <c r="G2746" s="880">
        <v>1</v>
      </c>
      <c r="H2746" s="465"/>
      <c r="I2746" s="465"/>
      <c r="J2746" s="826">
        <v>0</v>
      </c>
      <c r="K2746" s="878">
        <v>0</v>
      </c>
    </row>
    <row r="2747" spans="1:11" ht="22.5" customHeight="1" x14ac:dyDescent="0.25">
      <c r="A2747" s="816" t="s">
        <v>317</v>
      </c>
      <c r="B2747" s="880">
        <v>2025</v>
      </c>
      <c r="C2747" s="816" t="s">
        <v>1935</v>
      </c>
      <c r="D2747" s="816" t="s">
        <v>1941</v>
      </c>
      <c r="E2747" s="816" t="s">
        <v>8747</v>
      </c>
      <c r="F2747" s="826">
        <v>0</v>
      </c>
      <c r="G2747" s="880">
        <v>1</v>
      </c>
      <c r="H2747" s="465"/>
      <c r="I2747" s="465"/>
      <c r="J2747" s="826">
        <v>0</v>
      </c>
      <c r="K2747" s="878">
        <v>0</v>
      </c>
    </row>
    <row r="2748" spans="1:11" ht="22.5" customHeight="1" x14ac:dyDescent="0.25">
      <c r="A2748" s="816" t="s">
        <v>317</v>
      </c>
      <c r="B2748" s="880">
        <v>2025</v>
      </c>
      <c r="C2748" s="816" t="s">
        <v>1935</v>
      </c>
      <c r="D2748" s="816" t="s">
        <v>1942</v>
      </c>
      <c r="E2748" s="816" t="s">
        <v>8748</v>
      </c>
      <c r="F2748" s="826">
        <v>0</v>
      </c>
      <c r="G2748" s="880">
        <v>1</v>
      </c>
      <c r="H2748" s="465"/>
      <c r="I2748" s="465"/>
      <c r="J2748" s="826">
        <v>0</v>
      </c>
      <c r="K2748" s="878">
        <v>0</v>
      </c>
    </row>
    <row r="2749" spans="1:11" ht="22.5" customHeight="1" x14ac:dyDescent="0.25">
      <c r="A2749" s="816" t="s">
        <v>317</v>
      </c>
      <c r="B2749" s="880">
        <v>2025</v>
      </c>
      <c r="C2749" s="816" t="s">
        <v>1935</v>
      </c>
      <c r="D2749" s="816" t="s">
        <v>1943</v>
      </c>
      <c r="E2749" s="816" t="s">
        <v>8749</v>
      </c>
      <c r="F2749" s="826">
        <v>0</v>
      </c>
      <c r="G2749" s="880">
        <v>1</v>
      </c>
      <c r="H2749" s="465"/>
      <c r="I2749" s="465"/>
      <c r="J2749" s="826">
        <v>0</v>
      </c>
      <c r="K2749" s="878">
        <v>0</v>
      </c>
    </row>
    <row r="2750" spans="1:11" ht="22.5" customHeight="1" x14ac:dyDescent="0.25">
      <c r="A2750" s="816" t="s">
        <v>317</v>
      </c>
      <c r="B2750" s="880">
        <v>2025</v>
      </c>
      <c r="C2750" s="816" t="s">
        <v>1935</v>
      </c>
      <c r="D2750" s="816" t="s">
        <v>1944</v>
      </c>
      <c r="E2750" s="816" t="s">
        <v>8750</v>
      </c>
      <c r="F2750" s="826">
        <v>0</v>
      </c>
      <c r="G2750" s="880">
        <v>1</v>
      </c>
      <c r="H2750" s="465"/>
      <c r="I2750" s="465"/>
      <c r="J2750" s="826">
        <v>0</v>
      </c>
      <c r="K2750" s="878">
        <v>0</v>
      </c>
    </row>
    <row r="2751" spans="1:11" ht="22.5" customHeight="1" x14ac:dyDescent="0.25">
      <c r="A2751" s="816" t="s">
        <v>317</v>
      </c>
      <c r="B2751" s="880">
        <v>2025</v>
      </c>
      <c r="C2751" s="816" t="s">
        <v>1935</v>
      </c>
      <c r="D2751" s="816" t="s">
        <v>1945</v>
      </c>
      <c r="E2751" s="816" t="s">
        <v>8751</v>
      </c>
      <c r="F2751" s="826">
        <v>0</v>
      </c>
      <c r="G2751" s="880">
        <v>1</v>
      </c>
      <c r="H2751" s="465"/>
      <c r="I2751" s="465"/>
      <c r="J2751" s="826">
        <v>0</v>
      </c>
      <c r="K2751" s="878">
        <v>0</v>
      </c>
    </row>
    <row r="2752" spans="1:11" ht="22.5" customHeight="1" x14ac:dyDescent="0.25">
      <c r="A2752" s="816" t="s">
        <v>317</v>
      </c>
      <c r="B2752" s="880">
        <v>2025</v>
      </c>
      <c r="C2752" s="816" t="s">
        <v>1935</v>
      </c>
      <c r="D2752" s="816" t="s">
        <v>1946</v>
      </c>
      <c r="E2752" s="816" t="s">
        <v>8752</v>
      </c>
      <c r="F2752" s="826">
        <v>0</v>
      </c>
      <c r="G2752" s="880">
        <v>1</v>
      </c>
      <c r="H2752" s="465"/>
      <c r="I2752" s="465"/>
      <c r="J2752" s="826">
        <v>0</v>
      </c>
      <c r="K2752" s="878">
        <v>0</v>
      </c>
    </row>
    <row r="2753" spans="1:11" ht="22.5" customHeight="1" x14ac:dyDescent="0.25">
      <c r="A2753" s="816" t="s">
        <v>317</v>
      </c>
      <c r="B2753" s="880">
        <v>2025</v>
      </c>
      <c r="C2753" s="816" t="s">
        <v>1935</v>
      </c>
      <c r="D2753" s="816" t="s">
        <v>1947</v>
      </c>
      <c r="E2753" s="816" t="s">
        <v>8753</v>
      </c>
      <c r="F2753" s="826">
        <v>0</v>
      </c>
      <c r="G2753" s="880">
        <v>1</v>
      </c>
      <c r="H2753" s="465"/>
      <c r="I2753" s="465"/>
      <c r="J2753" s="826">
        <v>0</v>
      </c>
      <c r="K2753" s="878">
        <v>0</v>
      </c>
    </row>
    <row r="2754" spans="1:11" ht="22.5" customHeight="1" x14ac:dyDescent="0.25">
      <c r="A2754" s="816" t="s">
        <v>317</v>
      </c>
      <c r="B2754" s="880">
        <v>2025</v>
      </c>
      <c r="C2754" s="816" t="s">
        <v>1935</v>
      </c>
      <c r="D2754" s="816" t="s">
        <v>1948</v>
      </c>
      <c r="E2754" s="816" t="s">
        <v>8754</v>
      </c>
      <c r="F2754" s="826">
        <v>0</v>
      </c>
      <c r="G2754" s="880">
        <v>1</v>
      </c>
      <c r="H2754" s="465"/>
      <c r="I2754" s="465"/>
      <c r="J2754" s="826">
        <v>0</v>
      </c>
      <c r="K2754" s="878">
        <v>0</v>
      </c>
    </row>
    <row r="2755" spans="1:11" ht="22.5" customHeight="1" x14ac:dyDescent="0.25">
      <c r="A2755" s="816" t="s">
        <v>317</v>
      </c>
      <c r="B2755" s="880">
        <v>2025</v>
      </c>
      <c r="C2755" s="816" t="s">
        <v>1935</v>
      </c>
      <c r="D2755" s="816" t="s">
        <v>1949</v>
      </c>
      <c r="E2755" s="816" t="s">
        <v>8755</v>
      </c>
      <c r="F2755" s="826">
        <v>0</v>
      </c>
      <c r="G2755" s="880">
        <v>1</v>
      </c>
      <c r="H2755" s="826">
        <v>-48052.67</v>
      </c>
      <c r="I2755" s="826">
        <v>3635.31</v>
      </c>
      <c r="J2755" s="826">
        <v>-44417.36</v>
      </c>
      <c r="K2755" s="878">
        <v>-44417.36</v>
      </c>
    </row>
    <row r="2756" spans="1:11" ht="22.5" customHeight="1" x14ac:dyDescent="0.25">
      <c r="A2756" s="816" t="s">
        <v>317</v>
      </c>
      <c r="B2756" s="880">
        <v>2025</v>
      </c>
      <c r="C2756" s="816" t="s">
        <v>1935</v>
      </c>
      <c r="D2756" s="816" t="s">
        <v>1950</v>
      </c>
      <c r="E2756" s="816" t="s">
        <v>8756</v>
      </c>
      <c r="F2756" s="826">
        <v>0</v>
      </c>
      <c r="G2756" s="880">
        <v>1</v>
      </c>
      <c r="H2756" s="826">
        <v>-35963.86</v>
      </c>
      <c r="I2756" s="826">
        <v>-138.86000000000001</v>
      </c>
      <c r="J2756" s="826">
        <v>-36102.720000000001</v>
      </c>
      <c r="K2756" s="878">
        <v>-36102.720000000001</v>
      </c>
    </row>
    <row r="2757" spans="1:11" ht="22.5" customHeight="1" x14ac:dyDescent="0.25">
      <c r="A2757" s="816" t="s">
        <v>317</v>
      </c>
      <c r="B2757" s="880">
        <v>2025</v>
      </c>
      <c r="C2757" s="816" t="s">
        <v>1935</v>
      </c>
      <c r="D2757" s="816" t="s">
        <v>1951</v>
      </c>
      <c r="E2757" s="816" t="s">
        <v>8757</v>
      </c>
      <c r="F2757" s="826">
        <v>0</v>
      </c>
      <c r="G2757" s="880">
        <v>1</v>
      </c>
      <c r="H2757" s="826">
        <v>-38859.33</v>
      </c>
      <c r="I2757" s="826">
        <v>-547.28</v>
      </c>
      <c r="J2757" s="826">
        <v>-39406.61</v>
      </c>
      <c r="K2757" s="878">
        <v>-39406.61</v>
      </c>
    </row>
    <row r="2758" spans="1:11" ht="22.5" customHeight="1" x14ac:dyDescent="0.25">
      <c r="A2758" s="816" t="s">
        <v>317</v>
      </c>
      <c r="B2758" s="880">
        <v>2025</v>
      </c>
      <c r="C2758" s="816" t="s">
        <v>1935</v>
      </c>
      <c r="D2758" s="816" t="s">
        <v>7801</v>
      </c>
      <c r="E2758" s="816" t="s">
        <v>8758</v>
      </c>
      <c r="F2758" s="826">
        <v>0</v>
      </c>
      <c r="G2758" s="880">
        <v>1</v>
      </c>
      <c r="H2758" s="826">
        <v>120669.61</v>
      </c>
      <c r="I2758" s="826">
        <v>6766.62</v>
      </c>
      <c r="J2758" s="826">
        <v>127436.23</v>
      </c>
      <c r="K2758" s="878">
        <v>127436.23</v>
      </c>
    </row>
    <row r="2759" spans="1:11" ht="22.5" customHeight="1" x14ac:dyDescent="0.25">
      <c r="A2759" s="816" t="s">
        <v>317</v>
      </c>
      <c r="B2759" s="880">
        <v>2025</v>
      </c>
      <c r="C2759" s="816" t="s">
        <v>1935</v>
      </c>
      <c r="D2759" s="816" t="s">
        <v>1952</v>
      </c>
      <c r="E2759" s="816" t="s">
        <v>8759</v>
      </c>
      <c r="F2759" s="826">
        <v>7509.54</v>
      </c>
      <c r="G2759" s="880">
        <v>0</v>
      </c>
      <c r="H2759" s="465"/>
      <c r="I2759" s="465"/>
      <c r="J2759" s="826">
        <v>0</v>
      </c>
      <c r="K2759" s="878">
        <v>7509.54</v>
      </c>
    </row>
    <row r="2760" spans="1:11" ht="22.5" customHeight="1" x14ac:dyDescent="0.25">
      <c r="A2760" s="816" t="s">
        <v>317</v>
      </c>
      <c r="B2760" s="880">
        <v>2025</v>
      </c>
      <c r="C2760" s="816" t="s">
        <v>1953</v>
      </c>
      <c r="D2760" s="816" t="s">
        <v>1954</v>
      </c>
      <c r="E2760" s="816" t="s">
        <v>3385</v>
      </c>
      <c r="F2760" s="826">
        <v>0</v>
      </c>
      <c r="G2760" s="880">
        <v>0</v>
      </c>
      <c r="H2760" s="465"/>
      <c r="I2760" s="465"/>
      <c r="J2760" s="826">
        <v>0</v>
      </c>
      <c r="K2760" s="878">
        <v>0</v>
      </c>
    </row>
    <row r="2761" spans="1:11" ht="22.5" customHeight="1" x14ac:dyDescent="0.25">
      <c r="A2761" s="816" t="s">
        <v>319</v>
      </c>
      <c r="B2761" s="880">
        <v>2025</v>
      </c>
      <c r="C2761" s="816" t="s">
        <v>1854</v>
      </c>
      <c r="D2761" s="816" t="s">
        <v>1855</v>
      </c>
      <c r="E2761" s="816" t="s">
        <v>3386</v>
      </c>
      <c r="F2761" s="826">
        <v>35976.660000000003</v>
      </c>
      <c r="G2761" s="880">
        <v>0</v>
      </c>
      <c r="H2761" s="465"/>
      <c r="I2761" s="465"/>
      <c r="J2761" s="826">
        <v>0</v>
      </c>
      <c r="K2761" s="878">
        <v>35976.660000000003</v>
      </c>
    </row>
    <row r="2762" spans="1:11" ht="22.5" customHeight="1" x14ac:dyDescent="0.25">
      <c r="A2762" s="816" t="s">
        <v>319</v>
      </c>
      <c r="B2762" s="880">
        <v>2025</v>
      </c>
      <c r="C2762" s="816" t="s">
        <v>7746</v>
      </c>
      <c r="D2762" s="816" t="s">
        <v>7747</v>
      </c>
      <c r="E2762" s="816" t="s">
        <v>7800</v>
      </c>
      <c r="F2762" s="826">
        <v>0</v>
      </c>
      <c r="G2762" s="880">
        <v>0</v>
      </c>
      <c r="H2762" s="465"/>
      <c r="I2762" s="465"/>
      <c r="J2762" s="826">
        <v>0</v>
      </c>
      <c r="K2762" s="878">
        <v>0</v>
      </c>
    </row>
    <row r="2763" spans="1:11" ht="22.5" customHeight="1" x14ac:dyDescent="0.25">
      <c r="A2763" s="816" t="s">
        <v>319</v>
      </c>
      <c r="B2763" s="880">
        <v>2025</v>
      </c>
      <c r="C2763" s="816" t="s">
        <v>1857</v>
      </c>
      <c r="D2763" s="816" t="s">
        <v>1858</v>
      </c>
      <c r="E2763" s="816" t="s">
        <v>3387</v>
      </c>
      <c r="F2763" s="826">
        <v>0</v>
      </c>
      <c r="G2763" s="880">
        <v>0</v>
      </c>
      <c r="H2763" s="465"/>
      <c r="I2763" s="465"/>
      <c r="J2763" s="826">
        <v>0</v>
      </c>
      <c r="K2763" s="878">
        <v>0</v>
      </c>
    </row>
    <row r="2764" spans="1:11" ht="22.5" customHeight="1" x14ac:dyDescent="0.25">
      <c r="A2764" s="816" t="s">
        <v>319</v>
      </c>
      <c r="B2764" s="880">
        <v>2025</v>
      </c>
      <c r="C2764" s="816" t="s">
        <v>1860</v>
      </c>
      <c r="D2764" s="816" t="s">
        <v>1861</v>
      </c>
      <c r="E2764" s="816" t="s">
        <v>3388</v>
      </c>
      <c r="F2764" s="826">
        <v>0</v>
      </c>
      <c r="G2764" s="880">
        <v>0</v>
      </c>
      <c r="H2764" s="465"/>
      <c r="I2764" s="465"/>
      <c r="J2764" s="826">
        <v>0</v>
      </c>
      <c r="K2764" s="878">
        <v>0</v>
      </c>
    </row>
    <row r="2765" spans="1:11" ht="22.5" customHeight="1" x14ac:dyDescent="0.25">
      <c r="A2765" s="816" t="s">
        <v>319</v>
      </c>
      <c r="B2765" s="880">
        <v>2025</v>
      </c>
      <c r="C2765" s="816" t="s">
        <v>1863</v>
      </c>
      <c r="D2765" s="816" t="s">
        <v>1864</v>
      </c>
      <c r="E2765" s="816" t="s">
        <v>3389</v>
      </c>
      <c r="F2765" s="826">
        <v>24072</v>
      </c>
      <c r="G2765" s="880">
        <v>0</v>
      </c>
      <c r="H2765" s="465"/>
      <c r="I2765" s="465"/>
      <c r="J2765" s="826">
        <v>0</v>
      </c>
      <c r="K2765" s="878">
        <v>24072</v>
      </c>
    </row>
    <row r="2766" spans="1:11" ht="22.5" customHeight="1" x14ac:dyDescent="0.25">
      <c r="A2766" s="816" t="s">
        <v>319</v>
      </c>
      <c r="B2766" s="880">
        <v>2025</v>
      </c>
      <c r="C2766" s="816" t="s">
        <v>1866</v>
      </c>
      <c r="D2766" s="816" t="s">
        <v>1867</v>
      </c>
      <c r="E2766" s="816" t="s">
        <v>3390</v>
      </c>
      <c r="F2766" s="826">
        <v>0</v>
      </c>
      <c r="G2766" s="880">
        <v>0</v>
      </c>
      <c r="H2766" s="465"/>
      <c r="I2766" s="465"/>
      <c r="J2766" s="826">
        <v>0</v>
      </c>
      <c r="K2766" s="878">
        <v>0</v>
      </c>
    </row>
    <row r="2767" spans="1:11" ht="22.5" customHeight="1" x14ac:dyDescent="0.25">
      <c r="A2767" s="816" t="s">
        <v>319</v>
      </c>
      <c r="B2767" s="880">
        <v>2025</v>
      </c>
      <c r="C2767" s="816" t="s">
        <v>1869</v>
      </c>
      <c r="D2767" s="816" t="s">
        <v>1870</v>
      </c>
      <c r="E2767" s="816" t="s">
        <v>3391</v>
      </c>
      <c r="F2767" s="826">
        <v>0</v>
      </c>
      <c r="G2767" s="880">
        <v>0</v>
      </c>
      <c r="H2767" s="465"/>
      <c r="I2767" s="465"/>
      <c r="J2767" s="826">
        <v>0</v>
      </c>
      <c r="K2767" s="878">
        <v>0</v>
      </c>
    </row>
    <row r="2768" spans="1:11" ht="22.5" customHeight="1" x14ac:dyDescent="0.25">
      <c r="A2768" s="816" t="s">
        <v>319</v>
      </c>
      <c r="B2768" s="880">
        <v>2025</v>
      </c>
      <c r="C2768" s="816" t="s">
        <v>1872</v>
      </c>
      <c r="D2768" s="816" t="s">
        <v>1873</v>
      </c>
      <c r="E2768" s="816" t="s">
        <v>3392</v>
      </c>
      <c r="F2768" s="826">
        <v>0</v>
      </c>
      <c r="G2768" s="880">
        <v>0</v>
      </c>
      <c r="H2768" s="465"/>
      <c r="I2768" s="465"/>
      <c r="J2768" s="826">
        <v>0</v>
      </c>
      <c r="K2768" s="878">
        <v>0</v>
      </c>
    </row>
    <row r="2769" spans="1:11" ht="22.5" customHeight="1" x14ac:dyDescent="0.25">
      <c r="A2769" s="816" t="s">
        <v>319</v>
      </c>
      <c r="B2769" s="880">
        <v>2025</v>
      </c>
      <c r="C2769" s="816" t="s">
        <v>1875</v>
      </c>
      <c r="D2769" s="816" t="s">
        <v>1876</v>
      </c>
      <c r="E2769" s="816" t="s">
        <v>3393</v>
      </c>
      <c r="F2769" s="826">
        <v>0</v>
      </c>
      <c r="G2769" s="880">
        <v>0</v>
      </c>
      <c r="H2769" s="465"/>
      <c r="I2769" s="465"/>
      <c r="J2769" s="826">
        <v>0</v>
      </c>
      <c r="K2769" s="878">
        <v>0</v>
      </c>
    </row>
    <row r="2770" spans="1:11" ht="22.5" customHeight="1" x14ac:dyDescent="0.25">
      <c r="A2770" s="816" t="s">
        <v>319</v>
      </c>
      <c r="B2770" s="880">
        <v>2025</v>
      </c>
      <c r="C2770" s="816" t="s">
        <v>1878</v>
      </c>
      <c r="D2770" s="816" t="s">
        <v>1879</v>
      </c>
      <c r="E2770" s="816" t="s">
        <v>3394</v>
      </c>
      <c r="F2770" s="826">
        <v>0</v>
      </c>
      <c r="G2770" s="880">
        <v>0</v>
      </c>
      <c r="H2770" s="465"/>
      <c r="I2770" s="465"/>
      <c r="J2770" s="826">
        <v>0</v>
      </c>
      <c r="K2770" s="878">
        <v>0</v>
      </c>
    </row>
    <row r="2771" spans="1:11" ht="22.5" customHeight="1" x14ac:dyDescent="0.25">
      <c r="A2771" s="816" t="s">
        <v>319</v>
      </c>
      <c r="B2771" s="880">
        <v>2025</v>
      </c>
      <c r="C2771" s="816" t="s">
        <v>1881</v>
      </c>
      <c r="D2771" s="816" t="s">
        <v>1882</v>
      </c>
      <c r="E2771" s="816" t="s">
        <v>3395</v>
      </c>
      <c r="F2771" s="826">
        <v>0</v>
      </c>
      <c r="G2771" s="880">
        <v>0</v>
      </c>
      <c r="H2771" s="465"/>
      <c r="I2771" s="465"/>
      <c r="J2771" s="826">
        <v>0</v>
      </c>
      <c r="K2771" s="878">
        <v>0</v>
      </c>
    </row>
    <row r="2772" spans="1:11" ht="22.5" customHeight="1" x14ac:dyDescent="0.25">
      <c r="A2772" s="816" t="s">
        <v>319</v>
      </c>
      <c r="B2772" s="880">
        <v>2025</v>
      </c>
      <c r="C2772" s="816" t="s">
        <v>1884</v>
      </c>
      <c r="D2772" s="816" t="s">
        <v>1885</v>
      </c>
      <c r="E2772" s="816" t="s">
        <v>3396</v>
      </c>
      <c r="F2772" s="826">
        <v>0</v>
      </c>
      <c r="G2772" s="880">
        <v>0</v>
      </c>
      <c r="H2772" s="465"/>
      <c r="I2772" s="465"/>
      <c r="J2772" s="826">
        <v>0</v>
      </c>
      <c r="K2772" s="878">
        <v>0</v>
      </c>
    </row>
    <row r="2773" spans="1:11" ht="22.5" customHeight="1" x14ac:dyDescent="0.25">
      <c r="A2773" s="816" t="s">
        <v>319</v>
      </c>
      <c r="B2773" s="880">
        <v>2025</v>
      </c>
      <c r="C2773" s="816" t="s">
        <v>1887</v>
      </c>
      <c r="D2773" s="816" t="s">
        <v>138</v>
      </c>
      <c r="E2773" s="816" t="s">
        <v>3397</v>
      </c>
      <c r="F2773" s="826">
        <v>548181.72</v>
      </c>
      <c r="G2773" s="880">
        <v>1</v>
      </c>
      <c r="H2773" s="826">
        <v>515838.54</v>
      </c>
      <c r="I2773" s="826">
        <v>32343.18</v>
      </c>
      <c r="J2773" s="826">
        <v>548181.72</v>
      </c>
      <c r="K2773" s="878">
        <v>548181.72</v>
      </c>
    </row>
    <row r="2774" spans="1:11" ht="22.5" customHeight="1" x14ac:dyDescent="0.25">
      <c r="A2774" s="816" t="s">
        <v>319</v>
      </c>
      <c r="B2774" s="880">
        <v>2025</v>
      </c>
      <c r="C2774" s="816" t="s">
        <v>1889</v>
      </c>
      <c r="D2774" s="816" t="s">
        <v>139</v>
      </c>
      <c r="E2774" s="816" t="s">
        <v>3398</v>
      </c>
      <c r="F2774" s="826">
        <v>-75624.850000000006</v>
      </c>
      <c r="G2774" s="880">
        <v>1</v>
      </c>
      <c r="H2774" s="826">
        <v>-70955.7</v>
      </c>
      <c r="I2774" s="826">
        <v>-4669.1499999999996</v>
      </c>
      <c r="J2774" s="826">
        <v>-75624.850000000006</v>
      </c>
      <c r="K2774" s="878">
        <v>-75624.850000000006</v>
      </c>
    </row>
    <row r="2775" spans="1:11" ht="22.5" customHeight="1" x14ac:dyDescent="0.25">
      <c r="A2775" s="816" t="s">
        <v>319</v>
      </c>
      <c r="B2775" s="880">
        <v>2025</v>
      </c>
      <c r="C2775" s="816" t="s">
        <v>1891</v>
      </c>
      <c r="D2775" s="816" t="s">
        <v>1892</v>
      </c>
      <c r="E2775" s="816" t="s">
        <v>3399</v>
      </c>
      <c r="F2775" s="826">
        <v>0</v>
      </c>
      <c r="G2775" s="880">
        <v>0</v>
      </c>
      <c r="H2775" s="465"/>
      <c r="I2775" s="465"/>
      <c r="J2775" s="826">
        <v>0</v>
      </c>
      <c r="K2775" s="878">
        <v>0</v>
      </c>
    </row>
    <row r="2776" spans="1:11" ht="22.5" customHeight="1" x14ac:dyDescent="0.25">
      <c r="A2776" s="816" t="s">
        <v>319</v>
      </c>
      <c r="B2776" s="880">
        <v>2025</v>
      </c>
      <c r="C2776" s="816" t="s">
        <v>1891</v>
      </c>
      <c r="D2776" s="816" t="s">
        <v>1894</v>
      </c>
      <c r="E2776" s="816" t="s">
        <v>3399</v>
      </c>
      <c r="F2776" s="826">
        <v>0</v>
      </c>
      <c r="G2776" s="880">
        <v>0</v>
      </c>
      <c r="H2776" s="465"/>
      <c r="I2776" s="465"/>
      <c r="J2776" s="826">
        <v>0</v>
      </c>
      <c r="K2776" s="881">
        <v>0</v>
      </c>
    </row>
    <row r="2777" spans="1:11" ht="22.5" customHeight="1" x14ac:dyDescent="0.25">
      <c r="A2777" s="816" t="s">
        <v>319</v>
      </c>
      <c r="B2777" s="880">
        <v>2025</v>
      </c>
      <c r="C2777" s="816" t="s">
        <v>1895</v>
      </c>
      <c r="D2777" s="816" t="s">
        <v>1896</v>
      </c>
      <c r="E2777" s="816" t="s">
        <v>3400</v>
      </c>
      <c r="F2777" s="826">
        <v>0</v>
      </c>
      <c r="G2777" s="880">
        <v>0</v>
      </c>
      <c r="H2777" s="465"/>
      <c r="I2777" s="465"/>
      <c r="J2777" s="826">
        <v>0</v>
      </c>
      <c r="K2777" s="878">
        <v>0</v>
      </c>
    </row>
    <row r="2778" spans="1:11" ht="22.5" customHeight="1" x14ac:dyDescent="0.25">
      <c r="A2778" s="816" t="s">
        <v>319</v>
      </c>
      <c r="B2778" s="880">
        <v>2025</v>
      </c>
      <c r="C2778" s="816" t="s">
        <v>1898</v>
      </c>
      <c r="D2778" s="816" t="s">
        <v>1899</v>
      </c>
      <c r="E2778" s="816" t="s">
        <v>3401</v>
      </c>
      <c r="F2778" s="826">
        <v>0</v>
      </c>
      <c r="G2778" s="880">
        <v>0</v>
      </c>
      <c r="H2778" s="465"/>
      <c r="I2778" s="465"/>
      <c r="J2778" s="826">
        <v>0</v>
      </c>
      <c r="K2778" s="878">
        <v>0</v>
      </c>
    </row>
    <row r="2779" spans="1:11" ht="22.5" customHeight="1" x14ac:dyDescent="0.25">
      <c r="A2779" s="816" t="s">
        <v>319</v>
      </c>
      <c r="B2779" s="880">
        <v>2025</v>
      </c>
      <c r="C2779" s="816" t="s">
        <v>1901</v>
      </c>
      <c r="D2779" s="816" t="s">
        <v>1902</v>
      </c>
      <c r="E2779" s="816" t="s">
        <v>3402</v>
      </c>
      <c r="F2779" s="826">
        <v>0</v>
      </c>
      <c r="G2779" s="880">
        <v>0</v>
      </c>
      <c r="H2779" s="465"/>
      <c r="I2779" s="465"/>
      <c r="J2779" s="826">
        <v>0</v>
      </c>
      <c r="K2779" s="878">
        <v>0</v>
      </c>
    </row>
    <row r="2780" spans="1:11" ht="22.5" customHeight="1" x14ac:dyDescent="0.25">
      <c r="A2780" s="816" t="s">
        <v>319</v>
      </c>
      <c r="B2780" s="880">
        <v>2025</v>
      </c>
      <c r="C2780" s="816" t="s">
        <v>1904</v>
      </c>
      <c r="D2780" s="816" t="s">
        <v>1905</v>
      </c>
      <c r="E2780" s="816" t="s">
        <v>3403</v>
      </c>
      <c r="F2780" s="826">
        <v>0</v>
      </c>
      <c r="G2780" s="880">
        <v>0</v>
      </c>
      <c r="H2780" s="465"/>
      <c r="I2780" s="465"/>
      <c r="J2780" s="826">
        <v>0</v>
      </c>
      <c r="K2780" s="878">
        <v>0</v>
      </c>
    </row>
    <row r="2781" spans="1:11" ht="22.5" customHeight="1" x14ac:dyDescent="0.25">
      <c r="A2781" s="816" t="s">
        <v>319</v>
      </c>
      <c r="B2781" s="880">
        <v>2025</v>
      </c>
      <c r="C2781" s="816" t="s">
        <v>1907</v>
      </c>
      <c r="D2781" s="816" t="s">
        <v>1908</v>
      </c>
      <c r="E2781" s="816" t="s">
        <v>3404</v>
      </c>
      <c r="F2781" s="826">
        <v>0</v>
      </c>
      <c r="G2781" s="880">
        <v>0</v>
      </c>
      <c r="H2781" s="465"/>
      <c r="I2781" s="465"/>
      <c r="J2781" s="826">
        <v>0</v>
      </c>
      <c r="K2781" s="878">
        <v>0</v>
      </c>
    </row>
    <row r="2782" spans="1:11" ht="22.5" customHeight="1" x14ac:dyDescent="0.25">
      <c r="A2782" s="816" t="s">
        <v>319</v>
      </c>
      <c r="B2782" s="880">
        <v>2025</v>
      </c>
      <c r="C2782" s="816" t="s">
        <v>1910</v>
      </c>
      <c r="D2782" s="816" t="s">
        <v>1911</v>
      </c>
      <c r="E2782" s="816" t="s">
        <v>3405</v>
      </c>
      <c r="F2782" s="826">
        <v>0</v>
      </c>
      <c r="G2782" s="880">
        <v>0</v>
      </c>
      <c r="H2782" s="465"/>
      <c r="I2782" s="465"/>
      <c r="J2782" s="826">
        <v>0</v>
      </c>
      <c r="K2782" s="878">
        <v>0</v>
      </c>
    </row>
    <row r="2783" spans="1:11" ht="22.5" customHeight="1" x14ac:dyDescent="0.25">
      <c r="A2783" s="816" t="s">
        <v>319</v>
      </c>
      <c r="B2783" s="880">
        <v>2025</v>
      </c>
      <c r="C2783" s="816" t="s">
        <v>1913</v>
      </c>
      <c r="D2783" s="816" t="s">
        <v>1914</v>
      </c>
      <c r="E2783" s="816" t="s">
        <v>3406</v>
      </c>
      <c r="F2783" s="826">
        <v>602350.30000000005</v>
      </c>
      <c r="G2783" s="880">
        <v>1</v>
      </c>
      <c r="H2783" s="826">
        <v>520190.66</v>
      </c>
      <c r="I2783" s="826">
        <v>82159.64</v>
      </c>
      <c r="J2783" s="826">
        <v>602350.30000000005</v>
      </c>
      <c r="K2783" s="878">
        <v>602350.30000000005</v>
      </c>
    </row>
    <row r="2784" spans="1:11" ht="22.5" customHeight="1" x14ac:dyDescent="0.25">
      <c r="A2784" s="816" t="s">
        <v>319</v>
      </c>
      <c r="B2784" s="880">
        <v>2025</v>
      </c>
      <c r="C2784" s="816" t="s">
        <v>1913</v>
      </c>
      <c r="D2784" s="816" t="s">
        <v>1916</v>
      </c>
      <c r="E2784" s="816" t="s">
        <v>3406</v>
      </c>
      <c r="F2784" s="826">
        <v>0</v>
      </c>
      <c r="G2784" s="880">
        <v>0</v>
      </c>
      <c r="H2784" s="465"/>
      <c r="I2784" s="465"/>
      <c r="J2784" s="826">
        <v>0</v>
      </c>
      <c r="K2784" s="881">
        <v>0</v>
      </c>
    </row>
    <row r="2785" spans="1:11" ht="22.5" customHeight="1" x14ac:dyDescent="0.25">
      <c r="A2785" s="816" t="s">
        <v>319</v>
      </c>
      <c r="B2785" s="880">
        <v>2025</v>
      </c>
      <c r="C2785" s="816" t="s">
        <v>1913</v>
      </c>
      <c r="D2785" s="816" t="s">
        <v>1917</v>
      </c>
      <c r="E2785" s="816" t="s">
        <v>3406</v>
      </c>
      <c r="F2785" s="826">
        <v>0</v>
      </c>
      <c r="G2785" s="880">
        <v>0</v>
      </c>
      <c r="H2785" s="465"/>
      <c r="I2785" s="465"/>
      <c r="J2785" s="826">
        <v>0</v>
      </c>
      <c r="K2785" s="881">
        <v>0</v>
      </c>
    </row>
    <row r="2786" spans="1:11" ht="22.5" customHeight="1" x14ac:dyDescent="0.25">
      <c r="A2786" s="816" t="s">
        <v>319</v>
      </c>
      <c r="B2786" s="880">
        <v>2025</v>
      </c>
      <c r="C2786" s="816" t="s">
        <v>1913</v>
      </c>
      <c r="D2786" s="816" t="s">
        <v>1918</v>
      </c>
      <c r="E2786" s="816" t="s">
        <v>3406</v>
      </c>
      <c r="F2786" s="826">
        <v>0</v>
      </c>
      <c r="G2786" s="880">
        <v>0</v>
      </c>
      <c r="H2786" s="465"/>
      <c r="I2786" s="465"/>
      <c r="J2786" s="826">
        <v>0</v>
      </c>
      <c r="K2786" s="881">
        <v>-7744.34</v>
      </c>
    </row>
    <row r="2787" spans="1:11" ht="22.5" customHeight="1" x14ac:dyDescent="0.25">
      <c r="A2787" s="816" t="s">
        <v>319</v>
      </c>
      <c r="B2787" s="880">
        <v>2025</v>
      </c>
      <c r="C2787" s="816" t="s">
        <v>1913</v>
      </c>
      <c r="D2787" s="816" t="s">
        <v>1919</v>
      </c>
      <c r="E2787" s="816" t="s">
        <v>3406</v>
      </c>
      <c r="F2787" s="826">
        <v>0</v>
      </c>
      <c r="G2787" s="880">
        <v>0</v>
      </c>
      <c r="H2787" s="465"/>
      <c r="I2787" s="465"/>
      <c r="J2787" s="826">
        <v>0</v>
      </c>
      <c r="K2787" s="881">
        <v>153359.26</v>
      </c>
    </row>
    <row r="2788" spans="1:11" ht="22.5" customHeight="1" x14ac:dyDescent="0.25">
      <c r="A2788" s="816" t="s">
        <v>319</v>
      </c>
      <c r="B2788" s="880">
        <v>2025</v>
      </c>
      <c r="C2788" s="816" t="s">
        <v>1920</v>
      </c>
      <c r="D2788" s="816" t="s">
        <v>1921</v>
      </c>
      <c r="E2788" s="816" t="s">
        <v>3407</v>
      </c>
      <c r="F2788" s="826">
        <v>0</v>
      </c>
      <c r="G2788" s="880">
        <v>0</v>
      </c>
      <c r="H2788" s="465"/>
      <c r="I2788" s="465"/>
      <c r="J2788" s="826">
        <v>0</v>
      </c>
      <c r="K2788" s="878">
        <v>0</v>
      </c>
    </row>
    <row r="2789" spans="1:11" ht="22.5" customHeight="1" x14ac:dyDescent="0.25">
      <c r="A2789" s="816" t="s">
        <v>319</v>
      </c>
      <c r="B2789" s="880">
        <v>2025</v>
      </c>
      <c r="C2789" s="816" t="s">
        <v>1923</v>
      </c>
      <c r="D2789" s="816" t="s">
        <v>143</v>
      </c>
      <c r="E2789" s="816" t="s">
        <v>3408</v>
      </c>
      <c r="F2789" s="826">
        <v>670309.02</v>
      </c>
      <c r="G2789" s="880">
        <v>1</v>
      </c>
      <c r="H2789" s="826">
        <v>623594.68000000005</v>
      </c>
      <c r="I2789" s="826">
        <v>46714.34</v>
      </c>
      <c r="J2789" s="826">
        <v>670309.02</v>
      </c>
      <c r="K2789" s="878">
        <v>670309.02</v>
      </c>
    </row>
    <row r="2790" spans="1:11" ht="22.5" customHeight="1" x14ac:dyDescent="0.25">
      <c r="A2790" s="816" t="s">
        <v>319</v>
      </c>
      <c r="B2790" s="880">
        <v>2025</v>
      </c>
      <c r="C2790" s="816" t="s">
        <v>1925</v>
      </c>
      <c r="D2790" s="816" t="s">
        <v>144</v>
      </c>
      <c r="E2790" s="816" t="s">
        <v>3409</v>
      </c>
      <c r="F2790" s="826">
        <v>953893.57</v>
      </c>
      <c r="G2790" s="880">
        <v>1</v>
      </c>
      <c r="H2790" s="826">
        <v>898251.17</v>
      </c>
      <c r="I2790" s="826">
        <v>55642.400000000001</v>
      </c>
      <c r="J2790" s="826">
        <v>953893.57</v>
      </c>
      <c r="K2790" s="878">
        <v>953893.57</v>
      </c>
    </row>
    <row r="2791" spans="1:11" ht="22.5" customHeight="1" x14ac:dyDescent="0.25">
      <c r="A2791" s="816" t="s">
        <v>319</v>
      </c>
      <c r="B2791" s="880">
        <v>2025</v>
      </c>
      <c r="C2791" s="816" t="s">
        <v>1927</v>
      </c>
      <c r="D2791" s="816" t="s">
        <v>1928</v>
      </c>
      <c r="E2791" s="816" t="s">
        <v>3410</v>
      </c>
      <c r="F2791" s="826">
        <v>-1967202.7</v>
      </c>
      <c r="G2791" s="880">
        <v>1</v>
      </c>
      <c r="H2791" s="826">
        <v>-2039120.6</v>
      </c>
      <c r="I2791" s="826">
        <v>71917.899999999994</v>
      </c>
      <c r="J2791" s="826">
        <v>-1967202.7</v>
      </c>
      <c r="K2791" s="878">
        <v>-1967202.7</v>
      </c>
    </row>
    <row r="2792" spans="1:11" ht="22.5" customHeight="1" x14ac:dyDescent="0.25">
      <c r="A2792" s="816" t="s">
        <v>319</v>
      </c>
      <c r="B2792" s="880">
        <v>2025</v>
      </c>
      <c r="C2792" s="816" t="s">
        <v>1930</v>
      </c>
      <c r="D2792" s="816" t="s">
        <v>156</v>
      </c>
      <c r="E2792" s="816" t="s">
        <v>3411</v>
      </c>
      <c r="F2792" s="826">
        <v>481470.99</v>
      </c>
      <c r="G2792" s="880">
        <v>1</v>
      </c>
      <c r="H2792" s="826">
        <v>479072.71</v>
      </c>
      <c r="I2792" s="826">
        <v>2398.2800000000002</v>
      </c>
      <c r="J2792" s="826">
        <v>481470.99</v>
      </c>
      <c r="K2792" s="878">
        <v>481470.99</v>
      </c>
    </row>
    <row r="2793" spans="1:11" ht="22.5" customHeight="1" x14ac:dyDescent="0.25">
      <c r="A2793" s="816" t="s">
        <v>319</v>
      </c>
      <c r="B2793" s="880">
        <v>2025</v>
      </c>
      <c r="C2793" s="816" t="s">
        <v>1932</v>
      </c>
      <c r="D2793" s="816" t="s">
        <v>1933</v>
      </c>
      <c r="E2793" s="816" t="s">
        <v>3412</v>
      </c>
      <c r="F2793" s="826">
        <v>199090.32</v>
      </c>
      <c r="G2793" s="880">
        <v>0</v>
      </c>
      <c r="H2793" s="465"/>
      <c r="I2793" s="465"/>
      <c r="J2793" s="826">
        <v>0</v>
      </c>
      <c r="K2793" s="878">
        <v>199090.32</v>
      </c>
    </row>
    <row r="2794" spans="1:11" ht="22.5" customHeight="1" x14ac:dyDescent="0.25">
      <c r="A2794" s="816" t="s">
        <v>319</v>
      </c>
      <c r="B2794" s="880">
        <v>2025</v>
      </c>
      <c r="C2794" s="816" t="s">
        <v>1935</v>
      </c>
      <c r="D2794" s="816" t="s">
        <v>1936</v>
      </c>
      <c r="E2794" s="816" t="s">
        <v>8760</v>
      </c>
      <c r="F2794" s="826">
        <v>0</v>
      </c>
      <c r="G2794" s="880">
        <v>1</v>
      </c>
      <c r="H2794" s="465"/>
      <c r="I2794" s="465"/>
      <c r="J2794" s="826">
        <v>0</v>
      </c>
      <c r="K2794" s="878">
        <v>0</v>
      </c>
    </row>
    <row r="2795" spans="1:11" ht="22.5" customHeight="1" x14ac:dyDescent="0.25">
      <c r="A2795" s="816" t="s">
        <v>319</v>
      </c>
      <c r="B2795" s="880">
        <v>2025</v>
      </c>
      <c r="C2795" s="816" t="s">
        <v>1935</v>
      </c>
      <c r="D2795" s="816" t="s">
        <v>1937</v>
      </c>
      <c r="E2795" s="816" t="s">
        <v>8761</v>
      </c>
      <c r="F2795" s="826">
        <v>0</v>
      </c>
      <c r="G2795" s="880">
        <v>1</v>
      </c>
      <c r="H2795" s="465"/>
      <c r="I2795" s="465"/>
      <c r="J2795" s="826">
        <v>0</v>
      </c>
      <c r="K2795" s="878">
        <v>0</v>
      </c>
    </row>
    <row r="2796" spans="1:11" ht="22.5" customHeight="1" x14ac:dyDescent="0.25">
      <c r="A2796" s="816" t="s">
        <v>319</v>
      </c>
      <c r="B2796" s="880">
        <v>2025</v>
      </c>
      <c r="C2796" s="816" t="s">
        <v>1935</v>
      </c>
      <c r="D2796" s="816" t="s">
        <v>1938</v>
      </c>
      <c r="E2796" s="816" t="s">
        <v>8762</v>
      </c>
      <c r="F2796" s="826">
        <v>0</v>
      </c>
      <c r="G2796" s="880">
        <v>1</v>
      </c>
      <c r="H2796" s="465"/>
      <c r="I2796" s="465"/>
      <c r="J2796" s="826">
        <v>0</v>
      </c>
      <c r="K2796" s="878">
        <v>0</v>
      </c>
    </row>
    <row r="2797" spans="1:11" ht="22.5" customHeight="1" x14ac:dyDescent="0.25">
      <c r="A2797" s="816" t="s">
        <v>319</v>
      </c>
      <c r="B2797" s="880">
        <v>2025</v>
      </c>
      <c r="C2797" s="816" t="s">
        <v>1935</v>
      </c>
      <c r="D2797" s="816" t="s">
        <v>1939</v>
      </c>
      <c r="E2797" s="816" t="s">
        <v>8763</v>
      </c>
      <c r="F2797" s="826">
        <v>0</v>
      </c>
      <c r="G2797" s="880">
        <v>1</v>
      </c>
      <c r="H2797" s="465"/>
      <c r="I2797" s="465"/>
      <c r="J2797" s="826">
        <v>0</v>
      </c>
      <c r="K2797" s="878">
        <v>0</v>
      </c>
    </row>
    <row r="2798" spans="1:11" ht="22.5" customHeight="1" x14ac:dyDescent="0.25">
      <c r="A2798" s="816" t="s">
        <v>319</v>
      </c>
      <c r="B2798" s="880">
        <v>2025</v>
      </c>
      <c r="C2798" s="816" t="s">
        <v>1935</v>
      </c>
      <c r="D2798" s="816" t="s">
        <v>1940</v>
      </c>
      <c r="E2798" s="816" t="s">
        <v>8764</v>
      </c>
      <c r="F2798" s="826">
        <v>0</v>
      </c>
      <c r="G2798" s="880">
        <v>1</v>
      </c>
      <c r="H2798" s="465"/>
      <c r="I2798" s="465"/>
      <c r="J2798" s="826">
        <v>0</v>
      </c>
      <c r="K2798" s="878">
        <v>0</v>
      </c>
    </row>
    <row r="2799" spans="1:11" ht="22.5" customHeight="1" x14ac:dyDescent="0.25">
      <c r="A2799" s="816" t="s">
        <v>319</v>
      </c>
      <c r="B2799" s="880">
        <v>2025</v>
      </c>
      <c r="C2799" s="816" t="s">
        <v>1935</v>
      </c>
      <c r="D2799" s="816" t="s">
        <v>1941</v>
      </c>
      <c r="E2799" s="816" t="s">
        <v>8765</v>
      </c>
      <c r="F2799" s="826">
        <v>0</v>
      </c>
      <c r="G2799" s="880">
        <v>1</v>
      </c>
      <c r="H2799" s="465"/>
      <c r="I2799" s="465"/>
      <c r="J2799" s="826">
        <v>0</v>
      </c>
      <c r="K2799" s="878">
        <v>0</v>
      </c>
    </row>
    <row r="2800" spans="1:11" ht="22.5" customHeight="1" x14ac:dyDescent="0.25">
      <c r="A2800" s="816" t="s">
        <v>319</v>
      </c>
      <c r="B2800" s="880">
        <v>2025</v>
      </c>
      <c r="C2800" s="816" t="s">
        <v>1935</v>
      </c>
      <c r="D2800" s="816" t="s">
        <v>1942</v>
      </c>
      <c r="E2800" s="816" t="s">
        <v>8766</v>
      </c>
      <c r="F2800" s="826">
        <v>0</v>
      </c>
      <c r="G2800" s="880">
        <v>1</v>
      </c>
      <c r="H2800" s="465"/>
      <c r="I2800" s="465"/>
      <c r="J2800" s="826">
        <v>0</v>
      </c>
      <c r="K2800" s="878">
        <v>0</v>
      </c>
    </row>
    <row r="2801" spans="1:11" ht="22.5" customHeight="1" x14ac:dyDescent="0.25">
      <c r="A2801" s="816" t="s">
        <v>319</v>
      </c>
      <c r="B2801" s="880">
        <v>2025</v>
      </c>
      <c r="C2801" s="816" t="s">
        <v>1935</v>
      </c>
      <c r="D2801" s="816" t="s">
        <v>1943</v>
      </c>
      <c r="E2801" s="816" t="s">
        <v>8767</v>
      </c>
      <c r="F2801" s="826">
        <v>0</v>
      </c>
      <c r="G2801" s="880">
        <v>1</v>
      </c>
      <c r="H2801" s="465"/>
      <c r="I2801" s="465"/>
      <c r="J2801" s="826">
        <v>0</v>
      </c>
      <c r="K2801" s="878">
        <v>0</v>
      </c>
    </row>
    <row r="2802" spans="1:11" ht="22.5" customHeight="1" x14ac:dyDescent="0.25">
      <c r="A2802" s="816" t="s">
        <v>319</v>
      </c>
      <c r="B2802" s="880">
        <v>2025</v>
      </c>
      <c r="C2802" s="816" t="s">
        <v>1935</v>
      </c>
      <c r="D2802" s="816" t="s">
        <v>1944</v>
      </c>
      <c r="E2802" s="816" t="s">
        <v>8768</v>
      </c>
      <c r="F2802" s="826">
        <v>0</v>
      </c>
      <c r="G2802" s="880">
        <v>1</v>
      </c>
      <c r="H2802" s="465"/>
      <c r="I2802" s="465"/>
      <c r="J2802" s="826">
        <v>0</v>
      </c>
      <c r="K2802" s="878">
        <v>0</v>
      </c>
    </row>
    <row r="2803" spans="1:11" ht="22.5" customHeight="1" x14ac:dyDescent="0.25">
      <c r="A2803" s="816" t="s">
        <v>319</v>
      </c>
      <c r="B2803" s="880">
        <v>2025</v>
      </c>
      <c r="C2803" s="816" t="s">
        <v>1935</v>
      </c>
      <c r="D2803" s="816" t="s">
        <v>1945</v>
      </c>
      <c r="E2803" s="816" t="s">
        <v>8769</v>
      </c>
      <c r="F2803" s="826">
        <v>0</v>
      </c>
      <c r="G2803" s="880">
        <v>1</v>
      </c>
      <c r="H2803" s="465"/>
      <c r="I2803" s="465"/>
      <c r="J2803" s="826">
        <v>0</v>
      </c>
      <c r="K2803" s="878">
        <v>0</v>
      </c>
    </row>
    <row r="2804" spans="1:11" ht="22.5" customHeight="1" x14ac:dyDescent="0.25">
      <c r="A2804" s="816" t="s">
        <v>319</v>
      </c>
      <c r="B2804" s="880">
        <v>2025</v>
      </c>
      <c r="C2804" s="816" t="s">
        <v>1935</v>
      </c>
      <c r="D2804" s="816" t="s">
        <v>1946</v>
      </c>
      <c r="E2804" s="816" t="s">
        <v>8770</v>
      </c>
      <c r="F2804" s="826">
        <v>0</v>
      </c>
      <c r="G2804" s="880">
        <v>1</v>
      </c>
      <c r="H2804" s="465"/>
      <c r="I2804" s="465"/>
      <c r="J2804" s="826">
        <v>0</v>
      </c>
      <c r="K2804" s="878">
        <v>0</v>
      </c>
    </row>
    <row r="2805" spans="1:11" ht="22.5" customHeight="1" x14ac:dyDescent="0.25">
      <c r="A2805" s="816" t="s">
        <v>319</v>
      </c>
      <c r="B2805" s="880">
        <v>2025</v>
      </c>
      <c r="C2805" s="816" t="s">
        <v>1935</v>
      </c>
      <c r="D2805" s="816" t="s">
        <v>1947</v>
      </c>
      <c r="E2805" s="816" t="s">
        <v>8771</v>
      </c>
      <c r="F2805" s="826">
        <v>0</v>
      </c>
      <c r="G2805" s="880">
        <v>1</v>
      </c>
      <c r="H2805" s="465"/>
      <c r="I2805" s="465"/>
      <c r="J2805" s="826">
        <v>0</v>
      </c>
      <c r="K2805" s="878">
        <v>0</v>
      </c>
    </row>
    <row r="2806" spans="1:11" ht="22.5" customHeight="1" x14ac:dyDescent="0.25">
      <c r="A2806" s="816" t="s">
        <v>319</v>
      </c>
      <c r="B2806" s="880">
        <v>2025</v>
      </c>
      <c r="C2806" s="816" t="s">
        <v>1935</v>
      </c>
      <c r="D2806" s="816" t="s">
        <v>1948</v>
      </c>
      <c r="E2806" s="816" t="s">
        <v>8772</v>
      </c>
      <c r="F2806" s="826">
        <v>0</v>
      </c>
      <c r="G2806" s="880">
        <v>1</v>
      </c>
      <c r="H2806" s="826">
        <v>-70103.14</v>
      </c>
      <c r="I2806" s="826">
        <v>70497.23</v>
      </c>
      <c r="J2806" s="826">
        <v>394.08999999999702</v>
      </c>
      <c r="K2806" s="878">
        <v>394.08999999999702</v>
      </c>
    </row>
    <row r="2807" spans="1:11" ht="22.5" customHeight="1" x14ac:dyDescent="0.25">
      <c r="A2807" s="816" t="s">
        <v>319</v>
      </c>
      <c r="B2807" s="880">
        <v>2025</v>
      </c>
      <c r="C2807" s="816" t="s">
        <v>1935</v>
      </c>
      <c r="D2807" s="816" t="s">
        <v>1949</v>
      </c>
      <c r="E2807" s="816" t="s">
        <v>8773</v>
      </c>
      <c r="F2807" s="826">
        <v>0</v>
      </c>
      <c r="G2807" s="880">
        <v>1</v>
      </c>
      <c r="H2807" s="826">
        <v>-81153.009999999995</v>
      </c>
      <c r="I2807" s="826">
        <v>122372.08</v>
      </c>
      <c r="J2807" s="826">
        <v>41219.07</v>
      </c>
      <c r="K2807" s="878">
        <v>41219.07</v>
      </c>
    </row>
    <row r="2808" spans="1:11" ht="22.5" customHeight="1" x14ac:dyDescent="0.25">
      <c r="A2808" s="816" t="s">
        <v>319</v>
      </c>
      <c r="B2808" s="880">
        <v>2025</v>
      </c>
      <c r="C2808" s="816" t="s">
        <v>1935</v>
      </c>
      <c r="D2808" s="816" t="s">
        <v>1950</v>
      </c>
      <c r="E2808" s="816" t="s">
        <v>8774</v>
      </c>
      <c r="F2808" s="826">
        <v>0</v>
      </c>
      <c r="G2808" s="880">
        <v>1</v>
      </c>
      <c r="H2808" s="826">
        <v>42312.46</v>
      </c>
      <c r="I2808" s="826">
        <v>-36945.21</v>
      </c>
      <c r="J2808" s="826">
        <v>5367.25</v>
      </c>
      <c r="K2808" s="878">
        <v>5367.25</v>
      </c>
    </row>
    <row r="2809" spans="1:11" ht="22.5" customHeight="1" x14ac:dyDescent="0.25">
      <c r="A2809" s="816" t="s">
        <v>319</v>
      </c>
      <c r="B2809" s="880">
        <v>2025</v>
      </c>
      <c r="C2809" s="816" t="s">
        <v>1935</v>
      </c>
      <c r="D2809" s="816" t="s">
        <v>1951</v>
      </c>
      <c r="E2809" s="816" t="s">
        <v>8775</v>
      </c>
      <c r="F2809" s="826">
        <v>0</v>
      </c>
      <c r="G2809" s="880">
        <v>1</v>
      </c>
      <c r="H2809" s="826">
        <v>-437052.51</v>
      </c>
      <c r="I2809" s="826">
        <v>463624.17</v>
      </c>
      <c r="J2809" s="826">
        <v>26571.66</v>
      </c>
      <c r="K2809" s="878">
        <v>26571.66</v>
      </c>
    </row>
    <row r="2810" spans="1:11" ht="22.5" customHeight="1" x14ac:dyDescent="0.25">
      <c r="A2810" s="816" t="s">
        <v>319</v>
      </c>
      <c r="B2810" s="880">
        <v>2025</v>
      </c>
      <c r="C2810" s="816" t="s">
        <v>1935</v>
      </c>
      <c r="D2810" s="816" t="s">
        <v>7801</v>
      </c>
      <c r="E2810" s="816" t="s">
        <v>8776</v>
      </c>
      <c r="F2810" s="826">
        <v>0</v>
      </c>
      <c r="G2810" s="880">
        <v>1</v>
      </c>
      <c r="H2810" s="826">
        <v>293981.69</v>
      </c>
      <c r="I2810" s="826">
        <v>67991.12</v>
      </c>
      <c r="J2810" s="826">
        <v>361972.81</v>
      </c>
      <c r="K2810" s="878">
        <v>361972.81</v>
      </c>
    </row>
    <row r="2811" spans="1:11" ht="22.5" customHeight="1" x14ac:dyDescent="0.25">
      <c r="A2811" s="816" t="s">
        <v>319</v>
      </c>
      <c r="B2811" s="880">
        <v>2025</v>
      </c>
      <c r="C2811" s="816" t="s">
        <v>1935</v>
      </c>
      <c r="D2811" s="816" t="s">
        <v>1952</v>
      </c>
      <c r="E2811" s="816" t="s">
        <v>8777</v>
      </c>
      <c r="F2811" s="826">
        <v>435524.88</v>
      </c>
      <c r="G2811" s="880">
        <v>0</v>
      </c>
      <c r="H2811" s="465"/>
      <c r="I2811" s="465"/>
      <c r="J2811" s="826">
        <v>0</v>
      </c>
      <c r="K2811" s="878">
        <v>435524.88</v>
      </c>
    </row>
    <row r="2812" spans="1:11" ht="22.5" customHeight="1" x14ac:dyDescent="0.25">
      <c r="A2812" s="816" t="s">
        <v>319</v>
      </c>
      <c r="B2812" s="880">
        <v>2025</v>
      </c>
      <c r="C2812" s="816" t="s">
        <v>1953</v>
      </c>
      <c r="D2812" s="816" t="s">
        <v>1954</v>
      </c>
      <c r="E2812" s="816" t="s">
        <v>3413</v>
      </c>
      <c r="F2812" s="826">
        <v>-2007276.08</v>
      </c>
      <c r="G2812" s="880">
        <v>0</v>
      </c>
      <c r="H2812" s="465"/>
      <c r="I2812" s="465"/>
      <c r="J2812" s="826">
        <v>0</v>
      </c>
      <c r="K2812" s="878">
        <v>-2007276.08</v>
      </c>
    </row>
    <row r="2813" spans="1:11" ht="20.25" customHeight="1" x14ac:dyDescent="0.25">
      <c r="A2813" s="1006" t="s">
        <v>3414</v>
      </c>
      <c r="B2813" s="1007">
        <v>2025</v>
      </c>
      <c r="C2813" s="1006" t="s">
        <v>1887</v>
      </c>
      <c r="D2813" s="1006" t="s">
        <v>138</v>
      </c>
      <c r="E2813" s="1006" t="s">
        <v>3415</v>
      </c>
      <c r="F2813" s="465"/>
      <c r="G2813" s="1007">
        <v>1</v>
      </c>
      <c r="H2813" s="1008">
        <v>2076436</v>
      </c>
      <c r="I2813" s="1008">
        <v>181655</v>
      </c>
      <c r="J2813" s="1008">
        <v>2258091</v>
      </c>
      <c r="K2813" s="1009">
        <v>2258091</v>
      </c>
    </row>
    <row r="2814" spans="1:11" ht="20.25" customHeight="1" x14ac:dyDescent="0.25">
      <c r="A2814" s="1006" t="s">
        <v>3414</v>
      </c>
      <c r="B2814" s="1007">
        <v>2025</v>
      </c>
      <c r="C2814" s="1006" t="s">
        <v>1889</v>
      </c>
      <c r="D2814" s="1006" t="s">
        <v>139</v>
      </c>
      <c r="E2814" s="1006" t="s">
        <v>3416</v>
      </c>
      <c r="F2814" s="465"/>
      <c r="G2814" s="1007">
        <v>1</v>
      </c>
      <c r="H2814" s="1008">
        <v>-468378</v>
      </c>
      <c r="I2814" s="1008">
        <v>-25851</v>
      </c>
      <c r="J2814" s="1008">
        <v>-494229</v>
      </c>
      <c r="K2814" s="1009">
        <v>-494229</v>
      </c>
    </row>
    <row r="2815" spans="1:11" ht="20.25" customHeight="1" x14ac:dyDescent="0.25">
      <c r="A2815" s="1006" t="s">
        <v>3414</v>
      </c>
      <c r="B2815" s="1007">
        <v>2025</v>
      </c>
      <c r="C2815" s="1006" t="s">
        <v>1891</v>
      </c>
      <c r="D2815" s="1006" t="s">
        <v>1894</v>
      </c>
      <c r="E2815" s="1006" t="s">
        <v>3417</v>
      </c>
      <c r="F2815" s="1008">
        <v>188882.88</v>
      </c>
      <c r="G2815" s="1007">
        <v>0</v>
      </c>
      <c r="H2815" s="465"/>
      <c r="I2815" s="465"/>
      <c r="J2815" s="1008">
        <v>0</v>
      </c>
      <c r="K2815" s="1009">
        <v>188882.88</v>
      </c>
    </row>
    <row r="2816" spans="1:11" ht="20.25" customHeight="1" x14ac:dyDescent="0.25">
      <c r="A2816" s="1006" t="s">
        <v>3414</v>
      </c>
      <c r="B2816" s="1007">
        <v>2025</v>
      </c>
      <c r="C2816" s="1006" t="s">
        <v>1913</v>
      </c>
      <c r="D2816" s="1006" t="s">
        <v>1914</v>
      </c>
      <c r="E2816" s="1006" t="s">
        <v>3418</v>
      </c>
      <c r="F2816" s="465"/>
      <c r="G2816" s="1007">
        <v>1</v>
      </c>
      <c r="H2816" s="1008">
        <v>-5567403</v>
      </c>
      <c r="I2816" s="1008">
        <v>-355392</v>
      </c>
      <c r="J2816" s="1008">
        <v>-5922795</v>
      </c>
      <c r="K2816" s="1009">
        <v>-5922795</v>
      </c>
    </row>
    <row r="2817" spans="1:11" ht="20.25" customHeight="1" x14ac:dyDescent="0.25">
      <c r="A2817" s="1006" t="s">
        <v>3414</v>
      </c>
      <c r="B2817" s="1007">
        <v>2025</v>
      </c>
      <c r="C2817" s="1006" t="s">
        <v>1913</v>
      </c>
      <c r="D2817" s="1006" t="s">
        <v>1916</v>
      </c>
      <c r="E2817" s="1006" t="s">
        <v>3418</v>
      </c>
      <c r="F2817" s="1008">
        <v>0</v>
      </c>
      <c r="G2817" s="1007">
        <v>0</v>
      </c>
      <c r="H2817" s="465"/>
      <c r="I2817" s="465"/>
      <c r="J2817" s="1008">
        <v>0</v>
      </c>
      <c r="K2817" s="1009">
        <v>0</v>
      </c>
    </row>
    <row r="2818" spans="1:11" ht="20.25" customHeight="1" x14ac:dyDescent="0.25">
      <c r="A2818" s="1006" t="s">
        <v>3414</v>
      </c>
      <c r="B2818" s="1007">
        <v>2025</v>
      </c>
      <c r="C2818" s="1006" t="s">
        <v>1913</v>
      </c>
      <c r="D2818" s="1006" t="s">
        <v>1917</v>
      </c>
      <c r="E2818" s="1006" t="s">
        <v>3418</v>
      </c>
      <c r="F2818" s="1008">
        <v>0</v>
      </c>
      <c r="G2818" s="1007">
        <v>0</v>
      </c>
      <c r="H2818" s="465"/>
      <c r="I2818" s="465"/>
      <c r="J2818" s="1008">
        <v>0</v>
      </c>
      <c r="K2818" s="1009">
        <v>0</v>
      </c>
    </row>
    <row r="2819" spans="1:11" ht="20.25" customHeight="1" x14ac:dyDescent="0.25">
      <c r="A2819" s="1006" t="s">
        <v>3414</v>
      </c>
      <c r="B2819" s="1007">
        <v>2025</v>
      </c>
      <c r="C2819" s="1006" t="s">
        <v>1913</v>
      </c>
      <c r="D2819" s="1006" t="s">
        <v>1918</v>
      </c>
      <c r="E2819" s="1006" t="s">
        <v>3418</v>
      </c>
      <c r="F2819" s="1008">
        <v>59619.69</v>
      </c>
      <c r="G2819" s="1007">
        <v>0</v>
      </c>
      <c r="H2819" s="465"/>
      <c r="I2819" s="465"/>
      <c r="J2819" s="1008">
        <v>0</v>
      </c>
      <c r="K2819" s="1009">
        <v>59619.69</v>
      </c>
    </row>
    <row r="2820" spans="1:11" ht="20.25" customHeight="1" x14ac:dyDescent="0.25">
      <c r="A2820" s="1006" t="s">
        <v>3414</v>
      </c>
      <c r="B2820" s="1007">
        <v>2025</v>
      </c>
      <c r="C2820" s="1006" t="s">
        <v>1913</v>
      </c>
      <c r="D2820" s="1006" t="s">
        <v>1919</v>
      </c>
      <c r="E2820" s="1006" t="s">
        <v>3418</v>
      </c>
      <c r="F2820" s="1008">
        <v>3780231.51</v>
      </c>
      <c r="G2820" s="1007">
        <v>0</v>
      </c>
      <c r="H2820" s="465"/>
      <c r="I2820" s="465"/>
      <c r="J2820" s="1008">
        <v>0</v>
      </c>
      <c r="K2820" s="1009">
        <v>3780231.51</v>
      </c>
    </row>
    <row r="2821" spans="1:11" ht="20.25" customHeight="1" x14ac:dyDescent="0.25">
      <c r="A2821" s="1006" t="s">
        <v>3414</v>
      </c>
      <c r="B2821" s="1007">
        <v>2025</v>
      </c>
      <c r="C2821" s="1006" t="s">
        <v>1923</v>
      </c>
      <c r="D2821" s="1006" t="s">
        <v>143</v>
      </c>
      <c r="E2821" s="1006" t="s">
        <v>3419</v>
      </c>
      <c r="F2821" s="465"/>
      <c r="G2821" s="1007">
        <v>1</v>
      </c>
      <c r="H2821" s="1008">
        <v>7062441</v>
      </c>
      <c r="I2821" s="1008">
        <v>366715</v>
      </c>
      <c r="J2821" s="1008">
        <v>7429156</v>
      </c>
      <c r="K2821" s="1009">
        <v>7429156</v>
      </c>
    </row>
    <row r="2822" spans="1:11" ht="20.25" customHeight="1" x14ac:dyDescent="0.25">
      <c r="A2822" s="1006" t="s">
        <v>3414</v>
      </c>
      <c r="B2822" s="1007">
        <v>2025</v>
      </c>
      <c r="C2822" s="1006" t="s">
        <v>1925</v>
      </c>
      <c r="D2822" s="1006" t="s">
        <v>144</v>
      </c>
      <c r="E2822" s="1006" t="s">
        <v>3420</v>
      </c>
      <c r="F2822" s="465"/>
      <c r="G2822" s="1007">
        <v>1</v>
      </c>
      <c r="H2822" s="1008">
        <v>6536944</v>
      </c>
      <c r="I2822" s="1008">
        <v>477425</v>
      </c>
      <c r="J2822" s="1008">
        <v>7014369</v>
      </c>
      <c r="K2822" s="1009">
        <v>7014369</v>
      </c>
    </row>
    <row r="2823" spans="1:11" ht="20.25" customHeight="1" x14ac:dyDescent="0.25">
      <c r="A2823" s="1006" t="s">
        <v>3414</v>
      </c>
      <c r="B2823" s="1007">
        <v>2025</v>
      </c>
      <c r="C2823" s="1006" t="s">
        <v>1927</v>
      </c>
      <c r="D2823" s="1006" t="s">
        <v>1928</v>
      </c>
      <c r="E2823" s="1006" t="s">
        <v>3421</v>
      </c>
      <c r="F2823" s="465"/>
      <c r="G2823" s="1007">
        <v>1</v>
      </c>
      <c r="H2823" s="1008">
        <v>-2785544</v>
      </c>
      <c r="I2823" s="1008">
        <v>-460552</v>
      </c>
      <c r="J2823" s="1008">
        <v>-3246096</v>
      </c>
      <c r="K2823" s="1009">
        <v>-3246096</v>
      </c>
    </row>
    <row r="2824" spans="1:11" ht="20.25" customHeight="1" x14ac:dyDescent="0.25">
      <c r="A2824" s="1006" t="s">
        <v>3414</v>
      </c>
      <c r="B2824" s="1007">
        <v>2025</v>
      </c>
      <c r="C2824" s="1006" t="s">
        <v>1930</v>
      </c>
      <c r="D2824" s="1006" t="s">
        <v>156</v>
      </c>
      <c r="E2824" s="1006" t="s">
        <v>3422</v>
      </c>
      <c r="F2824" s="465"/>
      <c r="G2824" s="1007">
        <v>1</v>
      </c>
      <c r="H2824" s="1008">
        <v>21070867</v>
      </c>
      <c r="I2824" s="1008">
        <v>1349068</v>
      </c>
      <c r="J2824" s="1008">
        <v>22419935</v>
      </c>
      <c r="K2824" s="1009">
        <v>22419935</v>
      </c>
    </row>
    <row r="2825" spans="1:11" ht="20.25" customHeight="1" x14ac:dyDescent="0.25">
      <c r="A2825" s="1006" t="s">
        <v>3414</v>
      </c>
      <c r="B2825" s="1007">
        <v>2025</v>
      </c>
      <c r="C2825" s="1006" t="s">
        <v>1932</v>
      </c>
      <c r="D2825" s="1006" t="s">
        <v>3423</v>
      </c>
      <c r="E2825" s="1006" t="s">
        <v>3424</v>
      </c>
      <c r="F2825" s="1008">
        <v>0</v>
      </c>
      <c r="G2825" s="1007">
        <v>0</v>
      </c>
      <c r="H2825" s="465"/>
      <c r="I2825" s="465"/>
      <c r="J2825" s="1008">
        <v>0</v>
      </c>
      <c r="K2825" s="1009">
        <v>0</v>
      </c>
    </row>
    <row r="2826" spans="1:11" ht="20.25" customHeight="1" x14ac:dyDescent="0.25">
      <c r="A2826" s="1006" t="s">
        <v>3414</v>
      </c>
      <c r="B2826" s="1007">
        <v>2025</v>
      </c>
      <c r="C2826" s="1006" t="s">
        <v>1935</v>
      </c>
      <c r="D2826" s="1006" t="s">
        <v>1936</v>
      </c>
      <c r="E2826" s="1006" t="s">
        <v>9017</v>
      </c>
      <c r="F2826" s="465"/>
      <c r="G2826" s="1007">
        <v>1</v>
      </c>
      <c r="H2826" s="465"/>
      <c r="I2826" s="465"/>
      <c r="J2826" s="1008">
        <v>0</v>
      </c>
      <c r="K2826" s="1009">
        <v>0</v>
      </c>
    </row>
    <row r="2827" spans="1:11" ht="20.25" customHeight="1" x14ac:dyDescent="0.25">
      <c r="A2827" s="1006" t="s">
        <v>3414</v>
      </c>
      <c r="B2827" s="1007">
        <v>2025</v>
      </c>
      <c r="C2827" s="1006" t="s">
        <v>1935</v>
      </c>
      <c r="D2827" s="1006" t="s">
        <v>1937</v>
      </c>
      <c r="E2827" s="1006" t="s">
        <v>9018</v>
      </c>
      <c r="F2827" s="465"/>
      <c r="G2827" s="1007">
        <v>1</v>
      </c>
      <c r="H2827" s="465"/>
      <c r="I2827" s="465"/>
      <c r="J2827" s="1008">
        <v>0</v>
      </c>
      <c r="K2827" s="1009">
        <v>0</v>
      </c>
    </row>
    <row r="2828" spans="1:11" ht="20.25" customHeight="1" x14ac:dyDescent="0.25">
      <c r="A2828" s="1006" t="s">
        <v>3414</v>
      </c>
      <c r="B2828" s="1007">
        <v>2025</v>
      </c>
      <c r="C2828" s="1006" t="s">
        <v>1935</v>
      </c>
      <c r="D2828" s="1006" t="s">
        <v>1938</v>
      </c>
      <c r="E2828" s="1006" t="s">
        <v>9019</v>
      </c>
      <c r="F2828" s="465"/>
      <c r="G2828" s="1007">
        <v>1</v>
      </c>
      <c r="H2828" s="465"/>
      <c r="I2828" s="465"/>
      <c r="J2828" s="1008">
        <v>0</v>
      </c>
      <c r="K2828" s="1009">
        <v>0</v>
      </c>
    </row>
    <row r="2829" spans="1:11" ht="20.25" customHeight="1" x14ac:dyDescent="0.25">
      <c r="A2829" s="1006" t="s">
        <v>3414</v>
      </c>
      <c r="B2829" s="1007">
        <v>2025</v>
      </c>
      <c r="C2829" s="1006" t="s">
        <v>1935</v>
      </c>
      <c r="D2829" s="1006" t="s">
        <v>1939</v>
      </c>
      <c r="E2829" s="1006" t="s">
        <v>9020</v>
      </c>
      <c r="F2829" s="465"/>
      <c r="G2829" s="1007">
        <v>1</v>
      </c>
      <c r="H2829" s="465"/>
      <c r="I2829" s="465"/>
      <c r="J2829" s="1008">
        <v>0</v>
      </c>
      <c r="K2829" s="1009">
        <v>0</v>
      </c>
    </row>
    <row r="2830" spans="1:11" ht="20.25" customHeight="1" x14ac:dyDescent="0.25">
      <c r="A2830" s="1006" t="s">
        <v>3414</v>
      </c>
      <c r="B2830" s="1007">
        <v>2025</v>
      </c>
      <c r="C2830" s="1006" t="s">
        <v>1935</v>
      </c>
      <c r="D2830" s="1006" t="s">
        <v>1940</v>
      </c>
      <c r="E2830" s="1006" t="s">
        <v>9021</v>
      </c>
      <c r="F2830" s="465"/>
      <c r="G2830" s="1007">
        <v>1</v>
      </c>
      <c r="H2830" s="465"/>
      <c r="I2830" s="465"/>
      <c r="J2830" s="1008">
        <v>0</v>
      </c>
      <c r="K2830" s="1009">
        <v>0</v>
      </c>
    </row>
    <row r="2831" spans="1:11" ht="20.25" customHeight="1" x14ac:dyDescent="0.25">
      <c r="A2831" s="1006" t="s">
        <v>3414</v>
      </c>
      <c r="B2831" s="1007">
        <v>2025</v>
      </c>
      <c r="C2831" s="1006" t="s">
        <v>1935</v>
      </c>
      <c r="D2831" s="1006" t="s">
        <v>1941</v>
      </c>
      <c r="E2831" s="1006" t="s">
        <v>9022</v>
      </c>
      <c r="F2831" s="465"/>
      <c r="G2831" s="1007">
        <v>1</v>
      </c>
      <c r="H2831" s="465"/>
      <c r="I2831" s="465"/>
      <c r="J2831" s="1008">
        <v>0</v>
      </c>
      <c r="K2831" s="1009">
        <v>0</v>
      </c>
    </row>
    <row r="2832" spans="1:11" ht="20.25" customHeight="1" x14ac:dyDescent="0.25">
      <c r="A2832" s="1006" t="s">
        <v>3414</v>
      </c>
      <c r="B2832" s="1007">
        <v>2025</v>
      </c>
      <c r="C2832" s="1006" t="s">
        <v>1935</v>
      </c>
      <c r="D2832" s="1006" t="s">
        <v>1942</v>
      </c>
      <c r="E2832" s="1006" t="s">
        <v>9023</v>
      </c>
      <c r="F2832" s="465"/>
      <c r="G2832" s="1007">
        <v>1</v>
      </c>
      <c r="H2832" s="465"/>
      <c r="I2832" s="465"/>
      <c r="J2832" s="1008">
        <v>0</v>
      </c>
      <c r="K2832" s="1009">
        <v>0</v>
      </c>
    </row>
    <row r="2833" spans="1:11" ht="20.25" customHeight="1" x14ac:dyDescent="0.25">
      <c r="A2833" s="1006" t="s">
        <v>3414</v>
      </c>
      <c r="B2833" s="1007">
        <v>2025</v>
      </c>
      <c r="C2833" s="1006" t="s">
        <v>1935</v>
      </c>
      <c r="D2833" s="1006" t="s">
        <v>1943</v>
      </c>
      <c r="E2833" s="1006" t="s">
        <v>9024</v>
      </c>
      <c r="F2833" s="465"/>
      <c r="G2833" s="1007">
        <v>1</v>
      </c>
      <c r="H2833" s="465"/>
      <c r="I2833" s="465"/>
      <c r="J2833" s="1008">
        <v>0</v>
      </c>
      <c r="K2833" s="1009">
        <v>0</v>
      </c>
    </row>
    <row r="2834" spans="1:11" ht="20.25" customHeight="1" x14ac:dyDescent="0.25">
      <c r="A2834" s="1006" t="s">
        <v>3414</v>
      </c>
      <c r="B2834" s="1007">
        <v>2025</v>
      </c>
      <c r="C2834" s="1006" t="s">
        <v>1935</v>
      </c>
      <c r="D2834" s="1006" t="s">
        <v>1944</v>
      </c>
      <c r="E2834" s="1006" t="s">
        <v>9025</v>
      </c>
      <c r="F2834" s="465"/>
      <c r="G2834" s="1007">
        <v>1</v>
      </c>
      <c r="H2834" s="465"/>
      <c r="I2834" s="465"/>
      <c r="J2834" s="1008">
        <v>0</v>
      </c>
      <c r="K2834" s="1009">
        <v>0</v>
      </c>
    </row>
    <row r="2835" spans="1:11" ht="20.25" customHeight="1" x14ac:dyDescent="0.25">
      <c r="A2835" s="1006" t="s">
        <v>3414</v>
      </c>
      <c r="B2835" s="1007">
        <v>2025</v>
      </c>
      <c r="C2835" s="1006" t="s">
        <v>1935</v>
      </c>
      <c r="D2835" s="1006" t="s">
        <v>1945</v>
      </c>
      <c r="E2835" s="1006" t="s">
        <v>9026</v>
      </c>
      <c r="F2835" s="465"/>
      <c r="G2835" s="1007">
        <v>1</v>
      </c>
      <c r="H2835" s="465"/>
      <c r="I2835" s="465"/>
      <c r="J2835" s="1008">
        <v>0</v>
      </c>
      <c r="K2835" s="1009">
        <v>0</v>
      </c>
    </row>
    <row r="2836" spans="1:11" ht="20.25" customHeight="1" x14ac:dyDescent="0.25">
      <c r="A2836" s="1006" t="s">
        <v>3414</v>
      </c>
      <c r="B2836" s="1007">
        <v>2025</v>
      </c>
      <c r="C2836" s="1006" t="s">
        <v>1935</v>
      </c>
      <c r="D2836" s="1006" t="s">
        <v>1946</v>
      </c>
      <c r="E2836" s="1006" t="s">
        <v>9027</v>
      </c>
      <c r="F2836" s="465"/>
      <c r="G2836" s="1007">
        <v>1</v>
      </c>
      <c r="H2836" s="1008">
        <v>35696</v>
      </c>
      <c r="I2836" s="1008">
        <v>-35696</v>
      </c>
      <c r="J2836" s="1008">
        <v>0</v>
      </c>
      <c r="K2836" s="1009">
        <v>0</v>
      </c>
    </row>
    <row r="2837" spans="1:11" ht="20.25" customHeight="1" x14ac:dyDescent="0.25">
      <c r="A2837" s="1006" t="s">
        <v>3414</v>
      </c>
      <c r="B2837" s="1007">
        <v>2025</v>
      </c>
      <c r="C2837" s="1006" t="s">
        <v>1935</v>
      </c>
      <c r="D2837" s="1006" t="s">
        <v>1947</v>
      </c>
      <c r="E2837" s="1006" t="s">
        <v>9028</v>
      </c>
      <c r="F2837" s="465"/>
      <c r="G2837" s="1007">
        <v>1</v>
      </c>
      <c r="H2837" s="1008">
        <v>843</v>
      </c>
      <c r="I2837" s="1008">
        <v>-843</v>
      </c>
      <c r="J2837" s="1008">
        <v>0</v>
      </c>
      <c r="K2837" s="1009">
        <v>0</v>
      </c>
    </row>
    <row r="2838" spans="1:11" ht="20.25" customHeight="1" x14ac:dyDescent="0.25">
      <c r="A2838" s="1006" t="s">
        <v>3414</v>
      </c>
      <c r="B2838" s="1007">
        <v>2025</v>
      </c>
      <c r="C2838" s="1006" t="s">
        <v>1935</v>
      </c>
      <c r="D2838" s="1006" t="s">
        <v>1948</v>
      </c>
      <c r="E2838" s="1006" t="s">
        <v>9029</v>
      </c>
      <c r="F2838" s="465"/>
      <c r="G2838" s="1007">
        <v>1</v>
      </c>
      <c r="H2838" s="1008">
        <v>160362</v>
      </c>
      <c r="I2838" s="1008">
        <v>-160362</v>
      </c>
      <c r="J2838" s="1008">
        <v>0</v>
      </c>
      <c r="K2838" s="1009">
        <v>0</v>
      </c>
    </row>
    <row r="2839" spans="1:11" ht="20.25" customHeight="1" x14ac:dyDescent="0.25">
      <c r="A2839" s="1006" t="s">
        <v>3414</v>
      </c>
      <c r="B2839" s="1007">
        <v>2025</v>
      </c>
      <c r="C2839" s="1006" t="s">
        <v>1935</v>
      </c>
      <c r="D2839" s="1006" t="s">
        <v>1949</v>
      </c>
      <c r="E2839" s="1006" t="s">
        <v>9030</v>
      </c>
      <c r="F2839" s="465"/>
      <c r="G2839" s="1007">
        <v>1</v>
      </c>
      <c r="H2839" s="1008">
        <v>512628</v>
      </c>
      <c r="I2839" s="1008">
        <v>556794</v>
      </c>
      <c r="J2839" s="1008">
        <v>1069422</v>
      </c>
      <c r="K2839" s="1009">
        <v>1069422</v>
      </c>
    </row>
    <row r="2840" spans="1:11" ht="20.25" customHeight="1" x14ac:dyDescent="0.25">
      <c r="A2840" s="1006" t="s">
        <v>3414</v>
      </c>
      <c r="B2840" s="1007">
        <v>2025</v>
      </c>
      <c r="C2840" s="1006" t="s">
        <v>1935</v>
      </c>
      <c r="D2840" s="1006" t="s">
        <v>1950</v>
      </c>
      <c r="E2840" s="1006" t="s">
        <v>9031</v>
      </c>
      <c r="F2840" s="465"/>
      <c r="G2840" s="1007">
        <v>1</v>
      </c>
      <c r="H2840" s="1008">
        <v>-167018</v>
      </c>
      <c r="I2840" s="1008">
        <v>144065</v>
      </c>
      <c r="J2840" s="1008">
        <v>-22953</v>
      </c>
      <c r="K2840" s="1009">
        <v>-22953</v>
      </c>
    </row>
    <row r="2841" spans="1:11" ht="20.25" customHeight="1" x14ac:dyDescent="0.25">
      <c r="A2841" s="1006" t="s">
        <v>3414</v>
      </c>
      <c r="B2841" s="1007">
        <v>2025</v>
      </c>
      <c r="C2841" s="1006" t="s">
        <v>1935</v>
      </c>
      <c r="D2841" s="1006" t="s">
        <v>1951</v>
      </c>
      <c r="E2841" s="1006" t="s">
        <v>9032</v>
      </c>
      <c r="F2841" s="465"/>
      <c r="G2841" s="1007">
        <v>1</v>
      </c>
      <c r="H2841" s="1008">
        <v>-759463</v>
      </c>
      <c r="I2841" s="1008">
        <v>746471</v>
      </c>
      <c r="J2841" s="1008">
        <v>-12992</v>
      </c>
      <c r="K2841" s="1009">
        <v>-12992</v>
      </c>
    </row>
    <row r="2842" spans="1:11" ht="20.25" customHeight="1" x14ac:dyDescent="0.25">
      <c r="A2842" s="1006" t="s">
        <v>3414</v>
      </c>
      <c r="B2842" s="1007">
        <v>2025</v>
      </c>
      <c r="C2842" s="1006" t="s">
        <v>1935</v>
      </c>
      <c r="D2842" s="1006" t="s">
        <v>7801</v>
      </c>
      <c r="E2842" s="1006" t="s">
        <v>9033</v>
      </c>
      <c r="F2842" s="465"/>
      <c r="G2842" s="1007">
        <v>1</v>
      </c>
      <c r="H2842" s="1008">
        <v>-1445646</v>
      </c>
      <c r="I2842" s="1008">
        <v>2576104</v>
      </c>
      <c r="J2842" s="1008">
        <v>1130458</v>
      </c>
      <c r="K2842" s="1009">
        <v>1130458</v>
      </c>
    </row>
    <row r="2843" spans="1:11" ht="20.25" customHeight="1" x14ac:dyDescent="0.25">
      <c r="A2843" s="1006" t="s">
        <v>3414</v>
      </c>
      <c r="B2843" s="1007">
        <v>2025</v>
      </c>
      <c r="C2843" s="1006" t="s">
        <v>1935</v>
      </c>
      <c r="D2843" s="1006" t="s">
        <v>3425</v>
      </c>
      <c r="E2843" s="1006" t="s">
        <v>9034</v>
      </c>
      <c r="F2843" s="1008">
        <v>0</v>
      </c>
      <c r="G2843" s="1007">
        <v>0</v>
      </c>
      <c r="H2843" s="465"/>
      <c r="I2843" s="465"/>
      <c r="J2843" s="1008">
        <v>0</v>
      </c>
      <c r="K2843" s="1009">
        <v>0</v>
      </c>
    </row>
    <row r="2844" spans="1:11" ht="20.25" customHeight="1" x14ac:dyDescent="0.25">
      <c r="A2844" s="1006" t="s">
        <v>3414</v>
      </c>
      <c r="B2844" s="1007">
        <v>2025</v>
      </c>
      <c r="C2844" s="1006" t="s">
        <v>1935</v>
      </c>
      <c r="D2844" s="1006" t="s">
        <v>3426</v>
      </c>
      <c r="E2844" s="1006" t="s">
        <v>9035</v>
      </c>
      <c r="F2844" s="1008">
        <v>0</v>
      </c>
      <c r="G2844" s="1007">
        <v>0</v>
      </c>
      <c r="H2844" s="465"/>
      <c r="I2844" s="465"/>
      <c r="J2844" s="1008">
        <v>0</v>
      </c>
      <c r="K2844" s="1009">
        <v>0</v>
      </c>
    </row>
    <row r="2845" spans="1:11" ht="20.25" customHeight="1" x14ac:dyDescent="0.25">
      <c r="A2845" s="1006" t="s">
        <v>3414</v>
      </c>
      <c r="B2845" s="1007">
        <v>2025</v>
      </c>
      <c r="C2845" s="1006" t="s">
        <v>1935</v>
      </c>
      <c r="D2845" s="1006" t="s">
        <v>3427</v>
      </c>
      <c r="E2845" s="1006" t="s">
        <v>9036</v>
      </c>
      <c r="F2845" s="1008">
        <v>0</v>
      </c>
      <c r="G2845" s="1007">
        <v>0</v>
      </c>
      <c r="H2845" s="465"/>
      <c r="I2845" s="465"/>
      <c r="J2845" s="1008">
        <v>0</v>
      </c>
      <c r="K2845" s="1009">
        <v>0</v>
      </c>
    </row>
    <row r="2846" spans="1:11" ht="20.25" customHeight="1" x14ac:dyDescent="0.25">
      <c r="A2846" s="1006" t="s">
        <v>3414</v>
      </c>
      <c r="B2846" s="1007">
        <v>2025</v>
      </c>
      <c r="C2846" s="1006" t="s">
        <v>1935</v>
      </c>
      <c r="D2846" s="1006" t="s">
        <v>3428</v>
      </c>
      <c r="E2846" s="1006" t="s">
        <v>9034</v>
      </c>
      <c r="F2846" s="1008">
        <v>0</v>
      </c>
      <c r="G2846" s="1007">
        <v>0</v>
      </c>
      <c r="H2846" s="465"/>
      <c r="I2846" s="465"/>
      <c r="J2846" s="1008">
        <v>0</v>
      </c>
      <c r="K2846" s="1009">
        <v>0</v>
      </c>
    </row>
    <row r="2847" spans="1:11" ht="20.25" customHeight="1" x14ac:dyDescent="0.25">
      <c r="A2847" s="1006" t="s">
        <v>3414</v>
      </c>
      <c r="B2847" s="1007">
        <v>2025</v>
      </c>
      <c r="C2847" s="1006" t="s">
        <v>1935</v>
      </c>
      <c r="D2847" s="1006" t="s">
        <v>3429</v>
      </c>
      <c r="E2847" s="1006" t="s">
        <v>9035</v>
      </c>
      <c r="F2847" s="1008">
        <v>0</v>
      </c>
      <c r="G2847" s="1007">
        <v>0</v>
      </c>
      <c r="H2847" s="465"/>
      <c r="I2847" s="465"/>
      <c r="J2847" s="1008">
        <v>0</v>
      </c>
      <c r="K2847" s="1009">
        <v>0</v>
      </c>
    </row>
    <row r="2848" spans="1:11" ht="20.25" customHeight="1" x14ac:dyDescent="0.25">
      <c r="A2848" s="1006" t="s">
        <v>3414</v>
      </c>
      <c r="B2848" s="1007">
        <v>2025</v>
      </c>
      <c r="C2848" s="1006" t="s">
        <v>1935</v>
      </c>
      <c r="D2848" s="1006" t="s">
        <v>3430</v>
      </c>
      <c r="E2848" s="1006" t="s">
        <v>9036</v>
      </c>
      <c r="F2848" s="1008">
        <v>0</v>
      </c>
      <c r="G2848" s="1007">
        <v>0</v>
      </c>
      <c r="H2848" s="465"/>
      <c r="I2848" s="465"/>
      <c r="J2848" s="1008">
        <v>0</v>
      </c>
      <c r="K2848" s="1009">
        <v>0</v>
      </c>
    </row>
    <row r="2849" spans="1:11" ht="20.25" customHeight="1" x14ac:dyDescent="0.25">
      <c r="A2849" s="1006" t="s">
        <v>3414</v>
      </c>
      <c r="B2849" s="1007">
        <v>2025</v>
      </c>
      <c r="C2849" s="1006" t="s">
        <v>1935</v>
      </c>
      <c r="D2849" s="1006" t="s">
        <v>3431</v>
      </c>
      <c r="E2849" s="1006" t="s">
        <v>9034</v>
      </c>
      <c r="F2849" s="1008">
        <v>0</v>
      </c>
      <c r="G2849" s="1007">
        <v>0</v>
      </c>
      <c r="H2849" s="465"/>
      <c r="I2849" s="465"/>
      <c r="J2849" s="1008">
        <v>0</v>
      </c>
      <c r="K2849" s="1009">
        <v>0</v>
      </c>
    </row>
    <row r="2850" spans="1:11" ht="20.25" customHeight="1" x14ac:dyDescent="0.25">
      <c r="A2850" s="1006" t="s">
        <v>3414</v>
      </c>
      <c r="B2850" s="1007">
        <v>2025</v>
      </c>
      <c r="C2850" s="1006" t="s">
        <v>1935</v>
      </c>
      <c r="D2850" s="1006" t="s">
        <v>3432</v>
      </c>
      <c r="E2850" s="1006" t="s">
        <v>9035</v>
      </c>
      <c r="F2850" s="1008">
        <v>0</v>
      </c>
      <c r="G2850" s="1007">
        <v>0</v>
      </c>
      <c r="H2850" s="465"/>
      <c r="I2850" s="465"/>
      <c r="J2850" s="1008">
        <v>0</v>
      </c>
      <c r="K2850" s="1009">
        <v>0</v>
      </c>
    </row>
    <row r="2851" spans="1:11" ht="20.25" customHeight="1" x14ac:dyDescent="0.25">
      <c r="A2851" s="1006" t="s">
        <v>3414</v>
      </c>
      <c r="B2851" s="1007">
        <v>2025</v>
      </c>
      <c r="C2851" s="1006" t="s">
        <v>1935</v>
      </c>
      <c r="D2851" s="1006" t="s">
        <v>3433</v>
      </c>
      <c r="E2851" s="1006" t="s">
        <v>9036</v>
      </c>
      <c r="F2851" s="1008">
        <v>0</v>
      </c>
      <c r="G2851" s="1007">
        <v>0</v>
      </c>
      <c r="H2851" s="465"/>
      <c r="I2851" s="465"/>
      <c r="J2851" s="1008">
        <v>0</v>
      </c>
      <c r="K2851" s="1009">
        <v>0</v>
      </c>
    </row>
    <row r="2852" spans="1:11" ht="20.25" customHeight="1" x14ac:dyDescent="0.25">
      <c r="A2852" s="1006" t="s">
        <v>3434</v>
      </c>
      <c r="B2852" s="1007">
        <v>2025</v>
      </c>
      <c r="C2852" s="1006" t="s">
        <v>1887</v>
      </c>
      <c r="D2852" s="1006" t="s">
        <v>138</v>
      </c>
      <c r="E2852" s="1006" t="s">
        <v>3435</v>
      </c>
      <c r="F2852" s="465"/>
      <c r="G2852" s="1007">
        <v>1</v>
      </c>
      <c r="H2852" s="1008">
        <v>59888</v>
      </c>
      <c r="I2852" s="1008">
        <v>6302</v>
      </c>
      <c r="J2852" s="1008">
        <v>66190</v>
      </c>
      <c r="K2852" s="1009">
        <v>66190</v>
      </c>
    </row>
    <row r="2853" spans="1:11" ht="20.25" customHeight="1" x14ac:dyDescent="0.25">
      <c r="A2853" s="1006" t="s">
        <v>3434</v>
      </c>
      <c r="B2853" s="1007">
        <v>2025</v>
      </c>
      <c r="C2853" s="1006" t="s">
        <v>1889</v>
      </c>
      <c r="D2853" s="1006" t="s">
        <v>139</v>
      </c>
      <c r="E2853" s="1006" t="s">
        <v>3436</v>
      </c>
      <c r="F2853" s="465"/>
      <c r="G2853" s="1007">
        <v>1</v>
      </c>
      <c r="H2853" s="1008">
        <v>-126696</v>
      </c>
      <c r="I2853" s="1008">
        <v>-7002</v>
      </c>
      <c r="J2853" s="1008">
        <v>-133698</v>
      </c>
      <c r="K2853" s="1009">
        <v>-133698</v>
      </c>
    </row>
    <row r="2854" spans="1:11" ht="20.25" customHeight="1" x14ac:dyDescent="0.25">
      <c r="A2854" s="1006" t="s">
        <v>3434</v>
      </c>
      <c r="B2854" s="1007">
        <v>2025</v>
      </c>
      <c r="C2854" s="1006" t="s">
        <v>1891</v>
      </c>
      <c r="D2854" s="1006" t="s">
        <v>1894</v>
      </c>
      <c r="E2854" s="1006" t="s">
        <v>3437</v>
      </c>
      <c r="F2854" s="1008">
        <v>0</v>
      </c>
      <c r="G2854" s="1007">
        <v>0</v>
      </c>
      <c r="H2854" s="465"/>
      <c r="I2854" s="465"/>
      <c r="J2854" s="1008">
        <v>0</v>
      </c>
      <c r="K2854" s="1009">
        <v>0</v>
      </c>
    </row>
    <row r="2855" spans="1:11" ht="20.25" customHeight="1" x14ac:dyDescent="0.25">
      <c r="A2855" s="1006" t="s">
        <v>3434</v>
      </c>
      <c r="B2855" s="1007">
        <v>2025</v>
      </c>
      <c r="C2855" s="1006" t="s">
        <v>1913</v>
      </c>
      <c r="D2855" s="1006" t="s">
        <v>1914</v>
      </c>
      <c r="E2855" s="1006" t="s">
        <v>3438</v>
      </c>
      <c r="F2855" s="465"/>
      <c r="G2855" s="1007">
        <v>1</v>
      </c>
      <c r="H2855" s="1008">
        <v>-1165089</v>
      </c>
      <c r="I2855" s="1008">
        <v>-80408</v>
      </c>
      <c r="J2855" s="1008">
        <v>-1245497</v>
      </c>
      <c r="K2855" s="1009">
        <v>-1245497</v>
      </c>
    </row>
    <row r="2856" spans="1:11" ht="20.25" customHeight="1" x14ac:dyDescent="0.25">
      <c r="A2856" s="1006" t="s">
        <v>3434</v>
      </c>
      <c r="B2856" s="1007">
        <v>2025</v>
      </c>
      <c r="C2856" s="1006" t="s">
        <v>1913</v>
      </c>
      <c r="D2856" s="1006" t="s">
        <v>1916</v>
      </c>
      <c r="E2856" s="1006" t="s">
        <v>3438</v>
      </c>
      <c r="F2856" s="1008">
        <v>0</v>
      </c>
      <c r="G2856" s="1007">
        <v>0</v>
      </c>
      <c r="H2856" s="465"/>
      <c r="I2856" s="465"/>
      <c r="J2856" s="1008">
        <v>0</v>
      </c>
      <c r="K2856" s="1009">
        <v>0</v>
      </c>
    </row>
    <row r="2857" spans="1:11" ht="20.25" customHeight="1" x14ac:dyDescent="0.25">
      <c r="A2857" s="1006" t="s">
        <v>3434</v>
      </c>
      <c r="B2857" s="1007">
        <v>2025</v>
      </c>
      <c r="C2857" s="1006" t="s">
        <v>1913</v>
      </c>
      <c r="D2857" s="1006" t="s">
        <v>1917</v>
      </c>
      <c r="E2857" s="1006" t="s">
        <v>3438</v>
      </c>
      <c r="F2857" s="1008">
        <v>0</v>
      </c>
      <c r="G2857" s="1007">
        <v>0</v>
      </c>
      <c r="H2857" s="465"/>
      <c r="I2857" s="465"/>
      <c r="J2857" s="1008">
        <v>0</v>
      </c>
      <c r="K2857" s="1009">
        <v>0</v>
      </c>
    </row>
    <row r="2858" spans="1:11" ht="20.25" customHeight="1" x14ac:dyDescent="0.25">
      <c r="A2858" s="1006" t="s">
        <v>3434</v>
      </c>
      <c r="B2858" s="1007">
        <v>2025</v>
      </c>
      <c r="C2858" s="1006" t="s">
        <v>1913</v>
      </c>
      <c r="D2858" s="1006" t="s">
        <v>1918</v>
      </c>
      <c r="E2858" s="1006" t="s">
        <v>3438</v>
      </c>
      <c r="F2858" s="1008">
        <v>52208.92</v>
      </c>
      <c r="G2858" s="1007">
        <v>0</v>
      </c>
      <c r="H2858" s="465"/>
      <c r="I2858" s="465"/>
      <c r="J2858" s="1008">
        <v>0</v>
      </c>
      <c r="K2858" s="1009">
        <v>52208.92</v>
      </c>
    </row>
    <row r="2859" spans="1:11" ht="20.25" customHeight="1" x14ac:dyDescent="0.25">
      <c r="A2859" s="1006" t="s">
        <v>3434</v>
      </c>
      <c r="B2859" s="1007">
        <v>2025</v>
      </c>
      <c r="C2859" s="1006" t="s">
        <v>1913</v>
      </c>
      <c r="D2859" s="1006" t="s">
        <v>1919</v>
      </c>
      <c r="E2859" s="1006" t="s">
        <v>3438</v>
      </c>
      <c r="F2859" s="1008">
        <v>868227.78</v>
      </c>
      <c r="G2859" s="1007">
        <v>0</v>
      </c>
      <c r="H2859" s="465"/>
      <c r="I2859" s="465"/>
      <c r="J2859" s="1008">
        <v>0</v>
      </c>
      <c r="K2859" s="1009">
        <v>868227.78</v>
      </c>
    </row>
    <row r="2860" spans="1:11" ht="20.25" customHeight="1" x14ac:dyDescent="0.25">
      <c r="A2860" s="1006" t="s">
        <v>3434</v>
      </c>
      <c r="B2860" s="1007">
        <v>2025</v>
      </c>
      <c r="C2860" s="1006" t="s">
        <v>1923</v>
      </c>
      <c r="D2860" s="1006" t="s">
        <v>143</v>
      </c>
      <c r="E2860" s="1006" t="s">
        <v>3439</v>
      </c>
      <c r="F2860" s="465"/>
      <c r="G2860" s="1007">
        <v>1</v>
      </c>
      <c r="H2860" s="1008">
        <v>-21969</v>
      </c>
      <c r="I2860" s="1008">
        <v>24692</v>
      </c>
      <c r="J2860" s="1008">
        <v>2723</v>
      </c>
      <c r="K2860" s="1009">
        <v>2723</v>
      </c>
    </row>
    <row r="2861" spans="1:11" ht="20.25" customHeight="1" x14ac:dyDescent="0.25">
      <c r="A2861" s="1006" t="s">
        <v>3434</v>
      </c>
      <c r="B2861" s="1007">
        <v>2025</v>
      </c>
      <c r="C2861" s="1006" t="s">
        <v>1925</v>
      </c>
      <c r="D2861" s="1006" t="s">
        <v>144</v>
      </c>
      <c r="E2861" s="1006" t="s">
        <v>3440</v>
      </c>
      <c r="F2861" s="465"/>
      <c r="G2861" s="1007">
        <v>1</v>
      </c>
      <c r="H2861" s="1008">
        <v>337982</v>
      </c>
      <c r="I2861" s="1008">
        <v>65246</v>
      </c>
      <c r="J2861" s="1008">
        <v>403228</v>
      </c>
      <c r="K2861" s="1009">
        <v>403228</v>
      </c>
    </row>
    <row r="2862" spans="1:11" ht="20.25" customHeight="1" x14ac:dyDescent="0.25">
      <c r="A2862" s="1006" t="s">
        <v>3434</v>
      </c>
      <c r="B2862" s="1007">
        <v>2025</v>
      </c>
      <c r="C2862" s="1006" t="s">
        <v>1927</v>
      </c>
      <c r="D2862" s="1006" t="s">
        <v>1928</v>
      </c>
      <c r="E2862" s="1006" t="s">
        <v>3441</v>
      </c>
      <c r="F2862" s="465"/>
      <c r="G2862" s="1007">
        <v>1</v>
      </c>
      <c r="H2862" s="1008">
        <v>140650</v>
      </c>
      <c r="I2862" s="1008">
        <v>32169</v>
      </c>
      <c r="J2862" s="1008">
        <v>172819</v>
      </c>
      <c r="K2862" s="1009">
        <v>172819</v>
      </c>
    </row>
    <row r="2863" spans="1:11" ht="20.25" customHeight="1" x14ac:dyDescent="0.25">
      <c r="A2863" s="1006" t="s">
        <v>3434</v>
      </c>
      <c r="B2863" s="1007">
        <v>2025</v>
      </c>
      <c r="C2863" s="1006" t="s">
        <v>1930</v>
      </c>
      <c r="D2863" s="1006" t="s">
        <v>156</v>
      </c>
      <c r="E2863" s="1006" t="s">
        <v>3442</v>
      </c>
      <c r="F2863" s="465"/>
      <c r="G2863" s="1007">
        <v>1</v>
      </c>
      <c r="H2863" s="1008">
        <v>3887627</v>
      </c>
      <c r="I2863" s="1008">
        <v>255254</v>
      </c>
      <c r="J2863" s="1008">
        <v>4142881</v>
      </c>
      <c r="K2863" s="1009">
        <v>4142881</v>
      </c>
    </row>
    <row r="2864" spans="1:11" ht="20.25" customHeight="1" x14ac:dyDescent="0.25">
      <c r="A2864" s="1006" t="s">
        <v>3434</v>
      </c>
      <c r="B2864" s="1007">
        <v>2025</v>
      </c>
      <c r="C2864" s="1006" t="s">
        <v>1932</v>
      </c>
      <c r="D2864" s="1006" t="s">
        <v>3423</v>
      </c>
      <c r="E2864" s="1006" t="s">
        <v>3443</v>
      </c>
      <c r="F2864" s="1008">
        <v>0</v>
      </c>
      <c r="G2864" s="1007">
        <v>0</v>
      </c>
      <c r="H2864" s="465"/>
      <c r="I2864" s="465"/>
      <c r="J2864" s="1008">
        <v>0</v>
      </c>
      <c r="K2864" s="1009">
        <v>0</v>
      </c>
    </row>
    <row r="2865" spans="1:11" ht="20.25" customHeight="1" x14ac:dyDescent="0.25">
      <c r="A2865" s="1006" t="s">
        <v>3434</v>
      </c>
      <c r="B2865" s="1007">
        <v>2025</v>
      </c>
      <c r="C2865" s="1006" t="s">
        <v>1935</v>
      </c>
      <c r="D2865" s="1006" t="s">
        <v>1936</v>
      </c>
      <c r="E2865" s="1006" t="s">
        <v>9037</v>
      </c>
      <c r="F2865" s="465"/>
      <c r="G2865" s="1007">
        <v>1</v>
      </c>
      <c r="H2865" s="465"/>
      <c r="I2865" s="465"/>
      <c r="J2865" s="1008">
        <v>0</v>
      </c>
      <c r="K2865" s="1009">
        <v>0</v>
      </c>
    </row>
    <row r="2866" spans="1:11" ht="20.25" customHeight="1" x14ac:dyDescent="0.25">
      <c r="A2866" s="1006" t="s">
        <v>3434</v>
      </c>
      <c r="B2866" s="1007">
        <v>2025</v>
      </c>
      <c r="C2866" s="1006" t="s">
        <v>1935</v>
      </c>
      <c r="D2866" s="1006" t="s">
        <v>1937</v>
      </c>
      <c r="E2866" s="1006" t="s">
        <v>9038</v>
      </c>
      <c r="F2866" s="465"/>
      <c r="G2866" s="1007">
        <v>1</v>
      </c>
      <c r="H2866" s="465"/>
      <c r="I2866" s="465"/>
      <c r="J2866" s="1008">
        <v>0</v>
      </c>
      <c r="K2866" s="1009">
        <v>0</v>
      </c>
    </row>
    <row r="2867" spans="1:11" ht="20.25" customHeight="1" x14ac:dyDescent="0.25">
      <c r="A2867" s="1006" t="s">
        <v>3434</v>
      </c>
      <c r="B2867" s="1007">
        <v>2025</v>
      </c>
      <c r="C2867" s="1006" t="s">
        <v>1935</v>
      </c>
      <c r="D2867" s="1006" t="s">
        <v>1938</v>
      </c>
      <c r="E2867" s="1006" t="s">
        <v>9039</v>
      </c>
      <c r="F2867" s="465"/>
      <c r="G2867" s="1007">
        <v>1</v>
      </c>
      <c r="H2867" s="465"/>
      <c r="I2867" s="465"/>
      <c r="J2867" s="1008">
        <v>0</v>
      </c>
      <c r="K2867" s="1009">
        <v>0</v>
      </c>
    </row>
    <row r="2868" spans="1:11" ht="20.25" customHeight="1" x14ac:dyDescent="0.25">
      <c r="A2868" s="1006" t="s">
        <v>3434</v>
      </c>
      <c r="B2868" s="1007">
        <v>2025</v>
      </c>
      <c r="C2868" s="1006" t="s">
        <v>1935</v>
      </c>
      <c r="D2868" s="1006" t="s">
        <v>1939</v>
      </c>
      <c r="E2868" s="1006" t="s">
        <v>9040</v>
      </c>
      <c r="F2868" s="465"/>
      <c r="G2868" s="1007">
        <v>1</v>
      </c>
      <c r="H2868" s="465"/>
      <c r="I2868" s="465"/>
      <c r="J2868" s="1008">
        <v>0</v>
      </c>
      <c r="K2868" s="1009">
        <v>0</v>
      </c>
    </row>
    <row r="2869" spans="1:11" ht="20.25" customHeight="1" x14ac:dyDescent="0.25">
      <c r="A2869" s="1006" t="s">
        <v>3434</v>
      </c>
      <c r="B2869" s="1007">
        <v>2025</v>
      </c>
      <c r="C2869" s="1006" t="s">
        <v>1935</v>
      </c>
      <c r="D2869" s="1006" t="s">
        <v>1940</v>
      </c>
      <c r="E2869" s="1006" t="s">
        <v>9041</v>
      </c>
      <c r="F2869" s="465"/>
      <c r="G2869" s="1007">
        <v>1</v>
      </c>
      <c r="H2869" s="465"/>
      <c r="I2869" s="465"/>
      <c r="J2869" s="1008">
        <v>0</v>
      </c>
      <c r="K2869" s="1009">
        <v>0</v>
      </c>
    </row>
    <row r="2870" spans="1:11" ht="20.25" customHeight="1" x14ac:dyDescent="0.25">
      <c r="A2870" s="1006" t="s">
        <v>3434</v>
      </c>
      <c r="B2870" s="1007">
        <v>2025</v>
      </c>
      <c r="C2870" s="1006" t="s">
        <v>1935</v>
      </c>
      <c r="D2870" s="1006" t="s">
        <v>1941</v>
      </c>
      <c r="E2870" s="1006" t="s">
        <v>9042</v>
      </c>
      <c r="F2870" s="465"/>
      <c r="G2870" s="1007">
        <v>1</v>
      </c>
      <c r="H2870" s="465"/>
      <c r="I2870" s="465"/>
      <c r="J2870" s="1008">
        <v>0</v>
      </c>
      <c r="K2870" s="1009">
        <v>0</v>
      </c>
    </row>
    <row r="2871" spans="1:11" ht="20.25" customHeight="1" x14ac:dyDescent="0.25">
      <c r="A2871" s="1006" t="s">
        <v>3434</v>
      </c>
      <c r="B2871" s="1007">
        <v>2025</v>
      </c>
      <c r="C2871" s="1006" t="s">
        <v>1935</v>
      </c>
      <c r="D2871" s="1006" t="s">
        <v>1942</v>
      </c>
      <c r="E2871" s="1006" t="s">
        <v>9043</v>
      </c>
      <c r="F2871" s="465"/>
      <c r="G2871" s="1007">
        <v>1</v>
      </c>
      <c r="H2871" s="465"/>
      <c r="I2871" s="465"/>
      <c r="J2871" s="1008">
        <v>0</v>
      </c>
      <c r="K2871" s="1009">
        <v>0</v>
      </c>
    </row>
    <row r="2872" spans="1:11" ht="20.25" customHeight="1" x14ac:dyDescent="0.25">
      <c r="A2872" s="1006" t="s">
        <v>3434</v>
      </c>
      <c r="B2872" s="1007">
        <v>2025</v>
      </c>
      <c r="C2872" s="1006" t="s">
        <v>1935</v>
      </c>
      <c r="D2872" s="1006" t="s">
        <v>1943</v>
      </c>
      <c r="E2872" s="1006" t="s">
        <v>9044</v>
      </c>
      <c r="F2872" s="465"/>
      <c r="G2872" s="1007">
        <v>1</v>
      </c>
      <c r="H2872" s="465"/>
      <c r="I2872" s="465"/>
      <c r="J2872" s="1008">
        <v>0</v>
      </c>
      <c r="K2872" s="1009">
        <v>0</v>
      </c>
    </row>
    <row r="2873" spans="1:11" ht="20.25" customHeight="1" x14ac:dyDescent="0.25">
      <c r="A2873" s="1006" t="s">
        <v>3434</v>
      </c>
      <c r="B2873" s="1007">
        <v>2025</v>
      </c>
      <c r="C2873" s="1006" t="s">
        <v>1935</v>
      </c>
      <c r="D2873" s="1006" t="s">
        <v>1944</v>
      </c>
      <c r="E2873" s="1006" t="s">
        <v>9045</v>
      </c>
      <c r="F2873" s="465"/>
      <c r="G2873" s="1007">
        <v>1</v>
      </c>
      <c r="H2873" s="465"/>
      <c r="I2873" s="465"/>
      <c r="J2873" s="1008">
        <v>0</v>
      </c>
      <c r="K2873" s="1009">
        <v>0</v>
      </c>
    </row>
    <row r="2874" spans="1:11" ht="20.25" customHeight="1" x14ac:dyDescent="0.25">
      <c r="A2874" s="1006" t="s">
        <v>3434</v>
      </c>
      <c r="B2874" s="1007">
        <v>2025</v>
      </c>
      <c r="C2874" s="1006" t="s">
        <v>1935</v>
      </c>
      <c r="D2874" s="1006" t="s">
        <v>1945</v>
      </c>
      <c r="E2874" s="1006" t="s">
        <v>9046</v>
      </c>
      <c r="F2874" s="465"/>
      <c r="G2874" s="1007">
        <v>1</v>
      </c>
      <c r="H2874" s="465"/>
      <c r="I2874" s="465"/>
      <c r="J2874" s="1008">
        <v>0</v>
      </c>
      <c r="K2874" s="1009">
        <v>0</v>
      </c>
    </row>
    <row r="2875" spans="1:11" ht="20.25" customHeight="1" x14ac:dyDescent="0.25">
      <c r="A2875" s="1006" t="s">
        <v>3434</v>
      </c>
      <c r="B2875" s="1007">
        <v>2025</v>
      </c>
      <c r="C2875" s="1006" t="s">
        <v>1935</v>
      </c>
      <c r="D2875" s="1006" t="s">
        <v>1946</v>
      </c>
      <c r="E2875" s="1006" t="s">
        <v>9047</v>
      </c>
      <c r="F2875" s="465"/>
      <c r="G2875" s="1007">
        <v>1</v>
      </c>
      <c r="H2875" s="465"/>
      <c r="I2875" s="465"/>
      <c r="J2875" s="1008">
        <v>0</v>
      </c>
      <c r="K2875" s="1009">
        <v>0</v>
      </c>
    </row>
    <row r="2876" spans="1:11" ht="20.25" customHeight="1" x14ac:dyDescent="0.25">
      <c r="A2876" s="1006" t="s">
        <v>3434</v>
      </c>
      <c r="B2876" s="1007">
        <v>2025</v>
      </c>
      <c r="C2876" s="1006" t="s">
        <v>1935</v>
      </c>
      <c r="D2876" s="1006" t="s">
        <v>1947</v>
      </c>
      <c r="E2876" s="1006" t="s">
        <v>9048</v>
      </c>
      <c r="F2876" s="465"/>
      <c r="G2876" s="1007">
        <v>1</v>
      </c>
      <c r="H2876" s="465"/>
      <c r="I2876" s="465"/>
      <c r="J2876" s="1008">
        <v>0</v>
      </c>
      <c r="K2876" s="1009">
        <v>0</v>
      </c>
    </row>
    <row r="2877" spans="1:11" ht="20.25" customHeight="1" x14ac:dyDescent="0.25">
      <c r="A2877" s="1006" t="s">
        <v>3434</v>
      </c>
      <c r="B2877" s="1007">
        <v>2025</v>
      </c>
      <c r="C2877" s="1006" t="s">
        <v>1935</v>
      </c>
      <c r="D2877" s="1006" t="s">
        <v>1948</v>
      </c>
      <c r="E2877" s="1006" t="s">
        <v>9049</v>
      </c>
      <c r="F2877" s="465"/>
      <c r="G2877" s="1007">
        <v>1</v>
      </c>
      <c r="H2877" s="465"/>
      <c r="I2877" s="465"/>
      <c r="J2877" s="1008">
        <v>0</v>
      </c>
      <c r="K2877" s="1009">
        <v>0</v>
      </c>
    </row>
    <row r="2878" spans="1:11" ht="20.25" customHeight="1" x14ac:dyDescent="0.25">
      <c r="A2878" s="1006" t="s">
        <v>3434</v>
      </c>
      <c r="B2878" s="1007">
        <v>2025</v>
      </c>
      <c r="C2878" s="1006" t="s">
        <v>1935</v>
      </c>
      <c r="D2878" s="1006" t="s">
        <v>1949</v>
      </c>
      <c r="E2878" s="1006" t="s">
        <v>9050</v>
      </c>
      <c r="F2878" s="465"/>
      <c r="G2878" s="1007">
        <v>1</v>
      </c>
      <c r="H2878" s="1008">
        <v>-611712</v>
      </c>
      <c r="I2878" s="1008">
        <v>473831</v>
      </c>
      <c r="J2878" s="1008">
        <v>-137881</v>
      </c>
      <c r="K2878" s="1009">
        <v>-137881</v>
      </c>
    </row>
    <row r="2879" spans="1:11" ht="20.25" customHeight="1" x14ac:dyDescent="0.25">
      <c r="A2879" s="1006" t="s">
        <v>3434</v>
      </c>
      <c r="B2879" s="1007">
        <v>2025</v>
      </c>
      <c r="C2879" s="1006" t="s">
        <v>1935</v>
      </c>
      <c r="D2879" s="1006" t="s">
        <v>1950</v>
      </c>
      <c r="E2879" s="1006" t="s">
        <v>9051</v>
      </c>
      <c r="F2879" s="465"/>
      <c r="G2879" s="1007">
        <v>1</v>
      </c>
      <c r="H2879" s="1008">
        <v>-42258</v>
      </c>
      <c r="I2879" s="1008">
        <v>-4565</v>
      </c>
      <c r="J2879" s="1008">
        <v>-46823</v>
      </c>
      <c r="K2879" s="1009">
        <v>-46823</v>
      </c>
    </row>
    <row r="2880" spans="1:11" ht="20.25" customHeight="1" x14ac:dyDescent="0.25">
      <c r="A2880" s="1006" t="s">
        <v>3434</v>
      </c>
      <c r="B2880" s="1007">
        <v>2025</v>
      </c>
      <c r="C2880" s="1006" t="s">
        <v>1935</v>
      </c>
      <c r="D2880" s="1006" t="s">
        <v>1951</v>
      </c>
      <c r="E2880" s="1006" t="s">
        <v>9052</v>
      </c>
      <c r="F2880" s="465"/>
      <c r="G2880" s="1007">
        <v>1</v>
      </c>
      <c r="H2880" s="1008">
        <v>-16033</v>
      </c>
      <c r="I2880" s="1008">
        <v>271719</v>
      </c>
      <c r="J2880" s="1008">
        <v>255686</v>
      </c>
      <c r="K2880" s="1009">
        <v>255686</v>
      </c>
    </row>
    <row r="2881" spans="1:11" ht="20.25" customHeight="1" x14ac:dyDescent="0.25">
      <c r="A2881" s="1006" t="s">
        <v>3434</v>
      </c>
      <c r="B2881" s="1007">
        <v>2025</v>
      </c>
      <c r="C2881" s="1006" t="s">
        <v>1935</v>
      </c>
      <c r="D2881" s="1006" t="s">
        <v>7801</v>
      </c>
      <c r="E2881" s="1006" t="s">
        <v>9053</v>
      </c>
      <c r="F2881" s="465"/>
      <c r="G2881" s="1007">
        <v>1</v>
      </c>
      <c r="H2881" s="1008">
        <v>-160234</v>
      </c>
      <c r="I2881" s="1008">
        <v>762165</v>
      </c>
      <c r="J2881" s="1008">
        <v>601931</v>
      </c>
      <c r="K2881" s="1009">
        <v>601931</v>
      </c>
    </row>
    <row r="2882" spans="1:11" ht="20.25" customHeight="1" x14ac:dyDescent="0.25">
      <c r="A2882" s="1006" t="s">
        <v>3434</v>
      </c>
      <c r="B2882" s="1007">
        <v>2025</v>
      </c>
      <c r="C2882" s="1006" t="s">
        <v>1935</v>
      </c>
      <c r="D2882" s="1006" t="s">
        <v>3425</v>
      </c>
      <c r="E2882" s="1006" t="s">
        <v>9054</v>
      </c>
      <c r="F2882" s="1008">
        <v>0</v>
      </c>
      <c r="G2882" s="1007">
        <v>0</v>
      </c>
      <c r="H2882" s="465"/>
      <c r="I2882" s="465"/>
      <c r="J2882" s="1008">
        <v>0</v>
      </c>
      <c r="K2882" s="1009">
        <v>0</v>
      </c>
    </row>
    <row r="2883" spans="1:11" ht="20.25" customHeight="1" x14ac:dyDescent="0.25">
      <c r="A2883" s="1006" t="s">
        <v>3434</v>
      </c>
      <c r="B2883" s="1007">
        <v>2025</v>
      </c>
      <c r="C2883" s="1006" t="s">
        <v>1935</v>
      </c>
      <c r="D2883" s="1006" t="s">
        <v>3426</v>
      </c>
      <c r="E2883" s="1006" t="s">
        <v>9055</v>
      </c>
      <c r="F2883" s="1008">
        <v>0</v>
      </c>
      <c r="G2883" s="1007">
        <v>0</v>
      </c>
      <c r="H2883" s="465"/>
      <c r="I2883" s="465"/>
      <c r="J2883" s="1008">
        <v>0</v>
      </c>
      <c r="K2883" s="1009">
        <v>0</v>
      </c>
    </row>
    <row r="2884" spans="1:11" ht="20.25" customHeight="1" x14ac:dyDescent="0.25">
      <c r="A2884" s="1006" t="s">
        <v>3434</v>
      </c>
      <c r="B2884" s="1007">
        <v>2025</v>
      </c>
      <c r="C2884" s="1006" t="s">
        <v>1935</v>
      </c>
      <c r="D2884" s="1006" t="s">
        <v>3427</v>
      </c>
      <c r="E2884" s="1006" t="s">
        <v>9056</v>
      </c>
      <c r="F2884" s="1008">
        <v>0</v>
      </c>
      <c r="G2884" s="1007">
        <v>0</v>
      </c>
      <c r="H2884" s="465"/>
      <c r="I2884" s="465"/>
      <c r="J2884" s="1008">
        <v>0</v>
      </c>
      <c r="K2884" s="1009">
        <v>0</v>
      </c>
    </row>
    <row r="2885" spans="1:11" ht="20.25" customHeight="1" x14ac:dyDescent="0.25">
      <c r="A2885" s="1006" t="s">
        <v>3434</v>
      </c>
      <c r="B2885" s="1007">
        <v>2025</v>
      </c>
      <c r="C2885" s="1006" t="s">
        <v>1935</v>
      </c>
      <c r="D2885" s="1006" t="s">
        <v>3428</v>
      </c>
      <c r="E2885" s="1006" t="s">
        <v>9054</v>
      </c>
      <c r="F2885" s="1008">
        <v>0</v>
      </c>
      <c r="G2885" s="1007">
        <v>0</v>
      </c>
      <c r="H2885" s="465"/>
      <c r="I2885" s="465"/>
      <c r="J2885" s="1008">
        <v>0</v>
      </c>
      <c r="K2885" s="1009">
        <v>0</v>
      </c>
    </row>
    <row r="2886" spans="1:11" ht="20.25" customHeight="1" x14ac:dyDescent="0.25">
      <c r="A2886" s="1006" t="s">
        <v>3434</v>
      </c>
      <c r="B2886" s="1007">
        <v>2025</v>
      </c>
      <c r="C2886" s="1006" t="s">
        <v>1935</v>
      </c>
      <c r="D2886" s="1006" t="s">
        <v>3429</v>
      </c>
      <c r="E2886" s="1006" t="s">
        <v>9055</v>
      </c>
      <c r="F2886" s="1008">
        <v>0</v>
      </c>
      <c r="G2886" s="1007">
        <v>0</v>
      </c>
      <c r="H2886" s="465"/>
      <c r="I2886" s="465"/>
      <c r="J2886" s="1008">
        <v>0</v>
      </c>
      <c r="K2886" s="1009">
        <v>0</v>
      </c>
    </row>
    <row r="2887" spans="1:11" ht="20.25" customHeight="1" x14ac:dyDescent="0.25">
      <c r="A2887" s="1006" t="s">
        <v>3434</v>
      </c>
      <c r="B2887" s="1007">
        <v>2025</v>
      </c>
      <c r="C2887" s="1006" t="s">
        <v>1935</v>
      </c>
      <c r="D2887" s="1006" t="s">
        <v>3430</v>
      </c>
      <c r="E2887" s="1006" t="s">
        <v>9056</v>
      </c>
      <c r="F2887" s="1008">
        <v>0</v>
      </c>
      <c r="G2887" s="1007">
        <v>0</v>
      </c>
      <c r="H2887" s="465"/>
      <c r="I2887" s="465"/>
      <c r="J2887" s="1008">
        <v>0</v>
      </c>
      <c r="K2887" s="1009">
        <v>0</v>
      </c>
    </row>
    <row r="2888" spans="1:11" ht="20.25" customHeight="1" x14ac:dyDescent="0.25">
      <c r="A2888" s="1006" t="s">
        <v>3434</v>
      </c>
      <c r="B2888" s="1007">
        <v>2025</v>
      </c>
      <c r="C2888" s="1006" t="s">
        <v>1935</v>
      </c>
      <c r="D2888" s="1006" t="s">
        <v>3431</v>
      </c>
      <c r="E2888" s="1006" t="s">
        <v>9054</v>
      </c>
      <c r="F2888" s="1008">
        <v>0</v>
      </c>
      <c r="G2888" s="1007">
        <v>0</v>
      </c>
      <c r="H2888" s="465"/>
      <c r="I2888" s="465"/>
      <c r="J2888" s="1008">
        <v>0</v>
      </c>
      <c r="K2888" s="1009">
        <v>0</v>
      </c>
    </row>
    <row r="2889" spans="1:11" ht="20.25" customHeight="1" x14ac:dyDescent="0.25">
      <c r="A2889" s="1006" t="s">
        <v>3434</v>
      </c>
      <c r="B2889" s="1007">
        <v>2025</v>
      </c>
      <c r="C2889" s="1006" t="s">
        <v>1935</v>
      </c>
      <c r="D2889" s="1006" t="s">
        <v>3432</v>
      </c>
      <c r="E2889" s="1006" t="s">
        <v>9055</v>
      </c>
      <c r="F2889" s="1008">
        <v>0</v>
      </c>
      <c r="G2889" s="1007">
        <v>0</v>
      </c>
      <c r="H2889" s="465"/>
      <c r="I2889" s="465"/>
      <c r="J2889" s="1008">
        <v>0</v>
      </c>
      <c r="K2889" s="1009">
        <v>0</v>
      </c>
    </row>
    <row r="2890" spans="1:11" ht="20.25" customHeight="1" x14ac:dyDescent="0.25">
      <c r="A2890" s="1006" t="s">
        <v>3434</v>
      </c>
      <c r="B2890" s="1007">
        <v>2025</v>
      </c>
      <c r="C2890" s="1006" t="s">
        <v>1935</v>
      </c>
      <c r="D2890" s="1006" t="s">
        <v>3433</v>
      </c>
      <c r="E2890" s="1006" t="s">
        <v>9056</v>
      </c>
      <c r="F2890" s="1008">
        <v>0</v>
      </c>
      <c r="G2890" s="1007">
        <v>0</v>
      </c>
      <c r="H2890" s="465"/>
      <c r="I2890" s="465"/>
      <c r="J2890" s="1008">
        <v>0</v>
      </c>
      <c r="K2890" s="1009">
        <v>0</v>
      </c>
    </row>
    <row r="2891" spans="1:11" ht="20.25" customHeight="1" x14ac:dyDescent="0.25">
      <c r="A2891" s="1006" t="s">
        <v>3444</v>
      </c>
      <c r="B2891" s="1007">
        <v>2025</v>
      </c>
      <c r="C2891" s="1006" t="s">
        <v>1887</v>
      </c>
      <c r="D2891" s="1006" t="s">
        <v>138</v>
      </c>
      <c r="E2891" s="1006" t="s">
        <v>3445</v>
      </c>
      <c r="F2891" s="465"/>
      <c r="G2891" s="1007">
        <v>1</v>
      </c>
      <c r="H2891" s="1008">
        <v>222938</v>
      </c>
      <c r="I2891" s="1008">
        <v>18415</v>
      </c>
      <c r="J2891" s="1008">
        <v>241353</v>
      </c>
      <c r="K2891" s="1009">
        <v>241353</v>
      </c>
    </row>
    <row r="2892" spans="1:11" ht="20.25" customHeight="1" x14ac:dyDescent="0.25">
      <c r="A2892" s="1006" t="s">
        <v>3444</v>
      </c>
      <c r="B2892" s="1007">
        <v>2025</v>
      </c>
      <c r="C2892" s="1006" t="s">
        <v>1889</v>
      </c>
      <c r="D2892" s="1006" t="s">
        <v>139</v>
      </c>
      <c r="E2892" s="1006" t="s">
        <v>3446</v>
      </c>
      <c r="F2892" s="465"/>
      <c r="G2892" s="1007">
        <v>1</v>
      </c>
      <c r="H2892" s="1008">
        <v>-594858</v>
      </c>
      <c r="I2892" s="1008">
        <v>-32798</v>
      </c>
      <c r="J2892" s="1008">
        <v>-627656</v>
      </c>
      <c r="K2892" s="1009">
        <v>-627656</v>
      </c>
    </row>
    <row r="2893" spans="1:11" ht="20.25" customHeight="1" x14ac:dyDescent="0.25">
      <c r="A2893" s="1006" t="s">
        <v>3444</v>
      </c>
      <c r="B2893" s="1007">
        <v>2025</v>
      </c>
      <c r="C2893" s="1006" t="s">
        <v>1891</v>
      </c>
      <c r="D2893" s="1006" t="s">
        <v>1894</v>
      </c>
      <c r="E2893" s="1006" t="s">
        <v>3447</v>
      </c>
      <c r="F2893" s="1008">
        <v>162007.18</v>
      </c>
      <c r="G2893" s="1007">
        <v>0</v>
      </c>
      <c r="H2893" s="465"/>
      <c r="I2893" s="465"/>
      <c r="J2893" s="1008">
        <v>0</v>
      </c>
      <c r="K2893" s="1009">
        <v>162007.18</v>
      </c>
    </row>
    <row r="2894" spans="1:11" ht="20.25" customHeight="1" x14ac:dyDescent="0.25">
      <c r="A2894" s="1006" t="s">
        <v>3444</v>
      </c>
      <c r="B2894" s="1007">
        <v>2025</v>
      </c>
      <c r="C2894" s="1006" t="s">
        <v>1913</v>
      </c>
      <c r="D2894" s="1006" t="s">
        <v>1914</v>
      </c>
      <c r="E2894" s="1006" t="s">
        <v>3448</v>
      </c>
      <c r="F2894" s="465"/>
      <c r="G2894" s="1007">
        <v>1</v>
      </c>
      <c r="H2894" s="1008">
        <v>-4595109</v>
      </c>
      <c r="I2894" s="1008">
        <v>-284878</v>
      </c>
      <c r="J2894" s="1008">
        <v>-4879987</v>
      </c>
      <c r="K2894" s="1009">
        <v>-4879987</v>
      </c>
    </row>
    <row r="2895" spans="1:11" ht="20.25" customHeight="1" x14ac:dyDescent="0.25">
      <c r="A2895" s="1006" t="s">
        <v>3444</v>
      </c>
      <c r="B2895" s="1007">
        <v>2025</v>
      </c>
      <c r="C2895" s="1006" t="s">
        <v>1913</v>
      </c>
      <c r="D2895" s="1006" t="s">
        <v>1916</v>
      </c>
      <c r="E2895" s="1006" t="s">
        <v>3448</v>
      </c>
      <c r="F2895" s="1008">
        <v>0</v>
      </c>
      <c r="G2895" s="1007">
        <v>0</v>
      </c>
      <c r="H2895" s="465"/>
      <c r="I2895" s="465"/>
      <c r="J2895" s="1008">
        <v>0</v>
      </c>
      <c r="K2895" s="1009">
        <v>0</v>
      </c>
    </row>
    <row r="2896" spans="1:11" ht="20.25" customHeight="1" x14ac:dyDescent="0.25">
      <c r="A2896" s="1006" t="s">
        <v>3444</v>
      </c>
      <c r="B2896" s="1007">
        <v>2025</v>
      </c>
      <c r="C2896" s="1006" t="s">
        <v>1913</v>
      </c>
      <c r="D2896" s="1006" t="s">
        <v>1917</v>
      </c>
      <c r="E2896" s="1006" t="s">
        <v>3448</v>
      </c>
      <c r="F2896" s="1008">
        <v>0</v>
      </c>
      <c r="G2896" s="1007">
        <v>0</v>
      </c>
      <c r="H2896" s="465"/>
      <c r="I2896" s="465"/>
      <c r="J2896" s="1008">
        <v>0</v>
      </c>
      <c r="K2896" s="1009">
        <v>0</v>
      </c>
    </row>
    <row r="2897" spans="1:11" ht="20.25" customHeight="1" x14ac:dyDescent="0.25">
      <c r="A2897" s="1006" t="s">
        <v>3444</v>
      </c>
      <c r="B2897" s="1007">
        <v>2025</v>
      </c>
      <c r="C2897" s="1006" t="s">
        <v>1913</v>
      </c>
      <c r="D2897" s="1006" t="s">
        <v>1918</v>
      </c>
      <c r="E2897" s="1006" t="s">
        <v>3448</v>
      </c>
      <c r="F2897" s="1008">
        <v>25646.52</v>
      </c>
      <c r="G2897" s="1007">
        <v>0</v>
      </c>
      <c r="H2897" s="465"/>
      <c r="I2897" s="465"/>
      <c r="J2897" s="1008">
        <v>0</v>
      </c>
      <c r="K2897" s="1009">
        <v>25646.52</v>
      </c>
    </row>
    <row r="2898" spans="1:11" ht="20.25" customHeight="1" x14ac:dyDescent="0.25">
      <c r="A2898" s="1006" t="s">
        <v>3444</v>
      </c>
      <c r="B2898" s="1007">
        <v>2025</v>
      </c>
      <c r="C2898" s="1006" t="s">
        <v>1913</v>
      </c>
      <c r="D2898" s="1006" t="s">
        <v>1919</v>
      </c>
      <c r="E2898" s="1006" t="s">
        <v>3448</v>
      </c>
      <c r="F2898" s="1008">
        <v>2148042.23</v>
      </c>
      <c r="G2898" s="1007">
        <v>0</v>
      </c>
      <c r="H2898" s="465"/>
      <c r="I2898" s="465"/>
      <c r="J2898" s="1008">
        <v>0</v>
      </c>
      <c r="K2898" s="1009">
        <v>2148042.23</v>
      </c>
    </row>
    <row r="2899" spans="1:11" ht="20.25" customHeight="1" x14ac:dyDescent="0.25">
      <c r="A2899" s="1006" t="s">
        <v>3444</v>
      </c>
      <c r="B2899" s="1007">
        <v>2025</v>
      </c>
      <c r="C2899" s="1006" t="s">
        <v>1923</v>
      </c>
      <c r="D2899" s="1006" t="s">
        <v>143</v>
      </c>
      <c r="E2899" s="1006" t="s">
        <v>3449</v>
      </c>
      <c r="F2899" s="465"/>
      <c r="G2899" s="1007">
        <v>1</v>
      </c>
      <c r="H2899" s="1008">
        <v>3705010</v>
      </c>
      <c r="I2899" s="1008">
        <v>232838</v>
      </c>
      <c r="J2899" s="1008">
        <v>3937848</v>
      </c>
      <c r="K2899" s="1009">
        <v>3937848</v>
      </c>
    </row>
    <row r="2900" spans="1:11" ht="20.25" customHeight="1" x14ac:dyDescent="0.25">
      <c r="A2900" s="1006" t="s">
        <v>3444</v>
      </c>
      <c r="B2900" s="1007">
        <v>2025</v>
      </c>
      <c r="C2900" s="1006" t="s">
        <v>1925</v>
      </c>
      <c r="D2900" s="1006" t="s">
        <v>144</v>
      </c>
      <c r="E2900" s="1006" t="s">
        <v>3450</v>
      </c>
      <c r="F2900" s="465"/>
      <c r="G2900" s="1007">
        <v>1</v>
      </c>
      <c r="H2900" s="1008">
        <v>2143129</v>
      </c>
      <c r="I2900" s="1008">
        <v>216800</v>
      </c>
      <c r="J2900" s="1008">
        <v>2359929</v>
      </c>
      <c r="K2900" s="1009">
        <v>2359929</v>
      </c>
    </row>
    <row r="2901" spans="1:11" ht="20.25" customHeight="1" x14ac:dyDescent="0.25">
      <c r="A2901" s="1006" t="s">
        <v>3444</v>
      </c>
      <c r="B2901" s="1007">
        <v>2025</v>
      </c>
      <c r="C2901" s="1006" t="s">
        <v>1927</v>
      </c>
      <c r="D2901" s="1006" t="s">
        <v>1928</v>
      </c>
      <c r="E2901" s="1006" t="s">
        <v>3451</v>
      </c>
      <c r="F2901" s="465"/>
      <c r="G2901" s="1007">
        <v>1</v>
      </c>
      <c r="H2901" s="1008">
        <v>-2573742</v>
      </c>
      <c r="I2901" s="1008">
        <v>-170453</v>
      </c>
      <c r="J2901" s="1008">
        <v>-2744195</v>
      </c>
      <c r="K2901" s="1009">
        <v>-2744195</v>
      </c>
    </row>
    <row r="2902" spans="1:11" ht="20.25" customHeight="1" x14ac:dyDescent="0.25">
      <c r="A2902" s="1006" t="s">
        <v>3444</v>
      </c>
      <c r="B2902" s="1007">
        <v>2025</v>
      </c>
      <c r="C2902" s="1006" t="s">
        <v>1930</v>
      </c>
      <c r="D2902" s="1006" t="s">
        <v>156</v>
      </c>
      <c r="E2902" s="1006" t="s">
        <v>3452</v>
      </c>
      <c r="F2902" s="465"/>
      <c r="G2902" s="1007">
        <v>1</v>
      </c>
      <c r="H2902" s="1008">
        <v>10206005</v>
      </c>
      <c r="I2902" s="1008">
        <v>420459</v>
      </c>
      <c r="J2902" s="1008">
        <v>10626464</v>
      </c>
      <c r="K2902" s="1009">
        <v>10626464</v>
      </c>
    </row>
    <row r="2903" spans="1:11" ht="20.25" customHeight="1" x14ac:dyDescent="0.25">
      <c r="A2903" s="1006" t="s">
        <v>3444</v>
      </c>
      <c r="B2903" s="1007">
        <v>2025</v>
      </c>
      <c r="C2903" s="1006" t="s">
        <v>1932</v>
      </c>
      <c r="D2903" s="1006" t="s">
        <v>3423</v>
      </c>
      <c r="E2903" s="1006" t="s">
        <v>3453</v>
      </c>
      <c r="F2903" s="1008">
        <v>0</v>
      </c>
      <c r="G2903" s="1007">
        <v>0</v>
      </c>
      <c r="H2903" s="465"/>
      <c r="I2903" s="465"/>
      <c r="J2903" s="1008">
        <v>0</v>
      </c>
      <c r="K2903" s="1009">
        <v>0</v>
      </c>
    </row>
    <row r="2904" spans="1:11" ht="20.25" customHeight="1" x14ac:dyDescent="0.25">
      <c r="A2904" s="1006" t="s">
        <v>3444</v>
      </c>
      <c r="B2904" s="1007">
        <v>2025</v>
      </c>
      <c r="C2904" s="1006" t="s">
        <v>1935</v>
      </c>
      <c r="D2904" s="1006" t="s">
        <v>1936</v>
      </c>
      <c r="E2904" s="1006" t="s">
        <v>9057</v>
      </c>
      <c r="F2904" s="465"/>
      <c r="G2904" s="1007">
        <v>1</v>
      </c>
      <c r="H2904" s="465"/>
      <c r="I2904" s="465"/>
      <c r="J2904" s="1008">
        <v>0</v>
      </c>
      <c r="K2904" s="1009">
        <v>0</v>
      </c>
    </row>
    <row r="2905" spans="1:11" ht="20.25" customHeight="1" x14ac:dyDescent="0.25">
      <c r="A2905" s="1006" t="s">
        <v>3444</v>
      </c>
      <c r="B2905" s="1007">
        <v>2025</v>
      </c>
      <c r="C2905" s="1006" t="s">
        <v>1935</v>
      </c>
      <c r="D2905" s="1006" t="s">
        <v>1937</v>
      </c>
      <c r="E2905" s="1006" t="s">
        <v>9058</v>
      </c>
      <c r="F2905" s="465"/>
      <c r="G2905" s="1007">
        <v>1</v>
      </c>
      <c r="H2905" s="465"/>
      <c r="I2905" s="465"/>
      <c r="J2905" s="1008">
        <v>0</v>
      </c>
      <c r="K2905" s="1009">
        <v>0</v>
      </c>
    </row>
    <row r="2906" spans="1:11" ht="20.25" customHeight="1" x14ac:dyDescent="0.25">
      <c r="A2906" s="1006" t="s">
        <v>3444</v>
      </c>
      <c r="B2906" s="1007">
        <v>2025</v>
      </c>
      <c r="C2906" s="1006" t="s">
        <v>1935</v>
      </c>
      <c r="D2906" s="1006" t="s">
        <v>1938</v>
      </c>
      <c r="E2906" s="1006" t="s">
        <v>9059</v>
      </c>
      <c r="F2906" s="465"/>
      <c r="G2906" s="1007">
        <v>1</v>
      </c>
      <c r="H2906" s="465"/>
      <c r="I2906" s="465"/>
      <c r="J2906" s="1008">
        <v>0</v>
      </c>
      <c r="K2906" s="1009">
        <v>0</v>
      </c>
    </row>
    <row r="2907" spans="1:11" ht="20.25" customHeight="1" x14ac:dyDescent="0.25">
      <c r="A2907" s="1006" t="s">
        <v>3444</v>
      </c>
      <c r="B2907" s="1007">
        <v>2025</v>
      </c>
      <c r="C2907" s="1006" t="s">
        <v>1935</v>
      </c>
      <c r="D2907" s="1006" t="s">
        <v>1939</v>
      </c>
      <c r="E2907" s="1006" t="s">
        <v>9060</v>
      </c>
      <c r="F2907" s="465"/>
      <c r="G2907" s="1007">
        <v>1</v>
      </c>
      <c r="H2907" s="465"/>
      <c r="I2907" s="465"/>
      <c r="J2907" s="1008">
        <v>0</v>
      </c>
      <c r="K2907" s="1009">
        <v>0</v>
      </c>
    </row>
    <row r="2908" spans="1:11" ht="20.25" customHeight="1" x14ac:dyDescent="0.25">
      <c r="A2908" s="1006" t="s">
        <v>3444</v>
      </c>
      <c r="B2908" s="1007">
        <v>2025</v>
      </c>
      <c r="C2908" s="1006" t="s">
        <v>1935</v>
      </c>
      <c r="D2908" s="1006" t="s">
        <v>1940</v>
      </c>
      <c r="E2908" s="1006" t="s">
        <v>9061</v>
      </c>
      <c r="F2908" s="465"/>
      <c r="G2908" s="1007">
        <v>1</v>
      </c>
      <c r="H2908" s="465"/>
      <c r="I2908" s="465"/>
      <c r="J2908" s="1008">
        <v>0</v>
      </c>
      <c r="K2908" s="1009">
        <v>0</v>
      </c>
    </row>
    <row r="2909" spans="1:11" ht="20.25" customHeight="1" x14ac:dyDescent="0.25">
      <c r="A2909" s="1006" t="s">
        <v>3444</v>
      </c>
      <c r="B2909" s="1007">
        <v>2025</v>
      </c>
      <c r="C2909" s="1006" t="s">
        <v>1935</v>
      </c>
      <c r="D2909" s="1006" t="s">
        <v>1941</v>
      </c>
      <c r="E2909" s="1006" t="s">
        <v>9062</v>
      </c>
      <c r="F2909" s="465"/>
      <c r="G2909" s="1007">
        <v>1</v>
      </c>
      <c r="H2909" s="465"/>
      <c r="I2909" s="465"/>
      <c r="J2909" s="1008">
        <v>0</v>
      </c>
      <c r="K2909" s="1009">
        <v>0</v>
      </c>
    </row>
    <row r="2910" spans="1:11" ht="20.25" customHeight="1" x14ac:dyDescent="0.25">
      <c r="A2910" s="1006" t="s">
        <v>3444</v>
      </c>
      <c r="B2910" s="1007">
        <v>2025</v>
      </c>
      <c r="C2910" s="1006" t="s">
        <v>1935</v>
      </c>
      <c r="D2910" s="1006" t="s">
        <v>1942</v>
      </c>
      <c r="E2910" s="1006" t="s">
        <v>9063</v>
      </c>
      <c r="F2910" s="465"/>
      <c r="G2910" s="1007">
        <v>1</v>
      </c>
      <c r="H2910" s="465"/>
      <c r="I2910" s="465"/>
      <c r="J2910" s="1008">
        <v>0</v>
      </c>
      <c r="K2910" s="1009">
        <v>0</v>
      </c>
    </row>
    <row r="2911" spans="1:11" ht="20.25" customHeight="1" x14ac:dyDescent="0.25">
      <c r="A2911" s="1006" t="s">
        <v>3444</v>
      </c>
      <c r="B2911" s="1007">
        <v>2025</v>
      </c>
      <c r="C2911" s="1006" t="s">
        <v>1935</v>
      </c>
      <c r="D2911" s="1006" t="s">
        <v>1943</v>
      </c>
      <c r="E2911" s="1006" t="s">
        <v>9064</v>
      </c>
      <c r="F2911" s="465"/>
      <c r="G2911" s="1007">
        <v>1</v>
      </c>
      <c r="H2911" s="465"/>
      <c r="I2911" s="465"/>
      <c r="J2911" s="1008">
        <v>0</v>
      </c>
      <c r="K2911" s="1009">
        <v>0</v>
      </c>
    </row>
    <row r="2912" spans="1:11" ht="20.25" customHeight="1" x14ac:dyDescent="0.25">
      <c r="A2912" s="1006" t="s">
        <v>3444</v>
      </c>
      <c r="B2912" s="1007">
        <v>2025</v>
      </c>
      <c r="C2912" s="1006" t="s">
        <v>1935</v>
      </c>
      <c r="D2912" s="1006" t="s">
        <v>1944</v>
      </c>
      <c r="E2912" s="1006" t="s">
        <v>9065</v>
      </c>
      <c r="F2912" s="465"/>
      <c r="G2912" s="1007">
        <v>1</v>
      </c>
      <c r="H2912" s="465"/>
      <c r="I2912" s="465"/>
      <c r="J2912" s="1008">
        <v>0</v>
      </c>
      <c r="K2912" s="1009">
        <v>0</v>
      </c>
    </row>
    <row r="2913" spans="1:11" ht="20.25" customHeight="1" x14ac:dyDescent="0.25">
      <c r="A2913" s="1006" t="s">
        <v>3444</v>
      </c>
      <c r="B2913" s="1007">
        <v>2025</v>
      </c>
      <c r="C2913" s="1006" t="s">
        <v>1935</v>
      </c>
      <c r="D2913" s="1006" t="s">
        <v>1945</v>
      </c>
      <c r="E2913" s="1006" t="s">
        <v>9066</v>
      </c>
      <c r="F2913" s="465"/>
      <c r="G2913" s="1007">
        <v>1</v>
      </c>
      <c r="H2913" s="465"/>
      <c r="I2913" s="465"/>
      <c r="J2913" s="1008">
        <v>0</v>
      </c>
      <c r="K2913" s="1009">
        <v>0</v>
      </c>
    </row>
    <row r="2914" spans="1:11" ht="20.25" customHeight="1" x14ac:dyDescent="0.25">
      <c r="A2914" s="1006" t="s">
        <v>3444</v>
      </c>
      <c r="B2914" s="1007">
        <v>2025</v>
      </c>
      <c r="C2914" s="1006" t="s">
        <v>1935</v>
      </c>
      <c r="D2914" s="1006" t="s">
        <v>1946</v>
      </c>
      <c r="E2914" s="1006" t="s">
        <v>9067</v>
      </c>
      <c r="F2914" s="465"/>
      <c r="G2914" s="1007">
        <v>1</v>
      </c>
      <c r="H2914" s="1008">
        <v>0</v>
      </c>
      <c r="I2914" s="1008">
        <v>0</v>
      </c>
      <c r="J2914" s="1008">
        <v>0</v>
      </c>
      <c r="K2914" s="1009">
        <v>0</v>
      </c>
    </row>
    <row r="2915" spans="1:11" ht="20.25" customHeight="1" x14ac:dyDescent="0.25">
      <c r="A2915" s="1006" t="s">
        <v>3444</v>
      </c>
      <c r="B2915" s="1007">
        <v>2025</v>
      </c>
      <c r="C2915" s="1006" t="s">
        <v>1935</v>
      </c>
      <c r="D2915" s="1006" t="s">
        <v>1947</v>
      </c>
      <c r="E2915" s="1006" t="s">
        <v>9068</v>
      </c>
      <c r="F2915" s="465"/>
      <c r="G2915" s="1007">
        <v>1</v>
      </c>
      <c r="H2915" s="1008">
        <v>0</v>
      </c>
      <c r="I2915" s="1008">
        <v>0</v>
      </c>
      <c r="J2915" s="1008">
        <v>0</v>
      </c>
      <c r="K2915" s="1009">
        <v>0</v>
      </c>
    </row>
    <row r="2916" spans="1:11" ht="20.25" customHeight="1" x14ac:dyDescent="0.25">
      <c r="A2916" s="1006" t="s">
        <v>3444</v>
      </c>
      <c r="B2916" s="1007">
        <v>2025</v>
      </c>
      <c r="C2916" s="1006" t="s">
        <v>1935</v>
      </c>
      <c r="D2916" s="1006" t="s">
        <v>1948</v>
      </c>
      <c r="E2916" s="1006" t="s">
        <v>9069</v>
      </c>
      <c r="F2916" s="465"/>
      <c r="G2916" s="1007">
        <v>1</v>
      </c>
      <c r="H2916" s="1008">
        <v>0</v>
      </c>
      <c r="I2916" s="1008">
        <v>0</v>
      </c>
      <c r="J2916" s="1008">
        <v>0</v>
      </c>
      <c r="K2916" s="1009">
        <v>0</v>
      </c>
    </row>
    <row r="2917" spans="1:11" ht="20.25" customHeight="1" x14ac:dyDescent="0.25">
      <c r="A2917" s="1006" t="s">
        <v>3444</v>
      </c>
      <c r="B2917" s="1007">
        <v>2025</v>
      </c>
      <c r="C2917" s="1006" t="s">
        <v>1935</v>
      </c>
      <c r="D2917" s="1006" t="s">
        <v>1949</v>
      </c>
      <c r="E2917" s="1006" t="s">
        <v>9070</v>
      </c>
      <c r="F2917" s="465"/>
      <c r="G2917" s="1007">
        <v>1</v>
      </c>
      <c r="H2917" s="1008">
        <v>436380</v>
      </c>
      <c r="I2917" s="1008">
        <v>35095</v>
      </c>
      <c r="J2917" s="1008">
        <v>471475</v>
      </c>
      <c r="K2917" s="1009">
        <v>471475</v>
      </c>
    </row>
    <row r="2918" spans="1:11" ht="20.25" customHeight="1" x14ac:dyDescent="0.25">
      <c r="A2918" s="1006" t="s">
        <v>3444</v>
      </c>
      <c r="B2918" s="1007">
        <v>2025</v>
      </c>
      <c r="C2918" s="1006" t="s">
        <v>1935</v>
      </c>
      <c r="D2918" s="1006" t="s">
        <v>1950</v>
      </c>
      <c r="E2918" s="1006" t="s">
        <v>9071</v>
      </c>
      <c r="F2918" s="465"/>
      <c r="G2918" s="1007">
        <v>1</v>
      </c>
      <c r="H2918" s="1008">
        <v>493718</v>
      </c>
      <c r="I2918" s="1008">
        <v>-19613</v>
      </c>
      <c r="J2918" s="1008">
        <v>474105</v>
      </c>
      <c r="K2918" s="1009">
        <v>474105</v>
      </c>
    </row>
    <row r="2919" spans="1:11" ht="20.25" customHeight="1" x14ac:dyDescent="0.25">
      <c r="A2919" s="1006" t="s">
        <v>3444</v>
      </c>
      <c r="B2919" s="1007">
        <v>2025</v>
      </c>
      <c r="C2919" s="1006" t="s">
        <v>1935</v>
      </c>
      <c r="D2919" s="1006" t="s">
        <v>1951</v>
      </c>
      <c r="E2919" s="1006" t="s">
        <v>9072</v>
      </c>
      <c r="F2919" s="465"/>
      <c r="G2919" s="1007">
        <v>1</v>
      </c>
      <c r="H2919" s="1008">
        <v>231202</v>
      </c>
      <c r="I2919" s="1008">
        <v>320390</v>
      </c>
      <c r="J2919" s="1008">
        <v>551592</v>
      </c>
      <c r="K2919" s="1009">
        <v>551592</v>
      </c>
    </row>
    <row r="2920" spans="1:11" ht="20.25" customHeight="1" x14ac:dyDescent="0.25">
      <c r="A2920" s="1006" t="s">
        <v>3444</v>
      </c>
      <c r="B2920" s="1007">
        <v>2025</v>
      </c>
      <c r="C2920" s="1006" t="s">
        <v>1935</v>
      </c>
      <c r="D2920" s="1006" t="s">
        <v>7801</v>
      </c>
      <c r="E2920" s="1006" t="s">
        <v>9073</v>
      </c>
      <c r="F2920" s="465"/>
      <c r="G2920" s="1007">
        <v>1</v>
      </c>
      <c r="H2920" s="1008">
        <v>-1010981</v>
      </c>
      <c r="I2920" s="1008">
        <v>1671037</v>
      </c>
      <c r="J2920" s="1008">
        <v>660056</v>
      </c>
      <c r="K2920" s="1009">
        <v>660056</v>
      </c>
    </row>
    <row r="2921" spans="1:11" ht="20.25" customHeight="1" x14ac:dyDescent="0.25">
      <c r="A2921" s="1006" t="s">
        <v>3444</v>
      </c>
      <c r="B2921" s="1007">
        <v>2025</v>
      </c>
      <c r="C2921" s="1006" t="s">
        <v>1935</v>
      </c>
      <c r="D2921" s="1006" t="s">
        <v>3425</v>
      </c>
      <c r="E2921" s="1006" t="s">
        <v>9074</v>
      </c>
      <c r="F2921" s="1008">
        <v>0</v>
      </c>
      <c r="G2921" s="1007">
        <v>0</v>
      </c>
      <c r="H2921" s="465"/>
      <c r="I2921" s="465"/>
      <c r="J2921" s="1008">
        <v>0</v>
      </c>
      <c r="K2921" s="1009">
        <v>0</v>
      </c>
    </row>
    <row r="2922" spans="1:11" ht="20.25" customHeight="1" x14ac:dyDescent="0.25">
      <c r="A2922" s="1006" t="s">
        <v>3444</v>
      </c>
      <c r="B2922" s="1007">
        <v>2025</v>
      </c>
      <c r="C2922" s="1006" t="s">
        <v>1935</v>
      </c>
      <c r="D2922" s="1006" t="s">
        <v>3426</v>
      </c>
      <c r="E2922" s="1006" t="s">
        <v>9075</v>
      </c>
      <c r="F2922" s="1008">
        <v>0</v>
      </c>
      <c r="G2922" s="1007">
        <v>0</v>
      </c>
      <c r="H2922" s="465"/>
      <c r="I2922" s="465"/>
      <c r="J2922" s="1008">
        <v>0</v>
      </c>
      <c r="K2922" s="1009">
        <v>0</v>
      </c>
    </row>
    <row r="2923" spans="1:11" ht="20.25" customHeight="1" x14ac:dyDescent="0.25">
      <c r="A2923" s="1006" t="s">
        <v>3444</v>
      </c>
      <c r="B2923" s="1007">
        <v>2025</v>
      </c>
      <c r="C2923" s="1006" t="s">
        <v>1935</v>
      </c>
      <c r="D2923" s="1006" t="s">
        <v>3427</v>
      </c>
      <c r="E2923" s="1006" t="s">
        <v>9076</v>
      </c>
      <c r="F2923" s="1008">
        <v>0</v>
      </c>
      <c r="G2923" s="1007">
        <v>0</v>
      </c>
      <c r="H2923" s="465"/>
      <c r="I2923" s="465"/>
      <c r="J2923" s="1008">
        <v>0</v>
      </c>
      <c r="K2923" s="1009">
        <v>0</v>
      </c>
    </row>
    <row r="2924" spans="1:11" ht="20.25" customHeight="1" x14ac:dyDescent="0.25">
      <c r="A2924" s="1006" t="s">
        <v>3444</v>
      </c>
      <c r="B2924" s="1007">
        <v>2025</v>
      </c>
      <c r="C2924" s="1006" t="s">
        <v>1935</v>
      </c>
      <c r="D2924" s="1006" t="s">
        <v>3428</v>
      </c>
      <c r="E2924" s="1006" t="s">
        <v>9074</v>
      </c>
      <c r="F2924" s="1008">
        <v>0</v>
      </c>
      <c r="G2924" s="1007">
        <v>0</v>
      </c>
      <c r="H2924" s="465"/>
      <c r="I2924" s="465"/>
      <c r="J2924" s="1008">
        <v>0</v>
      </c>
      <c r="K2924" s="1009">
        <v>0</v>
      </c>
    </row>
    <row r="2925" spans="1:11" ht="20.25" customHeight="1" x14ac:dyDescent="0.25">
      <c r="A2925" s="1006" t="s">
        <v>3444</v>
      </c>
      <c r="B2925" s="1007">
        <v>2025</v>
      </c>
      <c r="C2925" s="1006" t="s">
        <v>1935</v>
      </c>
      <c r="D2925" s="1006" t="s">
        <v>3429</v>
      </c>
      <c r="E2925" s="1006" t="s">
        <v>9075</v>
      </c>
      <c r="F2925" s="1008">
        <v>0</v>
      </c>
      <c r="G2925" s="1007">
        <v>0</v>
      </c>
      <c r="H2925" s="465"/>
      <c r="I2925" s="465"/>
      <c r="J2925" s="1008">
        <v>0</v>
      </c>
      <c r="K2925" s="1009">
        <v>0</v>
      </c>
    </row>
    <row r="2926" spans="1:11" ht="20.25" customHeight="1" x14ac:dyDescent="0.25">
      <c r="A2926" s="1006" t="s">
        <v>3444</v>
      </c>
      <c r="B2926" s="1007">
        <v>2025</v>
      </c>
      <c r="C2926" s="1006" t="s">
        <v>1935</v>
      </c>
      <c r="D2926" s="1006" t="s">
        <v>3430</v>
      </c>
      <c r="E2926" s="1006" t="s">
        <v>9076</v>
      </c>
      <c r="F2926" s="1008">
        <v>0</v>
      </c>
      <c r="G2926" s="1007">
        <v>0</v>
      </c>
      <c r="H2926" s="465"/>
      <c r="I2926" s="465"/>
      <c r="J2926" s="1008">
        <v>0</v>
      </c>
      <c r="K2926" s="1009">
        <v>0</v>
      </c>
    </row>
    <row r="2927" spans="1:11" ht="20.25" customHeight="1" x14ac:dyDescent="0.25">
      <c r="A2927" s="1006" t="s">
        <v>3444</v>
      </c>
      <c r="B2927" s="1007">
        <v>2025</v>
      </c>
      <c r="C2927" s="1006" t="s">
        <v>1935</v>
      </c>
      <c r="D2927" s="1006" t="s">
        <v>3431</v>
      </c>
      <c r="E2927" s="1006" t="s">
        <v>9074</v>
      </c>
      <c r="F2927" s="1008">
        <v>0</v>
      </c>
      <c r="G2927" s="1007">
        <v>0</v>
      </c>
      <c r="H2927" s="465"/>
      <c r="I2927" s="465"/>
      <c r="J2927" s="1008">
        <v>0</v>
      </c>
      <c r="K2927" s="1009">
        <v>0</v>
      </c>
    </row>
    <row r="2928" spans="1:11" ht="20.25" customHeight="1" x14ac:dyDescent="0.25">
      <c r="A2928" s="1006" t="s">
        <v>3444</v>
      </c>
      <c r="B2928" s="1007">
        <v>2025</v>
      </c>
      <c r="C2928" s="1006" t="s">
        <v>1935</v>
      </c>
      <c r="D2928" s="1006" t="s">
        <v>3432</v>
      </c>
      <c r="E2928" s="1006" t="s">
        <v>9075</v>
      </c>
      <c r="F2928" s="1008">
        <v>0</v>
      </c>
      <c r="G2928" s="1007">
        <v>0</v>
      </c>
      <c r="H2928" s="465"/>
      <c r="I2928" s="465"/>
      <c r="J2928" s="1008">
        <v>0</v>
      </c>
      <c r="K2928" s="1009">
        <v>0</v>
      </c>
    </row>
    <row r="2929" spans="1:11" ht="20.25" customHeight="1" x14ac:dyDescent="0.25">
      <c r="A2929" s="1006" t="s">
        <v>3444</v>
      </c>
      <c r="B2929" s="1007">
        <v>2025</v>
      </c>
      <c r="C2929" s="1006" t="s">
        <v>1935</v>
      </c>
      <c r="D2929" s="1006" t="s">
        <v>3433</v>
      </c>
      <c r="E2929" s="1006" t="s">
        <v>9076</v>
      </c>
      <c r="F2929" s="1008">
        <v>0</v>
      </c>
      <c r="G2929" s="1007">
        <v>0</v>
      </c>
      <c r="H2929" s="465"/>
      <c r="I2929" s="465"/>
      <c r="J2929" s="1008">
        <v>0</v>
      </c>
      <c r="K2929" s="1009">
        <v>0</v>
      </c>
    </row>
    <row r="2930" spans="1:11" ht="20.25" customHeight="1" x14ac:dyDescent="0.25">
      <c r="A2930" s="1006" t="s">
        <v>3454</v>
      </c>
      <c r="B2930" s="1007">
        <v>2025</v>
      </c>
      <c r="C2930" s="1006" t="s">
        <v>1887</v>
      </c>
      <c r="D2930" s="1006" t="s">
        <v>138</v>
      </c>
      <c r="E2930" s="1006" t="s">
        <v>3455</v>
      </c>
      <c r="F2930" s="465"/>
      <c r="G2930" s="1007">
        <v>1</v>
      </c>
      <c r="H2930" s="1008">
        <v>147699</v>
      </c>
      <c r="I2930" s="1008">
        <v>24416</v>
      </c>
      <c r="J2930" s="1008">
        <v>172115</v>
      </c>
      <c r="K2930" s="1009">
        <v>172115</v>
      </c>
    </row>
    <row r="2931" spans="1:11" ht="20.25" customHeight="1" x14ac:dyDescent="0.25">
      <c r="A2931" s="1006" t="s">
        <v>3454</v>
      </c>
      <c r="B2931" s="1007">
        <v>2025</v>
      </c>
      <c r="C2931" s="1006" t="s">
        <v>1889</v>
      </c>
      <c r="D2931" s="1006" t="s">
        <v>139</v>
      </c>
      <c r="E2931" s="1006" t="s">
        <v>3456</v>
      </c>
      <c r="F2931" s="465"/>
      <c r="G2931" s="1007">
        <v>1</v>
      </c>
      <c r="H2931" s="1008">
        <v>-399619</v>
      </c>
      <c r="I2931" s="1008">
        <v>-21944</v>
      </c>
      <c r="J2931" s="1008">
        <v>-421563</v>
      </c>
      <c r="K2931" s="1009">
        <v>-421563</v>
      </c>
    </row>
    <row r="2932" spans="1:11" ht="20.25" customHeight="1" x14ac:dyDescent="0.25">
      <c r="A2932" s="1006" t="s">
        <v>3454</v>
      </c>
      <c r="B2932" s="1007">
        <v>2025</v>
      </c>
      <c r="C2932" s="1006" t="s">
        <v>1891</v>
      </c>
      <c r="D2932" s="1006" t="s">
        <v>1894</v>
      </c>
      <c r="E2932" s="1006" t="s">
        <v>3457</v>
      </c>
      <c r="F2932" s="1008">
        <v>0</v>
      </c>
      <c r="G2932" s="1007">
        <v>0</v>
      </c>
      <c r="H2932" s="465"/>
      <c r="I2932" s="465"/>
      <c r="J2932" s="1008">
        <v>0</v>
      </c>
      <c r="K2932" s="1009">
        <v>0</v>
      </c>
    </row>
    <row r="2933" spans="1:11" ht="20.25" customHeight="1" x14ac:dyDescent="0.25">
      <c r="A2933" s="1006" t="s">
        <v>3454</v>
      </c>
      <c r="B2933" s="1007">
        <v>2025</v>
      </c>
      <c r="C2933" s="1006" t="s">
        <v>1913</v>
      </c>
      <c r="D2933" s="1006" t="s">
        <v>1914</v>
      </c>
      <c r="E2933" s="1006" t="s">
        <v>3458</v>
      </c>
      <c r="F2933" s="465"/>
      <c r="G2933" s="1007">
        <v>1</v>
      </c>
      <c r="H2933" s="1008">
        <v>-3392926</v>
      </c>
      <c r="I2933" s="1008">
        <v>-214894</v>
      </c>
      <c r="J2933" s="1008">
        <v>-3607820</v>
      </c>
      <c r="K2933" s="1009">
        <v>-3607820</v>
      </c>
    </row>
    <row r="2934" spans="1:11" ht="20.25" customHeight="1" x14ac:dyDescent="0.25">
      <c r="A2934" s="1006" t="s">
        <v>3454</v>
      </c>
      <c r="B2934" s="1007">
        <v>2025</v>
      </c>
      <c r="C2934" s="1006" t="s">
        <v>1913</v>
      </c>
      <c r="D2934" s="1006" t="s">
        <v>1916</v>
      </c>
      <c r="E2934" s="1006" t="s">
        <v>3458</v>
      </c>
      <c r="F2934" s="1008">
        <v>0</v>
      </c>
      <c r="G2934" s="1007">
        <v>0</v>
      </c>
      <c r="H2934" s="465"/>
      <c r="I2934" s="465"/>
      <c r="J2934" s="1008">
        <v>0</v>
      </c>
      <c r="K2934" s="1009">
        <v>0</v>
      </c>
    </row>
    <row r="2935" spans="1:11" ht="20.25" customHeight="1" x14ac:dyDescent="0.25">
      <c r="A2935" s="1006" t="s">
        <v>3454</v>
      </c>
      <c r="B2935" s="1007">
        <v>2025</v>
      </c>
      <c r="C2935" s="1006" t="s">
        <v>1913</v>
      </c>
      <c r="D2935" s="1006" t="s">
        <v>1917</v>
      </c>
      <c r="E2935" s="1006" t="s">
        <v>3458</v>
      </c>
      <c r="F2935" s="1008">
        <v>0</v>
      </c>
      <c r="G2935" s="1007">
        <v>0</v>
      </c>
      <c r="H2935" s="465"/>
      <c r="I2935" s="465"/>
      <c r="J2935" s="1008">
        <v>0</v>
      </c>
      <c r="K2935" s="1009">
        <v>0</v>
      </c>
    </row>
    <row r="2936" spans="1:11" ht="20.25" customHeight="1" x14ac:dyDescent="0.25">
      <c r="A2936" s="1006" t="s">
        <v>3454</v>
      </c>
      <c r="B2936" s="1007">
        <v>2025</v>
      </c>
      <c r="C2936" s="1006" t="s">
        <v>1913</v>
      </c>
      <c r="D2936" s="1006" t="s">
        <v>1918</v>
      </c>
      <c r="E2936" s="1006" t="s">
        <v>3458</v>
      </c>
      <c r="F2936" s="1008">
        <v>33016.49</v>
      </c>
      <c r="G2936" s="1007">
        <v>0</v>
      </c>
      <c r="H2936" s="465"/>
      <c r="I2936" s="465"/>
      <c r="J2936" s="1008">
        <v>0</v>
      </c>
      <c r="K2936" s="1009">
        <v>33016.49</v>
      </c>
    </row>
    <row r="2937" spans="1:11" ht="20.25" customHeight="1" x14ac:dyDescent="0.25">
      <c r="A2937" s="1006" t="s">
        <v>3454</v>
      </c>
      <c r="B2937" s="1007">
        <v>2025</v>
      </c>
      <c r="C2937" s="1006" t="s">
        <v>1913</v>
      </c>
      <c r="D2937" s="1006" t="s">
        <v>1919</v>
      </c>
      <c r="E2937" s="1006" t="s">
        <v>3458</v>
      </c>
      <c r="F2937" s="1008">
        <v>2129209.31</v>
      </c>
      <c r="G2937" s="1007">
        <v>0</v>
      </c>
      <c r="H2937" s="465"/>
      <c r="I2937" s="465"/>
      <c r="J2937" s="1008">
        <v>0</v>
      </c>
      <c r="K2937" s="1009">
        <v>2129209.31</v>
      </c>
    </row>
    <row r="2938" spans="1:11" ht="20.25" customHeight="1" x14ac:dyDescent="0.25">
      <c r="A2938" s="1006" t="s">
        <v>3454</v>
      </c>
      <c r="B2938" s="1007">
        <v>2025</v>
      </c>
      <c r="C2938" s="1006" t="s">
        <v>1923</v>
      </c>
      <c r="D2938" s="1006" t="s">
        <v>143</v>
      </c>
      <c r="E2938" s="1006" t="s">
        <v>3459</v>
      </c>
      <c r="F2938" s="465"/>
      <c r="G2938" s="1007">
        <v>1</v>
      </c>
      <c r="H2938" s="1008">
        <v>3589187</v>
      </c>
      <c r="I2938" s="1008">
        <v>236693</v>
      </c>
      <c r="J2938" s="1008">
        <v>3825880</v>
      </c>
      <c r="K2938" s="1009">
        <v>3825880</v>
      </c>
    </row>
    <row r="2939" spans="1:11" ht="20.25" customHeight="1" x14ac:dyDescent="0.25">
      <c r="A2939" s="1006" t="s">
        <v>3454</v>
      </c>
      <c r="B2939" s="1007">
        <v>2025</v>
      </c>
      <c r="C2939" s="1006" t="s">
        <v>1925</v>
      </c>
      <c r="D2939" s="1006" t="s">
        <v>144</v>
      </c>
      <c r="E2939" s="1006" t="s">
        <v>3460</v>
      </c>
      <c r="F2939" s="465"/>
      <c r="G2939" s="1007">
        <v>1</v>
      </c>
      <c r="H2939" s="1008">
        <v>2231425</v>
      </c>
      <c r="I2939" s="1008">
        <v>216909</v>
      </c>
      <c r="J2939" s="1008">
        <v>2448334</v>
      </c>
      <c r="K2939" s="1009">
        <v>2448334</v>
      </c>
    </row>
    <row r="2940" spans="1:11" ht="20.25" customHeight="1" x14ac:dyDescent="0.25">
      <c r="A2940" s="1006" t="s">
        <v>3454</v>
      </c>
      <c r="B2940" s="1007">
        <v>2025</v>
      </c>
      <c r="C2940" s="1006" t="s">
        <v>1927</v>
      </c>
      <c r="D2940" s="1006" t="s">
        <v>1928</v>
      </c>
      <c r="E2940" s="1006" t="s">
        <v>3461</v>
      </c>
      <c r="F2940" s="465"/>
      <c r="G2940" s="1007">
        <v>1</v>
      </c>
      <c r="H2940" s="1008">
        <v>-732499</v>
      </c>
      <c r="I2940" s="1008">
        <v>10568</v>
      </c>
      <c r="J2940" s="1008">
        <v>-721931</v>
      </c>
      <c r="K2940" s="1009">
        <v>-721931</v>
      </c>
    </row>
    <row r="2941" spans="1:11" ht="20.25" customHeight="1" x14ac:dyDescent="0.25">
      <c r="A2941" s="1006" t="s">
        <v>3454</v>
      </c>
      <c r="B2941" s="1007">
        <v>2025</v>
      </c>
      <c r="C2941" s="1006" t="s">
        <v>1930</v>
      </c>
      <c r="D2941" s="1006" t="s">
        <v>156</v>
      </c>
      <c r="E2941" s="1006" t="s">
        <v>3462</v>
      </c>
      <c r="F2941" s="465"/>
      <c r="G2941" s="1007">
        <v>1</v>
      </c>
      <c r="H2941" s="1008">
        <v>7927237</v>
      </c>
      <c r="I2941" s="1008">
        <v>367432</v>
      </c>
      <c r="J2941" s="1008">
        <v>8294669</v>
      </c>
      <c r="K2941" s="1009">
        <v>8294669</v>
      </c>
    </row>
    <row r="2942" spans="1:11" ht="20.25" customHeight="1" x14ac:dyDescent="0.25">
      <c r="A2942" s="1006" t="s">
        <v>3454</v>
      </c>
      <c r="B2942" s="1007">
        <v>2025</v>
      </c>
      <c r="C2942" s="1006" t="s">
        <v>1932</v>
      </c>
      <c r="D2942" s="1006" t="s">
        <v>3423</v>
      </c>
      <c r="E2942" s="1006" t="s">
        <v>3463</v>
      </c>
      <c r="F2942" s="1008">
        <v>0</v>
      </c>
      <c r="G2942" s="1007">
        <v>0</v>
      </c>
      <c r="H2942" s="465"/>
      <c r="I2942" s="465"/>
      <c r="J2942" s="1008">
        <v>0</v>
      </c>
      <c r="K2942" s="1009">
        <v>0</v>
      </c>
    </row>
    <row r="2943" spans="1:11" ht="20.25" customHeight="1" x14ac:dyDescent="0.25">
      <c r="A2943" s="1006" t="s">
        <v>3454</v>
      </c>
      <c r="B2943" s="1007">
        <v>2025</v>
      </c>
      <c r="C2943" s="1006" t="s">
        <v>1935</v>
      </c>
      <c r="D2943" s="1006" t="s">
        <v>1936</v>
      </c>
      <c r="E2943" s="1006" t="s">
        <v>9077</v>
      </c>
      <c r="F2943" s="465"/>
      <c r="G2943" s="1007">
        <v>1</v>
      </c>
      <c r="H2943" s="465"/>
      <c r="I2943" s="465"/>
      <c r="J2943" s="1008">
        <v>0</v>
      </c>
      <c r="K2943" s="1009">
        <v>0</v>
      </c>
    </row>
    <row r="2944" spans="1:11" ht="20.25" customHeight="1" x14ac:dyDescent="0.25">
      <c r="A2944" s="1006" t="s">
        <v>3454</v>
      </c>
      <c r="B2944" s="1007">
        <v>2025</v>
      </c>
      <c r="C2944" s="1006" t="s">
        <v>1935</v>
      </c>
      <c r="D2944" s="1006" t="s">
        <v>1937</v>
      </c>
      <c r="E2944" s="1006" t="s">
        <v>9078</v>
      </c>
      <c r="F2944" s="465"/>
      <c r="G2944" s="1007">
        <v>1</v>
      </c>
      <c r="H2944" s="465"/>
      <c r="I2944" s="465"/>
      <c r="J2944" s="1008">
        <v>0</v>
      </c>
      <c r="K2944" s="1009">
        <v>0</v>
      </c>
    </row>
    <row r="2945" spans="1:11" ht="20.25" customHeight="1" x14ac:dyDescent="0.25">
      <c r="A2945" s="1006" t="s">
        <v>3454</v>
      </c>
      <c r="B2945" s="1007">
        <v>2025</v>
      </c>
      <c r="C2945" s="1006" t="s">
        <v>1935</v>
      </c>
      <c r="D2945" s="1006" t="s">
        <v>1938</v>
      </c>
      <c r="E2945" s="1006" t="s">
        <v>9079</v>
      </c>
      <c r="F2945" s="465"/>
      <c r="G2945" s="1007">
        <v>1</v>
      </c>
      <c r="H2945" s="465"/>
      <c r="I2945" s="465"/>
      <c r="J2945" s="1008">
        <v>0</v>
      </c>
      <c r="K2945" s="1009">
        <v>0</v>
      </c>
    </row>
    <row r="2946" spans="1:11" ht="20.25" customHeight="1" x14ac:dyDescent="0.25">
      <c r="A2946" s="1006" t="s">
        <v>3454</v>
      </c>
      <c r="B2946" s="1007">
        <v>2025</v>
      </c>
      <c r="C2946" s="1006" t="s">
        <v>1935</v>
      </c>
      <c r="D2946" s="1006" t="s">
        <v>1939</v>
      </c>
      <c r="E2946" s="1006" t="s">
        <v>9080</v>
      </c>
      <c r="F2946" s="465"/>
      <c r="G2946" s="1007">
        <v>1</v>
      </c>
      <c r="H2946" s="465"/>
      <c r="I2946" s="465"/>
      <c r="J2946" s="1008">
        <v>0</v>
      </c>
      <c r="K2946" s="1009">
        <v>0</v>
      </c>
    </row>
    <row r="2947" spans="1:11" ht="20.25" customHeight="1" x14ac:dyDescent="0.25">
      <c r="A2947" s="1006" t="s">
        <v>3454</v>
      </c>
      <c r="B2947" s="1007">
        <v>2025</v>
      </c>
      <c r="C2947" s="1006" t="s">
        <v>1935</v>
      </c>
      <c r="D2947" s="1006" t="s">
        <v>1940</v>
      </c>
      <c r="E2947" s="1006" t="s">
        <v>9081</v>
      </c>
      <c r="F2947" s="465"/>
      <c r="G2947" s="1007">
        <v>1</v>
      </c>
      <c r="H2947" s="465"/>
      <c r="I2947" s="465"/>
      <c r="J2947" s="1008">
        <v>0</v>
      </c>
      <c r="K2947" s="1009">
        <v>0</v>
      </c>
    </row>
    <row r="2948" spans="1:11" ht="20.25" customHeight="1" x14ac:dyDescent="0.25">
      <c r="A2948" s="1006" t="s">
        <v>3454</v>
      </c>
      <c r="B2948" s="1007">
        <v>2025</v>
      </c>
      <c r="C2948" s="1006" t="s">
        <v>1935</v>
      </c>
      <c r="D2948" s="1006" t="s">
        <v>1941</v>
      </c>
      <c r="E2948" s="1006" t="s">
        <v>9082</v>
      </c>
      <c r="F2948" s="465"/>
      <c r="G2948" s="1007">
        <v>1</v>
      </c>
      <c r="H2948" s="465"/>
      <c r="I2948" s="465"/>
      <c r="J2948" s="1008">
        <v>0</v>
      </c>
      <c r="K2948" s="1009">
        <v>0</v>
      </c>
    </row>
    <row r="2949" spans="1:11" ht="20.25" customHeight="1" x14ac:dyDescent="0.25">
      <c r="A2949" s="1006" t="s">
        <v>3454</v>
      </c>
      <c r="B2949" s="1007">
        <v>2025</v>
      </c>
      <c r="C2949" s="1006" t="s">
        <v>1935</v>
      </c>
      <c r="D2949" s="1006" t="s">
        <v>1942</v>
      </c>
      <c r="E2949" s="1006" t="s">
        <v>9083</v>
      </c>
      <c r="F2949" s="465"/>
      <c r="G2949" s="1007">
        <v>1</v>
      </c>
      <c r="H2949" s="465"/>
      <c r="I2949" s="465"/>
      <c r="J2949" s="1008">
        <v>0</v>
      </c>
      <c r="K2949" s="1009">
        <v>0</v>
      </c>
    </row>
    <row r="2950" spans="1:11" ht="20.25" customHeight="1" x14ac:dyDescent="0.25">
      <c r="A2950" s="1006" t="s">
        <v>3454</v>
      </c>
      <c r="B2950" s="1007">
        <v>2025</v>
      </c>
      <c r="C2950" s="1006" t="s">
        <v>1935</v>
      </c>
      <c r="D2950" s="1006" t="s">
        <v>1943</v>
      </c>
      <c r="E2950" s="1006" t="s">
        <v>9084</v>
      </c>
      <c r="F2950" s="465"/>
      <c r="G2950" s="1007">
        <v>1</v>
      </c>
      <c r="H2950" s="465"/>
      <c r="I2950" s="465"/>
      <c r="J2950" s="1008">
        <v>0</v>
      </c>
      <c r="K2950" s="1009">
        <v>0</v>
      </c>
    </row>
    <row r="2951" spans="1:11" ht="20.25" customHeight="1" x14ac:dyDescent="0.25">
      <c r="A2951" s="1006" t="s">
        <v>3454</v>
      </c>
      <c r="B2951" s="1007">
        <v>2025</v>
      </c>
      <c r="C2951" s="1006" t="s">
        <v>1935</v>
      </c>
      <c r="D2951" s="1006" t="s">
        <v>1944</v>
      </c>
      <c r="E2951" s="1006" t="s">
        <v>9085</v>
      </c>
      <c r="F2951" s="465"/>
      <c r="G2951" s="1007">
        <v>1</v>
      </c>
      <c r="H2951" s="465"/>
      <c r="I2951" s="465"/>
      <c r="J2951" s="1008">
        <v>0</v>
      </c>
      <c r="K2951" s="1009">
        <v>0</v>
      </c>
    </row>
    <row r="2952" spans="1:11" ht="20.25" customHeight="1" x14ac:dyDescent="0.25">
      <c r="A2952" s="1006" t="s">
        <v>3454</v>
      </c>
      <c r="B2952" s="1007">
        <v>2025</v>
      </c>
      <c r="C2952" s="1006" t="s">
        <v>1935</v>
      </c>
      <c r="D2952" s="1006" t="s">
        <v>1945</v>
      </c>
      <c r="E2952" s="1006" t="s">
        <v>9086</v>
      </c>
      <c r="F2952" s="465"/>
      <c r="G2952" s="1007">
        <v>1</v>
      </c>
      <c r="H2952" s="465"/>
      <c r="I2952" s="465"/>
      <c r="J2952" s="1008">
        <v>0</v>
      </c>
      <c r="K2952" s="1009">
        <v>0</v>
      </c>
    </row>
    <row r="2953" spans="1:11" ht="20.25" customHeight="1" x14ac:dyDescent="0.25">
      <c r="A2953" s="1006" t="s">
        <v>3454</v>
      </c>
      <c r="B2953" s="1007">
        <v>2025</v>
      </c>
      <c r="C2953" s="1006" t="s">
        <v>1935</v>
      </c>
      <c r="D2953" s="1006" t="s">
        <v>1946</v>
      </c>
      <c r="E2953" s="1006" t="s">
        <v>9087</v>
      </c>
      <c r="F2953" s="465"/>
      <c r="G2953" s="1007">
        <v>1</v>
      </c>
      <c r="H2953" s="465"/>
      <c r="I2953" s="465"/>
      <c r="J2953" s="1008">
        <v>0</v>
      </c>
      <c r="K2953" s="1009">
        <v>0</v>
      </c>
    </row>
    <row r="2954" spans="1:11" ht="20.25" customHeight="1" x14ac:dyDescent="0.25">
      <c r="A2954" s="1006" t="s">
        <v>3454</v>
      </c>
      <c r="B2954" s="1007">
        <v>2025</v>
      </c>
      <c r="C2954" s="1006" t="s">
        <v>1935</v>
      </c>
      <c r="D2954" s="1006" t="s">
        <v>1947</v>
      </c>
      <c r="E2954" s="1006" t="s">
        <v>9088</v>
      </c>
      <c r="F2954" s="465"/>
      <c r="G2954" s="1007">
        <v>1</v>
      </c>
      <c r="H2954" s="465"/>
      <c r="I2954" s="465"/>
      <c r="J2954" s="1008">
        <v>0</v>
      </c>
      <c r="K2954" s="1009">
        <v>0</v>
      </c>
    </row>
    <row r="2955" spans="1:11" ht="20.25" customHeight="1" x14ac:dyDescent="0.25">
      <c r="A2955" s="1006" t="s">
        <v>3454</v>
      </c>
      <c r="B2955" s="1007">
        <v>2025</v>
      </c>
      <c r="C2955" s="1006" t="s">
        <v>1935</v>
      </c>
      <c r="D2955" s="1006" t="s">
        <v>1948</v>
      </c>
      <c r="E2955" s="1006" t="s">
        <v>9089</v>
      </c>
      <c r="F2955" s="465"/>
      <c r="G2955" s="1007">
        <v>1</v>
      </c>
      <c r="H2955" s="465"/>
      <c r="I2955" s="465"/>
      <c r="J2955" s="1008">
        <v>0</v>
      </c>
      <c r="K2955" s="1009">
        <v>0</v>
      </c>
    </row>
    <row r="2956" spans="1:11" ht="20.25" customHeight="1" x14ac:dyDescent="0.25">
      <c r="A2956" s="1006" t="s">
        <v>3454</v>
      </c>
      <c r="B2956" s="1007">
        <v>2025</v>
      </c>
      <c r="C2956" s="1006" t="s">
        <v>1935</v>
      </c>
      <c r="D2956" s="1006" t="s">
        <v>1949</v>
      </c>
      <c r="E2956" s="1006" t="s">
        <v>9090</v>
      </c>
      <c r="F2956" s="465"/>
      <c r="G2956" s="1007">
        <v>1</v>
      </c>
      <c r="H2956" s="1008">
        <v>-152123</v>
      </c>
      <c r="I2956" s="1008">
        <v>-39012</v>
      </c>
      <c r="J2956" s="1008">
        <v>-191135</v>
      </c>
      <c r="K2956" s="1009">
        <v>-191135</v>
      </c>
    </row>
    <row r="2957" spans="1:11" ht="20.25" customHeight="1" x14ac:dyDescent="0.25">
      <c r="A2957" s="1006" t="s">
        <v>3454</v>
      </c>
      <c r="B2957" s="1007">
        <v>2025</v>
      </c>
      <c r="C2957" s="1006" t="s">
        <v>1935</v>
      </c>
      <c r="D2957" s="1006" t="s">
        <v>1950</v>
      </c>
      <c r="E2957" s="1006" t="s">
        <v>9091</v>
      </c>
      <c r="F2957" s="465"/>
      <c r="G2957" s="1007">
        <v>1</v>
      </c>
      <c r="H2957" s="1008">
        <v>-41289</v>
      </c>
      <c r="I2957" s="1008">
        <v>15387</v>
      </c>
      <c r="J2957" s="1008">
        <v>-25902</v>
      </c>
      <c r="K2957" s="1009">
        <v>-25902</v>
      </c>
    </row>
    <row r="2958" spans="1:11" ht="20.25" customHeight="1" x14ac:dyDescent="0.25">
      <c r="A2958" s="1006" t="s">
        <v>3454</v>
      </c>
      <c r="B2958" s="1007">
        <v>2025</v>
      </c>
      <c r="C2958" s="1006" t="s">
        <v>1935</v>
      </c>
      <c r="D2958" s="1006" t="s">
        <v>1951</v>
      </c>
      <c r="E2958" s="1006" t="s">
        <v>9092</v>
      </c>
      <c r="F2958" s="465"/>
      <c r="G2958" s="1007">
        <v>1</v>
      </c>
      <c r="H2958" s="1008">
        <v>72982</v>
      </c>
      <c r="I2958" s="1008">
        <v>321963</v>
      </c>
      <c r="J2958" s="1008">
        <v>394945</v>
      </c>
      <c r="K2958" s="1009">
        <v>394945</v>
      </c>
    </row>
    <row r="2959" spans="1:11" ht="20.25" customHeight="1" x14ac:dyDescent="0.25">
      <c r="A2959" s="1006" t="s">
        <v>3454</v>
      </c>
      <c r="B2959" s="1007">
        <v>2025</v>
      </c>
      <c r="C2959" s="1006" t="s">
        <v>1935</v>
      </c>
      <c r="D2959" s="1006" t="s">
        <v>7801</v>
      </c>
      <c r="E2959" s="1006" t="s">
        <v>9093</v>
      </c>
      <c r="F2959" s="465"/>
      <c r="G2959" s="1007">
        <v>1</v>
      </c>
      <c r="H2959" s="1008">
        <v>613679</v>
      </c>
      <c r="I2959" s="1008">
        <v>1535396</v>
      </c>
      <c r="J2959" s="1008">
        <v>2149075</v>
      </c>
      <c r="K2959" s="1009">
        <v>2149075</v>
      </c>
    </row>
    <row r="2960" spans="1:11" ht="20.25" customHeight="1" x14ac:dyDescent="0.25">
      <c r="A2960" s="1006" t="s">
        <v>3454</v>
      </c>
      <c r="B2960" s="1007">
        <v>2025</v>
      </c>
      <c r="C2960" s="1006" t="s">
        <v>1935</v>
      </c>
      <c r="D2960" s="1006" t="s">
        <v>3425</v>
      </c>
      <c r="E2960" s="1006" t="s">
        <v>9094</v>
      </c>
      <c r="F2960" s="1008">
        <v>0</v>
      </c>
      <c r="G2960" s="1007">
        <v>0</v>
      </c>
      <c r="H2960" s="465"/>
      <c r="I2960" s="465"/>
      <c r="J2960" s="1008">
        <v>0</v>
      </c>
      <c r="K2960" s="1009">
        <v>0</v>
      </c>
    </row>
    <row r="2961" spans="1:11" ht="20.25" customHeight="1" x14ac:dyDescent="0.25">
      <c r="A2961" s="1006" t="s">
        <v>3454</v>
      </c>
      <c r="B2961" s="1007">
        <v>2025</v>
      </c>
      <c r="C2961" s="1006" t="s">
        <v>1935</v>
      </c>
      <c r="D2961" s="1006" t="s">
        <v>3426</v>
      </c>
      <c r="E2961" s="1006" t="s">
        <v>9095</v>
      </c>
      <c r="F2961" s="1008">
        <v>0</v>
      </c>
      <c r="G2961" s="1007">
        <v>0</v>
      </c>
      <c r="H2961" s="465"/>
      <c r="I2961" s="465"/>
      <c r="J2961" s="1008">
        <v>0</v>
      </c>
      <c r="K2961" s="1009">
        <v>0</v>
      </c>
    </row>
    <row r="2962" spans="1:11" ht="20.25" customHeight="1" x14ac:dyDescent="0.25">
      <c r="A2962" s="1006" t="s">
        <v>3454</v>
      </c>
      <c r="B2962" s="1007">
        <v>2025</v>
      </c>
      <c r="C2962" s="1006" t="s">
        <v>1935</v>
      </c>
      <c r="D2962" s="1006" t="s">
        <v>3427</v>
      </c>
      <c r="E2962" s="1006" t="s">
        <v>9096</v>
      </c>
      <c r="F2962" s="1008">
        <v>0</v>
      </c>
      <c r="G2962" s="1007">
        <v>0</v>
      </c>
      <c r="H2962" s="465"/>
      <c r="I2962" s="465"/>
      <c r="J2962" s="1008">
        <v>0</v>
      </c>
      <c r="K2962" s="1009">
        <v>0</v>
      </c>
    </row>
    <row r="2963" spans="1:11" ht="20.25" customHeight="1" x14ac:dyDescent="0.25">
      <c r="A2963" s="1006" t="s">
        <v>3454</v>
      </c>
      <c r="B2963" s="1007">
        <v>2025</v>
      </c>
      <c r="C2963" s="1006" t="s">
        <v>1935</v>
      </c>
      <c r="D2963" s="1006" t="s">
        <v>3428</v>
      </c>
      <c r="E2963" s="1006" t="s">
        <v>9094</v>
      </c>
      <c r="F2963" s="1008">
        <v>0</v>
      </c>
      <c r="G2963" s="1007">
        <v>0</v>
      </c>
      <c r="H2963" s="465"/>
      <c r="I2963" s="465"/>
      <c r="J2963" s="1008">
        <v>0</v>
      </c>
      <c r="K2963" s="1009">
        <v>0</v>
      </c>
    </row>
    <row r="2964" spans="1:11" ht="20.25" customHeight="1" x14ac:dyDescent="0.25">
      <c r="A2964" s="1006" t="s">
        <v>3454</v>
      </c>
      <c r="B2964" s="1007">
        <v>2025</v>
      </c>
      <c r="C2964" s="1006" t="s">
        <v>1935</v>
      </c>
      <c r="D2964" s="1006" t="s">
        <v>3429</v>
      </c>
      <c r="E2964" s="1006" t="s">
        <v>9095</v>
      </c>
      <c r="F2964" s="1008">
        <v>0</v>
      </c>
      <c r="G2964" s="1007">
        <v>0</v>
      </c>
      <c r="H2964" s="465"/>
      <c r="I2964" s="465"/>
      <c r="J2964" s="1008">
        <v>0</v>
      </c>
      <c r="K2964" s="1009">
        <v>0</v>
      </c>
    </row>
    <row r="2965" spans="1:11" ht="20.25" customHeight="1" x14ac:dyDescent="0.25">
      <c r="A2965" s="1006" t="s">
        <v>3454</v>
      </c>
      <c r="B2965" s="1007">
        <v>2025</v>
      </c>
      <c r="C2965" s="1006" t="s">
        <v>1935</v>
      </c>
      <c r="D2965" s="1006" t="s">
        <v>3430</v>
      </c>
      <c r="E2965" s="1006" t="s">
        <v>9096</v>
      </c>
      <c r="F2965" s="1008">
        <v>0</v>
      </c>
      <c r="G2965" s="1007">
        <v>0</v>
      </c>
      <c r="H2965" s="465"/>
      <c r="I2965" s="465"/>
      <c r="J2965" s="1008">
        <v>0</v>
      </c>
      <c r="K2965" s="1009">
        <v>0</v>
      </c>
    </row>
    <row r="2966" spans="1:11" ht="20.25" customHeight="1" x14ac:dyDescent="0.25">
      <c r="A2966" s="1006" t="s">
        <v>3454</v>
      </c>
      <c r="B2966" s="1007">
        <v>2025</v>
      </c>
      <c r="C2966" s="1006" t="s">
        <v>1935</v>
      </c>
      <c r="D2966" s="1006" t="s">
        <v>3431</v>
      </c>
      <c r="E2966" s="1006" t="s">
        <v>9094</v>
      </c>
      <c r="F2966" s="1008">
        <v>0</v>
      </c>
      <c r="G2966" s="1007">
        <v>0</v>
      </c>
      <c r="H2966" s="465"/>
      <c r="I2966" s="465"/>
      <c r="J2966" s="1008">
        <v>0</v>
      </c>
      <c r="K2966" s="1009">
        <v>0</v>
      </c>
    </row>
    <row r="2967" spans="1:11" ht="20.25" customHeight="1" x14ac:dyDescent="0.25">
      <c r="A2967" s="1006" t="s">
        <v>3454</v>
      </c>
      <c r="B2967" s="1007">
        <v>2025</v>
      </c>
      <c r="C2967" s="1006" t="s">
        <v>1935</v>
      </c>
      <c r="D2967" s="1006" t="s">
        <v>3432</v>
      </c>
      <c r="E2967" s="1006" t="s">
        <v>9095</v>
      </c>
      <c r="F2967" s="1008">
        <v>0</v>
      </c>
      <c r="G2967" s="1007">
        <v>0</v>
      </c>
      <c r="H2967" s="465"/>
      <c r="I2967" s="465"/>
      <c r="J2967" s="1008">
        <v>0</v>
      </c>
      <c r="K2967" s="1009">
        <v>0</v>
      </c>
    </row>
    <row r="2968" spans="1:11" ht="20.25" customHeight="1" x14ac:dyDescent="0.25">
      <c r="A2968" s="1006" t="s">
        <v>3454</v>
      </c>
      <c r="B2968" s="1007">
        <v>2025</v>
      </c>
      <c r="C2968" s="1006" t="s">
        <v>1935</v>
      </c>
      <c r="D2968" s="1006" t="s">
        <v>3433</v>
      </c>
      <c r="E2968" s="1006" t="s">
        <v>9096</v>
      </c>
      <c r="F2968" s="1008">
        <v>0</v>
      </c>
      <c r="G2968" s="1007">
        <v>0</v>
      </c>
      <c r="H2968" s="465"/>
      <c r="I2968" s="465"/>
      <c r="J2968" s="1008">
        <v>0</v>
      </c>
      <c r="K2968" s="1009">
        <v>0</v>
      </c>
    </row>
    <row r="2969" spans="1:11" ht="20.25" customHeight="1" x14ac:dyDescent="0.25">
      <c r="A2969" s="1006" t="s">
        <v>3464</v>
      </c>
      <c r="B2969" s="1007">
        <v>2025</v>
      </c>
      <c r="C2969" s="1006" t="s">
        <v>1887</v>
      </c>
      <c r="D2969" s="1006" t="s">
        <v>138</v>
      </c>
      <c r="E2969" s="1006" t="s">
        <v>3465</v>
      </c>
      <c r="F2969" s="465"/>
      <c r="G2969" s="1007">
        <v>1</v>
      </c>
      <c r="H2969" s="1008">
        <v>878134</v>
      </c>
      <c r="I2969" s="1008">
        <v>90003</v>
      </c>
      <c r="J2969" s="1008">
        <v>968137</v>
      </c>
      <c r="K2969" s="1009">
        <v>968137</v>
      </c>
    </row>
    <row r="2970" spans="1:11" ht="20.25" customHeight="1" x14ac:dyDescent="0.25">
      <c r="A2970" s="1006" t="s">
        <v>3464</v>
      </c>
      <c r="B2970" s="1007">
        <v>2025</v>
      </c>
      <c r="C2970" s="1006" t="s">
        <v>1889</v>
      </c>
      <c r="D2970" s="1006" t="s">
        <v>139</v>
      </c>
      <c r="E2970" s="1006" t="s">
        <v>3466</v>
      </c>
      <c r="F2970" s="465"/>
      <c r="G2970" s="1007">
        <v>1</v>
      </c>
      <c r="H2970" s="1008">
        <v>-912304</v>
      </c>
      <c r="I2970" s="1008">
        <v>-50035</v>
      </c>
      <c r="J2970" s="1008">
        <v>-962339</v>
      </c>
      <c r="K2970" s="1009">
        <v>-962339</v>
      </c>
    </row>
    <row r="2971" spans="1:11" ht="20.25" customHeight="1" x14ac:dyDescent="0.25">
      <c r="A2971" s="1006" t="s">
        <v>3464</v>
      </c>
      <c r="B2971" s="1007">
        <v>2025</v>
      </c>
      <c r="C2971" s="1006" t="s">
        <v>1891</v>
      </c>
      <c r="D2971" s="1006" t="s">
        <v>1894</v>
      </c>
      <c r="E2971" s="1006" t="s">
        <v>3467</v>
      </c>
      <c r="F2971" s="1008">
        <v>-126392.42</v>
      </c>
      <c r="G2971" s="1007">
        <v>0</v>
      </c>
      <c r="H2971" s="465"/>
      <c r="I2971" s="465"/>
      <c r="J2971" s="1008">
        <v>0</v>
      </c>
      <c r="K2971" s="1009">
        <v>-126392.42</v>
      </c>
    </row>
    <row r="2972" spans="1:11" ht="20.25" customHeight="1" x14ac:dyDescent="0.25">
      <c r="A2972" s="1006" t="s">
        <v>3464</v>
      </c>
      <c r="B2972" s="1007">
        <v>2025</v>
      </c>
      <c r="C2972" s="1006" t="s">
        <v>1913</v>
      </c>
      <c r="D2972" s="1006" t="s">
        <v>1914</v>
      </c>
      <c r="E2972" s="1006" t="s">
        <v>3468</v>
      </c>
      <c r="F2972" s="465"/>
      <c r="G2972" s="1007">
        <v>1</v>
      </c>
      <c r="H2972" s="1008">
        <v>-7532918</v>
      </c>
      <c r="I2972" s="1008">
        <v>-479937</v>
      </c>
      <c r="J2972" s="1008">
        <v>-8012855</v>
      </c>
      <c r="K2972" s="1009">
        <v>-8012855</v>
      </c>
    </row>
    <row r="2973" spans="1:11" ht="20.25" customHeight="1" x14ac:dyDescent="0.25">
      <c r="A2973" s="1006" t="s">
        <v>3464</v>
      </c>
      <c r="B2973" s="1007">
        <v>2025</v>
      </c>
      <c r="C2973" s="1006" t="s">
        <v>1913</v>
      </c>
      <c r="D2973" s="1006" t="s">
        <v>1916</v>
      </c>
      <c r="E2973" s="1006" t="s">
        <v>3468</v>
      </c>
      <c r="F2973" s="1008">
        <v>0</v>
      </c>
      <c r="G2973" s="1007">
        <v>0</v>
      </c>
      <c r="H2973" s="465"/>
      <c r="I2973" s="465"/>
      <c r="J2973" s="1008">
        <v>0</v>
      </c>
      <c r="K2973" s="1009">
        <v>0</v>
      </c>
    </row>
    <row r="2974" spans="1:11" ht="20.25" customHeight="1" x14ac:dyDescent="0.25">
      <c r="A2974" s="1006" t="s">
        <v>3464</v>
      </c>
      <c r="B2974" s="1007">
        <v>2025</v>
      </c>
      <c r="C2974" s="1006" t="s">
        <v>1913</v>
      </c>
      <c r="D2974" s="1006" t="s">
        <v>1917</v>
      </c>
      <c r="E2974" s="1006" t="s">
        <v>3468</v>
      </c>
      <c r="F2974" s="1008">
        <v>0</v>
      </c>
      <c r="G2974" s="1007">
        <v>0</v>
      </c>
      <c r="H2974" s="465"/>
      <c r="I2974" s="465"/>
      <c r="J2974" s="1008">
        <v>0</v>
      </c>
      <c r="K2974" s="1009">
        <v>0</v>
      </c>
    </row>
    <row r="2975" spans="1:11" ht="20.25" customHeight="1" x14ac:dyDescent="0.25">
      <c r="A2975" s="1006" t="s">
        <v>3464</v>
      </c>
      <c r="B2975" s="1007">
        <v>2025</v>
      </c>
      <c r="C2975" s="1006" t="s">
        <v>1913</v>
      </c>
      <c r="D2975" s="1006" t="s">
        <v>1918</v>
      </c>
      <c r="E2975" s="1006" t="s">
        <v>3468</v>
      </c>
      <c r="F2975" s="1008">
        <v>45301.4</v>
      </c>
      <c r="G2975" s="1007">
        <v>0</v>
      </c>
      <c r="H2975" s="465"/>
      <c r="I2975" s="465"/>
      <c r="J2975" s="1008">
        <v>0</v>
      </c>
      <c r="K2975" s="1009">
        <v>45301.4</v>
      </c>
    </row>
    <row r="2976" spans="1:11" ht="20.25" customHeight="1" x14ac:dyDescent="0.25">
      <c r="A2976" s="1006" t="s">
        <v>3464</v>
      </c>
      <c r="B2976" s="1007">
        <v>2025</v>
      </c>
      <c r="C2976" s="1006" t="s">
        <v>1913</v>
      </c>
      <c r="D2976" s="1006" t="s">
        <v>1919</v>
      </c>
      <c r="E2976" s="1006" t="s">
        <v>3468</v>
      </c>
      <c r="F2976" s="1008">
        <v>4315491.53</v>
      </c>
      <c r="G2976" s="1007">
        <v>0</v>
      </c>
      <c r="H2976" s="465"/>
      <c r="I2976" s="465"/>
      <c r="J2976" s="1008">
        <v>0</v>
      </c>
      <c r="K2976" s="1009">
        <v>4315491.53</v>
      </c>
    </row>
    <row r="2977" spans="1:11" ht="20.25" customHeight="1" x14ac:dyDescent="0.25">
      <c r="A2977" s="1006" t="s">
        <v>3464</v>
      </c>
      <c r="B2977" s="1007">
        <v>2025</v>
      </c>
      <c r="C2977" s="1006" t="s">
        <v>1923</v>
      </c>
      <c r="D2977" s="1006" t="s">
        <v>143</v>
      </c>
      <c r="E2977" s="1006" t="s">
        <v>3469</v>
      </c>
      <c r="F2977" s="465"/>
      <c r="G2977" s="1007">
        <v>1</v>
      </c>
      <c r="H2977" s="1008">
        <v>7963037</v>
      </c>
      <c r="I2977" s="1008">
        <v>491229</v>
      </c>
      <c r="J2977" s="1008">
        <v>8454266</v>
      </c>
      <c r="K2977" s="1009">
        <v>8454266</v>
      </c>
    </row>
    <row r="2978" spans="1:11" ht="20.25" customHeight="1" x14ac:dyDescent="0.25">
      <c r="A2978" s="1006" t="s">
        <v>3464</v>
      </c>
      <c r="B2978" s="1007">
        <v>2025</v>
      </c>
      <c r="C2978" s="1006" t="s">
        <v>1925</v>
      </c>
      <c r="D2978" s="1006" t="s">
        <v>144</v>
      </c>
      <c r="E2978" s="1006" t="s">
        <v>3470</v>
      </c>
      <c r="F2978" s="465"/>
      <c r="G2978" s="1007">
        <v>1</v>
      </c>
      <c r="H2978" s="1008">
        <v>2353482</v>
      </c>
      <c r="I2978" s="1008">
        <v>203400</v>
      </c>
      <c r="J2978" s="1008">
        <v>2556882</v>
      </c>
      <c r="K2978" s="1009">
        <v>2556882</v>
      </c>
    </row>
    <row r="2979" spans="1:11" ht="20.25" customHeight="1" x14ac:dyDescent="0.25">
      <c r="A2979" s="1006" t="s">
        <v>3464</v>
      </c>
      <c r="B2979" s="1007">
        <v>2025</v>
      </c>
      <c r="C2979" s="1006" t="s">
        <v>1927</v>
      </c>
      <c r="D2979" s="1006" t="s">
        <v>1928</v>
      </c>
      <c r="E2979" s="1006" t="s">
        <v>3471</v>
      </c>
      <c r="F2979" s="465"/>
      <c r="G2979" s="1007">
        <v>1</v>
      </c>
      <c r="H2979" s="1008">
        <v>-3423302</v>
      </c>
      <c r="I2979" s="1008">
        <v>-319253</v>
      </c>
      <c r="J2979" s="1008">
        <v>-3742555</v>
      </c>
      <c r="K2979" s="1009">
        <v>-3742555</v>
      </c>
    </row>
    <row r="2980" spans="1:11" ht="20.25" customHeight="1" x14ac:dyDescent="0.25">
      <c r="A2980" s="1006" t="s">
        <v>3464</v>
      </c>
      <c r="B2980" s="1007">
        <v>2025</v>
      </c>
      <c r="C2980" s="1006" t="s">
        <v>1930</v>
      </c>
      <c r="D2980" s="1006" t="s">
        <v>156</v>
      </c>
      <c r="E2980" s="1006" t="s">
        <v>3472</v>
      </c>
      <c r="F2980" s="465"/>
      <c r="G2980" s="1007">
        <v>1</v>
      </c>
      <c r="H2980" s="1008">
        <v>25952857</v>
      </c>
      <c r="I2980" s="1008">
        <v>1113262</v>
      </c>
      <c r="J2980" s="1008">
        <v>27066119</v>
      </c>
      <c r="K2980" s="1009">
        <v>27066119</v>
      </c>
    </row>
    <row r="2981" spans="1:11" ht="20.25" customHeight="1" x14ac:dyDescent="0.25">
      <c r="A2981" s="1006" t="s">
        <v>3464</v>
      </c>
      <c r="B2981" s="1007">
        <v>2025</v>
      </c>
      <c r="C2981" s="1006" t="s">
        <v>1932</v>
      </c>
      <c r="D2981" s="1006" t="s">
        <v>3423</v>
      </c>
      <c r="E2981" s="1006" t="s">
        <v>3473</v>
      </c>
      <c r="F2981" s="1008">
        <v>0</v>
      </c>
      <c r="G2981" s="1007">
        <v>0</v>
      </c>
      <c r="H2981" s="465"/>
      <c r="I2981" s="465"/>
      <c r="J2981" s="1008">
        <v>0</v>
      </c>
      <c r="K2981" s="1009">
        <v>0</v>
      </c>
    </row>
    <row r="2982" spans="1:11" ht="20.25" customHeight="1" x14ac:dyDescent="0.25">
      <c r="A2982" s="1006" t="s">
        <v>3464</v>
      </c>
      <c r="B2982" s="1007">
        <v>2025</v>
      </c>
      <c r="C2982" s="1006" t="s">
        <v>1935</v>
      </c>
      <c r="D2982" s="1006" t="s">
        <v>1936</v>
      </c>
      <c r="E2982" s="1006" t="s">
        <v>9097</v>
      </c>
      <c r="F2982" s="465"/>
      <c r="G2982" s="1007">
        <v>1</v>
      </c>
      <c r="H2982" s="465"/>
      <c r="I2982" s="465"/>
      <c r="J2982" s="1008">
        <v>0</v>
      </c>
      <c r="K2982" s="1009">
        <v>0</v>
      </c>
    </row>
    <row r="2983" spans="1:11" ht="20.25" customHeight="1" x14ac:dyDescent="0.25">
      <c r="A2983" s="1006" t="s">
        <v>3464</v>
      </c>
      <c r="B2983" s="1007">
        <v>2025</v>
      </c>
      <c r="C2983" s="1006" t="s">
        <v>1935</v>
      </c>
      <c r="D2983" s="1006" t="s">
        <v>1937</v>
      </c>
      <c r="E2983" s="1006" t="s">
        <v>9098</v>
      </c>
      <c r="F2983" s="465"/>
      <c r="G2983" s="1007">
        <v>1</v>
      </c>
      <c r="H2983" s="465"/>
      <c r="I2983" s="465"/>
      <c r="J2983" s="1008">
        <v>0</v>
      </c>
      <c r="K2983" s="1009">
        <v>0</v>
      </c>
    </row>
    <row r="2984" spans="1:11" ht="20.25" customHeight="1" x14ac:dyDescent="0.25">
      <c r="A2984" s="1006" t="s">
        <v>3464</v>
      </c>
      <c r="B2984" s="1007">
        <v>2025</v>
      </c>
      <c r="C2984" s="1006" t="s">
        <v>1935</v>
      </c>
      <c r="D2984" s="1006" t="s">
        <v>1938</v>
      </c>
      <c r="E2984" s="1006" t="s">
        <v>9099</v>
      </c>
      <c r="F2984" s="465"/>
      <c r="G2984" s="1007">
        <v>1</v>
      </c>
      <c r="H2984" s="465"/>
      <c r="I2984" s="465"/>
      <c r="J2984" s="1008">
        <v>0</v>
      </c>
      <c r="K2984" s="1009">
        <v>0</v>
      </c>
    </row>
    <row r="2985" spans="1:11" ht="20.25" customHeight="1" x14ac:dyDescent="0.25">
      <c r="A2985" s="1006" t="s">
        <v>3464</v>
      </c>
      <c r="B2985" s="1007">
        <v>2025</v>
      </c>
      <c r="C2985" s="1006" t="s">
        <v>1935</v>
      </c>
      <c r="D2985" s="1006" t="s">
        <v>1939</v>
      </c>
      <c r="E2985" s="1006" t="s">
        <v>9100</v>
      </c>
      <c r="F2985" s="465"/>
      <c r="G2985" s="1007">
        <v>1</v>
      </c>
      <c r="H2985" s="465"/>
      <c r="I2985" s="465"/>
      <c r="J2985" s="1008">
        <v>0</v>
      </c>
      <c r="K2985" s="1009">
        <v>0</v>
      </c>
    </row>
    <row r="2986" spans="1:11" ht="20.25" customHeight="1" x14ac:dyDescent="0.25">
      <c r="A2986" s="1006" t="s">
        <v>3464</v>
      </c>
      <c r="B2986" s="1007">
        <v>2025</v>
      </c>
      <c r="C2986" s="1006" t="s">
        <v>1935</v>
      </c>
      <c r="D2986" s="1006" t="s">
        <v>1940</v>
      </c>
      <c r="E2986" s="1006" t="s">
        <v>9101</v>
      </c>
      <c r="F2986" s="465"/>
      <c r="G2986" s="1007">
        <v>1</v>
      </c>
      <c r="H2986" s="465"/>
      <c r="I2986" s="465"/>
      <c r="J2986" s="1008">
        <v>0</v>
      </c>
      <c r="K2986" s="1009">
        <v>0</v>
      </c>
    </row>
    <row r="2987" spans="1:11" ht="20.25" customHeight="1" x14ac:dyDescent="0.25">
      <c r="A2987" s="1006" t="s">
        <v>3464</v>
      </c>
      <c r="B2987" s="1007">
        <v>2025</v>
      </c>
      <c r="C2987" s="1006" t="s">
        <v>1935</v>
      </c>
      <c r="D2987" s="1006" t="s">
        <v>1941</v>
      </c>
      <c r="E2987" s="1006" t="s">
        <v>9102</v>
      </c>
      <c r="F2987" s="465"/>
      <c r="G2987" s="1007">
        <v>1</v>
      </c>
      <c r="H2987" s="465"/>
      <c r="I2987" s="465"/>
      <c r="J2987" s="1008">
        <v>0</v>
      </c>
      <c r="K2987" s="1009">
        <v>0</v>
      </c>
    </row>
    <row r="2988" spans="1:11" ht="20.25" customHeight="1" x14ac:dyDescent="0.25">
      <c r="A2988" s="1006" t="s">
        <v>3464</v>
      </c>
      <c r="B2988" s="1007">
        <v>2025</v>
      </c>
      <c r="C2988" s="1006" t="s">
        <v>1935</v>
      </c>
      <c r="D2988" s="1006" t="s">
        <v>1942</v>
      </c>
      <c r="E2988" s="1006" t="s">
        <v>9103</v>
      </c>
      <c r="F2988" s="465"/>
      <c r="G2988" s="1007">
        <v>1</v>
      </c>
      <c r="H2988" s="465"/>
      <c r="I2988" s="465"/>
      <c r="J2988" s="1008">
        <v>0</v>
      </c>
      <c r="K2988" s="1009">
        <v>0</v>
      </c>
    </row>
    <row r="2989" spans="1:11" ht="20.25" customHeight="1" x14ac:dyDescent="0.25">
      <c r="A2989" s="1006" t="s">
        <v>3464</v>
      </c>
      <c r="B2989" s="1007">
        <v>2025</v>
      </c>
      <c r="C2989" s="1006" t="s">
        <v>1935</v>
      </c>
      <c r="D2989" s="1006" t="s">
        <v>1943</v>
      </c>
      <c r="E2989" s="1006" t="s">
        <v>9104</v>
      </c>
      <c r="F2989" s="465"/>
      <c r="G2989" s="1007">
        <v>1</v>
      </c>
      <c r="H2989" s="465"/>
      <c r="I2989" s="465"/>
      <c r="J2989" s="1008">
        <v>0</v>
      </c>
      <c r="K2989" s="1009">
        <v>0</v>
      </c>
    </row>
    <row r="2990" spans="1:11" ht="20.25" customHeight="1" x14ac:dyDescent="0.25">
      <c r="A2990" s="1006" t="s">
        <v>3464</v>
      </c>
      <c r="B2990" s="1007">
        <v>2025</v>
      </c>
      <c r="C2990" s="1006" t="s">
        <v>1935</v>
      </c>
      <c r="D2990" s="1006" t="s">
        <v>1944</v>
      </c>
      <c r="E2990" s="1006" t="s">
        <v>9105</v>
      </c>
      <c r="F2990" s="465"/>
      <c r="G2990" s="1007">
        <v>1</v>
      </c>
      <c r="H2990" s="465"/>
      <c r="I2990" s="465"/>
      <c r="J2990" s="1008">
        <v>0</v>
      </c>
      <c r="K2990" s="1009">
        <v>0</v>
      </c>
    </row>
    <row r="2991" spans="1:11" ht="20.25" customHeight="1" x14ac:dyDescent="0.25">
      <c r="A2991" s="1006" t="s">
        <v>3464</v>
      </c>
      <c r="B2991" s="1007">
        <v>2025</v>
      </c>
      <c r="C2991" s="1006" t="s">
        <v>1935</v>
      </c>
      <c r="D2991" s="1006" t="s">
        <v>1945</v>
      </c>
      <c r="E2991" s="1006" t="s">
        <v>9106</v>
      </c>
      <c r="F2991" s="465"/>
      <c r="G2991" s="1007">
        <v>1</v>
      </c>
      <c r="H2991" s="465"/>
      <c r="I2991" s="465"/>
      <c r="J2991" s="1008">
        <v>0</v>
      </c>
      <c r="K2991" s="1009">
        <v>0</v>
      </c>
    </row>
    <row r="2992" spans="1:11" ht="20.25" customHeight="1" x14ac:dyDescent="0.25">
      <c r="A2992" s="1006" t="s">
        <v>3464</v>
      </c>
      <c r="B2992" s="1007">
        <v>2025</v>
      </c>
      <c r="C2992" s="1006" t="s">
        <v>1935</v>
      </c>
      <c r="D2992" s="1006" t="s">
        <v>1946</v>
      </c>
      <c r="E2992" s="1006" t="s">
        <v>9107</v>
      </c>
      <c r="F2992" s="465"/>
      <c r="G2992" s="1007">
        <v>1</v>
      </c>
      <c r="H2992" s="465"/>
      <c r="I2992" s="465"/>
      <c r="J2992" s="1008">
        <v>0</v>
      </c>
      <c r="K2992" s="1009">
        <v>0</v>
      </c>
    </row>
    <row r="2993" spans="1:11" ht="20.25" customHeight="1" x14ac:dyDescent="0.25">
      <c r="A2993" s="1006" t="s">
        <v>3464</v>
      </c>
      <c r="B2993" s="1007">
        <v>2025</v>
      </c>
      <c r="C2993" s="1006" t="s">
        <v>1935</v>
      </c>
      <c r="D2993" s="1006" t="s">
        <v>1947</v>
      </c>
      <c r="E2993" s="1006" t="s">
        <v>9108</v>
      </c>
      <c r="F2993" s="465"/>
      <c r="G2993" s="1007">
        <v>1</v>
      </c>
      <c r="H2993" s="465"/>
      <c r="I2993" s="465"/>
      <c r="J2993" s="1008">
        <v>0</v>
      </c>
      <c r="K2993" s="1009">
        <v>0</v>
      </c>
    </row>
    <row r="2994" spans="1:11" ht="20.25" customHeight="1" x14ac:dyDescent="0.25">
      <c r="A2994" s="1006" t="s">
        <v>3464</v>
      </c>
      <c r="B2994" s="1007">
        <v>2025</v>
      </c>
      <c r="C2994" s="1006" t="s">
        <v>1935</v>
      </c>
      <c r="D2994" s="1006" t="s">
        <v>1948</v>
      </c>
      <c r="E2994" s="1006" t="s">
        <v>9109</v>
      </c>
      <c r="F2994" s="465"/>
      <c r="G2994" s="1007">
        <v>1</v>
      </c>
      <c r="H2994" s="465"/>
      <c r="I2994" s="465"/>
      <c r="J2994" s="1008">
        <v>0</v>
      </c>
      <c r="K2994" s="1009">
        <v>0</v>
      </c>
    </row>
    <row r="2995" spans="1:11" ht="20.25" customHeight="1" x14ac:dyDescent="0.25">
      <c r="A2995" s="1006" t="s">
        <v>3464</v>
      </c>
      <c r="B2995" s="1007">
        <v>2025</v>
      </c>
      <c r="C2995" s="1006" t="s">
        <v>1935</v>
      </c>
      <c r="D2995" s="1006" t="s">
        <v>1949</v>
      </c>
      <c r="E2995" s="1006" t="s">
        <v>9110</v>
      </c>
      <c r="F2995" s="465"/>
      <c r="G2995" s="1007">
        <v>1</v>
      </c>
      <c r="H2995" s="1008">
        <v>-650238</v>
      </c>
      <c r="I2995" s="1008">
        <v>555798</v>
      </c>
      <c r="J2995" s="1008">
        <v>-94440</v>
      </c>
      <c r="K2995" s="1009">
        <v>-94440</v>
      </c>
    </row>
    <row r="2996" spans="1:11" ht="20.25" customHeight="1" x14ac:dyDescent="0.25">
      <c r="A2996" s="1006" t="s">
        <v>3464</v>
      </c>
      <c r="B2996" s="1007">
        <v>2025</v>
      </c>
      <c r="C2996" s="1006" t="s">
        <v>1935</v>
      </c>
      <c r="D2996" s="1006" t="s">
        <v>1950</v>
      </c>
      <c r="E2996" s="1006" t="s">
        <v>9111</v>
      </c>
      <c r="F2996" s="465"/>
      <c r="G2996" s="1007">
        <v>1</v>
      </c>
      <c r="H2996" s="1008">
        <v>66619</v>
      </c>
      <c r="I2996" s="1008">
        <v>203750</v>
      </c>
      <c r="J2996" s="1008">
        <v>270369</v>
      </c>
      <c r="K2996" s="1009">
        <v>270369</v>
      </c>
    </row>
    <row r="2997" spans="1:11" ht="20.25" customHeight="1" x14ac:dyDescent="0.25">
      <c r="A2997" s="1006" t="s">
        <v>3464</v>
      </c>
      <c r="B2997" s="1007">
        <v>2025</v>
      </c>
      <c r="C2997" s="1006" t="s">
        <v>1935</v>
      </c>
      <c r="D2997" s="1006" t="s">
        <v>1951</v>
      </c>
      <c r="E2997" s="1006" t="s">
        <v>9112</v>
      </c>
      <c r="F2997" s="465"/>
      <c r="G2997" s="1007">
        <v>1</v>
      </c>
      <c r="H2997" s="1008">
        <v>-238039</v>
      </c>
      <c r="I2997" s="1008">
        <v>134666</v>
      </c>
      <c r="J2997" s="1008">
        <v>-103373</v>
      </c>
      <c r="K2997" s="1009">
        <v>-103373</v>
      </c>
    </row>
    <row r="2998" spans="1:11" ht="20.25" customHeight="1" x14ac:dyDescent="0.25">
      <c r="A2998" s="1006" t="s">
        <v>3464</v>
      </c>
      <c r="B2998" s="1007">
        <v>2025</v>
      </c>
      <c r="C2998" s="1006" t="s">
        <v>1935</v>
      </c>
      <c r="D2998" s="1006" t="s">
        <v>7801</v>
      </c>
      <c r="E2998" s="1006" t="s">
        <v>9113</v>
      </c>
      <c r="F2998" s="465"/>
      <c r="G2998" s="1007">
        <v>1</v>
      </c>
      <c r="H2998" s="1008">
        <v>-2863508</v>
      </c>
      <c r="I2998" s="1008">
        <v>2913234</v>
      </c>
      <c r="J2998" s="1008">
        <v>49726</v>
      </c>
      <c r="K2998" s="1009">
        <v>49726</v>
      </c>
    </row>
    <row r="2999" spans="1:11" ht="20.25" customHeight="1" x14ac:dyDescent="0.25">
      <c r="A2999" s="1006" t="s">
        <v>3464</v>
      </c>
      <c r="B2999" s="1007">
        <v>2025</v>
      </c>
      <c r="C2999" s="1006" t="s">
        <v>1935</v>
      </c>
      <c r="D2999" s="1006" t="s">
        <v>3425</v>
      </c>
      <c r="E2999" s="1006" t="s">
        <v>9114</v>
      </c>
      <c r="F2999" s="1008">
        <v>0</v>
      </c>
      <c r="G2999" s="1007">
        <v>0</v>
      </c>
      <c r="H2999" s="465"/>
      <c r="I2999" s="465"/>
      <c r="J2999" s="1008">
        <v>0</v>
      </c>
      <c r="K2999" s="1009">
        <v>0</v>
      </c>
    </row>
    <row r="3000" spans="1:11" ht="20.25" customHeight="1" x14ac:dyDescent="0.25">
      <c r="A3000" s="1006" t="s">
        <v>3464</v>
      </c>
      <c r="B3000" s="1007">
        <v>2025</v>
      </c>
      <c r="C3000" s="1006" t="s">
        <v>1935</v>
      </c>
      <c r="D3000" s="1006" t="s">
        <v>3426</v>
      </c>
      <c r="E3000" s="1006" t="s">
        <v>9115</v>
      </c>
      <c r="F3000" s="1008">
        <v>0</v>
      </c>
      <c r="G3000" s="1007">
        <v>0</v>
      </c>
      <c r="H3000" s="465"/>
      <c r="I3000" s="465"/>
      <c r="J3000" s="1008">
        <v>0</v>
      </c>
      <c r="K3000" s="1009">
        <v>0</v>
      </c>
    </row>
    <row r="3001" spans="1:11" ht="20.25" customHeight="1" x14ac:dyDescent="0.25">
      <c r="A3001" s="1006" t="s">
        <v>3464</v>
      </c>
      <c r="B3001" s="1007">
        <v>2025</v>
      </c>
      <c r="C3001" s="1006" t="s">
        <v>1935</v>
      </c>
      <c r="D3001" s="1006" t="s">
        <v>3427</v>
      </c>
      <c r="E3001" s="1006" t="s">
        <v>9116</v>
      </c>
      <c r="F3001" s="1008">
        <v>0</v>
      </c>
      <c r="G3001" s="1007">
        <v>0</v>
      </c>
      <c r="H3001" s="465"/>
      <c r="I3001" s="465"/>
      <c r="J3001" s="1008">
        <v>0</v>
      </c>
      <c r="K3001" s="1009">
        <v>0</v>
      </c>
    </row>
    <row r="3002" spans="1:11" ht="20.25" customHeight="1" x14ac:dyDescent="0.25">
      <c r="A3002" s="1006" t="s">
        <v>3464</v>
      </c>
      <c r="B3002" s="1007">
        <v>2025</v>
      </c>
      <c r="C3002" s="1006" t="s">
        <v>1935</v>
      </c>
      <c r="D3002" s="1006" t="s">
        <v>3428</v>
      </c>
      <c r="E3002" s="1006" t="s">
        <v>9114</v>
      </c>
      <c r="F3002" s="1008">
        <v>0</v>
      </c>
      <c r="G3002" s="1007">
        <v>0</v>
      </c>
      <c r="H3002" s="465"/>
      <c r="I3002" s="465"/>
      <c r="J3002" s="1008">
        <v>0</v>
      </c>
      <c r="K3002" s="1009">
        <v>0</v>
      </c>
    </row>
    <row r="3003" spans="1:11" ht="20.25" customHeight="1" x14ac:dyDescent="0.25">
      <c r="A3003" s="1006" t="s">
        <v>3464</v>
      </c>
      <c r="B3003" s="1007">
        <v>2025</v>
      </c>
      <c r="C3003" s="1006" t="s">
        <v>1935</v>
      </c>
      <c r="D3003" s="1006" t="s">
        <v>3429</v>
      </c>
      <c r="E3003" s="1006" t="s">
        <v>9115</v>
      </c>
      <c r="F3003" s="1008">
        <v>0</v>
      </c>
      <c r="G3003" s="1007">
        <v>0</v>
      </c>
      <c r="H3003" s="465"/>
      <c r="I3003" s="465"/>
      <c r="J3003" s="1008">
        <v>0</v>
      </c>
      <c r="K3003" s="1009">
        <v>0</v>
      </c>
    </row>
    <row r="3004" spans="1:11" ht="20.25" customHeight="1" x14ac:dyDescent="0.25">
      <c r="A3004" s="1006" t="s">
        <v>3464</v>
      </c>
      <c r="B3004" s="1007">
        <v>2025</v>
      </c>
      <c r="C3004" s="1006" t="s">
        <v>1935</v>
      </c>
      <c r="D3004" s="1006" t="s">
        <v>3430</v>
      </c>
      <c r="E3004" s="1006" t="s">
        <v>9116</v>
      </c>
      <c r="F3004" s="1008">
        <v>0</v>
      </c>
      <c r="G3004" s="1007">
        <v>0</v>
      </c>
      <c r="H3004" s="465"/>
      <c r="I3004" s="465"/>
      <c r="J3004" s="1008">
        <v>0</v>
      </c>
      <c r="K3004" s="1009">
        <v>0</v>
      </c>
    </row>
    <row r="3005" spans="1:11" ht="20.25" customHeight="1" x14ac:dyDescent="0.25">
      <c r="A3005" s="1006" t="s">
        <v>3464</v>
      </c>
      <c r="B3005" s="1007">
        <v>2025</v>
      </c>
      <c r="C3005" s="1006" t="s">
        <v>1935</v>
      </c>
      <c r="D3005" s="1006" t="s">
        <v>3431</v>
      </c>
      <c r="E3005" s="1006" t="s">
        <v>9114</v>
      </c>
      <c r="F3005" s="1008">
        <v>0</v>
      </c>
      <c r="G3005" s="1007">
        <v>0</v>
      </c>
      <c r="H3005" s="465"/>
      <c r="I3005" s="465"/>
      <c r="J3005" s="1008">
        <v>0</v>
      </c>
      <c r="K3005" s="1009">
        <v>0</v>
      </c>
    </row>
    <row r="3006" spans="1:11" ht="20.25" customHeight="1" x14ac:dyDescent="0.25">
      <c r="A3006" s="1006" t="s">
        <v>3464</v>
      </c>
      <c r="B3006" s="1007">
        <v>2025</v>
      </c>
      <c r="C3006" s="1006" t="s">
        <v>1935</v>
      </c>
      <c r="D3006" s="1006" t="s">
        <v>3432</v>
      </c>
      <c r="E3006" s="1006" t="s">
        <v>9115</v>
      </c>
      <c r="F3006" s="1008">
        <v>0</v>
      </c>
      <c r="G3006" s="1007">
        <v>0</v>
      </c>
      <c r="H3006" s="465"/>
      <c r="I3006" s="465"/>
      <c r="J3006" s="1008">
        <v>0</v>
      </c>
      <c r="K3006" s="1009">
        <v>0</v>
      </c>
    </row>
    <row r="3007" spans="1:11" ht="20.25" customHeight="1" x14ac:dyDescent="0.25">
      <c r="A3007" s="1006" t="s">
        <v>3464</v>
      </c>
      <c r="B3007" s="1007">
        <v>2025</v>
      </c>
      <c r="C3007" s="1006" t="s">
        <v>1935</v>
      </c>
      <c r="D3007" s="1006" t="s">
        <v>3433</v>
      </c>
      <c r="E3007" s="1006" t="s">
        <v>9116</v>
      </c>
      <c r="F3007" s="1008">
        <v>0</v>
      </c>
      <c r="G3007" s="1007">
        <v>0</v>
      </c>
      <c r="H3007" s="465"/>
      <c r="I3007" s="465"/>
      <c r="J3007" s="1008">
        <v>0</v>
      </c>
      <c r="K3007" s="1009">
        <v>0</v>
      </c>
    </row>
    <row r="3008" spans="1:11" ht="20.25" customHeight="1" x14ac:dyDescent="0.25">
      <c r="A3008" s="1006" t="s">
        <v>3474</v>
      </c>
      <c r="B3008" s="1007">
        <v>2025</v>
      </c>
      <c r="C3008" s="1006" t="s">
        <v>1887</v>
      </c>
      <c r="D3008" s="1006" t="s">
        <v>138</v>
      </c>
      <c r="E3008" s="1006" t="s">
        <v>3475</v>
      </c>
      <c r="F3008" s="465"/>
      <c r="G3008" s="1007">
        <v>1</v>
      </c>
      <c r="H3008" s="1008">
        <v>700139</v>
      </c>
      <c r="I3008" s="1008">
        <v>44010</v>
      </c>
      <c r="J3008" s="1008">
        <v>744149</v>
      </c>
      <c r="K3008" s="1009">
        <v>744149</v>
      </c>
    </row>
    <row r="3009" spans="1:11" ht="20.25" customHeight="1" x14ac:dyDescent="0.25">
      <c r="A3009" s="1006" t="s">
        <v>3474</v>
      </c>
      <c r="B3009" s="1007">
        <v>2025</v>
      </c>
      <c r="C3009" s="1006" t="s">
        <v>1889</v>
      </c>
      <c r="D3009" s="1006" t="s">
        <v>139</v>
      </c>
      <c r="E3009" s="1006" t="s">
        <v>3476</v>
      </c>
      <c r="F3009" s="465"/>
      <c r="G3009" s="1007">
        <v>1</v>
      </c>
      <c r="H3009" s="1008">
        <v>-269036</v>
      </c>
      <c r="I3009" s="1008">
        <v>-12076</v>
      </c>
      <c r="J3009" s="1008">
        <v>-281112</v>
      </c>
      <c r="K3009" s="1009">
        <v>-281112</v>
      </c>
    </row>
    <row r="3010" spans="1:11" ht="20.25" customHeight="1" x14ac:dyDescent="0.25">
      <c r="A3010" s="1006" t="s">
        <v>3474</v>
      </c>
      <c r="B3010" s="1007">
        <v>2025</v>
      </c>
      <c r="C3010" s="1006" t="s">
        <v>1891</v>
      </c>
      <c r="D3010" s="1006" t="s">
        <v>1894</v>
      </c>
      <c r="E3010" s="1006" t="s">
        <v>3477</v>
      </c>
      <c r="F3010" s="465"/>
      <c r="G3010" s="1007">
        <v>0</v>
      </c>
      <c r="H3010" s="465"/>
      <c r="I3010" s="465"/>
      <c r="J3010" s="1008">
        <v>0</v>
      </c>
      <c r="K3010" s="1009">
        <v>0</v>
      </c>
    </row>
    <row r="3011" spans="1:11" ht="20.25" customHeight="1" x14ac:dyDescent="0.25">
      <c r="A3011" s="1006" t="s">
        <v>3474</v>
      </c>
      <c r="B3011" s="1007">
        <v>2025</v>
      </c>
      <c r="C3011" s="1006" t="s">
        <v>1913</v>
      </c>
      <c r="D3011" s="1006" t="s">
        <v>1914</v>
      </c>
      <c r="E3011" s="1006" t="s">
        <v>3478</v>
      </c>
      <c r="F3011" s="465"/>
      <c r="G3011" s="1007">
        <v>1</v>
      </c>
      <c r="H3011" s="1008">
        <v>-2282930</v>
      </c>
      <c r="I3011" s="1008">
        <v>-157981</v>
      </c>
      <c r="J3011" s="1008">
        <v>-2440911</v>
      </c>
      <c r="K3011" s="1009">
        <v>-2440911</v>
      </c>
    </row>
    <row r="3012" spans="1:11" ht="20.25" customHeight="1" x14ac:dyDescent="0.25">
      <c r="A3012" s="1006" t="s">
        <v>3474</v>
      </c>
      <c r="B3012" s="1007">
        <v>2025</v>
      </c>
      <c r="C3012" s="1006" t="s">
        <v>1913</v>
      </c>
      <c r="D3012" s="1006" t="s">
        <v>1916</v>
      </c>
      <c r="E3012" s="1006" t="s">
        <v>3478</v>
      </c>
      <c r="F3012" s="465"/>
      <c r="G3012" s="1007">
        <v>0</v>
      </c>
      <c r="H3012" s="465"/>
      <c r="I3012" s="465"/>
      <c r="J3012" s="1008">
        <v>0</v>
      </c>
      <c r="K3012" s="1009">
        <v>0</v>
      </c>
    </row>
    <row r="3013" spans="1:11" ht="20.25" customHeight="1" x14ac:dyDescent="0.25">
      <c r="A3013" s="1006" t="s">
        <v>3474</v>
      </c>
      <c r="B3013" s="1007">
        <v>2025</v>
      </c>
      <c r="C3013" s="1006" t="s">
        <v>1913</v>
      </c>
      <c r="D3013" s="1006" t="s">
        <v>1917</v>
      </c>
      <c r="E3013" s="1006" t="s">
        <v>3478</v>
      </c>
      <c r="F3013" s="465"/>
      <c r="G3013" s="1007">
        <v>0</v>
      </c>
      <c r="H3013" s="465"/>
      <c r="I3013" s="465"/>
      <c r="J3013" s="1008">
        <v>0</v>
      </c>
      <c r="K3013" s="1009">
        <v>0</v>
      </c>
    </row>
    <row r="3014" spans="1:11" ht="20.25" customHeight="1" x14ac:dyDescent="0.25">
      <c r="A3014" s="1006" t="s">
        <v>3474</v>
      </c>
      <c r="B3014" s="1007">
        <v>2025</v>
      </c>
      <c r="C3014" s="1006" t="s">
        <v>1913</v>
      </c>
      <c r="D3014" s="1006" t="s">
        <v>1918</v>
      </c>
      <c r="E3014" s="1006" t="s">
        <v>3478</v>
      </c>
      <c r="F3014" s="1008">
        <v>17238.96</v>
      </c>
      <c r="G3014" s="1007">
        <v>0</v>
      </c>
      <c r="H3014" s="465"/>
      <c r="I3014" s="465"/>
      <c r="J3014" s="1008">
        <v>0</v>
      </c>
      <c r="K3014" s="1009">
        <v>17238.96</v>
      </c>
    </row>
    <row r="3015" spans="1:11" ht="20.25" customHeight="1" x14ac:dyDescent="0.25">
      <c r="A3015" s="1006" t="s">
        <v>3474</v>
      </c>
      <c r="B3015" s="1007">
        <v>2025</v>
      </c>
      <c r="C3015" s="1006" t="s">
        <v>1913</v>
      </c>
      <c r="D3015" s="1006" t="s">
        <v>1919</v>
      </c>
      <c r="E3015" s="1006" t="s">
        <v>3478</v>
      </c>
      <c r="F3015" s="1008">
        <v>1139359.3999999999</v>
      </c>
      <c r="G3015" s="1007">
        <v>0</v>
      </c>
      <c r="H3015" s="465"/>
      <c r="I3015" s="465"/>
      <c r="J3015" s="1008">
        <v>0</v>
      </c>
      <c r="K3015" s="1009">
        <v>1139359.3999999999</v>
      </c>
    </row>
    <row r="3016" spans="1:11" ht="20.25" customHeight="1" x14ac:dyDescent="0.25">
      <c r="A3016" s="1006" t="s">
        <v>3474</v>
      </c>
      <c r="B3016" s="1007">
        <v>2025</v>
      </c>
      <c r="C3016" s="1006" t="s">
        <v>1923</v>
      </c>
      <c r="D3016" s="1006" t="s">
        <v>143</v>
      </c>
      <c r="E3016" s="1006" t="s">
        <v>3479</v>
      </c>
      <c r="F3016" s="465"/>
      <c r="G3016" s="1007">
        <v>1</v>
      </c>
      <c r="H3016" s="1008">
        <v>1740944</v>
      </c>
      <c r="I3016" s="1008">
        <v>55444</v>
      </c>
      <c r="J3016" s="1008">
        <v>1796388</v>
      </c>
      <c r="K3016" s="1009">
        <v>1796388</v>
      </c>
    </row>
    <row r="3017" spans="1:11" ht="20.25" customHeight="1" x14ac:dyDescent="0.25">
      <c r="A3017" s="1006" t="s">
        <v>3474</v>
      </c>
      <c r="B3017" s="1007">
        <v>2025</v>
      </c>
      <c r="C3017" s="1006" t="s">
        <v>1925</v>
      </c>
      <c r="D3017" s="1006" t="s">
        <v>144</v>
      </c>
      <c r="E3017" s="1006" t="s">
        <v>3480</v>
      </c>
      <c r="F3017" s="465"/>
      <c r="G3017" s="1007">
        <v>1</v>
      </c>
      <c r="H3017" s="1008">
        <v>582182</v>
      </c>
      <c r="I3017" s="1008">
        <v>46298</v>
      </c>
      <c r="J3017" s="1008">
        <v>628480</v>
      </c>
      <c r="K3017" s="1009">
        <v>628480</v>
      </c>
    </row>
    <row r="3018" spans="1:11" ht="20.25" customHeight="1" x14ac:dyDescent="0.25">
      <c r="A3018" s="1006" t="s">
        <v>3474</v>
      </c>
      <c r="B3018" s="1007">
        <v>2025</v>
      </c>
      <c r="C3018" s="1006" t="s">
        <v>1927</v>
      </c>
      <c r="D3018" s="1006" t="s">
        <v>1928</v>
      </c>
      <c r="E3018" s="1006" t="s">
        <v>3481</v>
      </c>
      <c r="F3018" s="465"/>
      <c r="G3018" s="1007">
        <v>1</v>
      </c>
      <c r="H3018" s="1008">
        <v>-1304964</v>
      </c>
      <c r="I3018" s="1008">
        <v>-172768</v>
      </c>
      <c r="J3018" s="1008">
        <v>-1477732</v>
      </c>
      <c r="K3018" s="1009">
        <v>-1477732</v>
      </c>
    </row>
    <row r="3019" spans="1:11" ht="20.25" customHeight="1" x14ac:dyDescent="0.25">
      <c r="A3019" s="1006" t="s">
        <v>3474</v>
      </c>
      <c r="B3019" s="1007">
        <v>2025</v>
      </c>
      <c r="C3019" s="1006" t="s">
        <v>1930</v>
      </c>
      <c r="D3019" s="1006" t="s">
        <v>156</v>
      </c>
      <c r="E3019" s="1006" t="s">
        <v>3482</v>
      </c>
      <c r="F3019" s="465"/>
      <c r="G3019" s="1007">
        <v>1</v>
      </c>
      <c r="H3019" s="1008">
        <v>4930744</v>
      </c>
      <c r="I3019" s="1008">
        <v>292220</v>
      </c>
      <c r="J3019" s="1008">
        <v>5222964</v>
      </c>
      <c r="K3019" s="1009">
        <v>5222964</v>
      </c>
    </row>
    <row r="3020" spans="1:11" ht="20.25" customHeight="1" x14ac:dyDescent="0.25">
      <c r="A3020" s="1006" t="s">
        <v>3474</v>
      </c>
      <c r="B3020" s="1007">
        <v>2025</v>
      </c>
      <c r="C3020" s="1006" t="s">
        <v>1932</v>
      </c>
      <c r="D3020" s="1006" t="s">
        <v>3423</v>
      </c>
      <c r="E3020" s="1006" t="s">
        <v>3483</v>
      </c>
      <c r="F3020" s="465"/>
      <c r="G3020" s="1007">
        <v>0</v>
      </c>
      <c r="H3020" s="465"/>
      <c r="I3020" s="465"/>
      <c r="J3020" s="1008">
        <v>0</v>
      </c>
      <c r="K3020" s="1009">
        <v>0</v>
      </c>
    </row>
    <row r="3021" spans="1:11" ht="20.25" customHeight="1" x14ac:dyDescent="0.25">
      <c r="A3021" s="1006" t="s">
        <v>3474</v>
      </c>
      <c r="B3021" s="1007">
        <v>2025</v>
      </c>
      <c r="C3021" s="1006" t="s">
        <v>1935</v>
      </c>
      <c r="D3021" s="1006" t="s">
        <v>1936</v>
      </c>
      <c r="E3021" s="1006" t="s">
        <v>9117</v>
      </c>
      <c r="F3021" s="465"/>
      <c r="G3021" s="1007">
        <v>1</v>
      </c>
      <c r="H3021" s="465"/>
      <c r="I3021" s="465"/>
      <c r="J3021" s="1008">
        <v>0</v>
      </c>
      <c r="K3021" s="1009">
        <v>0</v>
      </c>
    </row>
    <row r="3022" spans="1:11" ht="20.25" customHeight="1" x14ac:dyDescent="0.25">
      <c r="A3022" s="1006" t="s">
        <v>3474</v>
      </c>
      <c r="B3022" s="1007">
        <v>2025</v>
      </c>
      <c r="C3022" s="1006" t="s">
        <v>1935</v>
      </c>
      <c r="D3022" s="1006" t="s">
        <v>1937</v>
      </c>
      <c r="E3022" s="1006" t="s">
        <v>9118</v>
      </c>
      <c r="F3022" s="465"/>
      <c r="G3022" s="1007">
        <v>1</v>
      </c>
      <c r="H3022" s="465"/>
      <c r="I3022" s="465"/>
      <c r="J3022" s="1008">
        <v>0</v>
      </c>
      <c r="K3022" s="1009">
        <v>0</v>
      </c>
    </row>
    <row r="3023" spans="1:11" ht="20.25" customHeight="1" x14ac:dyDescent="0.25">
      <c r="A3023" s="1006" t="s">
        <v>3474</v>
      </c>
      <c r="B3023" s="1007">
        <v>2025</v>
      </c>
      <c r="C3023" s="1006" t="s">
        <v>1935</v>
      </c>
      <c r="D3023" s="1006" t="s">
        <v>1938</v>
      </c>
      <c r="E3023" s="1006" t="s">
        <v>9119</v>
      </c>
      <c r="F3023" s="465"/>
      <c r="G3023" s="1007">
        <v>1</v>
      </c>
      <c r="H3023" s="465"/>
      <c r="I3023" s="465"/>
      <c r="J3023" s="1008">
        <v>0</v>
      </c>
      <c r="K3023" s="1009">
        <v>0</v>
      </c>
    </row>
    <row r="3024" spans="1:11" ht="20.25" customHeight="1" x14ac:dyDescent="0.25">
      <c r="A3024" s="1006" t="s">
        <v>3474</v>
      </c>
      <c r="B3024" s="1007">
        <v>2025</v>
      </c>
      <c r="C3024" s="1006" t="s">
        <v>1935</v>
      </c>
      <c r="D3024" s="1006" t="s">
        <v>1939</v>
      </c>
      <c r="E3024" s="1006" t="s">
        <v>9120</v>
      </c>
      <c r="F3024" s="465"/>
      <c r="G3024" s="1007">
        <v>1</v>
      </c>
      <c r="H3024" s="465"/>
      <c r="I3024" s="465"/>
      <c r="J3024" s="1008">
        <v>0</v>
      </c>
      <c r="K3024" s="1009">
        <v>0</v>
      </c>
    </row>
    <row r="3025" spans="1:11" ht="20.25" customHeight="1" x14ac:dyDescent="0.25">
      <c r="A3025" s="1006" t="s">
        <v>3474</v>
      </c>
      <c r="B3025" s="1007">
        <v>2025</v>
      </c>
      <c r="C3025" s="1006" t="s">
        <v>1935</v>
      </c>
      <c r="D3025" s="1006" t="s">
        <v>1940</v>
      </c>
      <c r="E3025" s="1006" t="s">
        <v>9121</v>
      </c>
      <c r="F3025" s="465"/>
      <c r="G3025" s="1007">
        <v>1</v>
      </c>
      <c r="H3025" s="465"/>
      <c r="I3025" s="465"/>
      <c r="J3025" s="1008">
        <v>0</v>
      </c>
      <c r="K3025" s="1009">
        <v>0</v>
      </c>
    </row>
    <row r="3026" spans="1:11" ht="20.25" customHeight="1" x14ac:dyDescent="0.25">
      <c r="A3026" s="1006" t="s">
        <v>3474</v>
      </c>
      <c r="B3026" s="1007">
        <v>2025</v>
      </c>
      <c r="C3026" s="1006" t="s">
        <v>1935</v>
      </c>
      <c r="D3026" s="1006" t="s">
        <v>1941</v>
      </c>
      <c r="E3026" s="1006" t="s">
        <v>9122</v>
      </c>
      <c r="F3026" s="465"/>
      <c r="G3026" s="1007">
        <v>1</v>
      </c>
      <c r="H3026" s="465"/>
      <c r="I3026" s="465"/>
      <c r="J3026" s="1008">
        <v>0</v>
      </c>
      <c r="K3026" s="1009">
        <v>0</v>
      </c>
    </row>
    <row r="3027" spans="1:11" ht="20.25" customHeight="1" x14ac:dyDescent="0.25">
      <c r="A3027" s="1006" t="s">
        <v>3474</v>
      </c>
      <c r="B3027" s="1007">
        <v>2025</v>
      </c>
      <c r="C3027" s="1006" t="s">
        <v>1935</v>
      </c>
      <c r="D3027" s="1006" t="s">
        <v>1942</v>
      </c>
      <c r="E3027" s="1006" t="s">
        <v>9123</v>
      </c>
      <c r="F3027" s="465"/>
      <c r="G3027" s="1007">
        <v>1</v>
      </c>
      <c r="H3027" s="465"/>
      <c r="I3027" s="465"/>
      <c r="J3027" s="1008">
        <v>0</v>
      </c>
      <c r="K3027" s="1009">
        <v>0</v>
      </c>
    </row>
    <row r="3028" spans="1:11" ht="20.25" customHeight="1" x14ac:dyDescent="0.25">
      <c r="A3028" s="1006" t="s">
        <v>3474</v>
      </c>
      <c r="B3028" s="1007">
        <v>2025</v>
      </c>
      <c r="C3028" s="1006" t="s">
        <v>1935</v>
      </c>
      <c r="D3028" s="1006" t="s">
        <v>1943</v>
      </c>
      <c r="E3028" s="1006" t="s">
        <v>9124</v>
      </c>
      <c r="F3028" s="465"/>
      <c r="G3028" s="1007">
        <v>1</v>
      </c>
      <c r="H3028" s="465"/>
      <c r="I3028" s="465"/>
      <c r="J3028" s="1008">
        <v>0</v>
      </c>
      <c r="K3028" s="1009">
        <v>0</v>
      </c>
    </row>
    <row r="3029" spans="1:11" ht="20.25" customHeight="1" x14ac:dyDescent="0.25">
      <c r="A3029" s="1006" t="s">
        <v>3474</v>
      </c>
      <c r="B3029" s="1007">
        <v>2025</v>
      </c>
      <c r="C3029" s="1006" t="s">
        <v>1935</v>
      </c>
      <c r="D3029" s="1006" t="s">
        <v>1944</v>
      </c>
      <c r="E3029" s="1006" t="s">
        <v>9125</v>
      </c>
      <c r="F3029" s="465"/>
      <c r="G3029" s="1007">
        <v>1</v>
      </c>
      <c r="H3029" s="465"/>
      <c r="I3029" s="465"/>
      <c r="J3029" s="1008">
        <v>0</v>
      </c>
      <c r="K3029" s="1009">
        <v>0</v>
      </c>
    </row>
    <row r="3030" spans="1:11" ht="20.25" customHeight="1" x14ac:dyDescent="0.25">
      <c r="A3030" s="1006" t="s">
        <v>3474</v>
      </c>
      <c r="B3030" s="1007">
        <v>2025</v>
      </c>
      <c r="C3030" s="1006" t="s">
        <v>1935</v>
      </c>
      <c r="D3030" s="1006" t="s">
        <v>1945</v>
      </c>
      <c r="E3030" s="1006" t="s">
        <v>9126</v>
      </c>
      <c r="F3030" s="465"/>
      <c r="G3030" s="1007">
        <v>1</v>
      </c>
      <c r="H3030" s="465"/>
      <c r="I3030" s="465"/>
      <c r="J3030" s="1008">
        <v>0</v>
      </c>
      <c r="K3030" s="1009">
        <v>0</v>
      </c>
    </row>
    <row r="3031" spans="1:11" ht="20.25" customHeight="1" x14ac:dyDescent="0.25">
      <c r="A3031" s="1006" t="s">
        <v>3474</v>
      </c>
      <c r="B3031" s="1007">
        <v>2025</v>
      </c>
      <c r="C3031" s="1006" t="s">
        <v>1935</v>
      </c>
      <c r="D3031" s="1006" t="s">
        <v>1946</v>
      </c>
      <c r="E3031" s="1006" t="s">
        <v>9127</v>
      </c>
      <c r="F3031" s="465"/>
      <c r="G3031" s="1007">
        <v>1</v>
      </c>
      <c r="H3031" s="465"/>
      <c r="I3031" s="465"/>
      <c r="J3031" s="1008">
        <v>0</v>
      </c>
      <c r="K3031" s="1009">
        <v>0</v>
      </c>
    </row>
    <row r="3032" spans="1:11" ht="20.25" customHeight="1" x14ac:dyDescent="0.25">
      <c r="A3032" s="1006" t="s">
        <v>3474</v>
      </c>
      <c r="B3032" s="1007">
        <v>2025</v>
      </c>
      <c r="C3032" s="1006" t="s">
        <v>1935</v>
      </c>
      <c r="D3032" s="1006" t="s">
        <v>1947</v>
      </c>
      <c r="E3032" s="1006" t="s">
        <v>9128</v>
      </c>
      <c r="F3032" s="465"/>
      <c r="G3032" s="1007">
        <v>1</v>
      </c>
      <c r="H3032" s="465"/>
      <c r="I3032" s="465"/>
      <c r="J3032" s="1008">
        <v>0</v>
      </c>
      <c r="K3032" s="1009">
        <v>0</v>
      </c>
    </row>
    <row r="3033" spans="1:11" ht="20.25" customHeight="1" x14ac:dyDescent="0.25">
      <c r="A3033" s="1006" t="s">
        <v>3474</v>
      </c>
      <c r="B3033" s="1007">
        <v>2025</v>
      </c>
      <c r="C3033" s="1006" t="s">
        <v>1935</v>
      </c>
      <c r="D3033" s="1006" t="s">
        <v>1948</v>
      </c>
      <c r="E3033" s="1006" t="s">
        <v>9129</v>
      </c>
      <c r="F3033" s="465"/>
      <c r="G3033" s="1007">
        <v>1</v>
      </c>
      <c r="H3033" s="465"/>
      <c r="I3033" s="465"/>
      <c r="J3033" s="1008">
        <v>0</v>
      </c>
      <c r="K3033" s="1009">
        <v>0</v>
      </c>
    </row>
    <row r="3034" spans="1:11" ht="20.25" customHeight="1" x14ac:dyDescent="0.25">
      <c r="A3034" s="1006" t="s">
        <v>3474</v>
      </c>
      <c r="B3034" s="1007">
        <v>2025</v>
      </c>
      <c r="C3034" s="1006" t="s">
        <v>1935</v>
      </c>
      <c r="D3034" s="1006" t="s">
        <v>1949</v>
      </c>
      <c r="E3034" s="1006" t="s">
        <v>9130</v>
      </c>
      <c r="F3034" s="465"/>
      <c r="G3034" s="1007">
        <v>1</v>
      </c>
      <c r="H3034" s="1008">
        <v>10122</v>
      </c>
      <c r="I3034" s="1008">
        <v>37302</v>
      </c>
      <c r="J3034" s="1008">
        <v>47424</v>
      </c>
      <c r="K3034" s="1009">
        <v>47424</v>
      </c>
    </row>
    <row r="3035" spans="1:11" ht="20.25" customHeight="1" x14ac:dyDescent="0.25">
      <c r="A3035" s="1006" t="s">
        <v>3474</v>
      </c>
      <c r="B3035" s="1007">
        <v>2025</v>
      </c>
      <c r="C3035" s="1006" t="s">
        <v>1935</v>
      </c>
      <c r="D3035" s="1006" t="s">
        <v>1950</v>
      </c>
      <c r="E3035" s="1006" t="s">
        <v>9131</v>
      </c>
      <c r="F3035" s="465"/>
      <c r="G3035" s="1007">
        <v>1</v>
      </c>
      <c r="H3035" s="1008">
        <v>-57363</v>
      </c>
      <c r="I3035" s="1008">
        <v>-10679</v>
      </c>
      <c r="J3035" s="1008">
        <v>-68042</v>
      </c>
      <c r="K3035" s="1009">
        <v>-68042</v>
      </c>
    </row>
    <row r="3036" spans="1:11" ht="20.25" customHeight="1" x14ac:dyDescent="0.25">
      <c r="A3036" s="1006" t="s">
        <v>3474</v>
      </c>
      <c r="B3036" s="1007">
        <v>2025</v>
      </c>
      <c r="C3036" s="1006" t="s">
        <v>1935</v>
      </c>
      <c r="D3036" s="1006" t="s">
        <v>1951</v>
      </c>
      <c r="E3036" s="1006" t="s">
        <v>9132</v>
      </c>
      <c r="F3036" s="465"/>
      <c r="G3036" s="1007">
        <v>1</v>
      </c>
      <c r="H3036" s="1008">
        <v>-330523</v>
      </c>
      <c r="I3036" s="1008">
        <v>384689</v>
      </c>
      <c r="J3036" s="1008">
        <v>54166</v>
      </c>
      <c r="K3036" s="1009">
        <v>54166</v>
      </c>
    </row>
    <row r="3037" spans="1:11" ht="20.25" customHeight="1" x14ac:dyDescent="0.25">
      <c r="A3037" s="1006" t="s">
        <v>3474</v>
      </c>
      <c r="B3037" s="1007">
        <v>2025</v>
      </c>
      <c r="C3037" s="1006" t="s">
        <v>1935</v>
      </c>
      <c r="D3037" s="1006" t="s">
        <v>7801</v>
      </c>
      <c r="E3037" s="1006" t="s">
        <v>9133</v>
      </c>
      <c r="F3037" s="465"/>
      <c r="G3037" s="1007">
        <v>1</v>
      </c>
      <c r="H3037" s="1008">
        <v>-830944</v>
      </c>
      <c r="I3037" s="1008">
        <v>975853</v>
      </c>
      <c r="J3037" s="1008">
        <v>144909</v>
      </c>
      <c r="K3037" s="1009">
        <v>144909</v>
      </c>
    </row>
    <row r="3038" spans="1:11" ht="20.25" customHeight="1" x14ac:dyDescent="0.25">
      <c r="A3038" s="1006" t="s">
        <v>3474</v>
      </c>
      <c r="B3038" s="1007">
        <v>2025</v>
      </c>
      <c r="C3038" s="1006" t="s">
        <v>1935</v>
      </c>
      <c r="D3038" s="1006" t="s">
        <v>3425</v>
      </c>
      <c r="E3038" s="1006" t="s">
        <v>9134</v>
      </c>
      <c r="F3038" s="465"/>
      <c r="G3038" s="1007">
        <v>0</v>
      </c>
      <c r="H3038" s="465"/>
      <c r="I3038" s="465"/>
      <c r="J3038" s="1008">
        <v>0</v>
      </c>
      <c r="K3038" s="1009">
        <v>0</v>
      </c>
    </row>
    <row r="3039" spans="1:11" ht="20.25" customHeight="1" x14ac:dyDescent="0.25">
      <c r="A3039" s="1006" t="s">
        <v>3474</v>
      </c>
      <c r="B3039" s="1007">
        <v>2025</v>
      </c>
      <c r="C3039" s="1006" t="s">
        <v>1935</v>
      </c>
      <c r="D3039" s="1006" t="s">
        <v>3426</v>
      </c>
      <c r="E3039" s="1006" t="s">
        <v>9135</v>
      </c>
      <c r="F3039" s="465"/>
      <c r="G3039" s="1007">
        <v>0</v>
      </c>
      <c r="H3039" s="465"/>
      <c r="I3039" s="465"/>
      <c r="J3039" s="1008">
        <v>0</v>
      </c>
      <c r="K3039" s="1009">
        <v>0</v>
      </c>
    </row>
    <row r="3040" spans="1:11" ht="20.25" customHeight="1" x14ac:dyDescent="0.25">
      <c r="A3040" s="1006" t="s">
        <v>3474</v>
      </c>
      <c r="B3040" s="1007">
        <v>2025</v>
      </c>
      <c r="C3040" s="1006" t="s">
        <v>1935</v>
      </c>
      <c r="D3040" s="1006" t="s">
        <v>3427</v>
      </c>
      <c r="E3040" s="1006" t="s">
        <v>9136</v>
      </c>
      <c r="F3040" s="465"/>
      <c r="G3040" s="1007">
        <v>0</v>
      </c>
      <c r="H3040" s="465"/>
      <c r="I3040" s="465"/>
      <c r="J3040" s="1008">
        <v>0</v>
      </c>
      <c r="K3040" s="1009">
        <v>0</v>
      </c>
    </row>
    <row r="3041" spans="1:11" ht="20.25" customHeight="1" x14ac:dyDescent="0.25">
      <c r="A3041" s="1006" t="s">
        <v>3474</v>
      </c>
      <c r="B3041" s="1007">
        <v>2025</v>
      </c>
      <c r="C3041" s="1006" t="s">
        <v>1935</v>
      </c>
      <c r="D3041" s="1006" t="s">
        <v>3428</v>
      </c>
      <c r="E3041" s="1006" t="s">
        <v>9134</v>
      </c>
      <c r="F3041" s="465"/>
      <c r="G3041" s="1007">
        <v>0</v>
      </c>
      <c r="H3041" s="465"/>
      <c r="I3041" s="465"/>
      <c r="J3041" s="1008">
        <v>0</v>
      </c>
      <c r="K3041" s="1009">
        <v>0</v>
      </c>
    </row>
    <row r="3042" spans="1:11" ht="20.25" customHeight="1" x14ac:dyDescent="0.25">
      <c r="A3042" s="1006" t="s">
        <v>3474</v>
      </c>
      <c r="B3042" s="1007">
        <v>2025</v>
      </c>
      <c r="C3042" s="1006" t="s">
        <v>1935</v>
      </c>
      <c r="D3042" s="1006" t="s">
        <v>3429</v>
      </c>
      <c r="E3042" s="1006" t="s">
        <v>9135</v>
      </c>
      <c r="F3042" s="465"/>
      <c r="G3042" s="1007">
        <v>0</v>
      </c>
      <c r="H3042" s="465"/>
      <c r="I3042" s="465"/>
      <c r="J3042" s="1008">
        <v>0</v>
      </c>
      <c r="K3042" s="1009">
        <v>0</v>
      </c>
    </row>
    <row r="3043" spans="1:11" ht="20.25" customHeight="1" x14ac:dyDescent="0.25">
      <c r="A3043" s="1006" t="s">
        <v>3474</v>
      </c>
      <c r="B3043" s="1007">
        <v>2025</v>
      </c>
      <c r="C3043" s="1006" t="s">
        <v>1935</v>
      </c>
      <c r="D3043" s="1006" t="s">
        <v>3430</v>
      </c>
      <c r="E3043" s="1006" t="s">
        <v>9136</v>
      </c>
      <c r="F3043" s="465"/>
      <c r="G3043" s="1007">
        <v>0</v>
      </c>
      <c r="H3043" s="465"/>
      <c r="I3043" s="465"/>
      <c r="J3043" s="1008">
        <v>0</v>
      </c>
      <c r="K3043" s="1009">
        <v>0</v>
      </c>
    </row>
    <row r="3044" spans="1:11" ht="20.25" customHeight="1" x14ac:dyDescent="0.25">
      <c r="A3044" s="1006" t="s">
        <v>3474</v>
      </c>
      <c r="B3044" s="1007">
        <v>2025</v>
      </c>
      <c r="C3044" s="1006" t="s">
        <v>1935</v>
      </c>
      <c r="D3044" s="1006" t="s">
        <v>3431</v>
      </c>
      <c r="E3044" s="1006" t="s">
        <v>9134</v>
      </c>
      <c r="F3044" s="465"/>
      <c r="G3044" s="1007">
        <v>0</v>
      </c>
      <c r="H3044" s="465"/>
      <c r="I3044" s="465"/>
      <c r="J3044" s="1008">
        <v>0</v>
      </c>
      <c r="K3044" s="1009">
        <v>0</v>
      </c>
    </row>
    <row r="3045" spans="1:11" ht="20.25" customHeight="1" x14ac:dyDescent="0.25">
      <c r="A3045" s="1006" t="s">
        <v>3474</v>
      </c>
      <c r="B3045" s="1007">
        <v>2025</v>
      </c>
      <c r="C3045" s="1006" t="s">
        <v>1935</v>
      </c>
      <c r="D3045" s="1006" t="s">
        <v>3432</v>
      </c>
      <c r="E3045" s="1006" t="s">
        <v>9135</v>
      </c>
      <c r="F3045" s="465"/>
      <c r="G3045" s="1007">
        <v>0</v>
      </c>
      <c r="H3045" s="465"/>
      <c r="I3045" s="465"/>
      <c r="J3045" s="1008">
        <v>0</v>
      </c>
      <c r="K3045" s="1009">
        <v>0</v>
      </c>
    </row>
    <row r="3046" spans="1:11" ht="20.25" customHeight="1" x14ac:dyDescent="0.25">
      <c r="A3046" s="1006" t="s">
        <v>3474</v>
      </c>
      <c r="B3046" s="1007">
        <v>2025</v>
      </c>
      <c r="C3046" s="1006" t="s">
        <v>1935</v>
      </c>
      <c r="D3046" s="1006" t="s">
        <v>3433</v>
      </c>
      <c r="E3046" s="1006" t="s">
        <v>9136</v>
      </c>
      <c r="F3046" s="465"/>
      <c r="G3046" s="1007">
        <v>0</v>
      </c>
      <c r="H3046" s="465"/>
      <c r="I3046" s="465"/>
      <c r="J3046" s="1008">
        <v>0</v>
      </c>
      <c r="K3046" s="1009">
        <v>0</v>
      </c>
    </row>
    <row r="3047" spans="1:11" ht="20.25" customHeight="1" x14ac:dyDescent="0.25">
      <c r="A3047" s="1006" t="s">
        <v>3484</v>
      </c>
      <c r="B3047" s="1007">
        <v>2025</v>
      </c>
      <c r="C3047" s="1006" t="s">
        <v>1887</v>
      </c>
      <c r="D3047" s="1006" t="s">
        <v>138</v>
      </c>
      <c r="E3047" s="1006" t="s">
        <v>3485</v>
      </c>
      <c r="F3047" s="465"/>
      <c r="G3047" s="1007">
        <v>1</v>
      </c>
      <c r="H3047" s="1008">
        <v>8614</v>
      </c>
      <c r="I3047" s="1008">
        <v>-3132</v>
      </c>
      <c r="J3047" s="1008">
        <v>5482</v>
      </c>
      <c r="K3047" s="1009">
        <v>5482</v>
      </c>
    </row>
    <row r="3048" spans="1:11" ht="20.25" customHeight="1" x14ac:dyDescent="0.25">
      <c r="A3048" s="1006" t="s">
        <v>3484</v>
      </c>
      <c r="B3048" s="1007">
        <v>2025</v>
      </c>
      <c r="C3048" s="1006" t="s">
        <v>1889</v>
      </c>
      <c r="D3048" s="1006" t="s">
        <v>139</v>
      </c>
      <c r="E3048" s="1006" t="s">
        <v>3486</v>
      </c>
      <c r="F3048" s="465"/>
      <c r="G3048" s="1007">
        <v>1</v>
      </c>
      <c r="H3048" s="1008">
        <v>-102370</v>
      </c>
      <c r="I3048" s="1008">
        <v>-4643</v>
      </c>
      <c r="J3048" s="1008">
        <v>-107013</v>
      </c>
      <c r="K3048" s="1009">
        <v>-107013</v>
      </c>
    </row>
    <row r="3049" spans="1:11" ht="20.25" customHeight="1" x14ac:dyDescent="0.25">
      <c r="A3049" s="1006" t="s">
        <v>3484</v>
      </c>
      <c r="B3049" s="1007">
        <v>2025</v>
      </c>
      <c r="C3049" s="1006" t="s">
        <v>1891</v>
      </c>
      <c r="D3049" s="1006" t="s">
        <v>1894</v>
      </c>
      <c r="E3049" s="1006" t="s">
        <v>3487</v>
      </c>
      <c r="F3049" s="465"/>
      <c r="G3049" s="1007">
        <v>0</v>
      </c>
      <c r="H3049" s="465"/>
      <c r="I3049" s="465"/>
      <c r="J3049" s="1008">
        <v>0</v>
      </c>
      <c r="K3049" s="1009">
        <v>0</v>
      </c>
    </row>
    <row r="3050" spans="1:11" ht="20.25" customHeight="1" x14ac:dyDescent="0.25">
      <c r="A3050" s="1006" t="s">
        <v>3484</v>
      </c>
      <c r="B3050" s="1007">
        <v>2025</v>
      </c>
      <c r="C3050" s="1006" t="s">
        <v>1913</v>
      </c>
      <c r="D3050" s="1006" t="s">
        <v>1914</v>
      </c>
      <c r="E3050" s="1006" t="s">
        <v>3488</v>
      </c>
      <c r="F3050" s="465"/>
      <c r="G3050" s="1007">
        <v>1</v>
      </c>
      <c r="H3050" s="1008">
        <v>-748385</v>
      </c>
      <c r="I3050" s="1008">
        <v>-52096</v>
      </c>
      <c r="J3050" s="1008">
        <v>-800481</v>
      </c>
      <c r="K3050" s="1009">
        <v>-800481</v>
      </c>
    </row>
    <row r="3051" spans="1:11" ht="20.25" customHeight="1" x14ac:dyDescent="0.25">
      <c r="A3051" s="1006" t="s">
        <v>3484</v>
      </c>
      <c r="B3051" s="1007">
        <v>2025</v>
      </c>
      <c r="C3051" s="1006" t="s">
        <v>1913</v>
      </c>
      <c r="D3051" s="1006" t="s">
        <v>1916</v>
      </c>
      <c r="E3051" s="1006" t="s">
        <v>3488</v>
      </c>
      <c r="F3051" s="465"/>
      <c r="G3051" s="1007">
        <v>0</v>
      </c>
      <c r="H3051" s="465"/>
      <c r="I3051" s="465"/>
      <c r="J3051" s="1008">
        <v>0</v>
      </c>
      <c r="K3051" s="1009">
        <v>0</v>
      </c>
    </row>
    <row r="3052" spans="1:11" ht="20.25" customHeight="1" x14ac:dyDescent="0.25">
      <c r="A3052" s="1006" t="s">
        <v>3484</v>
      </c>
      <c r="B3052" s="1007">
        <v>2025</v>
      </c>
      <c r="C3052" s="1006" t="s">
        <v>1913</v>
      </c>
      <c r="D3052" s="1006" t="s">
        <v>1917</v>
      </c>
      <c r="E3052" s="1006" t="s">
        <v>3488</v>
      </c>
      <c r="F3052" s="465"/>
      <c r="G3052" s="1007">
        <v>0</v>
      </c>
      <c r="H3052" s="465"/>
      <c r="I3052" s="465"/>
      <c r="J3052" s="1008">
        <v>0</v>
      </c>
      <c r="K3052" s="1009">
        <v>0</v>
      </c>
    </row>
    <row r="3053" spans="1:11" ht="20.25" customHeight="1" x14ac:dyDescent="0.25">
      <c r="A3053" s="1006" t="s">
        <v>3484</v>
      </c>
      <c r="B3053" s="1007">
        <v>2025</v>
      </c>
      <c r="C3053" s="1006" t="s">
        <v>1913</v>
      </c>
      <c r="D3053" s="1006" t="s">
        <v>1918</v>
      </c>
      <c r="E3053" s="1006" t="s">
        <v>3488</v>
      </c>
      <c r="F3053" s="1008">
        <v>8652</v>
      </c>
      <c r="G3053" s="1007">
        <v>0</v>
      </c>
      <c r="H3053" s="465"/>
      <c r="I3053" s="465"/>
      <c r="J3053" s="1008">
        <v>0</v>
      </c>
      <c r="K3053" s="1009">
        <v>8652</v>
      </c>
    </row>
    <row r="3054" spans="1:11" ht="20.25" customHeight="1" x14ac:dyDescent="0.25">
      <c r="A3054" s="1006" t="s">
        <v>3484</v>
      </c>
      <c r="B3054" s="1007">
        <v>2025</v>
      </c>
      <c r="C3054" s="1006" t="s">
        <v>1913</v>
      </c>
      <c r="D3054" s="1006" t="s">
        <v>1919</v>
      </c>
      <c r="E3054" s="1006" t="s">
        <v>3488</v>
      </c>
      <c r="F3054" s="1008">
        <v>499325.8</v>
      </c>
      <c r="G3054" s="1007">
        <v>0</v>
      </c>
      <c r="H3054" s="465"/>
      <c r="I3054" s="465"/>
      <c r="J3054" s="1008">
        <v>0</v>
      </c>
      <c r="K3054" s="1009">
        <v>499325.8</v>
      </c>
    </row>
    <row r="3055" spans="1:11" ht="20.25" customHeight="1" x14ac:dyDescent="0.25">
      <c r="A3055" s="1006" t="s">
        <v>3484</v>
      </c>
      <c r="B3055" s="1007">
        <v>2025</v>
      </c>
      <c r="C3055" s="1006" t="s">
        <v>1923</v>
      </c>
      <c r="D3055" s="1006" t="s">
        <v>143</v>
      </c>
      <c r="E3055" s="1006" t="s">
        <v>3489</v>
      </c>
      <c r="F3055" s="465"/>
      <c r="G3055" s="1007">
        <v>1</v>
      </c>
      <c r="H3055" s="1008">
        <v>999820</v>
      </c>
      <c r="I3055" s="1008">
        <v>42715</v>
      </c>
      <c r="J3055" s="1008">
        <v>1042535</v>
      </c>
      <c r="K3055" s="1009">
        <v>1042535</v>
      </c>
    </row>
    <row r="3056" spans="1:11" ht="20.25" customHeight="1" x14ac:dyDescent="0.25">
      <c r="A3056" s="1006" t="s">
        <v>3484</v>
      </c>
      <c r="B3056" s="1007">
        <v>2025</v>
      </c>
      <c r="C3056" s="1006" t="s">
        <v>1925</v>
      </c>
      <c r="D3056" s="1006" t="s">
        <v>144</v>
      </c>
      <c r="E3056" s="1006" t="s">
        <v>3490</v>
      </c>
      <c r="F3056" s="465"/>
      <c r="G3056" s="1007">
        <v>1</v>
      </c>
      <c r="H3056" s="1008">
        <v>462247</v>
      </c>
      <c r="I3056" s="1008">
        <v>25742</v>
      </c>
      <c r="J3056" s="1008">
        <v>487989</v>
      </c>
      <c r="K3056" s="1009">
        <v>487989</v>
      </c>
    </row>
    <row r="3057" spans="1:11" ht="20.25" customHeight="1" x14ac:dyDescent="0.25">
      <c r="A3057" s="1006" t="s">
        <v>3484</v>
      </c>
      <c r="B3057" s="1007">
        <v>2025</v>
      </c>
      <c r="C3057" s="1006" t="s">
        <v>1927</v>
      </c>
      <c r="D3057" s="1006" t="s">
        <v>1928</v>
      </c>
      <c r="E3057" s="1006" t="s">
        <v>3491</v>
      </c>
      <c r="F3057" s="465"/>
      <c r="G3057" s="1007">
        <v>1</v>
      </c>
      <c r="H3057" s="1008">
        <v>-1288459</v>
      </c>
      <c r="I3057" s="1008">
        <v>-74322</v>
      </c>
      <c r="J3057" s="1008">
        <v>-1362781</v>
      </c>
      <c r="K3057" s="1009">
        <v>-1362781</v>
      </c>
    </row>
    <row r="3058" spans="1:11" ht="20.25" customHeight="1" x14ac:dyDescent="0.25">
      <c r="A3058" s="1006" t="s">
        <v>3484</v>
      </c>
      <c r="B3058" s="1007">
        <v>2025</v>
      </c>
      <c r="C3058" s="1006" t="s">
        <v>1930</v>
      </c>
      <c r="D3058" s="1006" t="s">
        <v>156</v>
      </c>
      <c r="E3058" s="1006" t="s">
        <v>3492</v>
      </c>
      <c r="F3058" s="465"/>
      <c r="G3058" s="1007">
        <v>1</v>
      </c>
      <c r="H3058" s="1008">
        <v>1246850</v>
      </c>
      <c r="I3058" s="1008">
        <v>78424</v>
      </c>
      <c r="J3058" s="1008">
        <v>1325274</v>
      </c>
      <c r="K3058" s="1009">
        <v>1325274</v>
      </c>
    </row>
    <row r="3059" spans="1:11" ht="20.25" customHeight="1" x14ac:dyDescent="0.25">
      <c r="A3059" s="1006" t="s">
        <v>3484</v>
      </c>
      <c r="B3059" s="1007">
        <v>2025</v>
      </c>
      <c r="C3059" s="1006" t="s">
        <v>1932</v>
      </c>
      <c r="D3059" s="1006" t="s">
        <v>3423</v>
      </c>
      <c r="E3059" s="1006" t="s">
        <v>3493</v>
      </c>
      <c r="F3059" s="465"/>
      <c r="G3059" s="1007">
        <v>0</v>
      </c>
      <c r="H3059" s="465"/>
      <c r="I3059" s="465"/>
      <c r="J3059" s="1008">
        <v>0</v>
      </c>
      <c r="K3059" s="1009">
        <v>0</v>
      </c>
    </row>
    <row r="3060" spans="1:11" ht="20.25" customHeight="1" x14ac:dyDescent="0.25">
      <c r="A3060" s="1006" t="s">
        <v>3484</v>
      </c>
      <c r="B3060" s="1007">
        <v>2025</v>
      </c>
      <c r="C3060" s="1006" t="s">
        <v>1935</v>
      </c>
      <c r="D3060" s="1006" t="s">
        <v>1936</v>
      </c>
      <c r="E3060" s="1006" t="s">
        <v>9137</v>
      </c>
      <c r="F3060" s="465"/>
      <c r="G3060" s="1007">
        <v>1</v>
      </c>
      <c r="H3060" s="465"/>
      <c r="I3060" s="465"/>
      <c r="J3060" s="1008">
        <v>0</v>
      </c>
      <c r="K3060" s="1009">
        <v>0</v>
      </c>
    </row>
    <row r="3061" spans="1:11" ht="20.25" customHeight="1" x14ac:dyDescent="0.25">
      <c r="A3061" s="1006" t="s">
        <v>3484</v>
      </c>
      <c r="B3061" s="1007">
        <v>2025</v>
      </c>
      <c r="C3061" s="1006" t="s">
        <v>1935</v>
      </c>
      <c r="D3061" s="1006" t="s">
        <v>1937</v>
      </c>
      <c r="E3061" s="1006" t="s">
        <v>9138</v>
      </c>
      <c r="F3061" s="465"/>
      <c r="G3061" s="1007">
        <v>1</v>
      </c>
      <c r="H3061" s="465"/>
      <c r="I3061" s="465"/>
      <c r="J3061" s="1008">
        <v>0</v>
      </c>
      <c r="K3061" s="1009">
        <v>0</v>
      </c>
    </row>
    <row r="3062" spans="1:11" ht="20.25" customHeight="1" x14ac:dyDescent="0.25">
      <c r="A3062" s="1006" t="s">
        <v>3484</v>
      </c>
      <c r="B3062" s="1007">
        <v>2025</v>
      </c>
      <c r="C3062" s="1006" t="s">
        <v>1935</v>
      </c>
      <c r="D3062" s="1006" t="s">
        <v>1938</v>
      </c>
      <c r="E3062" s="1006" t="s">
        <v>9139</v>
      </c>
      <c r="F3062" s="465"/>
      <c r="G3062" s="1007">
        <v>1</v>
      </c>
      <c r="H3062" s="465"/>
      <c r="I3062" s="465"/>
      <c r="J3062" s="1008">
        <v>0</v>
      </c>
      <c r="K3062" s="1009">
        <v>0</v>
      </c>
    </row>
    <row r="3063" spans="1:11" ht="20.25" customHeight="1" x14ac:dyDescent="0.25">
      <c r="A3063" s="1006" t="s">
        <v>3484</v>
      </c>
      <c r="B3063" s="1007">
        <v>2025</v>
      </c>
      <c r="C3063" s="1006" t="s">
        <v>1935</v>
      </c>
      <c r="D3063" s="1006" t="s">
        <v>1939</v>
      </c>
      <c r="E3063" s="1006" t="s">
        <v>9140</v>
      </c>
      <c r="F3063" s="465"/>
      <c r="G3063" s="1007">
        <v>1</v>
      </c>
      <c r="H3063" s="465"/>
      <c r="I3063" s="465"/>
      <c r="J3063" s="1008">
        <v>0</v>
      </c>
      <c r="K3063" s="1009">
        <v>0</v>
      </c>
    </row>
    <row r="3064" spans="1:11" ht="20.25" customHeight="1" x14ac:dyDescent="0.25">
      <c r="A3064" s="1006" t="s">
        <v>3484</v>
      </c>
      <c r="B3064" s="1007">
        <v>2025</v>
      </c>
      <c r="C3064" s="1006" t="s">
        <v>1935</v>
      </c>
      <c r="D3064" s="1006" t="s">
        <v>1940</v>
      </c>
      <c r="E3064" s="1006" t="s">
        <v>9141</v>
      </c>
      <c r="F3064" s="465"/>
      <c r="G3064" s="1007">
        <v>1</v>
      </c>
      <c r="H3064" s="465"/>
      <c r="I3064" s="465"/>
      <c r="J3064" s="1008">
        <v>0</v>
      </c>
      <c r="K3064" s="1009">
        <v>0</v>
      </c>
    </row>
    <row r="3065" spans="1:11" ht="20.25" customHeight="1" x14ac:dyDescent="0.25">
      <c r="A3065" s="1006" t="s">
        <v>3484</v>
      </c>
      <c r="B3065" s="1007">
        <v>2025</v>
      </c>
      <c r="C3065" s="1006" t="s">
        <v>1935</v>
      </c>
      <c r="D3065" s="1006" t="s">
        <v>1941</v>
      </c>
      <c r="E3065" s="1006" t="s">
        <v>9142</v>
      </c>
      <c r="F3065" s="465"/>
      <c r="G3065" s="1007">
        <v>1</v>
      </c>
      <c r="H3065" s="465"/>
      <c r="I3065" s="465"/>
      <c r="J3065" s="1008">
        <v>0</v>
      </c>
      <c r="K3065" s="1009">
        <v>0</v>
      </c>
    </row>
    <row r="3066" spans="1:11" ht="20.25" customHeight="1" x14ac:dyDescent="0.25">
      <c r="A3066" s="1006" t="s">
        <v>3484</v>
      </c>
      <c r="B3066" s="1007">
        <v>2025</v>
      </c>
      <c r="C3066" s="1006" t="s">
        <v>1935</v>
      </c>
      <c r="D3066" s="1006" t="s">
        <v>1942</v>
      </c>
      <c r="E3066" s="1006" t="s">
        <v>9143</v>
      </c>
      <c r="F3066" s="465"/>
      <c r="G3066" s="1007">
        <v>1</v>
      </c>
      <c r="H3066" s="465"/>
      <c r="I3066" s="465"/>
      <c r="J3066" s="1008">
        <v>0</v>
      </c>
      <c r="K3066" s="1009">
        <v>0</v>
      </c>
    </row>
    <row r="3067" spans="1:11" ht="20.25" customHeight="1" x14ac:dyDescent="0.25">
      <c r="A3067" s="1006" t="s">
        <v>3484</v>
      </c>
      <c r="B3067" s="1007">
        <v>2025</v>
      </c>
      <c r="C3067" s="1006" t="s">
        <v>1935</v>
      </c>
      <c r="D3067" s="1006" t="s">
        <v>1943</v>
      </c>
      <c r="E3067" s="1006" t="s">
        <v>9144</v>
      </c>
      <c r="F3067" s="465"/>
      <c r="G3067" s="1007">
        <v>1</v>
      </c>
      <c r="H3067" s="465"/>
      <c r="I3067" s="465"/>
      <c r="J3067" s="1008">
        <v>0</v>
      </c>
      <c r="K3067" s="1009">
        <v>0</v>
      </c>
    </row>
    <row r="3068" spans="1:11" ht="20.25" customHeight="1" x14ac:dyDescent="0.25">
      <c r="A3068" s="1006" t="s">
        <v>3484</v>
      </c>
      <c r="B3068" s="1007">
        <v>2025</v>
      </c>
      <c r="C3068" s="1006" t="s">
        <v>1935</v>
      </c>
      <c r="D3068" s="1006" t="s">
        <v>1944</v>
      </c>
      <c r="E3068" s="1006" t="s">
        <v>9145</v>
      </c>
      <c r="F3068" s="465"/>
      <c r="G3068" s="1007">
        <v>1</v>
      </c>
      <c r="H3068" s="465"/>
      <c r="I3068" s="465"/>
      <c r="J3068" s="1008">
        <v>0</v>
      </c>
      <c r="K3068" s="1009">
        <v>0</v>
      </c>
    </row>
    <row r="3069" spans="1:11" ht="20.25" customHeight="1" x14ac:dyDescent="0.25">
      <c r="A3069" s="1006" t="s">
        <v>3484</v>
      </c>
      <c r="B3069" s="1007">
        <v>2025</v>
      </c>
      <c r="C3069" s="1006" t="s">
        <v>1935</v>
      </c>
      <c r="D3069" s="1006" t="s">
        <v>1945</v>
      </c>
      <c r="E3069" s="1006" t="s">
        <v>9146</v>
      </c>
      <c r="F3069" s="465"/>
      <c r="G3069" s="1007">
        <v>1</v>
      </c>
      <c r="H3069" s="465"/>
      <c r="I3069" s="465"/>
      <c r="J3069" s="1008">
        <v>0</v>
      </c>
      <c r="K3069" s="1009">
        <v>0</v>
      </c>
    </row>
    <row r="3070" spans="1:11" ht="20.25" customHeight="1" x14ac:dyDescent="0.25">
      <c r="A3070" s="1006" t="s">
        <v>3484</v>
      </c>
      <c r="B3070" s="1007">
        <v>2025</v>
      </c>
      <c r="C3070" s="1006" t="s">
        <v>1935</v>
      </c>
      <c r="D3070" s="1006" t="s">
        <v>1946</v>
      </c>
      <c r="E3070" s="1006" t="s">
        <v>9147</v>
      </c>
      <c r="F3070" s="465"/>
      <c r="G3070" s="1007">
        <v>1</v>
      </c>
      <c r="H3070" s="465"/>
      <c r="I3070" s="465"/>
      <c r="J3070" s="1008">
        <v>0</v>
      </c>
      <c r="K3070" s="1009">
        <v>0</v>
      </c>
    </row>
    <row r="3071" spans="1:11" ht="20.25" customHeight="1" x14ac:dyDescent="0.25">
      <c r="A3071" s="1006" t="s">
        <v>3484</v>
      </c>
      <c r="B3071" s="1007">
        <v>2025</v>
      </c>
      <c r="C3071" s="1006" t="s">
        <v>1935</v>
      </c>
      <c r="D3071" s="1006" t="s">
        <v>1947</v>
      </c>
      <c r="E3071" s="1006" t="s">
        <v>9148</v>
      </c>
      <c r="F3071" s="465"/>
      <c r="G3071" s="1007">
        <v>1</v>
      </c>
      <c r="H3071" s="465"/>
      <c r="I3071" s="465"/>
      <c r="J3071" s="1008">
        <v>0</v>
      </c>
      <c r="K3071" s="1009">
        <v>0</v>
      </c>
    </row>
    <row r="3072" spans="1:11" ht="20.25" customHeight="1" x14ac:dyDescent="0.25">
      <c r="A3072" s="1006" t="s">
        <v>3484</v>
      </c>
      <c r="B3072" s="1007">
        <v>2025</v>
      </c>
      <c r="C3072" s="1006" t="s">
        <v>1935</v>
      </c>
      <c r="D3072" s="1006" t="s">
        <v>1948</v>
      </c>
      <c r="E3072" s="1006" t="s">
        <v>9149</v>
      </c>
      <c r="F3072" s="465"/>
      <c r="G3072" s="1007">
        <v>1</v>
      </c>
      <c r="H3072" s="465"/>
      <c r="I3072" s="465"/>
      <c r="J3072" s="1008">
        <v>0</v>
      </c>
      <c r="K3072" s="1009">
        <v>0</v>
      </c>
    </row>
    <row r="3073" spans="1:11" ht="20.25" customHeight="1" x14ac:dyDescent="0.25">
      <c r="A3073" s="1006" t="s">
        <v>3484</v>
      </c>
      <c r="B3073" s="1007">
        <v>2025</v>
      </c>
      <c r="C3073" s="1006" t="s">
        <v>1935</v>
      </c>
      <c r="D3073" s="1006" t="s">
        <v>1949</v>
      </c>
      <c r="E3073" s="1006" t="s">
        <v>9150</v>
      </c>
      <c r="F3073" s="465"/>
      <c r="G3073" s="1007">
        <v>1</v>
      </c>
      <c r="H3073" s="1008">
        <v>-26021</v>
      </c>
      <c r="I3073" s="1008">
        <v>38732</v>
      </c>
      <c r="J3073" s="1008">
        <v>12711</v>
      </c>
      <c r="K3073" s="1009">
        <v>12711</v>
      </c>
    </row>
    <row r="3074" spans="1:11" ht="20.25" customHeight="1" x14ac:dyDescent="0.25">
      <c r="A3074" s="1006" t="s">
        <v>3484</v>
      </c>
      <c r="B3074" s="1007">
        <v>2025</v>
      </c>
      <c r="C3074" s="1006" t="s">
        <v>1935</v>
      </c>
      <c r="D3074" s="1006" t="s">
        <v>1950</v>
      </c>
      <c r="E3074" s="1006" t="s">
        <v>9151</v>
      </c>
      <c r="F3074" s="465"/>
      <c r="G3074" s="1007">
        <v>1</v>
      </c>
      <c r="H3074" s="1008">
        <v>-14262</v>
      </c>
      <c r="I3074" s="1008">
        <v>10087</v>
      </c>
      <c r="J3074" s="1008">
        <v>-4175</v>
      </c>
      <c r="K3074" s="1009">
        <v>-4175</v>
      </c>
    </row>
    <row r="3075" spans="1:11" ht="20.25" customHeight="1" x14ac:dyDescent="0.25">
      <c r="A3075" s="1006" t="s">
        <v>3484</v>
      </c>
      <c r="B3075" s="1007">
        <v>2025</v>
      </c>
      <c r="C3075" s="1006" t="s">
        <v>1935</v>
      </c>
      <c r="D3075" s="1006" t="s">
        <v>1951</v>
      </c>
      <c r="E3075" s="1006" t="s">
        <v>9152</v>
      </c>
      <c r="F3075" s="465"/>
      <c r="G3075" s="1007">
        <v>1</v>
      </c>
      <c r="H3075" s="1008">
        <v>306885</v>
      </c>
      <c r="I3075" s="1008">
        <v>149495</v>
      </c>
      <c r="J3075" s="1008">
        <v>456380</v>
      </c>
      <c r="K3075" s="1009">
        <v>456380</v>
      </c>
    </row>
    <row r="3076" spans="1:11" ht="20.25" customHeight="1" x14ac:dyDescent="0.25">
      <c r="A3076" s="1006" t="s">
        <v>3484</v>
      </c>
      <c r="B3076" s="1007">
        <v>2025</v>
      </c>
      <c r="C3076" s="1006" t="s">
        <v>1935</v>
      </c>
      <c r="D3076" s="1006" t="s">
        <v>7801</v>
      </c>
      <c r="E3076" s="1006" t="s">
        <v>9153</v>
      </c>
      <c r="F3076" s="465"/>
      <c r="G3076" s="1007">
        <v>1</v>
      </c>
      <c r="H3076" s="1008">
        <v>-223083</v>
      </c>
      <c r="I3076" s="1008">
        <v>302479</v>
      </c>
      <c r="J3076" s="1008">
        <v>79396</v>
      </c>
      <c r="K3076" s="1009">
        <v>79396</v>
      </c>
    </row>
    <row r="3077" spans="1:11" ht="20.25" customHeight="1" x14ac:dyDescent="0.25">
      <c r="A3077" s="1006" t="s">
        <v>3484</v>
      </c>
      <c r="B3077" s="1007">
        <v>2025</v>
      </c>
      <c r="C3077" s="1006" t="s">
        <v>1935</v>
      </c>
      <c r="D3077" s="1006" t="s">
        <v>3425</v>
      </c>
      <c r="E3077" s="1006" t="s">
        <v>9154</v>
      </c>
      <c r="F3077" s="465"/>
      <c r="G3077" s="1007">
        <v>0</v>
      </c>
      <c r="H3077" s="465"/>
      <c r="I3077" s="465"/>
      <c r="J3077" s="1008">
        <v>0</v>
      </c>
      <c r="K3077" s="1009">
        <v>0</v>
      </c>
    </row>
    <row r="3078" spans="1:11" ht="20.25" customHeight="1" x14ac:dyDescent="0.25">
      <c r="A3078" s="1006" t="s">
        <v>3484</v>
      </c>
      <c r="B3078" s="1007">
        <v>2025</v>
      </c>
      <c r="C3078" s="1006" t="s">
        <v>1935</v>
      </c>
      <c r="D3078" s="1006" t="s">
        <v>3426</v>
      </c>
      <c r="E3078" s="1006" t="s">
        <v>9155</v>
      </c>
      <c r="F3078" s="465"/>
      <c r="G3078" s="1007">
        <v>0</v>
      </c>
      <c r="H3078" s="465"/>
      <c r="I3078" s="465"/>
      <c r="J3078" s="1008">
        <v>0</v>
      </c>
      <c r="K3078" s="1009">
        <v>0</v>
      </c>
    </row>
    <row r="3079" spans="1:11" ht="20.25" customHeight="1" x14ac:dyDescent="0.25">
      <c r="A3079" s="1006" t="s">
        <v>3484</v>
      </c>
      <c r="B3079" s="1007">
        <v>2025</v>
      </c>
      <c r="C3079" s="1006" t="s">
        <v>1935</v>
      </c>
      <c r="D3079" s="1006" t="s">
        <v>3427</v>
      </c>
      <c r="E3079" s="1006" t="s">
        <v>9156</v>
      </c>
      <c r="F3079" s="465"/>
      <c r="G3079" s="1007">
        <v>0</v>
      </c>
      <c r="H3079" s="465"/>
      <c r="I3079" s="465"/>
      <c r="J3079" s="1008">
        <v>0</v>
      </c>
      <c r="K3079" s="1009">
        <v>0</v>
      </c>
    </row>
    <row r="3080" spans="1:11" ht="20.25" customHeight="1" x14ac:dyDescent="0.25">
      <c r="A3080" s="1006" t="s">
        <v>3484</v>
      </c>
      <c r="B3080" s="1007">
        <v>2025</v>
      </c>
      <c r="C3080" s="1006" t="s">
        <v>1935</v>
      </c>
      <c r="D3080" s="1006" t="s">
        <v>3428</v>
      </c>
      <c r="E3080" s="1006" t="s">
        <v>9154</v>
      </c>
      <c r="F3080" s="465"/>
      <c r="G3080" s="1007">
        <v>0</v>
      </c>
      <c r="H3080" s="465"/>
      <c r="I3080" s="465"/>
      <c r="J3080" s="1008">
        <v>0</v>
      </c>
      <c r="K3080" s="1009">
        <v>0</v>
      </c>
    </row>
    <row r="3081" spans="1:11" ht="20.25" customHeight="1" x14ac:dyDescent="0.25">
      <c r="A3081" s="1006" t="s">
        <v>3484</v>
      </c>
      <c r="B3081" s="1007">
        <v>2025</v>
      </c>
      <c r="C3081" s="1006" t="s">
        <v>1935</v>
      </c>
      <c r="D3081" s="1006" t="s">
        <v>3429</v>
      </c>
      <c r="E3081" s="1006" t="s">
        <v>9155</v>
      </c>
      <c r="F3081" s="465"/>
      <c r="G3081" s="1007">
        <v>0</v>
      </c>
      <c r="H3081" s="465"/>
      <c r="I3081" s="465"/>
      <c r="J3081" s="1008">
        <v>0</v>
      </c>
      <c r="K3081" s="1009">
        <v>0</v>
      </c>
    </row>
    <row r="3082" spans="1:11" ht="20.25" customHeight="1" x14ac:dyDescent="0.25">
      <c r="A3082" s="1006" t="s">
        <v>3484</v>
      </c>
      <c r="B3082" s="1007">
        <v>2025</v>
      </c>
      <c r="C3082" s="1006" t="s">
        <v>1935</v>
      </c>
      <c r="D3082" s="1006" t="s">
        <v>3430</v>
      </c>
      <c r="E3082" s="1006" t="s">
        <v>9156</v>
      </c>
      <c r="F3082" s="465"/>
      <c r="G3082" s="1007">
        <v>0</v>
      </c>
      <c r="H3082" s="465"/>
      <c r="I3082" s="465"/>
      <c r="J3082" s="1008">
        <v>0</v>
      </c>
      <c r="K3082" s="1009">
        <v>0</v>
      </c>
    </row>
    <row r="3083" spans="1:11" ht="20.25" customHeight="1" x14ac:dyDescent="0.25">
      <c r="A3083" s="1006" t="s">
        <v>3484</v>
      </c>
      <c r="B3083" s="1007">
        <v>2025</v>
      </c>
      <c r="C3083" s="1006" t="s">
        <v>1935</v>
      </c>
      <c r="D3083" s="1006" t="s">
        <v>3431</v>
      </c>
      <c r="E3083" s="1006" t="s">
        <v>9154</v>
      </c>
      <c r="F3083" s="465"/>
      <c r="G3083" s="1007">
        <v>0</v>
      </c>
      <c r="H3083" s="465"/>
      <c r="I3083" s="465"/>
      <c r="J3083" s="1008">
        <v>0</v>
      </c>
      <c r="K3083" s="1009">
        <v>0</v>
      </c>
    </row>
    <row r="3084" spans="1:11" ht="20.25" customHeight="1" x14ac:dyDescent="0.25">
      <c r="A3084" s="1006" t="s">
        <v>3484</v>
      </c>
      <c r="B3084" s="1007">
        <v>2025</v>
      </c>
      <c r="C3084" s="1006" t="s">
        <v>1935</v>
      </c>
      <c r="D3084" s="1006" t="s">
        <v>3432</v>
      </c>
      <c r="E3084" s="1006" t="s">
        <v>9155</v>
      </c>
      <c r="F3084" s="465"/>
      <c r="G3084" s="1007">
        <v>0</v>
      </c>
      <c r="H3084" s="465"/>
      <c r="I3084" s="465"/>
      <c r="J3084" s="1008">
        <v>0</v>
      </c>
      <c r="K3084" s="1009">
        <v>0</v>
      </c>
    </row>
    <row r="3085" spans="1:11" ht="20.25" customHeight="1" x14ac:dyDescent="0.25">
      <c r="A3085" s="1006" t="s">
        <v>3484</v>
      </c>
      <c r="B3085" s="1007">
        <v>2025</v>
      </c>
      <c r="C3085" s="1006" t="s">
        <v>1935</v>
      </c>
      <c r="D3085" s="1006" t="s">
        <v>3433</v>
      </c>
      <c r="E3085" s="1006" t="s">
        <v>9156</v>
      </c>
      <c r="F3085" s="465"/>
      <c r="G3085" s="1007">
        <v>0</v>
      </c>
      <c r="H3085" s="465"/>
      <c r="I3085" s="465"/>
      <c r="J3085" s="1008">
        <v>0</v>
      </c>
      <c r="K3085" s="1009">
        <v>0</v>
      </c>
    </row>
    <row r="3086" spans="1:11" ht="20.25" customHeight="1" x14ac:dyDescent="0.25">
      <c r="A3086" s="1006" t="s">
        <v>3494</v>
      </c>
      <c r="B3086" s="1007">
        <v>2025</v>
      </c>
      <c r="C3086" s="1006" t="s">
        <v>1887</v>
      </c>
      <c r="D3086" s="1006" t="s">
        <v>138</v>
      </c>
      <c r="E3086" s="1006" t="s">
        <v>3495</v>
      </c>
      <c r="F3086" s="465"/>
      <c r="G3086" s="1007">
        <v>1</v>
      </c>
      <c r="H3086" s="465"/>
      <c r="I3086" s="465"/>
      <c r="J3086" s="1008">
        <v>0</v>
      </c>
      <c r="K3086" s="1009">
        <v>0</v>
      </c>
    </row>
    <row r="3087" spans="1:11" ht="20.25" customHeight="1" x14ac:dyDescent="0.25">
      <c r="A3087" s="1006" t="s">
        <v>3494</v>
      </c>
      <c r="B3087" s="1007">
        <v>2025</v>
      </c>
      <c r="C3087" s="1006" t="s">
        <v>1889</v>
      </c>
      <c r="D3087" s="1006" t="s">
        <v>139</v>
      </c>
      <c r="E3087" s="1006" t="s">
        <v>3496</v>
      </c>
      <c r="F3087" s="465"/>
      <c r="G3087" s="1007">
        <v>1</v>
      </c>
      <c r="H3087" s="1008">
        <v>-284678</v>
      </c>
      <c r="I3087" s="1008">
        <v>-15266</v>
      </c>
      <c r="J3087" s="1008">
        <v>-299944</v>
      </c>
      <c r="K3087" s="1009">
        <v>-299944</v>
      </c>
    </row>
    <row r="3088" spans="1:11" ht="20.25" customHeight="1" x14ac:dyDescent="0.25">
      <c r="A3088" s="1006" t="s">
        <v>3494</v>
      </c>
      <c r="B3088" s="1007">
        <v>2025</v>
      </c>
      <c r="C3088" s="1006" t="s">
        <v>1891</v>
      </c>
      <c r="D3088" s="1006" t="s">
        <v>1894</v>
      </c>
      <c r="E3088" s="1006" t="s">
        <v>3497</v>
      </c>
      <c r="F3088" s="465"/>
      <c r="G3088" s="1007">
        <v>0</v>
      </c>
      <c r="H3088" s="465"/>
      <c r="I3088" s="465"/>
      <c r="J3088" s="1008">
        <v>0</v>
      </c>
      <c r="K3088" s="1009">
        <v>0</v>
      </c>
    </row>
    <row r="3089" spans="1:11" ht="20.25" customHeight="1" x14ac:dyDescent="0.25">
      <c r="A3089" s="1006" t="s">
        <v>3494</v>
      </c>
      <c r="B3089" s="1007">
        <v>2025</v>
      </c>
      <c r="C3089" s="1006" t="s">
        <v>1913</v>
      </c>
      <c r="D3089" s="1006" t="s">
        <v>1914</v>
      </c>
      <c r="E3089" s="1006" t="s">
        <v>3498</v>
      </c>
      <c r="F3089" s="465"/>
      <c r="G3089" s="1007">
        <v>1</v>
      </c>
      <c r="H3089" s="1008">
        <v>-1601101</v>
      </c>
      <c r="I3089" s="1008">
        <v>-124644</v>
      </c>
      <c r="J3089" s="1008">
        <v>-1725745</v>
      </c>
      <c r="K3089" s="1009">
        <v>-1725745</v>
      </c>
    </row>
    <row r="3090" spans="1:11" ht="20.25" customHeight="1" x14ac:dyDescent="0.25">
      <c r="A3090" s="1006" t="s">
        <v>3494</v>
      </c>
      <c r="B3090" s="1007">
        <v>2025</v>
      </c>
      <c r="C3090" s="1006" t="s">
        <v>1913</v>
      </c>
      <c r="D3090" s="1006" t="s">
        <v>1916</v>
      </c>
      <c r="E3090" s="1006" t="s">
        <v>3498</v>
      </c>
      <c r="F3090" s="465"/>
      <c r="G3090" s="1007">
        <v>0</v>
      </c>
      <c r="H3090" s="465"/>
      <c r="I3090" s="465"/>
      <c r="J3090" s="1008">
        <v>0</v>
      </c>
      <c r="K3090" s="1009">
        <v>0</v>
      </c>
    </row>
    <row r="3091" spans="1:11" ht="20.25" customHeight="1" x14ac:dyDescent="0.25">
      <c r="A3091" s="1006" t="s">
        <v>3494</v>
      </c>
      <c r="B3091" s="1007">
        <v>2025</v>
      </c>
      <c r="C3091" s="1006" t="s">
        <v>1913</v>
      </c>
      <c r="D3091" s="1006" t="s">
        <v>1917</v>
      </c>
      <c r="E3091" s="1006" t="s">
        <v>3498</v>
      </c>
      <c r="F3091" s="465"/>
      <c r="G3091" s="1007">
        <v>0</v>
      </c>
      <c r="H3091" s="465"/>
      <c r="I3091" s="465"/>
      <c r="J3091" s="1008">
        <v>0</v>
      </c>
      <c r="K3091" s="1009">
        <v>0</v>
      </c>
    </row>
    <row r="3092" spans="1:11" ht="20.25" customHeight="1" x14ac:dyDescent="0.25">
      <c r="A3092" s="1006" t="s">
        <v>3494</v>
      </c>
      <c r="B3092" s="1007">
        <v>2025</v>
      </c>
      <c r="C3092" s="1006" t="s">
        <v>1913</v>
      </c>
      <c r="D3092" s="1006" t="s">
        <v>1918</v>
      </c>
      <c r="E3092" s="1006" t="s">
        <v>3498</v>
      </c>
      <c r="F3092" s="465"/>
      <c r="G3092" s="1007">
        <v>0</v>
      </c>
      <c r="H3092" s="465"/>
      <c r="I3092" s="465"/>
      <c r="J3092" s="1008">
        <v>0</v>
      </c>
      <c r="K3092" s="1009">
        <v>0</v>
      </c>
    </row>
    <row r="3093" spans="1:11" ht="20.25" customHeight="1" x14ac:dyDescent="0.25">
      <c r="A3093" s="1006" t="s">
        <v>3494</v>
      </c>
      <c r="B3093" s="1007">
        <v>2025</v>
      </c>
      <c r="C3093" s="1006" t="s">
        <v>1913</v>
      </c>
      <c r="D3093" s="1006" t="s">
        <v>1919</v>
      </c>
      <c r="E3093" s="1006" t="s">
        <v>3498</v>
      </c>
      <c r="F3093" s="465"/>
      <c r="G3093" s="1007">
        <v>0</v>
      </c>
      <c r="H3093" s="465"/>
      <c r="I3093" s="465"/>
      <c r="J3093" s="1008">
        <v>0</v>
      </c>
      <c r="K3093" s="1009">
        <v>0</v>
      </c>
    </row>
    <row r="3094" spans="1:11" ht="20.25" customHeight="1" x14ac:dyDescent="0.25">
      <c r="A3094" s="1006" t="s">
        <v>3494</v>
      </c>
      <c r="B3094" s="1007">
        <v>2025</v>
      </c>
      <c r="C3094" s="1006" t="s">
        <v>1923</v>
      </c>
      <c r="D3094" s="1006" t="s">
        <v>143</v>
      </c>
      <c r="E3094" s="1006" t="s">
        <v>3499</v>
      </c>
      <c r="F3094" s="465"/>
      <c r="G3094" s="1007">
        <v>1</v>
      </c>
      <c r="H3094" s="1008">
        <v>1474933</v>
      </c>
      <c r="I3094" s="1008">
        <v>68995</v>
      </c>
      <c r="J3094" s="1008">
        <v>1543928</v>
      </c>
      <c r="K3094" s="1009">
        <v>1543928</v>
      </c>
    </row>
    <row r="3095" spans="1:11" ht="20.25" customHeight="1" x14ac:dyDescent="0.25">
      <c r="A3095" s="1006" t="s">
        <v>3494</v>
      </c>
      <c r="B3095" s="1007">
        <v>2025</v>
      </c>
      <c r="C3095" s="1006" t="s">
        <v>1925</v>
      </c>
      <c r="D3095" s="1006" t="s">
        <v>144</v>
      </c>
      <c r="E3095" s="1006" t="s">
        <v>3500</v>
      </c>
      <c r="F3095" s="465"/>
      <c r="G3095" s="1007">
        <v>1</v>
      </c>
      <c r="H3095" s="1008">
        <v>68463</v>
      </c>
      <c r="I3095" s="1008">
        <v>9239</v>
      </c>
      <c r="J3095" s="1008">
        <v>77702</v>
      </c>
      <c r="K3095" s="1009">
        <v>77702</v>
      </c>
    </row>
    <row r="3096" spans="1:11" ht="20.25" customHeight="1" x14ac:dyDescent="0.25">
      <c r="A3096" s="1006" t="s">
        <v>3494</v>
      </c>
      <c r="B3096" s="1007">
        <v>2025</v>
      </c>
      <c r="C3096" s="1006" t="s">
        <v>1927</v>
      </c>
      <c r="D3096" s="1006" t="s">
        <v>1928</v>
      </c>
      <c r="E3096" s="1006" t="s">
        <v>3501</v>
      </c>
      <c r="F3096" s="465"/>
      <c r="G3096" s="1007">
        <v>1</v>
      </c>
      <c r="H3096" s="1008">
        <v>2084626</v>
      </c>
      <c r="I3096" s="1008">
        <v>-67813</v>
      </c>
      <c r="J3096" s="1008">
        <v>2016813</v>
      </c>
      <c r="K3096" s="1009">
        <v>2016813</v>
      </c>
    </row>
    <row r="3097" spans="1:11" ht="20.25" customHeight="1" x14ac:dyDescent="0.25">
      <c r="A3097" s="1006" t="s">
        <v>3494</v>
      </c>
      <c r="B3097" s="1007">
        <v>2025</v>
      </c>
      <c r="C3097" s="1006" t="s">
        <v>1930</v>
      </c>
      <c r="D3097" s="1006" t="s">
        <v>156</v>
      </c>
      <c r="E3097" s="1006" t="s">
        <v>3502</v>
      </c>
      <c r="F3097" s="465"/>
      <c r="G3097" s="1007">
        <v>1</v>
      </c>
      <c r="H3097" s="1008">
        <v>3712300</v>
      </c>
      <c r="I3097" s="1008">
        <v>204468</v>
      </c>
      <c r="J3097" s="1008">
        <v>3916768</v>
      </c>
      <c r="K3097" s="1009">
        <v>3916768</v>
      </c>
    </row>
    <row r="3098" spans="1:11" ht="20.25" customHeight="1" x14ac:dyDescent="0.25">
      <c r="A3098" s="1006" t="s">
        <v>3494</v>
      </c>
      <c r="B3098" s="1007">
        <v>2025</v>
      </c>
      <c r="C3098" s="1006" t="s">
        <v>1932</v>
      </c>
      <c r="D3098" s="1006" t="s">
        <v>3423</v>
      </c>
      <c r="E3098" s="1006" t="s">
        <v>3503</v>
      </c>
      <c r="F3098" s="465"/>
      <c r="G3098" s="1007">
        <v>0</v>
      </c>
      <c r="H3098" s="465"/>
      <c r="I3098" s="465"/>
      <c r="J3098" s="1008">
        <v>0</v>
      </c>
      <c r="K3098" s="1009">
        <v>0</v>
      </c>
    </row>
    <row r="3099" spans="1:11" ht="20.25" customHeight="1" x14ac:dyDescent="0.25">
      <c r="A3099" s="1006" t="s">
        <v>3494</v>
      </c>
      <c r="B3099" s="1007">
        <v>2025</v>
      </c>
      <c r="C3099" s="1006" t="s">
        <v>1935</v>
      </c>
      <c r="D3099" s="1006" t="s">
        <v>1936</v>
      </c>
      <c r="E3099" s="1006" t="s">
        <v>9157</v>
      </c>
      <c r="F3099" s="465"/>
      <c r="G3099" s="1007">
        <v>1</v>
      </c>
      <c r="H3099" s="465"/>
      <c r="I3099" s="465"/>
      <c r="J3099" s="1008">
        <v>0</v>
      </c>
      <c r="K3099" s="1009">
        <v>0</v>
      </c>
    </row>
    <row r="3100" spans="1:11" ht="20.25" customHeight="1" x14ac:dyDescent="0.25">
      <c r="A3100" s="1006" t="s">
        <v>3494</v>
      </c>
      <c r="B3100" s="1007">
        <v>2025</v>
      </c>
      <c r="C3100" s="1006" t="s">
        <v>1935</v>
      </c>
      <c r="D3100" s="1006" t="s">
        <v>1937</v>
      </c>
      <c r="E3100" s="1006" t="s">
        <v>9158</v>
      </c>
      <c r="F3100" s="465"/>
      <c r="G3100" s="1007">
        <v>1</v>
      </c>
      <c r="H3100" s="465"/>
      <c r="I3100" s="465"/>
      <c r="J3100" s="1008">
        <v>0</v>
      </c>
      <c r="K3100" s="1009">
        <v>0</v>
      </c>
    </row>
    <row r="3101" spans="1:11" ht="20.25" customHeight="1" x14ac:dyDescent="0.25">
      <c r="A3101" s="1006" t="s">
        <v>3494</v>
      </c>
      <c r="B3101" s="1007">
        <v>2025</v>
      </c>
      <c r="C3101" s="1006" t="s">
        <v>1935</v>
      </c>
      <c r="D3101" s="1006" t="s">
        <v>1938</v>
      </c>
      <c r="E3101" s="1006" t="s">
        <v>9159</v>
      </c>
      <c r="F3101" s="465"/>
      <c r="G3101" s="1007">
        <v>1</v>
      </c>
      <c r="H3101" s="465"/>
      <c r="I3101" s="465"/>
      <c r="J3101" s="1008">
        <v>0</v>
      </c>
      <c r="K3101" s="1009">
        <v>0</v>
      </c>
    </row>
    <row r="3102" spans="1:11" ht="20.25" customHeight="1" x14ac:dyDescent="0.25">
      <c r="A3102" s="1006" t="s">
        <v>3494</v>
      </c>
      <c r="B3102" s="1007">
        <v>2025</v>
      </c>
      <c r="C3102" s="1006" t="s">
        <v>1935</v>
      </c>
      <c r="D3102" s="1006" t="s">
        <v>1939</v>
      </c>
      <c r="E3102" s="1006" t="s">
        <v>9160</v>
      </c>
      <c r="F3102" s="465"/>
      <c r="G3102" s="1007">
        <v>1</v>
      </c>
      <c r="H3102" s="465"/>
      <c r="I3102" s="465"/>
      <c r="J3102" s="1008">
        <v>0</v>
      </c>
      <c r="K3102" s="1009">
        <v>0</v>
      </c>
    </row>
    <row r="3103" spans="1:11" ht="20.25" customHeight="1" x14ac:dyDescent="0.25">
      <c r="A3103" s="1006" t="s">
        <v>3494</v>
      </c>
      <c r="B3103" s="1007">
        <v>2025</v>
      </c>
      <c r="C3103" s="1006" t="s">
        <v>1935</v>
      </c>
      <c r="D3103" s="1006" t="s">
        <v>1940</v>
      </c>
      <c r="E3103" s="1006" t="s">
        <v>9161</v>
      </c>
      <c r="F3103" s="465"/>
      <c r="G3103" s="1007">
        <v>1</v>
      </c>
      <c r="H3103" s="465"/>
      <c r="I3103" s="465"/>
      <c r="J3103" s="1008">
        <v>0</v>
      </c>
      <c r="K3103" s="1009">
        <v>0</v>
      </c>
    </row>
    <row r="3104" spans="1:11" ht="20.25" customHeight="1" x14ac:dyDescent="0.25">
      <c r="A3104" s="1006" t="s">
        <v>3494</v>
      </c>
      <c r="B3104" s="1007">
        <v>2025</v>
      </c>
      <c r="C3104" s="1006" t="s">
        <v>1935</v>
      </c>
      <c r="D3104" s="1006" t="s">
        <v>1941</v>
      </c>
      <c r="E3104" s="1006" t="s">
        <v>9162</v>
      </c>
      <c r="F3104" s="465"/>
      <c r="G3104" s="1007">
        <v>1</v>
      </c>
      <c r="H3104" s="465"/>
      <c r="I3104" s="465"/>
      <c r="J3104" s="1008">
        <v>0</v>
      </c>
      <c r="K3104" s="1009">
        <v>0</v>
      </c>
    </row>
    <row r="3105" spans="1:11" ht="20.25" customHeight="1" x14ac:dyDescent="0.25">
      <c r="A3105" s="1006" t="s">
        <v>3494</v>
      </c>
      <c r="B3105" s="1007">
        <v>2025</v>
      </c>
      <c r="C3105" s="1006" t="s">
        <v>1935</v>
      </c>
      <c r="D3105" s="1006" t="s">
        <v>1942</v>
      </c>
      <c r="E3105" s="1006" t="s">
        <v>9163</v>
      </c>
      <c r="F3105" s="465"/>
      <c r="G3105" s="1007">
        <v>1</v>
      </c>
      <c r="H3105" s="465"/>
      <c r="I3105" s="465"/>
      <c r="J3105" s="1008">
        <v>0</v>
      </c>
      <c r="K3105" s="1009">
        <v>0</v>
      </c>
    </row>
    <row r="3106" spans="1:11" ht="20.25" customHeight="1" x14ac:dyDescent="0.25">
      <c r="A3106" s="1006" t="s">
        <v>3494</v>
      </c>
      <c r="B3106" s="1007">
        <v>2025</v>
      </c>
      <c r="C3106" s="1006" t="s">
        <v>1935</v>
      </c>
      <c r="D3106" s="1006" t="s">
        <v>1943</v>
      </c>
      <c r="E3106" s="1006" t="s">
        <v>9164</v>
      </c>
      <c r="F3106" s="465"/>
      <c r="G3106" s="1007">
        <v>1</v>
      </c>
      <c r="H3106" s="465"/>
      <c r="I3106" s="465"/>
      <c r="J3106" s="1008">
        <v>0</v>
      </c>
      <c r="K3106" s="1009">
        <v>0</v>
      </c>
    </row>
    <row r="3107" spans="1:11" ht="20.25" customHeight="1" x14ac:dyDescent="0.25">
      <c r="A3107" s="1006" t="s">
        <v>3494</v>
      </c>
      <c r="B3107" s="1007">
        <v>2025</v>
      </c>
      <c r="C3107" s="1006" t="s">
        <v>1935</v>
      </c>
      <c r="D3107" s="1006" t="s">
        <v>1944</v>
      </c>
      <c r="E3107" s="1006" t="s">
        <v>9165</v>
      </c>
      <c r="F3107" s="465"/>
      <c r="G3107" s="1007">
        <v>1</v>
      </c>
      <c r="H3107" s="465"/>
      <c r="I3107" s="465"/>
      <c r="J3107" s="1008">
        <v>0</v>
      </c>
      <c r="K3107" s="1009">
        <v>0</v>
      </c>
    </row>
    <row r="3108" spans="1:11" ht="20.25" customHeight="1" x14ac:dyDescent="0.25">
      <c r="A3108" s="1006" t="s">
        <v>3494</v>
      </c>
      <c r="B3108" s="1007">
        <v>2025</v>
      </c>
      <c r="C3108" s="1006" t="s">
        <v>1935</v>
      </c>
      <c r="D3108" s="1006" t="s">
        <v>1945</v>
      </c>
      <c r="E3108" s="1006" t="s">
        <v>9166</v>
      </c>
      <c r="F3108" s="465"/>
      <c r="G3108" s="1007">
        <v>1</v>
      </c>
      <c r="H3108" s="465"/>
      <c r="I3108" s="465"/>
      <c r="J3108" s="1008">
        <v>0</v>
      </c>
      <c r="K3108" s="1009">
        <v>0</v>
      </c>
    </row>
    <row r="3109" spans="1:11" ht="20.25" customHeight="1" x14ac:dyDescent="0.25">
      <c r="A3109" s="1006" t="s">
        <v>3494</v>
      </c>
      <c r="B3109" s="1007">
        <v>2025</v>
      </c>
      <c r="C3109" s="1006" t="s">
        <v>1935</v>
      </c>
      <c r="D3109" s="1006" t="s">
        <v>1946</v>
      </c>
      <c r="E3109" s="1006" t="s">
        <v>9167</v>
      </c>
      <c r="F3109" s="465"/>
      <c r="G3109" s="1007">
        <v>1</v>
      </c>
      <c r="H3109" s="465"/>
      <c r="I3109" s="465"/>
      <c r="J3109" s="1008">
        <v>0</v>
      </c>
      <c r="K3109" s="1009">
        <v>0</v>
      </c>
    </row>
    <row r="3110" spans="1:11" ht="20.25" customHeight="1" x14ac:dyDescent="0.25">
      <c r="A3110" s="1006" t="s">
        <v>3494</v>
      </c>
      <c r="B3110" s="1007">
        <v>2025</v>
      </c>
      <c r="C3110" s="1006" t="s">
        <v>1935</v>
      </c>
      <c r="D3110" s="1006" t="s">
        <v>1947</v>
      </c>
      <c r="E3110" s="1006" t="s">
        <v>9168</v>
      </c>
      <c r="F3110" s="465"/>
      <c r="G3110" s="1007">
        <v>1</v>
      </c>
      <c r="H3110" s="465"/>
      <c r="I3110" s="465"/>
      <c r="J3110" s="1008">
        <v>0</v>
      </c>
      <c r="K3110" s="1009">
        <v>0</v>
      </c>
    </row>
    <row r="3111" spans="1:11" ht="20.25" customHeight="1" x14ac:dyDescent="0.25">
      <c r="A3111" s="1006" t="s">
        <v>3494</v>
      </c>
      <c r="B3111" s="1007">
        <v>2025</v>
      </c>
      <c r="C3111" s="1006" t="s">
        <v>1935</v>
      </c>
      <c r="D3111" s="1006" t="s">
        <v>1948</v>
      </c>
      <c r="E3111" s="1006" t="s">
        <v>9169</v>
      </c>
      <c r="F3111" s="465"/>
      <c r="G3111" s="1007">
        <v>1</v>
      </c>
      <c r="H3111" s="465"/>
      <c r="I3111" s="465"/>
      <c r="J3111" s="1008">
        <v>0</v>
      </c>
      <c r="K3111" s="1009">
        <v>0</v>
      </c>
    </row>
    <row r="3112" spans="1:11" ht="20.25" customHeight="1" x14ac:dyDescent="0.25">
      <c r="A3112" s="1006" t="s">
        <v>3494</v>
      </c>
      <c r="B3112" s="1007">
        <v>2025</v>
      </c>
      <c r="C3112" s="1006" t="s">
        <v>1935</v>
      </c>
      <c r="D3112" s="1006" t="s">
        <v>1949</v>
      </c>
      <c r="E3112" s="1006" t="s">
        <v>9170</v>
      </c>
      <c r="F3112" s="465"/>
      <c r="G3112" s="1007">
        <v>1</v>
      </c>
      <c r="H3112" s="1008">
        <v>83933</v>
      </c>
      <c r="I3112" s="1008">
        <v>1208</v>
      </c>
      <c r="J3112" s="1008">
        <v>85141</v>
      </c>
      <c r="K3112" s="1009">
        <v>85141</v>
      </c>
    </row>
    <row r="3113" spans="1:11" ht="20.25" customHeight="1" x14ac:dyDescent="0.25">
      <c r="A3113" s="1006" t="s">
        <v>3494</v>
      </c>
      <c r="B3113" s="1007">
        <v>2025</v>
      </c>
      <c r="C3113" s="1006" t="s">
        <v>1935</v>
      </c>
      <c r="D3113" s="1006" t="s">
        <v>1950</v>
      </c>
      <c r="E3113" s="1006" t="s">
        <v>9171</v>
      </c>
      <c r="F3113" s="465"/>
      <c r="G3113" s="1007">
        <v>1</v>
      </c>
      <c r="H3113" s="1008">
        <v>-145202</v>
      </c>
      <c r="I3113" s="1008">
        <v>31487</v>
      </c>
      <c r="J3113" s="1008">
        <v>-113715</v>
      </c>
      <c r="K3113" s="1009">
        <v>-113715</v>
      </c>
    </row>
    <row r="3114" spans="1:11" ht="20.25" customHeight="1" x14ac:dyDescent="0.25">
      <c r="A3114" s="1006" t="s">
        <v>3494</v>
      </c>
      <c r="B3114" s="1007">
        <v>2025</v>
      </c>
      <c r="C3114" s="1006" t="s">
        <v>1935</v>
      </c>
      <c r="D3114" s="1006" t="s">
        <v>1951</v>
      </c>
      <c r="E3114" s="1006" t="s">
        <v>9172</v>
      </c>
      <c r="F3114" s="465"/>
      <c r="G3114" s="1007">
        <v>1</v>
      </c>
      <c r="H3114" s="1008">
        <v>85973</v>
      </c>
      <c r="I3114" s="1008">
        <v>137909</v>
      </c>
      <c r="J3114" s="1008">
        <v>223882</v>
      </c>
      <c r="K3114" s="1009">
        <v>223882</v>
      </c>
    </row>
    <row r="3115" spans="1:11" ht="20.25" customHeight="1" x14ac:dyDescent="0.25">
      <c r="A3115" s="1006" t="s">
        <v>3494</v>
      </c>
      <c r="B3115" s="1007">
        <v>2025</v>
      </c>
      <c r="C3115" s="1006" t="s">
        <v>1935</v>
      </c>
      <c r="D3115" s="1006" t="s">
        <v>7801</v>
      </c>
      <c r="E3115" s="1006" t="s">
        <v>9173</v>
      </c>
      <c r="F3115" s="465"/>
      <c r="G3115" s="1007">
        <v>1</v>
      </c>
      <c r="H3115" s="1008">
        <v>-121071</v>
      </c>
      <c r="I3115" s="1008">
        <v>187032</v>
      </c>
      <c r="J3115" s="1008">
        <v>65961</v>
      </c>
      <c r="K3115" s="1009">
        <v>65961</v>
      </c>
    </row>
    <row r="3116" spans="1:11" ht="20.25" customHeight="1" x14ac:dyDescent="0.25">
      <c r="A3116" s="1006" t="s">
        <v>3494</v>
      </c>
      <c r="B3116" s="1007">
        <v>2025</v>
      </c>
      <c r="C3116" s="1006" t="s">
        <v>1935</v>
      </c>
      <c r="D3116" s="1006" t="s">
        <v>3425</v>
      </c>
      <c r="E3116" s="1006" t="s">
        <v>9174</v>
      </c>
      <c r="F3116" s="465"/>
      <c r="G3116" s="1007">
        <v>0</v>
      </c>
      <c r="H3116" s="465"/>
      <c r="I3116" s="465"/>
      <c r="J3116" s="1008">
        <v>0</v>
      </c>
      <c r="K3116" s="1009">
        <v>0</v>
      </c>
    </row>
    <row r="3117" spans="1:11" ht="20.25" customHeight="1" x14ac:dyDescent="0.25">
      <c r="A3117" s="1006" t="s">
        <v>3494</v>
      </c>
      <c r="B3117" s="1007">
        <v>2025</v>
      </c>
      <c r="C3117" s="1006" t="s">
        <v>1935</v>
      </c>
      <c r="D3117" s="1006" t="s">
        <v>3426</v>
      </c>
      <c r="E3117" s="1006" t="s">
        <v>9175</v>
      </c>
      <c r="F3117" s="465"/>
      <c r="G3117" s="1007">
        <v>0</v>
      </c>
      <c r="H3117" s="465"/>
      <c r="I3117" s="465"/>
      <c r="J3117" s="1008">
        <v>0</v>
      </c>
      <c r="K3117" s="1009">
        <v>0</v>
      </c>
    </row>
    <row r="3118" spans="1:11" ht="20.25" customHeight="1" x14ac:dyDescent="0.25">
      <c r="A3118" s="1006" t="s">
        <v>3494</v>
      </c>
      <c r="B3118" s="1007">
        <v>2025</v>
      </c>
      <c r="C3118" s="1006" t="s">
        <v>1935</v>
      </c>
      <c r="D3118" s="1006" t="s">
        <v>3427</v>
      </c>
      <c r="E3118" s="1006" t="s">
        <v>9176</v>
      </c>
      <c r="F3118" s="465"/>
      <c r="G3118" s="1007">
        <v>0</v>
      </c>
      <c r="H3118" s="465"/>
      <c r="I3118" s="465"/>
      <c r="J3118" s="1008">
        <v>0</v>
      </c>
      <c r="K3118" s="1009">
        <v>0</v>
      </c>
    </row>
    <row r="3119" spans="1:11" ht="20.25" customHeight="1" x14ac:dyDescent="0.25">
      <c r="A3119" s="1006" t="s">
        <v>3494</v>
      </c>
      <c r="B3119" s="1007">
        <v>2025</v>
      </c>
      <c r="C3119" s="1006" t="s">
        <v>1935</v>
      </c>
      <c r="D3119" s="1006" t="s">
        <v>3428</v>
      </c>
      <c r="E3119" s="1006" t="s">
        <v>9174</v>
      </c>
      <c r="F3119" s="465"/>
      <c r="G3119" s="1007">
        <v>0</v>
      </c>
      <c r="H3119" s="465"/>
      <c r="I3119" s="465"/>
      <c r="J3119" s="1008">
        <v>0</v>
      </c>
      <c r="K3119" s="1009">
        <v>0</v>
      </c>
    </row>
    <row r="3120" spans="1:11" ht="20.25" customHeight="1" x14ac:dyDescent="0.25">
      <c r="A3120" s="1006" t="s">
        <v>3494</v>
      </c>
      <c r="B3120" s="1007">
        <v>2025</v>
      </c>
      <c r="C3120" s="1006" t="s">
        <v>1935</v>
      </c>
      <c r="D3120" s="1006" t="s">
        <v>3429</v>
      </c>
      <c r="E3120" s="1006" t="s">
        <v>9175</v>
      </c>
      <c r="F3120" s="465"/>
      <c r="G3120" s="1007">
        <v>0</v>
      </c>
      <c r="H3120" s="465"/>
      <c r="I3120" s="465"/>
      <c r="J3120" s="1008">
        <v>0</v>
      </c>
      <c r="K3120" s="1009">
        <v>0</v>
      </c>
    </row>
    <row r="3121" spans="1:11" ht="20.25" customHeight="1" x14ac:dyDescent="0.25">
      <c r="A3121" s="1006" t="s">
        <v>3494</v>
      </c>
      <c r="B3121" s="1007">
        <v>2025</v>
      </c>
      <c r="C3121" s="1006" t="s">
        <v>1935</v>
      </c>
      <c r="D3121" s="1006" t="s">
        <v>3430</v>
      </c>
      <c r="E3121" s="1006" t="s">
        <v>9176</v>
      </c>
      <c r="F3121" s="465"/>
      <c r="G3121" s="1007">
        <v>0</v>
      </c>
      <c r="H3121" s="465"/>
      <c r="I3121" s="465"/>
      <c r="J3121" s="1008">
        <v>0</v>
      </c>
      <c r="K3121" s="1009">
        <v>0</v>
      </c>
    </row>
    <row r="3122" spans="1:11" ht="20.25" customHeight="1" x14ac:dyDescent="0.25">
      <c r="A3122" s="1006" t="s">
        <v>3494</v>
      </c>
      <c r="B3122" s="1007">
        <v>2025</v>
      </c>
      <c r="C3122" s="1006" t="s">
        <v>1935</v>
      </c>
      <c r="D3122" s="1006" t="s">
        <v>3431</v>
      </c>
      <c r="E3122" s="1006" t="s">
        <v>9174</v>
      </c>
      <c r="F3122" s="465"/>
      <c r="G3122" s="1007">
        <v>0</v>
      </c>
      <c r="H3122" s="465"/>
      <c r="I3122" s="465"/>
      <c r="J3122" s="1008">
        <v>0</v>
      </c>
      <c r="K3122" s="1009">
        <v>0</v>
      </c>
    </row>
    <row r="3123" spans="1:11" ht="20.25" customHeight="1" x14ac:dyDescent="0.25">
      <c r="A3123" s="1006" t="s">
        <v>3494</v>
      </c>
      <c r="B3123" s="1007">
        <v>2025</v>
      </c>
      <c r="C3123" s="1006" t="s">
        <v>1935</v>
      </c>
      <c r="D3123" s="1006" t="s">
        <v>3432</v>
      </c>
      <c r="E3123" s="1006" t="s">
        <v>9175</v>
      </c>
      <c r="F3123" s="465"/>
      <c r="G3123" s="1007">
        <v>0</v>
      </c>
      <c r="H3123" s="465"/>
      <c r="I3123" s="465"/>
      <c r="J3123" s="1008">
        <v>0</v>
      </c>
      <c r="K3123" s="1009">
        <v>0</v>
      </c>
    </row>
    <row r="3124" spans="1:11" ht="20.25" customHeight="1" x14ac:dyDescent="0.25">
      <c r="A3124" s="1006" t="s">
        <v>3494</v>
      </c>
      <c r="B3124" s="1007">
        <v>2025</v>
      </c>
      <c r="C3124" s="1006" t="s">
        <v>1935</v>
      </c>
      <c r="D3124" s="1006" t="s">
        <v>3433</v>
      </c>
      <c r="E3124" s="1006" t="s">
        <v>9176</v>
      </c>
      <c r="F3124" s="465"/>
      <c r="G3124" s="1007">
        <v>0</v>
      </c>
      <c r="H3124" s="465"/>
      <c r="I3124" s="465"/>
      <c r="J3124" s="1008">
        <v>0</v>
      </c>
      <c r="K3124" s="1009">
        <v>0</v>
      </c>
    </row>
    <row r="3125" spans="1:11" ht="20.25" customHeight="1" x14ac:dyDescent="0.25">
      <c r="A3125" s="1006" t="s">
        <v>3504</v>
      </c>
      <c r="B3125" s="1007">
        <v>2025</v>
      </c>
      <c r="C3125" s="1006" t="s">
        <v>1887</v>
      </c>
      <c r="D3125" s="1006" t="s">
        <v>138</v>
      </c>
      <c r="E3125" s="1006" t="s">
        <v>3505</v>
      </c>
      <c r="F3125" s="465"/>
      <c r="G3125" s="1007">
        <v>1</v>
      </c>
      <c r="H3125" s="1008">
        <v>171474</v>
      </c>
      <c r="I3125" s="1008">
        <v>12699</v>
      </c>
      <c r="J3125" s="1008">
        <v>184173</v>
      </c>
      <c r="K3125" s="1009">
        <v>184173</v>
      </c>
    </row>
    <row r="3126" spans="1:11" ht="20.25" customHeight="1" x14ac:dyDescent="0.25">
      <c r="A3126" s="1006" t="s">
        <v>3504</v>
      </c>
      <c r="B3126" s="1007">
        <v>2025</v>
      </c>
      <c r="C3126" s="1006" t="s">
        <v>1889</v>
      </c>
      <c r="D3126" s="1006" t="s">
        <v>139</v>
      </c>
      <c r="E3126" s="1006" t="s">
        <v>3506</v>
      </c>
      <c r="F3126" s="465"/>
      <c r="G3126" s="1007">
        <v>1</v>
      </c>
      <c r="H3126" s="1008">
        <v>-160811</v>
      </c>
      <c r="I3126" s="1008">
        <v>-8592</v>
      </c>
      <c r="J3126" s="1008">
        <v>-169403</v>
      </c>
      <c r="K3126" s="1009">
        <v>-169403</v>
      </c>
    </row>
    <row r="3127" spans="1:11" ht="20.25" customHeight="1" x14ac:dyDescent="0.25">
      <c r="A3127" s="1006" t="s">
        <v>3504</v>
      </c>
      <c r="B3127" s="1007">
        <v>2025</v>
      </c>
      <c r="C3127" s="1006" t="s">
        <v>1891</v>
      </c>
      <c r="D3127" s="1006" t="s">
        <v>1894</v>
      </c>
      <c r="E3127" s="1006" t="s">
        <v>3507</v>
      </c>
      <c r="F3127" s="465"/>
      <c r="G3127" s="1007">
        <v>0</v>
      </c>
      <c r="H3127" s="465"/>
      <c r="I3127" s="465"/>
      <c r="J3127" s="1008">
        <v>0</v>
      </c>
      <c r="K3127" s="1009">
        <v>0</v>
      </c>
    </row>
    <row r="3128" spans="1:11" ht="20.25" customHeight="1" x14ac:dyDescent="0.25">
      <c r="A3128" s="1006" t="s">
        <v>3504</v>
      </c>
      <c r="B3128" s="1007">
        <v>2025</v>
      </c>
      <c r="C3128" s="1006" t="s">
        <v>1913</v>
      </c>
      <c r="D3128" s="1006" t="s">
        <v>1914</v>
      </c>
      <c r="E3128" s="1006" t="s">
        <v>3508</v>
      </c>
      <c r="F3128" s="465"/>
      <c r="G3128" s="1007">
        <v>1</v>
      </c>
      <c r="H3128" s="1008">
        <v>-1393069</v>
      </c>
      <c r="I3128" s="1008">
        <v>-126373</v>
      </c>
      <c r="J3128" s="1008">
        <v>-1519442</v>
      </c>
      <c r="K3128" s="1009">
        <v>-1519442</v>
      </c>
    </row>
    <row r="3129" spans="1:11" ht="20.25" customHeight="1" x14ac:dyDescent="0.25">
      <c r="A3129" s="1006" t="s">
        <v>3504</v>
      </c>
      <c r="B3129" s="1007">
        <v>2025</v>
      </c>
      <c r="C3129" s="1006" t="s">
        <v>1913</v>
      </c>
      <c r="D3129" s="1006" t="s">
        <v>1916</v>
      </c>
      <c r="E3129" s="1006" t="s">
        <v>3508</v>
      </c>
      <c r="F3129" s="465"/>
      <c r="G3129" s="1007">
        <v>0</v>
      </c>
      <c r="H3129" s="465"/>
      <c r="I3129" s="465"/>
      <c r="J3129" s="1008">
        <v>0</v>
      </c>
      <c r="K3129" s="1009">
        <v>0</v>
      </c>
    </row>
    <row r="3130" spans="1:11" ht="20.25" customHeight="1" x14ac:dyDescent="0.25">
      <c r="A3130" s="1006" t="s">
        <v>3504</v>
      </c>
      <c r="B3130" s="1007">
        <v>2025</v>
      </c>
      <c r="C3130" s="1006" t="s">
        <v>1913</v>
      </c>
      <c r="D3130" s="1006" t="s">
        <v>1917</v>
      </c>
      <c r="E3130" s="1006" t="s">
        <v>3508</v>
      </c>
      <c r="F3130" s="465"/>
      <c r="G3130" s="1007">
        <v>0</v>
      </c>
      <c r="H3130" s="465"/>
      <c r="I3130" s="465"/>
      <c r="J3130" s="1008">
        <v>0</v>
      </c>
      <c r="K3130" s="1009">
        <v>0</v>
      </c>
    </row>
    <row r="3131" spans="1:11" ht="20.25" customHeight="1" x14ac:dyDescent="0.25">
      <c r="A3131" s="1006" t="s">
        <v>3504</v>
      </c>
      <c r="B3131" s="1007">
        <v>2025</v>
      </c>
      <c r="C3131" s="1006" t="s">
        <v>1913</v>
      </c>
      <c r="D3131" s="1006" t="s">
        <v>1918</v>
      </c>
      <c r="E3131" s="1006" t="s">
        <v>3508</v>
      </c>
      <c r="F3131" s="465"/>
      <c r="G3131" s="1007">
        <v>0</v>
      </c>
      <c r="H3131" s="465"/>
      <c r="I3131" s="465"/>
      <c r="J3131" s="1008">
        <v>0</v>
      </c>
      <c r="K3131" s="1009">
        <v>0</v>
      </c>
    </row>
    <row r="3132" spans="1:11" ht="20.25" customHeight="1" x14ac:dyDescent="0.25">
      <c r="A3132" s="1006" t="s">
        <v>3504</v>
      </c>
      <c r="B3132" s="1007">
        <v>2025</v>
      </c>
      <c r="C3132" s="1006" t="s">
        <v>1913</v>
      </c>
      <c r="D3132" s="1006" t="s">
        <v>1919</v>
      </c>
      <c r="E3132" s="1006" t="s">
        <v>3508</v>
      </c>
      <c r="F3132" s="465"/>
      <c r="G3132" s="1007">
        <v>0</v>
      </c>
      <c r="H3132" s="465"/>
      <c r="I3132" s="465"/>
      <c r="J3132" s="1008">
        <v>0</v>
      </c>
      <c r="K3132" s="1009">
        <v>0</v>
      </c>
    </row>
    <row r="3133" spans="1:11" ht="20.25" customHeight="1" x14ac:dyDescent="0.25">
      <c r="A3133" s="1006" t="s">
        <v>3504</v>
      </c>
      <c r="B3133" s="1007">
        <v>2025</v>
      </c>
      <c r="C3133" s="1006" t="s">
        <v>1923</v>
      </c>
      <c r="D3133" s="1006" t="s">
        <v>143</v>
      </c>
      <c r="E3133" s="1006" t="s">
        <v>3509</v>
      </c>
      <c r="F3133" s="465"/>
      <c r="G3133" s="1007">
        <v>1</v>
      </c>
      <c r="H3133" s="1008">
        <v>1270289</v>
      </c>
      <c r="I3133" s="1008">
        <v>46918</v>
      </c>
      <c r="J3133" s="1008">
        <v>1317207</v>
      </c>
      <c r="K3133" s="1009">
        <v>1317207</v>
      </c>
    </row>
    <row r="3134" spans="1:11" ht="20.25" customHeight="1" x14ac:dyDescent="0.25">
      <c r="A3134" s="1006" t="s">
        <v>3504</v>
      </c>
      <c r="B3134" s="1007">
        <v>2025</v>
      </c>
      <c r="C3134" s="1006" t="s">
        <v>1925</v>
      </c>
      <c r="D3134" s="1006" t="s">
        <v>144</v>
      </c>
      <c r="E3134" s="1006" t="s">
        <v>3510</v>
      </c>
      <c r="F3134" s="465"/>
      <c r="G3134" s="1007">
        <v>1</v>
      </c>
      <c r="H3134" s="1008">
        <v>253044</v>
      </c>
      <c r="I3134" s="1008">
        <v>12831</v>
      </c>
      <c r="J3134" s="1008">
        <v>265875</v>
      </c>
      <c r="K3134" s="1009">
        <v>265875</v>
      </c>
    </row>
    <row r="3135" spans="1:11" ht="20.25" customHeight="1" x14ac:dyDescent="0.25">
      <c r="A3135" s="1006" t="s">
        <v>3504</v>
      </c>
      <c r="B3135" s="1007">
        <v>2025</v>
      </c>
      <c r="C3135" s="1006" t="s">
        <v>1927</v>
      </c>
      <c r="D3135" s="1006" t="s">
        <v>1928</v>
      </c>
      <c r="E3135" s="1006" t="s">
        <v>3511</v>
      </c>
      <c r="F3135" s="465"/>
      <c r="G3135" s="1007">
        <v>1</v>
      </c>
      <c r="H3135" s="1008">
        <v>40850</v>
      </c>
      <c r="I3135" s="1008">
        <v>7935</v>
      </c>
      <c r="J3135" s="1008">
        <v>48785</v>
      </c>
      <c r="K3135" s="1009">
        <v>48785</v>
      </c>
    </row>
    <row r="3136" spans="1:11" ht="20.25" customHeight="1" x14ac:dyDescent="0.25">
      <c r="A3136" s="1006" t="s">
        <v>3504</v>
      </c>
      <c r="B3136" s="1007">
        <v>2025</v>
      </c>
      <c r="C3136" s="1006" t="s">
        <v>1930</v>
      </c>
      <c r="D3136" s="1006" t="s">
        <v>156</v>
      </c>
      <c r="E3136" s="1006" t="s">
        <v>3512</v>
      </c>
      <c r="F3136" s="465"/>
      <c r="G3136" s="1007">
        <v>1</v>
      </c>
      <c r="H3136" s="1008">
        <v>3449249</v>
      </c>
      <c r="I3136" s="1008">
        <v>172953</v>
      </c>
      <c r="J3136" s="1008">
        <v>3622202</v>
      </c>
      <c r="K3136" s="1009">
        <v>3622202</v>
      </c>
    </row>
    <row r="3137" spans="1:11" ht="20.25" customHeight="1" x14ac:dyDescent="0.25">
      <c r="A3137" s="1006" t="s">
        <v>3504</v>
      </c>
      <c r="B3137" s="1007">
        <v>2025</v>
      </c>
      <c r="C3137" s="1006" t="s">
        <v>1932</v>
      </c>
      <c r="D3137" s="1006" t="s">
        <v>3423</v>
      </c>
      <c r="E3137" s="1006" t="s">
        <v>3513</v>
      </c>
      <c r="F3137" s="465"/>
      <c r="G3137" s="1007">
        <v>0</v>
      </c>
      <c r="H3137" s="465"/>
      <c r="I3137" s="465"/>
      <c r="J3137" s="1008">
        <v>0</v>
      </c>
      <c r="K3137" s="1009">
        <v>0</v>
      </c>
    </row>
    <row r="3138" spans="1:11" ht="20.25" customHeight="1" x14ac:dyDescent="0.25">
      <c r="A3138" s="1006" t="s">
        <v>3504</v>
      </c>
      <c r="B3138" s="1007">
        <v>2025</v>
      </c>
      <c r="C3138" s="1006" t="s">
        <v>1935</v>
      </c>
      <c r="D3138" s="1006" t="s">
        <v>1936</v>
      </c>
      <c r="E3138" s="1006" t="s">
        <v>9177</v>
      </c>
      <c r="F3138" s="465"/>
      <c r="G3138" s="1007">
        <v>1</v>
      </c>
      <c r="H3138" s="465"/>
      <c r="I3138" s="465"/>
      <c r="J3138" s="1008">
        <v>0</v>
      </c>
      <c r="K3138" s="1009">
        <v>0</v>
      </c>
    </row>
    <row r="3139" spans="1:11" ht="20.25" customHeight="1" x14ac:dyDescent="0.25">
      <c r="A3139" s="1006" t="s">
        <v>3504</v>
      </c>
      <c r="B3139" s="1007">
        <v>2025</v>
      </c>
      <c r="C3139" s="1006" t="s">
        <v>1935</v>
      </c>
      <c r="D3139" s="1006" t="s">
        <v>1937</v>
      </c>
      <c r="E3139" s="1006" t="s">
        <v>9178</v>
      </c>
      <c r="F3139" s="465"/>
      <c r="G3139" s="1007">
        <v>1</v>
      </c>
      <c r="H3139" s="465"/>
      <c r="I3139" s="465"/>
      <c r="J3139" s="1008">
        <v>0</v>
      </c>
      <c r="K3139" s="1009">
        <v>0</v>
      </c>
    </row>
    <row r="3140" spans="1:11" ht="20.25" customHeight="1" x14ac:dyDescent="0.25">
      <c r="A3140" s="1006" t="s">
        <v>3504</v>
      </c>
      <c r="B3140" s="1007">
        <v>2025</v>
      </c>
      <c r="C3140" s="1006" t="s">
        <v>1935</v>
      </c>
      <c r="D3140" s="1006" t="s">
        <v>1938</v>
      </c>
      <c r="E3140" s="1006" t="s">
        <v>9179</v>
      </c>
      <c r="F3140" s="465"/>
      <c r="G3140" s="1007">
        <v>1</v>
      </c>
      <c r="H3140" s="465"/>
      <c r="I3140" s="465"/>
      <c r="J3140" s="1008">
        <v>0</v>
      </c>
      <c r="K3140" s="1009">
        <v>0</v>
      </c>
    </row>
    <row r="3141" spans="1:11" ht="20.25" customHeight="1" x14ac:dyDescent="0.25">
      <c r="A3141" s="1006" t="s">
        <v>3504</v>
      </c>
      <c r="B3141" s="1007">
        <v>2025</v>
      </c>
      <c r="C3141" s="1006" t="s">
        <v>1935</v>
      </c>
      <c r="D3141" s="1006" t="s">
        <v>1939</v>
      </c>
      <c r="E3141" s="1006" t="s">
        <v>9180</v>
      </c>
      <c r="F3141" s="465"/>
      <c r="G3141" s="1007">
        <v>1</v>
      </c>
      <c r="H3141" s="465"/>
      <c r="I3141" s="465"/>
      <c r="J3141" s="1008">
        <v>0</v>
      </c>
      <c r="K3141" s="1009">
        <v>0</v>
      </c>
    </row>
    <row r="3142" spans="1:11" ht="20.25" customHeight="1" x14ac:dyDescent="0.25">
      <c r="A3142" s="1006" t="s">
        <v>3504</v>
      </c>
      <c r="B3142" s="1007">
        <v>2025</v>
      </c>
      <c r="C3142" s="1006" t="s">
        <v>1935</v>
      </c>
      <c r="D3142" s="1006" t="s">
        <v>1940</v>
      </c>
      <c r="E3142" s="1006" t="s">
        <v>9181</v>
      </c>
      <c r="F3142" s="465"/>
      <c r="G3142" s="1007">
        <v>1</v>
      </c>
      <c r="H3142" s="465"/>
      <c r="I3142" s="465"/>
      <c r="J3142" s="1008">
        <v>0</v>
      </c>
      <c r="K3142" s="1009">
        <v>0</v>
      </c>
    </row>
    <row r="3143" spans="1:11" ht="20.25" customHeight="1" x14ac:dyDescent="0.25">
      <c r="A3143" s="1006" t="s">
        <v>3504</v>
      </c>
      <c r="B3143" s="1007">
        <v>2025</v>
      </c>
      <c r="C3143" s="1006" t="s">
        <v>1935</v>
      </c>
      <c r="D3143" s="1006" t="s">
        <v>1941</v>
      </c>
      <c r="E3143" s="1006" t="s">
        <v>9182</v>
      </c>
      <c r="F3143" s="465"/>
      <c r="G3143" s="1007">
        <v>1</v>
      </c>
      <c r="H3143" s="465"/>
      <c r="I3143" s="465"/>
      <c r="J3143" s="1008">
        <v>0</v>
      </c>
      <c r="K3143" s="1009">
        <v>0</v>
      </c>
    </row>
    <row r="3144" spans="1:11" ht="20.25" customHeight="1" x14ac:dyDescent="0.25">
      <c r="A3144" s="1006" t="s">
        <v>3504</v>
      </c>
      <c r="B3144" s="1007">
        <v>2025</v>
      </c>
      <c r="C3144" s="1006" t="s">
        <v>1935</v>
      </c>
      <c r="D3144" s="1006" t="s">
        <v>1942</v>
      </c>
      <c r="E3144" s="1006" t="s">
        <v>9183</v>
      </c>
      <c r="F3144" s="465"/>
      <c r="G3144" s="1007">
        <v>1</v>
      </c>
      <c r="H3144" s="465"/>
      <c r="I3144" s="465"/>
      <c r="J3144" s="1008">
        <v>0</v>
      </c>
      <c r="K3144" s="1009">
        <v>0</v>
      </c>
    </row>
    <row r="3145" spans="1:11" ht="20.25" customHeight="1" x14ac:dyDescent="0.25">
      <c r="A3145" s="1006" t="s">
        <v>3504</v>
      </c>
      <c r="B3145" s="1007">
        <v>2025</v>
      </c>
      <c r="C3145" s="1006" t="s">
        <v>1935</v>
      </c>
      <c r="D3145" s="1006" t="s">
        <v>1943</v>
      </c>
      <c r="E3145" s="1006" t="s">
        <v>9184</v>
      </c>
      <c r="F3145" s="465"/>
      <c r="G3145" s="1007">
        <v>1</v>
      </c>
      <c r="H3145" s="465"/>
      <c r="I3145" s="465"/>
      <c r="J3145" s="1008">
        <v>0</v>
      </c>
      <c r="K3145" s="1009">
        <v>0</v>
      </c>
    </row>
    <row r="3146" spans="1:11" ht="20.25" customHeight="1" x14ac:dyDescent="0.25">
      <c r="A3146" s="1006" t="s">
        <v>3504</v>
      </c>
      <c r="B3146" s="1007">
        <v>2025</v>
      </c>
      <c r="C3146" s="1006" t="s">
        <v>1935</v>
      </c>
      <c r="D3146" s="1006" t="s">
        <v>1944</v>
      </c>
      <c r="E3146" s="1006" t="s">
        <v>9185</v>
      </c>
      <c r="F3146" s="465"/>
      <c r="G3146" s="1007">
        <v>1</v>
      </c>
      <c r="H3146" s="465"/>
      <c r="I3146" s="465"/>
      <c r="J3146" s="1008">
        <v>0</v>
      </c>
      <c r="K3146" s="1009">
        <v>0</v>
      </c>
    </row>
    <row r="3147" spans="1:11" ht="20.25" customHeight="1" x14ac:dyDescent="0.25">
      <c r="A3147" s="1006" t="s">
        <v>3504</v>
      </c>
      <c r="B3147" s="1007">
        <v>2025</v>
      </c>
      <c r="C3147" s="1006" t="s">
        <v>1935</v>
      </c>
      <c r="D3147" s="1006" t="s">
        <v>1945</v>
      </c>
      <c r="E3147" s="1006" t="s">
        <v>9186</v>
      </c>
      <c r="F3147" s="465"/>
      <c r="G3147" s="1007">
        <v>1</v>
      </c>
      <c r="H3147" s="465"/>
      <c r="I3147" s="465"/>
      <c r="J3147" s="1008">
        <v>0</v>
      </c>
      <c r="K3147" s="1009">
        <v>0</v>
      </c>
    </row>
    <row r="3148" spans="1:11" ht="20.25" customHeight="1" x14ac:dyDescent="0.25">
      <c r="A3148" s="1006" t="s">
        <v>3504</v>
      </c>
      <c r="B3148" s="1007">
        <v>2025</v>
      </c>
      <c r="C3148" s="1006" t="s">
        <v>1935</v>
      </c>
      <c r="D3148" s="1006" t="s">
        <v>1946</v>
      </c>
      <c r="E3148" s="1006" t="s">
        <v>9187</v>
      </c>
      <c r="F3148" s="465"/>
      <c r="G3148" s="1007">
        <v>1</v>
      </c>
      <c r="H3148" s="465"/>
      <c r="I3148" s="465"/>
      <c r="J3148" s="1008">
        <v>0</v>
      </c>
      <c r="K3148" s="1009">
        <v>0</v>
      </c>
    </row>
    <row r="3149" spans="1:11" ht="20.25" customHeight="1" x14ac:dyDescent="0.25">
      <c r="A3149" s="1006" t="s">
        <v>3504</v>
      </c>
      <c r="B3149" s="1007">
        <v>2025</v>
      </c>
      <c r="C3149" s="1006" t="s">
        <v>1935</v>
      </c>
      <c r="D3149" s="1006" t="s">
        <v>1947</v>
      </c>
      <c r="E3149" s="1006" t="s">
        <v>9188</v>
      </c>
      <c r="F3149" s="465"/>
      <c r="G3149" s="1007">
        <v>1</v>
      </c>
      <c r="H3149" s="465"/>
      <c r="I3149" s="465"/>
      <c r="J3149" s="1008">
        <v>0</v>
      </c>
      <c r="K3149" s="1009">
        <v>0</v>
      </c>
    </row>
    <row r="3150" spans="1:11" ht="20.25" customHeight="1" x14ac:dyDescent="0.25">
      <c r="A3150" s="1006" t="s">
        <v>3504</v>
      </c>
      <c r="B3150" s="1007">
        <v>2025</v>
      </c>
      <c r="C3150" s="1006" t="s">
        <v>1935</v>
      </c>
      <c r="D3150" s="1006" t="s">
        <v>1948</v>
      </c>
      <c r="E3150" s="1006" t="s">
        <v>9189</v>
      </c>
      <c r="F3150" s="465"/>
      <c r="G3150" s="1007">
        <v>1</v>
      </c>
      <c r="H3150" s="465"/>
      <c r="I3150" s="465"/>
      <c r="J3150" s="1008">
        <v>0</v>
      </c>
      <c r="K3150" s="1009">
        <v>0</v>
      </c>
    </row>
    <row r="3151" spans="1:11" ht="20.25" customHeight="1" x14ac:dyDescent="0.25">
      <c r="A3151" s="1006" t="s">
        <v>3504</v>
      </c>
      <c r="B3151" s="1007">
        <v>2025</v>
      </c>
      <c r="C3151" s="1006" t="s">
        <v>1935</v>
      </c>
      <c r="D3151" s="1006" t="s">
        <v>1949</v>
      </c>
      <c r="E3151" s="1006" t="s">
        <v>9190</v>
      </c>
      <c r="F3151" s="465"/>
      <c r="G3151" s="1007">
        <v>1</v>
      </c>
      <c r="H3151" s="1008">
        <v>-109409</v>
      </c>
      <c r="I3151" s="1008">
        <v>-25024</v>
      </c>
      <c r="J3151" s="1008">
        <v>-134433</v>
      </c>
      <c r="K3151" s="1009">
        <v>-134433</v>
      </c>
    </row>
    <row r="3152" spans="1:11" ht="20.25" customHeight="1" x14ac:dyDescent="0.25">
      <c r="A3152" s="1006" t="s">
        <v>3504</v>
      </c>
      <c r="B3152" s="1007">
        <v>2025</v>
      </c>
      <c r="C3152" s="1006" t="s">
        <v>1935</v>
      </c>
      <c r="D3152" s="1006" t="s">
        <v>1950</v>
      </c>
      <c r="E3152" s="1006" t="s">
        <v>9191</v>
      </c>
      <c r="F3152" s="465"/>
      <c r="G3152" s="1007">
        <v>1</v>
      </c>
      <c r="H3152" s="1008">
        <v>4669</v>
      </c>
      <c r="I3152" s="1008">
        <v>-82</v>
      </c>
      <c r="J3152" s="1008">
        <v>4587</v>
      </c>
      <c r="K3152" s="1009">
        <v>4587</v>
      </c>
    </row>
    <row r="3153" spans="1:11" ht="20.25" customHeight="1" x14ac:dyDescent="0.25">
      <c r="A3153" s="1006" t="s">
        <v>3504</v>
      </c>
      <c r="B3153" s="1007">
        <v>2025</v>
      </c>
      <c r="C3153" s="1006" t="s">
        <v>1935</v>
      </c>
      <c r="D3153" s="1006" t="s">
        <v>1951</v>
      </c>
      <c r="E3153" s="1006" t="s">
        <v>9192</v>
      </c>
      <c r="F3153" s="465"/>
      <c r="G3153" s="1007">
        <v>1</v>
      </c>
      <c r="H3153" s="1008">
        <v>-31065</v>
      </c>
      <c r="I3153" s="1008">
        <v>-12788</v>
      </c>
      <c r="J3153" s="1008">
        <v>-43853</v>
      </c>
      <c r="K3153" s="1009">
        <v>-43853</v>
      </c>
    </row>
    <row r="3154" spans="1:11" ht="20.25" customHeight="1" x14ac:dyDescent="0.25">
      <c r="A3154" s="1006" t="s">
        <v>3504</v>
      </c>
      <c r="B3154" s="1007">
        <v>2025</v>
      </c>
      <c r="C3154" s="1006" t="s">
        <v>1935</v>
      </c>
      <c r="D3154" s="1006" t="s">
        <v>7801</v>
      </c>
      <c r="E3154" s="1006" t="s">
        <v>9193</v>
      </c>
      <c r="F3154" s="465"/>
      <c r="G3154" s="1007">
        <v>1</v>
      </c>
      <c r="H3154" s="1008">
        <v>23218</v>
      </c>
      <c r="I3154" s="1008">
        <v>119066</v>
      </c>
      <c r="J3154" s="1008">
        <v>142284</v>
      </c>
      <c r="K3154" s="1009">
        <v>142284</v>
      </c>
    </row>
    <row r="3155" spans="1:11" ht="20.25" customHeight="1" x14ac:dyDescent="0.25">
      <c r="A3155" s="1006" t="s">
        <v>3504</v>
      </c>
      <c r="B3155" s="1007">
        <v>2025</v>
      </c>
      <c r="C3155" s="1006" t="s">
        <v>1935</v>
      </c>
      <c r="D3155" s="1006" t="s">
        <v>3425</v>
      </c>
      <c r="E3155" s="1006" t="s">
        <v>9194</v>
      </c>
      <c r="F3155" s="465"/>
      <c r="G3155" s="1007">
        <v>0</v>
      </c>
      <c r="H3155" s="465"/>
      <c r="I3155" s="465"/>
      <c r="J3155" s="1008">
        <v>0</v>
      </c>
      <c r="K3155" s="1009">
        <v>0</v>
      </c>
    </row>
    <row r="3156" spans="1:11" ht="20.25" customHeight="1" x14ac:dyDescent="0.25">
      <c r="A3156" s="1006" t="s">
        <v>3504</v>
      </c>
      <c r="B3156" s="1007">
        <v>2025</v>
      </c>
      <c r="C3156" s="1006" t="s">
        <v>1935</v>
      </c>
      <c r="D3156" s="1006" t="s">
        <v>3426</v>
      </c>
      <c r="E3156" s="1006" t="s">
        <v>9195</v>
      </c>
      <c r="F3156" s="465"/>
      <c r="G3156" s="1007">
        <v>0</v>
      </c>
      <c r="H3156" s="465"/>
      <c r="I3156" s="465"/>
      <c r="J3156" s="1008">
        <v>0</v>
      </c>
      <c r="K3156" s="1009">
        <v>0</v>
      </c>
    </row>
    <row r="3157" spans="1:11" ht="20.25" customHeight="1" x14ac:dyDescent="0.25">
      <c r="A3157" s="1006" t="s">
        <v>3504</v>
      </c>
      <c r="B3157" s="1007">
        <v>2025</v>
      </c>
      <c r="C3157" s="1006" t="s">
        <v>1935</v>
      </c>
      <c r="D3157" s="1006" t="s">
        <v>3427</v>
      </c>
      <c r="E3157" s="1006" t="s">
        <v>9196</v>
      </c>
      <c r="F3157" s="465"/>
      <c r="G3157" s="1007">
        <v>0</v>
      </c>
      <c r="H3157" s="465"/>
      <c r="I3157" s="465"/>
      <c r="J3157" s="1008">
        <v>0</v>
      </c>
      <c r="K3157" s="1009">
        <v>0</v>
      </c>
    </row>
    <row r="3158" spans="1:11" ht="20.25" customHeight="1" x14ac:dyDescent="0.25">
      <c r="A3158" s="1006" t="s">
        <v>3504</v>
      </c>
      <c r="B3158" s="1007">
        <v>2025</v>
      </c>
      <c r="C3158" s="1006" t="s">
        <v>1935</v>
      </c>
      <c r="D3158" s="1006" t="s">
        <v>3428</v>
      </c>
      <c r="E3158" s="1006" t="s">
        <v>9194</v>
      </c>
      <c r="F3158" s="465"/>
      <c r="G3158" s="1007">
        <v>0</v>
      </c>
      <c r="H3158" s="465"/>
      <c r="I3158" s="465"/>
      <c r="J3158" s="1008">
        <v>0</v>
      </c>
      <c r="K3158" s="1009">
        <v>0</v>
      </c>
    </row>
    <row r="3159" spans="1:11" ht="20.25" customHeight="1" x14ac:dyDescent="0.25">
      <c r="A3159" s="1006" t="s">
        <v>3504</v>
      </c>
      <c r="B3159" s="1007">
        <v>2025</v>
      </c>
      <c r="C3159" s="1006" t="s">
        <v>1935</v>
      </c>
      <c r="D3159" s="1006" t="s">
        <v>3429</v>
      </c>
      <c r="E3159" s="1006" t="s">
        <v>9195</v>
      </c>
      <c r="F3159" s="465"/>
      <c r="G3159" s="1007">
        <v>0</v>
      </c>
      <c r="H3159" s="465"/>
      <c r="I3159" s="465"/>
      <c r="J3159" s="1008">
        <v>0</v>
      </c>
      <c r="K3159" s="1009">
        <v>0</v>
      </c>
    </row>
    <row r="3160" spans="1:11" ht="20.25" customHeight="1" x14ac:dyDescent="0.25">
      <c r="A3160" s="1006" t="s">
        <v>3504</v>
      </c>
      <c r="B3160" s="1007">
        <v>2025</v>
      </c>
      <c r="C3160" s="1006" t="s">
        <v>1935</v>
      </c>
      <c r="D3160" s="1006" t="s">
        <v>3430</v>
      </c>
      <c r="E3160" s="1006" t="s">
        <v>9196</v>
      </c>
      <c r="F3160" s="465"/>
      <c r="G3160" s="1007">
        <v>0</v>
      </c>
      <c r="H3160" s="465"/>
      <c r="I3160" s="465"/>
      <c r="J3160" s="1008">
        <v>0</v>
      </c>
      <c r="K3160" s="1009">
        <v>0</v>
      </c>
    </row>
    <row r="3161" spans="1:11" ht="20.25" customHeight="1" x14ac:dyDescent="0.25">
      <c r="A3161" s="1006" t="s">
        <v>3504</v>
      </c>
      <c r="B3161" s="1007">
        <v>2025</v>
      </c>
      <c r="C3161" s="1006" t="s">
        <v>1935</v>
      </c>
      <c r="D3161" s="1006" t="s">
        <v>3431</v>
      </c>
      <c r="E3161" s="1006" t="s">
        <v>9194</v>
      </c>
      <c r="F3161" s="465"/>
      <c r="G3161" s="1007">
        <v>0</v>
      </c>
      <c r="H3161" s="465"/>
      <c r="I3161" s="465"/>
      <c r="J3161" s="1008">
        <v>0</v>
      </c>
      <c r="K3161" s="1009">
        <v>0</v>
      </c>
    </row>
    <row r="3162" spans="1:11" ht="20.25" customHeight="1" x14ac:dyDescent="0.25">
      <c r="A3162" s="1006" t="s">
        <v>3504</v>
      </c>
      <c r="B3162" s="1007">
        <v>2025</v>
      </c>
      <c r="C3162" s="1006" t="s">
        <v>1935</v>
      </c>
      <c r="D3162" s="1006" t="s">
        <v>3432</v>
      </c>
      <c r="E3162" s="1006" t="s">
        <v>9195</v>
      </c>
      <c r="F3162" s="465"/>
      <c r="G3162" s="1007">
        <v>0</v>
      </c>
      <c r="H3162" s="465"/>
      <c r="I3162" s="465"/>
      <c r="J3162" s="1008">
        <v>0</v>
      </c>
      <c r="K3162" s="1009">
        <v>0</v>
      </c>
    </row>
    <row r="3163" spans="1:11" ht="20.25" customHeight="1" x14ac:dyDescent="0.25">
      <c r="A3163" s="1006" t="s">
        <v>3504</v>
      </c>
      <c r="B3163" s="1007">
        <v>2025</v>
      </c>
      <c r="C3163" s="1006" t="s">
        <v>1935</v>
      </c>
      <c r="D3163" s="1006" t="s">
        <v>3433</v>
      </c>
      <c r="E3163" s="1006" t="s">
        <v>9196</v>
      </c>
      <c r="F3163" s="465"/>
      <c r="G3163" s="1007">
        <v>0</v>
      </c>
      <c r="H3163" s="465"/>
      <c r="I3163" s="465"/>
      <c r="J3163" s="1008">
        <v>0</v>
      </c>
      <c r="K3163" s="1009">
        <v>0</v>
      </c>
    </row>
    <row r="3164" spans="1:11" ht="20.25" customHeight="1" x14ac:dyDescent="0.25">
      <c r="A3164" s="1006" t="s">
        <v>3514</v>
      </c>
      <c r="B3164" s="1007">
        <v>2025</v>
      </c>
      <c r="C3164" s="1006" t="s">
        <v>1887</v>
      </c>
      <c r="D3164" s="1006" t="s">
        <v>138</v>
      </c>
      <c r="E3164" s="1006" t="s">
        <v>3515</v>
      </c>
      <c r="F3164" s="465"/>
      <c r="G3164" s="1007">
        <v>1</v>
      </c>
      <c r="H3164" s="465"/>
      <c r="I3164" s="465"/>
      <c r="J3164" s="1008">
        <v>0</v>
      </c>
      <c r="K3164" s="1009">
        <v>0</v>
      </c>
    </row>
    <row r="3165" spans="1:11" ht="20.25" customHeight="1" x14ac:dyDescent="0.25">
      <c r="A3165" s="1006" t="s">
        <v>3514</v>
      </c>
      <c r="B3165" s="1007">
        <v>2025</v>
      </c>
      <c r="C3165" s="1006" t="s">
        <v>1889</v>
      </c>
      <c r="D3165" s="1006" t="s">
        <v>139</v>
      </c>
      <c r="E3165" s="1006" t="s">
        <v>3516</v>
      </c>
      <c r="F3165" s="465"/>
      <c r="G3165" s="1007">
        <v>1</v>
      </c>
      <c r="H3165" s="465"/>
      <c r="I3165" s="465"/>
      <c r="J3165" s="1008">
        <v>0</v>
      </c>
      <c r="K3165" s="1009">
        <v>0</v>
      </c>
    </row>
    <row r="3166" spans="1:11" ht="20.25" customHeight="1" x14ac:dyDescent="0.25">
      <c r="A3166" s="1006" t="s">
        <v>3514</v>
      </c>
      <c r="B3166" s="1007">
        <v>2025</v>
      </c>
      <c r="C3166" s="1006" t="s">
        <v>1891</v>
      </c>
      <c r="D3166" s="1006" t="s">
        <v>1894</v>
      </c>
      <c r="E3166" s="1006" t="s">
        <v>3517</v>
      </c>
      <c r="F3166" s="465"/>
      <c r="G3166" s="1007">
        <v>0</v>
      </c>
      <c r="H3166" s="465"/>
      <c r="I3166" s="465"/>
      <c r="J3166" s="1008">
        <v>0</v>
      </c>
      <c r="K3166" s="1009">
        <v>0</v>
      </c>
    </row>
    <row r="3167" spans="1:11" ht="20.25" customHeight="1" x14ac:dyDescent="0.25">
      <c r="A3167" s="1006" t="s">
        <v>3514</v>
      </c>
      <c r="B3167" s="1007">
        <v>2025</v>
      </c>
      <c r="C3167" s="1006" t="s">
        <v>1913</v>
      </c>
      <c r="D3167" s="1006" t="s">
        <v>1914</v>
      </c>
      <c r="E3167" s="1006" t="s">
        <v>3518</v>
      </c>
      <c r="F3167" s="465"/>
      <c r="G3167" s="1007">
        <v>1</v>
      </c>
      <c r="H3167" s="465"/>
      <c r="I3167" s="465"/>
      <c r="J3167" s="1008">
        <v>0</v>
      </c>
      <c r="K3167" s="1009">
        <v>0</v>
      </c>
    </row>
    <row r="3168" spans="1:11" ht="20.25" customHeight="1" x14ac:dyDescent="0.25">
      <c r="A3168" s="1006" t="s">
        <v>3514</v>
      </c>
      <c r="B3168" s="1007">
        <v>2025</v>
      </c>
      <c r="C3168" s="1006" t="s">
        <v>1913</v>
      </c>
      <c r="D3168" s="1006" t="s">
        <v>1916</v>
      </c>
      <c r="E3168" s="1006" t="s">
        <v>3518</v>
      </c>
      <c r="F3168" s="465"/>
      <c r="G3168" s="1007">
        <v>0</v>
      </c>
      <c r="H3168" s="465"/>
      <c r="I3168" s="465"/>
      <c r="J3168" s="1008">
        <v>0</v>
      </c>
      <c r="K3168" s="1009">
        <v>0</v>
      </c>
    </row>
    <row r="3169" spans="1:11" ht="20.25" customHeight="1" x14ac:dyDescent="0.25">
      <c r="A3169" s="1006" t="s">
        <v>3514</v>
      </c>
      <c r="B3169" s="1007">
        <v>2025</v>
      </c>
      <c r="C3169" s="1006" t="s">
        <v>1913</v>
      </c>
      <c r="D3169" s="1006" t="s">
        <v>1917</v>
      </c>
      <c r="E3169" s="1006" t="s">
        <v>3518</v>
      </c>
      <c r="F3169" s="465"/>
      <c r="G3169" s="1007">
        <v>0</v>
      </c>
      <c r="H3169" s="465"/>
      <c r="I3169" s="465"/>
      <c r="J3169" s="1008">
        <v>0</v>
      </c>
      <c r="K3169" s="1009">
        <v>0</v>
      </c>
    </row>
    <row r="3170" spans="1:11" ht="20.25" customHeight="1" x14ac:dyDescent="0.25">
      <c r="A3170" s="1006" t="s">
        <v>3514</v>
      </c>
      <c r="B3170" s="1007">
        <v>2025</v>
      </c>
      <c r="C3170" s="1006" t="s">
        <v>1913</v>
      </c>
      <c r="D3170" s="1006" t="s">
        <v>1918</v>
      </c>
      <c r="E3170" s="1006" t="s">
        <v>3518</v>
      </c>
      <c r="F3170" s="465"/>
      <c r="G3170" s="1007">
        <v>0</v>
      </c>
      <c r="H3170" s="465"/>
      <c r="I3170" s="465"/>
      <c r="J3170" s="1008">
        <v>0</v>
      </c>
      <c r="K3170" s="1009">
        <v>0</v>
      </c>
    </row>
    <row r="3171" spans="1:11" ht="20.25" customHeight="1" x14ac:dyDescent="0.25">
      <c r="A3171" s="1006" t="s">
        <v>3514</v>
      </c>
      <c r="B3171" s="1007">
        <v>2025</v>
      </c>
      <c r="C3171" s="1006" t="s">
        <v>1913</v>
      </c>
      <c r="D3171" s="1006" t="s">
        <v>1919</v>
      </c>
      <c r="E3171" s="1006" t="s">
        <v>3518</v>
      </c>
      <c r="F3171" s="465"/>
      <c r="G3171" s="1007">
        <v>0</v>
      </c>
      <c r="H3171" s="465"/>
      <c r="I3171" s="465"/>
      <c r="J3171" s="1008">
        <v>0</v>
      </c>
      <c r="K3171" s="1009">
        <v>0</v>
      </c>
    </row>
    <row r="3172" spans="1:11" ht="20.25" customHeight="1" x14ac:dyDescent="0.25">
      <c r="A3172" s="1006" t="s">
        <v>3514</v>
      </c>
      <c r="B3172" s="1007">
        <v>2025</v>
      </c>
      <c r="C3172" s="1006" t="s">
        <v>1923</v>
      </c>
      <c r="D3172" s="1006" t="s">
        <v>143</v>
      </c>
      <c r="E3172" s="1006" t="s">
        <v>3519</v>
      </c>
      <c r="F3172" s="465"/>
      <c r="G3172" s="1007">
        <v>1</v>
      </c>
      <c r="H3172" s="465"/>
      <c r="I3172" s="465"/>
      <c r="J3172" s="1008">
        <v>0</v>
      </c>
      <c r="K3172" s="1009">
        <v>0</v>
      </c>
    </row>
    <row r="3173" spans="1:11" ht="20.25" customHeight="1" x14ac:dyDescent="0.25">
      <c r="A3173" s="1006" t="s">
        <v>3514</v>
      </c>
      <c r="B3173" s="1007">
        <v>2025</v>
      </c>
      <c r="C3173" s="1006" t="s">
        <v>1925</v>
      </c>
      <c r="D3173" s="1006" t="s">
        <v>144</v>
      </c>
      <c r="E3173" s="1006" t="s">
        <v>3520</v>
      </c>
      <c r="F3173" s="465"/>
      <c r="G3173" s="1007">
        <v>1</v>
      </c>
      <c r="H3173" s="465"/>
      <c r="I3173" s="465"/>
      <c r="J3173" s="1008">
        <v>0</v>
      </c>
      <c r="K3173" s="1009">
        <v>0</v>
      </c>
    </row>
    <row r="3174" spans="1:11" ht="20.25" customHeight="1" x14ac:dyDescent="0.25">
      <c r="A3174" s="1006" t="s">
        <v>3514</v>
      </c>
      <c r="B3174" s="1007">
        <v>2025</v>
      </c>
      <c r="C3174" s="1006" t="s">
        <v>1927</v>
      </c>
      <c r="D3174" s="1006" t="s">
        <v>1928</v>
      </c>
      <c r="E3174" s="1006" t="s">
        <v>3521</v>
      </c>
      <c r="F3174" s="465"/>
      <c r="G3174" s="1007">
        <v>1</v>
      </c>
      <c r="H3174" s="465"/>
      <c r="I3174" s="465"/>
      <c r="J3174" s="1008">
        <v>0</v>
      </c>
      <c r="K3174" s="1009">
        <v>0</v>
      </c>
    </row>
    <row r="3175" spans="1:11" ht="20.25" customHeight="1" x14ac:dyDescent="0.25">
      <c r="A3175" s="1006" t="s">
        <v>3514</v>
      </c>
      <c r="B3175" s="1007">
        <v>2025</v>
      </c>
      <c r="C3175" s="1006" t="s">
        <v>1930</v>
      </c>
      <c r="D3175" s="1006" t="s">
        <v>156</v>
      </c>
      <c r="E3175" s="1006" t="s">
        <v>3522</v>
      </c>
      <c r="F3175" s="465"/>
      <c r="G3175" s="1007">
        <v>1</v>
      </c>
      <c r="H3175" s="465"/>
      <c r="I3175" s="465"/>
      <c r="J3175" s="1008">
        <v>0</v>
      </c>
      <c r="K3175" s="1009">
        <v>0</v>
      </c>
    </row>
    <row r="3176" spans="1:11" ht="20.25" customHeight="1" x14ac:dyDescent="0.25">
      <c r="A3176" s="1006" t="s">
        <v>3514</v>
      </c>
      <c r="B3176" s="1007">
        <v>2025</v>
      </c>
      <c r="C3176" s="1006" t="s">
        <v>1932</v>
      </c>
      <c r="D3176" s="1006" t="s">
        <v>3423</v>
      </c>
      <c r="E3176" s="1006" t="s">
        <v>3523</v>
      </c>
      <c r="F3176" s="465"/>
      <c r="G3176" s="1007">
        <v>0</v>
      </c>
      <c r="H3176" s="465"/>
      <c r="I3176" s="465"/>
      <c r="J3176" s="1008">
        <v>0</v>
      </c>
      <c r="K3176" s="1009">
        <v>0</v>
      </c>
    </row>
    <row r="3177" spans="1:11" ht="20.25" customHeight="1" x14ac:dyDescent="0.25">
      <c r="A3177" s="1006" t="s">
        <v>3514</v>
      </c>
      <c r="B3177" s="1007">
        <v>2025</v>
      </c>
      <c r="C3177" s="1006" t="s">
        <v>1935</v>
      </c>
      <c r="D3177" s="1006" t="s">
        <v>1936</v>
      </c>
      <c r="E3177" s="1006" t="s">
        <v>9197</v>
      </c>
      <c r="F3177" s="465"/>
      <c r="G3177" s="1007">
        <v>1</v>
      </c>
      <c r="H3177" s="465"/>
      <c r="I3177" s="465"/>
      <c r="J3177" s="1008">
        <v>0</v>
      </c>
      <c r="K3177" s="1009">
        <v>0</v>
      </c>
    </row>
    <row r="3178" spans="1:11" ht="20.25" customHeight="1" x14ac:dyDescent="0.25">
      <c r="A3178" s="1006" t="s">
        <v>3514</v>
      </c>
      <c r="B3178" s="1007">
        <v>2025</v>
      </c>
      <c r="C3178" s="1006" t="s">
        <v>1935</v>
      </c>
      <c r="D3178" s="1006" t="s">
        <v>1937</v>
      </c>
      <c r="E3178" s="1006" t="s">
        <v>9198</v>
      </c>
      <c r="F3178" s="465"/>
      <c r="G3178" s="1007">
        <v>1</v>
      </c>
      <c r="H3178" s="465"/>
      <c r="I3178" s="465"/>
      <c r="J3178" s="1008">
        <v>0</v>
      </c>
      <c r="K3178" s="1009">
        <v>0</v>
      </c>
    </row>
    <row r="3179" spans="1:11" ht="20.25" customHeight="1" x14ac:dyDescent="0.25">
      <c r="A3179" s="1006" t="s">
        <v>3514</v>
      </c>
      <c r="B3179" s="1007">
        <v>2025</v>
      </c>
      <c r="C3179" s="1006" t="s">
        <v>1935</v>
      </c>
      <c r="D3179" s="1006" t="s">
        <v>1938</v>
      </c>
      <c r="E3179" s="1006" t="s">
        <v>9199</v>
      </c>
      <c r="F3179" s="465"/>
      <c r="G3179" s="1007">
        <v>1</v>
      </c>
      <c r="H3179" s="465"/>
      <c r="I3179" s="465"/>
      <c r="J3179" s="1008">
        <v>0</v>
      </c>
      <c r="K3179" s="1009">
        <v>0</v>
      </c>
    </row>
    <row r="3180" spans="1:11" ht="20.25" customHeight="1" x14ac:dyDescent="0.25">
      <c r="A3180" s="1006" t="s">
        <v>3514</v>
      </c>
      <c r="B3180" s="1007">
        <v>2025</v>
      </c>
      <c r="C3180" s="1006" t="s">
        <v>1935</v>
      </c>
      <c r="D3180" s="1006" t="s">
        <v>1939</v>
      </c>
      <c r="E3180" s="1006" t="s">
        <v>9200</v>
      </c>
      <c r="F3180" s="465"/>
      <c r="G3180" s="1007">
        <v>1</v>
      </c>
      <c r="H3180" s="465"/>
      <c r="I3180" s="465"/>
      <c r="J3180" s="1008">
        <v>0</v>
      </c>
      <c r="K3180" s="1009">
        <v>0</v>
      </c>
    </row>
    <row r="3181" spans="1:11" ht="20.25" customHeight="1" x14ac:dyDescent="0.25">
      <c r="A3181" s="1006" t="s">
        <v>3514</v>
      </c>
      <c r="B3181" s="1007">
        <v>2025</v>
      </c>
      <c r="C3181" s="1006" t="s">
        <v>1935</v>
      </c>
      <c r="D3181" s="1006" t="s">
        <v>1940</v>
      </c>
      <c r="E3181" s="1006" t="s">
        <v>9201</v>
      </c>
      <c r="F3181" s="465"/>
      <c r="G3181" s="1007">
        <v>1</v>
      </c>
      <c r="H3181" s="465"/>
      <c r="I3181" s="465"/>
      <c r="J3181" s="1008">
        <v>0</v>
      </c>
      <c r="K3181" s="1009">
        <v>0</v>
      </c>
    </row>
    <row r="3182" spans="1:11" ht="20.25" customHeight="1" x14ac:dyDescent="0.25">
      <c r="A3182" s="1006" t="s">
        <v>3514</v>
      </c>
      <c r="B3182" s="1007">
        <v>2025</v>
      </c>
      <c r="C3182" s="1006" t="s">
        <v>1935</v>
      </c>
      <c r="D3182" s="1006" t="s">
        <v>1941</v>
      </c>
      <c r="E3182" s="1006" t="s">
        <v>9202</v>
      </c>
      <c r="F3182" s="465"/>
      <c r="G3182" s="1007">
        <v>1</v>
      </c>
      <c r="H3182" s="465"/>
      <c r="I3182" s="465"/>
      <c r="J3182" s="1008">
        <v>0</v>
      </c>
      <c r="K3182" s="1009">
        <v>0</v>
      </c>
    </row>
    <row r="3183" spans="1:11" ht="20.25" customHeight="1" x14ac:dyDescent="0.25">
      <c r="A3183" s="1006" t="s">
        <v>3514</v>
      </c>
      <c r="B3183" s="1007">
        <v>2025</v>
      </c>
      <c r="C3183" s="1006" t="s">
        <v>1935</v>
      </c>
      <c r="D3183" s="1006" t="s">
        <v>1942</v>
      </c>
      <c r="E3183" s="1006" t="s">
        <v>9203</v>
      </c>
      <c r="F3183" s="465"/>
      <c r="G3183" s="1007">
        <v>1</v>
      </c>
      <c r="H3183" s="465"/>
      <c r="I3183" s="465"/>
      <c r="J3183" s="1008">
        <v>0</v>
      </c>
      <c r="K3183" s="1009">
        <v>0</v>
      </c>
    </row>
    <row r="3184" spans="1:11" ht="20.25" customHeight="1" x14ac:dyDescent="0.25">
      <c r="A3184" s="1006" t="s">
        <v>3514</v>
      </c>
      <c r="B3184" s="1007">
        <v>2025</v>
      </c>
      <c r="C3184" s="1006" t="s">
        <v>1935</v>
      </c>
      <c r="D3184" s="1006" t="s">
        <v>1943</v>
      </c>
      <c r="E3184" s="1006" t="s">
        <v>9204</v>
      </c>
      <c r="F3184" s="465"/>
      <c r="G3184" s="1007">
        <v>1</v>
      </c>
      <c r="H3184" s="465"/>
      <c r="I3184" s="465"/>
      <c r="J3184" s="1008">
        <v>0</v>
      </c>
      <c r="K3184" s="1009">
        <v>0</v>
      </c>
    </row>
    <row r="3185" spans="1:11" ht="20.25" customHeight="1" x14ac:dyDescent="0.25">
      <c r="A3185" s="1006" t="s">
        <v>3514</v>
      </c>
      <c r="B3185" s="1007">
        <v>2025</v>
      </c>
      <c r="C3185" s="1006" t="s">
        <v>1935</v>
      </c>
      <c r="D3185" s="1006" t="s">
        <v>1944</v>
      </c>
      <c r="E3185" s="1006" t="s">
        <v>9205</v>
      </c>
      <c r="F3185" s="465"/>
      <c r="G3185" s="1007">
        <v>1</v>
      </c>
      <c r="H3185" s="465"/>
      <c r="I3185" s="465"/>
      <c r="J3185" s="1008">
        <v>0</v>
      </c>
      <c r="K3185" s="1009">
        <v>0</v>
      </c>
    </row>
    <row r="3186" spans="1:11" ht="20.25" customHeight="1" x14ac:dyDescent="0.25">
      <c r="A3186" s="1006" t="s">
        <v>3514</v>
      </c>
      <c r="B3186" s="1007">
        <v>2025</v>
      </c>
      <c r="C3186" s="1006" t="s">
        <v>1935</v>
      </c>
      <c r="D3186" s="1006" t="s">
        <v>1945</v>
      </c>
      <c r="E3186" s="1006" t="s">
        <v>9206</v>
      </c>
      <c r="F3186" s="465"/>
      <c r="G3186" s="1007">
        <v>1</v>
      </c>
      <c r="H3186" s="465"/>
      <c r="I3186" s="465"/>
      <c r="J3186" s="1008">
        <v>0</v>
      </c>
      <c r="K3186" s="1009">
        <v>0</v>
      </c>
    </row>
    <row r="3187" spans="1:11" ht="20.25" customHeight="1" x14ac:dyDescent="0.25">
      <c r="A3187" s="1006" t="s">
        <v>3514</v>
      </c>
      <c r="B3187" s="1007">
        <v>2025</v>
      </c>
      <c r="C3187" s="1006" t="s">
        <v>1935</v>
      </c>
      <c r="D3187" s="1006" t="s">
        <v>1946</v>
      </c>
      <c r="E3187" s="1006" t="s">
        <v>9207</v>
      </c>
      <c r="F3187" s="465"/>
      <c r="G3187" s="1007">
        <v>1</v>
      </c>
      <c r="H3187" s="465"/>
      <c r="I3187" s="465"/>
      <c r="J3187" s="1008">
        <v>0</v>
      </c>
      <c r="K3187" s="1009">
        <v>0</v>
      </c>
    </row>
    <row r="3188" spans="1:11" ht="20.25" customHeight="1" x14ac:dyDescent="0.25">
      <c r="A3188" s="1006" t="s">
        <v>3514</v>
      </c>
      <c r="B3188" s="1007">
        <v>2025</v>
      </c>
      <c r="C3188" s="1006" t="s">
        <v>1935</v>
      </c>
      <c r="D3188" s="1006" t="s">
        <v>1947</v>
      </c>
      <c r="E3188" s="1006" t="s">
        <v>9208</v>
      </c>
      <c r="F3188" s="465"/>
      <c r="G3188" s="1007">
        <v>1</v>
      </c>
      <c r="H3188" s="465"/>
      <c r="I3188" s="465"/>
      <c r="J3188" s="1008">
        <v>0</v>
      </c>
      <c r="K3188" s="1009">
        <v>0</v>
      </c>
    </row>
    <row r="3189" spans="1:11" ht="20.25" customHeight="1" x14ac:dyDescent="0.25">
      <c r="A3189" s="1006" t="s">
        <v>3514</v>
      </c>
      <c r="B3189" s="1007">
        <v>2025</v>
      </c>
      <c r="C3189" s="1006" t="s">
        <v>1935</v>
      </c>
      <c r="D3189" s="1006" t="s">
        <v>1948</v>
      </c>
      <c r="E3189" s="1006" t="s">
        <v>9209</v>
      </c>
      <c r="F3189" s="465"/>
      <c r="G3189" s="1007">
        <v>1</v>
      </c>
      <c r="H3189" s="465"/>
      <c r="I3189" s="465"/>
      <c r="J3189" s="1008">
        <v>0</v>
      </c>
      <c r="K3189" s="1009">
        <v>0</v>
      </c>
    </row>
    <row r="3190" spans="1:11" ht="20.25" customHeight="1" x14ac:dyDescent="0.25">
      <c r="A3190" s="1006" t="s">
        <v>3514</v>
      </c>
      <c r="B3190" s="1007">
        <v>2025</v>
      </c>
      <c r="C3190" s="1006" t="s">
        <v>1935</v>
      </c>
      <c r="D3190" s="1006" t="s">
        <v>1949</v>
      </c>
      <c r="E3190" s="1006" t="s">
        <v>9210</v>
      </c>
      <c r="F3190" s="465"/>
      <c r="G3190" s="1007">
        <v>1</v>
      </c>
      <c r="H3190" s="465"/>
      <c r="I3190" s="465"/>
      <c r="J3190" s="1008">
        <v>0</v>
      </c>
      <c r="K3190" s="1009">
        <v>0</v>
      </c>
    </row>
    <row r="3191" spans="1:11" ht="20.25" customHeight="1" x14ac:dyDescent="0.25">
      <c r="A3191" s="1006" t="s">
        <v>3514</v>
      </c>
      <c r="B3191" s="1007">
        <v>2025</v>
      </c>
      <c r="C3191" s="1006" t="s">
        <v>1935</v>
      </c>
      <c r="D3191" s="1006" t="s">
        <v>1950</v>
      </c>
      <c r="E3191" s="1006" t="s">
        <v>9211</v>
      </c>
      <c r="F3191" s="465"/>
      <c r="G3191" s="1007">
        <v>1</v>
      </c>
      <c r="H3191" s="465"/>
      <c r="I3191" s="465"/>
      <c r="J3191" s="1008">
        <v>0</v>
      </c>
      <c r="K3191" s="1009">
        <v>0</v>
      </c>
    </row>
    <row r="3192" spans="1:11" ht="20.25" customHeight="1" x14ac:dyDescent="0.25">
      <c r="A3192" s="1006" t="s">
        <v>3514</v>
      </c>
      <c r="B3192" s="1007">
        <v>2025</v>
      </c>
      <c r="C3192" s="1006" t="s">
        <v>1935</v>
      </c>
      <c r="D3192" s="1006" t="s">
        <v>1951</v>
      </c>
      <c r="E3192" s="1006" t="s">
        <v>9212</v>
      </c>
      <c r="F3192" s="465"/>
      <c r="G3192" s="1007">
        <v>1</v>
      </c>
      <c r="H3192" s="465"/>
      <c r="I3192" s="465"/>
      <c r="J3192" s="1008">
        <v>0</v>
      </c>
      <c r="K3192" s="1009">
        <v>0</v>
      </c>
    </row>
    <row r="3193" spans="1:11" ht="20.25" customHeight="1" x14ac:dyDescent="0.25">
      <c r="A3193" s="1006" t="s">
        <v>3514</v>
      </c>
      <c r="B3193" s="1007">
        <v>2025</v>
      </c>
      <c r="C3193" s="1006" t="s">
        <v>1935</v>
      </c>
      <c r="D3193" s="1006" t="s">
        <v>7801</v>
      </c>
      <c r="E3193" s="1006" t="s">
        <v>9213</v>
      </c>
      <c r="F3193" s="465"/>
      <c r="G3193" s="1007">
        <v>1</v>
      </c>
      <c r="H3193" s="465"/>
      <c r="I3193" s="465"/>
      <c r="J3193" s="1008">
        <v>0</v>
      </c>
      <c r="K3193" s="1009">
        <v>0</v>
      </c>
    </row>
    <row r="3194" spans="1:11" ht="20.25" customHeight="1" x14ac:dyDescent="0.25">
      <c r="A3194" s="1006" t="s">
        <v>3514</v>
      </c>
      <c r="B3194" s="1007">
        <v>2025</v>
      </c>
      <c r="C3194" s="1006" t="s">
        <v>1935</v>
      </c>
      <c r="D3194" s="1006" t="s">
        <v>3425</v>
      </c>
      <c r="E3194" s="1006" t="s">
        <v>9214</v>
      </c>
      <c r="F3194" s="465"/>
      <c r="G3194" s="1007">
        <v>0</v>
      </c>
      <c r="H3194" s="465"/>
      <c r="I3194" s="465"/>
      <c r="J3194" s="1008">
        <v>0</v>
      </c>
      <c r="K3194" s="1009">
        <v>0</v>
      </c>
    </row>
    <row r="3195" spans="1:11" ht="20.25" customHeight="1" x14ac:dyDescent="0.25">
      <c r="A3195" s="1006" t="s">
        <v>3514</v>
      </c>
      <c r="B3195" s="1007">
        <v>2025</v>
      </c>
      <c r="C3195" s="1006" t="s">
        <v>1935</v>
      </c>
      <c r="D3195" s="1006" t="s">
        <v>3426</v>
      </c>
      <c r="E3195" s="1006" t="s">
        <v>9215</v>
      </c>
      <c r="F3195" s="465"/>
      <c r="G3195" s="1007">
        <v>0</v>
      </c>
      <c r="H3195" s="465"/>
      <c r="I3195" s="465"/>
      <c r="J3195" s="1008">
        <v>0</v>
      </c>
      <c r="K3195" s="1009">
        <v>0</v>
      </c>
    </row>
    <row r="3196" spans="1:11" ht="20.25" customHeight="1" x14ac:dyDescent="0.25">
      <c r="A3196" s="1006" t="s">
        <v>3514</v>
      </c>
      <c r="B3196" s="1007">
        <v>2025</v>
      </c>
      <c r="C3196" s="1006" t="s">
        <v>1935</v>
      </c>
      <c r="D3196" s="1006" t="s">
        <v>3427</v>
      </c>
      <c r="E3196" s="1006" t="s">
        <v>9216</v>
      </c>
      <c r="F3196" s="465"/>
      <c r="G3196" s="1007">
        <v>0</v>
      </c>
      <c r="H3196" s="465"/>
      <c r="I3196" s="465"/>
      <c r="J3196" s="1008">
        <v>0</v>
      </c>
      <c r="K3196" s="1009">
        <v>0</v>
      </c>
    </row>
    <row r="3197" spans="1:11" ht="20.25" customHeight="1" x14ac:dyDescent="0.25">
      <c r="A3197" s="1006" t="s">
        <v>3514</v>
      </c>
      <c r="B3197" s="1007">
        <v>2025</v>
      </c>
      <c r="C3197" s="1006" t="s">
        <v>1935</v>
      </c>
      <c r="D3197" s="1006" t="s">
        <v>3428</v>
      </c>
      <c r="E3197" s="1006" t="s">
        <v>9214</v>
      </c>
      <c r="F3197" s="465"/>
      <c r="G3197" s="1007">
        <v>0</v>
      </c>
      <c r="H3197" s="465"/>
      <c r="I3197" s="465"/>
      <c r="J3197" s="1008">
        <v>0</v>
      </c>
      <c r="K3197" s="1009">
        <v>0</v>
      </c>
    </row>
    <row r="3198" spans="1:11" ht="20.25" customHeight="1" x14ac:dyDescent="0.25">
      <c r="A3198" s="1006" t="s">
        <v>3514</v>
      </c>
      <c r="B3198" s="1007">
        <v>2025</v>
      </c>
      <c r="C3198" s="1006" t="s">
        <v>1935</v>
      </c>
      <c r="D3198" s="1006" t="s">
        <v>3429</v>
      </c>
      <c r="E3198" s="1006" t="s">
        <v>9215</v>
      </c>
      <c r="F3198" s="465"/>
      <c r="G3198" s="1007">
        <v>0</v>
      </c>
      <c r="H3198" s="465"/>
      <c r="I3198" s="465"/>
      <c r="J3198" s="1008">
        <v>0</v>
      </c>
      <c r="K3198" s="1009">
        <v>0</v>
      </c>
    </row>
    <row r="3199" spans="1:11" ht="20.25" customHeight="1" x14ac:dyDescent="0.25">
      <c r="A3199" s="1006" t="s">
        <v>3514</v>
      </c>
      <c r="B3199" s="1007">
        <v>2025</v>
      </c>
      <c r="C3199" s="1006" t="s">
        <v>1935</v>
      </c>
      <c r="D3199" s="1006" t="s">
        <v>3430</v>
      </c>
      <c r="E3199" s="1006" t="s">
        <v>9216</v>
      </c>
      <c r="F3199" s="465"/>
      <c r="G3199" s="1007">
        <v>0</v>
      </c>
      <c r="H3199" s="465"/>
      <c r="I3199" s="465"/>
      <c r="J3199" s="1008">
        <v>0</v>
      </c>
      <c r="K3199" s="1009">
        <v>0</v>
      </c>
    </row>
    <row r="3200" spans="1:11" ht="20.25" customHeight="1" x14ac:dyDescent="0.25">
      <c r="A3200" s="1006" t="s">
        <v>3514</v>
      </c>
      <c r="B3200" s="1007">
        <v>2025</v>
      </c>
      <c r="C3200" s="1006" t="s">
        <v>1935</v>
      </c>
      <c r="D3200" s="1006" t="s">
        <v>3431</v>
      </c>
      <c r="E3200" s="1006" t="s">
        <v>9214</v>
      </c>
      <c r="F3200" s="465"/>
      <c r="G3200" s="1007">
        <v>0</v>
      </c>
      <c r="H3200" s="465"/>
      <c r="I3200" s="465"/>
      <c r="J3200" s="1008">
        <v>0</v>
      </c>
      <c r="K3200" s="1009">
        <v>0</v>
      </c>
    </row>
    <row r="3201" spans="1:11" ht="20.25" customHeight="1" x14ac:dyDescent="0.25">
      <c r="A3201" s="1006" t="s">
        <v>3514</v>
      </c>
      <c r="B3201" s="1007">
        <v>2025</v>
      </c>
      <c r="C3201" s="1006" t="s">
        <v>1935</v>
      </c>
      <c r="D3201" s="1006" t="s">
        <v>3432</v>
      </c>
      <c r="E3201" s="1006" t="s">
        <v>9215</v>
      </c>
      <c r="F3201" s="465"/>
      <c r="G3201" s="1007">
        <v>0</v>
      </c>
      <c r="H3201" s="465"/>
      <c r="I3201" s="465"/>
      <c r="J3201" s="1008">
        <v>0</v>
      </c>
      <c r="K3201" s="1009">
        <v>0</v>
      </c>
    </row>
    <row r="3202" spans="1:11" ht="20.25" customHeight="1" x14ac:dyDescent="0.25">
      <c r="A3202" s="1006" t="s">
        <v>3514</v>
      </c>
      <c r="B3202" s="1007">
        <v>2025</v>
      </c>
      <c r="C3202" s="1006" t="s">
        <v>1935</v>
      </c>
      <c r="D3202" s="1006" t="s">
        <v>3433</v>
      </c>
      <c r="E3202" s="1006" t="s">
        <v>9216</v>
      </c>
      <c r="F3202" s="465"/>
      <c r="G3202" s="1007">
        <v>0</v>
      </c>
      <c r="H3202" s="465"/>
      <c r="I3202" s="465"/>
      <c r="J3202" s="1008">
        <v>0</v>
      </c>
      <c r="K3202" s="1009">
        <v>0</v>
      </c>
    </row>
    <row r="3203" spans="1:11" ht="20.25" customHeight="1" x14ac:dyDescent="0.25">
      <c r="A3203" s="1006" t="s">
        <v>3524</v>
      </c>
      <c r="B3203" s="1007">
        <v>2025</v>
      </c>
      <c r="C3203" s="1006" t="s">
        <v>1887</v>
      </c>
      <c r="D3203" s="1006" t="s">
        <v>138</v>
      </c>
      <c r="E3203" s="1006" t="s">
        <v>3525</v>
      </c>
      <c r="F3203" s="465"/>
      <c r="G3203" s="1007">
        <v>1</v>
      </c>
      <c r="H3203" s="465"/>
      <c r="I3203" s="465"/>
      <c r="J3203" s="1008">
        <v>0</v>
      </c>
      <c r="K3203" s="1009">
        <v>0</v>
      </c>
    </row>
    <row r="3204" spans="1:11" ht="20.25" customHeight="1" x14ac:dyDescent="0.25">
      <c r="A3204" s="1006" t="s">
        <v>3524</v>
      </c>
      <c r="B3204" s="1007">
        <v>2025</v>
      </c>
      <c r="C3204" s="1006" t="s">
        <v>1889</v>
      </c>
      <c r="D3204" s="1006" t="s">
        <v>139</v>
      </c>
      <c r="E3204" s="1006" t="s">
        <v>3526</v>
      </c>
      <c r="F3204" s="465"/>
      <c r="G3204" s="1007">
        <v>1</v>
      </c>
      <c r="H3204" s="465"/>
      <c r="I3204" s="465"/>
      <c r="J3204" s="1008">
        <v>0</v>
      </c>
      <c r="K3204" s="1009">
        <v>0</v>
      </c>
    </row>
    <row r="3205" spans="1:11" ht="20.25" customHeight="1" x14ac:dyDescent="0.25">
      <c r="A3205" s="1006" t="s">
        <v>3524</v>
      </c>
      <c r="B3205" s="1007">
        <v>2025</v>
      </c>
      <c r="C3205" s="1006" t="s">
        <v>1891</v>
      </c>
      <c r="D3205" s="1006" t="s">
        <v>1894</v>
      </c>
      <c r="E3205" s="1006" t="s">
        <v>3527</v>
      </c>
      <c r="F3205" s="465"/>
      <c r="G3205" s="1007">
        <v>0</v>
      </c>
      <c r="H3205" s="465"/>
      <c r="I3205" s="465"/>
      <c r="J3205" s="1008">
        <v>0</v>
      </c>
      <c r="K3205" s="1009">
        <v>0</v>
      </c>
    </row>
    <row r="3206" spans="1:11" ht="20.25" customHeight="1" x14ac:dyDescent="0.25">
      <c r="A3206" s="1006" t="s">
        <v>3524</v>
      </c>
      <c r="B3206" s="1007">
        <v>2025</v>
      </c>
      <c r="C3206" s="1006" t="s">
        <v>1913</v>
      </c>
      <c r="D3206" s="1006" t="s">
        <v>1914</v>
      </c>
      <c r="E3206" s="1006" t="s">
        <v>3528</v>
      </c>
      <c r="F3206" s="465"/>
      <c r="G3206" s="1007">
        <v>1</v>
      </c>
      <c r="H3206" s="465"/>
      <c r="I3206" s="465"/>
      <c r="J3206" s="1008">
        <v>0</v>
      </c>
      <c r="K3206" s="1009">
        <v>0</v>
      </c>
    </row>
    <row r="3207" spans="1:11" ht="20.25" customHeight="1" x14ac:dyDescent="0.25">
      <c r="A3207" s="1006" t="s">
        <v>3524</v>
      </c>
      <c r="B3207" s="1007">
        <v>2025</v>
      </c>
      <c r="C3207" s="1006" t="s">
        <v>1913</v>
      </c>
      <c r="D3207" s="1006" t="s">
        <v>1916</v>
      </c>
      <c r="E3207" s="1006" t="s">
        <v>3528</v>
      </c>
      <c r="F3207" s="465"/>
      <c r="G3207" s="1007">
        <v>0</v>
      </c>
      <c r="H3207" s="465"/>
      <c r="I3207" s="465"/>
      <c r="J3207" s="1008">
        <v>0</v>
      </c>
      <c r="K3207" s="1009">
        <v>0</v>
      </c>
    </row>
    <row r="3208" spans="1:11" ht="20.25" customHeight="1" x14ac:dyDescent="0.25">
      <c r="A3208" s="1006" t="s">
        <v>3524</v>
      </c>
      <c r="B3208" s="1007">
        <v>2025</v>
      </c>
      <c r="C3208" s="1006" t="s">
        <v>1913</v>
      </c>
      <c r="D3208" s="1006" t="s">
        <v>1917</v>
      </c>
      <c r="E3208" s="1006" t="s">
        <v>3528</v>
      </c>
      <c r="F3208" s="465"/>
      <c r="G3208" s="1007">
        <v>0</v>
      </c>
      <c r="H3208" s="465"/>
      <c r="I3208" s="465"/>
      <c r="J3208" s="1008">
        <v>0</v>
      </c>
      <c r="K3208" s="1009">
        <v>0</v>
      </c>
    </row>
    <row r="3209" spans="1:11" ht="20.25" customHeight="1" x14ac:dyDescent="0.25">
      <c r="A3209" s="1006" t="s">
        <v>3524</v>
      </c>
      <c r="B3209" s="1007">
        <v>2025</v>
      </c>
      <c r="C3209" s="1006" t="s">
        <v>1913</v>
      </c>
      <c r="D3209" s="1006" t="s">
        <v>1918</v>
      </c>
      <c r="E3209" s="1006" t="s">
        <v>3528</v>
      </c>
      <c r="F3209" s="465"/>
      <c r="G3209" s="1007">
        <v>0</v>
      </c>
      <c r="H3209" s="465"/>
      <c r="I3209" s="465"/>
      <c r="J3209" s="1008">
        <v>0</v>
      </c>
      <c r="K3209" s="1009">
        <v>0</v>
      </c>
    </row>
    <row r="3210" spans="1:11" ht="20.25" customHeight="1" x14ac:dyDescent="0.25">
      <c r="A3210" s="1006" t="s">
        <v>3524</v>
      </c>
      <c r="B3210" s="1007">
        <v>2025</v>
      </c>
      <c r="C3210" s="1006" t="s">
        <v>1913</v>
      </c>
      <c r="D3210" s="1006" t="s">
        <v>1919</v>
      </c>
      <c r="E3210" s="1006" t="s">
        <v>3528</v>
      </c>
      <c r="F3210" s="465"/>
      <c r="G3210" s="1007">
        <v>0</v>
      </c>
      <c r="H3210" s="465"/>
      <c r="I3210" s="465"/>
      <c r="J3210" s="1008">
        <v>0</v>
      </c>
      <c r="K3210" s="1009">
        <v>0</v>
      </c>
    </row>
    <row r="3211" spans="1:11" ht="20.25" customHeight="1" x14ac:dyDescent="0.25">
      <c r="A3211" s="1006" t="s">
        <v>3524</v>
      </c>
      <c r="B3211" s="1007">
        <v>2025</v>
      </c>
      <c r="C3211" s="1006" t="s">
        <v>1923</v>
      </c>
      <c r="D3211" s="1006" t="s">
        <v>143</v>
      </c>
      <c r="E3211" s="1006" t="s">
        <v>3529</v>
      </c>
      <c r="F3211" s="465"/>
      <c r="G3211" s="1007">
        <v>1</v>
      </c>
      <c r="H3211" s="465"/>
      <c r="I3211" s="465"/>
      <c r="J3211" s="1008">
        <v>0</v>
      </c>
      <c r="K3211" s="1009">
        <v>0</v>
      </c>
    </row>
    <row r="3212" spans="1:11" ht="20.25" customHeight="1" x14ac:dyDescent="0.25">
      <c r="A3212" s="1006" t="s">
        <v>3524</v>
      </c>
      <c r="B3212" s="1007">
        <v>2025</v>
      </c>
      <c r="C3212" s="1006" t="s">
        <v>1925</v>
      </c>
      <c r="D3212" s="1006" t="s">
        <v>144</v>
      </c>
      <c r="E3212" s="1006" t="s">
        <v>3530</v>
      </c>
      <c r="F3212" s="465"/>
      <c r="G3212" s="1007">
        <v>1</v>
      </c>
      <c r="H3212" s="465"/>
      <c r="I3212" s="465"/>
      <c r="J3212" s="1008">
        <v>0</v>
      </c>
      <c r="K3212" s="1009">
        <v>0</v>
      </c>
    </row>
    <row r="3213" spans="1:11" ht="20.25" customHeight="1" x14ac:dyDescent="0.25">
      <c r="A3213" s="1006" t="s">
        <v>3524</v>
      </c>
      <c r="B3213" s="1007">
        <v>2025</v>
      </c>
      <c r="C3213" s="1006" t="s">
        <v>1927</v>
      </c>
      <c r="D3213" s="1006" t="s">
        <v>1928</v>
      </c>
      <c r="E3213" s="1006" t="s">
        <v>3531</v>
      </c>
      <c r="F3213" s="465"/>
      <c r="G3213" s="1007">
        <v>1</v>
      </c>
      <c r="H3213" s="465"/>
      <c r="I3213" s="465"/>
      <c r="J3213" s="1008">
        <v>0</v>
      </c>
      <c r="K3213" s="1009">
        <v>0</v>
      </c>
    </row>
    <row r="3214" spans="1:11" ht="20.25" customHeight="1" x14ac:dyDescent="0.25">
      <c r="A3214" s="1006" t="s">
        <v>3524</v>
      </c>
      <c r="B3214" s="1007">
        <v>2025</v>
      </c>
      <c r="C3214" s="1006" t="s">
        <v>1930</v>
      </c>
      <c r="D3214" s="1006" t="s">
        <v>156</v>
      </c>
      <c r="E3214" s="1006" t="s">
        <v>3532</v>
      </c>
      <c r="F3214" s="465"/>
      <c r="G3214" s="1007">
        <v>1</v>
      </c>
      <c r="H3214" s="465"/>
      <c r="I3214" s="465"/>
      <c r="J3214" s="1008">
        <v>0</v>
      </c>
      <c r="K3214" s="1009">
        <v>0</v>
      </c>
    </row>
    <row r="3215" spans="1:11" ht="20.25" customHeight="1" x14ac:dyDescent="0.25">
      <c r="A3215" s="1006" t="s">
        <v>3524</v>
      </c>
      <c r="B3215" s="1007">
        <v>2025</v>
      </c>
      <c r="C3215" s="1006" t="s">
        <v>1932</v>
      </c>
      <c r="D3215" s="1006" t="s">
        <v>3423</v>
      </c>
      <c r="E3215" s="1006" t="s">
        <v>3533</v>
      </c>
      <c r="F3215" s="465"/>
      <c r="G3215" s="1007">
        <v>0</v>
      </c>
      <c r="H3215" s="465"/>
      <c r="I3215" s="465"/>
      <c r="J3215" s="1008">
        <v>0</v>
      </c>
      <c r="K3215" s="1009">
        <v>0</v>
      </c>
    </row>
    <row r="3216" spans="1:11" ht="20.25" customHeight="1" x14ac:dyDescent="0.25">
      <c r="A3216" s="1006" t="s">
        <v>3524</v>
      </c>
      <c r="B3216" s="1007">
        <v>2025</v>
      </c>
      <c r="C3216" s="1006" t="s">
        <v>1935</v>
      </c>
      <c r="D3216" s="1006" t="s">
        <v>1936</v>
      </c>
      <c r="E3216" s="1006" t="s">
        <v>9217</v>
      </c>
      <c r="F3216" s="465"/>
      <c r="G3216" s="1007">
        <v>1</v>
      </c>
      <c r="H3216" s="465"/>
      <c r="I3216" s="465"/>
      <c r="J3216" s="1008">
        <v>0</v>
      </c>
      <c r="K3216" s="1009">
        <v>0</v>
      </c>
    </row>
    <row r="3217" spans="1:11" ht="20.25" customHeight="1" x14ac:dyDescent="0.25">
      <c r="A3217" s="1006" t="s">
        <v>3524</v>
      </c>
      <c r="B3217" s="1007">
        <v>2025</v>
      </c>
      <c r="C3217" s="1006" t="s">
        <v>1935</v>
      </c>
      <c r="D3217" s="1006" t="s">
        <v>1937</v>
      </c>
      <c r="E3217" s="1006" t="s">
        <v>9218</v>
      </c>
      <c r="F3217" s="465"/>
      <c r="G3217" s="1007">
        <v>1</v>
      </c>
      <c r="H3217" s="465"/>
      <c r="I3217" s="465"/>
      <c r="J3217" s="1008">
        <v>0</v>
      </c>
      <c r="K3217" s="1009">
        <v>0</v>
      </c>
    </row>
    <row r="3218" spans="1:11" ht="20.25" customHeight="1" x14ac:dyDescent="0.25">
      <c r="A3218" s="1006" t="s">
        <v>3524</v>
      </c>
      <c r="B3218" s="1007">
        <v>2025</v>
      </c>
      <c r="C3218" s="1006" t="s">
        <v>1935</v>
      </c>
      <c r="D3218" s="1006" t="s">
        <v>1938</v>
      </c>
      <c r="E3218" s="1006" t="s">
        <v>9219</v>
      </c>
      <c r="F3218" s="465"/>
      <c r="G3218" s="1007">
        <v>1</v>
      </c>
      <c r="H3218" s="465"/>
      <c r="I3218" s="465"/>
      <c r="J3218" s="1008">
        <v>0</v>
      </c>
      <c r="K3218" s="1009">
        <v>0</v>
      </c>
    </row>
    <row r="3219" spans="1:11" ht="20.25" customHeight="1" x14ac:dyDescent="0.25">
      <c r="A3219" s="1006" t="s">
        <v>3524</v>
      </c>
      <c r="B3219" s="1007">
        <v>2025</v>
      </c>
      <c r="C3219" s="1006" t="s">
        <v>1935</v>
      </c>
      <c r="D3219" s="1006" t="s">
        <v>1939</v>
      </c>
      <c r="E3219" s="1006" t="s">
        <v>9220</v>
      </c>
      <c r="F3219" s="465"/>
      <c r="G3219" s="1007">
        <v>1</v>
      </c>
      <c r="H3219" s="465"/>
      <c r="I3219" s="465"/>
      <c r="J3219" s="1008">
        <v>0</v>
      </c>
      <c r="K3219" s="1009">
        <v>0</v>
      </c>
    </row>
    <row r="3220" spans="1:11" ht="20.25" customHeight="1" x14ac:dyDescent="0.25">
      <c r="A3220" s="1006" t="s">
        <v>3524</v>
      </c>
      <c r="B3220" s="1007">
        <v>2025</v>
      </c>
      <c r="C3220" s="1006" t="s">
        <v>1935</v>
      </c>
      <c r="D3220" s="1006" t="s">
        <v>1940</v>
      </c>
      <c r="E3220" s="1006" t="s">
        <v>9221</v>
      </c>
      <c r="F3220" s="465"/>
      <c r="G3220" s="1007">
        <v>1</v>
      </c>
      <c r="H3220" s="465"/>
      <c r="I3220" s="465"/>
      <c r="J3220" s="1008">
        <v>0</v>
      </c>
      <c r="K3220" s="1009">
        <v>0</v>
      </c>
    </row>
    <row r="3221" spans="1:11" ht="20.25" customHeight="1" x14ac:dyDescent="0.25">
      <c r="A3221" s="1006" t="s">
        <v>3524</v>
      </c>
      <c r="B3221" s="1007">
        <v>2025</v>
      </c>
      <c r="C3221" s="1006" t="s">
        <v>1935</v>
      </c>
      <c r="D3221" s="1006" t="s">
        <v>1941</v>
      </c>
      <c r="E3221" s="1006" t="s">
        <v>9222</v>
      </c>
      <c r="F3221" s="465"/>
      <c r="G3221" s="1007">
        <v>1</v>
      </c>
      <c r="H3221" s="465"/>
      <c r="I3221" s="465"/>
      <c r="J3221" s="1008">
        <v>0</v>
      </c>
      <c r="K3221" s="1009">
        <v>0</v>
      </c>
    </row>
    <row r="3222" spans="1:11" ht="20.25" customHeight="1" x14ac:dyDescent="0.25">
      <c r="A3222" s="1006" t="s">
        <v>3524</v>
      </c>
      <c r="B3222" s="1007">
        <v>2025</v>
      </c>
      <c r="C3222" s="1006" t="s">
        <v>1935</v>
      </c>
      <c r="D3222" s="1006" t="s">
        <v>1942</v>
      </c>
      <c r="E3222" s="1006" t="s">
        <v>9223</v>
      </c>
      <c r="F3222" s="465"/>
      <c r="G3222" s="1007">
        <v>1</v>
      </c>
      <c r="H3222" s="465"/>
      <c r="I3222" s="465"/>
      <c r="J3222" s="1008">
        <v>0</v>
      </c>
      <c r="K3222" s="1009">
        <v>0</v>
      </c>
    </row>
    <row r="3223" spans="1:11" ht="20.25" customHeight="1" x14ac:dyDescent="0.25">
      <c r="A3223" s="1006" t="s">
        <v>3524</v>
      </c>
      <c r="B3223" s="1007">
        <v>2025</v>
      </c>
      <c r="C3223" s="1006" t="s">
        <v>1935</v>
      </c>
      <c r="D3223" s="1006" t="s">
        <v>1943</v>
      </c>
      <c r="E3223" s="1006" t="s">
        <v>9224</v>
      </c>
      <c r="F3223" s="465"/>
      <c r="G3223" s="1007">
        <v>1</v>
      </c>
      <c r="H3223" s="465"/>
      <c r="I3223" s="465"/>
      <c r="J3223" s="1008">
        <v>0</v>
      </c>
      <c r="K3223" s="1009">
        <v>0</v>
      </c>
    </row>
    <row r="3224" spans="1:11" ht="20.25" customHeight="1" x14ac:dyDescent="0.25">
      <c r="A3224" s="1006" t="s">
        <v>3524</v>
      </c>
      <c r="B3224" s="1007">
        <v>2025</v>
      </c>
      <c r="C3224" s="1006" t="s">
        <v>1935</v>
      </c>
      <c r="D3224" s="1006" t="s">
        <v>1944</v>
      </c>
      <c r="E3224" s="1006" t="s">
        <v>9225</v>
      </c>
      <c r="F3224" s="465"/>
      <c r="G3224" s="1007">
        <v>1</v>
      </c>
      <c r="H3224" s="465"/>
      <c r="I3224" s="465"/>
      <c r="J3224" s="1008">
        <v>0</v>
      </c>
      <c r="K3224" s="1009">
        <v>0</v>
      </c>
    </row>
    <row r="3225" spans="1:11" ht="20.25" customHeight="1" x14ac:dyDescent="0.25">
      <c r="A3225" s="1006" t="s">
        <v>3524</v>
      </c>
      <c r="B3225" s="1007">
        <v>2025</v>
      </c>
      <c r="C3225" s="1006" t="s">
        <v>1935</v>
      </c>
      <c r="D3225" s="1006" t="s">
        <v>1945</v>
      </c>
      <c r="E3225" s="1006" t="s">
        <v>9226</v>
      </c>
      <c r="F3225" s="465"/>
      <c r="G3225" s="1007">
        <v>1</v>
      </c>
      <c r="H3225" s="465"/>
      <c r="I3225" s="465"/>
      <c r="J3225" s="1008">
        <v>0</v>
      </c>
      <c r="K3225" s="1009">
        <v>0</v>
      </c>
    </row>
    <row r="3226" spans="1:11" ht="20.25" customHeight="1" x14ac:dyDescent="0.25">
      <c r="A3226" s="1006" t="s">
        <v>3524</v>
      </c>
      <c r="B3226" s="1007">
        <v>2025</v>
      </c>
      <c r="C3226" s="1006" t="s">
        <v>1935</v>
      </c>
      <c r="D3226" s="1006" t="s">
        <v>1946</v>
      </c>
      <c r="E3226" s="1006" t="s">
        <v>9227</v>
      </c>
      <c r="F3226" s="465"/>
      <c r="G3226" s="1007">
        <v>1</v>
      </c>
      <c r="H3226" s="465"/>
      <c r="I3226" s="465"/>
      <c r="J3226" s="1008">
        <v>0</v>
      </c>
      <c r="K3226" s="1009">
        <v>0</v>
      </c>
    </row>
    <row r="3227" spans="1:11" ht="20.25" customHeight="1" x14ac:dyDescent="0.25">
      <c r="A3227" s="1006" t="s">
        <v>3524</v>
      </c>
      <c r="B3227" s="1007">
        <v>2025</v>
      </c>
      <c r="C3227" s="1006" t="s">
        <v>1935</v>
      </c>
      <c r="D3227" s="1006" t="s">
        <v>1947</v>
      </c>
      <c r="E3227" s="1006" t="s">
        <v>9228</v>
      </c>
      <c r="F3227" s="465"/>
      <c r="G3227" s="1007">
        <v>1</v>
      </c>
      <c r="H3227" s="465"/>
      <c r="I3227" s="465"/>
      <c r="J3227" s="1008">
        <v>0</v>
      </c>
      <c r="K3227" s="1009">
        <v>0</v>
      </c>
    </row>
    <row r="3228" spans="1:11" ht="20.25" customHeight="1" x14ac:dyDescent="0.25">
      <c r="A3228" s="1006" t="s">
        <v>3524</v>
      </c>
      <c r="B3228" s="1007">
        <v>2025</v>
      </c>
      <c r="C3228" s="1006" t="s">
        <v>1935</v>
      </c>
      <c r="D3228" s="1006" t="s">
        <v>1948</v>
      </c>
      <c r="E3228" s="1006" t="s">
        <v>9229</v>
      </c>
      <c r="F3228" s="465"/>
      <c r="G3228" s="1007">
        <v>1</v>
      </c>
      <c r="H3228" s="465"/>
      <c r="I3228" s="465"/>
      <c r="J3228" s="1008">
        <v>0</v>
      </c>
      <c r="K3228" s="1009">
        <v>0</v>
      </c>
    </row>
    <row r="3229" spans="1:11" ht="20.25" customHeight="1" x14ac:dyDescent="0.25">
      <c r="A3229" s="1006" t="s">
        <v>3524</v>
      </c>
      <c r="B3229" s="1007">
        <v>2025</v>
      </c>
      <c r="C3229" s="1006" t="s">
        <v>1935</v>
      </c>
      <c r="D3229" s="1006" t="s">
        <v>1949</v>
      </c>
      <c r="E3229" s="1006" t="s">
        <v>9230</v>
      </c>
      <c r="F3229" s="465"/>
      <c r="G3229" s="1007">
        <v>1</v>
      </c>
      <c r="H3229" s="465"/>
      <c r="I3229" s="465"/>
      <c r="J3229" s="1008">
        <v>0</v>
      </c>
      <c r="K3229" s="1009">
        <v>0</v>
      </c>
    </row>
    <row r="3230" spans="1:11" ht="20.25" customHeight="1" x14ac:dyDescent="0.25">
      <c r="A3230" s="1006" t="s">
        <v>3524</v>
      </c>
      <c r="B3230" s="1007">
        <v>2025</v>
      </c>
      <c r="C3230" s="1006" t="s">
        <v>1935</v>
      </c>
      <c r="D3230" s="1006" t="s">
        <v>1950</v>
      </c>
      <c r="E3230" s="1006" t="s">
        <v>9231</v>
      </c>
      <c r="F3230" s="465"/>
      <c r="G3230" s="1007">
        <v>1</v>
      </c>
      <c r="H3230" s="465"/>
      <c r="I3230" s="465"/>
      <c r="J3230" s="1008">
        <v>0</v>
      </c>
      <c r="K3230" s="1009">
        <v>0</v>
      </c>
    </row>
    <row r="3231" spans="1:11" ht="20.25" customHeight="1" x14ac:dyDescent="0.25">
      <c r="A3231" s="1006" t="s">
        <v>3524</v>
      </c>
      <c r="B3231" s="1007">
        <v>2025</v>
      </c>
      <c r="C3231" s="1006" t="s">
        <v>1935</v>
      </c>
      <c r="D3231" s="1006" t="s">
        <v>1951</v>
      </c>
      <c r="E3231" s="1006" t="s">
        <v>9232</v>
      </c>
      <c r="F3231" s="465"/>
      <c r="G3231" s="1007">
        <v>1</v>
      </c>
      <c r="H3231" s="465"/>
      <c r="I3231" s="465"/>
      <c r="J3231" s="1008">
        <v>0</v>
      </c>
      <c r="K3231" s="1009">
        <v>0</v>
      </c>
    </row>
    <row r="3232" spans="1:11" ht="20.25" customHeight="1" x14ac:dyDescent="0.25">
      <c r="A3232" s="1006" t="s">
        <v>3524</v>
      </c>
      <c r="B3232" s="1007">
        <v>2025</v>
      </c>
      <c r="C3232" s="1006" t="s">
        <v>1935</v>
      </c>
      <c r="D3232" s="1006" t="s">
        <v>7801</v>
      </c>
      <c r="E3232" s="1006" t="s">
        <v>9233</v>
      </c>
      <c r="F3232" s="465"/>
      <c r="G3232" s="1007">
        <v>1</v>
      </c>
      <c r="H3232" s="465"/>
      <c r="I3232" s="465"/>
      <c r="J3232" s="1008">
        <v>0</v>
      </c>
      <c r="K3232" s="1009">
        <v>0</v>
      </c>
    </row>
    <row r="3233" spans="1:11" ht="20.25" customHeight="1" x14ac:dyDescent="0.25">
      <c r="A3233" s="1006" t="s">
        <v>3524</v>
      </c>
      <c r="B3233" s="1007">
        <v>2025</v>
      </c>
      <c r="C3233" s="1006" t="s">
        <v>1935</v>
      </c>
      <c r="D3233" s="1006" t="s">
        <v>3425</v>
      </c>
      <c r="E3233" s="1006" t="s">
        <v>9234</v>
      </c>
      <c r="F3233" s="465"/>
      <c r="G3233" s="1007">
        <v>0</v>
      </c>
      <c r="H3233" s="465"/>
      <c r="I3233" s="465"/>
      <c r="J3233" s="1008">
        <v>0</v>
      </c>
      <c r="K3233" s="1009">
        <v>0</v>
      </c>
    </row>
    <row r="3234" spans="1:11" ht="20.25" customHeight="1" x14ac:dyDescent="0.25">
      <c r="A3234" s="1006" t="s">
        <v>3524</v>
      </c>
      <c r="B3234" s="1007">
        <v>2025</v>
      </c>
      <c r="C3234" s="1006" t="s">
        <v>1935</v>
      </c>
      <c r="D3234" s="1006" t="s">
        <v>3426</v>
      </c>
      <c r="E3234" s="1006" t="s">
        <v>9235</v>
      </c>
      <c r="F3234" s="465"/>
      <c r="G3234" s="1007">
        <v>0</v>
      </c>
      <c r="H3234" s="465"/>
      <c r="I3234" s="465"/>
      <c r="J3234" s="1008">
        <v>0</v>
      </c>
      <c r="K3234" s="1009">
        <v>0</v>
      </c>
    </row>
    <row r="3235" spans="1:11" ht="20.25" customHeight="1" x14ac:dyDescent="0.25">
      <c r="A3235" s="1006" t="s">
        <v>3524</v>
      </c>
      <c r="B3235" s="1007">
        <v>2025</v>
      </c>
      <c r="C3235" s="1006" t="s">
        <v>1935</v>
      </c>
      <c r="D3235" s="1006" t="s">
        <v>3427</v>
      </c>
      <c r="E3235" s="1006" t="s">
        <v>9236</v>
      </c>
      <c r="F3235" s="465"/>
      <c r="G3235" s="1007">
        <v>0</v>
      </c>
      <c r="H3235" s="465"/>
      <c r="I3235" s="465"/>
      <c r="J3235" s="1008">
        <v>0</v>
      </c>
      <c r="K3235" s="1009">
        <v>0</v>
      </c>
    </row>
    <row r="3236" spans="1:11" ht="20.25" customHeight="1" x14ac:dyDescent="0.25">
      <c r="A3236" s="1006" t="s">
        <v>3524</v>
      </c>
      <c r="B3236" s="1007">
        <v>2025</v>
      </c>
      <c r="C3236" s="1006" t="s">
        <v>1935</v>
      </c>
      <c r="D3236" s="1006" t="s">
        <v>3428</v>
      </c>
      <c r="E3236" s="1006" t="s">
        <v>9234</v>
      </c>
      <c r="F3236" s="465"/>
      <c r="G3236" s="1007">
        <v>0</v>
      </c>
      <c r="H3236" s="465"/>
      <c r="I3236" s="465"/>
      <c r="J3236" s="1008">
        <v>0</v>
      </c>
      <c r="K3236" s="1009">
        <v>0</v>
      </c>
    </row>
    <row r="3237" spans="1:11" ht="20.25" customHeight="1" x14ac:dyDescent="0.25">
      <c r="A3237" s="1006" t="s">
        <v>3524</v>
      </c>
      <c r="B3237" s="1007">
        <v>2025</v>
      </c>
      <c r="C3237" s="1006" t="s">
        <v>1935</v>
      </c>
      <c r="D3237" s="1006" t="s">
        <v>3429</v>
      </c>
      <c r="E3237" s="1006" t="s">
        <v>9235</v>
      </c>
      <c r="F3237" s="465"/>
      <c r="G3237" s="1007">
        <v>0</v>
      </c>
      <c r="H3237" s="465"/>
      <c r="I3237" s="465"/>
      <c r="J3237" s="1008">
        <v>0</v>
      </c>
      <c r="K3237" s="1009">
        <v>0</v>
      </c>
    </row>
    <row r="3238" spans="1:11" ht="20.25" customHeight="1" x14ac:dyDescent="0.25">
      <c r="A3238" s="1006" t="s">
        <v>3524</v>
      </c>
      <c r="B3238" s="1007">
        <v>2025</v>
      </c>
      <c r="C3238" s="1006" t="s">
        <v>1935</v>
      </c>
      <c r="D3238" s="1006" t="s">
        <v>3430</v>
      </c>
      <c r="E3238" s="1006" t="s">
        <v>9236</v>
      </c>
      <c r="F3238" s="465"/>
      <c r="G3238" s="1007">
        <v>0</v>
      </c>
      <c r="H3238" s="465"/>
      <c r="I3238" s="465"/>
      <c r="J3238" s="1008">
        <v>0</v>
      </c>
      <c r="K3238" s="1009">
        <v>0</v>
      </c>
    </row>
    <row r="3239" spans="1:11" ht="20.25" customHeight="1" x14ac:dyDescent="0.25">
      <c r="A3239" s="1006" t="s">
        <v>3524</v>
      </c>
      <c r="B3239" s="1007">
        <v>2025</v>
      </c>
      <c r="C3239" s="1006" t="s">
        <v>1935</v>
      </c>
      <c r="D3239" s="1006" t="s">
        <v>3431</v>
      </c>
      <c r="E3239" s="1006" t="s">
        <v>9234</v>
      </c>
      <c r="F3239" s="465"/>
      <c r="G3239" s="1007">
        <v>0</v>
      </c>
      <c r="H3239" s="465"/>
      <c r="I3239" s="465"/>
      <c r="J3239" s="1008">
        <v>0</v>
      </c>
      <c r="K3239" s="1009">
        <v>0</v>
      </c>
    </row>
    <row r="3240" spans="1:11" ht="20.25" customHeight="1" x14ac:dyDescent="0.25">
      <c r="A3240" s="1006" t="s">
        <v>3524</v>
      </c>
      <c r="B3240" s="1007">
        <v>2025</v>
      </c>
      <c r="C3240" s="1006" t="s">
        <v>1935</v>
      </c>
      <c r="D3240" s="1006" t="s">
        <v>3432</v>
      </c>
      <c r="E3240" s="1006" t="s">
        <v>9235</v>
      </c>
      <c r="F3240" s="465"/>
      <c r="G3240" s="1007">
        <v>0</v>
      </c>
      <c r="H3240" s="465"/>
      <c r="I3240" s="465"/>
      <c r="J3240" s="1008">
        <v>0</v>
      </c>
      <c r="K3240" s="1009">
        <v>0</v>
      </c>
    </row>
    <row r="3241" spans="1:11" ht="20.25" customHeight="1" x14ac:dyDescent="0.25">
      <c r="A3241" s="1006" t="s">
        <v>3524</v>
      </c>
      <c r="B3241" s="1007">
        <v>2025</v>
      </c>
      <c r="C3241" s="1006" t="s">
        <v>1935</v>
      </c>
      <c r="D3241" s="1006" t="s">
        <v>3433</v>
      </c>
      <c r="E3241" s="1006" t="s">
        <v>9236</v>
      </c>
      <c r="F3241" s="465"/>
      <c r="G3241" s="1007">
        <v>0</v>
      </c>
      <c r="H3241" s="465"/>
      <c r="I3241" s="465"/>
      <c r="J3241" s="1008">
        <v>0</v>
      </c>
      <c r="K3241" s="1009">
        <v>0</v>
      </c>
    </row>
    <row r="3242" spans="1:11" ht="20.25" customHeight="1" x14ac:dyDescent="0.25">
      <c r="A3242" s="1006" t="s">
        <v>3534</v>
      </c>
      <c r="B3242" s="1007">
        <v>2025</v>
      </c>
      <c r="C3242" s="1006" t="s">
        <v>1887</v>
      </c>
      <c r="D3242" s="1006" t="s">
        <v>138</v>
      </c>
      <c r="E3242" s="1006" t="s">
        <v>3535</v>
      </c>
      <c r="F3242" s="465"/>
      <c r="G3242" s="1007">
        <v>1</v>
      </c>
      <c r="H3242" s="465"/>
      <c r="I3242" s="465"/>
      <c r="J3242" s="1008">
        <v>0</v>
      </c>
      <c r="K3242" s="1009">
        <v>0</v>
      </c>
    </row>
    <row r="3243" spans="1:11" ht="20.25" customHeight="1" x14ac:dyDescent="0.25">
      <c r="A3243" s="1006" t="s">
        <v>3534</v>
      </c>
      <c r="B3243" s="1007">
        <v>2025</v>
      </c>
      <c r="C3243" s="1006" t="s">
        <v>1889</v>
      </c>
      <c r="D3243" s="1006" t="s">
        <v>139</v>
      </c>
      <c r="E3243" s="1006" t="s">
        <v>3536</v>
      </c>
      <c r="F3243" s="465"/>
      <c r="G3243" s="1007">
        <v>1</v>
      </c>
      <c r="H3243" s="465"/>
      <c r="I3243" s="465"/>
      <c r="J3243" s="1008">
        <v>0</v>
      </c>
      <c r="K3243" s="1009">
        <v>0</v>
      </c>
    </row>
    <row r="3244" spans="1:11" ht="20.25" customHeight="1" x14ac:dyDescent="0.25">
      <c r="A3244" s="1006" t="s">
        <v>3534</v>
      </c>
      <c r="B3244" s="1007">
        <v>2025</v>
      </c>
      <c r="C3244" s="1006" t="s">
        <v>1891</v>
      </c>
      <c r="D3244" s="1006" t="s">
        <v>1894</v>
      </c>
      <c r="E3244" s="1006" t="s">
        <v>3537</v>
      </c>
      <c r="F3244" s="465"/>
      <c r="G3244" s="1007">
        <v>0</v>
      </c>
      <c r="H3244" s="465"/>
      <c r="I3244" s="465"/>
      <c r="J3244" s="1008">
        <v>0</v>
      </c>
      <c r="K3244" s="1009">
        <v>0</v>
      </c>
    </row>
    <row r="3245" spans="1:11" ht="20.25" customHeight="1" x14ac:dyDescent="0.25">
      <c r="A3245" s="1006" t="s">
        <v>3534</v>
      </c>
      <c r="B3245" s="1007">
        <v>2025</v>
      </c>
      <c r="C3245" s="1006" t="s">
        <v>1913</v>
      </c>
      <c r="D3245" s="1006" t="s">
        <v>1914</v>
      </c>
      <c r="E3245" s="1006" t="s">
        <v>3538</v>
      </c>
      <c r="F3245" s="465"/>
      <c r="G3245" s="1007">
        <v>1</v>
      </c>
      <c r="H3245" s="465"/>
      <c r="I3245" s="465"/>
      <c r="J3245" s="1008">
        <v>0</v>
      </c>
      <c r="K3245" s="1009">
        <v>0</v>
      </c>
    </row>
    <row r="3246" spans="1:11" ht="20.25" customHeight="1" x14ac:dyDescent="0.25">
      <c r="A3246" s="1006" t="s">
        <v>3534</v>
      </c>
      <c r="B3246" s="1007">
        <v>2025</v>
      </c>
      <c r="C3246" s="1006" t="s">
        <v>1913</v>
      </c>
      <c r="D3246" s="1006" t="s">
        <v>1916</v>
      </c>
      <c r="E3246" s="1006" t="s">
        <v>3538</v>
      </c>
      <c r="F3246" s="465"/>
      <c r="G3246" s="1007">
        <v>0</v>
      </c>
      <c r="H3246" s="465"/>
      <c r="I3246" s="465"/>
      <c r="J3246" s="1008">
        <v>0</v>
      </c>
      <c r="K3246" s="1009">
        <v>0</v>
      </c>
    </row>
    <row r="3247" spans="1:11" ht="20.25" customHeight="1" x14ac:dyDescent="0.25">
      <c r="A3247" s="1006" t="s">
        <v>3534</v>
      </c>
      <c r="B3247" s="1007">
        <v>2025</v>
      </c>
      <c r="C3247" s="1006" t="s">
        <v>1913</v>
      </c>
      <c r="D3247" s="1006" t="s">
        <v>1917</v>
      </c>
      <c r="E3247" s="1006" t="s">
        <v>3538</v>
      </c>
      <c r="F3247" s="465"/>
      <c r="G3247" s="1007">
        <v>0</v>
      </c>
      <c r="H3247" s="465"/>
      <c r="I3247" s="465"/>
      <c r="J3247" s="1008">
        <v>0</v>
      </c>
      <c r="K3247" s="1009">
        <v>0</v>
      </c>
    </row>
    <row r="3248" spans="1:11" ht="20.25" customHeight="1" x14ac:dyDescent="0.25">
      <c r="A3248" s="1006" t="s">
        <v>3534</v>
      </c>
      <c r="B3248" s="1007">
        <v>2025</v>
      </c>
      <c r="C3248" s="1006" t="s">
        <v>1913</v>
      </c>
      <c r="D3248" s="1006" t="s">
        <v>1918</v>
      </c>
      <c r="E3248" s="1006" t="s">
        <v>3538</v>
      </c>
      <c r="F3248" s="465"/>
      <c r="G3248" s="1007">
        <v>0</v>
      </c>
      <c r="H3248" s="465"/>
      <c r="I3248" s="465"/>
      <c r="J3248" s="1008">
        <v>0</v>
      </c>
      <c r="K3248" s="1009">
        <v>0</v>
      </c>
    </row>
    <row r="3249" spans="1:11" ht="20.25" customHeight="1" x14ac:dyDescent="0.25">
      <c r="A3249" s="1006" t="s">
        <v>3534</v>
      </c>
      <c r="B3249" s="1007">
        <v>2025</v>
      </c>
      <c r="C3249" s="1006" t="s">
        <v>1913</v>
      </c>
      <c r="D3249" s="1006" t="s">
        <v>1919</v>
      </c>
      <c r="E3249" s="1006" t="s">
        <v>3538</v>
      </c>
      <c r="F3249" s="465"/>
      <c r="G3249" s="1007">
        <v>0</v>
      </c>
      <c r="H3249" s="465"/>
      <c r="I3249" s="465"/>
      <c r="J3249" s="1008">
        <v>0</v>
      </c>
      <c r="K3249" s="1009">
        <v>0</v>
      </c>
    </row>
    <row r="3250" spans="1:11" ht="20.25" customHeight="1" x14ac:dyDescent="0.25">
      <c r="A3250" s="1006" t="s">
        <v>3534</v>
      </c>
      <c r="B3250" s="1007">
        <v>2025</v>
      </c>
      <c r="C3250" s="1006" t="s">
        <v>1923</v>
      </c>
      <c r="D3250" s="1006" t="s">
        <v>143</v>
      </c>
      <c r="E3250" s="1006" t="s">
        <v>3539</v>
      </c>
      <c r="F3250" s="465"/>
      <c r="G3250" s="1007">
        <v>1</v>
      </c>
      <c r="H3250" s="465"/>
      <c r="I3250" s="465"/>
      <c r="J3250" s="1008">
        <v>0</v>
      </c>
      <c r="K3250" s="1009">
        <v>0</v>
      </c>
    </row>
    <row r="3251" spans="1:11" ht="20.25" customHeight="1" x14ac:dyDescent="0.25">
      <c r="A3251" s="1006" t="s">
        <v>3534</v>
      </c>
      <c r="B3251" s="1007">
        <v>2025</v>
      </c>
      <c r="C3251" s="1006" t="s">
        <v>1925</v>
      </c>
      <c r="D3251" s="1006" t="s">
        <v>144</v>
      </c>
      <c r="E3251" s="1006" t="s">
        <v>3540</v>
      </c>
      <c r="F3251" s="465"/>
      <c r="G3251" s="1007">
        <v>1</v>
      </c>
      <c r="H3251" s="465"/>
      <c r="I3251" s="465"/>
      <c r="J3251" s="1008">
        <v>0</v>
      </c>
      <c r="K3251" s="1009">
        <v>0</v>
      </c>
    </row>
    <row r="3252" spans="1:11" ht="20.25" customHeight="1" x14ac:dyDescent="0.25">
      <c r="A3252" s="1006" t="s">
        <v>3534</v>
      </c>
      <c r="B3252" s="1007">
        <v>2025</v>
      </c>
      <c r="C3252" s="1006" t="s">
        <v>1927</v>
      </c>
      <c r="D3252" s="1006" t="s">
        <v>1928</v>
      </c>
      <c r="E3252" s="1006" t="s">
        <v>3541</v>
      </c>
      <c r="F3252" s="465"/>
      <c r="G3252" s="1007">
        <v>1</v>
      </c>
      <c r="H3252" s="465"/>
      <c r="I3252" s="465"/>
      <c r="J3252" s="1008">
        <v>0</v>
      </c>
      <c r="K3252" s="1009">
        <v>0</v>
      </c>
    </row>
    <row r="3253" spans="1:11" ht="20.25" customHeight="1" x14ac:dyDescent="0.25">
      <c r="A3253" s="1006" t="s">
        <v>3534</v>
      </c>
      <c r="B3253" s="1007">
        <v>2025</v>
      </c>
      <c r="C3253" s="1006" t="s">
        <v>1930</v>
      </c>
      <c r="D3253" s="1006" t="s">
        <v>156</v>
      </c>
      <c r="E3253" s="1006" t="s">
        <v>3542</v>
      </c>
      <c r="F3253" s="465"/>
      <c r="G3253" s="1007">
        <v>1</v>
      </c>
      <c r="H3253" s="465"/>
      <c r="I3253" s="465"/>
      <c r="J3253" s="1008">
        <v>0</v>
      </c>
      <c r="K3253" s="1009">
        <v>0</v>
      </c>
    </row>
    <row r="3254" spans="1:11" ht="20.25" customHeight="1" x14ac:dyDescent="0.25">
      <c r="A3254" s="1006" t="s">
        <v>3534</v>
      </c>
      <c r="B3254" s="1007">
        <v>2025</v>
      </c>
      <c r="C3254" s="1006" t="s">
        <v>1932</v>
      </c>
      <c r="D3254" s="1006" t="s">
        <v>3423</v>
      </c>
      <c r="E3254" s="1006" t="s">
        <v>3543</v>
      </c>
      <c r="F3254" s="465"/>
      <c r="G3254" s="1007">
        <v>0</v>
      </c>
      <c r="H3254" s="465"/>
      <c r="I3254" s="465"/>
      <c r="J3254" s="1008">
        <v>0</v>
      </c>
      <c r="K3254" s="1009">
        <v>0</v>
      </c>
    </row>
    <row r="3255" spans="1:11" ht="20.25" customHeight="1" x14ac:dyDescent="0.25">
      <c r="A3255" s="1006" t="s">
        <v>3534</v>
      </c>
      <c r="B3255" s="1007">
        <v>2025</v>
      </c>
      <c r="C3255" s="1006" t="s">
        <v>1935</v>
      </c>
      <c r="D3255" s="1006" t="s">
        <v>1936</v>
      </c>
      <c r="E3255" s="1006" t="s">
        <v>9237</v>
      </c>
      <c r="F3255" s="465"/>
      <c r="G3255" s="1007">
        <v>1</v>
      </c>
      <c r="H3255" s="465"/>
      <c r="I3255" s="465"/>
      <c r="J3255" s="1008">
        <v>0</v>
      </c>
      <c r="K3255" s="1009">
        <v>0</v>
      </c>
    </row>
    <row r="3256" spans="1:11" ht="20.25" customHeight="1" x14ac:dyDescent="0.25">
      <c r="A3256" s="1006" t="s">
        <v>3534</v>
      </c>
      <c r="B3256" s="1007">
        <v>2025</v>
      </c>
      <c r="C3256" s="1006" t="s">
        <v>1935</v>
      </c>
      <c r="D3256" s="1006" t="s">
        <v>1937</v>
      </c>
      <c r="E3256" s="1006" t="s">
        <v>9238</v>
      </c>
      <c r="F3256" s="465"/>
      <c r="G3256" s="1007">
        <v>1</v>
      </c>
      <c r="H3256" s="465"/>
      <c r="I3256" s="465"/>
      <c r="J3256" s="1008">
        <v>0</v>
      </c>
      <c r="K3256" s="1009">
        <v>0</v>
      </c>
    </row>
    <row r="3257" spans="1:11" ht="20.25" customHeight="1" x14ac:dyDescent="0.25">
      <c r="A3257" s="1006" t="s">
        <v>3534</v>
      </c>
      <c r="B3257" s="1007">
        <v>2025</v>
      </c>
      <c r="C3257" s="1006" t="s">
        <v>1935</v>
      </c>
      <c r="D3257" s="1006" t="s">
        <v>1938</v>
      </c>
      <c r="E3257" s="1006" t="s">
        <v>9239</v>
      </c>
      <c r="F3257" s="465"/>
      <c r="G3257" s="1007">
        <v>1</v>
      </c>
      <c r="H3257" s="465"/>
      <c r="I3257" s="465"/>
      <c r="J3257" s="1008">
        <v>0</v>
      </c>
      <c r="K3257" s="1009">
        <v>0</v>
      </c>
    </row>
    <row r="3258" spans="1:11" ht="20.25" customHeight="1" x14ac:dyDescent="0.25">
      <c r="A3258" s="1006" t="s">
        <v>3534</v>
      </c>
      <c r="B3258" s="1007">
        <v>2025</v>
      </c>
      <c r="C3258" s="1006" t="s">
        <v>1935</v>
      </c>
      <c r="D3258" s="1006" t="s">
        <v>1939</v>
      </c>
      <c r="E3258" s="1006" t="s">
        <v>9240</v>
      </c>
      <c r="F3258" s="465"/>
      <c r="G3258" s="1007">
        <v>1</v>
      </c>
      <c r="H3258" s="465"/>
      <c r="I3258" s="465"/>
      <c r="J3258" s="1008">
        <v>0</v>
      </c>
      <c r="K3258" s="1009">
        <v>0</v>
      </c>
    </row>
    <row r="3259" spans="1:11" ht="20.25" customHeight="1" x14ac:dyDescent="0.25">
      <c r="A3259" s="1006" t="s">
        <v>3534</v>
      </c>
      <c r="B3259" s="1007">
        <v>2025</v>
      </c>
      <c r="C3259" s="1006" t="s">
        <v>1935</v>
      </c>
      <c r="D3259" s="1006" t="s">
        <v>1940</v>
      </c>
      <c r="E3259" s="1006" t="s">
        <v>9241</v>
      </c>
      <c r="F3259" s="465"/>
      <c r="G3259" s="1007">
        <v>1</v>
      </c>
      <c r="H3259" s="465"/>
      <c r="I3259" s="465"/>
      <c r="J3259" s="1008">
        <v>0</v>
      </c>
      <c r="K3259" s="1009">
        <v>0</v>
      </c>
    </row>
    <row r="3260" spans="1:11" ht="20.25" customHeight="1" x14ac:dyDescent="0.25">
      <c r="A3260" s="1006" t="s">
        <v>3534</v>
      </c>
      <c r="B3260" s="1007">
        <v>2025</v>
      </c>
      <c r="C3260" s="1006" t="s">
        <v>1935</v>
      </c>
      <c r="D3260" s="1006" t="s">
        <v>1941</v>
      </c>
      <c r="E3260" s="1006" t="s">
        <v>9242</v>
      </c>
      <c r="F3260" s="465"/>
      <c r="G3260" s="1007">
        <v>1</v>
      </c>
      <c r="H3260" s="465"/>
      <c r="I3260" s="465"/>
      <c r="J3260" s="1008">
        <v>0</v>
      </c>
      <c r="K3260" s="1009">
        <v>0</v>
      </c>
    </row>
    <row r="3261" spans="1:11" ht="20.25" customHeight="1" x14ac:dyDescent="0.25">
      <c r="A3261" s="1006" t="s">
        <v>3534</v>
      </c>
      <c r="B3261" s="1007">
        <v>2025</v>
      </c>
      <c r="C3261" s="1006" t="s">
        <v>1935</v>
      </c>
      <c r="D3261" s="1006" t="s">
        <v>1942</v>
      </c>
      <c r="E3261" s="1006" t="s">
        <v>9243</v>
      </c>
      <c r="F3261" s="465"/>
      <c r="G3261" s="1007">
        <v>1</v>
      </c>
      <c r="H3261" s="465"/>
      <c r="I3261" s="465"/>
      <c r="J3261" s="1008">
        <v>0</v>
      </c>
      <c r="K3261" s="1009">
        <v>0</v>
      </c>
    </row>
    <row r="3262" spans="1:11" ht="20.25" customHeight="1" x14ac:dyDescent="0.25">
      <c r="A3262" s="1006" t="s">
        <v>3534</v>
      </c>
      <c r="B3262" s="1007">
        <v>2025</v>
      </c>
      <c r="C3262" s="1006" t="s">
        <v>1935</v>
      </c>
      <c r="D3262" s="1006" t="s">
        <v>1943</v>
      </c>
      <c r="E3262" s="1006" t="s">
        <v>9244</v>
      </c>
      <c r="F3262" s="465"/>
      <c r="G3262" s="1007">
        <v>1</v>
      </c>
      <c r="H3262" s="465"/>
      <c r="I3262" s="465"/>
      <c r="J3262" s="1008">
        <v>0</v>
      </c>
      <c r="K3262" s="1009">
        <v>0</v>
      </c>
    </row>
    <row r="3263" spans="1:11" ht="20.25" customHeight="1" x14ac:dyDescent="0.25">
      <c r="A3263" s="1006" t="s">
        <v>3534</v>
      </c>
      <c r="B3263" s="1007">
        <v>2025</v>
      </c>
      <c r="C3263" s="1006" t="s">
        <v>1935</v>
      </c>
      <c r="D3263" s="1006" t="s">
        <v>1944</v>
      </c>
      <c r="E3263" s="1006" t="s">
        <v>9245</v>
      </c>
      <c r="F3263" s="465"/>
      <c r="G3263" s="1007">
        <v>1</v>
      </c>
      <c r="H3263" s="465"/>
      <c r="I3263" s="465"/>
      <c r="J3263" s="1008">
        <v>0</v>
      </c>
      <c r="K3263" s="1009">
        <v>0</v>
      </c>
    </row>
    <row r="3264" spans="1:11" ht="20.25" customHeight="1" x14ac:dyDescent="0.25">
      <c r="A3264" s="1006" t="s">
        <v>3534</v>
      </c>
      <c r="B3264" s="1007">
        <v>2025</v>
      </c>
      <c r="C3264" s="1006" t="s">
        <v>1935</v>
      </c>
      <c r="D3264" s="1006" t="s">
        <v>1945</v>
      </c>
      <c r="E3264" s="1006" t="s">
        <v>9246</v>
      </c>
      <c r="F3264" s="465"/>
      <c r="G3264" s="1007">
        <v>1</v>
      </c>
      <c r="H3264" s="465"/>
      <c r="I3264" s="465"/>
      <c r="J3264" s="1008">
        <v>0</v>
      </c>
      <c r="K3264" s="1009">
        <v>0</v>
      </c>
    </row>
    <row r="3265" spans="1:11" ht="20.25" customHeight="1" x14ac:dyDescent="0.25">
      <c r="A3265" s="1006" t="s">
        <v>3534</v>
      </c>
      <c r="B3265" s="1007">
        <v>2025</v>
      </c>
      <c r="C3265" s="1006" t="s">
        <v>1935</v>
      </c>
      <c r="D3265" s="1006" t="s">
        <v>1946</v>
      </c>
      <c r="E3265" s="1006" t="s">
        <v>9247</v>
      </c>
      <c r="F3265" s="465"/>
      <c r="G3265" s="1007">
        <v>1</v>
      </c>
      <c r="H3265" s="465"/>
      <c r="I3265" s="465"/>
      <c r="J3265" s="1008">
        <v>0</v>
      </c>
      <c r="K3265" s="1009">
        <v>0</v>
      </c>
    </row>
    <row r="3266" spans="1:11" ht="20.25" customHeight="1" x14ac:dyDescent="0.25">
      <c r="A3266" s="1006" t="s">
        <v>3534</v>
      </c>
      <c r="B3266" s="1007">
        <v>2025</v>
      </c>
      <c r="C3266" s="1006" t="s">
        <v>1935</v>
      </c>
      <c r="D3266" s="1006" t="s">
        <v>1947</v>
      </c>
      <c r="E3266" s="1006" t="s">
        <v>9248</v>
      </c>
      <c r="F3266" s="465"/>
      <c r="G3266" s="1007">
        <v>1</v>
      </c>
      <c r="H3266" s="465"/>
      <c r="I3266" s="465"/>
      <c r="J3266" s="1008">
        <v>0</v>
      </c>
      <c r="K3266" s="1009">
        <v>0</v>
      </c>
    </row>
    <row r="3267" spans="1:11" ht="20.25" customHeight="1" x14ac:dyDescent="0.25">
      <c r="A3267" s="1006" t="s">
        <v>3534</v>
      </c>
      <c r="B3267" s="1007">
        <v>2025</v>
      </c>
      <c r="C3267" s="1006" t="s">
        <v>1935</v>
      </c>
      <c r="D3267" s="1006" t="s">
        <v>1948</v>
      </c>
      <c r="E3267" s="1006" t="s">
        <v>9249</v>
      </c>
      <c r="F3267" s="465"/>
      <c r="G3267" s="1007">
        <v>1</v>
      </c>
      <c r="H3267" s="465"/>
      <c r="I3267" s="465"/>
      <c r="J3267" s="1008">
        <v>0</v>
      </c>
      <c r="K3267" s="1009">
        <v>0</v>
      </c>
    </row>
    <row r="3268" spans="1:11" ht="20.25" customHeight="1" x14ac:dyDescent="0.25">
      <c r="A3268" s="1006" t="s">
        <v>3534</v>
      </c>
      <c r="B3268" s="1007">
        <v>2025</v>
      </c>
      <c r="C3268" s="1006" t="s">
        <v>1935</v>
      </c>
      <c r="D3268" s="1006" t="s">
        <v>1949</v>
      </c>
      <c r="E3268" s="1006" t="s">
        <v>9250</v>
      </c>
      <c r="F3268" s="465"/>
      <c r="G3268" s="1007">
        <v>1</v>
      </c>
      <c r="H3268" s="465"/>
      <c r="I3268" s="465"/>
      <c r="J3268" s="1008">
        <v>0</v>
      </c>
      <c r="K3268" s="1009">
        <v>0</v>
      </c>
    </row>
    <row r="3269" spans="1:11" ht="20.25" customHeight="1" x14ac:dyDescent="0.25">
      <c r="A3269" s="1006" t="s">
        <v>3534</v>
      </c>
      <c r="B3269" s="1007">
        <v>2025</v>
      </c>
      <c r="C3269" s="1006" t="s">
        <v>1935</v>
      </c>
      <c r="D3269" s="1006" t="s">
        <v>1950</v>
      </c>
      <c r="E3269" s="1006" t="s">
        <v>9251</v>
      </c>
      <c r="F3269" s="465"/>
      <c r="G3269" s="1007">
        <v>1</v>
      </c>
      <c r="H3269" s="465"/>
      <c r="I3269" s="465"/>
      <c r="J3269" s="1008">
        <v>0</v>
      </c>
      <c r="K3269" s="1009">
        <v>0</v>
      </c>
    </row>
    <row r="3270" spans="1:11" ht="20.25" customHeight="1" x14ac:dyDescent="0.25">
      <c r="A3270" s="1006" t="s">
        <v>3534</v>
      </c>
      <c r="B3270" s="1007">
        <v>2025</v>
      </c>
      <c r="C3270" s="1006" t="s">
        <v>1935</v>
      </c>
      <c r="D3270" s="1006" t="s">
        <v>1951</v>
      </c>
      <c r="E3270" s="1006" t="s">
        <v>9252</v>
      </c>
      <c r="F3270" s="465"/>
      <c r="G3270" s="1007">
        <v>1</v>
      </c>
      <c r="H3270" s="465"/>
      <c r="I3270" s="465"/>
      <c r="J3270" s="1008">
        <v>0</v>
      </c>
      <c r="K3270" s="1009">
        <v>0</v>
      </c>
    </row>
    <row r="3271" spans="1:11" ht="20.25" customHeight="1" x14ac:dyDescent="0.25">
      <c r="A3271" s="1006" t="s">
        <v>3534</v>
      </c>
      <c r="B3271" s="1007">
        <v>2025</v>
      </c>
      <c r="C3271" s="1006" t="s">
        <v>1935</v>
      </c>
      <c r="D3271" s="1006" t="s">
        <v>7801</v>
      </c>
      <c r="E3271" s="1006" t="s">
        <v>9253</v>
      </c>
      <c r="F3271" s="465"/>
      <c r="G3271" s="1007">
        <v>1</v>
      </c>
      <c r="H3271" s="465"/>
      <c r="I3271" s="465"/>
      <c r="J3271" s="1008">
        <v>0</v>
      </c>
      <c r="K3271" s="1009">
        <v>0</v>
      </c>
    </row>
    <row r="3272" spans="1:11" ht="20.25" customHeight="1" x14ac:dyDescent="0.25">
      <c r="A3272" s="1006" t="s">
        <v>3534</v>
      </c>
      <c r="B3272" s="1007">
        <v>2025</v>
      </c>
      <c r="C3272" s="1006" t="s">
        <v>1935</v>
      </c>
      <c r="D3272" s="1006" t="s">
        <v>3425</v>
      </c>
      <c r="E3272" s="1006" t="s">
        <v>9254</v>
      </c>
      <c r="F3272" s="465"/>
      <c r="G3272" s="1007">
        <v>0</v>
      </c>
      <c r="H3272" s="465"/>
      <c r="I3272" s="465"/>
      <c r="J3272" s="1008">
        <v>0</v>
      </c>
      <c r="K3272" s="1009">
        <v>0</v>
      </c>
    </row>
    <row r="3273" spans="1:11" ht="20.25" customHeight="1" x14ac:dyDescent="0.25">
      <c r="A3273" s="1006" t="s">
        <v>3534</v>
      </c>
      <c r="B3273" s="1007">
        <v>2025</v>
      </c>
      <c r="C3273" s="1006" t="s">
        <v>1935</v>
      </c>
      <c r="D3273" s="1006" t="s">
        <v>3426</v>
      </c>
      <c r="E3273" s="1006" t="s">
        <v>9255</v>
      </c>
      <c r="F3273" s="465"/>
      <c r="G3273" s="1007">
        <v>0</v>
      </c>
      <c r="H3273" s="465"/>
      <c r="I3273" s="465"/>
      <c r="J3273" s="1008">
        <v>0</v>
      </c>
      <c r="K3273" s="1009">
        <v>0</v>
      </c>
    </row>
    <row r="3274" spans="1:11" ht="20.25" customHeight="1" x14ac:dyDescent="0.25">
      <c r="A3274" s="1006" t="s">
        <v>3534</v>
      </c>
      <c r="B3274" s="1007">
        <v>2025</v>
      </c>
      <c r="C3274" s="1006" t="s">
        <v>1935</v>
      </c>
      <c r="D3274" s="1006" t="s">
        <v>3427</v>
      </c>
      <c r="E3274" s="1006" t="s">
        <v>9256</v>
      </c>
      <c r="F3274" s="465"/>
      <c r="G3274" s="1007">
        <v>0</v>
      </c>
      <c r="H3274" s="465"/>
      <c r="I3274" s="465"/>
      <c r="J3274" s="1008">
        <v>0</v>
      </c>
      <c r="K3274" s="1009">
        <v>0</v>
      </c>
    </row>
    <row r="3275" spans="1:11" ht="20.25" customHeight="1" x14ac:dyDescent="0.25">
      <c r="A3275" s="1006" t="s">
        <v>3534</v>
      </c>
      <c r="B3275" s="1007">
        <v>2025</v>
      </c>
      <c r="C3275" s="1006" t="s">
        <v>1935</v>
      </c>
      <c r="D3275" s="1006" t="s">
        <v>3428</v>
      </c>
      <c r="E3275" s="1006" t="s">
        <v>9254</v>
      </c>
      <c r="F3275" s="465"/>
      <c r="G3275" s="1007">
        <v>0</v>
      </c>
      <c r="H3275" s="465"/>
      <c r="I3275" s="465"/>
      <c r="J3275" s="1008">
        <v>0</v>
      </c>
      <c r="K3275" s="1009">
        <v>0</v>
      </c>
    </row>
    <row r="3276" spans="1:11" ht="20.25" customHeight="1" x14ac:dyDescent="0.25">
      <c r="A3276" s="1006" t="s">
        <v>3534</v>
      </c>
      <c r="B3276" s="1007">
        <v>2025</v>
      </c>
      <c r="C3276" s="1006" t="s">
        <v>1935</v>
      </c>
      <c r="D3276" s="1006" t="s">
        <v>3429</v>
      </c>
      <c r="E3276" s="1006" t="s">
        <v>9255</v>
      </c>
      <c r="F3276" s="465"/>
      <c r="G3276" s="1007">
        <v>0</v>
      </c>
      <c r="H3276" s="465"/>
      <c r="I3276" s="465"/>
      <c r="J3276" s="1008">
        <v>0</v>
      </c>
      <c r="K3276" s="1009">
        <v>0</v>
      </c>
    </row>
    <row r="3277" spans="1:11" ht="20.25" customHeight="1" x14ac:dyDescent="0.25">
      <c r="A3277" s="1006" t="s">
        <v>3534</v>
      </c>
      <c r="B3277" s="1007">
        <v>2025</v>
      </c>
      <c r="C3277" s="1006" t="s">
        <v>1935</v>
      </c>
      <c r="D3277" s="1006" t="s">
        <v>3430</v>
      </c>
      <c r="E3277" s="1006" t="s">
        <v>9256</v>
      </c>
      <c r="F3277" s="465"/>
      <c r="G3277" s="1007">
        <v>0</v>
      </c>
      <c r="H3277" s="465"/>
      <c r="I3277" s="465"/>
      <c r="J3277" s="1008">
        <v>0</v>
      </c>
      <c r="K3277" s="1009">
        <v>0</v>
      </c>
    </row>
    <row r="3278" spans="1:11" ht="20.25" customHeight="1" x14ac:dyDescent="0.25">
      <c r="A3278" s="1006" t="s">
        <v>3534</v>
      </c>
      <c r="B3278" s="1007">
        <v>2025</v>
      </c>
      <c r="C3278" s="1006" t="s">
        <v>1935</v>
      </c>
      <c r="D3278" s="1006" t="s">
        <v>3431</v>
      </c>
      <c r="E3278" s="1006" t="s">
        <v>9254</v>
      </c>
      <c r="F3278" s="465"/>
      <c r="G3278" s="1007">
        <v>0</v>
      </c>
      <c r="H3278" s="465"/>
      <c r="I3278" s="465"/>
      <c r="J3278" s="1008">
        <v>0</v>
      </c>
      <c r="K3278" s="1009">
        <v>0</v>
      </c>
    </row>
    <row r="3279" spans="1:11" ht="20.25" customHeight="1" x14ac:dyDescent="0.25">
      <c r="A3279" s="1006" t="s">
        <v>3534</v>
      </c>
      <c r="B3279" s="1007">
        <v>2025</v>
      </c>
      <c r="C3279" s="1006" t="s">
        <v>1935</v>
      </c>
      <c r="D3279" s="1006" t="s">
        <v>3432</v>
      </c>
      <c r="E3279" s="1006" t="s">
        <v>9255</v>
      </c>
      <c r="F3279" s="465"/>
      <c r="G3279" s="1007">
        <v>0</v>
      </c>
      <c r="H3279" s="465"/>
      <c r="I3279" s="465"/>
      <c r="J3279" s="1008">
        <v>0</v>
      </c>
      <c r="K3279" s="1009">
        <v>0</v>
      </c>
    </row>
    <row r="3280" spans="1:11" ht="20.25" customHeight="1" x14ac:dyDescent="0.25">
      <c r="A3280" s="1006" t="s">
        <v>3534</v>
      </c>
      <c r="B3280" s="1007">
        <v>2025</v>
      </c>
      <c r="C3280" s="1006" t="s">
        <v>1935</v>
      </c>
      <c r="D3280" s="1006" t="s">
        <v>3433</v>
      </c>
      <c r="E3280" s="1006" t="s">
        <v>9256</v>
      </c>
      <c r="F3280" s="465"/>
      <c r="G3280" s="1007">
        <v>0</v>
      </c>
      <c r="H3280" s="465"/>
      <c r="I3280" s="465"/>
      <c r="J3280" s="1008">
        <v>0</v>
      </c>
      <c r="K3280" s="1009">
        <v>0</v>
      </c>
    </row>
    <row r="3281" spans="1:11" ht="20.25" customHeight="1" x14ac:dyDescent="0.25">
      <c r="A3281" s="1006" t="s">
        <v>3544</v>
      </c>
      <c r="B3281" s="1007">
        <v>2025</v>
      </c>
      <c r="C3281" s="1006" t="s">
        <v>1887</v>
      </c>
      <c r="D3281" s="1006" t="s">
        <v>138</v>
      </c>
      <c r="E3281" s="1006" t="s">
        <v>3545</v>
      </c>
      <c r="F3281" s="465"/>
      <c r="G3281" s="1007">
        <v>1</v>
      </c>
      <c r="H3281" s="465"/>
      <c r="I3281" s="465"/>
      <c r="J3281" s="1008">
        <v>0</v>
      </c>
      <c r="K3281" s="1009">
        <v>0</v>
      </c>
    </row>
    <row r="3282" spans="1:11" ht="20.25" customHeight="1" x14ac:dyDescent="0.25">
      <c r="A3282" s="1006" t="s">
        <v>3544</v>
      </c>
      <c r="B3282" s="1007">
        <v>2025</v>
      </c>
      <c r="C3282" s="1006" t="s">
        <v>1889</v>
      </c>
      <c r="D3282" s="1006" t="s">
        <v>139</v>
      </c>
      <c r="E3282" s="1006" t="s">
        <v>3546</v>
      </c>
      <c r="F3282" s="465"/>
      <c r="G3282" s="1007">
        <v>1</v>
      </c>
      <c r="H3282" s="465"/>
      <c r="I3282" s="465"/>
      <c r="J3282" s="1008">
        <v>0</v>
      </c>
      <c r="K3282" s="1009">
        <v>0</v>
      </c>
    </row>
    <row r="3283" spans="1:11" ht="20.25" customHeight="1" x14ac:dyDescent="0.25">
      <c r="A3283" s="1006" t="s">
        <v>3544</v>
      </c>
      <c r="B3283" s="1007">
        <v>2025</v>
      </c>
      <c r="C3283" s="1006" t="s">
        <v>1891</v>
      </c>
      <c r="D3283" s="1006" t="s">
        <v>1894</v>
      </c>
      <c r="E3283" s="1006" t="s">
        <v>3547</v>
      </c>
      <c r="F3283" s="465"/>
      <c r="G3283" s="1007">
        <v>0</v>
      </c>
      <c r="H3283" s="465"/>
      <c r="I3283" s="465"/>
      <c r="J3283" s="1008">
        <v>0</v>
      </c>
      <c r="K3283" s="1009">
        <v>0</v>
      </c>
    </row>
    <row r="3284" spans="1:11" ht="20.25" customHeight="1" x14ac:dyDescent="0.25">
      <c r="A3284" s="1006" t="s">
        <v>3544</v>
      </c>
      <c r="B3284" s="1007">
        <v>2025</v>
      </c>
      <c r="C3284" s="1006" t="s">
        <v>1913</v>
      </c>
      <c r="D3284" s="1006" t="s">
        <v>1914</v>
      </c>
      <c r="E3284" s="1006" t="s">
        <v>3548</v>
      </c>
      <c r="F3284" s="465"/>
      <c r="G3284" s="1007">
        <v>1</v>
      </c>
      <c r="H3284" s="465"/>
      <c r="I3284" s="465"/>
      <c r="J3284" s="1008">
        <v>0</v>
      </c>
      <c r="K3284" s="1009">
        <v>0</v>
      </c>
    </row>
    <row r="3285" spans="1:11" ht="20.25" customHeight="1" x14ac:dyDescent="0.25">
      <c r="A3285" s="1006" t="s">
        <v>3544</v>
      </c>
      <c r="B3285" s="1007">
        <v>2025</v>
      </c>
      <c r="C3285" s="1006" t="s">
        <v>1913</v>
      </c>
      <c r="D3285" s="1006" t="s">
        <v>1916</v>
      </c>
      <c r="E3285" s="1006" t="s">
        <v>3548</v>
      </c>
      <c r="F3285" s="465"/>
      <c r="G3285" s="1007">
        <v>0</v>
      </c>
      <c r="H3285" s="465"/>
      <c r="I3285" s="465"/>
      <c r="J3285" s="1008">
        <v>0</v>
      </c>
      <c r="K3285" s="1009">
        <v>0</v>
      </c>
    </row>
    <row r="3286" spans="1:11" ht="20.25" customHeight="1" x14ac:dyDescent="0.25">
      <c r="A3286" s="1006" t="s">
        <v>3544</v>
      </c>
      <c r="B3286" s="1007">
        <v>2025</v>
      </c>
      <c r="C3286" s="1006" t="s">
        <v>1913</v>
      </c>
      <c r="D3286" s="1006" t="s">
        <v>1917</v>
      </c>
      <c r="E3286" s="1006" t="s">
        <v>3548</v>
      </c>
      <c r="F3286" s="465"/>
      <c r="G3286" s="1007">
        <v>0</v>
      </c>
      <c r="H3286" s="465"/>
      <c r="I3286" s="465"/>
      <c r="J3286" s="1008">
        <v>0</v>
      </c>
      <c r="K3286" s="1009">
        <v>0</v>
      </c>
    </row>
    <row r="3287" spans="1:11" ht="20.25" customHeight="1" x14ac:dyDescent="0.25">
      <c r="A3287" s="1006" t="s">
        <v>3544</v>
      </c>
      <c r="B3287" s="1007">
        <v>2025</v>
      </c>
      <c r="C3287" s="1006" t="s">
        <v>1913</v>
      </c>
      <c r="D3287" s="1006" t="s">
        <v>1918</v>
      </c>
      <c r="E3287" s="1006" t="s">
        <v>3548</v>
      </c>
      <c r="F3287" s="465"/>
      <c r="G3287" s="1007">
        <v>0</v>
      </c>
      <c r="H3287" s="465"/>
      <c r="I3287" s="465"/>
      <c r="J3287" s="1008">
        <v>0</v>
      </c>
      <c r="K3287" s="1009">
        <v>0</v>
      </c>
    </row>
    <row r="3288" spans="1:11" ht="20.25" customHeight="1" x14ac:dyDescent="0.25">
      <c r="A3288" s="1006" t="s">
        <v>3544</v>
      </c>
      <c r="B3288" s="1007">
        <v>2025</v>
      </c>
      <c r="C3288" s="1006" t="s">
        <v>1913</v>
      </c>
      <c r="D3288" s="1006" t="s">
        <v>1919</v>
      </c>
      <c r="E3288" s="1006" t="s">
        <v>3548</v>
      </c>
      <c r="F3288" s="465"/>
      <c r="G3288" s="1007">
        <v>0</v>
      </c>
      <c r="H3288" s="465"/>
      <c r="I3288" s="465"/>
      <c r="J3288" s="1008">
        <v>0</v>
      </c>
      <c r="K3288" s="1009">
        <v>0</v>
      </c>
    </row>
    <row r="3289" spans="1:11" ht="20.25" customHeight="1" x14ac:dyDescent="0.25">
      <c r="A3289" s="1006" t="s">
        <v>3544</v>
      </c>
      <c r="B3289" s="1007">
        <v>2025</v>
      </c>
      <c r="C3289" s="1006" t="s">
        <v>1923</v>
      </c>
      <c r="D3289" s="1006" t="s">
        <v>143</v>
      </c>
      <c r="E3289" s="1006" t="s">
        <v>3549</v>
      </c>
      <c r="F3289" s="465"/>
      <c r="G3289" s="1007">
        <v>1</v>
      </c>
      <c r="H3289" s="465"/>
      <c r="I3289" s="465"/>
      <c r="J3289" s="1008">
        <v>0</v>
      </c>
      <c r="K3289" s="1009">
        <v>0</v>
      </c>
    </row>
    <row r="3290" spans="1:11" ht="20.25" customHeight="1" x14ac:dyDescent="0.25">
      <c r="A3290" s="1006" t="s">
        <v>3544</v>
      </c>
      <c r="B3290" s="1007">
        <v>2025</v>
      </c>
      <c r="C3290" s="1006" t="s">
        <v>1925</v>
      </c>
      <c r="D3290" s="1006" t="s">
        <v>144</v>
      </c>
      <c r="E3290" s="1006" t="s">
        <v>3550</v>
      </c>
      <c r="F3290" s="465"/>
      <c r="G3290" s="1007">
        <v>1</v>
      </c>
      <c r="H3290" s="465"/>
      <c r="I3290" s="465"/>
      <c r="J3290" s="1008">
        <v>0</v>
      </c>
      <c r="K3290" s="1009">
        <v>0</v>
      </c>
    </row>
    <row r="3291" spans="1:11" ht="20.25" customHeight="1" x14ac:dyDescent="0.25">
      <c r="A3291" s="1006" t="s">
        <v>3544</v>
      </c>
      <c r="B3291" s="1007">
        <v>2025</v>
      </c>
      <c r="C3291" s="1006" t="s">
        <v>1927</v>
      </c>
      <c r="D3291" s="1006" t="s">
        <v>1928</v>
      </c>
      <c r="E3291" s="1006" t="s">
        <v>3551</v>
      </c>
      <c r="F3291" s="465"/>
      <c r="G3291" s="1007">
        <v>1</v>
      </c>
      <c r="H3291" s="465"/>
      <c r="I3291" s="465"/>
      <c r="J3291" s="1008">
        <v>0</v>
      </c>
      <c r="K3291" s="1009">
        <v>0</v>
      </c>
    </row>
    <row r="3292" spans="1:11" ht="20.25" customHeight="1" x14ac:dyDescent="0.25">
      <c r="A3292" s="1006" t="s">
        <v>3544</v>
      </c>
      <c r="B3292" s="1007">
        <v>2025</v>
      </c>
      <c r="C3292" s="1006" t="s">
        <v>1930</v>
      </c>
      <c r="D3292" s="1006" t="s">
        <v>156</v>
      </c>
      <c r="E3292" s="1006" t="s">
        <v>3552</v>
      </c>
      <c r="F3292" s="465"/>
      <c r="G3292" s="1007">
        <v>1</v>
      </c>
      <c r="H3292" s="465"/>
      <c r="I3292" s="465"/>
      <c r="J3292" s="1008">
        <v>0</v>
      </c>
      <c r="K3292" s="1009">
        <v>0</v>
      </c>
    </row>
    <row r="3293" spans="1:11" ht="20.25" customHeight="1" x14ac:dyDescent="0.25">
      <c r="A3293" s="1006" t="s">
        <v>3544</v>
      </c>
      <c r="B3293" s="1007">
        <v>2025</v>
      </c>
      <c r="C3293" s="1006" t="s">
        <v>1932</v>
      </c>
      <c r="D3293" s="1006" t="s">
        <v>3423</v>
      </c>
      <c r="E3293" s="1006" t="s">
        <v>3553</v>
      </c>
      <c r="F3293" s="465"/>
      <c r="G3293" s="1007">
        <v>0</v>
      </c>
      <c r="H3293" s="465"/>
      <c r="I3293" s="465"/>
      <c r="J3293" s="1008">
        <v>0</v>
      </c>
      <c r="K3293" s="1009">
        <v>0</v>
      </c>
    </row>
    <row r="3294" spans="1:11" ht="20.25" customHeight="1" x14ac:dyDescent="0.25">
      <c r="A3294" s="1006" t="s">
        <v>3544</v>
      </c>
      <c r="B3294" s="1007">
        <v>2025</v>
      </c>
      <c r="C3294" s="1006" t="s">
        <v>1935</v>
      </c>
      <c r="D3294" s="1006" t="s">
        <v>1936</v>
      </c>
      <c r="E3294" s="1006" t="s">
        <v>9257</v>
      </c>
      <c r="F3294" s="465"/>
      <c r="G3294" s="1007">
        <v>1</v>
      </c>
      <c r="H3294" s="465"/>
      <c r="I3294" s="465"/>
      <c r="J3294" s="1008">
        <v>0</v>
      </c>
      <c r="K3294" s="1009">
        <v>0</v>
      </c>
    </row>
    <row r="3295" spans="1:11" ht="20.25" customHeight="1" x14ac:dyDescent="0.25">
      <c r="A3295" s="1006" t="s">
        <v>3544</v>
      </c>
      <c r="B3295" s="1007">
        <v>2025</v>
      </c>
      <c r="C3295" s="1006" t="s">
        <v>1935</v>
      </c>
      <c r="D3295" s="1006" t="s">
        <v>1937</v>
      </c>
      <c r="E3295" s="1006" t="s">
        <v>9258</v>
      </c>
      <c r="F3295" s="465"/>
      <c r="G3295" s="1007">
        <v>1</v>
      </c>
      <c r="H3295" s="465"/>
      <c r="I3295" s="465"/>
      <c r="J3295" s="1008">
        <v>0</v>
      </c>
      <c r="K3295" s="1009">
        <v>0</v>
      </c>
    </row>
    <row r="3296" spans="1:11" ht="20.25" customHeight="1" x14ac:dyDescent="0.25">
      <c r="A3296" s="1006" t="s">
        <v>3544</v>
      </c>
      <c r="B3296" s="1007">
        <v>2025</v>
      </c>
      <c r="C3296" s="1006" t="s">
        <v>1935</v>
      </c>
      <c r="D3296" s="1006" t="s">
        <v>1938</v>
      </c>
      <c r="E3296" s="1006" t="s">
        <v>9259</v>
      </c>
      <c r="F3296" s="465"/>
      <c r="G3296" s="1007">
        <v>1</v>
      </c>
      <c r="H3296" s="465"/>
      <c r="I3296" s="465"/>
      <c r="J3296" s="1008">
        <v>0</v>
      </c>
      <c r="K3296" s="1009">
        <v>0</v>
      </c>
    </row>
    <row r="3297" spans="1:11" ht="20.25" customHeight="1" x14ac:dyDescent="0.25">
      <c r="A3297" s="1006" t="s">
        <v>3544</v>
      </c>
      <c r="B3297" s="1007">
        <v>2025</v>
      </c>
      <c r="C3297" s="1006" t="s">
        <v>1935</v>
      </c>
      <c r="D3297" s="1006" t="s">
        <v>1939</v>
      </c>
      <c r="E3297" s="1006" t="s">
        <v>9260</v>
      </c>
      <c r="F3297" s="465"/>
      <c r="G3297" s="1007">
        <v>1</v>
      </c>
      <c r="H3297" s="465"/>
      <c r="I3297" s="465"/>
      <c r="J3297" s="1008">
        <v>0</v>
      </c>
      <c r="K3297" s="1009">
        <v>0</v>
      </c>
    </row>
    <row r="3298" spans="1:11" ht="20.25" customHeight="1" x14ac:dyDescent="0.25">
      <c r="A3298" s="1006" t="s">
        <v>3544</v>
      </c>
      <c r="B3298" s="1007">
        <v>2025</v>
      </c>
      <c r="C3298" s="1006" t="s">
        <v>1935</v>
      </c>
      <c r="D3298" s="1006" t="s">
        <v>1940</v>
      </c>
      <c r="E3298" s="1006" t="s">
        <v>9261</v>
      </c>
      <c r="F3298" s="465"/>
      <c r="G3298" s="1007">
        <v>1</v>
      </c>
      <c r="H3298" s="465"/>
      <c r="I3298" s="465"/>
      <c r="J3298" s="1008">
        <v>0</v>
      </c>
      <c r="K3298" s="1009">
        <v>0</v>
      </c>
    </row>
    <row r="3299" spans="1:11" ht="20.25" customHeight="1" x14ac:dyDescent="0.25">
      <c r="A3299" s="1006" t="s">
        <v>3544</v>
      </c>
      <c r="B3299" s="1007">
        <v>2025</v>
      </c>
      <c r="C3299" s="1006" t="s">
        <v>1935</v>
      </c>
      <c r="D3299" s="1006" t="s">
        <v>1941</v>
      </c>
      <c r="E3299" s="1006" t="s">
        <v>9262</v>
      </c>
      <c r="F3299" s="465"/>
      <c r="G3299" s="1007">
        <v>1</v>
      </c>
      <c r="H3299" s="465"/>
      <c r="I3299" s="465"/>
      <c r="J3299" s="1008">
        <v>0</v>
      </c>
      <c r="K3299" s="1009">
        <v>0</v>
      </c>
    </row>
    <row r="3300" spans="1:11" ht="20.25" customHeight="1" x14ac:dyDescent="0.25">
      <c r="A3300" s="1006" t="s">
        <v>3544</v>
      </c>
      <c r="B3300" s="1007">
        <v>2025</v>
      </c>
      <c r="C3300" s="1006" t="s">
        <v>1935</v>
      </c>
      <c r="D3300" s="1006" t="s">
        <v>1942</v>
      </c>
      <c r="E3300" s="1006" t="s">
        <v>9263</v>
      </c>
      <c r="F3300" s="465"/>
      <c r="G3300" s="1007">
        <v>1</v>
      </c>
      <c r="H3300" s="465"/>
      <c r="I3300" s="465"/>
      <c r="J3300" s="1008">
        <v>0</v>
      </c>
      <c r="K3300" s="1009">
        <v>0</v>
      </c>
    </row>
    <row r="3301" spans="1:11" ht="20.25" customHeight="1" x14ac:dyDescent="0.25">
      <c r="A3301" s="1006" t="s">
        <v>3544</v>
      </c>
      <c r="B3301" s="1007">
        <v>2025</v>
      </c>
      <c r="C3301" s="1006" t="s">
        <v>1935</v>
      </c>
      <c r="D3301" s="1006" t="s">
        <v>1943</v>
      </c>
      <c r="E3301" s="1006" t="s">
        <v>9264</v>
      </c>
      <c r="F3301" s="465"/>
      <c r="G3301" s="1007">
        <v>1</v>
      </c>
      <c r="H3301" s="465"/>
      <c r="I3301" s="465"/>
      <c r="J3301" s="1008">
        <v>0</v>
      </c>
      <c r="K3301" s="1009">
        <v>0</v>
      </c>
    </row>
    <row r="3302" spans="1:11" ht="20.25" customHeight="1" x14ac:dyDescent="0.25">
      <c r="A3302" s="1006" t="s">
        <v>3544</v>
      </c>
      <c r="B3302" s="1007">
        <v>2025</v>
      </c>
      <c r="C3302" s="1006" t="s">
        <v>1935</v>
      </c>
      <c r="D3302" s="1006" t="s">
        <v>1944</v>
      </c>
      <c r="E3302" s="1006" t="s">
        <v>9265</v>
      </c>
      <c r="F3302" s="465"/>
      <c r="G3302" s="1007">
        <v>1</v>
      </c>
      <c r="H3302" s="465"/>
      <c r="I3302" s="465"/>
      <c r="J3302" s="1008">
        <v>0</v>
      </c>
      <c r="K3302" s="1009">
        <v>0</v>
      </c>
    </row>
    <row r="3303" spans="1:11" ht="20.25" customHeight="1" x14ac:dyDescent="0.25">
      <c r="A3303" s="1006" t="s">
        <v>3544</v>
      </c>
      <c r="B3303" s="1007">
        <v>2025</v>
      </c>
      <c r="C3303" s="1006" t="s">
        <v>1935</v>
      </c>
      <c r="D3303" s="1006" t="s">
        <v>1945</v>
      </c>
      <c r="E3303" s="1006" t="s">
        <v>9266</v>
      </c>
      <c r="F3303" s="465"/>
      <c r="G3303" s="1007">
        <v>1</v>
      </c>
      <c r="H3303" s="465"/>
      <c r="I3303" s="465"/>
      <c r="J3303" s="1008">
        <v>0</v>
      </c>
      <c r="K3303" s="1009">
        <v>0</v>
      </c>
    </row>
    <row r="3304" spans="1:11" ht="20.25" customHeight="1" x14ac:dyDescent="0.25">
      <c r="A3304" s="1006" t="s">
        <v>3544</v>
      </c>
      <c r="B3304" s="1007">
        <v>2025</v>
      </c>
      <c r="C3304" s="1006" t="s">
        <v>1935</v>
      </c>
      <c r="D3304" s="1006" t="s">
        <v>1946</v>
      </c>
      <c r="E3304" s="1006" t="s">
        <v>9267</v>
      </c>
      <c r="F3304" s="465"/>
      <c r="G3304" s="1007">
        <v>1</v>
      </c>
      <c r="H3304" s="465"/>
      <c r="I3304" s="465"/>
      <c r="J3304" s="1008">
        <v>0</v>
      </c>
      <c r="K3304" s="1009">
        <v>0</v>
      </c>
    </row>
    <row r="3305" spans="1:11" ht="20.25" customHeight="1" x14ac:dyDescent="0.25">
      <c r="A3305" s="1006" t="s">
        <v>3544</v>
      </c>
      <c r="B3305" s="1007">
        <v>2025</v>
      </c>
      <c r="C3305" s="1006" t="s">
        <v>1935</v>
      </c>
      <c r="D3305" s="1006" t="s">
        <v>1947</v>
      </c>
      <c r="E3305" s="1006" t="s">
        <v>9268</v>
      </c>
      <c r="F3305" s="465"/>
      <c r="G3305" s="1007">
        <v>1</v>
      </c>
      <c r="H3305" s="465"/>
      <c r="I3305" s="465"/>
      <c r="J3305" s="1008">
        <v>0</v>
      </c>
      <c r="K3305" s="1009">
        <v>0</v>
      </c>
    </row>
    <row r="3306" spans="1:11" ht="20.25" customHeight="1" x14ac:dyDescent="0.25">
      <c r="A3306" s="1006" t="s">
        <v>3544</v>
      </c>
      <c r="B3306" s="1007">
        <v>2025</v>
      </c>
      <c r="C3306" s="1006" t="s">
        <v>1935</v>
      </c>
      <c r="D3306" s="1006" t="s">
        <v>1948</v>
      </c>
      <c r="E3306" s="1006" t="s">
        <v>9269</v>
      </c>
      <c r="F3306" s="465"/>
      <c r="G3306" s="1007">
        <v>1</v>
      </c>
      <c r="H3306" s="465"/>
      <c r="I3306" s="465"/>
      <c r="J3306" s="1008">
        <v>0</v>
      </c>
      <c r="K3306" s="1009">
        <v>0</v>
      </c>
    </row>
    <row r="3307" spans="1:11" ht="20.25" customHeight="1" x14ac:dyDescent="0.25">
      <c r="A3307" s="1006" t="s">
        <v>3544</v>
      </c>
      <c r="B3307" s="1007">
        <v>2025</v>
      </c>
      <c r="C3307" s="1006" t="s">
        <v>1935</v>
      </c>
      <c r="D3307" s="1006" t="s">
        <v>1949</v>
      </c>
      <c r="E3307" s="1006" t="s">
        <v>9270</v>
      </c>
      <c r="F3307" s="465"/>
      <c r="G3307" s="1007">
        <v>1</v>
      </c>
      <c r="H3307" s="465"/>
      <c r="I3307" s="465"/>
      <c r="J3307" s="1008">
        <v>0</v>
      </c>
      <c r="K3307" s="1009">
        <v>0</v>
      </c>
    </row>
    <row r="3308" spans="1:11" ht="20.25" customHeight="1" x14ac:dyDescent="0.25">
      <c r="A3308" s="1006" t="s">
        <v>3544</v>
      </c>
      <c r="B3308" s="1007">
        <v>2025</v>
      </c>
      <c r="C3308" s="1006" t="s">
        <v>1935</v>
      </c>
      <c r="D3308" s="1006" t="s">
        <v>1950</v>
      </c>
      <c r="E3308" s="1006" t="s">
        <v>9271</v>
      </c>
      <c r="F3308" s="465"/>
      <c r="G3308" s="1007">
        <v>1</v>
      </c>
      <c r="H3308" s="465"/>
      <c r="I3308" s="465"/>
      <c r="J3308" s="1008">
        <v>0</v>
      </c>
      <c r="K3308" s="1009">
        <v>0</v>
      </c>
    </row>
    <row r="3309" spans="1:11" ht="20.25" customHeight="1" x14ac:dyDescent="0.25">
      <c r="A3309" s="1006" t="s">
        <v>3544</v>
      </c>
      <c r="B3309" s="1007">
        <v>2025</v>
      </c>
      <c r="C3309" s="1006" t="s">
        <v>1935</v>
      </c>
      <c r="D3309" s="1006" t="s">
        <v>1951</v>
      </c>
      <c r="E3309" s="1006" t="s">
        <v>9272</v>
      </c>
      <c r="F3309" s="465"/>
      <c r="G3309" s="1007">
        <v>1</v>
      </c>
      <c r="H3309" s="465"/>
      <c r="I3309" s="465"/>
      <c r="J3309" s="1008">
        <v>0</v>
      </c>
      <c r="K3309" s="1009">
        <v>0</v>
      </c>
    </row>
    <row r="3310" spans="1:11" ht="20.25" customHeight="1" x14ac:dyDescent="0.25">
      <c r="A3310" s="1006" t="s">
        <v>3544</v>
      </c>
      <c r="B3310" s="1007">
        <v>2025</v>
      </c>
      <c r="C3310" s="1006" t="s">
        <v>1935</v>
      </c>
      <c r="D3310" s="1006" t="s">
        <v>7801</v>
      </c>
      <c r="E3310" s="1006" t="s">
        <v>9273</v>
      </c>
      <c r="F3310" s="465"/>
      <c r="G3310" s="1007">
        <v>1</v>
      </c>
      <c r="H3310" s="465"/>
      <c r="I3310" s="465"/>
      <c r="J3310" s="1008">
        <v>0</v>
      </c>
      <c r="K3310" s="1009">
        <v>0</v>
      </c>
    </row>
    <row r="3311" spans="1:11" ht="20.25" customHeight="1" x14ac:dyDescent="0.25">
      <c r="A3311" s="1006" t="s">
        <v>3544</v>
      </c>
      <c r="B3311" s="1007">
        <v>2025</v>
      </c>
      <c r="C3311" s="1006" t="s">
        <v>1935</v>
      </c>
      <c r="D3311" s="1006" t="s">
        <v>3425</v>
      </c>
      <c r="E3311" s="1006" t="s">
        <v>9274</v>
      </c>
      <c r="F3311" s="465"/>
      <c r="G3311" s="1007">
        <v>0</v>
      </c>
      <c r="H3311" s="465"/>
      <c r="I3311" s="465"/>
      <c r="J3311" s="1008">
        <v>0</v>
      </c>
      <c r="K3311" s="1009">
        <v>0</v>
      </c>
    </row>
    <row r="3312" spans="1:11" ht="20.25" customHeight="1" x14ac:dyDescent="0.25">
      <c r="A3312" s="1006" t="s">
        <v>3544</v>
      </c>
      <c r="B3312" s="1007">
        <v>2025</v>
      </c>
      <c r="C3312" s="1006" t="s">
        <v>1935</v>
      </c>
      <c r="D3312" s="1006" t="s">
        <v>3426</v>
      </c>
      <c r="E3312" s="1006" t="s">
        <v>9275</v>
      </c>
      <c r="F3312" s="465"/>
      <c r="G3312" s="1007">
        <v>0</v>
      </c>
      <c r="H3312" s="465"/>
      <c r="I3312" s="465"/>
      <c r="J3312" s="1008">
        <v>0</v>
      </c>
      <c r="K3312" s="1009">
        <v>0</v>
      </c>
    </row>
    <row r="3313" spans="1:11" ht="20.25" customHeight="1" x14ac:dyDescent="0.25">
      <c r="A3313" s="1006" t="s">
        <v>3544</v>
      </c>
      <c r="B3313" s="1007">
        <v>2025</v>
      </c>
      <c r="C3313" s="1006" t="s">
        <v>1935</v>
      </c>
      <c r="D3313" s="1006" t="s">
        <v>3427</v>
      </c>
      <c r="E3313" s="1006" t="s">
        <v>9276</v>
      </c>
      <c r="F3313" s="465"/>
      <c r="G3313" s="1007">
        <v>0</v>
      </c>
      <c r="H3313" s="465"/>
      <c r="I3313" s="465"/>
      <c r="J3313" s="1008">
        <v>0</v>
      </c>
      <c r="K3313" s="1009">
        <v>0</v>
      </c>
    </row>
    <row r="3314" spans="1:11" ht="20.25" customHeight="1" x14ac:dyDescent="0.25">
      <c r="A3314" s="1006" t="s">
        <v>3544</v>
      </c>
      <c r="B3314" s="1007">
        <v>2025</v>
      </c>
      <c r="C3314" s="1006" t="s">
        <v>1935</v>
      </c>
      <c r="D3314" s="1006" t="s">
        <v>3428</v>
      </c>
      <c r="E3314" s="1006" t="s">
        <v>9274</v>
      </c>
      <c r="F3314" s="465"/>
      <c r="G3314" s="1007">
        <v>0</v>
      </c>
      <c r="H3314" s="465"/>
      <c r="I3314" s="465"/>
      <c r="J3314" s="1008">
        <v>0</v>
      </c>
      <c r="K3314" s="1009">
        <v>0</v>
      </c>
    </row>
    <row r="3315" spans="1:11" ht="20.25" customHeight="1" x14ac:dyDescent="0.25">
      <c r="A3315" s="1006" t="s">
        <v>3544</v>
      </c>
      <c r="B3315" s="1007">
        <v>2025</v>
      </c>
      <c r="C3315" s="1006" t="s">
        <v>1935</v>
      </c>
      <c r="D3315" s="1006" t="s">
        <v>3429</v>
      </c>
      <c r="E3315" s="1006" t="s">
        <v>9275</v>
      </c>
      <c r="F3315" s="465"/>
      <c r="G3315" s="1007">
        <v>0</v>
      </c>
      <c r="H3315" s="465"/>
      <c r="I3315" s="465"/>
      <c r="J3315" s="1008">
        <v>0</v>
      </c>
      <c r="K3315" s="1009">
        <v>0</v>
      </c>
    </row>
    <row r="3316" spans="1:11" ht="20.25" customHeight="1" x14ac:dyDescent="0.25">
      <c r="A3316" s="1006" t="s">
        <v>3544</v>
      </c>
      <c r="B3316" s="1007">
        <v>2025</v>
      </c>
      <c r="C3316" s="1006" t="s">
        <v>1935</v>
      </c>
      <c r="D3316" s="1006" t="s">
        <v>3430</v>
      </c>
      <c r="E3316" s="1006" t="s">
        <v>9276</v>
      </c>
      <c r="F3316" s="465"/>
      <c r="G3316" s="1007">
        <v>0</v>
      </c>
      <c r="H3316" s="465"/>
      <c r="I3316" s="465"/>
      <c r="J3316" s="1008">
        <v>0</v>
      </c>
      <c r="K3316" s="1009">
        <v>0</v>
      </c>
    </row>
    <row r="3317" spans="1:11" ht="20.25" customHeight="1" x14ac:dyDescent="0.25">
      <c r="A3317" s="1006" t="s">
        <v>3544</v>
      </c>
      <c r="B3317" s="1007">
        <v>2025</v>
      </c>
      <c r="C3317" s="1006" t="s">
        <v>1935</v>
      </c>
      <c r="D3317" s="1006" t="s">
        <v>3431</v>
      </c>
      <c r="E3317" s="1006" t="s">
        <v>9274</v>
      </c>
      <c r="F3317" s="465"/>
      <c r="G3317" s="1007">
        <v>0</v>
      </c>
      <c r="H3317" s="465"/>
      <c r="I3317" s="465"/>
      <c r="J3317" s="1008">
        <v>0</v>
      </c>
      <c r="K3317" s="1009">
        <v>0</v>
      </c>
    </row>
    <row r="3318" spans="1:11" ht="20.25" customHeight="1" x14ac:dyDescent="0.25">
      <c r="A3318" s="1006" t="s">
        <v>3544</v>
      </c>
      <c r="B3318" s="1007">
        <v>2025</v>
      </c>
      <c r="C3318" s="1006" t="s">
        <v>1935</v>
      </c>
      <c r="D3318" s="1006" t="s">
        <v>3432</v>
      </c>
      <c r="E3318" s="1006" t="s">
        <v>9275</v>
      </c>
      <c r="F3318" s="465"/>
      <c r="G3318" s="1007">
        <v>0</v>
      </c>
      <c r="H3318" s="465"/>
      <c r="I3318" s="465"/>
      <c r="J3318" s="1008">
        <v>0</v>
      </c>
      <c r="K3318" s="1009">
        <v>0</v>
      </c>
    </row>
    <row r="3319" spans="1:11" ht="20.25" customHeight="1" x14ac:dyDescent="0.25">
      <c r="A3319" s="1006" t="s">
        <v>3544</v>
      </c>
      <c r="B3319" s="1007">
        <v>2025</v>
      </c>
      <c r="C3319" s="1006" t="s">
        <v>1935</v>
      </c>
      <c r="D3319" s="1006" t="s">
        <v>3433</v>
      </c>
      <c r="E3319" s="1006" t="s">
        <v>9276</v>
      </c>
      <c r="F3319" s="465"/>
      <c r="G3319" s="1007">
        <v>0</v>
      </c>
      <c r="H3319" s="465"/>
      <c r="I3319" s="465"/>
      <c r="J3319" s="1008">
        <v>0</v>
      </c>
      <c r="K3319" s="1009">
        <v>0</v>
      </c>
    </row>
    <row r="3320" spans="1:11" ht="20.25" customHeight="1" x14ac:dyDescent="0.25">
      <c r="A3320" s="1006" t="s">
        <v>3554</v>
      </c>
      <c r="B3320" s="1007">
        <v>2025</v>
      </c>
      <c r="C3320" s="1006" t="s">
        <v>1887</v>
      </c>
      <c r="D3320" s="1006" t="s">
        <v>138</v>
      </c>
      <c r="E3320" s="1006" t="s">
        <v>3555</v>
      </c>
      <c r="F3320" s="465"/>
      <c r="G3320" s="1007">
        <v>1</v>
      </c>
      <c r="H3320" s="465"/>
      <c r="I3320" s="465"/>
      <c r="J3320" s="1008">
        <v>0</v>
      </c>
      <c r="K3320" s="1009">
        <v>0</v>
      </c>
    </row>
    <row r="3321" spans="1:11" ht="20.25" customHeight="1" x14ac:dyDescent="0.25">
      <c r="A3321" s="1006" t="s">
        <v>3554</v>
      </c>
      <c r="B3321" s="1007">
        <v>2025</v>
      </c>
      <c r="C3321" s="1006" t="s">
        <v>1889</v>
      </c>
      <c r="D3321" s="1006" t="s">
        <v>139</v>
      </c>
      <c r="E3321" s="1006" t="s">
        <v>3556</v>
      </c>
      <c r="F3321" s="465"/>
      <c r="G3321" s="1007">
        <v>1</v>
      </c>
      <c r="H3321" s="465"/>
      <c r="I3321" s="465"/>
      <c r="J3321" s="1008">
        <v>0</v>
      </c>
      <c r="K3321" s="1009">
        <v>0</v>
      </c>
    </row>
    <row r="3322" spans="1:11" ht="20.25" customHeight="1" x14ac:dyDescent="0.25">
      <c r="A3322" s="1006" t="s">
        <v>3554</v>
      </c>
      <c r="B3322" s="1007">
        <v>2025</v>
      </c>
      <c r="C3322" s="1006" t="s">
        <v>1891</v>
      </c>
      <c r="D3322" s="1006" t="s">
        <v>1894</v>
      </c>
      <c r="E3322" s="1006" t="s">
        <v>3557</v>
      </c>
      <c r="F3322" s="465"/>
      <c r="G3322" s="1007">
        <v>0</v>
      </c>
      <c r="H3322" s="465"/>
      <c r="I3322" s="465"/>
      <c r="J3322" s="1008">
        <v>0</v>
      </c>
      <c r="K3322" s="1009">
        <v>0</v>
      </c>
    </row>
    <row r="3323" spans="1:11" ht="20.25" customHeight="1" x14ac:dyDescent="0.25">
      <c r="A3323" s="1006" t="s">
        <v>3554</v>
      </c>
      <c r="B3323" s="1007">
        <v>2025</v>
      </c>
      <c r="C3323" s="1006" t="s">
        <v>1913</v>
      </c>
      <c r="D3323" s="1006" t="s">
        <v>1914</v>
      </c>
      <c r="E3323" s="1006" t="s">
        <v>3558</v>
      </c>
      <c r="F3323" s="465"/>
      <c r="G3323" s="1007">
        <v>1</v>
      </c>
      <c r="H3323" s="465"/>
      <c r="I3323" s="465"/>
      <c r="J3323" s="1008">
        <v>0</v>
      </c>
      <c r="K3323" s="1009">
        <v>0</v>
      </c>
    </row>
    <row r="3324" spans="1:11" ht="20.25" customHeight="1" x14ac:dyDescent="0.25">
      <c r="A3324" s="1006" t="s">
        <v>3554</v>
      </c>
      <c r="B3324" s="1007">
        <v>2025</v>
      </c>
      <c r="C3324" s="1006" t="s">
        <v>1913</v>
      </c>
      <c r="D3324" s="1006" t="s">
        <v>1916</v>
      </c>
      <c r="E3324" s="1006" t="s">
        <v>3558</v>
      </c>
      <c r="F3324" s="465"/>
      <c r="G3324" s="1007">
        <v>0</v>
      </c>
      <c r="H3324" s="465"/>
      <c r="I3324" s="465"/>
      <c r="J3324" s="1008">
        <v>0</v>
      </c>
      <c r="K3324" s="1009">
        <v>0</v>
      </c>
    </row>
    <row r="3325" spans="1:11" ht="20.25" customHeight="1" x14ac:dyDescent="0.25">
      <c r="A3325" s="1006" t="s">
        <v>3554</v>
      </c>
      <c r="B3325" s="1007">
        <v>2025</v>
      </c>
      <c r="C3325" s="1006" t="s">
        <v>1913</v>
      </c>
      <c r="D3325" s="1006" t="s">
        <v>1917</v>
      </c>
      <c r="E3325" s="1006" t="s">
        <v>3558</v>
      </c>
      <c r="F3325" s="465"/>
      <c r="G3325" s="1007">
        <v>0</v>
      </c>
      <c r="H3325" s="465"/>
      <c r="I3325" s="465"/>
      <c r="J3325" s="1008">
        <v>0</v>
      </c>
      <c r="K3325" s="1009">
        <v>0</v>
      </c>
    </row>
    <row r="3326" spans="1:11" ht="20.25" customHeight="1" x14ac:dyDescent="0.25">
      <c r="A3326" s="1006" t="s">
        <v>3554</v>
      </c>
      <c r="B3326" s="1007">
        <v>2025</v>
      </c>
      <c r="C3326" s="1006" t="s">
        <v>1913</v>
      </c>
      <c r="D3326" s="1006" t="s">
        <v>1918</v>
      </c>
      <c r="E3326" s="1006" t="s">
        <v>3558</v>
      </c>
      <c r="F3326" s="465"/>
      <c r="G3326" s="1007">
        <v>0</v>
      </c>
      <c r="H3326" s="465"/>
      <c r="I3326" s="465"/>
      <c r="J3326" s="1008">
        <v>0</v>
      </c>
      <c r="K3326" s="1009">
        <v>0</v>
      </c>
    </row>
    <row r="3327" spans="1:11" ht="20.25" customHeight="1" x14ac:dyDescent="0.25">
      <c r="A3327" s="1006" t="s">
        <v>3554</v>
      </c>
      <c r="B3327" s="1007">
        <v>2025</v>
      </c>
      <c r="C3327" s="1006" t="s">
        <v>1913</v>
      </c>
      <c r="D3327" s="1006" t="s">
        <v>1919</v>
      </c>
      <c r="E3327" s="1006" t="s">
        <v>3558</v>
      </c>
      <c r="F3327" s="465"/>
      <c r="G3327" s="1007">
        <v>0</v>
      </c>
      <c r="H3327" s="465"/>
      <c r="I3327" s="465"/>
      <c r="J3327" s="1008">
        <v>0</v>
      </c>
      <c r="K3327" s="1009">
        <v>0</v>
      </c>
    </row>
    <row r="3328" spans="1:11" ht="20.25" customHeight="1" x14ac:dyDescent="0.25">
      <c r="A3328" s="1006" t="s">
        <v>3554</v>
      </c>
      <c r="B3328" s="1007">
        <v>2025</v>
      </c>
      <c r="C3328" s="1006" t="s">
        <v>1923</v>
      </c>
      <c r="D3328" s="1006" t="s">
        <v>143</v>
      </c>
      <c r="E3328" s="1006" t="s">
        <v>3559</v>
      </c>
      <c r="F3328" s="465"/>
      <c r="G3328" s="1007">
        <v>1</v>
      </c>
      <c r="H3328" s="465"/>
      <c r="I3328" s="465"/>
      <c r="J3328" s="1008">
        <v>0</v>
      </c>
      <c r="K3328" s="1009">
        <v>0</v>
      </c>
    </row>
    <row r="3329" spans="1:11" ht="20.25" customHeight="1" x14ac:dyDescent="0.25">
      <c r="A3329" s="1006" t="s">
        <v>3554</v>
      </c>
      <c r="B3329" s="1007">
        <v>2025</v>
      </c>
      <c r="C3329" s="1006" t="s">
        <v>1925</v>
      </c>
      <c r="D3329" s="1006" t="s">
        <v>144</v>
      </c>
      <c r="E3329" s="1006" t="s">
        <v>3560</v>
      </c>
      <c r="F3329" s="465"/>
      <c r="G3329" s="1007">
        <v>1</v>
      </c>
      <c r="H3329" s="465"/>
      <c r="I3329" s="465"/>
      <c r="J3329" s="1008">
        <v>0</v>
      </c>
      <c r="K3329" s="1009">
        <v>0</v>
      </c>
    </row>
    <row r="3330" spans="1:11" ht="20.25" customHeight="1" x14ac:dyDescent="0.25">
      <c r="A3330" s="1006" t="s">
        <v>3554</v>
      </c>
      <c r="B3330" s="1007">
        <v>2025</v>
      </c>
      <c r="C3330" s="1006" t="s">
        <v>1927</v>
      </c>
      <c r="D3330" s="1006" t="s">
        <v>1928</v>
      </c>
      <c r="E3330" s="1006" t="s">
        <v>3561</v>
      </c>
      <c r="F3330" s="465"/>
      <c r="G3330" s="1007">
        <v>1</v>
      </c>
      <c r="H3330" s="465"/>
      <c r="I3330" s="465"/>
      <c r="J3330" s="1008">
        <v>0</v>
      </c>
      <c r="K3330" s="1009">
        <v>0</v>
      </c>
    </row>
    <row r="3331" spans="1:11" ht="20.25" customHeight="1" x14ac:dyDescent="0.25">
      <c r="A3331" s="1006" t="s">
        <v>3554</v>
      </c>
      <c r="B3331" s="1007">
        <v>2025</v>
      </c>
      <c r="C3331" s="1006" t="s">
        <v>1930</v>
      </c>
      <c r="D3331" s="1006" t="s">
        <v>156</v>
      </c>
      <c r="E3331" s="1006" t="s">
        <v>3562</v>
      </c>
      <c r="F3331" s="465"/>
      <c r="G3331" s="1007">
        <v>1</v>
      </c>
      <c r="H3331" s="465"/>
      <c r="I3331" s="465"/>
      <c r="J3331" s="1008">
        <v>0</v>
      </c>
      <c r="K3331" s="1009">
        <v>0</v>
      </c>
    </row>
    <row r="3332" spans="1:11" ht="20.25" customHeight="1" x14ac:dyDescent="0.25">
      <c r="A3332" s="1006" t="s">
        <v>3554</v>
      </c>
      <c r="B3332" s="1007">
        <v>2025</v>
      </c>
      <c r="C3332" s="1006" t="s">
        <v>1932</v>
      </c>
      <c r="D3332" s="1006" t="s">
        <v>3423</v>
      </c>
      <c r="E3332" s="1006" t="s">
        <v>3563</v>
      </c>
      <c r="F3332" s="465"/>
      <c r="G3332" s="1007">
        <v>0</v>
      </c>
      <c r="H3332" s="465"/>
      <c r="I3332" s="465"/>
      <c r="J3332" s="1008">
        <v>0</v>
      </c>
      <c r="K3332" s="1009">
        <v>0</v>
      </c>
    </row>
    <row r="3333" spans="1:11" ht="20.25" customHeight="1" x14ac:dyDescent="0.25">
      <c r="A3333" s="1006" t="s">
        <v>3554</v>
      </c>
      <c r="B3333" s="1007">
        <v>2025</v>
      </c>
      <c r="C3333" s="1006" t="s">
        <v>1935</v>
      </c>
      <c r="D3333" s="1006" t="s">
        <v>1936</v>
      </c>
      <c r="E3333" s="1006" t="s">
        <v>9277</v>
      </c>
      <c r="F3333" s="465"/>
      <c r="G3333" s="1007">
        <v>1</v>
      </c>
      <c r="H3333" s="465"/>
      <c r="I3333" s="465"/>
      <c r="J3333" s="1008">
        <v>0</v>
      </c>
      <c r="K3333" s="1009">
        <v>0</v>
      </c>
    </row>
    <row r="3334" spans="1:11" ht="20.25" customHeight="1" x14ac:dyDescent="0.25">
      <c r="A3334" s="1006" t="s">
        <v>3554</v>
      </c>
      <c r="B3334" s="1007">
        <v>2025</v>
      </c>
      <c r="C3334" s="1006" t="s">
        <v>1935</v>
      </c>
      <c r="D3334" s="1006" t="s">
        <v>1937</v>
      </c>
      <c r="E3334" s="1006" t="s">
        <v>9278</v>
      </c>
      <c r="F3334" s="465"/>
      <c r="G3334" s="1007">
        <v>1</v>
      </c>
      <c r="H3334" s="465"/>
      <c r="I3334" s="465"/>
      <c r="J3334" s="1008">
        <v>0</v>
      </c>
      <c r="K3334" s="1009">
        <v>0</v>
      </c>
    </row>
    <row r="3335" spans="1:11" ht="20.25" customHeight="1" x14ac:dyDescent="0.25">
      <c r="A3335" s="1006" t="s">
        <v>3554</v>
      </c>
      <c r="B3335" s="1007">
        <v>2025</v>
      </c>
      <c r="C3335" s="1006" t="s">
        <v>1935</v>
      </c>
      <c r="D3335" s="1006" t="s">
        <v>1938</v>
      </c>
      <c r="E3335" s="1006" t="s">
        <v>9279</v>
      </c>
      <c r="F3335" s="465"/>
      <c r="G3335" s="1007">
        <v>1</v>
      </c>
      <c r="H3335" s="465"/>
      <c r="I3335" s="465"/>
      <c r="J3335" s="1008">
        <v>0</v>
      </c>
      <c r="K3335" s="1009">
        <v>0</v>
      </c>
    </row>
    <row r="3336" spans="1:11" ht="20.25" customHeight="1" x14ac:dyDescent="0.25">
      <c r="A3336" s="1006" t="s">
        <v>3554</v>
      </c>
      <c r="B3336" s="1007">
        <v>2025</v>
      </c>
      <c r="C3336" s="1006" t="s">
        <v>1935</v>
      </c>
      <c r="D3336" s="1006" t="s">
        <v>1939</v>
      </c>
      <c r="E3336" s="1006" t="s">
        <v>9280</v>
      </c>
      <c r="F3336" s="465"/>
      <c r="G3336" s="1007">
        <v>1</v>
      </c>
      <c r="H3336" s="465"/>
      <c r="I3336" s="465"/>
      <c r="J3336" s="1008">
        <v>0</v>
      </c>
      <c r="K3336" s="1009">
        <v>0</v>
      </c>
    </row>
    <row r="3337" spans="1:11" ht="20.25" customHeight="1" x14ac:dyDescent="0.25">
      <c r="A3337" s="1006" t="s">
        <v>3554</v>
      </c>
      <c r="B3337" s="1007">
        <v>2025</v>
      </c>
      <c r="C3337" s="1006" t="s">
        <v>1935</v>
      </c>
      <c r="D3337" s="1006" t="s">
        <v>1940</v>
      </c>
      <c r="E3337" s="1006" t="s">
        <v>9281</v>
      </c>
      <c r="F3337" s="465"/>
      <c r="G3337" s="1007">
        <v>1</v>
      </c>
      <c r="H3337" s="465"/>
      <c r="I3337" s="465"/>
      <c r="J3337" s="1008">
        <v>0</v>
      </c>
      <c r="K3337" s="1009">
        <v>0</v>
      </c>
    </row>
    <row r="3338" spans="1:11" ht="20.25" customHeight="1" x14ac:dyDescent="0.25">
      <c r="A3338" s="1006" t="s">
        <v>3554</v>
      </c>
      <c r="B3338" s="1007">
        <v>2025</v>
      </c>
      <c r="C3338" s="1006" t="s">
        <v>1935</v>
      </c>
      <c r="D3338" s="1006" t="s">
        <v>1941</v>
      </c>
      <c r="E3338" s="1006" t="s">
        <v>9282</v>
      </c>
      <c r="F3338" s="465"/>
      <c r="G3338" s="1007">
        <v>1</v>
      </c>
      <c r="H3338" s="465"/>
      <c r="I3338" s="465"/>
      <c r="J3338" s="1008">
        <v>0</v>
      </c>
      <c r="K3338" s="1009">
        <v>0</v>
      </c>
    </row>
    <row r="3339" spans="1:11" ht="20.25" customHeight="1" x14ac:dyDescent="0.25">
      <c r="A3339" s="1006" t="s">
        <v>3554</v>
      </c>
      <c r="B3339" s="1007">
        <v>2025</v>
      </c>
      <c r="C3339" s="1006" t="s">
        <v>1935</v>
      </c>
      <c r="D3339" s="1006" t="s">
        <v>1942</v>
      </c>
      <c r="E3339" s="1006" t="s">
        <v>9283</v>
      </c>
      <c r="F3339" s="465"/>
      <c r="G3339" s="1007">
        <v>1</v>
      </c>
      <c r="H3339" s="465"/>
      <c r="I3339" s="465"/>
      <c r="J3339" s="1008">
        <v>0</v>
      </c>
      <c r="K3339" s="1009">
        <v>0</v>
      </c>
    </row>
    <row r="3340" spans="1:11" ht="20.25" customHeight="1" x14ac:dyDescent="0.25">
      <c r="A3340" s="1006" t="s">
        <v>3554</v>
      </c>
      <c r="B3340" s="1007">
        <v>2025</v>
      </c>
      <c r="C3340" s="1006" t="s">
        <v>1935</v>
      </c>
      <c r="D3340" s="1006" t="s">
        <v>1943</v>
      </c>
      <c r="E3340" s="1006" t="s">
        <v>9284</v>
      </c>
      <c r="F3340" s="465"/>
      <c r="G3340" s="1007">
        <v>1</v>
      </c>
      <c r="H3340" s="465"/>
      <c r="I3340" s="465"/>
      <c r="J3340" s="1008">
        <v>0</v>
      </c>
      <c r="K3340" s="1009">
        <v>0</v>
      </c>
    </row>
    <row r="3341" spans="1:11" ht="20.25" customHeight="1" x14ac:dyDescent="0.25">
      <c r="A3341" s="1006" t="s">
        <v>3554</v>
      </c>
      <c r="B3341" s="1007">
        <v>2025</v>
      </c>
      <c r="C3341" s="1006" t="s">
        <v>1935</v>
      </c>
      <c r="D3341" s="1006" t="s">
        <v>1944</v>
      </c>
      <c r="E3341" s="1006" t="s">
        <v>9285</v>
      </c>
      <c r="F3341" s="465"/>
      <c r="G3341" s="1007">
        <v>1</v>
      </c>
      <c r="H3341" s="465"/>
      <c r="I3341" s="465"/>
      <c r="J3341" s="1008">
        <v>0</v>
      </c>
      <c r="K3341" s="1009">
        <v>0</v>
      </c>
    </row>
    <row r="3342" spans="1:11" ht="20.25" customHeight="1" x14ac:dyDescent="0.25">
      <c r="A3342" s="1006" t="s">
        <v>3554</v>
      </c>
      <c r="B3342" s="1007">
        <v>2025</v>
      </c>
      <c r="C3342" s="1006" t="s">
        <v>1935</v>
      </c>
      <c r="D3342" s="1006" t="s">
        <v>1945</v>
      </c>
      <c r="E3342" s="1006" t="s">
        <v>9286</v>
      </c>
      <c r="F3342" s="465"/>
      <c r="G3342" s="1007">
        <v>1</v>
      </c>
      <c r="H3342" s="465"/>
      <c r="I3342" s="465"/>
      <c r="J3342" s="1008">
        <v>0</v>
      </c>
      <c r="K3342" s="1009">
        <v>0</v>
      </c>
    </row>
    <row r="3343" spans="1:11" ht="20.25" customHeight="1" x14ac:dyDescent="0.25">
      <c r="A3343" s="1006" t="s">
        <v>3554</v>
      </c>
      <c r="B3343" s="1007">
        <v>2025</v>
      </c>
      <c r="C3343" s="1006" t="s">
        <v>1935</v>
      </c>
      <c r="D3343" s="1006" t="s">
        <v>1946</v>
      </c>
      <c r="E3343" s="1006" t="s">
        <v>9287</v>
      </c>
      <c r="F3343" s="465"/>
      <c r="G3343" s="1007">
        <v>1</v>
      </c>
      <c r="H3343" s="465"/>
      <c r="I3343" s="465"/>
      <c r="J3343" s="1008">
        <v>0</v>
      </c>
      <c r="K3343" s="1009">
        <v>0</v>
      </c>
    </row>
    <row r="3344" spans="1:11" ht="20.25" customHeight="1" x14ac:dyDescent="0.25">
      <c r="A3344" s="1006" t="s">
        <v>3554</v>
      </c>
      <c r="B3344" s="1007">
        <v>2025</v>
      </c>
      <c r="C3344" s="1006" t="s">
        <v>1935</v>
      </c>
      <c r="D3344" s="1006" t="s">
        <v>1947</v>
      </c>
      <c r="E3344" s="1006" t="s">
        <v>9288</v>
      </c>
      <c r="F3344" s="465"/>
      <c r="G3344" s="1007">
        <v>1</v>
      </c>
      <c r="H3344" s="465"/>
      <c r="I3344" s="465"/>
      <c r="J3344" s="1008">
        <v>0</v>
      </c>
      <c r="K3344" s="1009">
        <v>0</v>
      </c>
    </row>
    <row r="3345" spans="1:11" ht="20.25" customHeight="1" x14ac:dyDescent="0.25">
      <c r="A3345" s="1006" t="s">
        <v>3554</v>
      </c>
      <c r="B3345" s="1007">
        <v>2025</v>
      </c>
      <c r="C3345" s="1006" t="s">
        <v>1935</v>
      </c>
      <c r="D3345" s="1006" t="s">
        <v>1948</v>
      </c>
      <c r="E3345" s="1006" t="s">
        <v>9289</v>
      </c>
      <c r="F3345" s="465"/>
      <c r="G3345" s="1007">
        <v>1</v>
      </c>
      <c r="H3345" s="465"/>
      <c r="I3345" s="465"/>
      <c r="J3345" s="1008">
        <v>0</v>
      </c>
      <c r="K3345" s="1009">
        <v>0</v>
      </c>
    </row>
    <row r="3346" spans="1:11" ht="20.25" customHeight="1" x14ac:dyDescent="0.25">
      <c r="A3346" s="1006" t="s">
        <v>3554</v>
      </c>
      <c r="B3346" s="1007">
        <v>2025</v>
      </c>
      <c r="C3346" s="1006" t="s">
        <v>1935</v>
      </c>
      <c r="D3346" s="1006" t="s">
        <v>1949</v>
      </c>
      <c r="E3346" s="1006" t="s">
        <v>9290</v>
      </c>
      <c r="F3346" s="465"/>
      <c r="G3346" s="1007">
        <v>1</v>
      </c>
      <c r="H3346" s="465"/>
      <c r="I3346" s="465"/>
      <c r="J3346" s="1008">
        <v>0</v>
      </c>
      <c r="K3346" s="1009">
        <v>0</v>
      </c>
    </row>
    <row r="3347" spans="1:11" ht="20.25" customHeight="1" x14ac:dyDescent="0.25">
      <c r="A3347" s="1006" t="s">
        <v>3554</v>
      </c>
      <c r="B3347" s="1007">
        <v>2025</v>
      </c>
      <c r="C3347" s="1006" t="s">
        <v>1935</v>
      </c>
      <c r="D3347" s="1006" t="s">
        <v>1950</v>
      </c>
      <c r="E3347" s="1006" t="s">
        <v>9291</v>
      </c>
      <c r="F3347" s="465"/>
      <c r="G3347" s="1007">
        <v>1</v>
      </c>
      <c r="H3347" s="465"/>
      <c r="I3347" s="465"/>
      <c r="J3347" s="1008">
        <v>0</v>
      </c>
      <c r="K3347" s="1009">
        <v>0</v>
      </c>
    </row>
    <row r="3348" spans="1:11" ht="20.25" customHeight="1" x14ac:dyDescent="0.25">
      <c r="A3348" s="1006" t="s">
        <v>3554</v>
      </c>
      <c r="B3348" s="1007">
        <v>2025</v>
      </c>
      <c r="C3348" s="1006" t="s">
        <v>1935</v>
      </c>
      <c r="D3348" s="1006" t="s">
        <v>1951</v>
      </c>
      <c r="E3348" s="1006" t="s">
        <v>9292</v>
      </c>
      <c r="F3348" s="465"/>
      <c r="G3348" s="1007">
        <v>1</v>
      </c>
      <c r="H3348" s="465"/>
      <c r="I3348" s="465"/>
      <c r="J3348" s="1008">
        <v>0</v>
      </c>
      <c r="K3348" s="1009">
        <v>0</v>
      </c>
    </row>
    <row r="3349" spans="1:11" ht="20.25" customHeight="1" x14ac:dyDescent="0.25">
      <c r="A3349" s="1006" t="s">
        <v>3554</v>
      </c>
      <c r="B3349" s="1007">
        <v>2025</v>
      </c>
      <c r="C3349" s="1006" t="s">
        <v>1935</v>
      </c>
      <c r="D3349" s="1006" t="s">
        <v>7801</v>
      </c>
      <c r="E3349" s="1006" t="s">
        <v>9293</v>
      </c>
      <c r="F3349" s="465"/>
      <c r="G3349" s="1007">
        <v>1</v>
      </c>
      <c r="H3349" s="465"/>
      <c r="I3349" s="465"/>
      <c r="J3349" s="1008">
        <v>0</v>
      </c>
      <c r="K3349" s="1009">
        <v>0</v>
      </c>
    </row>
    <row r="3350" spans="1:11" ht="20.25" customHeight="1" x14ac:dyDescent="0.25">
      <c r="A3350" s="1006" t="s">
        <v>3554</v>
      </c>
      <c r="B3350" s="1007">
        <v>2025</v>
      </c>
      <c r="C3350" s="1006" t="s">
        <v>1935</v>
      </c>
      <c r="D3350" s="1006" t="s">
        <v>3425</v>
      </c>
      <c r="E3350" s="1006" t="s">
        <v>9294</v>
      </c>
      <c r="F3350" s="465"/>
      <c r="G3350" s="1007">
        <v>0</v>
      </c>
      <c r="H3350" s="465"/>
      <c r="I3350" s="465"/>
      <c r="J3350" s="1008">
        <v>0</v>
      </c>
      <c r="K3350" s="1009">
        <v>0</v>
      </c>
    </row>
    <row r="3351" spans="1:11" ht="20.25" customHeight="1" x14ac:dyDescent="0.25">
      <c r="A3351" s="1006" t="s">
        <v>3554</v>
      </c>
      <c r="B3351" s="1007">
        <v>2025</v>
      </c>
      <c r="C3351" s="1006" t="s">
        <v>1935</v>
      </c>
      <c r="D3351" s="1006" t="s">
        <v>3426</v>
      </c>
      <c r="E3351" s="1006" t="s">
        <v>9295</v>
      </c>
      <c r="F3351" s="465"/>
      <c r="G3351" s="1007">
        <v>0</v>
      </c>
      <c r="H3351" s="465"/>
      <c r="I3351" s="465"/>
      <c r="J3351" s="1008">
        <v>0</v>
      </c>
      <c r="K3351" s="1009">
        <v>0</v>
      </c>
    </row>
    <row r="3352" spans="1:11" ht="20.25" customHeight="1" x14ac:dyDescent="0.25">
      <c r="A3352" s="1006" t="s">
        <v>3554</v>
      </c>
      <c r="B3352" s="1007">
        <v>2025</v>
      </c>
      <c r="C3352" s="1006" t="s">
        <v>1935</v>
      </c>
      <c r="D3352" s="1006" t="s">
        <v>3427</v>
      </c>
      <c r="E3352" s="1006" t="s">
        <v>9296</v>
      </c>
      <c r="F3352" s="465"/>
      <c r="G3352" s="1007">
        <v>0</v>
      </c>
      <c r="H3352" s="465"/>
      <c r="I3352" s="465"/>
      <c r="J3352" s="1008">
        <v>0</v>
      </c>
      <c r="K3352" s="1009">
        <v>0</v>
      </c>
    </row>
    <row r="3353" spans="1:11" ht="20.25" customHeight="1" x14ac:dyDescent="0.25">
      <c r="A3353" s="1006" t="s">
        <v>3554</v>
      </c>
      <c r="B3353" s="1007">
        <v>2025</v>
      </c>
      <c r="C3353" s="1006" t="s">
        <v>1935</v>
      </c>
      <c r="D3353" s="1006" t="s">
        <v>3428</v>
      </c>
      <c r="E3353" s="1006" t="s">
        <v>9294</v>
      </c>
      <c r="F3353" s="465"/>
      <c r="G3353" s="1007">
        <v>0</v>
      </c>
      <c r="H3353" s="465"/>
      <c r="I3353" s="465"/>
      <c r="J3353" s="1008">
        <v>0</v>
      </c>
      <c r="K3353" s="1009">
        <v>0</v>
      </c>
    </row>
    <row r="3354" spans="1:11" ht="20.25" customHeight="1" x14ac:dyDescent="0.25">
      <c r="A3354" s="1006" t="s">
        <v>3554</v>
      </c>
      <c r="B3354" s="1007">
        <v>2025</v>
      </c>
      <c r="C3354" s="1006" t="s">
        <v>1935</v>
      </c>
      <c r="D3354" s="1006" t="s">
        <v>3429</v>
      </c>
      <c r="E3354" s="1006" t="s">
        <v>9295</v>
      </c>
      <c r="F3354" s="465"/>
      <c r="G3354" s="1007">
        <v>0</v>
      </c>
      <c r="H3354" s="465"/>
      <c r="I3354" s="465"/>
      <c r="J3354" s="1008">
        <v>0</v>
      </c>
      <c r="K3354" s="1009">
        <v>0</v>
      </c>
    </row>
    <row r="3355" spans="1:11" ht="20.25" customHeight="1" x14ac:dyDescent="0.25">
      <c r="A3355" s="1006" t="s">
        <v>3554</v>
      </c>
      <c r="B3355" s="1007">
        <v>2025</v>
      </c>
      <c r="C3355" s="1006" t="s">
        <v>1935</v>
      </c>
      <c r="D3355" s="1006" t="s">
        <v>3430</v>
      </c>
      <c r="E3355" s="1006" t="s">
        <v>9296</v>
      </c>
      <c r="F3355" s="465"/>
      <c r="G3355" s="1007">
        <v>0</v>
      </c>
      <c r="H3355" s="465"/>
      <c r="I3355" s="465"/>
      <c r="J3355" s="1008">
        <v>0</v>
      </c>
      <c r="K3355" s="1009">
        <v>0</v>
      </c>
    </row>
    <row r="3356" spans="1:11" ht="20.25" customHeight="1" x14ac:dyDescent="0.25">
      <c r="A3356" s="1006" t="s">
        <v>3554</v>
      </c>
      <c r="B3356" s="1007">
        <v>2025</v>
      </c>
      <c r="C3356" s="1006" t="s">
        <v>1935</v>
      </c>
      <c r="D3356" s="1006" t="s">
        <v>3431</v>
      </c>
      <c r="E3356" s="1006" t="s">
        <v>9294</v>
      </c>
      <c r="F3356" s="465"/>
      <c r="G3356" s="1007">
        <v>0</v>
      </c>
      <c r="H3356" s="465"/>
      <c r="I3356" s="465"/>
      <c r="J3356" s="1008">
        <v>0</v>
      </c>
      <c r="K3356" s="1009">
        <v>0</v>
      </c>
    </row>
    <row r="3357" spans="1:11" ht="20.25" customHeight="1" x14ac:dyDescent="0.25">
      <c r="A3357" s="1006" t="s">
        <v>3554</v>
      </c>
      <c r="B3357" s="1007">
        <v>2025</v>
      </c>
      <c r="C3357" s="1006" t="s">
        <v>1935</v>
      </c>
      <c r="D3357" s="1006" t="s">
        <v>3432</v>
      </c>
      <c r="E3357" s="1006" t="s">
        <v>9295</v>
      </c>
      <c r="F3357" s="465"/>
      <c r="G3357" s="1007">
        <v>0</v>
      </c>
      <c r="H3357" s="465"/>
      <c r="I3357" s="465"/>
      <c r="J3357" s="1008">
        <v>0</v>
      </c>
      <c r="K3357" s="1009">
        <v>0</v>
      </c>
    </row>
    <row r="3358" spans="1:11" ht="20.25" customHeight="1" x14ac:dyDescent="0.25">
      <c r="A3358" s="1006" t="s">
        <v>3554</v>
      </c>
      <c r="B3358" s="1007">
        <v>2025</v>
      </c>
      <c r="C3358" s="1006" t="s">
        <v>1935</v>
      </c>
      <c r="D3358" s="1006" t="s">
        <v>3433</v>
      </c>
      <c r="E3358" s="1006" t="s">
        <v>9296</v>
      </c>
      <c r="F3358" s="465"/>
      <c r="G3358" s="1007">
        <v>0</v>
      </c>
      <c r="H3358" s="465"/>
      <c r="I3358" s="465"/>
      <c r="J3358" s="1008">
        <v>0</v>
      </c>
      <c r="K3358" s="1009">
        <v>0</v>
      </c>
    </row>
    <row r="3359" spans="1:11" ht="20.25" customHeight="1" x14ac:dyDescent="0.25">
      <c r="A3359" s="1006" t="s">
        <v>3564</v>
      </c>
      <c r="B3359" s="1007">
        <v>2025</v>
      </c>
      <c r="C3359" s="1006" t="s">
        <v>1887</v>
      </c>
      <c r="D3359" s="1006" t="s">
        <v>138</v>
      </c>
      <c r="E3359" s="1006" t="s">
        <v>3565</v>
      </c>
      <c r="F3359" s="465"/>
      <c r="G3359" s="1007">
        <v>1</v>
      </c>
      <c r="H3359" s="465"/>
      <c r="I3359" s="465"/>
      <c r="J3359" s="1008">
        <v>0</v>
      </c>
      <c r="K3359" s="1009">
        <v>0</v>
      </c>
    </row>
    <row r="3360" spans="1:11" ht="20.25" customHeight="1" x14ac:dyDescent="0.25">
      <c r="A3360" s="1006" t="s">
        <v>3564</v>
      </c>
      <c r="B3360" s="1007">
        <v>2025</v>
      </c>
      <c r="C3360" s="1006" t="s">
        <v>1889</v>
      </c>
      <c r="D3360" s="1006" t="s">
        <v>139</v>
      </c>
      <c r="E3360" s="1006" t="s">
        <v>3566</v>
      </c>
      <c r="F3360" s="465"/>
      <c r="G3360" s="1007">
        <v>1</v>
      </c>
      <c r="H3360" s="465"/>
      <c r="I3360" s="465"/>
      <c r="J3360" s="1008">
        <v>0</v>
      </c>
      <c r="K3360" s="1009">
        <v>0</v>
      </c>
    </row>
    <row r="3361" spans="1:11" ht="20.25" customHeight="1" x14ac:dyDescent="0.25">
      <c r="A3361" s="1006" t="s">
        <v>3564</v>
      </c>
      <c r="B3361" s="1007">
        <v>2025</v>
      </c>
      <c r="C3361" s="1006" t="s">
        <v>1891</v>
      </c>
      <c r="D3361" s="1006" t="s">
        <v>1894</v>
      </c>
      <c r="E3361" s="1006" t="s">
        <v>3567</v>
      </c>
      <c r="F3361" s="465"/>
      <c r="G3361" s="1007">
        <v>0</v>
      </c>
      <c r="H3361" s="465"/>
      <c r="I3361" s="465"/>
      <c r="J3361" s="1008">
        <v>0</v>
      </c>
      <c r="K3361" s="1009">
        <v>0</v>
      </c>
    </row>
    <row r="3362" spans="1:11" ht="20.25" customHeight="1" x14ac:dyDescent="0.25">
      <c r="A3362" s="1006" t="s">
        <v>3564</v>
      </c>
      <c r="B3362" s="1007">
        <v>2025</v>
      </c>
      <c r="C3362" s="1006" t="s">
        <v>1913</v>
      </c>
      <c r="D3362" s="1006" t="s">
        <v>1914</v>
      </c>
      <c r="E3362" s="1006" t="s">
        <v>3568</v>
      </c>
      <c r="F3362" s="465"/>
      <c r="G3362" s="1007">
        <v>1</v>
      </c>
      <c r="H3362" s="465"/>
      <c r="I3362" s="465"/>
      <c r="J3362" s="1008">
        <v>0</v>
      </c>
      <c r="K3362" s="1009">
        <v>0</v>
      </c>
    </row>
    <row r="3363" spans="1:11" ht="20.25" customHeight="1" x14ac:dyDescent="0.25">
      <c r="A3363" s="1006" t="s">
        <v>3564</v>
      </c>
      <c r="B3363" s="1007">
        <v>2025</v>
      </c>
      <c r="C3363" s="1006" t="s">
        <v>1913</v>
      </c>
      <c r="D3363" s="1006" t="s">
        <v>1916</v>
      </c>
      <c r="E3363" s="1006" t="s">
        <v>3568</v>
      </c>
      <c r="F3363" s="465"/>
      <c r="G3363" s="1007">
        <v>0</v>
      </c>
      <c r="H3363" s="465"/>
      <c r="I3363" s="465"/>
      <c r="J3363" s="1008">
        <v>0</v>
      </c>
      <c r="K3363" s="1009">
        <v>0</v>
      </c>
    </row>
    <row r="3364" spans="1:11" ht="20.25" customHeight="1" x14ac:dyDescent="0.25">
      <c r="A3364" s="1006" t="s">
        <v>3564</v>
      </c>
      <c r="B3364" s="1007">
        <v>2025</v>
      </c>
      <c r="C3364" s="1006" t="s">
        <v>1913</v>
      </c>
      <c r="D3364" s="1006" t="s">
        <v>1917</v>
      </c>
      <c r="E3364" s="1006" t="s">
        <v>3568</v>
      </c>
      <c r="F3364" s="465"/>
      <c r="G3364" s="1007">
        <v>0</v>
      </c>
      <c r="H3364" s="465"/>
      <c r="I3364" s="465"/>
      <c r="J3364" s="1008">
        <v>0</v>
      </c>
      <c r="K3364" s="1009">
        <v>0</v>
      </c>
    </row>
    <row r="3365" spans="1:11" ht="20.25" customHeight="1" x14ac:dyDescent="0.25">
      <c r="A3365" s="1006" t="s">
        <v>3564</v>
      </c>
      <c r="B3365" s="1007">
        <v>2025</v>
      </c>
      <c r="C3365" s="1006" t="s">
        <v>1913</v>
      </c>
      <c r="D3365" s="1006" t="s">
        <v>1918</v>
      </c>
      <c r="E3365" s="1006" t="s">
        <v>3568</v>
      </c>
      <c r="F3365" s="465"/>
      <c r="G3365" s="1007">
        <v>0</v>
      </c>
      <c r="H3365" s="465"/>
      <c r="I3365" s="465"/>
      <c r="J3365" s="1008">
        <v>0</v>
      </c>
      <c r="K3365" s="1009">
        <v>0</v>
      </c>
    </row>
    <row r="3366" spans="1:11" ht="20.25" customHeight="1" x14ac:dyDescent="0.25">
      <c r="A3366" s="1006" t="s">
        <v>3564</v>
      </c>
      <c r="B3366" s="1007">
        <v>2025</v>
      </c>
      <c r="C3366" s="1006" t="s">
        <v>1913</v>
      </c>
      <c r="D3366" s="1006" t="s">
        <v>1919</v>
      </c>
      <c r="E3366" s="1006" t="s">
        <v>3568</v>
      </c>
      <c r="F3366" s="465"/>
      <c r="G3366" s="1007">
        <v>0</v>
      </c>
      <c r="H3366" s="465"/>
      <c r="I3366" s="465"/>
      <c r="J3366" s="1008">
        <v>0</v>
      </c>
      <c r="K3366" s="1009">
        <v>0</v>
      </c>
    </row>
    <row r="3367" spans="1:11" ht="20.25" customHeight="1" x14ac:dyDescent="0.25">
      <c r="A3367" s="1006" t="s">
        <v>3564</v>
      </c>
      <c r="B3367" s="1007">
        <v>2025</v>
      </c>
      <c r="C3367" s="1006" t="s">
        <v>1923</v>
      </c>
      <c r="D3367" s="1006" t="s">
        <v>143</v>
      </c>
      <c r="E3367" s="1006" t="s">
        <v>3569</v>
      </c>
      <c r="F3367" s="465"/>
      <c r="G3367" s="1007">
        <v>1</v>
      </c>
      <c r="H3367" s="465"/>
      <c r="I3367" s="465"/>
      <c r="J3367" s="1008">
        <v>0</v>
      </c>
      <c r="K3367" s="1009">
        <v>0</v>
      </c>
    </row>
    <row r="3368" spans="1:11" ht="20.25" customHeight="1" x14ac:dyDescent="0.25">
      <c r="A3368" s="1006" t="s">
        <v>3564</v>
      </c>
      <c r="B3368" s="1007">
        <v>2025</v>
      </c>
      <c r="C3368" s="1006" t="s">
        <v>1925</v>
      </c>
      <c r="D3368" s="1006" t="s">
        <v>144</v>
      </c>
      <c r="E3368" s="1006" t="s">
        <v>3570</v>
      </c>
      <c r="F3368" s="465"/>
      <c r="G3368" s="1007">
        <v>1</v>
      </c>
      <c r="H3368" s="465"/>
      <c r="I3368" s="465"/>
      <c r="J3368" s="1008">
        <v>0</v>
      </c>
      <c r="K3368" s="1009">
        <v>0</v>
      </c>
    </row>
    <row r="3369" spans="1:11" ht="20.25" customHeight="1" x14ac:dyDescent="0.25">
      <c r="A3369" s="1006" t="s">
        <v>3564</v>
      </c>
      <c r="B3369" s="1007">
        <v>2025</v>
      </c>
      <c r="C3369" s="1006" t="s">
        <v>1927</v>
      </c>
      <c r="D3369" s="1006" t="s">
        <v>1928</v>
      </c>
      <c r="E3369" s="1006" t="s">
        <v>3571</v>
      </c>
      <c r="F3369" s="465"/>
      <c r="G3369" s="1007">
        <v>1</v>
      </c>
      <c r="H3369" s="465"/>
      <c r="I3369" s="465"/>
      <c r="J3369" s="1008">
        <v>0</v>
      </c>
      <c r="K3369" s="1009">
        <v>0</v>
      </c>
    </row>
    <row r="3370" spans="1:11" ht="20.25" customHeight="1" x14ac:dyDescent="0.25">
      <c r="A3370" s="1006" t="s">
        <v>3564</v>
      </c>
      <c r="B3370" s="1007">
        <v>2025</v>
      </c>
      <c r="C3370" s="1006" t="s">
        <v>1930</v>
      </c>
      <c r="D3370" s="1006" t="s">
        <v>156</v>
      </c>
      <c r="E3370" s="1006" t="s">
        <v>3572</v>
      </c>
      <c r="F3370" s="465"/>
      <c r="G3370" s="1007">
        <v>1</v>
      </c>
      <c r="H3370" s="465"/>
      <c r="I3370" s="465"/>
      <c r="J3370" s="1008">
        <v>0</v>
      </c>
      <c r="K3370" s="1009">
        <v>0</v>
      </c>
    </row>
    <row r="3371" spans="1:11" ht="20.25" customHeight="1" x14ac:dyDescent="0.25">
      <c r="A3371" s="1006" t="s">
        <v>3564</v>
      </c>
      <c r="B3371" s="1007">
        <v>2025</v>
      </c>
      <c r="C3371" s="1006" t="s">
        <v>1932</v>
      </c>
      <c r="D3371" s="1006" t="s">
        <v>3423</v>
      </c>
      <c r="E3371" s="1006" t="s">
        <v>3573</v>
      </c>
      <c r="F3371" s="465"/>
      <c r="G3371" s="1007">
        <v>0</v>
      </c>
      <c r="H3371" s="465"/>
      <c r="I3371" s="465"/>
      <c r="J3371" s="1008">
        <v>0</v>
      </c>
      <c r="K3371" s="1009">
        <v>0</v>
      </c>
    </row>
    <row r="3372" spans="1:11" ht="20.25" customHeight="1" x14ac:dyDescent="0.25">
      <c r="A3372" s="1006" t="s">
        <v>3564</v>
      </c>
      <c r="B3372" s="1007">
        <v>2025</v>
      </c>
      <c r="C3372" s="1006" t="s">
        <v>1935</v>
      </c>
      <c r="D3372" s="1006" t="s">
        <v>1936</v>
      </c>
      <c r="E3372" s="1006" t="s">
        <v>9297</v>
      </c>
      <c r="F3372" s="465"/>
      <c r="G3372" s="1007">
        <v>1</v>
      </c>
      <c r="H3372" s="465"/>
      <c r="I3372" s="465"/>
      <c r="J3372" s="1008">
        <v>0</v>
      </c>
      <c r="K3372" s="1009">
        <v>0</v>
      </c>
    </row>
    <row r="3373" spans="1:11" ht="20.25" customHeight="1" x14ac:dyDescent="0.25">
      <c r="A3373" s="1006" t="s">
        <v>3564</v>
      </c>
      <c r="B3373" s="1007">
        <v>2025</v>
      </c>
      <c r="C3373" s="1006" t="s">
        <v>1935</v>
      </c>
      <c r="D3373" s="1006" t="s">
        <v>1937</v>
      </c>
      <c r="E3373" s="1006" t="s">
        <v>9298</v>
      </c>
      <c r="F3373" s="465"/>
      <c r="G3373" s="1007">
        <v>1</v>
      </c>
      <c r="H3373" s="465"/>
      <c r="I3373" s="465"/>
      <c r="J3373" s="1008">
        <v>0</v>
      </c>
      <c r="K3373" s="1009">
        <v>0</v>
      </c>
    </row>
    <row r="3374" spans="1:11" ht="20.25" customHeight="1" x14ac:dyDescent="0.25">
      <c r="A3374" s="1006" t="s">
        <v>3564</v>
      </c>
      <c r="B3374" s="1007">
        <v>2025</v>
      </c>
      <c r="C3374" s="1006" t="s">
        <v>1935</v>
      </c>
      <c r="D3374" s="1006" t="s">
        <v>1938</v>
      </c>
      <c r="E3374" s="1006" t="s">
        <v>9299</v>
      </c>
      <c r="F3374" s="465"/>
      <c r="G3374" s="1007">
        <v>1</v>
      </c>
      <c r="H3374" s="465"/>
      <c r="I3374" s="465"/>
      <c r="J3374" s="1008">
        <v>0</v>
      </c>
      <c r="K3374" s="1009">
        <v>0</v>
      </c>
    </row>
    <row r="3375" spans="1:11" ht="20.25" customHeight="1" x14ac:dyDescent="0.25">
      <c r="A3375" s="1006" t="s">
        <v>3564</v>
      </c>
      <c r="B3375" s="1007">
        <v>2025</v>
      </c>
      <c r="C3375" s="1006" t="s">
        <v>1935</v>
      </c>
      <c r="D3375" s="1006" t="s">
        <v>1939</v>
      </c>
      <c r="E3375" s="1006" t="s">
        <v>9300</v>
      </c>
      <c r="F3375" s="465"/>
      <c r="G3375" s="1007">
        <v>1</v>
      </c>
      <c r="H3375" s="465"/>
      <c r="I3375" s="465"/>
      <c r="J3375" s="1008">
        <v>0</v>
      </c>
      <c r="K3375" s="1009">
        <v>0</v>
      </c>
    </row>
    <row r="3376" spans="1:11" ht="20.25" customHeight="1" x14ac:dyDescent="0.25">
      <c r="A3376" s="1006" t="s">
        <v>3564</v>
      </c>
      <c r="B3376" s="1007">
        <v>2025</v>
      </c>
      <c r="C3376" s="1006" t="s">
        <v>1935</v>
      </c>
      <c r="D3376" s="1006" t="s">
        <v>1940</v>
      </c>
      <c r="E3376" s="1006" t="s">
        <v>9301</v>
      </c>
      <c r="F3376" s="465"/>
      <c r="G3376" s="1007">
        <v>1</v>
      </c>
      <c r="H3376" s="465"/>
      <c r="I3376" s="465"/>
      <c r="J3376" s="1008">
        <v>0</v>
      </c>
      <c r="K3376" s="1009">
        <v>0</v>
      </c>
    </row>
    <row r="3377" spans="1:11" ht="20.25" customHeight="1" x14ac:dyDescent="0.25">
      <c r="A3377" s="1006" t="s">
        <v>3564</v>
      </c>
      <c r="B3377" s="1007">
        <v>2025</v>
      </c>
      <c r="C3377" s="1006" t="s">
        <v>1935</v>
      </c>
      <c r="D3377" s="1006" t="s">
        <v>1941</v>
      </c>
      <c r="E3377" s="1006" t="s">
        <v>9302</v>
      </c>
      <c r="F3377" s="465"/>
      <c r="G3377" s="1007">
        <v>1</v>
      </c>
      <c r="H3377" s="465"/>
      <c r="I3377" s="465"/>
      <c r="J3377" s="1008">
        <v>0</v>
      </c>
      <c r="K3377" s="1009">
        <v>0</v>
      </c>
    </row>
    <row r="3378" spans="1:11" ht="20.25" customHeight="1" x14ac:dyDescent="0.25">
      <c r="A3378" s="1006" t="s">
        <v>3564</v>
      </c>
      <c r="B3378" s="1007">
        <v>2025</v>
      </c>
      <c r="C3378" s="1006" t="s">
        <v>1935</v>
      </c>
      <c r="D3378" s="1006" t="s">
        <v>1942</v>
      </c>
      <c r="E3378" s="1006" t="s">
        <v>9303</v>
      </c>
      <c r="F3378" s="465"/>
      <c r="G3378" s="1007">
        <v>1</v>
      </c>
      <c r="H3378" s="465"/>
      <c r="I3378" s="465"/>
      <c r="J3378" s="1008">
        <v>0</v>
      </c>
      <c r="K3378" s="1009">
        <v>0</v>
      </c>
    </row>
    <row r="3379" spans="1:11" ht="20.25" customHeight="1" x14ac:dyDescent="0.25">
      <c r="A3379" s="1006" t="s">
        <v>3564</v>
      </c>
      <c r="B3379" s="1007">
        <v>2025</v>
      </c>
      <c r="C3379" s="1006" t="s">
        <v>1935</v>
      </c>
      <c r="D3379" s="1006" t="s">
        <v>1943</v>
      </c>
      <c r="E3379" s="1006" t="s">
        <v>9304</v>
      </c>
      <c r="F3379" s="465"/>
      <c r="G3379" s="1007">
        <v>1</v>
      </c>
      <c r="H3379" s="465"/>
      <c r="I3379" s="465"/>
      <c r="J3379" s="1008">
        <v>0</v>
      </c>
      <c r="K3379" s="1009">
        <v>0</v>
      </c>
    </row>
    <row r="3380" spans="1:11" ht="20.25" customHeight="1" x14ac:dyDescent="0.25">
      <c r="A3380" s="1006" t="s">
        <v>3564</v>
      </c>
      <c r="B3380" s="1007">
        <v>2025</v>
      </c>
      <c r="C3380" s="1006" t="s">
        <v>1935</v>
      </c>
      <c r="D3380" s="1006" t="s">
        <v>1944</v>
      </c>
      <c r="E3380" s="1006" t="s">
        <v>9305</v>
      </c>
      <c r="F3380" s="465"/>
      <c r="G3380" s="1007">
        <v>1</v>
      </c>
      <c r="H3380" s="465"/>
      <c r="I3380" s="465"/>
      <c r="J3380" s="1008">
        <v>0</v>
      </c>
      <c r="K3380" s="1009">
        <v>0</v>
      </c>
    </row>
    <row r="3381" spans="1:11" ht="20.25" customHeight="1" x14ac:dyDescent="0.25">
      <c r="A3381" s="1006" t="s">
        <v>3564</v>
      </c>
      <c r="B3381" s="1007">
        <v>2025</v>
      </c>
      <c r="C3381" s="1006" t="s">
        <v>1935</v>
      </c>
      <c r="D3381" s="1006" t="s">
        <v>1945</v>
      </c>
      <c r="E3381" s="1006" t="s">
        <v>9306</v>
      </c>
      <c r="F3381" s="465"/>
      <c r="G3381" s="1007">
        <v>1</v>
      </c>
      <c r="H3381" s="465"/>
      <c r="I3381" s="465"/>
      <c r="J3381" s="1008">
        <v>0</v>
      </c>
      <c r="K3381" s="1009">
        <v>0</v>
      </c>
    </row>
    <row r="3382" spans="1:11" ht="20.25" customHeight="1" x14ac:dyDescent="0.25">
      <c r="A3382" s="1006" t="s">
        <v>3564</v>
      </c>
      <c r="B3382" s="1007">
        <v>2025</v>
      </c>
      <c r="C3382" s="1006" t="s">
        <v>1935</v>
      </c>
      <c r="D3382" s="1006" t="s">
        <v>1946</v>
      </c>
      <c r="E3382" s="1006" t="s">
        <v>9307</v>
      </c>
      <c r="F3382" s="465"/>
      <c r="G3382" s="1007">
        <v>1</v>
      </c>
      <c r="H3382" s="465"/>
      <c r="I3382" s="465"/>
      <c r="J3382" s="1008">
        <v>0</v>
      </c>
      <c r="K3382" s="1009">
        <v>0</v>
      </c>
    </row>
    <row r="3383" spans="1:11" ht="20.25" customHeight="1" x14ac:dyDescent="0.25">
      <c r="A3383" s="1006" t="s">
        <v>3564</v>
      </c>
      <c r="B3383" s="1007">
        <v>2025</v>
      </c>
      <c r="C3383" s="1006" t="s">
        <v>1935</v>
      </c>
      <c r="D3383" s="1006" t="s">
        <v>1947</v>
      </c>
      <c r="E3383" s="1006" t="s">
        <v>9308</v>
      </c>
      <c r="F3383" s="465"/>
      <c r="G3383" s="1007">
        <v>1</v>
      </c>
      <c r="H3383" s="465"/>
      <c r="I3383" s="465"/>
      <c r="J3383" s="1008">
        <v>0</v>
      </c>
      <c r="K3383" s="1009">
        <v>0</v>
      </c>
    </row>
    <row r="3384" spans="1:11" ht="20.25" customHeight="1" x14ac:dyDescent="0.25">
      <c r="A3384" s="1006" t="s">
        <v>3564</v>
      </c>
      <c r="B3384" s="1007">
        <v>2025</v>
      </c>
      <c r="C3384" s="1006" t="s">
        <v>1935</v>
      </c>
      <c r="D3384" s="1006" t="s">
        <v>1948</v>
      </c>
      <c r="E3384" s="1006" t="s">
        <v>9309</v>
      </c>
      <c r="F3384" s="465"/>
      <c r="G3384" s="1007">
        <v>1</v>
      </c>
      <c r="H3384" s="465"/>
      <c r="I3384" s="465"/>
      <c r="J3384" s="1008">
        <v>0</v>
      </c>
      <c r="K3384" s="1009">
        <v>0</v>
      </c>
    </row>
    <row r="3385" spans="1:11" ht="20.25" customHeight="1" x14ac:dyDescent="0.25">
      <c r="A3385" s="1006" t="s">
        <v>3564</v>
      </c>
      <c r="B3385" s="1007">
        <v>2025</v>
      </c>
      <c r="C3385" s="1006" t="s">
        <v>1935</v>
      </c>
      <c r="D3385" s="1006" t="s">
        <v>1949</v>
      </c>
      <c r="E3385" s="1006" t="s">
        <v>9310</v>
      </c>
      <c r="F3385" s="465"/>
      <c r="G3385" s="1007">
        <v>1</v>
      </c>
      <c r="H3385" s="465"/>
      <c r="I3385" s="465"/>
      <c r="J3385" s="1008">
        <v>0</v>
      </c>
      <c r="K3385" s="1009">
        <v>0</v>
      </c>
    </row>
    <row r="3386" spans="1:11" ht="20.25" customHeight="1" x14ac:dyDescent="0.25">
      <c r="A3386" s="1006" t="s">
        <v>3564</v>
      </c>
      <c r="B3386" s="1007">
        <v>2025</v>
      </c>
      <c r="C3386" s="1006" t="s">
        <v>1935</v>
      </c>
      <c r="D3386" s="1006" t="s">
        <v>1950</v>
      </c>
      <c r="E3386" s="1006" t="s">
        <v>9311</v>
      </c>
      <c r="F3386" s="465"/>
      <c r="G3386" s="1007">
        <v>1</v>
      </c>
      <c r="H3386" s="465"/>
      <c r="I3386" s="465"/>
      <c r="J3386" s="1008">
        <v>0</v>
      </c>
      <c r="K3386" s="1009">
        <v>0</v>
      </c>
    </row>
    <row r="3387" spans="1:11" ht="20.25" customHeight="1" x14ac:dyDescent="0.25">
      <c r="A3387" s="1006" t="s">
        <v>3564</v>
      </c>
      <c r="B3387" s="1007">
        <v>2025</v>
      </c>
      <c r="C3387" s="1006" t="s">
        <v>1935</v>
      </c>
      <c r="D3387" s="1006" t="s">
        <v>1951</v>
      </c>
      <c r="E3387" s="1006" t="s">
        <v>9312</v>
      </c>
      <c r="F3387" s="465"/>
      <c r="G3387" s="1007">
        <v>1</v>
      </c>
      <c r="H3387" s="465"/>
      <c r="I3387" s="465"/>
      <c r="J3387" s="1008">
        <v>0</v>
      </c>
      <c r="K3387" s="1009">
        <v>0</v>
      </c>
    </row>
    <row r="3388" spans="1:11" ht="20.25" customHeight="1" x14ac:dyDescent="0.25">
      <c r="A3388" s="1006" t="s">
        <v>3564</v>
      </c>
      <c r="B3388" s="1007">
        <v>2025</v>
      </c>
      <c r="C3388" s="1006" t="s">
        <v>1935</v>
      </c>
      <c r="D3388" s="1006" t="s">
        <v>7801</v>
      </c>
      <c r="E3388" s="1006" t="s">
        <v>9313</v>
      </c>
      <c r="F3388" s="465"/>
      <c r="G3388" s="1007">
        <v>1</v>
      </c>
      <c r="H3388" s="465"/>
      <c r="I3388" s="465"/>
      <c r="J3388" s="1008">
        <v>0</v>
      </c>
      <c r="K3388" s="1009">
        <v>0</v>
      </c>
    </row>
    <row r="3389" spans="1:11" ht="20.25" customHeight="1" x14ac:dyDescent="0.25">
      <c r="A3389" s="1006" t="s">
        <v>3564</v>
      </c>
      <c r="B3389" s="1007">
        <v>2025</v>
      </c>
      <c r="C3389" s="1006" t="s">
        <v>1935</v>
      </c>
      <c r="D3389" s="1006" t="s">
        <v>3425</v>
      </c>
      <c r="E3389" s="1006" t="s">
        <v>9314</v>
      </c>
      <c r="F3389" s="465"/>
      <c r="G3389" s="1007">
        <v>0</v>
      </c>
      <c r="H3389" s="465"/>
      <c r="I3389" s="465"/>
      <c r="J3389" s="1008">
        <v>0</v>
      </c>
      <c r="K3389" s="1009">
        <v>0</v>
      </c>
    </row>
    <row r="3390" spans="1:11" ht="20.25" customHeight="1" x14ac:dyDescent="0.25">
      <c r="A3390" s="1006" t="s">
        <v>3564</v>
      </c>
      <c r="B3390" s="1007">
        <v>2025</v>
      </c>
      <c r="C3390" s="1006" t="s">
        <v>1935</v>
      </c>
      <c r="D3390" s="1006" t="s">
        <v>3426</v>
      </c>
      <c r="E3390" s="1006" t="s">
        <v>9315</v>
      </c>
      <c r="F3390" s="465"/>
      <c r="G3390" s="1007">
        <v>0</v>
      </c>
      <c r="H3390" s="465"/>
      <c r="I3390" s="465"/>
      <c r="J3390" s="1008">
        <v>0</v>
      </c>
      <c r="K3390" s="1009">
        <v>0</v>
      </c>
    </row>
    <row r="3391" spans="1:11" ht="20.25" customHeight="1" x14ac:dyDescent="0.25">
      <c r="A3391" s="1006" t="s">
        <v>3564</v>
      </c>
      <c r="B3391" s="1007">
        <v>2025</v>
      </c>
      <c r="C3391" s="1006" t="s">
        <v>1935</v>
      </c>
      <c r="D3391" s="1006" t="s">
        <v>3427</v>
      </c>
      <c r="E3391" s="1006" t="s">
        <v>9316</v>
      </c>
      <c r="F3391" s="465"/>
      <c r="G3391" s="1007">
        <v>0</v>
      </c>
      <c r="H3391" s="465"/>
      <c r="I3391" s="465"/>
      <c r="J3391" s="1008">
        <v>0</v>
      </c>
      <c r="K3391" s="1009">
        <v>0</v>
      </c>
    </row>
    <row r="3392" spans="1:11" ht="20.25" customHeight="1" x14ac:dyDescent="0.25">
      <c r="A3392" s="1006" t="s">
        <v>3564</v>
      </c>
      <c r="B3392" s="1007">
        <v>2025</v>
      </c>
      <c r="C3392" s="1006" t="s">
        <v>1935</v>
      </c>
      <c r="D3392" s="1006" t="s">
        <v>3428</v>
      </c>
      <c r="E3392" s="1006" t="s">
        <v>9314</v>
      </c>
      <c r="F3392" s="465"/>
      <c r="G3392" s="1007">
        <v>0</v>
      </c>
      <c r="H3392" s="465"/>
      <c r="I3392" s="465"/>
      <c r="J3392" s="1008">
        <v>0</v>
      </c>
      <c r="K3392" s="1009">
        <v>0</v>
      </c>
    </row>
    <row r="3393" spans="1:11" ht="20.25" customHeight="1" x14ac:dyDescent="0.25">
      <c r="A3393" s="1006" t="s">
        <v>3564</v>
      </c>
      <c r="B3393" s="1007">
        <v>2025</v>
      </c>
      <c r="C3393" s="1006" t="s">
        <v>1935</v>
      </c>
      <c r="D3393" s="1006" t="s">
        <v>3429</v>
      </c>
      <c r="E3393" s="1006" t="s">
        <v>9315</v>
      </c>
      <c r="F3393" s="465"/>
      <c r="G3393" s="1007">
        <v>0</v>
      </c>
      <c r="H3393" s="465"/>
      <c r="I3393" s="465"/>
      <c r="J3393" s="1008">
        <v>0</v>
      </c>
      <c r="K3393" s="1009">
        <v>0</v>
      </c>
    </row>
    <row r="3394" spans="1:11" ht="20.25" customHeight="1" x14ac:dyDescent="0.25">
      <c r="A3394" s="1006" t="s">
        <v>3564</v>
      </c>
      <c r="B3394" s="1007">
        <v>2025</v>
      </c>
      <c r="C3394" s="1006" t="s">
        <v>1935</v>
      </c>
      <c r="D3394" s="1006" t="s">
        <v>3430</v>
      </c>
      <c r="E3394" s="1006" t="s">
        <v>9316</v>
      </c>
      <c r="F3394" s="465"/>
      <c r="G3394" s="1007">
        <v>0</v>
      </c>
      <c r="H3394" s="465"/>
      <c r="I3394" s="465"/>
      <c r="J3394" s="1008">
        <v>0</v>
      </c>
      <c r="K3394" s="1009">
        <v>0</v>
      </c>
    </row>
    <row r="3395" spans="1:11" ht="20.25" customHeight="1" x14ac:dyDescent="0.25">
      <c r="A3395" s="1006" t="s">
        <v>3564</v>
      </c>
      <c r="B3395" s="1007">
        <v>2025</v>
      </c>
      <c r="C3395" s="1006" t="s">
        <v>1935</v>
      </c>
      <c r="D3395" s="1006" t="s">
        <v>3431</v>
      </c>
      <c r="E3395" s="1006" t="s">
        <v>9314</v>
      </c>
      <c r="F3395" s="465"/>
      <c r="G3395" s="1007">
        <v>0</v>
      </c>
      <c r="H3395" s="465"/>
      <c r="I3395" s="465"/>
      <c r="J3395" s="1008">
        <v>0</v>
      </c>
      <c r="K3395" s="1009">
        <v>0</v>
      </c>
    </row>
    <row r="3396" spans="1:11" ht="20.25" customHeight="1" x14ac:dyDescent="0.25">
      <c r="A3396" s="1006" t="s">
        <v>3564</v>
      </c>
      <c r="B3396" s="1007">
        <v>2025</v>
      </c>
      <c r="C3396" s="1006" t="s">
        <v>1935</v>
      </c>
      <c r="D3396" s="1006" t="s">
        <v>3432</v>
      </c>
      <c r="E3396" s="1006" t="s">
        <v>9315</v>
      </c>
      <c r="F3396" s="465"/>
      <c r="G3396" s="1007">
        <v>0</v>
      </c>
      <c r="H3396" s="465"/>
      <c r="I3396" s="465"/>
      <c r="J3396" s="1008">
        <v>0</v>
      </c>
      <c r="K3396" s="1009">
        <v>0</v>
      </c>
    </row>
    <row r="3397" spans="1:11" ht="20.25" customHeight="1" x14ac:dyDescent="0.25">
      <c r="A3397" s="1006" t="s">
        <v>3564</v>
      </c>
      <c r="B3397" s="1007">
        <v>2025</v>
      </c>
      <c r="C3397" s="1006" t="s">
        <v>1935</v>
      </c>
      <c r="D3397" s="1006" t="s">
        <v>3433</v>
      </c>
      <c r="E3397" s="1006" t="s">
        <v>9316</v>
      </c>
      <c r="F3397" s="465"/>
      <c r="G3397" s="1007">
        <v>0</v>
      </c>
      <c r="H3397" s="465"/>
      <c r="I3397" s="465"/>
      <c r="J3397" s="1008">
        <v>0</v>
      </c>
      <c r="K3397" s="1009">
        <v>0</v>
      </c>
    </row>
    <row r="3398" spans="1:11" ht="20.25" customHeight="1" x14ac:dyDescent="0.25">
      <c r="A3398" s="1006" t="s">
        <v>3574</v>
      </c>
      <c r="B3398" s="1007">
        <v>2025</v>
      </c>
      <c r="C3398" s="1006" t="s">
        <v>1887</v>
      </c>
      <c r="D3398" s="1006" t="s">
        <v>138</v>
      </c>
      <c r="E3398" s="1006" t="s">
        <v>3575</v>
      </c>
      <c r="F3398" s="465"/>
      <c r="G3398" s="1007">
        <v>1</v>
      </c>
      <c r="H3398" s="465"/>
      <c r="I3398" s="465"/>
      <c r="J3398" s="1008">
        <v>0</v>
      </c>
      <c r="K3398" s="1009">
        <v>0</v>
      </c>
    </row>
    <row r="3399" spans="1:11" ht="20.25" customHeight="1" x14ac:dyDescent="0.25">
      <c r="A3399" s="1006" t="s">
        <v>3574</v>
      </c>
      <c r="B3399" s="1007">
        <v>2025</v>
      </c>
      <c r="C3399" s="1006" t="s">
        <v>1889</v>
      </c>
      <c r="D3399" s="1006" t="s">
        <v>139</v>
      </c>
      <c r="E3399" s="1006" t="s">
        <v>3576</v>
      </c>
      <c r="F3399" s="465"/>
      <c r="G3399" s="1007">
        <v>1</v>
      </c>
      <c r="H3399" s="465"/>
      <c r="I3399" s="465"/>
      <c r="J3399" s="1008">
        <v>0</v>
      </c>
      <c r="K3399" s="1009">
        <v>0</v>
      </c>
    </row>
    <row r="3400" spans="1:11" ht="20.25" customHeight="1" x14ac:dyDescent="0.25">
      <c r="A3400" s="1006" t="s">
        <v>3574</v>
      </c>
      <c r="B3400" s="1007">
        <v>2025</v>
      </c>
      <c r="C3400" s="1006" t="s">
        <v>1891</v>
      </c>
      <c r="D3400" s="1006" t="s">
        <v>1894</v>
      </c>
      <c r="E3400" s="1006" t="s">
        <v>3577</v>
      </c>
      <c r="F3400" s="465"/>
      <c r="G3400" s="1007">
        <v>0</v>
      </c>
      <c r="H3400" s="465"/>
      <c r="I3400" s="465"/>
      <c r="J3400" s="1008">
        <v>0</v>
      </c>
      <c r="K3400" s="1009">
        <v>0</v>
      </c>
    </row>
    <row r="3401" spans="1:11" ht="20.25" customHeight="1" x14ac:dyDescent="0.25">
      <c r="A3401" s="1006" t="s">
        <v>3574</v>
      </c>
      <c r="B3401" s="1007">
        <v>2025</v>
      </c>
      <c r="C3401" s="1006" t="s">
        <v>1913</v>
      </c>
      <c r="D3401" s="1006" t="s">
        <v>1914</v>
      </c>
      <c r="E3401" s="1006" t="s">
        <v>3578</v>
      </c>
      <c r="F3401" s="465"/>
      <c r="G3401" s="1007">
        <v>1</v>
      </c>
      <c r="H3401" s="465"/>
      <c r="I3401" s="465"/>
      <c r="J3401" s="1008">
        <v>0</v>
      </c>
      <c r="K3401" s="1009">
        <v>0</v>
      </c>
    </row>
    <row r="3402" spans="1:11" ht="20.25" customHeight="1" x14ac:dyDescent="0.25">
      <c r="A3402" s="1006" t="s">
        <v>3574</v>
      </c>
      <c r="B3402" s="1007">
        <v>2025</v>
      </c>
      <c r="C3402" s="1006" t="s">
        <v>1913</v>
      </c>
      <c r="D3402" s="1006" t="s">
        <v>1916</v>
      </c>
      <c r="E3402" s="1006" t="s">
        <v>3578</v>
      </c>
      <c r="F3402" s="465"/>
      <c r="G3402" s="1007">
        <v>0</v>
      </c>
      <c r="H3402" s="465"/>
      <c r="I3402" s="465"/>
      <c r="J3402" s="1008">
        <v>0</v>
      </c>
      <c r="K3402" s="1009">
        <v>0</v>
      </c>
    </row>
    <row r="3403" spans="1:11" ht="20.25" customHeight="1" x14ac:dyDescent="0.25">
      <c r="A3403" s="1006" t="s">
        <v>3574</v>
      </c>
      <c r="B3403" s="1007">
        <v>2025</v>
      </c>
      <c r="C3403" s="1006" t="s">
        <v>1913</v>
      </c>
      <c r="D3403" s="1006" t="s">
        <v>1917</v>
      </c>
      <c r="E3403" s="1006" t="s">
        <v>3578</v>
      </c>
      <c r="F3403" s="465"/>
      <c r="G3403" s="1007">
        <v>0</v>
      </c>
      <c r="H3403" s="465"/>
      <c r="I3403" s="465"/>
      <c r="J3403" s="1008">
        <v>0</v>
      </c>
      <c r="K3403" s="1009">
        <v>0</v>
      </c>
    </row>
    <row r="3404" spans="1:11" ht="20.25" customHeight="1" x14ac:dyDescent="0.25">
      <c r="A3404" s="1006" t="s">
        <v>3574</v>
      </c>
      <c r="B3404" s="1007">
        <v>2025</v>
      </c>
      <c r="C3404" s="1006" t="s">
        <v>1913</v>
      </c>
      <c r="D3404" s="1006" t="s">
        <v>1918</v>
      </c>
      <c r="E3404" s="1006" t="s">
        <v>3578</v>
      </c>
      <c r="F3404" s="465"/>
      <c r="G3404" s="1007">
        <v>0</v>
      </c>
      <c r="H3404" s="465"/>
      <c r="I3404" s="465"/>
      <c r="J3404" s="1008">
        <v>0</v>
      </c>
      <c r="K3404" s="1009">
        <v>0</v>
      </c>
    </row>
    <row r="3405" spans="1:11" ht="20.25" customHeight="1" x14ac:dyDescent="0.25">
      <c r="A3405" s="1006" t="s">
        <v>3574</v>
      </c>
      <c r="B3405" s="1007">
        <v>2025</v>
      </c>
      <c r="C3405" s="1006" t="s">
        <v>1913</v>
      </c>
      <c r="D3405" s="1006" t="s">
        <v>1919</v>
      </c>
      <c r="E3405" s="1006" t="s">
        <v>3578</v>
      </c>
      <c r="F3405" s="465"/>
      <c r="G3405" s="1007">
        <v>0</v>
      </c>
      <c r="H3405" s="465"/>
      <c r="I3405" s="465"/>
      <c r="J3405" s="1008">
        <v>0</v>
      </c>
      <c r="K3405" s="1009">
        <v>0</v>
      </c>
    </row>
    <row r="3406" spans="1:11" ht="20.25" customHeight="1" x14ac:dyDescent="0.25">
      <c r="A3406" s="1006" t="s">
        <v>3574</v>
      </c>
      <c r="B3406" s="1007">
        <v>2025</v>
      </c>
      <c r="C3406" s="1006" t="s">
        <v>1923</v>
      </c>
      <c r="D3406" s="1006" t="s">
        <v>143</v>
      </c>
      <c r="E3406" s="1006" t="s">
        <v>3579</v>
      </c>
      <c r="F3406" s="465"/>
      <c r="G3406" s="1007">
        <v>1</v>
      </c>
      <c r="H3406" s="465"/>
      <c r="I3406" s="465"/>
      <c r="J3406" s="1008">
        <v>0</v>
      </c>
      <c r="K3406" s="1009">
        <v>0</v>
      </c>
    </row>
    <row r="3407" spans="1:11" ht="20.25" customHeight="1" x14ac:dyDescent="0.25">
      <c r="A3407" s="1006" t="s">
        <v>3574</v>
      </c>
      <c r="B3407" s="1007">
        <v>2025</v>
      </c>
      <c r="C3407" s="1006" t="s">
        <v>1925</v>
      </c>
      <c r="D3407" s="1006" t="s">
        <v>144</v>
      </c>
      <c r="E3407" s="1006" t="s">
        <v>3580</v>
      </c>
      <c r="F3407" s="465"/>
      <c r="G3407" s="1007">
        <v>1</v>
      </c>
      <c r="H3407" s="465"/>
      <c r="I3407" s="465"/>
      <c r="J3407" s="1008">
        <v>0</v>
      </c>
      <c r="K3407" s="1009">
        <v>0</v>
      </c>
    </row>
    <row r="3408" spans="1:11" ht="20.25" customHeight="1" x14ac:dyDescent="0.25">
      <c r="A3408" s="1006" t="s">
        <v>3574</v>
      </c>
      <c r="B3408" s="1007">
        <v>2025</v>
      </c>
      <c r="C3408" s="1006" t="s">
        <v>1927</v>
      </c>
      <c r="D3408" s="1006" t="s">
        <v>1928</v>
      </c>
      <c r="E3408" s="1006" t="s">
        <v>3581</v>
      </c>
      <c r="F3408" s="465"/>
      <c r="G3408" s="1007">
        <v>1</v>
      </c>
      <c r="H3408" s="465"/>
      <c r="I3408" s="465"/>
      <c r="J3408" s="1008">
        <v>0</v>
      </c>
      <c r="K3408" s="1009">
        <v>0</v>
      </c>
    </row>
    <row r="3409" spans="1:11" ht="20.25" customHeight="1" x14ac:dyDescent="0.25">
      <c r="A3409" s="1006" t="s">
        <v>3574</v>
      </c>
      <c r="B3409" s="1007">
        <v>2025</v>
      </c>
      <c r="C3409" s="1006" t="s">
        <v>1930</v>
      </c>
      <c r="D3409" s="1006" t="s">
        <v>156</v>
      </c>
      <c r="E3409" s="1006" t="s">
        <v>3582</v>
      </c>
      <c r="F3409" s="465"/>
      <c r="G3409" s="1007">
        <v>1</v>
      </c>
      <c r="H3409" s="465"/>
      <c r="I3409" s="465"/>
      <c r="J3409" s="1008">
        <v>0</v>
      </c>
      <c r="K3409" s="1009">
        <v>0</v>
      </c>
    </row>
    <row r="3410" spans="1:11" ht="20.25" customHeight="1" x14ac:dyDescent="0.25">
      <c r="A3410" s="1006" t="s">
        <v>3574</v>
      </c>
      <c r="B3410" s="1007">
        <v>2025</v>
      </c>
      <c r="C3410" s="1006" t="s">
        <v>1932</v>
      </c>
      <c r="D3410" s="1006" t="s">
        <v>3423</v>
      </c>
      <c r="E3410" s="1006" t="s">
        <v>3583</v>
      </c>
      <c r="F3410" s="465"/>
      <c r="G3410" s="1007">
        <v>0</v>
      </c>
      <c r="H3410" s="465"/>
      <c r="I3410" s="465"/>
      <c r="J3410" s="1008">
        <v>0</v>
      </c>
      <c r="K3410" s="1009">
        <v>0</v>
      </c>
    </row>
    <row r="3411" spans="1:11" ht="20.25" customHeight="1" x14ac:dyDescent="0.25">
      <c r="A3411" s="1006" t="s">
        <v>3574</v>
      </c>
      <c r="B3411" s="1007">
        <v>2025</v>
      </c>
      <c r="C3411" s="1006" t="s">
        <v>1935</v>
      </c>
      <c r="D3411" s="1006" t="s">
        <v>1936</v>
      </c>
      <c r="E3411" s="1006" t="s">
        <v>9317</v>
      </c>
      <c r="F3411" s="465"/>
      <c r="G3411" s="1007">
        <v>1</v>
      </c>
      <c r="H3411" s="465"/>
      <c r="I3411" s="465"/>
      <c r="J3411" s="1008">
        <v>0</v>
      </c>
      <c r="K3411" s="1009">
        <v>0</v>
      </c>
    </row>
    <row r="3412" spans="1:11" ht="20.25" customHeight="1" x14ac:dyDescent="0.25">
      <c r="A3412" s="1006" t="s">
        <v>3574</v>
      </c>
      <c r="B3412" s="1007">
        <v>2025</v>
      </c>
      <c r="C3412" s="1006" t="s">
        <v>1935</v>
      </c>
      <c r="D3412" s="1006" t="s">
        <v>1937</v>
      </c>
      <c r="E3412" s="1006" t="s">
        <v>9318</v>
      </c>
      <c r="F3412" s="465"/>
      <c r="G3412" s="1007">
        <v>1</v>
      </c>
      <c r="H3412" s="465"/>
      <c r="I3412" s="465"/>
      <c r="J3412" s="1008">
        <v>0</v>
      </c>
      <c r="K3412" s="1009">
        <v>0</v>
      </c>
    </row>
    <row r="3413" spans="1:11" ht="20.25" customHeight="1" x14ac:dyDescent="0.25">
      <c r="A3413" s="1006" t="s">
        <v>3574</v>
      </c>
      <c r="B3413" s="1007">
        <v>2025</v>
      </c>
      <c r="C3413" s="1006" t="s">
        <v>1935</v>
      </c>
      <c r="D3413" s="1006" t="s">
        <v>1938</v>
      </c>
      <c r="E3413" s="1006" t="s">
        <v>9319</v>
      </c>
      <c r="F3413" s="465"/>
      <c r="G3413" s="1007">
        <v>1</v>
      </c>
      <c r="H3413" s="465"/>
      <c r="I3413" s="465"/>
      <c r="J3413" s="1008">
        <v>0</v>
      </c>
      <c r="K3413" s="1009">
        <v>0</v>
      </c>
    </row>
    <row r="3414" spans="1:11" ht="20.25" customHeight="1" x14ac:dyDescent="0.25">
      <c r="A3414" s="1006" t="s">
        <v>3574</v>
      </c>
      <c r="B3414" s="1007">
        <v>2025</v>
      </c>
      <c r="C3414" s="1006" t="s">
        <v>1935</v>
      </c>
      <c r="D3414" s="1006" t="s">
        <v>1939</v>
      </c>
      <c r="E3414" s="1006" t="s">
        <v>9320</v>
      </c>
      <c r="F3414" s="465"/>
      <c r="G3414" s="1007">
        <v>1</v>
      </c>
      <c r="H3414" s="465"/>
      <c r="I3414" s="465"/>
      <c r="J3414" s="1008">
        <v>0</v>
      </c>
      <c r="K3414" s="1009">
        <v>0</v>
      </c>
    </row>
    <row r="3415" spans="1:11" ht="20.25" customHeight="1" x14ac:dyDescent="0.25">
      <c r="A3415" s="1006" t="s">
        <v>3574</v>
      </c>
      <c r="B3415" s="1007">
        <v>2025</v>
      </c>
      <c r="C3415" s="1006" t="s">
        <v>1935</v>
      </c>
      <c r="D3415" s="1006" t="s">
        <v>1940</v>
      </c>
      <c r="E3415" s="1006" t="s">
        <v>9321</v>
      </c>
      <c r="F3415" s="465"/>
      <c r="G3415" s="1007">
        <v>1</v>
      </c>
      <c r="H3415" s="465"/>
      <c r="I3415" s="465"/>
      <c r="J3415" s="1008">
        <v>0</v>
      </c>
      <c r="K3415" s="1009">
        <v>0</v>
      </c>
    </row>
    <row r="3416" spans="1:11" ht="20.25" customHeight="1" x14ac:dyDescent="0.25">
      <c r="A3416" s="1006" t="s">
        <v>3574</v>
      </c>
      <c r="B3416" s="1007">
        <v>2025</v>
      </c>
      <c r="C3416" s="1006" t="s">
        <v>1935</v>
      </c>
      <c r="D3416" s="1006" t="s">
        <v>1941</v>
      </c>
      <c r="E3416" s="1006" t="s">
        <v>9322</v>
      </c>
      <c r="F3416" s="465"/>
      <c r="G3416" s="1007">
        <v>1</v>
      </c>
      <c r="H3416" s="465"/>
      <c r="I3416" s="465"/>
      <c r="J3416" s="1008">
        <v>0</v>
      </c>
      <c r="K3416" s="1009">
        <v>0</v>
      </c>
    </row>
    <row r="3417" spans="1:11" ht="20.25" customHeight="1" x14ac:dyDescent="0.25">
      <c r="A3417" s="1006" t="s">
        <v>3574</v>
      </c>
      <c r="B3417" s="1007">
        <v>2025</v>
      </c>
      <c r="C3417" s="1006" t="s">
        <v>1935</v>
      </c>
      <c r="D3417" s="1006" t="s">
        <v>1942</v>
      </c>
      <c r="E3417" s="1006" t="s">
        <v>9323</v>
      </c>
      <c r="F3417" s="465"/>
      <c r="G3417" s="1007">
        <v>1</v>
      </c>
      <c r="H3417" s="465"/>
      <c r="I3417" s="465"/>
      <c r="J3417" s="1008">
        <v>0</v>
      </c>
      <c r="K3417" s="1009">
        <v>0</v>
      </c>
    </row>
    <row r="3418" spans="1:11" ht="20.25" customHeight="1" x14ac:dyDescent="0.25">
      <c r="A3418" s="1006" t="s">
        <v>3574</v>
      </c>
      <c r="B3418" s="1007">
        <v>2025</v>
      </c>
      <c r="C3418" s="1006" t="s">
        <v>1935</v>
      </c>
      <c r="D3418" s="1006" t="s">
        <v>1943</v>
      </c>
      <c r="E3418" s="1006" t="s">
        <v>9324</v>
      </c>
      <c r="F3418" s="465"/>
      <c r="G3418" s="1007">
        <v>1</v>
      </c>
      <c r="H3418" s="465"/>
      <c r="I3418" s="465"/>
      <c r="J3418" s="1008">
        <v>0</v>
      </c>
      <c r="K3418" s="1009">
        <v>0</v>
      </c>
    </row>
    <row r="3419" spans="1:11" ht="20.25" customHeight="1" x14ac:dyDescent="0.25">
      <c r="A3419" s="1006" t="s">
        <v>3574</v>
      </c>
      <c r="B3419" s="1007">
        <v>2025</v>
      </c>
      <c r="C3419" s="1006" t="s">
        <v>1935</v>
      </c>
      <c r="D3419" s="1006" t="s">
        <v>1944</v>
      </c>
      <c r="E3419" s="1006" t="s">
        <v>9325</v>
      </c>
      <c r="F3419" s="465"/>
      <c r="G3419" s="1007">
        <v>1</v>
      </c>
      <c r="H3419" s="465"/>
      <c r="I3419" s="465"/>
      <c r="J3419" s="1008">
        <v>0</v>
      </c>
      <c r="K3419" s="1009">
        <v>0</v>
      </c>
    </row>
    <row r="3420" spans="1:11" ht="20.25" customHeight="1" x14ac:dyDescent="0.25">
      <c r="A3420" s="1006" t="s">
        <v>3574</v>
      </c>
      <c r="B3420" s="1007">
        <v>2025</v>
      </c>
      <c r="C3420" s="1006" t="s">
        <v>1935</v>
      </c>
      <c r="D3420" s="1006" t="s">
        <v>1945</v>
      </c>
      <c r="E3420" s="1006" t="s">
        <v>9326</v>
      </c>
      <c r="F3420" s="465"/>
      <c r="G3420" s="1007">
        <v>1</v>
      </c>
      <c r="H3420" s="465"/>
      <c r="I3420" s="465"/>
      <c r="J3420" s="1008">
        <v>0</v>
      </c>
      <c r="K3420" s="1009">
        <v>0</v>
      </c>
    </row>
    <row r="3421" spans="1:11" ht="20.25" customHeight="1" x14ac:dyDescent="0.25">
      <c r="A3421" s="1006" t="s">
        <v>3574</v>
      </c>
      <c r="B3421" s="1007">
        <v>2025</v>
      </c>
      <c r="C3421" s="1006" t="s">
        <v>1935</v>
      </c>
      <c r="D3421" s="1006" t="s">
        <v>1946</v>
      </c>
      <c r="E3421" s="1006" t="s">
        <v>9327</v>
      </c>
      <c r="F3421" s="465"/>
      <c r="G3421" s="1007">
        <v>1</v>
      </c>
      <c r="H3421" s="465"/>
      <c r="I3421" s="465"/>
      <c r="J3421" s="1008">
        <v>0</v>
      </c>
      <c r="K3421" s="1009">
        <v>0</v>
      </c>
    </row>
    <row r="3422" spans="1:11" ht="20.25" customHeight="1" x14ac:dyDescent="0.25">
      <c r="A3422" s="1006" t="s">
        <v>3574</v>
      </c>
      <c r="B3422" s="1007">
        <v>2025</v>
      </c>
      <c r="C3422" s="1006" t="s">
        <v>1935</v>
      </c>
      <c r="D3422" s="1006" t="s">
        <v>1947</v>
      </c>
      <c r="E3422" s="1006" t="s">
        <v>9328</v>
      </c>
      <c r="F3422" s="465"/>
      <c r="G3422" s="1007">
        <v>1</v>
      </c>
      <c r="H3422" s="465"/>
      <c r="I3422" s="465"/>
      <c r="J3422" s="1008">
        <v>0</v>
      </c>
      <c r="K3422" s="1009">
        <v>0</v>
      </c>
    </row>
    <row r="3423" spans="1:11" ht="20.25" customHeight="1" x14ac:dyDescent="0.25">
      <c r="A3423" s="1006" t="s">
        <v>3574</v>
      </c>
      <c r="B3423" s="1007">
        <v>2025</v>
      </c>
      <c r="C3423" s="1006" t="s">
        <v>1935</v>
      </c>
      <c r="D3423" s="1006" t="s">
        <v>1948</v>
      </c>
      <c r="E3423" s="1006" t="s">
        <v>9329</v>
      </c>
      <c r="F3423" s="465"/>
      <c r="G3423" s="1007">
        <v>1</v>
      </c>
      <c r="H3423" s="465"/>
      <c r="I3423" s="465"/>
      <c r="J3423" s="1008">
        <v>0</v>
      </c>
      <c r="K3423" s="1009">
        <v>0</v>
      </c>
    </row>
    <row r="3424" spans="1:11" ht="20.25" customHeight="1" x14ac:dyDescent="0.25">
      <c r="A3424" s="1006" t="s">
        <v>3574</v>
      </c>
      <c r="B3424" s="1007">
        <v>2025</v>
      </c>
      <c r="C3424" s="1006" t="s">
        <v>1935</v>
      </c>
      <c r="D3424" s="1006" t="s">
        <v>1949</v>
      </c>
      <c r="E3424" s="1006" t="s">
        <v>9330</v>
      </c>
      <c r="F3424" s="465"/>
      <c r="G3424" s="1007">
        <v>1</v>
      </c>
      <c r="H3424" s="465"/>
      <c r="I3424" s="465"/>
      <c r="J3424" s="1008">
        <v>0</v>
      </c>
      <c r="K3424" s="1009">
        <v>0</v>
      </c>
    </row>
    <row r="3425" spans="1:11" ht="20.25" customHeight="1" x14ac:dyDescent="0.25">
      <c r="A3425" s="1006" t="s">
        <v>3574</v>
      </c>
      <c r="B3425" s="1007">
        <v>2025</v>
      </c>
      <c r="C3425" s="1006" t="s">
        <v>1935</v>
      </c>
      <c r="D3425" s="1006" t="s">
        <v>1950</v>
      </c>
      <c r="E3425" s="1006" t="s">
        <v>9331</v>
      </c>
      <c r="F3425" s="465"/>
      <c r="G3425" s="1007">
        <v>1</v>
      </c>
      <c r="H3425" s="465"/>
      <c r="I3425" s="465"/>
      <c r="J3425" s="1008">
        <v>0</v>
      </c>
      <c r="K3425" s="1009">
        <v>0</v>
      </c>
    </row>
    <row r="3426" spans="1:11" ht="20.25" customHeight="1" x14ac:dyDescent="0.25">
      <c r="A3426" s="1006" t="s">
        <v>3574</v>
      </c>
      <c r="B3426" s="1007">
        <v>2025</v>
      </c>
      <c r="C3426" s="1006" t="s">
        <v>1935</v>
      </c>
      <c r="D3426" s="1006" t="s">
        <v>1951</v>
      </c>
      <c r="E3426" s="1006" t="s">
        <v>9332</v>
      </c>
      <c r="F3426" s="465"/>
      <c r="G3426" s="1007">
        <v>1</v>
      </c>
      <c r="H3426" s="465"/>
      <c r="I3426" s="465"/>
      <c r="J3426" s="1008">
        <v>0</v>
      </c>
      <c r="K3426" s="1009">
        <v>0</v>
      </c>
    </row>
    <row r="3427" spans="1:11" ht="20.25" customHeight="1" x14ac:dyDescent="0.25">
      <c r="A3427" s="1006" t="s">
        <v>3574</v>
      </c>
      <c r="B3427" s="1007">
        <v>2025</v>
      </c>
      <c r="C3427" s="1006" t="s">
        <v>1935</v>
      </c>
      <c r="D3427" s="1006" t="s">
        <v>7801</v>
      </c>
      <c r="E3427" s="1006" t="s">
        <v>9333</v>
      </c>
      <c r="F3427" s="465"/>
      <c r="G3427" s="1007">
        <v>1</v>
      </c>
      <c r="H3427" s="465"/>
      <c r="I3427" s="465"/>
      <c r="J3427" s="1008">
        <v>0</v>
      </c>
      <c r="K3427" s="1009">
        <v>0</v>
      </c>
    </row>
    <row r="3428" spans="1:11" ht="20.25" customHeight="1" x14ac:dyDescent="0.25">
      <c r="A3428" s="1006" t="s">
        <v>3574</v>
      </c>
      <c r="B3428" s="1007">
        <v>2025</v>
      </c>
      <c r="C3428" s="1006" t="s">
        <v>1935</v>
      </c>
      <c r="D3428" s="1006" t="s">
        <v>3425</v>
      </c>
      <c r="E3428" s="1006" t="s">
        <v>9334</v>
      </c>
      <c r="F3428" s="465"/>
      <c r="G3428" s="1007">
        <v>0</v>
      </c>
      <c r="H3428" s="465"/>
      <c r="I3428" s="465"/>
      <c r="J3428" s="1008">
        <v>0</v>
      </c>
      <c r="K3428" s="1009">
        <v>0</v>
      </c>
    </row>
    <row r="3429" spans="1:11" ht="20.25" customHeight="1" x14ac:dyDescent="0.25">
      <c r="A3429" s="1006" t="s">
        <v>3574</v>
      </c>
      <c r="B3429" s="1007">
        <v>2025</v>
      </c>
      <c r="C3429" s="1006" t="s">
        <v>1935</v>
      </c>
      <c r="D3429" s="1006" t="s">
        <v>3426</v>
      </c>
      <c r="E3429" s="1006" t="s">
        <v>9335</v>
      </c>
      <c r="F3429" s="465"/>
      <c r="G3429" s="1007">
        <v>0</v>
      </c>
      <c r="H3429" s="465"/>
      <c r="I3429" s="465"/>
      <c r="J3429" s="1008">
        <v>0</v>
      </c>
      <c r="K3429" s="1009">
        <v>0</v>
      </c>
    </row>
    <row r="3430" spans="1:11" ht="20.25" customHeight="1" x14ac:dyDescent="0.25">
      <c r="A3430" s="1006" t="s">
        <v>3574</v>
      </c>
      <c r="B3430" s="1007">
        <v>2025</v>
      </c>
      <c r="C3430" s="1006" t="s">
        <v>1935</v>
      </c>
      <c r="D3430" s="1006" t="s">
        <v>3427</v>
      </c>
      <c r="E3430" s="1006" t="s">
        <v>9336</v>
      </c>
      <c r="F3430" s="465"/>
      <c r="G3430" s="1007">
        <v>0</v>
      </c>
      <c r="H3430" s="465"/>
      <c r="I3430" s="465"/>
      <c r="J3430" s="1008">
        <v>0</v>
      </c>
      <c r="K3430" s="1009">
        <v>0</v>
      </c>
    </row>
    <row r="3431" spans="1:11" ht="20.25" customHeight="1" x14ac:dyDescent="0.25">
      <c r="A3431" s="1006" t="s">
        <v>3574</v>
      </c>
      <c r="B3431" s="1007">
        <v>2025</v>
      </c>
      <c r="C3431" s="1006" t="s">
        <v>1935</v>
      </c>
      <c r="D3431" s="1006" t="s">
        <v>3428</v>
      </c>
      <c r="E3431" s="1006" t="s">
        <v>9334</v>
      </c>
      <c r="F3431" s="465"/>
      <c r="G3431" s="1007">
        <v>0</v>
      </c>
      <c r="H3431" s="465"/>
      <c r="I3431" s="465"/>
      <c r="J3431" s="1008">
        <v>0</v>
      </c>
      <c r="K3431" s="1009">
        <v>0</v>
      </c>
    </row>
    <row r="3432" spans="1:11" ht="20.25" customHeight="1" x14ac:dyDescent="0.25">
      <c r="A3432" s="1006" t="s">
        <v>3574</v>
      </c>
      <c r="B3432" s="1007">
        <v>2025</v>
      </c>
      <c r="C3432" s="1006" t="s">
        <v>1935</v>
      </c>
      <c r="D3432" s="1006" t="s">
        <v>3429</v>
      </c>
      <c r="E3432" s="1006" t="s">
        <v>9335</v>
      </c>
      <c r="F3432" s="465"/>
      <c r="G3432" s="1007">
        <v>0</v>
      </c>
      <c r="H3432" s="465"/>
      <c r="I3432" s="465"/>
      <c r="J3432" s="1008">
        <v>0</v>
      </c>
      <c r="K3432" s="1009">
        <v>0</v>
      </c>
    </row>
    <row r="3433" spans="1:11" ht="20.25" customHeight="1" x14ac:dyDescent="0.25">
      <c r="A3433" s="1006" t="s">
        <v>3574</v>
      </c>
      <c r="B3433" s="1007">
        <v>2025</v>
      </c>
      <c r="C3433" s="1006" t="s">
        <v>1935</v>
      </c>
      <c r="D3433" s="1006" t="s">
        <v>3430</v>
      </c>
      <c r="E3433" s="1006" t="s">
        <v>9336</v>
      </c>
      <c r="F3433" s="465"/>
      <c r="G3433" s="1007">
        <v>0</v>
      </c>
      <c r="H3433" s="465"/>
      <c r="I3433" s="465"/>
      <c r="J3433" s="1008">
        <v>0</v>
      </c>
      <c r="K3433" s="1009">
        <v>0</v>
      </c>
    </row>
    <row r="3434" spans="1:11" ht="20.25" customHeight="1" x14ac:dyDescent="0.25">
      <c r="A3434" s="1006" t="s">
        <v>3574</v>
      </c>
      <c r="B3434" s="1007">
        <v>2025</v>
      </c>
      <c r="C3434" s="1006" t="s">
        <v>1935</v>
      </c>
      <c r="D3434" s="1006" t="s">
        <v>3431</v>
      </c>
      <c r="E3434" s="1006" t="s">
        <v>9334</v>
      </c>
      <c r="F3434" s="465"/>
      <c r="G3434" s="1007">
        <v>0</v>
      </c>
      <c r="H3434" s="465"/>
      <c r="I3434" s="465"/>
      <c r="J3434" s="1008">
        <v>0</v>
      </c>
      <c r="K3434" s="1009">
        <v>0</v>
      </c>
    </row>
    <row r="3435" spans="1:11" ht="20.25" customHeight="1" x14ac:dyDescent="0.25">
      <c r="A3435" s="1006" t="s">
        <v>3574</v>
      </c>
      <c r="B3435" s="1007">
        <v>2025</v>
      </c>
      <c r="C3435" s="1006" t="s">
        <v>1935</v>
      </c>
      <c r="D3435" s="1006" t="s">
        <v>3432</v>
      </c>
      <c r="E3435" s="1006" t="s">
        <v>9335</v>
      </c>
      <c r="F3435" s="465"/>
      <c r="G3435" s="1007">
        <v>0</v>
      </c>
      <c r="H3435" s="465"/>
      <c r="I3435" s="465"/>
      <c r="J3435" s="1008">
        <v>0</v>
      </c>
      <c r="K3435" s="1009">
        <v>0</v>
      </c>
    </row>
    <row r="3436" spans="1:11" ht="20.25" customHeight="1" x14ac:dyDescent="0.25">
      <c r="A3436" s="1006" t="s">
        <v>3574</v>
      </c>
      <c r="B3436" s="1007">
        <v>2025</v>
      </c>
      <c r="C3436" s="1006" t="s">
        <v>1935</v>
      </c>
      <c r="D3436" s="1006" t="s">
        <v>3433</v>
      </c>
      <c r="E3436" s="1006" t="s">
        <v>9336</v>
      </c>
      <c r="F3436" s="465"/>
      <c r="G3436" s="1007">
        <v>0</v>
      </c>
      <c r="H3436" s="465"/>
      <c r="I3436" s="465"/>
      <c r="J3436" s="1008">
        <v>0</v>
      </c>
      <c r="K3436" s="1009">
        <v>0</v>
      </c>
    </row>
    <row r="3437" spans="1:11" ht="20.25" customHeight="1" x14ac:dyDescent="0.25">
      <c r="A3437" s="1006" t="s">
        <v>3584</v>
      </c>
      <c r="B3437" s="1007">
        <v>2025</v>
      </c>
      <c r="C3437" s="1006" t="s">
        <v>1887</v>
      </c>
      <c r="D3437" s="1006" t="s">
        <v>138</v>
      </c>
      <c r="E3437" s="1006" t="s">
        <v>3585</v>
      </c>
      <c r="F3437" s="465"/>
      <c r="G3437" s="1007">
        <v>1</v>
      </c>
      <c r="H3437" s="465"/>
      <c r="I3437" s="465"/>
      <c r="J3437" s="1008">
        <v>0</v>
      </c>
      <c r="K3437" s="1009">
        <v>0</v>
      </c>
    </row>
    <row r="3438" spans="1:11" ht="20.25" customHeight="1" x14ac:dyDescent="0.25">
      <c r="A3438" s="1006" t="s">
        <v>3584</v>
      </c>
      <c r="B3438" s="1007">
        <v>2025</v>
      </c>
      <c r="C3438" s="1006" t="s">
        <v>1889</v>
      </c>
      <c r="D3438" s="1006" t="s">
        <v>139</v>
      </c>
      <c r="E3438" s="1006" t="s">
        <v>3586</v>
      </c>
      <c r="F3438" s="465"/>
      <c r="G3438" s="1007">
        <v>1</v>
      </c>
      <c r="H3438" s="465"/>
      <c r="I3438" s="465"/>
      <c r="J3438" s="1008">
        <v>0</v>
      </c>
      <c r="K3438" s="1009">
        <v>0</v>
      </c>
    </row>
    <row r="3439" spans="1:11" ht="20.25" customHeight="1" x14ac:dyDescent="0.25">
      <c r="A3439" s="1006" t="s">
        <v>3584</v>
      </c>
      <c r="B3439" s="1007">
        <v>2025</v>
      </c>
      <c r="C3439" s="1006" t="s">
        <v>1891</v>
      </c>
      <c r="D3439" s="1006" t="s">
        <v>1894</v>
      </c>
      <c r="E3439" s="1006" t="s">
        <v>3587</v>
      </c>
      <c r="F3439" s="465"/>
      <c r="G3439" s="1007">
        <v>0</v>
      </c>
      <c r="H3439" s="465"/>
      <c r="I3439" s="465"/>
      <c r="J3439" s="1008">
        <v>0</v>
      </c>
      <c r="K3439" s="1009">
        <v>0</v>
      </c>
    </row>
    <row r="3440" spans="1:11" ht="20.25" customHeight="1" x14ac:dyDescent="0.25">
      <c r="A3440" s="1006" t="s">
        <v>3584</v>
      </c>
      <c r="B3440" s="1007">
        <v>2025</v>
      </c>
      <c r="C3440" s="1006" t="s">
        <v>1913</v>
      </c>
      <c r="D3440" s="1006" t="s">
        <v>1914</v>
      </c>
      <c r="E3440" s="1006" t="s">
        <v>3588</v>
      </c>
      <c r="F3440" s="465"/>
      <c r="G3440" s="1007">
        <v>1</v>
      </c>
      <c r="H3440" s="465"/>
      <c r="I3440" s="465"/>
      <c r="J3440" s="1008">
        <v>0</v>
      </c>
      <c r="K3440" s="1009">
        <v>0</v>
      </c>
    </row>
    <row r="3441" spans="1:11" ht="20.25" customHeight="1" x14ac:dyDescent="0.25">
      <c r="A3441" s="1006" t="s">
        <v>3584</v>
      </c>
      <c r="B3441" s="1007">
        <v>2025</v>
      </c>
      <c r="C3441" s="1006" t="s">
        <v>1913</v>
      </c>
      <c r="D3441" s="1006" t="s">
        <v>1916</v>
      </c>
      <c r="E3441" s="1006" t="s">
        <v>3588</v>
      </c>
      <c r="F3441" s="465"/>
      <c r="G3441" s="1007">
        <v>0</v>
      </c>
      <c r="H3441" s="465"/>
      <c r="I3441" s="465"/>
      <c r="J3441" s="1008">
        <v>0</v>
      </c>
      <c r="K3441" s="1009">
        <v>0</v>
      </c>
    </row>
    <row r="3442" spans="1:11" ht="20.25" customHeight="1" x14ac:dyDescent="0.25">
      <c r="A3442" s="1006" t="s">
        <v>3584</v>
      </c>
      <c r="B3442" s="1007">
        <v>2025</v>
      </c>
      <c r="C3442" s="1006" t="s">
        <v>1913</v>
      </c>
      <c r="D3442" s="1006" t="s">
        <v>1917</v>
      </c>
      <c r="E3442" s="1006" t="s">
        <v>3588</v>
      </c>
      <c r="F3442" s="465"/>
      <c r="G3442" s="1007">
        <v>0</v>
      </c>
      <c r="H3442" s="465"/>
      <c r="I3442" s="465"/>
      <c r="J3442" s="1008">
        <v>0</v>
      </c>
      <c r="K3442" s="1009">
        <v>0</v>
      </c>
    </row>
    <row r="3443" spans="1:11" ht="20.25" customHeight="1" x14ac:dyDescent="0.25">
      <c r="A3443" s="1006" t="s">
        <v>3584</v>
      </c>
      <c r="B3443" s="1007">
        <v>2025</v>
      </c>
      <c r="C3443" s="1006" t="s">
        <v>1913</v>
      </c>
      <c r="D3443" s="1006" t="s">
        <v>1918</v>
      </c>
      <c r="E3443" s="1006" t="s">
        <v>3588</v>
      </c>
      <c r="F3443" s="465"/>
      <c r="G3443" s="1007">
        <v>0</v>
      </c>
      <c r="H3443" s="465"/>
      <c r="I3443" s="465"/>
      <c r="J3443" s="1008">
        <v>0</v>
      </c>
      <c r="K3443" s="1009">
        <v>0</v>
      </c>
    </row>
    <row r="3444" spans="1:11" ht="20.25" customHeight="1" x14ac:dyDescent="0.25">
      <c r="A3444" s="1006" t="s">
        <v>3584</v>
      </c>
      <c r="B3444" s="1007">
        <v>2025</v>
      </c>
      <c r="C3444" s="1006" t="s">
        <v>1913</v>
      </c>
      <c r="D3444" s="1006" t="s">
        <v>1919</v>
      </c>
      <c r="E3444" s="1006" t="s">
        <v>3588</v>
      </c>
      <c r="F3444" s="465"/>
      <c r="G3444" s="1007">
        <v>0</v>
      </c>
      <c r="H3444" s="465"/>
      <c r="I3444" s="465"/>
      <c r="J3444" s="1008">
        <v>0</v>
      </c>
      <c r="K3444" s="1009">
        <v>0</v>
      </c>
    </row>
    <row r="3445" spans="1:11" ht="20.25" customHeight="1" x14ac:dyDescent="0.25">
      <c r="A3445" s="1006" t="s">
        <v>3584</v>
      </c>
      <c r="B3445" s="1007">
        <v>2025</v>
      </c>
      <c r="C3445" s="1006" t="s">
        <v>1923</v>
      </c>
      <c r="D3445" s="1006" t="s">
        <v>143</v>
      </c>
      <c r="E3445" s="1006" t="s">
        <v>3589</v>
      </c>
      <c r="F3445" s="465"/>
      <c r="G3445" s="1007">
        <v>1</v>
      </c>
      <c r="H3445" s="465"/>
      <c r="I3445" s="465"/>
      <c r="J3445" s="1008">
        <v>0</v>
      </c>
      <c r="K3445" s="1009">
        <v>0</v>
      </c>
    </row>
    <row r="3446" spans="1:11" ht="20.25" customHeight="1" x14ac:dyDescent="0.25">
      <c r="A3446" s="1006" t="s">
        <v>3584</v>
      </c>
      <c r="B3446" s="1007">
        <v>2025</v>
      </c>
      <c r="C3446" s="1006" t="s">
        <v>1925</v>
      </c>
      <c r="D3446" s="1006" t="s">
        <v>144</v>
      </c>
      <c r="E3446" s="1006" t="s">
        <v>3590</v>
      </c>
      <c r="F3446" s="465"/>
      <c r="G3446" s="1007">
        <v>1</v>
      </c>
      <c r="H3446" s="465"/>
      <c r="I3446" s="465"/>
      <c r="J3446" s="1008">
        <v>0</v>
      </c>
      <c r="K3446" s="1009">
        <v>0</v>
      </c>
    </row>
    <row r="3447" spans="1:11" ht="20.25" customHeight="1" x14ac:dyDescent="0.25">
      <c r="A3447" s="1006" t="s">
        <v>3584</v>
      </c>
      <c r="B3447" s="1007">
        <v>2025</v>
      </c>
      <c r="C3447" s="1006" t="s">
        <v>1927</v>
      </c>
      <c r="D3447" s="1006" t="s">
        <v>1928</v>
      </c>
      <c r="E3447" s="1006" t="s">
        <v>3591</v>
      </c>
      <c r="F3447" s="465"/>
      <c r="G3447" s="1007">
        <v>1</v>
      </c>
      <c r="H3447" s="465"/>
      <c r="I3447" s="465"/>
      <c r="J3447" s="1008">
        <v>0</v>
      </c>
      <c r="K3447" s="1009">
        <v>0</v>
      </c>
    </row>
    <row r="3448" spans="1:11" ht="20.25" customHeight="1" x14ac:dyDescent="0.25">
      <c r="A3448" s="1006" t="s">
        <v>3584</v>
      </c>
      <c r="B3448" s="1007">
        <v>2025</v>
      </c>
      <c r="C3448" s="1006" t="s">
        <v>1930</v>
      </c>
      <c r="D3448" s="1006" t="s">
        <v>156</v>
      </c>
      <c r="E3448" s="1006" t="s">
        <v>3592</v>
      </c>
      <c r="F3448" s="465"/>
      <c r="G3448" s="1007">
        <v>1</v>
      </c>
      <c r="H3448" s="465"/>
      <c r="I3448" s="465"/>
      <c r="J3448" s="1008">
        <v>0</v>
      </c>
      <c r="K3448" s="1009">
        <v>0</v>
      </c>
    </row>
    <row r="3449" spans="1:11" ht="20.25" customHeight="1" x14ac:dyDescent="0.25">
      <c r="A3449" s="1006" t="s">
        <v>3584</v>
      </c>
      <c r="B3449" s="1007">
        <v>2025</v>
      </c>
      <c r="C3449" s="1006" t="s">
        <v>1932</v>
      </c>
      <c r="D3449" s="1006" t="s">
        <v>3423</v>
      </c>
      <c r="E3449" s="1006" t="s">
        <v>3593</v>
      </c>
      <c r="F3449" s="465"/>
      <c r="G3449" s="1007">
        <v>0</v>
      </c>
      <c r="H3449" s="465"/>
      <c r="I3449" s="465"/>
      <c r="J3449" s="1008">
        <v>0</v>
      </c>
      <c r="K3449" s="1009">
        <v>0</v>
      </c>
    </row>
    <row r="3450" spans="1:11" ht="20.25" customHeight="1" x14ac:dyDescent="0.25">
      <c r="A3450" s="1006" t="s">
        <v>3584</v>
      </c>
      <c r="B3450" s="1007">
        <v>2025</v>
      </c>
      <c r="C3450" s="1006" t="s">
        <v>1935</v>
      </c>
      <c r="D3450" s="1006" t="s">
        <v>1936</v>
      </c>
      <c r="E3450" s="1006" t="s">
        <v>9337</v>
      </c>
      <c r="F3450" s="465"/>
      <c r="G3450" s="1007">
        <v>1</v>
      </c>
      <c r="H3450" s="465"/>
      <c r="I3450" s="465"/>
      <c r="J3450" s="1008">
        <v>0</v>
      </c>
      <c r="K3450" s="1009">
        <v>0</v>
      </c>
    </row>
    <row r="3451" spans="1:11" ht="20.25" customHeight="1" x14ac:dyDescent="0.25">
      <c r="A3451" s="1006" t="s">
        <v>3584</v>
      </c>
      <c r="B3451" s="1007">
        <v>2025</v>
      </c>
      <c r="C3451" s="1006" t="s">
        <v>1935</v>
      </c>
      <c r="D3451" s="1006" t="s">
        <v>1937</v>
      </c>
      <c r="E3451" s="1006" t="s">
        <v>9338</v>
      </c>
      <c r="F3451" s="465"/>
      <c r="G3451" s="1007">
        <v>1</v>
      </c>
      <c r="H3451" s="465"/>
      <c r="I3451" s="465"/>
      <c r="J3451" s="1008">
        <v>0</v>
      </c>
      <c r="K3451" s="1009">
        <v>0</v>
      </c>
    </row>
    <row r="3452" spans="1:11" ht="20.25" customHeight="1" x14ac:dyDescent="0.25">
      <c r="A3452" s="1006" t="s">
        <v>3584</v>
      </c>
      <c r="B3452" s="1007">
        <v>2025</v>
      </c>
      <c r="C3452" s="1006" t="s">
        <v>1935</v>
      </c>
      <c r="D3452" s="1006" t="s">
        <v>1938</v>
      </c>
      <c r="E3452" s="1006" t="s">
        <v>9339</v>
      </c>
      <c r="F3452" s="465"/>
      <c r="G3452" s="1007">
        <v>1</v>
      </c>
      <c r="H3452" s="465"/>
      <c r="I3452" s="465"/>
      <c r="J3452" s="1008">
        <v>0</v>
      </c>
      <c r="K3452" s="1009">
        <v>0</v>
      </c>
    </row>
    <row r="3453" spans="1:11" ht="20.25" customHeight="1" x14ac:dyDescent="0.25">
      <c r="A3453" s="1006" t="s">
        <v>3584</v>
      </c>
      <c r="B3453" s="1007">
        <v>2025</v>
      </c>
      <c r="C3453" s="1006" t="s">
        <v>1935</v>
      </c>
      <c r="D3453" s="1006" t="s">
        <v>1939</v>
      </c>
      <c r="E3453" s="1006" t="s">
        <v>9340</v>
      </c>
      <c r="F3453" s="465"/>
      <c r="G3453" s="1007">
        <v>1</v>
      </c>
      <c r="H3453" s="465"/>
      <c r="I3453" s="465"/>
      <c r="J3453" s="1008">
        <v>0</v>
      </c>
      <c r="K3453" s="1009">
        <v>0</v>
      </c>
    </row>
    <row r="3454" spans="1:11" ht="20.25" customHeight="1" x14ac:dyDescent="0.25">
      <c r="A3454" s="1006" t="s">
        <v>3584</v>
      </c>
      <c r="B3454" s="1007">
        <v>2025</v>
      </c>
      <c r="C3454" s="1006" t="s">
        <v>1935</v>
      </c>
      <c r="D3454" s="1006" t="s">
        <v>1940</v>
      </c>
      <c r="E3454" s="1006" t="s">
        <v>9341</v>
      </c>
      <c r="F3454" s="465"/>
      <c r="G3454" s="1007">
        <v>1</v>
      </c>
      <c r="H3454" s="465"/>
      <c r="I3454" s="465"/>
      <c r="J3454" s="1008">
        <v>0</v>
      </c>
      <c r="K3454" s="1009">
        <v>0</v>
      </c>
    </row>
    <row r="3455" spans="1:11" ht="20.25" customHeight="1" x14ac:dyDescent="0.25">
      <c r="A3455" s="1006" t="s">
        <v>3584</v>
      </c>
      <c r="B3455" s="1007">
        <v>2025</v>
      </c>
      <c r="C3455" s="1006" t="s">
        <v>1935</v>
      </c>
      <c r="D3455" s="1006" t="s">
        <v>1941</v>
      </c>
      <c r="E3455" s="1006" t="s">
        <v>9342</v>
      </c>
      <c r="F3455" s="465"/>
      <c r="G3455" s="1007">
        <v>1</v>
      </c>
      <c r="H3455" s="465"/>
      <c r="I3455" s="465"/>
      <c r="J3455" s="1008">
        <v>0</v>
      </c>
      <c r="K3455" s="1009">
        <v>0</v>
      </c>
    </row>
    <row r="3456" spans="1:11" ht="20.25" customHeight="1" x14ac:dyDescent="0.25">
      <c r="A3456" s="1006" t="s">
        <v>3584</v>
      </c>
      <c r="B3456" s="1007">
        <v>2025</v>
      </c>
      <c r="C3456" s="1006" t="s">
        <v>1935</v>
      </c>
      <c r="D3456" s="1006" t="s">
        <v>1942</v>
      </c>
      <c r="E3456" s="1006" t="s">
        <v>9343</v>
      </c>
      <c r="F3456" s="465"/>
      <c r="G3456" s="1007">
        <v>1</v>
      </c>
      <c r="H3456" s="465"/>
      <c r="I3456" s="465"/>
      <c r="J3456" s="1008">
        <v>0</v>
      </c>
      <c r="K3456" s="1009">
        <v>0</v>
      </c>
    </row>
    <row r="3457" spans="1:11" ht="20.25" customHeight="1" x14ac:dyDescent="0.25">
      <c r="A3457" s="1006" t="s">
        <v>3584</v>
      </c>
      <c r="B3457" s="1007">
        <v>2025</v>
      </c>
      <c r="C3457" s="1006" t="s">
        <v>1935</v>
      </c>
      <c r="D3457" s="1006" t="s">
        <v>1943</v>
      </c>
      <c r="E3457" s="1006" t="s">
        <v>9344</v>
      </c>
      <c r="F3457" s="465"/>
      <c r="G3457" s="1007">
        <v>1</v>
      </c>
      <c r="H3457" s="465"/>
      <c r="I3457" s="465"/>
      <c r="J3457" s="1008">
        <v>0</v>
      </c>
      <c r="K3457" s="1009">
        <v>0</v>
      </c>
    </row>
    <row r="3458" spans="1:11" ht="20.25" customHeight="1" x14ac:dyDescent="0.25">
      <c r="A3458" s="1006" t="s">
        <v>3584</v>
      </c>
      <c r="B3458" s="1007">
        <v>2025</v>
      </c>
      <c r="C3458" s="1006" t="s">
        <v>1935</v>
      </c>
      <c r="D3458" s="1006" t="s">
        <v>1944</v>
      </c>
      <c r="E3458" s="1006" t="s">
        <v>9345</v>
      </c>
      <c r="F3458" s="465"/>
      <c r="G3458" s="1007">
        <v>1</v>
      </c>
      <c r="H3458" s="465"/>
      <c r="I3458" s="465"/>
      <c r="J3458" s="1008">
        <v>0</v>
      </c>
      <c r="K3458" s="1009">
        <v>0</v>
      </c>
    </row>
    <row r="3459" spans="1:11" ht="20.25" customHeight="1" x14ac:dyDescent="0.25">
      <c r="A3459" s="1006" t="s">
        <v>3584</v>
      </c>
      <c r="B3459" s="1007">
        <v>2025</v>
      </c>
      <c r="C3459" s="1006" t="s">
        <v>1935</v>
      </c>
      <c r="D3459" s="1006" t="s">
        <v>1945</v>
      </c>
      <c r="E3459" s="1006" t="s">
        <v>9346</v>
      </c>
      <c r="F3459" s="465"/>
      <c r="G3459" s="1007">
        <v>1</v>
      </c>
      <c r="H3459" s="465"/>
      <c r="I3459" s="465"/>
      <c r="J3459" s="1008">
        <v>0</v>
      </c>
      <c r="K3459" s="1009">
        <v>0</v>
      </c>
    </row>
    <row r="3460" spans="1:11" ht="20.25" customHeight="1" x14ac:dyDescent="0.25">
      <c r="A3460" s="1006" t="s">
        <v>3584</v>
      </c>
      <c r="B3460" s="1007">
        <v>2025</v>
      </c>
      <c r="C3460" s="1006" t="s">
        <v>1935</v>
      </c>
      <c r="D3460" s="1006" t="s">
        <v>1946</v>
      </c>
      <c r="E3460" s="1006" t="s">
        <v>9347</v>
      </c>
      <c r="F3460" s="465"/>
      <c r="G3460" s="1007">
        <v>1</v>
      </c>
      <c r="H3460" s="465"/>
      <c r="I3460" s="465"/>
      <c r="J3460" s="1008">
        <v>0</v>
      </c>
      <c r="K3460" s="1009">
        <v>0</v>
      </c>
    </row>
    <row r="3461" spans="1:11" ht="20.25" customHeight="1" x14ac:dyDescent="0.25">
      <c r="A3461" s="1006" t="s">
        <v>3584</v>
      </c>
      <c r="B3461" s="1007">
        <v>2025</v>
      </c>
      <c r="C3461" s="1006" t="s">
        <v>1935</v>
      </c>
      <c r="D3461" s="1006" t="s">
        <v>1947</v>
      </c>
      <c r="E3461" s="1006" t="s">
        <v>9348</v>
      </c>
      <c r="F3461" s="465"/>
      <c r="G3461" s="1007">
        <v>1</v>
      </c>
      <c r="H3461" s="465"/>
      <c r="I3461" s="465"/>
      <c r="J3461" s="1008">
        <v>0</v>
      </c>
      <c r="K3461" s="1009">
        <v>0</v>
      </c>
    </row>
    <row r="3462" spans="1:11" ht="20.25" customHeight="1" x14ac:dyDescent="0.25">
      <c r="A3462" s="1006" t="s">
        <v>3584</v>
      </c>
      <c r="B3462" s="1007">
        <v>2025</v>
      </c>
      <c r="C3462" s="1006" t="s">
        <v>1935</v>
      </c>
      <c r="D3462" s="1006" t="s">
        <v>1948</v>
      </c>
      <c r="E3462" s="1006" t="s">
        <v>9349</v>
      </c>
      <c r="F3462" s="465"/>
      <c r="G3462" s="1007">
        <v>1</v>
      </c>
      <c r="H3462" s="465"/>
      <c r="I3462" s="465"/>
      <c r="J3462" s="1008">
        <v>0</v>
      </c>
      <c r="K3462" s="1009">
        <v>0</v>
      </c>
    </row>
    <row r="3463" spans="1:11" ht="20.25" customHeight="1" x14ac:dyDescent="0.25">
      <c r="A3463" s="1006" t="s">
        <v>3584</v>
      </c>
      <c r="B3463" s="1007">
        <v>2025</v>
      </c>
      <c r="C3463" s="1006" t="s">
        <v>1935</v>
      </c>
      <c r="D3463" s="1006" t="s">
        <v>1949</v>
      </c>
      <c r="E3463" s="1006" t="s">
        <v>9350</v>
      </c>
      <c r="F3463" s="465"/>
      <c r="G3463" s="1007">
        <v>1</v>
      </c>
      <c r="H3463" s="465"/>
      <c r="I3463" s="465"/>
      <c r="J3463" s="1008">
        <v>0</v>
      </c>
      <c r="K3463" s="1009">
        <v>0</v>
      </c>
    </row>
    <row r="3464" spans="1:11" ht="20.25" customHeight="1" x14ac:dyDescent="0.25">
      <c r="A3464" s="1006" t="s">
        <v>3584</v>
      </c>
      <c r="B3464" s="1007">
        <v>2025</v>
      </c>
      <c r="C3464" s="1006" t="s">
        <v>1935</v>
      </c>
      <c r="D3464" s="1006" t="s">
        <v>1950</v>
      </c>
      <c r="E3464" s="1006" t="s">
        <v>9351</v>
      </c>
      <c r="F3464" s="465"/>
      <c r="G3464" s="1007">
        <v>1</v>
      </c>
      <c r="H3464" s="465"/>
      <c r="I3464" s="465"/>
      <c r="J3464" s="1008">
        <v>0</v>
      </c>
      <c r="K3464" s="1009">
        <v>0</v>
      </c>
    </row>
    <row r="3465" spans="1:11" ht="20.25" customHeight="1" x14ac:dyDescent="0.25">
      <c r="A3465" s="1006" t="s">
        <v>3584</v>
      </c>
      <c r="B3465" s="1007">
        <v>2025</v>
      </c>
      <c r="C3465" s="1006" t="s">
        <v>1935</v>
      </c>
      <c r="D3465" s="1006" t="s">
        <v>1951</v>
      </c>
      <c r="E3465" s="1006" t="s">
        <v>9352</v>
      </c>
      <c r="F3465" s="465"/>
      <c r="G3465" s="1007">
        <v>1</v>
      </c>
      <c r="H3465" s="465"/>
      <c r="I3465" s="465"/>
      <c r="J3465" s="1008">
        <v>0</v>
      </c>
      <c r="K3465" s="1009">
        <v>0</v>
      </c>
    </row>
    <row r="3466" spans="1:11" ht="20.25" customHeight="1" x14ac:dyDescent="0.25">
      <c r="A3466" s="1006" t="s">
        <v>3584</v>
      </c>
      <c r="B3466" s="1007">
        <v>2025</v>
      </c>
      <c r="C3466" s="1006" t="s">
        <v>1935</v>
      </c>
      <c r="D3466" s="1006" t="s">
        <v>7801</v>
      </c>
      <c r="E3466" s="1006" t="s">
        <v>9353</v>
      </c>
      <c r="F3466" s="465"/>
      <c r="G3466" s="1007">
        <v>1</v>
      </c>
      <c r="H3466" s="465"/>
      <c r="I3466" s="465"/>
      <c r="J3466" s="1008">
        <v>0</v>
      </c>
      <c r="K3466" s="1009">
        <v>0</v>
      </c>
    </row>
    <row r="3467" spans="1:11" ht="20.25" customHeight="1" x14ac:dyDescent="0.25">
      <c r="A3467" s="1006" t="s">
        <v>3584</v>
      </c>
      <c r="B3467" s="1007">
        <v>2025</v>
      </c>
      <c r="C3467" s="1006" t="s">
        <v>1935</v>
      </c>
      <c r="D3467" s="1006" t="s">
        <v>3425</v>
      </c>
      <c r="E3467" s="1006" t="s">
        <v>9354</v>
      </c>
      <c r="F3467" s="465"/>
      <c r="G3467" s="1007">
        <v>0</v>
      </c>
      <c r="H3467" s="465"/>
      <c r="I3467" s="465"/>
      <c r="J3467" s="1008">
        <v>0</v>
      </c>
      <c r="K3467" s="1009">
        <v>0</v>
      </c>
    </row>
    <row r="3468" spans="1:11" ht="20.25" customHeight="1" x14ac:dyDescent="0.25">
      <c r="A3468" s="1006" t="s">
        <v>3584</v>
      </c>
      <c r="B3468" s="1007">
        <v>2025</v>
      </c>
      <c r="C3468" s="1006" t="s">
        <v>1935</v>
      </c>
      <c r="D3468" s="1006" t="s">
        <v>3426</v>
      </c>
      <c r="E3468" s="1006" t="s">
        <v>9355</v>
      </c>
      <c r="F3468" s="465"/>
      <c r="G3468" s="1007">
        <v>0</v>
      </c>
      <c r="H3468" s="465"/>
      <c r="I3468" s="465"/>
      <c r="J3468" s="1008">
        <v>0</v>
      </c>
      <c r="K3468" s="1009">
        <v>0</v>
      </c>
    </row>
    <row r="3469" spans="1:11" ht="20.25" customHeight="1" x14ac:dyDescent="0.25">
      <c r="A3469" s="1006" t="s">
        <v>3584</v>
      </c>
      <c r="B3469" s="1007">
        <v>2025</v>
      </c>
      <c r="C3469" s="1006" t="s">
        <v>1935</v>
      </c>
      <c r="D3469" s="1006" t="s">
        <v>3427</v>
      </c>
      <c r="E3469" s="1006" t="s">
        <v>9356</v>
      </c>
      <c r="F3469" s="465"/>
      <c r="G3469" s="1007">
        <v>0</v>
      </c>
      <c r="H3469" s="465"/>
      <c r="I3469" s="465"/>
      <c r="J3469" s="1008">
        <v>0</v>
      </c>
      <c r="K3469" s="1009">
        <v>0</v>
      </c>
    </row>
    <row r="3470" spans="1:11" ht="20.25" customHeight="1" x14ac:dyDescent="0.25">
      <c r="A3470" s="1006" t="s">
        <v>3584</v>
      </c>
      <c r="B3470" s="1007">
        <v>2025</v>
      </c>
      <c r="C3470" s="1006" t="s">
        <v>1935</v>
      </c>
      <c r="D3470" s="1006" t="s">
        <v>3428</v>
      </c>
      <c r="E3470" s="1006" t="s">
        <v>9354</v>
      </c>
      <c r="F3470" s="465"/>
      <c r="G3470" s="1007">
        <v>0</v>
      </c>
      <c r="H3470" s="465"/>
      <c r="I3470" s="465"/>
      <c r="J3470" s="1008">
        <v>0</v>
      </c>
      <c r="K3470" s="1009">
        <v>0</v>
      </c>
    </row>
    <row r="3471" spans="1:11" ht="20.25" customHeight="1" x14ac:dyDescent="0.25">
      <c r="A3471" s="1006" t="s">
        <v>3584</v>
      </c>
      <c r="B3471" s="1007">
        <v>2025</v>
      </c>
      <c r="C3471" s="1006" t="s">
        <v>1935</v>
      </c>
      <c r="D3471" s="1006" t="s">
        <v>3429</v>
      </c>
      <c r="E3471" s="1006" t="s">
        <v>9355</v>
      </c>
      <c r="F3471" s="465"/>
      <c r="G3471" s="1007">
        <v>0</v>
      </c>
      <c r="H3471" s="465"/>
      <c r="I3471" s="465"/>
      <c r="J3471" s="1008">
        <v>0</v>
      </c>
      <c r="K3471" s="1009">
        <v>0</v>
      </c>
    </row>
    <row r="3472" spans="1:11" ht="20.25" customHeight="1" x14ac:dyDescent="0.25">
      <c r="A3472" s="1006" t="s">
        <v>3584</v>
      </c>
      <c r="B3472" s="1007">
        <v>2025</v>
      </c>
      <c r="C3472" s="1006" t="s">
        <v>1935</v>
      </c>
      <c r="D3472" s="1006" t="s">
        <v>3430</v>
      </c>
      <c r="E3472" s="1006" t="s">
        <v>9356</v>
      </c>
      <c r="F3472" s="465"/>
      <c r="G3472" s="1007">
        <v>0</v>
      </c>
      <c r="H3472" s="465"/>
      <c r="I3472" s="465"/>
      <c r="J3472" s="1008">
        <v>0</v>
      </c>
      <c r="K3472" s="1009">
        <v>0</v>
      </c>
    </row>
    <row r="3473" spans="1:11" ht="20.25" customHeight="1" x14ac:dyDescent="0.25">
      <c r="A3473" s="1006" t="s">
        <v>3584</v>
      </c>
      <c r="B3473" s="1007">
        <v>2025</v>
      </c>
      <c r="C3473" s="1006" t="s">
        <v>1935</v>
      </c>
      <c r="D3473" s="1006" t="s">
        <v>3431</v>
      </c>
      <c r="E3473" s="1006" t="s">
        <v>9354</v>
      </c>
      <c r="F3473" s="465"/>
      <c r="G3473" s="1007">
        <v>0</v>
      </c>
      <c r="H3473" s="465"/>
      <c r="I3473" s="465"/>
      <c r="J3473" s="1008">
        <v>0</v>
      </c>
      <c r="K3473" s="1009">
        <v>0</v>
      </c>
    </row>
    <row r="3474" spans="1:11" ht="20.25" customHeight="1" x14ac:dyDescent="0.25">
      <c r="A3474" s="1006" t="s">
        <v>3584</v>
      </c>
      <c r="B3474" s="1007">
        <v>2025</v>
      </c>
      <c r="C3474" s="1006" t="s">
        <v>1935</v>
      </c>
      <c r="D3474" s="1006" t="s">
        <v>3432</v>
      </c>
      <c r="E3474" s="1006" t="s">
        <v>9355</v>
      </c>
      <c r="F3474" s="465"/>
      <c r="G3474" s="1007">
        <v>0</v>
      </c>
      <c r="H3474" s="465"/>
      <c r="I3474" s="465"/>
      <c r="J3474" s="1008">
        <v>0</v>
      </c>
      <c r="K3474" s="1009">
        <v>0</v>
      </c>
    </row>
    <row r="3475" spans="1:11" ht="20.25" customHeight="1" x14ac:dyDescent="0.25">
      <c r="A3475" s="1006" t="s">
        <v>3584</v>
      </c>
      <c r="B3475" s="1007">
        <v>2025</v>
      </c>
      <c r="C3475" s="1006" t="s">
        <v>1935</v>
      </c>
      <c r="D3475" s="1006" t="s">
        <v>3433</v>
      </c>
      <c r="E3475" s="1006" t="s">
        <v>9356</v>
      </c>
      <c r="F3475" s="465"/>
      <c r="G3475" s="1007">
        <v>0</v>
      </c>
      <c r="H3475" s="465"/>
      <c r="I3475" s="465"/>
      <c r="J3475" s="1008">
        <v>0</v>
      </c>
      <c r="K3475" s="1009">
        <v>0</v>
      </c>
    </row>
    <row r="3476" spans="1:11" ht="20.25" customHeight="1" x14ac:dyDescent="0.25">
      <c r="A3476" s="1006" t="s">
        <v>3594</v>
      </c>
      <c r="B3476" s="1007">
        <v>2025</v>
      </c>
      <c r="C3476" s="1006" t="s">
        <v>1887</v>
      </c>
      <c r="D3476" s="1006" t="s">
        <v>138</v>
      </c>
      <c r="E3476" s="1006" t="s">
        <v>3595</v>
      </c>
      <c r="F3476" s="465"/>
      <c r="G3476" s="1007">
        <v>1</v>
      </c>
      <c r="H3476" s="465"/>
      <c r="I3476" s="465"/>
      <c r="J3476" s="1008">
        <v>0</v>
      </c>
      <c r="K3476" s="1009">
        <v>0</v>
      </c>
    </row>
    <row r="3477" spans="1:11" ht="20.25" customHeight="1" x14ac:dyDescent="0.25">
      <c r="A3477" s="1006" t="s">
        <v>3594</v>
      </c>
      <c r="B3477" s="1007">
        <v>2025</v>
      </c>
      <c r="C3477" s="1006" t="s">
        <v>1889</v>
      </c>
      <c r="D3477" s="1006" t="s">
        <v>139</v>
      </c>
      <c r="E3477" s="1006" t="s">
        <v>3596</v>
      </c>
      <c r="F3477" s="465"/>
      <c r="G3477" s="1007">
        <v>1</v>
      </c>
      <c r="H3477" s="465"/>
      <c r="I3477" s="465"/>
      <c r="J3477" s="1008">
        <v>0</v>
      </c>
      <c r="K3477" s="1009">
        <v>0</v>
      </c>
    </row>
    <row r="3478" spans="1:11" ht="20.25" customHeight="1" x14ac:dyDescent="0.25">
      <c r="A3478" s="1006" t="s">
        <v>3594</v>
      </c>
      <c r="B3478" s="1007">
        <v>2025</v>
      </c>
      <c r="C3478" s="1006" t="s">
        <v>1891</v>
      </c>
      <c r="D3478" s="1006" t="s">
        <v>1894</v>
      </c>
      <c r="E3478" s="1006" t="s">
        <v>3597</v>
      </c>
      <c r="F3478" s="465"/>
      <c r="G3478" s="1007">
        <v>0</v>
      </c>
      <c r="H3478" s="465"/>
      <c r="I3478" s="465"/>
      <c r="J3478" s="1008">
        <v>0</v>
      </c>
      <c r="K3478" s="1009">
        <v>0</v>
      </c>
    </row>
    <row r="3479" spans="1:11" ht="20.25" customHeight="1" x14ac:dyDescent="0.25">
      <c r="A3479" s="1006" t="s">
        <v>3594</v>
      </c>
      <c r="B3479" s="1007">
        <v>2025</v>
      </c>
      <c r="C3479" s="1006" t="s">
        <v>1913</v>
      </c>
      <c r="D3479" s="1006" t="s">
        <v>1914</v>
      </c>
      <c r="E3479" s="1006" t="s">
        <v>3598</v>
      </c>
      <c r="F3479" s="465"/>
      <c r="G3479" s="1007">
        <v>1</v>
      </c>
      <c r="H3479" s="465"/>
      <c r="I3479" s="465"/>
      <c r="J3479" s="1008">
        <v>0</v>
      </c>
      <c r="K3479" s="1009">
        <v>0</v>
      </c>
    </row>
    <row r="3480" spans="1:11" ht="20.25" customHeight="1" x14ac:dyDescent="0.25">
      <c r="A3480" s="1006" t="s">
        <v>3594</v>
      </c>
      <c r="B3480" s="1007">
        <v>2025</v>
      </c>
      <c r="C3480" s="1006" t="s">
        <v>1913</v>
      </c>
      <c r="D3480" s="1006" t="s">
        <v>1916</v>
      </c>
      <c r="E3480" s="1006" t="s">
        <v>3598</v>
      </c>
      <c r="F3480" s="465"/>
      <c r="G3480" s="1007">
        <v>0</v>
      </c>
      <c r="H3480" s="465"/>
      <c r="I3480" s="465"/>
      <c r="J3480" s="1008">
        <v>0</v>
      </c>
      <c r="K3480" s="1009">
        <v>0</v>
      </c>
    </row>
    <row r="3481" spans="1:11" ht="20.25" customHeight="1" x14ac:dyDescent="0.25">
      <c r="A3481" s="1006" t="s">
        <v>3594</v>
      </c>
      <c r="B3481" s="1007">
        <v>2025</v>
      </c>
      <c r="C3481" s="1006" t="s">
        <v>1913</v>
      </c>
      <c r="D3481" s="1006" t="s">
        <v>1917</v>
      </c>
      <c r="E3481" s="1006" t="s">
        <v>3598</v>
      </c>
      <c r="F3481" s="465"/>
      <c r="G3481" s="1007">
        <v>0</v>
      </c>
      <c r="H3481" s="465"/>
      <c r="I3481" s="465"/>
      <c r="J3481" s="1008">
        <v>0</v>
      </c>
      <c r="K3481" s="1009">
        <v>0</v>
      </c>
    </row>
    <row r="3482" spans="1:11" ht="20.25" customHeight="1" x14ac:dyDescent="0.25">
      <c r="A3482" s="1006" t="s">
        <v>3594</v>
      </c>
      <c r="B3482" s="1007">
        <v>2025</v>
      </c>
      <c r="C3482" s="1006" t="s">
        <v>1913</v>
      </c>
      <c r="D3482" s="1006" t="s">
        <v>1918</v>
      </c>
      <c r="E3482" s="1006" t="s">
        <v>3598</v>
      </c>
      <c r="F3482" s="465"/>
      <c r="G3482" s="1007">
        <v>0</v>
      </c>
      <c r="H3482" s="465"/>
      <c r="I3482" s="465"/>
      <c r="J3482" s="1008">
        <v>0</v>
      </c>
      <c r="K3482" s="1009">
        <v>0</v>
      </c>
    </row>
    <row r="3483" spans="1:11" ht="20.25" customHeight="1" x14ac:dyDescent="0.25">
      <c r="A3483" s="1006" t="s">
        <v>3594</v>
      </c>
      <c r="B3483" s="1007">
        <v>2025</v>
      </c>
      <c r="C3483" s="1006" t="s">
        <v>1913</v>
      </c>
      <c r="D3483" s="1006" t="s">
        <v>1919</v>
      </c>
      <c r="E3483" s="1006" t="s">
        <v>3598</v>
      </c>
      <c r="F3483" s="465"/>
      <c r="G3483" s="1007">
        <v>0</v>
      </c>
      <c r="H3483" s="465"/>
      <c r="I3483" s="465"/>
      <c r="J3483" s="1008">
        <v>0</v>
      </c>
      <c r="K3483" s="1009">
        <v>0</v>
      </c>
    </row>
    <row r="3484" spans="1:11" ht="20.25" customHeight="1" x14ac:dyDescent="0.25">
      <c r="A3484" s="1006" t="s">
        <v>3594</v>
      </c>
      <c r="B3484" s="1007">
        <v>2025</v>
      </c>
      <c r="C3484" s="1006" t="s">
        <v>1923</v>
      </c>
      <c r="D3484" s="1006" t="s">
        <v>143</v>
      </c>
      <c r="E3484" s="1006" t="s">
        <v>3599</v>
      </c>
      <c r="F3484" s="465"/>
      <c r="G3484" s="1007">
        <v>1</v>
      </c>
      <c r="H3484" s="465"/>
      <c r="I3484" s="465"/>
      <c r="J3484" s="1008">
        <v>0</v>
      </c>
      <c r="K3484" s="1009">
        <v>0</v>
      </c>
    </row>
    <row r="3485" spans="1:11" ht="20.25" customHeight="1" x14ac:dyDescent="0.25">
      <c r="A3485" s="1006" t="s">
        <v>3594</v>
      </c>
      <c r="B3485" s="1007">
        <v>2025</v>
      </c>
      <c r="C3485" s="1006" t="s">
        <v>1925</v>
      </c>
      <c r="D3485" s="1006" t="s">
        <v>144</v>
      </c>
      <c r="E3485" s="1006" t="s">
        <v>3600</v>
      </c>
      <c r="F3485" s="465"/>
      <c r="G3485" s="1007">
        <v>1</v>
      </c>
      <c r="H3485" s="465"/>
      <c r="I3485" s="465"/>
      <c r="J3485" s="1008">
        <v>0</v>
      </c>
      <c r="K3485" s="1009">
        <v>0</v>
      </c>
    </row>
    <row r="3486" spans="1:11" ht="20.25" customHeight="1" x14ac:dyDescent="0.25">
      <c r="A3486" s="1006" t="s">
        <v>3594</v>
      </c>
      <c r="B3486" s="1007">
        <v>2025</v>
      </c>
      <c r="C3486" s="1006" t="s">
        <v>1927</v>
      </c>
      <c r="D3486" s="1006" t="s">
        <v>1928</v>
      </c>
      <c r="E3486" s="1006" t="s">
        <v>3601</v>
      </c>
      <c r="F3486" s="465"/>
      <c r="G3486" s="1007">
        <v>1</v>
      </c>
      <c r="H3486" s="465"/>
      <c r="I3486" s="465"/>
      <c r="J3486" s="1008">
        <v>0</v>
      </c>
      <c r="K3486" s="1009">
        <v>0</v>
      </c>
    </row>
    <row r="3487" spans="1:11" ht="20.25" customHeight="1" x14ac:dyDescent="0.25">
      <c r="A3487" s="1006" t="s">
        <v>3594</v>
      </c>
      <c r="B3487" s="1007">
        <v>2025</v>
      </c>
      <c r="C3487" s="1006" t="s">
        <v>1930</v>
      </c>
      <c r="D3487" s="1006" t="s">
        <v>156</v>
      </c>
      <c r="E3487" s="1006" t="s">
        <v>3602</v>
      </c>
      <c r="F3487" s="465"/>
      <c r="G3487" s="1007">
        <v>1</v>
      </c>
      <c r="H3487" s="465"/>
      <c r="I3487" s="465"/>
      <c r="J3487" s="1008">
        <v>0</v>
      </c>
      <c r="K3487" s="1009">
        <v>0</v>
      </c>
    </row>
    <row r="3488" spans="1:11" ht="20.25" customHeight="1" x14ac:dyDescent="0.25">
      <c r="A3488" s="1006" t="s">
        <v>3594</v>
      </c>
      <c r="B3488" s="1007">
        <v>2025</v>
      </c>
      <c r="C3488" s="1006" t="s">
        <v>1932</v>
      </c>
      <c r="D3488" s="1006" t="s">
        <v>3423</v>
      </c>
      <c r="E3488" s="1006" t="s">
        <v>3603</v>
      </c>
      <c r="F3488" s="465"/>
      <c r="G3488" s="1007">
        <v>0</v>
      </c>
      <c r="H3488" s="465"/>
      <c r="I3488" s="465"/>
      <c r="J3488" s="1008">
        <v>0</v>
      </c>
      <c r="K3488" s="1009">
        <v>0</v>
      </c>
    </row>
    <row r="3489" spans="1:11" ht="20.25" customHeight="1" x14ac:dyDescent="0.25">
      <c r="A3489" s="1006" t="s">
        <v>3594</v>
      </c>
      <c r="B3489" s="1007">
        <v>2025</v>
      </c>
      <c r="C3489" s="1006" t="s">
        <v>1935</v>
      </c>
      <c r="D3489" s="1006" t="s">
        <v>1936</v>
      </c>
      <c r="E3489" s="1006" t="s">
        <v>9357</v>
      </c>
      <c r="F3489" s="465"/>
      <c r="G3489" s="1007">
        <v>1</v>
      </c>
      <c r="H3489" s="465"/>
      <c r="I3489" s="465"/>
      <c r="J3489" s="1008">
        <v>0</v>
      </c>
      <c r="K3489" s="1009">
        <v>0</v>
      </c>
    </row>
    <row r="3490" spans="1:11" ht="20.25" customHeight="1" x14ac:dyDescent="0.25">
      <c r="A3490" s="1006" t="s">
        <v>3594</v>
      </c>
      <c r="B3490" s="1007">
        <v>2025</v>
      </c>
      <c r="C3490" s="1006" t="s">
        <v>1935</v>
      </c>
      <c r="D3490" s="1006" t="s">
        <v>1937</v>
      </c>
      <c r="E3490" s="1006" t="s">
        <v>9358</v>
      </c>
      <c r="F3490" s="465"/>
      <c r="G3490" s="1007">
        <v>1</v>
      </c>
      <c r="H3490" s="465"/>
      <c r="I3490" s="465"/>
      <c r="J3490" s="1008">
        <v>0</v>
      </c>
      <c r="K3490" s="1009">
        <v>0</v>
      </c>
    </row>
    <row r="3491" spans="1:11" ht="20.25" customHeight="1" x14ac:dyDescent="0.25">
      <c r="A3491" s="1006" t="s">
        <v>3594</v>
      </c>
      <c r="B3491" s="1007">
        <v>2025</v>
      </c>
      <c r="C3491" s="1006" t="s">
        <v>1935</v>
      </c>
      <c r="D3491" s="1006" t="s">
        <v>1938</v>
      </c>
      <c r="E3491" s="1006" t="s">
        <v>9359</v>
      </c>
      <c r="F3491" s="465"/>
      <c r="G3491" s="1007">
        <v>1</v>
      </c>
      <c r="H3491" s="465"/>
      <c r="I3491" s="465"/>
      <c r="J3491" s="1008">
        <v>0</v>
      </c>
      <c r="K3491" s="1009">
        <v>0</v>
      </c>
    </row>
    <row r="3492" spans="1:11" ht="20.25" customHeight="1" x14ac:dyDescent="0.25">
      <c r="A3492" s="1006" t="s">
        <v>3594</v>
      </c>
      <c r="B3492" s="1007">
        <v>2025</v>
      </c>
      <c r="C3492" s="1006" t="s">
        <v>1935</v>
      </c>
      <c r="D3492" s="1006" t="s">
        <v>1939</v>
      </c>
      <c r="E3492" s="1006" t="s">
        <v>9360</v>
      </c>
      <c r="F3492" s="465"/>
      <c r="G3492" s="1007">
        <v>1</v>
      </c>
      <c r="H3492" s="465"/>
      <c r="I3492" s="465"/>
      <c r="J3492" s="1008">
        <v>0</v>
      </c>
      <c r="K3492" s="1009">
        <v>0</v>
      </c>
    </row>
    <row r="3493" spans="1:11" ht="20.25" customHeight="1" x14ac:dyDescent="0.25">
      <c r="A3493" s="1006" t="s">
        <v>3594</v>
      </c>
      <c r="B3493" s="1007">
        <v>2025</v>
      </c>
      <c r="C3493" s="1006" t="s">
        <v>1935</v>
      </c>
      <c r="D3493" s="1006" t="s">
        <v>1940</v>
      </c>
      <c r="E3493" s="1006" t="s">
        <v>9361</v>
      </c>
      <c r="F3493" s="465"/>
      <c r="G3493" s="1007">
        <v>1</v>
      </c>
      <c r="H3493" s="465"/>
      <c r="I3493" s="465"/>
      <c r="J3493" s="1008">
        <v>0</v>
      </c>
      <c r="K3493" s="1009">
        <v>0</v>
      </c>
    </row>
    <row r="3494" spans="1:11" ht="20.25" customHeight="1" x14ac:dyDescent="0.25">
      <c r="A3494" s="1006" t="s">
        <v>3594</v>
      </c>
      <c r="B3494" s="1007">
        <v>2025</v>
      </c>
      <c r="C3494" s="1006" t="s">
        <v>1935</v>
      </c>
      <c r="D3494" s="1006" t="s">
        <v>1941</v>
      </c>
      <c r="E3494" s="1006" t="s">
        <v>9362</v>
      </c>
      <c r="F3494" s="465"/>
      <c r="G3494" s="1007">
        <v>1</v>
      </c>
      <c r="H3494" s="465"/>
      <c r="I3494" s="465"/>
      <c r="J3494" s="1008">
        <v>0</v>
      </c>
      <c r="K3494" s="1009">
        <v>0</v>
      </c>
    </row>
    <row r="3495" spans="1:11" ht="20.25" customHeight="1" x14ac:dyDescent="0.25">
      <c r="A3495" s="1006" t="s">
        <v>3594</v>
      </c>
      <c r="B3495" s="1007">
        <v>2025</v>
      </c>
      <c r="C3495" s="1006" t="s">
        <v>1935</v>
      </c>
      <c r="D3495" s="1006" t="s">
        <v>1942</v>
      </c>
      <c r="E3495" s="1006" t="s">
        <v>9363</v>
      </c>
      <c r="F3495" s="465"/>
      <c r="G3495" s="1007">
        <v>1</v>
      </c>
      <c r="H3495" s="465"/>
      <c r="I3495" s="465"/>
      <c r="J3495" s="1008">
        <v>0</v>
      </c>
      <c r="K3495" s="1009">
        <v>0</v>
      </c>
    </row>
    <row r="3496" spans="1:11" ht="20.25" customHeight="1" x14ac:dyDescent="0.25">
      <c r="A3496" s="1006" t="s">
        <v>3594</v>
      </c>
      <c r="B3496" s="1007">
        <v>2025</v>
      </c>
      <c r="C3496" s="1006" t="s">
        <v>1935</v>
      </c>
      <c r="D3496" s="1006" t="s">
        <v>1943</v>
      </c>
      <c r="E3496" s="1006" t="s">
        <v>9364</v>
      </c>
      <c r="F3496" s="465"/>
      <c r="G3496" s="1007">
        <v>1</v>
      </c>
      <c r="H3496" s="465"/>
      <c r="I3496" s="465"/>
      <c r="J3496" s="1008">
        <v>0</v>
      </c>
      <c r="K3496" s="1009">
        <v>0</v>
      </c>
    </row>
    <row r="3497" spans="1:11" ht="20.25" customHeight="1" x14ac:dyDescent="0.25">
      <c r="A3497" s="1006" t="s">
        <v>3594</v>
      </c>
      <c r="B3497" s="1007">
        <v>2025</v>
      </c>
      <c r="C3497" s="1006" t="s">
        <v>1935</v>
      </c>
      <c r="D3497" s="1006" t="s">
        <v>1944</v>
      </c>
      <c r="E3497" s="1006" t="s">
        <v>9365</v>
      </c>
      <c r="F3497" s="465"/>
      <c r="G3497" s="1007">
        <v>1</v>
      </c>
      <c r="H3497" s="465"/>
      <c r="I3497" s="465"/>
      <c r="J3497" s="1008">
        <v>0</v>
      </c>
      <c r="K3497" s="1009">
        <v>0</v>
      </c>
    </row>
    <row r="3498" spans="1:11" ht="20.25" customHeight="1" x14ac:dyDescent="0.25">
      <c r="A3498" s="1006" t="s">
        <v>3594</v>
      </c>
      <c r="B3498" s="1007">
        <v>2025</v>
      </c>
      <c r="C3498" s="1006" t="s">
        <v>1935</v>
      </c>
      <c r="D3498" s="1006" t="s">
        <v>1945</v>
      </c>
      <c r="E3498" s="1006" t="s">
        <v>9366</v>
      </c>
      <c r="F3498" s="465"/>
      <c r="G3498" s="1007">
        <v>1</v>
      </c>
      <c r="H3498" s="465"/>
      <c r="I3498" s="465"/>
      <c r="J3498" s="1008">
        <v>0</v>
      </c>
      <c r="K3498" s="1009">
        <v>0</v>
      </c>
    </row>
    <row r="3499" spans="1:11" ht="20.25" customHeight="1" x14ac:dyDescent="0.25">
      <c r="A3499" s="1006" t="s">
        <v>3594</v>
      </c>
      <c r="B3499" s="1007">
        <v>2025</v>
      </c>
      <c r="C3499" s="1006" t="s">
        <v>1935</v>
      </c>
      <c r="D3499" s="1006" t="s">
        <v>1946</v>
      </c>
      <c r="E3499" s="1006" t="s">
        <v>9367</v>
      </c>
      <c r="F3499" s="465"/>
      <c r="G3499" s="1007">
        <v>1</v>
      </c>
      <c r="H3499" s="465"/>
      <c r="I3499" s="465"/>
      <c r="J3499" s="1008">
        <v>0</v>
      </c>
      <c r="K3499" s="1009">
        <v>0</v>
      </c>
    </row>
    <row r="3500" spans="1:11" ht="20.25" customHeight="1" x14ac:dyDescent="0.25">
      <c r="A3500" s="1006" t="s">
        <v>3594</v>
      </c>
      <c r="B3500" s="1007">
        <v>2025</v>
      </c>
      <c r="C3500" s="1006" t="s">
        <v>1935</v>
      </c>
      <c r="D3500" s="1006" t="s">
        <v>1947</v>
      </c>
      <c r="E3500" s="1006" t="s">
        <v>9368</v>
      </c>
      <c r="F3500" s="465"/>
      <c r="G3500" s="1007">
        <v>1</v>
      </c>
      <c r="H3500" s="465"/>
      <c r="I3500" s="465"/>
      <c r="J3500" s="1008">
        <v>0</v>
      </c>
      <c r="K3500" s="1009">
        <v>0</v>
      </c>
    </row>
    <row r="3501" spans="1:11" ht="20.25" customHeight="1" x14ac:dyDescent="0.25">
      <c r="A3501" s="1006" t="s">
        <v>3594</v>
      </c>
      <c r="B3501" s="1007">
        <v>2025</v>
      </c>
      <c r="C3501" s="1006" t="s">
        <v>1935</v>
      </c>
      <c r="D3501" s="1006" t="s">
        <v>1948</v>
      </c>
      <c r="E3501" s="1006" t="s">
        <v>9369</v>
      </c>
      <c r="F3501" s="465"/>
      <c r="G3501" s="1007">
        <v>1</v>
      </c>
      <c r="H3501" s="465"/>
      <c r="I3501" s="465"/>
      <c r="J3501" s="1008">
        <v>0</v>
      </c>
      <c r="K3501" s="1009">
        <v>0</v>
      </c>
    </row>
    <row r="3502" spans="1:11" ht="20.25" customHeight="1" x14ac:dyDescent="0.25">
      <c r="A3502" s="1006" t="s">
        <v>3594</v>
      </c>
      <c r="B3502" s="1007">
        <v>2025</v>
      </c>
      <c r="C3502" s="1006" t="s">
        <v>1935</v>
      </c>
      <c r="D3502" s="1006" t="s">
        <v>1949</v>
      </c>
      <c r="E3502" s="1006" t="s">
        <v>9370</v>
      </c>
      <c r="F3502" s="465"/>
      <c r="G3502" s="1007">
        <v>1</v>
      </c>
      <c r="H3502" s="465"/>
      <c r="I3502" s="465"/>
      <c r="J3502" s="1008">
        <v>0</v>
      </c>
      <c r="K3502" s="1009">
        <v>0</v>
      </c>
    </row>
    <row r="3503" spans="1:11" ht="20.25" customHeight="1" x14ac:dyDescent="0.25">
      <c r="A3503" s="1006" t="s">
        <v>3594</v>
      </c>
      <c r="B3503" s="1007">
        <v>2025</v>
      </c>
      <c r="C3503" s="1006" t="s">
        <v>1935</v>
      </c>
      <c r="D3503" s="1006" t="s">
        <v>1950</v>
      </c>
      <c r="E3503" s="1006" t="s">
        <v>9371</v>
      </c>
      <c r="F3503" s="465"/>
      <c r="G3503" s="1007">
        <v>1</v>
      </c>
      <c r="H3503" s="465"/>
      <c r="I3503" s="465"/>
      <c r="J3503" s="1008">
        <v>0</v>
      </c>
      <c r="K3503" s="1009">
        <v>0</v>
      </c>
    </row>
    <row r="3504" spans="1:11" ht="20.25" customHeight="1" x14ac:dyDescent="0.25">
      <c r="A3504" s="1006" t="s">
        <v>3594</v>
      </c>
      <c r="B3504" s="1007">
        <v>2025</v>
      </c>
      <c r="C3504" s="1006" t="s">
        <v>1935</v>
      </c>
      <c r="D3504" s="1006" t="s">
        <v>1951</v>
      </c>
      <c r="E3504" s="1006" t="s">
        <v>9372</v>
      </c>
      <c r="F3504" s="465"/>
      <c r="G3504" s="1007">
        <v>1</v>
      </c>
      <c r="H3504" s="465"/>
      <c r="I3504" s="465"/>
      <c r="J3504" s="1008">
        <v>0</v>
      </c>
      <c r="K3504" s="1009">
        <v>0</v>
      </c>
    </row>
    <row r="3505" spans="1:11" ht="20.25" customHeight="1" x14ac:dyDescent="0.25">
      <c r="A3505" s="1006" t="s">
        <v>3594</v>
      </c>
      <c r="B3505" s="1007">
        <v>2025</v>
      </c>
      <c r="C3505" s="1006" t="s">
        <v>1935</v>
      </c>
      <c r="D3505" s="1006" t="s">
        <v>7801</v>
      </c>
      <c r="E3505" s="1006" t="s">
        <v>9373</v>
      </c>
      <c r="F3505" s="465"/>
      <c r="G3505" s="1007">
        <v>1</v>
      </c>
      <c r="H3505" s="465"/>
      <c r="I3505" s="465"/>
      <c r="J3505" s="1008">
        <v>0</v>
      </c>
      <c r="K3505" s="1009">
        <v>0</v>
      </c>
    </row>
    <row r="3506" spans="1:11" ht="20.25" customHeight="1" x14ac:dyDescent="0.25">
      <c r="A3506" s="1006" t="s">
        <v>3594</v>
      </c>
      <c r="B3506" s="1007">
        <v>2025</v>
      </c>
      <c r="C3506" s="1006" t="s">
        <v>1935</v>
      </c>
      <c r="D3506" s="1006" t="s">
        <v>3425</v>
      </c>
      <c r="E3506" s="1006" t="s">
        <v>9374</v>
      </c>
      <c r="F3506" s="465"/>
      <c r="G3506" s="1007">
        <v>0</v>
      </c>
      <c r="H3506" s="465"/>
      <c r="I3506" s="465"/>
      <c r="J3506" s="1008">
        <v>0</v>
      </c>
      <c r="K3506" s="1009">
        <v>0</v>
      </c>
    </row>
    <row r="3507" spans="1:11" ht="20.25" customHeight="1" x14ac:dyDescent="0.25">
      <c r="A3507" s="1006" t="s">
        <v>3594</v>
      </c>
      <c r="B3507" s="1007">
        <v>2025</v>
      </c>
      <c r="C3507" s="1006" t="s">
        <v>1935</v>
      </c>
      <c r="D3507" s="1006" t="s">
        <v>3426</v>
      </c>
      <c r="E3507" s="1006" t="s">
        <v>9375</v>
      </c>
      <c r="F3507" s="465"/>
      <c r="G3507" s="1007">
        <v>0</v>
      </c>
      <c r="H3507" s="465"/>
      <c r="I3507" s="465"/>
      <c r="J3507" s="1008">
        <v>0</v>
      </c>
      <c r="K3507" s="1009">
        <v>0</v>
      </c>
    </row>
    <row r="3508" spans="1:11" ht="20.25" customHeight="1" x14ac:dyDescent="0.25">
      <c r="A3508" s="1006" t="s">
        <v>3594</v>
      </c>
      <c r="B3508" s="1007">
        <v>2025</v>
      </c>
      <c r="C3508" s="1006" t="s">
        <v>1935</v>
      </c>
      <c r="D3508" s="1006" t="s">
        <v>3427</v>
      </c>
      <c r="E3508" s="1006" t="s">
        <v>9376</v>
      </c>
      <c r="F3508" s="465"/>
      <c r="G3508" s="1007">
        <v>0</v>
      </c>
      <c r="H3508" s="465"/>
      <c r="I3508" s="465"/>
      <c r="J3508" s="1008">
        <v>0</v>
      </c>
      <c r="K3508" s="1009">
        <v>0</v>
      </c>
    </row>
    <row r="3509" spans="1:11" ht="20.25" customHeight="1" x14ac:dyDescent="0.25">
      <c r="A3509" s="1006" t="s">
        <v>3594</v>
      </c>
      <c r="B3509" s="1007">
        <v>2025</v>
      </c>
      <c r="C3509" s="1006" t="s">
        <v>1935</v>
      </c>
      <c r="D3509" s="1006" t="s">
        <v>3428</v>
      </c>
      <c r="E3509" s="1006" t="s">
        <v>9374</v>
      </c>
      <c r="F3509" s="465"/>
      <c r="G3509" s="1007">
        <v>0</v>
      </c>
      <c r="H3509" s="465"/>
      <c r="I3509" s="465"/>
      <c r="J3509" s="1008">
        <v>0</v>
      </c>
      <c r="K3509" s="1009">
        <v>0</v>
      </c>
    </row>
    <row r="3510" spans="1:11" ht="20.25" customHeight="1" x14ac:dyDescent="0.25">
      <c r="A3510" s="1006" t="s">
        <v>3594</v>
      </c>
      <c r="B3510" s="1007">
        <v>2025</v>
      </c>
      <c r="C3510" s="1006" t="s">
        <v>1935</v>
      </c>
      <c r="D3510" s="1006" t="s">
        <v>3429</v>
      </c>
      <c r="E3510" s="1006" t="s">
        <v>9375</v>
      </c>
      <c r="F3510" s="465"/>
      <c r="G3510" s="1007">
        <v>0</v>
      </c>
      <c r="H3510" s="465"/>
      <c r="I3510" s="465"/>
      <c r="J3510" s="1008">
        <v>0</v>
      </c>
      <c r="K3510" s="1009">
        <v>0</v>
      </c>
    </row>
    <row r="3511" spans="1:11" ht="20.25" customHeight="1" x14ac:dyDescent="0.25">
      <c r="A3511" s="1006" t="s">
        <v>3594</v>
      </c>
      <c r="B3511" s="1007">
        <v>2025</v>
      </c>
      <c r="C3511" s="1006" t="s">
        <v>1935</v>
      </c>
      <c r="D3511" s="1006" t="s">
        <v>3430</v>
      </c>
      <c r="E3511" s="1006" t="s">
        <v>9376</v>
      </c>
      <c r="F3511" s="465"/>
      <c r="G3511" s="1007">
        <v>0</v>
      </c>
      <c r="H3511" s="465"/>
      <c r="I3511" s="465"/>
      <c r="J3511" s="1008">
        <v>0</v>
      </c>
      <c r="K3511" s="1009">
        <v>0</v>
      </c>
    </row>
    <row r="3512" spans="1:11" ht="20.25" customHeight="1" x14ac:dyDescent="0.25">
      <c r="A3512" s="1006" t="s">
        <v>3594</v>
      </c>
      <c r="B3512" s="1007">
        <v>2025</v>
      </c>
      <c r="C3512" s="1006" t="s">
        <v>1935</v>
      </c>
      <c r="D3512" s="1006" t="s">
        <v>3431</v>
      </c>
      <c r="E3512" s="1006" t="s">
        <v>9374</v>
      </c>
      <c r="F3512" s="465"/>
      <c r="G3512" s="1007">
        <v>0</v>
      </c>
      <c r="H3512" s="465"/>
      <c r="I3512" s="465"/>
      <c r="J3512" s="1008">
        <v>0</v>
      </c>
      <c r="K3512" s="1009">
        <v>0</v>
      </c>
    </row>
    <row r="3513" spans="1:11" ht="20.25" customHeight="1" x14ac:dyDescent="0.25">
      <c r="A3513" s="1006" t="s">
        <v>3594</v>
      </c>
      <c r="B3513" s="1007">
        <v>2025</v>
      </c>
      <c r="C3513" s="1006" t="s">
        <v>1935</v>
      </c>
      <c r="D3513" s="1006" t="s">
        <v>3432</v>
      </c>
      <c r="E3513" s="1006" t="s">
        <v>9375</v>
      </c>
      <c r="F3513" s="465"/>
      <c r="G3513" s="1007">
        <v>0</v>
      </c>
      <c r="H3513" s="465"/>
      <c r="I3513" s="465"/>
      <c r="J3513" s="1008">
        <v>0</v>
      </c>
      <c r="K3513" s="1009">
        <v>0</v>
      </c>
    </row>
    <row r="3514" spans="1:11" ht="20.25" customHeight="1" x14ac:dyDescent="0.25">
      <c r="A3514" s="1006" t="s">
        <v>3594</v>
      </c>
      <c r="B3514" s="1007">
        <v>2025</v>
      </c>
      <c r="C3514" s="1006" t="s">
        <v>1935</v>
      </c>
      <c r="D3514" s="1006" t="s">
        <v>3433</v>
      </c>
      <c r="E3514" s="1006" t="s">
        <v>9376</v>
      </c>
      <c r="F3514" s="465"/>
      <c r="G3514" s="1007">
        <v>0</v>
      </c>
      <c r="H3514" s="465"/>
      <c r="I3514" s="465"/>
      <c r="J3514" s="1008">
        <v>0</v>
      </c>
      <c r="K3514" s="1009">
        <v>0</v>
      </c>
    </row>
    <row r="3515" spans="1:11" ht="20.25" customHeight="1" x14ac:dyDescent="0.25">
      <c r="A3515" s="1006" t="s">
        <v>3604</v>
      </c>
      <c r="B3515" s="1007">
        <v>2025</v>
      </c>
      <c r="C3515" s="1006" t="s">
        <v>1887</v>
      </c>
      <c r="D3515" s="1006" t="s">
        <v>138</v>
      </c>
      <c r="E3515" s="1006" t="s">
        <v>3605</v>
      </c>
      <c r="F3515" s="465"/>
      <c r="G3515" s="1007">
        <v>1</v>
      </c>
      <c r="H3515" s="465"/>
      <c r="I3515" s="465"/>
      <c r="J3515" s="1008">
        <v>0</v>
      </c>
      <c r="K3515" s="1009">
        <v>0</v>
      </c>
    </row>
    <row r="3516" spans="1:11" ht="20.25" customHeight="1" x14ac:dyDescent="0.25">
      <c r="A3516" s="1006" t="s">
        <v>3604</v>
      </c>
      <c r="B3516" s="1007">
        <v>2025</v>
      </c>
      <c r="C3516" s="1006" t="s">
        <v>1889</v>
      </c>
      <c r="D3516" s="1006" t="s">
        <v>139</v>
      </c>
      <c r="E3516" s="1006" t="s">
        <v>3606</v>
      </c>
      <c r="F3516" s="465"/>
      <c r="G3516" s="1007">
        <v>1</v>
      </c>
      <c r="H3516" s="465"/>
      <c r="I3516" s="465"/>
      <c r="J3516" s="1008">
        <v>0</v>
      </c>
      <c r="K3516" s="1009">
        <v>0</v>
      </c>
    </row>
    <row r="3517" spans="1:11" ht="20.25" customHeight="1" x14ac:dyDescent="0.25">
      <c r="A3517" s="1006" t="s">
        <v>3604</v>
      </c>
      <c r="B3517" s="1007">
        <v>2025</v>
      </c>
      <c r="C3517" s="1006" t="s">
        <v>1891</v>
      </c>
      <c r="D3517" s="1006" t="s">
        <v>1894</v>
      </c>
      <c r="E3517" s="1006" t="s">
        <v>3607</v>
      </c>
      <c r="F3517" s="465"/>
      <c r="G3517" s="1007">
        <v>0</v>
      </c>
      <c r="H3517" s="465"/>
      <c r="I3517" s="465"/>
      <c r="J3517" s="1008">
        <v>0</v>
      </c>
      <c r="K3517" s="1009">
        <v>0</v>
      </c>
    </row>
    <row r="3518" spans="1:11" ht="20.25" customHeight="1" x14ac:dyDescent="0.25">
      <c r="A3518" s="1006" t="s">
        <v>3604</v>
      </c>
      <c r="B3518" s="1007">
        <v>2025</v>
      </c>
      <c r="C3518" s="1006" t="s">
        <v>1913</v>
      </c>
      <c r="D3518" s="1006" t="s">
        <v>1914</v>
      </c>
      <c r="E3518" s="1006" t="s">
        <v>3608</v>
      </c>
      <c r="F3518" s="465"/>
      <c r="G3518" s="1007">
        <v>1</v>
      </c>
      <c r="H3518" s="465"/>
      <c r="I3518" s="465"/>
      <c r="J3518" s="1008">
        <v>0</v>
      </c>
      <c r="K3518" s="1009">
        <v>0</v>
      </c>
    </row>
    <row r="3519" spans="1:11" ht="20.25" customHeight="1" x14ac:dyDescent="0.25">
      <c r="A3519" s="1006" t="s">
        <v>3604</v>
      </c>
      <c r="B3519" s="1007">
        <v>2025</v>
      </c>
      <c r="C3519" s="1006" t="s">
        <v>1913</v>
      </c>
      <c r="D3519" s="1006" t="s">
        <v>1916</v>
      </c>
      <c r="E3519" s="1006" t="s">
        <v>3608</v>
      </c>
      <c r="F3519" s="465"/>
      <c r="G3519" s="1007">
        <v>0</v>
      </c>
      <c r="H3519" s="465"/>
      <c r="I3519" s="465"/>
      <c r="J3519" s="1008">
        <v>0</v>
      </c>
      <c r="K3519" s="1009">
        <v>0</v>
      </c>
    </row>
    <row r="3520" spans="1:11" ht="20.25" customHeight="1" x14ac:dyDescent="0.25">
      <c r="A3520" s="1006" t="s">
        <v>3604</v>
      </c>
      <c r="B3520" s="1007">
        <v>2025</v>
      </c>
      <c r="C3520" s="1006" t="s">
        <v>1913</v>
      </c>
      <c r="D3520" s="1006" t="s">
        <v>1917</v>
      </c>
      <c r="E3520" s="1006" t="s">
        <v>3608</v>
      </c>
      <c r="F3520" s="465"/>
      <c r="G3520" s="1007">
        <v>0</v>
      </c>
      <c r="H3520" s="465"/>
      <c r="I3520" s="465"/>
      <c r="J3520" s="1008">
        <v>0</v>
      </c>
      <c r="K3520" s="1009">
        <v>0</v>
      </c>
    </row>
    <row r="3521" spans="1:11" ht="20.25" customHeight="1" x14ac:dyDescent="0.25">
      <c r="A3521" s="1006" t="s">
        <v>3604</v>
      </c>
      <c r="B3521" s="1007">
        <v>2025</v>
      </c>
      <c r="C3521" s="1006" t="s">
        <v>1913</v>
      </c>
      <c r="D3521" s="1006" t="s">
        <v>1918</v>
      </c>
      <c r="E3521" s="1006" t="s">
        <v>3608</v>
      </c>
      <c r="F3521" s="465"/>
      <c r="G3521" s="1007">
        <v>0</v>
      </c>
      <c r="H3521" s="465"/>
      <c r="I3521" s="465"/>
      <c r="J3521" s="1008">
        <v>0</v>
      </c>
      <c r="K3521" s="1009">
        <v>0</v>
      </c>
    </row>
    <row r="3522" spans="1:11" ht="20.25" customHeight="1" x14ac:dyDescent="0.25">
      <c r="A3522" s="1006" t="s">
        <v>3604</v>
      </c>
      <c r="B3522" s="1007">
        <v>2025</v>
      </c>
      <c r="C3522" s="1006" t="s">
        <v>1913</v>
      </c>
      <c r="D3522" s="1006" t="s">
        <v>1919</v>
      </c>
      <c r="E3522" s="1006" t="s">
        <v>3608</v>
      </c>
      <c r="F3522" s="465"/>
      <c r="G3522" s="1007">
        <v>0</v>
      </c>
      <c r="H3522" s="465"/>
      <c r="I3522" s="465"/>
      <c r="J3522" s="1008">
        <v>0</v>
      </c>
      <c r="K3522" s="1009">
        <v>0</v>
      </c>
    </row>
    <row r="3523" spans="1:11" ht="20.25" customHeight="1" x14ac:dyDescent="0.25">
      <c r="A3523" s="1006" t="s">
        <v>3604</v>
      </c>
      <c r="B3523" s="1007">
        <v>2025</v>
      </c>
      <c r="C3523" s="1006" t="s">
        <v>1923</v>
      </c>
      <c r="D3523" s="1006" t="s">
        <v>143</v>
      </c>
      <c r="E3523" s="1006" t="s">
        <v>3609</v>
      </c>
      <c r="F3523" s="465"/>
      <c r="G3523" s="1007">
        <v>1</v>
      </c>
      <c r="H3523" s="465"/>
      <c r="I3523" s="465"/>
      <c r="J3523" s="1008">
        <v>0</v>
      </c>
      <c r="K3523" s="1009">
        <v>0</v>
      </c>
    </row>
    <row r="3524" spans="1:11" ht="20.25" customHeight="1" x14ac:dyDescent="0.25">
      <c r="A3524" s="1006" t="s">
        <v>3604</v>
      </c>
      <c r="B3524" s="1007">
        <v>2025</v>
      </c>
      <c r="C3524" s="1006" t="s">
        <v>1925</v>
      </c>
      <c r="D3524" s="1006" t="s">
        <v>144</v>
      </c>
      <c r="E3524" s="1006" t="s">
        <v>3610</v>
      </c>
      <c r="F3524" s="465"/>
      <c r="G3524" s="1007">
        <v>1</v>
      </c>
      <c r="H3524" s="465"/>
      <c r="I3524" s="465"/>
      <c r="J3524" s="1008">
        <v>0</v>
      </c>
      <c r="K3524" s="1009">
        <v>0</v>
      </c>
    </row>
    <row r="3525" spans="1:11" ht="20.25" customHeight="1" x14ac:dyDescent="0.25">
      <c r="A3525" s="1006" t="s">
        <v>3604</v>
      </c>
      <c r="B3525" s="1007">
        <v>2025</v>
      </c>
      <c r="C3525" s="1006" t="s">
        <v>1927</v>
      </c>
      <c r="D3525" s="1006" t="s">
        <v>1928</v>
      </c>
      <c r="E3525" s="1006" t="s">
        <v>3611</v>
      </c>
      <c r="F3525" s="465"/>
      <c r="G3525" s="1007">
        <v>1</v>
      </c>
      <c r="H3525" s="465"/>
      <c r="I3525" s="465"/>
      <c r="J3525" s="1008">
        <v>0</v>
      </c>
      <c r="K3525" s="1009">
        <v>0</v>
      </c>
    </row>
    <row r="3526" spans="1:11" ht="20.25" customHeight="1" x14ac:dyDescent="0.25">
      <c r="A3526" s="1006" t="s">
        <v>3604</v>
      </c>
      <c r="B3526" s="1007">
        <v>2025</v>
      </c>
      <c r="C3526" s="1006" t="s">
        <v>1930</v>
      </c>
      <c r="D3526" s="1006" t="s">
        <v>156</v>
      </c>
      <c r="E3526" s="1006" t="s">
        <v>3612</v>
      </c>
      <c r="F3526" s="465"/>
      <c r="G3526" s="1007">
        <v>1</v>
      </c>
      <c r="H3526" s="465"/>
      <c r="I3526" s="465"/>
      <c r="J3526" s="1008">
        <v>0</v>
      </c>
      <c r="K3526" s="1009">
        <v>0</v>
      </c>
    </row>
    <row r="3527" spans="1:11" ht="20.25" customHeight="1" x14ac:dyDescent="0.25">
      <c r="A3527" s="1006" t="s">
        <v>3604</v>
      </c>
      <c r="B3527" s="1007">
        <v>2025</v>
      </c>
      <c r="C3527" s="1006" t="s">
        <v>1932</v>
      </c>
      <c r="D3527" s="1006" t="s">
        <v>3423</v>
      </c>
      <c r="E3527" s="1006" t="s">
        <v>3613</v>
      </c>
      <c r="F3527" s="465"/>
      <c r="G3527" s="1007">
        <v>0</v>
      </c>
      <c r="H3527" s="465"/>
      <c r="I3527" s="465"/>
      <c r="J3527" s="1008">
        <v>0</v>
      </c>
      <c r="K3527" s="1009">
        <v>0</v>
      </c>
    </row>
    <row r="3528" spans="1:11" ht="20.25" customHeight="1" x14ac:dyDescent="0.25">
      <c r="A3528" s="1006" t="s">
        <v>3604</v>
      </c>
      <c r="B3528" s="1007">
        <v>2025</v>
      </c>
      <c r="C3528" s="1006" t="s">
        <v>1935</v>
      </c>
      <c r="D3528" s="1006" t="s">
        <v>1936</v>
      </c>
      <c r="E3528" s="1006" t="s">
        <v>9377</v>
      </c>
      <c r="F3528" s="465"/>
      <c r="G3528" s="1007">
        <v>1</v>
      </c>
      <c r="H3528" s="465"/>
      <c r="I3528" s="465"/>
      <c r="J3528" s="1008">
        <v>0</v>
      </c>
      <c r="K3528" s="1009">
        <v>0</v>
      </c>
    </row>
    <row r="3529" spans="1:11" ht="20.25" customHeight="1" x14ac:dyDescent="0.25">
      <c r="A3529" s="1006" t="s">
        <v>3604</v>
      </c>
      <c r="B3529" s="1007">
        <v>2025</v>
      </c>
      <c r="C3529" s="1006" t="s">
        <v>1935</v>
      </c>
      <c r="D3529" s="1006" t="s">
        <v>1937</v>
      </c>
      <c r="E3529" s="1006" t="s">
        <v>9378</v>
      </c>
      <c r="F3529" s="465"/>
      <c r="G3529" s="1007">
        <v>1</v>
      </c>
      <c r="H3529" s="465"/>
      <c r="I3529" s="465"/>
      <c r="J3529" s="1008">
        <v>0</v>
      </c>
      <c r="K3529" s="1009">
        <v>0</v>
      </c>
    </row>
    <row r="3530" spans="1:11" ht="20.25" customHeight="1" x14ac:dyDescent="0.25">
      <c r="A3530" s="1006" t="s">
        <v>3604</v>
      </c>
      <c r="B3530" s="1007">
        <v>2025</v>
      </c>
      <c r="C3530" s="1006" t="s">
        <v>1935</v>
      </c>
      <c r="D3530" s="1006" t="s">
        <v>1938</v>
      </c>
      <c r="E3530" s="1006" t="s">
        <v>9379</v>
      </c>
      <c r="F3530" s="465"/>
      <c r="G3530" s="1007">
        <v>1</v>
      </c>
      <c r="H3530" s="465"/>
      <c r="I3530" s="465"/>
      <c r="J3530" s="1008">
        <v>0</v>
      </c>
      <c r="K3530" s="1009">
        <v>0</v>
      </c>
    </row>
    <row r="3531" spans="1:11" ht="20.25" customHeight="1" x14ac:dyDescent="0.25">
      <c r="A3531" s="1006" t="s">
        <v>3604</v>
      </c>
      <c r="B3531" s="1007">
        <v>2025</v>
      </c>
      <c r="C3531" s="1006" t="s">
        <v>1935</v>
      </c>
      <c r="D3531" s="1006" t="s">
        <v>1939</v>
      </c>
      <c r="E3531" s="1006" t="s">
        <v>9380</v>
      </c>
      <c r="F3531" s="465"/>
      <c r="G3531" s="1007">
        <v>1</v>
      </c>
      <c r="H3531" s="465"/>
      <c r="I3531" s="465"/>
      <c r="J3531" s="1008">
        <v>0</v>
      </c>
      <c r="K3531" s="1009">
        <v>0</v>
      </c>
    </row>
    <row r="3532" spans="1:11" ht="20.25" customHeight="1" x14ac:dyDescent="0.25">
      <c r="A3532" s="1006" t="s">
        <v>3604</v>
      </c>
      <c r="B3532" s="1007">
        <v>2025</v>
      </c>
      <c r="C3532" s="1006" t="s">
        <v>1935</v>
      </c>
      <c r="D3532" s="1006" t="s">
        <v>1940</v>
      </c>
      <c r="E3532" s="1006" t="s">
        <v>9381</v>
      </c>
      <c r="F3532" s="465"/>
      <c r="G3532" s="1007">
        <v>1</v>
      </c>
      <c r="H3532" s="465"/>
      <c r="I3532" s="465"/>
      <c r="J3532" s="1008">
        <v>0</v>
      </c>
      <c r="K3532" s="1009">
        <v>0</v>
      </c>
    </row>
    <row r="3533" spans="1:11" ht="20.25" customHeight="1" x14ac:dyDescent="0.25">
      <c r="A3533" s="1006" t="s">
        <v>3604</v>
      </c>
      <c r="B3533" s="1007">
        <v>2025</v>
      </c>
      <c r="C3533" s="1006" t="s">
        <v>1935</v>
      </c>
      <c r="D3533" s="1006" t="s">
        <v>1941</v>
      </c>
      <c r="E3533" s="1006" t="s">
        <v>9382</v>
      </c>
      <c r="F3533" s="465"/>
      <c r="G3533" s="1007">
        <v>1</v>
      </c>
      <c r="H3533" s="465"/>
      <c r="I3533" s="465"/>
      <c r="J3533" s="1008">
        <v>0</v>
      </c>
      <c r="K3533" s="1009">
        <v>0</v>
      </c>
    </row>
    <row r="3534" spans="1:11" ht="20.25" customHeight="1" x14ac:dyDescent="0.25">
      <c r="A3534" s="1006" t="s">
        <v>3604</v>
      </c>
      <c r="B3534" s="1007">
        <v>2025</v>
      </c>
      <c r="C3534" s="1006" t="s">
        <v>1935</v>
      </c>
      <c r="D3534" s="1006" t="s">
        <v>1942</v>
      </c>
      <c r="E3534" s="1006" t="s">
        <v>9383</v>
      </c>
      <c r="F3534" s="465"/>
      <c r="G3534" s="1007">
        <v>1</v>
      </c>
      <c r="H3534" s="465"/>
      <c r="I3534" s="465"/>
      <c r="J3534" s="1008">
        <v>0</v>
      </c>
      <c r="K3534" s="1009">
        <v>0</v>
      </c>
    </row>
    <row r="3535" spans="1:11" ht="20.25" customHeight="1" x14ac:dyDescent="0.25">
      <c r="A3535" s="1006" t="s">
        <v>3604</v>
      </c>
      <c r="B3535" s="1007">
        <v>2025</v>
      </c>
      <c r="C3535" s="1006" t="s">
        <v>1935</v>
      </c>
      <c r="D3535" s="1006" t="s">
        <v>1943</v>
      </c>
      <c r="E3535" s="1006" t="s">
        <v>9384</v>
      </c>
      <c r="F3535" s="465"/>
      <c r="G3535" s="1007">
        <v>1</v>
      </c>
      <c r="H3535" s="465"/>
      <c r="I3535" s="465"/>
      <c r="J3535" s="1008">
        <v>0</v>
      </c>
      <c r="K3535" s="1009">
        <v>0</v>
      </c>
    </row>
    <row r="3536" spans="1:11" ht="20.25" customHeight="1" x14ac:dyDescent="0.25">
      <c r="A3536" s="1006" t="s">
        <v>3604</v>
      </c>
      <c r="B3536" s="1007">
        <v>2025</v>
      </c>
      <c r="C3536" s="1006" t="s">
        <v>1935</v>
      </c>
      <c r="D3536" s="1006" t="s">
        <v>1944</v>
      </c>
      <c r="E3536" s="1006" t="s">
        <v>9385</v>
      </c>
      <c r="F3536" s="465"/>
      <c r="G3536" s="1007">
        <v>1</v>
      </c>
      <c r="H3536" s="465"/>
      <c r="I3536" s="465"/>
      <c r="J3536" s="1008">
        <v>0</v>
      </c>
      <c r="K3536" s="1009">
        <v>0</v>
      </c>
    </row>
    <row r="3537" spans="1:11" ht="20.25" customHeight="1" x14ac:dyDescent="0.25">
      <c r="A3537" s="1006" t="s">
        <v>3604</v>
      </c>
      <c r="B3537" s="1007">
        <v>2025</v>
      </c>
      <c r="C3537" s="1006" t="s">
        <v>1935</v>
      </c>
      <c r="D3537" s="1006" t="s">
        <v>1945</v>
      </c>
      <c r="E3537" s="1006" t="s">
        <v>9386</v>
      </c>
      <c r="F3537" s="465"/>
      <c r="G3537" s="1007">
        <v>1</v>
      </c>
      <c r="H3537" s="465"/>
      <c r="I3537" s="465"/>
      <c r="J3537" s="1008">
        <v>0</v>
      </c>
      <c r="K3537" s="1009">
        <v>0</v>
      </c>
    </row>
    <row r="3538" spans="1:11" ht="20.25" customHeight="1" x14ac:dyDescent="0.25">
      <c r="A3538" s="1006" t="s">
        <v>3604</v>
      </c>
      <c r="B3538" s="1007">
        <v>2025</v>
      </c>
      <c r="C3538" s="1006" t="s">
        <v>1935</v>
      </c>
      <c r="D3538" s="1006" t="s">
        <v>1946</v>
      </c>
      <c r="E3538" s="1006" t="s">
        <v>9387</v>
      </c>
      <c r="F3538" s="465"/>
      <c r="G3538" s="1007">
        <v>1</v>
      </c>
      <c r="H3538" s="465"/>
      <c r="I3538" s="465"/>
      <c r="J3538" s="1008">
        <v>0</v>
      </c>
      <c r="K3538" s="1009">
        <v>0</v>
      </c>
    </row>
    <row r="3539" spans="1:11" ht="20.25" customHeight="1" x14ac:dyDescent="0.25">
      <c r="A3539" s="1006" t="s">
        <v>3604</v>
      </c>
      <c r="B3539" s="1007">
        <v>2025</v>
      </c>
      <c r="C3539" s="1006" t="s">
        <v>1935</v>
      </c>
      <c r="D3539" s="1006" t="s">
        <v>1947</v>
      </c>
      <c r="E3539" s="1006" t="s">
        <v>9388</v>
      </c>
      <c r="F3539" s="465"/>
      <c r="G3539" s="1007">
        <v>1</v>
      </c>
      <c r="H3539" s="465"/>
      <c r="I3539" s="465"/>
      <c r="J3539" s="1008">
        <v>0</v>
      </c>
      <c r="K3539" s="1009">
        <v>0</v>
      </c>
    </row>
    <row r="3540" spans="1:11" ht="20.25" customHeight="1" x14ac:dyDescent="0.25">
      <c r="A3540" s="1006" t="s">
        <v>3604</v>
      </c>
      <c r="B3540" s="1007">
        <v>2025</v>
      </c>
      <c r="C3540" s="1006" t="s">
        <v>1935</v>
      </c>
      <c r="D3540" s="1006" t="s">
        <v>1948</v>
      </c>
      <c r="E3540" s="1006" t="s">
        <v>9389</v>
      </c>
      <c r="F3540" s="465"/>
      <c r="G3540" s="1007">
        <v>1</v>
      </c>
      <c r="H3540" s="465"/>
      <c r="I3540" s="465"/>
      <c r="J3540" s="1008">
        <v>0</v>
      </c>
      <c r="K3540" s="1009">
        <v>0</v>
      </c>
    </row>
    <row r="3541" spans="1:11" ht="20.25" customHeight="1" x14ac:dyDescent="0.25">
      <c r="A3541" s="1006" t="s">
        <v>3604</v>
      </c>
      <c r="B3541" s="1007">
        <v>2025</v>
      </c>
      <c r="C3541" s="1006" t="s">
        <v>1935</v>
      </c>
      <c r="D3541" s="1006" t="s">
        <v>1949</v>
      </c>
      <c r="E3541" s="1006" t="s">
        <v>9390</v>
      </c>
      <c r="F3541" s="465"/>
      <c r="G3541" s="1007">
        <v>1</v>
      </c>
      <c r="H3541" s="465"/>
      <c r="I3541" s="465"/>
      <c r="J3541" s="1008">
        <v>0</v>
      </c>
      <c r="K3541" s="1009">
        <v>0</v>
      </c>
    </row>
    <row r="3542" spans="1:11" ht="20.25" customHeight="1" x14ac:dyDescent="0.25">
      <c r="A3542" s="1006" t="s">
        <v>3604</v>
      </c>
      <c r="B3542" s="1007">
        <v>2025</v>
      </c>
      <c r="C3542" s="1006" t="s">
        <v>1935</v>
      </c>
      <c r="D3542" s="1006" t="s">
        <v>1950</v>
      </c>
      <c r="E3542" s="1006" t="s">
        <v>9391</v>
      </c>
      <c r="F3542" s="465"/>
      <c r="G3542" s="1007">
        <v>1</v>
      </c>
      <c r="H3542" s="465"/>
      <c r="I3542" s="465"/>
      <c r="J3542" s="1008">
        <v>0</v>
      </c>
      <c r="K3542" s="1009">
        <v>0</v>
      </c>
    </row>
    <row r="3543" spans="1:11" ht="20.25" customHeight="1" x14ac:dyDescent="0.25">
      <c r="A3543" s="1006" t="s">
        <v>3604</v>
      </c>
      <c r="B3543" s="1007">
        <v>2025</v>
      </c>
      <c r="C3543" s="1006" t="s">
        <v>1935</v>
      </c>
      <c r="D3543" s="1006" t="s">
        <v>1951</v>
      </c>
      <c r="E3543" s="1006" t="s">
        <v>9392</v>
      </c>
      <c r="F3543" s="465"/>
      <c r="G3543" s="1007">
        <v>1</v>
      </c>
      <c r="H3543" s="465"/>
      <c r="I3543" s="465"/>
      <c r="J3543" s="1008">
        <v>0</v>
      </c>
      <c r="K3543" s="1009">
        <v>0</v>
      </c>
    </row>
    <row r="3544" spans="1:11" ht="20.25" customHeight="1" x14ac:dyDescent="0.25">
      <c r="A3544" s="1006" t="s">
        <v>3604</v>
      </c>
      <c r="B3544" s="1007">
        <v>2025</v>
      </c>
      <c r="C3544" s="1006" t="s">
        <v>1935</v>
      </c>
      <c r="D3544" s="1006" t="s">
        <v>7801</v>
      </c>
      <c r="E3544" s="1006" t="s">
        <v>9393</v>
      </c>
      <c r="F3544" s="465"/>
      <c r="G3544" s="1007">
        <v>1</v>
      </c>
      <c r="H3544" s="465"/>
      <c r="I3544" s="465"/>
      <c r="J3544" s="1008">
        <v>0</v>
      </c>
      <c r="K3544" s="1009">
        <v>0</v>
      </c>
    </row>
    <row r="3545" spans="1:11" ht="20.25" customHeight="1" x14ac:dyDescent="0.25">
      <c r="A3545" s="1006" t="s">
        <v>3604</v>
      </c>
      <c r="B3545" s="1007">
        <v>2025</v>
      </c>
      <c r="C3545" s="1006" t="s">
        <v>1935</v>
      </c>
      <c r="D3545" s="1006" t="s">
        <v>3425</v>
      </c>
      <c r="E3545" s="1006" t="s">
        <v>9394</v>
      </c>
      <c r="F3545" s="465"/>
      <c r="G3545" s="1007">
        <v>0</v>
      </c>
      <c r="H3545" s="465"/>
      <c r="I3545" s="465"/>
      <c r="J3545" s="1008">
        <v>0</v>
      </c>
      <c r="K3545" s="1009">
        <v>0</v>
      </c>
    </row>
    <row r="3546" spans="1:11" ht="20.25" customHeight="1" x14ac:dyDescent="0.25">
      <c r="A3546" s="1006" t="s">
        <v>3604</v>
      </c>
      <c r="B3546" s="1007">
        <v>2025</v>
      </c>
      <c r="C3546" s="1006" t="s">
        <v>1935</v>
      </c>
      <c r="D3546" s="1006" t="s">
        <v>3426</v>
      </c>
      <c r="E3546" s="1006" t="s">
        <v>9395</v>
      </c>
      <c r="F3546" s="465"/>
      <c r="G3546" s="1007">
        <v>0</v>
      </c>
      <c r="H3546" s="465"/>
      <c r="I3546" s="465"/>
      <c r="J3546" s="1008">
        <v>0</v>
      </c>
      <c r="K3546" s="1009">
        <v>0</v>
      </c>
    </row>
    <row r="3547" spans="1:11" ht="20.25" customHeight="1" x14ac:dyDescent="0.25">
      <c r="A3547" s="1006" t="s">
        <v>3604</v>
      </c>
      <c r="B3547" s="1007">
        <v>2025</v>
      </c>
      <c r="C3547" s="1006" t="s">
        <v>1935</v>
      </c>
      <c r="D3547" s="1006" t="s">
        <v>3427</v>
      </c>
      <c r="E3547" s="1006" t="s">
        <v>9396</v>
      </c>
      <c r="F3547" s="465"/>
      <c r="G3547" s="1007">
        <v>0</v>
      </c>
      <c r="H3547" s="465"/>
      <c r="I3547" s="465"/>
      <c r="J3547" s="1008">
        <v>0</v>
      </c>
      <c r="K3547" s="1009">
        <v>0</v>
      </c>
    </row>
    <row r="3548" spans="1:11" ht="20.25" customHeight="1" x14ac:dyDescent="0.25">
      <c r="A3548" s="1006" t="s">
        <v>3604</v>
      </c>
      <c r="B3548" s="1007">
        <v>2025</v>
      </c>
      <c r="C3548" s="1006" t="s">
        <v>1935</v>
      </c>
      <c r="D3548" s="1006" t="s">
        <v>3428</v>
      </c>
      <c r="E3548" s="1006" t="s">
        <v>9394</v>
      </c>
      <c r="F3548" s="465"/>
      <c r="G3548" s="1007">
        <v>0</v>
      </c>
      <c r="H3548" s="465"/>
      <c r="I3548" s="465"/>
      <c r="J3548" s="1008">
        <v>0</v>
      </c>
      <c r="K3548" s="1009">
        <v>0</v>
      </c>
    </row>
    <row r="3549" spans="1:11" ht="20.25" customHeight="1" x14ac:dyDescent="0.25">
      <c r="A3549" s="1006" t="s">
        <v>3604</v>
      </c>
      <c r="B3549" s="1007">
        <v>2025</v>
      </c>
      <c r="C3549" s="1006" t="s">
        <v>1935</v>
      </c>
      <c r="D3549" s="1006" t="s">
        <v>3429</v>
      </c>
      <c r="E3549" s="1006" t="s">
        <v>9395</v>
      </c>
      <c r="F3549" s="465"/>
      <c r="G3549" s="1007">
        <v>0</v>
      </c>
      <c r="H3549" s="465"/>
      <c r="I3549" s="465"/>
      <c r="J3549" s="1008">
        <v>0</v>
      </c>
      <c r="K3549" s="1009">
        <v>0</v>
      </c>
    </row>
    <row r="3550" spans="1:11" ht="20.25" customHeight="1" x14ac:dyDescent="0.25">
      <c r="A3550" s="1006" t="s">
        <v>3604</v>
      </c>
      <c r="B3550" s="1007">
        <v>2025</v>
      </c>
      <c r="C3550" s="1006" t="s">
        <v>1935</v>
      </c>
      <c r="D3550" s="1006" t="s">
        <v>3430</v>
      </c>
      <c r="E3550" s="1006" t="s">
        <v>9396</v>
      </c>
      <c r="F3550" s="465"/>
      <c r="G3550" s="1007">
        <v>0</v>
      </c>
      <c r="H3550" s="465"/>
      <c r="I3550" s="465"/>
      <c r="J3550" s="1008">
        <v>0</v>
      </c>
      <c r="K3550" s="1009">
        <v>0</v>
      </c>
    </row>
    <row r="3551" spans="1:11" ht="20.25" customHeight="1" x14ac:dyDescent="0.25">
      <c r="A3551" s="1006" t="s">
        <v>3604</v>
      </c>
      <c r="B3551" s="1007">
        <v>2025</v>
      </c>
      <c r="C3551" s="1006" t="s">
        <v>1935</v>
      </c>
      <c r="D3551" s="1006" t="s">
        <v>3431</v>
      </c>
      <c r="E3551" s="1006" t="s">
        <v>9394</v>
      </c>
      <c r="F3551" s="465"/>
      <c r="G3551" s="1007">
        <v>0</v>
      </c>
      <c r="H3551" s="465"/>
      <c r="I3551" s="465"/>
      <c r="J3551" s="1008">
        <v>0</v>
      </c>
      <c r="K3551" s="1009">
        <v>0</v>
      </c>
    </row>
    <row r="3552" spans="1:11" ht="20.25" customHeight="1" x14ac:dyDescent="0.25">
      <c r="A3552" s="1006" t="s">
        <v>3604</v>
      </c>
      <c r="B3552" s="1007">
        <v>2025</v>
      </c>
      <c r="C3552" s="1006" t="s">
        <v>1935</v>
      </c>
      <c r="D3552" s="1006" t="s">
        <v>3432</v>
      </c>
      <c r="E3552" s="1006" t="s">
        <v>9395</v>
      </c>
      <c r="F3552" s="465"/>
      <c r="G3552" s="1007">
        <v>0</v>
      </c>
      <c r="H3552" s="465"/>
      <c r="I3552" s="465"/>
      <c r="J3552" s="1008">
        <v>0</v>
      </c>
      <c r="K3552" s="1009">
        <v>0</v>
      </c>
    </row>
    <row r="3553" spans="1:11" ht="20.25" customHeight="1" x14ac:dyDescent="0.25">
      <c r="A3553" s="1006" t="s">
        <v>3604</v>
      </c>
      <c r="B3553" s="1007">
        <v>2025</v>
      </c>
      <c r="C3553" s="1006" t="s">
        <v>1935</v>
      </c>
      <c r="D3553" s="1006" t="s">
        <v>3433</v>
      </c>
      <c r="E3553" s="1006" t="s">
        <v>9396</v>
      </c>
      <c r="F3553" s="465"/>
      <c r="G3553" s="1007">
        <v>0</v>
      </c>
      <c r="H3553" s="465"/>
      <c r="I3553" s="465"/>
      <c r="J3553" s="1008">
        <v>0</v>
      </c>
      <c r="K3553" s="1009">
        <v>0</v>
      </c>
    </row>
    <row r="3554" spans="1:11" ht="20.25" customHeight="1" x14ac:dyDescent="0.25">
      <c r="A3554" s="1006" t="s">
        <v>3614</v>
      </c>
      <c r="B3554" s="1007">
        <v>2025</v>
      </c>
      <c r="C3554" s="1006" t="s">
        <v>1887</v>
      </c>
      <c r="D3554" s="1006" t="s">
        <v>138</v>
      </c>
      <c r="E3554" s="1006" t="s">
        <v>3615</v>
      </c>
      <c r="F3554" s="465"/>
      <c r="G3554" s="1007">
        <v>1</v>
      </c>
      <c r="H3554" s="465"/>
      <c r="I3554" s="465"/>
      <c r="J3554" s="1008">
        <v>0</v>
      </c>
      <c r="K3554" s="1009">
        <v>0</v>
      </c>
    </row>
    <row r="3555" spans="1:11" ht="20.25" customHeight="1" x14ac:dyDescent="0.25">
      <c r="A3555" s="1006" t="s">
        <v>3614</v>
      </c>
      <c r="B3555" s="1007">
        <v>2025</v>
      </c>
      <c r="C3555" s="1006" t="s">
        <v>1889</v>
      </c>
      <c r="D3555" s="1006" t="s">
        <v>139</v>
      </c>
      <c r="E3555" s="1006" t="s">
        <v>3616</v>
      </c>
      <c r="F3555" s="465"/>
      <c r="G3555" s="1007">
        <v>1</v>
      </c>
      <c r="H3555" s="465"/>
      <c r="I3555" s="465"/>
      <c r="J3555" s="1008">
        <v>0</v>
      </c>
      <c r="K3555" s="1009">
        <v>0</v>
      </c>
    </row>
    <row r="3556" spans="1:11" ht="20.25" customHeight="1" x14ac:dyDescent="0.25">
      <c r="A3556" s="1006" t="s">
        <v>3614</v>
      </c>
      <c r="B3556" s="1007">
        <v>2025</v>
      </c>
      <c r="C3556" s="1006" t="s">
        <v>1891</v>
      </c>
      <c r="D3556" s="1006" t="s">
        <v>1894</v>
      </c>
      <c r="E3556" s="1006" t="s">
        <v>3617</v>
      </c>
      <c r="F3556" s="465"/>
      <c r="G3556" s="1007">
        <v>0</v>
      </c>
      <c r="H3556" s="465"/>
      <c r="I3556" s="465"/>
      <c r="J3556" s="1008">
        <v>0</v>
      </c>
      <c r="K3556" s="1009">
        <v>0</v>
      </c>
    </row>
    <row r="3557" spans="1:11" ht="20.25" customHeight="1" x14ac:dyDescent="0.25">
      <c r="A3557" s="1006" t="s">
        <v>3614</v>
      </c>
      <c r="B3557" s="1007">
        <v>2025</v>
      </c>
      <c r="C3557" s="1006" t="s">
        <v>1913</v>
      </c>
      <c r="D3557" s="1006" t="s">
        <v>1914</v>
      </c>
      <c r="E3557" s="1006" t="s">
        <v>3618</v>
      </c>
      <c r="F3557" s="465"/>
      <c r="G3557" s="1007">
        <v>1</v>
      </c>
      <c r="H3557" s="465"/>
      <c r="I3557" s="465"/>
      <c r="J3557" s="1008">
        <v>0</v>
      </c>
      <c r="K3557" s="1009">
        <v>0</v>
      </c>
    </row>
    <row r="3558" spans="1:11" ht="20.25" customHeight="1" x14ac:dyDescent="0.25">
      <c r="A3558" s="1006" t="s">
        <v>3614</v>
      </c>
      <c r="B3558" s="1007">
        <v>2025</v>
      </c>
      <c r="C3558" s="1006" t="s">
        <v>1913</v>
      </c>
      <c r="D3558" s="1006" t="s">
        <v>1916</v>
      </c>
      <c r="E3558" s="1006" t="s">
        <v>3618</v>
      </c>
      <c r="F3558" s="465"/>
      <c r="G3558" s="1007">
        <v>0</v>
      </c>
      <c r="H3558" s="465"/>
      <c r="I3558" s="465"/>
      <c r="J3558" s="1008">
        <v>0</v>
      </c>
      <c r="K3558" s="1009">
        <v>0</v>
      </c>
    </row>
    <row r="3559" spans="1:11" ht="20.25" customHeight="1" x14ac:dyDescent="0.25">
      <c r="A3559" s="1006" t="s">
        <v>3614</v>
      </c>
      <c r="B3559" s="1007">
        <v>2025</v>
      </c>
      <c r="C3559" s="1006" t="s">
        <v>1913</v>
      </c>
      <c r="D3559" s="1006" t="s">
        <v>1917</v>
      </c>
      <c r="E3559" s="1006" t="s">
        <v>3618</v>
      </c>
      <c r="F3559" s="465"/>
      <c r="G3559" s="1007">
        <v>0</v>
      </c>
      <c r="H3559" s="465"/>
      <c r="I3559" s="465"/>
      <c r="J3559" s="1008">
        <v>0</v>
      </c>
      <c r="K3559" s="1009">
        <v>0</v>
      </c>
    </row>
    <row r="3560" spans="1:11" ht="20.25" customHeight="1" x14ac:dyDescent="0.25">
      <c r="A3560" s="1006" t="s">
        <v>3614</v>
      </c>
      <c r="B3560" s="1007">
        <v>2025</v>
      </c>
      <c r="C3560" s="1006" t="s">
        <v>1913</v>
      </c>
      <c r="D3560" s="1006" t="s">
        <v>1918</v>
      </c>
      <c r="E3560" s="1006" t="s">
        <v>3618</v>
      </c>
      <c r="F3560" s="465"/>
      <c r="G3560" s="1007">
        <v>0</v>
      </c>
      <c r="H3560" s="465"/>
      <c r="I3560" s="465"/>
      <c r="J3560" s="1008">
        <v>0</v>
      </c>
      <c r="K3560" s="1009">
        <v>0</v>
      </c>
    </row>
    <row r="3561" spans="1:11" ht="20.25" customHeight="1" x14ac:dyDescent="0.25">
      <c r="A3561" s="1006" t="s">
        <v>3614</v>
      </c>
      <c r="B3561" s="1007">
        <v>2025</v>
      </c>
      <c r="C3561" s="1006" t="s">
        <v>1913</v>
      </c>
      <c r="D3561" s="1006" t="s">
        <v>1919</v>
      </c>
      <c r="E3561" s="1006" t="s">
        <v>3618</v>
      </c>
      <c r="F3561" s="465"/>
      <c r="G3561" s="1007">
        <v>0</v>
      </c>
      <c r="H3561" s="465"/>
      <c r="I3561" s="465"/>
      <c r="J3561" s="1008">
        <v>0</v>
      </c>
      <c r="K3561" s="1009">
        <v>0</v>
      </c>
    </row>
    <row r="3562" spans="1:11" ht="20.25" customHeight="1" x14ac:dyDescent="0.25">
      <c r="A3562" s="1006" t="s">
        <v>3614</v>
      </c>
      <c r="B3562" s="1007">
        <v>2025</v>
      </c>
      <c r="C3562" s="1006" t="s">
        <v>1923</v>
      </c>
      <c r="D3562" s="1006" t="s">
        <v>143</v>
      </c>
      <c r="E3562" s="1006" t="s">
        <v>3619</v>
      </c>
      <c r="F3562" s="465"/>
      <c r="G3562" s="1007">
        <v>1</v>
      </c>
      <c r="H3562" s="465"/>
      <c r="I3562" s="465"/>
      <c r="J3562" s="1008">
        <v>0</v>
      </c>
      <c r="K3562" s="1009">
        <v>0</v>
      </c>
    </row>
    <row r="3563" spans="1:11" ht="20.25" customHeight="1" x14ac:dyDescent="0.25">
      <c r="A3563" s="1006" t="s">
        <v>3614</v>
      </c>
      <c r="B3563" s="1007">
        <v>2025</v>
      </c>
      <c r="C3563" s="1006" t="s">
        <v>1925</v>
      </c>
      <c r="D3563" s="1006" t="s">
        <v>144</v>
      </c>
      <c r="E3563" s="1006" t="s">
        <v>3620</v>
      </c>
      <c r="F3563" s="465"/>
      <c r="G3563" s="1007">
        <v>1</v>
      </c>
      <c r="H3563" s="465"/>
      <c r="I3563" s="465"/>
      <c r="J3563" s="1008">
        <v>0</v>
      </c>
      <c r="K3563" s="1009">
        <v>0</v>
      </c>
    </row>
    <row r="3564" spans="1:11" ht="20.25" customHeight="1" x14ac:dyDescent="0.25">
      <c r="A3564" s="1006" t="s">
        <v>3614</v>
      </c>
      <c r="B3564" s="1007">
        <v>2025</v>
      </c>
      <c r="C3564" s="1006" t="s">
        <v>1927</v>
      </c>
      <c r="D3564" s="1006" t="s">
        <v>1928</v>
      </c>
      <c r="E3564" s="1006" t="s">
        <v>3621</v>
      </c>
      <c r="F3564" s="465"/>
      <c r="G3564" s="1007">
        <v>1</v>
      </c>
      <c r="H3564" s="465"/>
      <c r="I3564" s="465"/>
      <c r="J3564" s="1008">
        <v>0</v>
      </c>
      <c r="K3564" s="1009">
        <v>0</v>
      </c>
    </row>
    <row r="3565" spans="1:11" ht="20.25" customHeight="1" x14ac:dyDescent="0.25">
      <c r="A3565" s="1006" t="s">
        <v>3614</v>
      </c>
      <c r="B3565" s="1007">
        <v>2025</v>
      </c>
      <c r="C3565" s="1006" t="s">
        <v>1930</v>
      </c>
      <c r="D3565" s="1006" t="s">
        <v>156</v>
      </c>
      <c r="E3565" s="1006" t="s">
        <v>3622</v>
      </c>
      <c r="F3565" s="465"/>
      <c r="G3565" s="1007">
        <v>1</v>
      </c>
      <c r="H3565" s="465"/>
      <c r="I3565" s="465"/>
      <c r="J3565" s="1008">
        <v>0</v>
      </c>
      <c r="K3565" s="1009">
        <v>0</v>
      </c>
    </row>
    <row r="3566" spans="1:11" ht="20.25" customHeight="1" x14ac:dyDescent="0.25">
      <c r="A3566" s="1006" t="s">
        <v>3614</v>
      </c>
      <c r="B3566" s="1007">
        <v>2025</v>
      </c>
      <c r="C3566" s="1006" t="s">
        <v>1932</v>
      </c>
      <c r="D3566" s="1006" t="s">
        <v>3423</v>
      </c>
      <c r="E3566" s="1006" t="s">
        <v>3623</v>
      </c>
      <c r="F3566" s="465"/>
      <c r="G3566" s="1007">
        <v>0</v>
      </c>
      <c r="H3566" s="465"/>
      <c r="I3566" s="465"/>
      <c r="J3566" s="1008">
        <v>0</v>
      </c>
      <c r="K3566" s="1009">
        <v>0</v>
      </c>
    </row>
    <row r="3567" spans="1:11" ht="20.25" customHeight="1" x14ac:dyDescent="0.25">
      <c r="A3567" s="1006" t="s">
        <v>3614</v>
      </c>
      <c r="B3567" s="1007">
        <v>2025</v>
      </c>
      <c r="C3567" s="1006" t="s">
        <v>1935</v>
      </c>
      <c r="D3567" s="1006" t="s">
        <v>1936</v>
      </c>
      <c r="E3567" s="1006" t="s">
        <v>9397</v>
      </c>
      <c r="F3567" s="465"/>
      <c r="G3567" s="1007">
        <v>1</v>
      </c>
      <c r="H3567" s="465"/>
      <c r="I3567" s="465"/>
      <c r="J3567" s="1008">
        <v>0</v>
      </c>
      <c r="K3567" s="1009">
        <v>0</v>
      </c>
    </row>
    <row r="3568" spans="1:11" ht="20.25" customHeight="1" x14ac:dyDescent="0.25">
      <c r="A3568" s="1006" t="s">
        <v>3614</v>
      </c>
      <c r="B3568" s="1007">
        <v>2025</v>
      </c>
      <c r="C3568" s="1006" t="s">
        <v>1935</v>
      </c>
      <c r="D3568" s="1006" t="s">
        <v>1937</v>
      </c>
      <c r="E3568" s="1006" t="s">
        <v>9398</v>
      </c>
      <c r="F3568" s="465"/>
      <c r="G3568" s="1007">
        <v>1</v>
      </c>
      <c r="H3568" s="465"/>
      <c r="I3568" s="465"/>
      <c r="J3568" s="1008">
        <v>0</v>
      </c>
      <c r="K3568" s="1009">
        <v>0</v>
      </c>
    </row>
    <row r="3569" spans="1:11" ht="20.25" customHeight="1" x14ac:dyDescent="0.25">
      <c r="A3569" s="1006" t="s">
        <v>3614</v>
      </c>
      <c r="B3569" s="1007">
        <v>2025</v>
      </c>
      <c r="C3569" s="1006" t="s">
        <v>1935</v>
      </c>
      <c r="D3569" s="1006" t="s">
        <v>1938</v>
      </c>
      <c r="E3569" s="1006" t="s">
        <v>9399</v>
      </c>
      <c r="F3569" s="465"/>
      <c r="G3569" s="1007">
        <v>1</v>
      </c>
      <c r="H3569" s="465"/>
      <c r="I3569" s="465"/>
      <c r="J3569" s="1008">
        <v>0</v>
      </c>
      <c r="K3569" s="1009">
        <v>0</v>
      </c>
    </row>
    <row r="3570" spans="1:11" ht="20.25" customHeight="1" x14ac:dyDescent="0.25">
      <c r="A3570" s="1006" t="s">
        <v>3614</v>
      </c>
      <c r="B3570" s="1007">
        <v>2025</v>
      </c>
      <c r="C3570" s="1006" t="s">
        <v>1935</v>
      </c>
      <c r="D3570" s="1006" t="s">
        <v>1939</v>
      </c>
      <c r="E3570" s="1006" t="s">
        <v>9400</v>
      </c>
      <c r="F3570" s="465"/>
      <c r="G3570" s="1007">
        <v>1</v>
      </c>
      <c r="H3570" s="465"/>
      <c r="I3570" s="465"/>
      <c r="J3570" s="1008">
        <v>0</v>
      </c>
      <c r="K3570" s="1009">
        <v>0</v>
      </c>
    </row>
    <row r="3571" spans="1:11" ht="20.25" customHeight="1" x14ac:dyDescent="0.25">
      <c r="A3571" s="1006" t="s">
        <v>3614</v>
      </c>
      <c r="B3571" s="1007">
        <v>2025</v>
      </c>
      <c r="C3571" s="1006" t="s">
        <v>1935</v>
      </c>
      <c r="D3571" s="1006" t="s">
        <v>1940</v>
      </c>
      <c r="E3571" s="1006" t="s">
        <v>9401</v>
      </c>
      <c r="F3571" s="465"/>
      <c r="G3571" s="1007">
        <v>1</v>
      </c>
      <c r="H3571" s="465"/>
      <c r="I3571" s="465"/>
      <c r="J3571" s="1008">
        <v>0</v>
      </c>
      <c r="K3571" s="1009">
        <v>0</v>
      </c>
    </row>
    <row r="3572" spans="1:11" ht="20.25" customHeight="1" x14ac:dyDescent="0.25">
      <c r="A3572" s="1006" t="s">
        <v>3614</v>
      </c>
      <c r="B3572" s="1007">
        <v>2025</v>
      </c>
      <c r="C3572" s="1006" t="s">
        <v>1935</v>
      </c>
      <c r="D3572" s="1006" t="s">
        <v>1941</v>
      </c>
      <c r="E3572" s="1006" t="s">
        <v>9402</v>
      </c>
      <c r="F3572" s="465"/>
      <c r="G3572" s="1007">
        <v>1</v>
      </c>
      <c r="H3572" s="465"/>
      <c r="I3572" s="465"/>
      <c r="J3572" s="1008">
        <v>0</v>
      </c>
      <c r="K3572" s="1009">
        <v>0</v>
      </c>
    </row>
    <row r="3573" spans="1:11" ht="20.25" customHeight="1" x14ac:dyDescent="0.25">
      <c r="A3573" s="1006" t="s">
        <v>3614</v>
      </c>
      <c r="B3573" s="1007">
        <v>2025</v>
      </c>
      <c r="C3573" s="1006" t="s">
        <v>1935</v>
      </c>
      <c r="D3573" s="1006" t="s">
        <v>1942</v>
      </c>
      <c r="E3573" s="1006" t="s">
        <v>9403</v>
      </c>
      <c r="F3573" s="465"/>
      <c r="G3573" s="1007">
        <v>1</v>
      </c>
      <c r="H3573" s="465"/>
      <c r="I3573" s="465"/>
      <c r="J3573" s="1008">
        <v>0</v>
      </c>
      <c r="K3573" s="1009">
        <v>0</v>
      </c>
    </row>
    <row r="3574" spans="1:11" ht="20.25" customHeight="1" x14ac:dyDescent="0.25">
      <c r="A3574" s="1006" t="s">
        <v>3614</v>
      </c>
      <c r="B3574" s="1007">
        <v>2025</v>
      </c>
      <c r="C3574" s="1006" t="s">
        <v>1935</v>
      </c>
      <c r="D3574" s="1006" t="s">
        <v>1943</v>
      </c>
      <c r="E3574" s="1006" t="s">
        <v>9404</v>
      </c>
      <c r="F3574" s="465"/>
      <c r="G3574" s="1007">
        <v>1</v>
      </c>
      <c r="H3574" s="465"/>
      <c r="I3574" s="465"/>
      <c r="J3574" s="1008">
        <v>0</v>
      </c>
      <c r="K3574" s="1009">
        <v>0</v>
      </c>
    </row>
    <row r="3575" spans="1:11" ht="20.25" customHeight="1" x14ac:dyDescent="0.25">
      <c r="A3575" s="1006" t="s">
        <v>3614</v>
      </c>
      <c r="B3575" s="1007">
        <v>2025</v>
      </c>
      <c r="C3575" s="1006" t="s">
        <v>1935</v>
      </c>
      <c r="D3575" s="1006" t="s">
        <v>1944</v>
      </c>
      <c r="E3575" s="1006" t="s">
        <v>9405</v>
      </c>
      <c r="F3575" s="465"/>
      <c r="G3575" s="1007">
        <v>1</v>
      </c>
      <c r="H3575" s="465"/>
      <c r="I3575" s="465"/>
      <c r="J3575" s="1008">
        <v>0</v>
      </c>
      <c r="K3575" s="1009">
        <v>0</v>
      </c>
    </row>
    <row r="3576" spans="1:11" ht="20.25" customHeight="1" x14ac:dyDescent="0.25">
      <c r="A3576" s="1006" t="s">
        <v>3614</v>
      </c>
      <c r="B3576" s="1007">
        <v>2025</v>
      </c>
      <c r="C3576" s="1006" t="s">
        <v>1935</v>
      </c>
      <c r="D3576" s="1006" t="s">
        <v>1945</v>
      </c>
      <c r="E3576" s="1006" t="s">
        <v>9406</v>
      </c>
      <c r="F3576" s="465"/>
      <c r="G3576" s="1007">
        <v>1</v>
      </c>
      <c r="H3576" s="465"/>
      <c r="I3576" s="465"/>
      <c r="J3576" s="1008">
        <v>0</v>
      </c>
      <c r="K3576" s="1009">
        <v>0</v>
      </c>
    </row>
    <row r="3577" spans="1:11" ht="20.25" customHeight="1" x14ac:dyDescent="0.25">
      <c r="A3577" s="1006" t="s">
        <v>3614</v>
      </c>
      <c r="B3577" s="1007">
        <v>2025</v>
      </c>
      <c r="C3577" s="1006" t="s">
        <v>1935</v>
      </c>
      <c r="D3577" s="1006" t="s">
        <v>1946</v>
      </c>
      <c r="E3577" s="1006" t="s">
        <v>9407</v>
      </c>
      <c r="F3577" s="465"/>
      <c r="G3577" s="1007">
        <v>1</v>
      </c>
      <c r="H3577" s="465"/>
      <c r="I3577" s="465"/>
      <c r="J3577" s="1008">
        <v>0</v>
      </c>
      <c r="K3577" s="1009">
        <v>0</v>
      </c>
    </row>
    <row r="3578" spans="1:11" ht="20.25" customHeight="1" x14ac:dyDescent="0.25">
      <c r="A3578" s="1006" t="s">
        <v>3614</v>
      </c>
      <c r="B3578" s="1007">
        <v>2025</v>
      </c>
      <c r="C3578" s="1006" t="s">
        <v>1935</v>
      </c>
      <c r="D3578" s="1006" t="s">
        <v>1947</v>
      </c>
      <c r="E3578" s="1006" t="s">
        <v>9408</v>
      </c>
      <c r="F3578" s="465"/>
      <c r="G3578" s="1007">
        <v>1</v>
      </c>
      <c r="H3578" s="465"/>
      <c r="I3578" s="465"/>
      <c r="J3578" s="1008">
        <v>0</v>
      </c>
      <c r="K3578" s="1009">
        <v>0</v>
      </c>
    </row>
    <row r="3579" spans="1:11" ht="20.25" customHeight="1" x14ac:dyDescent="0.25">
      <c r="A3579" s="1006" t="s">
        <v>3614</v>
      </c>
      <c r="B3579" s="1007">
        <v>2025</v>
      </c>
      <c r="C3579" s="1006" t="s">
        <v>1935</v>
      </c>
      <c r="D3579" s="1006" t="s">
        <v>1948</v>
      </c>
      <c r="E3579" s="1006" t="s">
        <v>9409</v>
      </c>
      <c r="F3579" s="465"/>
      <c r="G3579" s="1007">
        <v>1</v>
      </c>
      <c r="H3579" s="465"/>
      <c r="I3579" s="465"/>
      <c r="J3579" s="1008">
        <v>0</v>
      </c>
      <c r="K3579" s="1009">
        <v>0</v>
      </c>
    </row>
    <row r="3580" spans="1:11" ht="20.25" customHeight="1" x14ac:dyDescent="0.25">
      <c r="A3580" s="1006" t="s">
        <v>3614</v>
      </c>
      <c r="B3580" s="1007">
        <v>2025</v>
      </c>
      <c r="C3580" s="1006" t="s">
        <v>1935</v>
      </c>
      <c r="D3580" s="1006" t="s">
        <v>1949</v>
      </c>
      <c r="E3580" s="1006" t="s">
        <v>9410</v>
      </c>
      <c r="F3580" s="465"/>
      <c r="G3580" s="1007">
        <v>1</v>
      </c>
      <c r="H3580" s="465"/>
      <c r="I3580" s="465"/>
      <c r="J3580" s="1008">
        <v>0</v>
      </c>
      <c r="K3580" s="1009">
        <v>0</v>
      </c>
    </row>
    <row r="3581" spans="1:11" ht="20.25" customHeight="1" x14ac:dyDescent="0.25">
      <c r="A3581" s="1006" t="s">
        <v>3614</v>
      </c>
      <c r="B3581" s="1007">
        <v>2025</v>
      </c>
      <c r="C3581" s="1006" t="s">
        <v>1935</v>
      </c>
      <c r="D3581" s="1006" t="s">
        <v>1950</v>
      </c>
      <c r="E3581" s="1006" t="s">
        <v>9411</v>
      </c>
      <c r="F3581" s="465"/>
      <c r="G3581" s="1007">
        <v>1</v>
      </c>
      <c r="H3581" s="465"/>
      <c r="I3581" s="465"/>
      <c r="J3581" s="1008">
        <v>0</v>
      </c>
      <c r="K3581" s="1009">
        <v>0</v>
      </c>
    </row>
    <row r="3582" spans="1:11" ht="20.25" customHeight="1" x14ac:dyDescent="0.25">
      <c r="A3582" s="1006" t="s">
        <v>3614</v>
      </c>
      <c r="B3582" s="1007">
        <v>2025</v>
      </c>
      <c r="C3582" s="1006" t="s">
        <v>1935</v>
      </c>
      <c r="D3582" s="1006" t="s">
        <v>1951</v>
      </c>
      <c r="E3582" s="1006" t="s">
        <v>9412</v>
      </c>
      <c r="F3582" s="465"/>
      <c r="G3582" s="1007">
        <v>1</v>
      </c>
      <c r="H3582" s="465"/>
      <c r="I3582" s="465"/>
      <c r="J3582" s="1008">
        <v>0</v>
      </c>
      <c r="K3582" s="1009">
        <v>0</v>
      </c>
    </row>
    <row r="3583" spans="1:11" ht="20.25" customHeight="1" x14ac:dyDescent="0.25">
      <c r="A3583" s="1006" t="s">
        <v>3614</v>
      </c>
      <c r="B3583" s="1007">
        <v>2025</v>
      </c>
      <c r="C3583" s="1006" t="s">
        <v>1935</v>
      </c>
      <c r="D3583" s="1006" t="s">
        <v>7801</v>
      </c>
      <c r="E3583" s="1006" t="s">
        <v>9413</v>
      </c>
      <c r="F3583" s="465"/>
      <c r="G3583" s="1007">
        <v>1</v>
      </c>
      <c r="H3583" s="465"/>
      <c r="I3583" s="465"/>
      <c r="J3583" s="1008">
        <v>0</v>
      </c>
      <c r="K3583" s="1009">
        <v>0</v>
      </c>
    </row>
    <row r="3584" spans="1:11" ht="20.25" customHeight="1" x14ac:dyDescent="0.25">
      <c r="A3584" s="1006" t="s">
        <v>3614</v>
      </c>
      <c r="B3584" s="1007">
        <v>2025</v>
      </c>
      <c r="C3584" s="1006" t="s">
        <v>1935</v>
      </c>
      <c r="D3584" s="1006" t="s">
        <v>3425</v>
      </c>
      <c r="E3584" s="1006" t="s">
        <v>9414</v>
      </c>
      <c r="F3584" s="465"/>
      <c r="G3584" s="1007">
        <v>0</v>
      </c>
      <c r="H3584" s="465"/>
      <c r="I3584" s="465"/>
      <c r="J3584" s="1008">
        <v>0</v>
      </c>
      <c r="K3584" s="1009">
        <v>0</v>
      </c>
    </row>
    <row r="3585" spans="1:11" ht="20.25" customHeight="1" x14ac:dyDescent="0.25">
      <c r="A3585" s="1006" t="s">
        <v>3614</v>
      </c>
      <c r="B3585" s="1007">
        <v>2025</v>
      </c>
      <c r="C3585" s="1006" t="s">
        <v>1935</v>
      </c>
      <c r="D3585" s="1006" t="s">
        <v>3426</v>
      </c>
      <c r="E3585" s="1006" t="s">
        <v>9415</v>
      </c>
      <c r="F3585" s="465"/>
      <c r="G3585" s="1007">
        <v>0</v>
      </c>
      <c r="H3585" s="465"/>
      <c r="I3585" s="465"/>
      <c r="J3585" s="1008">
        <v>0</v>
      </c>
      <c r="K3585" s="1009">
        <v>0</v>
      </c>
    </row>
    <row r="3586" spans="1:11" ht="20.25" customHeight="1" x14ac:dyDescent="0.25">
      <c r="A3586" s="1006" t="s">
        <v>3614</v>
      </c>
      <c r="B3586" s="1007">
        <v>2025</v>
      </c>
      <c r="C3586" s="1006" t="s">
        <v>1935</v>
      </c>
      <c r="D3586" s="1006" t="s">
        <v>3427</v>
      </c>
      <c r="E3586" s="1006" t="s">
        <v>9416</v>
      </c>
      <c r="F3586" s="465"/>
      <c r="G3586" s="1007">
        <v>0</v>
      </c>
      <c r="H3586" s="465"/>
      <c r="I3586" s="465"/>
      <c r="J3586" s="1008">
        <v>0</v>
      </c>
      <c r="K3586" s="1009">
        <v>0</v>
      </c>
    </row>
    <row r="3587" spans="1:11" ht="20.25" customHeight="1" x14ac:dyDescent="0.25">
      <c r="A3587" s="1006" t="s">
        <v>3614</v>
      </c>
      <c r="B3587" s="1007">
        <v>2025</v>
      </c>
      <c r="C3587" s="1006" t="s">
        <v>1935</v>
      </c>
      <c r="D3587" s="1006" t="s">
        <v>3428</v>
      </c>
      <c r="E3587" s="1006" t="s">
        <v>9414</v>
      </c>
      <c r="F3587" s="465"/>
      <c r="G3587" s="1007">
        <v>0</v>
      </c>
      <c r="H3587" s="465"/>
      <c r="I3587" s="465"/>
      <c r="J3587" s="1008">
        <v>0</v>
      </c>
      <c r="K3587" s="1009">
        <v>0</v>
      </c>
    </row>
    <row r="3588" spans="1:11" ht="20.25" customHeight="1" x14ac:dyDescent="0.25">
      <c r="A3588" s="1006" t="s">
        <v>3614</v>
      </c>
      <c r="B3588" s="1007">
        <v>2025</v>
      </c>
      <c r="C3588" s="1006" t="s">
        <v>1935</v>
      </c>
      <c r="D3588" s="1006" t="s">
        <v>3429</v>
      </c>
      <c r="E3588" s="1006" t="s">
        <v>9415</v>
      </c>
      <c r="F3588" s="465"/>
      <c r="G3588" s="1007">
        <v>0</v>
      </c>
      <c r="H3588" s="465"/>
      <c r="I3588" s="465"/>
      <c r="J3588" s="1008">
        <v>0</v>
      </c>
      <c r="K3588" s="1009">
        <v>0</v>
      </c>
    </row>
    <row r="3589" spans="1:11" ht="20.25" customHeight="1" x14ac:dyDescent="0.25">
      <c r="A3589" s="1006" t="s">
        <v>3614</v>
      </c>
      <c r="B3589" s="1007">
        <v>2025</v>
      </c>
      <c r="C3589" s="1006" t="s">
        <v>1935</v>
      </c>
      <c r="D3589" s="1006" t="s">
        <v>3430</v>
      </c>
      <c r="E3589" s="1006" t="s">
        <v>9416</v>
      </c>
      <c r="F3589" s="465"/>
      <c r="G3589" s="1007">
        <v>0</v>
      </c>
      <c r="H3589" s="465"/>
      <c r="I3589" s="465"/>
      <c r="J3589" s="1008">
        <v>0</v>
      </c>
      <c r="K3589" s="1009">
        <v>0</v>
      </c>
    </row>
    <row r="3590" spans="1:11" ht="20.25" customHeight="1" x14ac:dyDescent="0.25">
      <c r="A3590" s="1006" t="s">
        <v>3614</v>
      </c>
      <c r="B3590" s="1007">
        <v>2025</v>
      </c>
      <c r="C3590" s="1006" t="s">
        <v>1935</v>
      </c>
      <c r="D3590" s="1006" t="s">
        <v>3431</v>
      </c>
      <c r="E3590" s="1006" t="s">
        <v>9414</v>
      </c>
      <c r="F3590" s="465"/>
      <c r="G3590" s="1007">
        <v>0</v>
      </c>
      <c r="H3590" s="465"/>
      <c r="I3590" s="465"/>
      <c r="J3590" s="1008">
        <v>0</v>
      </c>
      <c r="K3590" s="1009">
        <v>0</v>
      </c>
    </row>
    <row r="3591" spans="1:11" ht="20.25" customHeight="1" x14ac:dyDescent="0.25">
      <c r="A3591" s="1006" t="s">
        <v>3614</v>
      </c>
      <c r="B3591" s="1007">
        <v>2025</v>
      </c>
      <c r="C3591" s="1006" t="s">
        <v>1935</v>
      </c>
      <c r="D3591" s="1006" t="s">
        <v>3432</v>
      </c>
      <c r="E3591" s="1006" t="s">
        <v>9415</v>
      </c>
      <c r="F3591" s="465"/>
      <c r="G3591" s="1007">
        <v>0</v>
      </c>
      <c r="H3591" s="465"/>
      <c r="I3591" s="465"/>
      <c r="J3591" s="1008">
        <v>0</v>
      </c>
      <c r="K3591" s="1009">
        <v>0</v>
      </c>
    </row>
    <row r="3592" spans="1:11" ht="20.25" customHeight="1" x14ac:dyDescent="0.25">
      <c r="A3592" s="1006" t="s">
        <v>3614</v>
      </c>
      <c r="B3592" s="1007">
        <v>2025</v>
      </c>
      <c r="C3592" s="1006" t="s">
        <v>1935</v>
      </c>
      <c r="D3592" s="1006" t="s">
        <v>3433</v>
      </c>
      <c r="E3592" s="1006" t="s">
        <v>9416</v>
      </c>
      <c r="F3592" s="465"/>
      <c r="G3592" s="1007">
        <v>0</v>
      </c>
      <c r="H3592" s="465"/>
      <c r="I3592" s="465"/>
      <c r="J3592" s="1008">
        <v>0</v>
      </c>
      <c r="K3592" s="1009">
        <v>0</v>
      </c>
    </row>
    <row r="3593" spans="1:11" ht="20.25" customHeight="1" x14ac:dyDescent="0.25">
      <c r="A3593" s="1006" t="s">
        <v>3624</v>
      </c>
      <c r="B3593" s="1007">
        <v>2025</v>
      </c>
      <c r="C3593" s="1006" t="s">
        <v>1887</v>
      </c>
      <c r="D3593" s="1006" t="s">
        <v>138</v>
      </c>
      <c r="E3593" s="1006" t="s">
        <v>3625</v>
      </c>
      <c r="F3593" s="465"/>
      <c r="G3593" s="1007">
        <v>1</v>
      </c>
      <c r="H3593" s="465"/>
      <c r="I3593" s="465"/>
      <c r="J3593" s="1008">
        <v>0</v>
      </c>
      <c r="K3593" s="1009">
        <v>0</v>
      </c>
    </row>
    <row r="3594" spans="1:11" ht="20.25" customHeight="1" x14ac:dyDescent="0.25">
      <c r="A3594" s="1006" t="s">
        <v>3624</v>
      </c>
      <c r="B3594" s="1007">
        <v>2025</v>
      </c>
      <c r="C3594" s="1006" t="s">
        <v>1889</v>
      </c>
      <c r="D3594" s="1006" t="s">
        <v>139</v>
      </c>
      <c r="E3594" s="1006" t="s">
        <v>3626</v>
      </c>
      <c r="F3594" s="465"/>
      <c r="G3594" s="1007">
        <v>1</v>
      </c>
      <c r="H3594" s="465"/>
      <c r="I3594" s="465"/>
      <c r="J3594" s="1008">
        <v>0</v>
      </c>
      <c r="K3594" s="1009">
        <v>0</v>
      </c>
    </row>
    <row r="3595" spans="1:11" ht="20.25" customHeight="1" x14ac:dyDescent="0.25">
      <c r="A3595" s="1006" t="s">
        <v>3624</v>
      </c>
      <c r="B3595" s="1007">
        <v>2025</v>
      </c>
      <c r="C3595" s="1006" t="s">
        <v>1891</v>
      </c>
      <c r="D3595" s="1006" t="s">
        <v>1894</v>
      </c>
      <c r="E3595" s="1006" t="s">
        <v>3627</v>
      </c>
      <c r="F3595" s="465"/>
      <c r="G3595" s="1007">
        <v>0</v>
      </c>
      <c r="H3595" s="465"/>
      <c r="I3595" s="465"/>
      <c r="J3595" s="1008">
        <v>0</v>
      </c>
      <c r="K3595" s="1009">
        <v>0</v>
      </c>
    </row>
    <row r="3596" spans="1:11" ht="20.25" customHeight="1" x14ac:dyDescent="0.25">
      <c r="A3596" s="1006" t="s">
        <v>3624</v>
      </c>
      <c r="B3596" s="1007">
        <v>2025</v>
      </c>
      <c r="C3596" s="1006" t="s">
        <v>1913</v>
      </c>
      <c r="D3596" s="1006" t="s">
        <v>1914</v>
      </c>
      <c r="E3596" s="1006" t="s">
        <v>3628</v>
      </c>
      <c r="F3596" s="465"/>
      <c r="G3596" s="1007">
        <v>1</v>
      </c>
      <c r="H3596" s="465"/>
      <c r="I3596" s="465"/>
      <c r="J3596" s="1008">
        <v>0</v>
      </c>
      <c r="K3596" s="1009">
        <v>0</v>
      </c>
    </row>
    <row r="3597" spans="1:11" ht="20.25" customHeight="1" x14ac:dyDescent="0.25">
      <c r="A3597" s="1006" t="s">
        <v>3624</v>
      </c>
      <c r="B3597" s="1007">
        <v>2025</v>
      </c>
      <c r="C3597" s="1006" t="s">
        <v>1913</v>
      </c>
      <c r="D3597" s="1006" t="s">
        <v>1916</v>
      </c>
      <c r="E3597" s="1006" t="s">
        <v>3628</v>
      </c>
      <c r="F3597" s="465"/>
      <c r="G3597" s="1007">
        <v>0</v>
      </c>
      <c r="H3597" s="465"/>
      <c r="I3597" s="465"/>
      <c r="J3597" s="1008">
        <v>0</v>
      </c>
      <c r="K3597" s="1009">
        <v>0</v>
      </c>
    </row>
    <row r="3598" spans="1:11" ht="20.25" customHeight="1" x14ac:dyDescent="0.25">
      <c r="A3598" s="1006" t="s">
        <v>3624</v>
      </c>
      <c r="B3598" s="1007">
        <v>2025</v>
      </c>
      <c r="C3598" s="1006" t="s">
        <v>1913</v>
      </c>
      <c r="D3598" s="1006" t="s">
        <v>1917</v>
      </c>
      <c r="E3598" s="1006" t="s">
        <v>3628</v>
      </c>
      <c r="F3598" s="465"/>
      <c r="G3598" s="1007">
        <v>0</v>
      </c>
      <c r="H3598" s="465"/>
      <c r="I3598" s="465"/>
      <c r="J3598" s="1008">
        <v>0</v>
      </c>
      <c r="K3598" s="1009">
        <v>0</v>
      </c>
    </row>
    <row r="3599" spans="1:11" ht="20.25" customHeight="1" x14ac:dyDescent="0.25">
      <c r="A3599" s="1006" t="s">
        <v>3624</v>
      </c>
      <c r="B3599" s="1007">
        <v>2025</v>
      </c>
      <c r="C3599" s="1006" t="s">
        <v>1913</v>
      </c>
      <c r="D3599" s="1006" t="s">
        <v>1918</v>
      </c>
      <c r="E3599" s="1006" t="s">
        <v>3628</v>
      </c>
      <c r="F3599" s="465"/>
      <c r="G3599" s="1007">
        <v>0</v>
      </c>
      <c r="H3599" s="465"/>
      <c r="I3599" s="465"/>
      <c r="J3599" s="1008">
        <v>0</v>
      </c>
      <c r="K3599" s="1009">
        <v>0</v>
      </c>
    </row>
    <row r="3600" spans="1:11" ht="20.25" customHeight="1" x14ac:dyDescent="0.25">
      <c r="A3600" s="1006" t="s">
        <v>3624</v>
      </c>
      <c r="B3600" s="1007">
        <v>2025</v>
      </c>
      <c r="C3600" s="1006" t="s">
        <v>1913</v>
      </c>
      <c r="D3600" s="1006" t="s">
        <v>1919</v>
      </c>
      <c r="E3600" s="1006" t="s">
        <v>3628</v>
      </c>
      <c r="F3600" s="465"/>
      <c r="G3600" s="1007">
        <v>0</v>
      </c>
      <c r="H3600" s="465"/>
      <c r="I3600" s="465"/>
      <c r="J3600" s="1008">
        <v>0</v>
      </c>
      <c r="K3600" s="1009">
        <v>0</v>
      </c>
    </row>
    <row r="3601" spans="1:11" ht="20.25" customHeight="1" x14ac:dyDescent="0.25">
      <c r="A3601" s="1006" t="s">
        <v>3624</v>
      </c>
      <c r="B3601" s="1007">
        <v>2025</v>
      </c>
      <c r="C3601" s="1006" t="s">
        <v>1923</v>
      </c>
      <c r="D3601" s="1006" t="s">
        <v>143</v>
      </c>
      <c r="E3601" s="1006" t="s">
        <v>3629</v>
      </c>
      <c r="F3601" s="465"/>
      <c r="G3601" s="1007">
        <v>1</v>
      </c>
      <c r="H3601" s="465"/>
      <c r="I3601" s="465"/>
      <c r="J3601" s="1008">
        <v>0</v>
      </c>
      <c r="K3601" s="1009">
        <v>0</v>
      </c>
    </row>
    <row r="3602" spans="1:11" ht="20.25" customHeight="1" x14ac:dyDescent="0.25">
      <c r="A3602" s="1006" t="s">
        <v>3624</v>
      </c>
      <c r="B3602" s="1007">
        <v>2025</v>
      </c>
      <c r="C3602" s="1006" t="s">
        <v>1925</v>
      </c>
      <c r="D3602" s="1006" t="s">
        <v>144</v>
      </c>
      <c r="E3602" s="1006" t="s">
        <v>3630</v>
      </c>
      <c r="F3602" s="465"/>
      <c r="G3602" s="1007">
        <v>1</v>
      </c>
      <c r="H3602" s="465"/>
      <c r="I3602" s="465"/>
      <c r="J3602" s="1008">
        <v>0</v>
      </c>
      <c r="K3602" s="1009">
        <v>0</v>
      </c>
    </row>
    <row r="3603" spans="1:11" ht="20.25" customHeight="1" x14ac:dyDescent="0.25">
      <c r="A3603" s="1006" t="s">
        <v>3624</v>
      </c>
      <c r="B3603" s="1007">
        <v>2025</v>
      </c>
      <c r="C3603" s="1006" t="s">
        <v>1927</v>
      </c>
      <c r="D3603" s="1006" t="s">
        <v>1928</v>
      </c>
      <c r="E3603" s="1006" t="s">
        <v>3631</v>
      </c>
      <c r="F3603" s="465"/>
      <c r="G3603" s="1007">
        <v>1</v>
      </c>
      <c r="H3603" s="465"/>
      <c r="I3603" s="465"/>
      <c r="J3603" s="1008">
        <v>0</v>
      </c>
      <c r="K3603" s="1009">
        <v>0</v>
      </c>
    </row>
    <row r="3604" spans="1:11" ht="20.25" customHeight="1" x14ac:dyDescent="0.25">
      <c r="A3604" s="1006" t="s">
        <v>3624</v>
      </c>
      <c r="B3604" s="1007">
        <v>2025</v>
      </c>
      <c r="C3604" s="1006" t="s">
        <v>1930</v>
      </c>
      <c r="D3604" s="1006" t="s">
        <v>156</v>
      </c>
      <c r="E3604" s="1006" t="s">
        <v>3632</v>
      </c>
      <c r="F3604" s="465"/>
      <c r="G3604" s="1007">
        <v>1</v>
      </c>
      <c r="H3604" s="465"/>
      <c r="I3604" s="465"/>
      <c r="J3604" s="1008">
        <v>0</v>
      </c>
      <c r="K3604" s="1009">
        <v>0</v>
      </c>
    </row>
    <row r="3605" spans="1:11" ht="20.25" customHeight="1" x14ac:dyDescent="0.25">
      <c r="A3605" s="1006" t="s">
        <v>3624</v>
      </c>
      <c r="B3605" s="1007">
        <v>2025</v>
      </c>
      <c r="C3605" s="1006" t="s">
        <v>1932</v>
      </c>
      <c r="D3605" s="1006" t="s">
        <v>3423</v>
      </c>
      <c r="E3605" s="1006" t="s">
        <v>3633</v>
      </c>
      <c r="F3605" s="465"/>
      <c r="G3605" s="1007">
        <v>0</v>
      </c>
      <c r="H3605" s="465"/>
      <c r="I3605" s="465"/>
      <c r="J3605" s="1008">
        <v>0</v>
      </c>
      <c r="K3605" s="1009">
        <v>0</v>
      </c>
    </row>
    <row r="3606" spans="1:11" ht="20.25" customHeight="1" x14ac:dyDescent="0.25">
      <c r="A3606" s="1006" t="s">
        <v>3624</v>
      </c>
      <c r="B3606" s="1007">
        <v>2025</v>
      </c>
      <c r="C3606" s="1006" t="s">
        <v>1935</v>
      </c>
      <c r="D3606" s="1006" t="s">
        <v>1936</v>
      </c>
      <c r="E3606" s="1006" t="s">
        <v>9417</v>
      </c>
      <c r="F3606" s="465"/>
      <c r="G3606" s="1007">
        <v>1</v>
      </c>
      <c r="H3606" s="465"/>
      <c r="I3606" s="465"/>
      <c r="J3606" s="1008">
        <v>0</v>
      </c>
      <c r="K3606" s="1009">
        <v>0</v>
      </c>
    </row>
    <row r="3607" spans="1:11" ht="20.25" customHeight="1" x14ac:dyDescent="0.25">
      <c r="A3607" s="1006" t="s">
        <v>3624</v>
      </c>
      <c r="B3607" s="1007">
        <v>2025</v>
      </c>
      <c r="C3607" s="1006" t="s">
        <v>1935</v>
      </c>
      <c r="D3607" s="1006" t="s">
        <v>1937</v>
      </c>
      <c r="E3607" s="1006" t="s">
        <v>9418</v>
      </c>
      <c r="F3607" s="465"/>
      <c r="G3607" s="1007">
        <v>1</v>
      </c>
      <c r="H3607" s="465"/>
      <c r="I3607" s="465"/>
      <c r="J3607" s="1008">
        <v>0</v>
      </c>
      <c r="K3607" s="1009">
        <v>0</v>
      </c>
    </row>
    <row r="3608" spans="1:11" ht="20.25" customHeight="1" x14ac:dyDescent="0.25">
      <c r="A3608" s="1006" t="s">
        <v>3624</v>
      </c>
      <c r="B3608" s="1007">
        <v>2025</v>
      </c>
      <c r="C3608" s="1006" t="s">
        <v>1935</v>
      </c>
      <c r="D3608" s="1006" t="s">
        <v>1938</v>
      </c>
      <c r="E3608" s="1006" t="s">
        <v>9419</v>
      </c>
      <c r="F3608" s="465"/>
      <c r="G3608" s="1007">
        <v>1</v>
      </c>
      <c r="H3608" s="465"/>
      <c r="I3608" s="465"/>
      <c r="J3608" s="1008">
        <v>0</v>
      </c>
      <c r="K3608" s="1009">
        <v>0</v>
      </c>
    </row>
    <row r="3609" spans="1:11" ht="20.25" customHeight="1" x14ac:dyDescent="0.25">
      <c r="A3609" s="1006" t="s">
        <v>3624</v>
      </c>
      <c r="B3609" s="1007">
        <v>2025</v>
      </c>
      <c r="C3609" s="1006" t="s">
        <v>1935</v>
      </c>
      <c r="D3609" s="1006" t="s">
        <v>1939</v>
      </c>
      <c r="E3609" s="1006" t="s">
        <v>9420</v>
      </c>
      <c r="F3609" s="465"/>
      <c r="G3609" s="1007">
        <v>1</v>
      </c>
      <c r="H3609" s="465"/>
      <c r="I3609" s="465"/>
      <c r="J3609" s="1008">
        <v>0</v>
      </c>
      <c r="K3609" s="1009">
        <v>0</v>
      </c>
    </row>
    <row r="3610" spans="1:11" ht="20.25" customHeight="1" x14ac:dyDescent="0.25">
      <c r="A3610" s="1006" t="s">
        <v>3624</v>
      </c>
      <c r="B3610" s="1007">
        <v>2025</v>
      </c>
      <c r="C3610" s="1006" t="s">
        <v>1935</v>
      </c>
      <c r="D3610" s="1006" t="s">
        <v>1940</v>
      </c>
      <c r="E3610" s="1006" t="s">
        <v>9421</v>
      </c>
      <c r="F3610" s="465"/>
      <c r="G3610" s="1007">
        <v>1</v>
      </c>
      <c r="H3610" s="465"/>
      <c r="I3610" s="465"/>
      <c r="J3610" s="1008">
        <v>0</v>
      </c>
      <c r="K3610" s="1009">
        <v>0</v>
      </c>
    </row>
    <row r="3611" spans="1:11" ht="20.25" customHeight="1" x14ac:dyDescent="0.25">
      <c r="A3611" s="1006" t="s">
        <v>3624</v>
      </c>
      <c r="B3611" s="1007">
        <v>2025</v>
      </c>
      <c r="C3611" s="1006" t="s">
        <v>1935</v>
      </c>
      <c r="D3611" s="1006" t="s">
        <v>1941</v>
      </c>
      <c r="E3611" s="1006" t="s">
        <v>9422</v>
      </c>
      <c r="F3611" s="465"/>
      <c r="G3611" s="1007">
        <v>1</v>
      </c>
      <c r="H3611" s="465"/>
      <c r="I3611" s="465"/>
      <c r="J3611" s="1008">
        <v>0</v>
      </c>
      <c r="K3611" s="1009">
        <v>0</v>
      </c>
    </row>
    <row r="3612" spans="1:11" ht="20.25" customHeight="1" x14ac:dyDescent="0.25">
      <c r="A3612" s="1006" t="s">
        <v>3624</v>
      </c>
      <c r="B3612" s="1007">
        <v>2025</v>
      </c>
      <c r="C3612" s="1006" t="s">
        <v>1935</v>
      </c>
      <c r="D3612" s="1006" t="s">
        <v>1942</v>
      </c>
      <c r="E3612" s="1006" t="s">
        <v>9423</v>
      </c>
      <c r="F3612" s="465"/>
      <c r="G3612" s="1007">
        <v>1</v>
      </c>
      <c r="H3612" s="465"/>
      <c r="I3612" s="465"/>
      <c r="J3612" s="1008">
        <v>0</v>
      </c>
      <c r="K3612" s="1009">
        <v>0</v>
      </c>
    </row>
    <row r="3613" spans="1:11" ht="20.25" customHeight="1" x14ac:dyDescent="0.25">
      <c r="A3613" s="1006" t="s">
        <v>3624</v>
      </c>
      <c r="B3613" s="1007">
        <v>2025</v>
      </c>
      <c r="C3613" s="1006" t="s">
        <v>1935</v>
      </c>
      <c r="D3613" s="1006" t="s">
        <v>1943</v>
      </c>
      <c r="E3613" s="1006" t="s">
        <v>9424</v>
      </c>
      <c r="F3613" s="465"/>
      <c r="G3613" s="1007">
        <v>1</v>
      </c>
      <c r="H3613" s="465"/>
      <c r="I3613" s="465"/>
      <c r="J3613" s="1008">
        <v>0</v>
      </c>
      <c r="K3613" s="1009">
        <v>0</v>
      </c>
    </row>
    <row r="3614" spans="1:11" ht="20.25" customHeight="1" x14ac:dyDescent="0.25">
      <c r="A3614" s="1006" t="s">
        <v>3624</v>
      </c>
      <c r="B3614" s="1007">
        <v>2025</v>
      </c>
      <c r="C3614" s="1006" t="s">
        <v>1935</v>
      </c>
      <c r="D3614" s="1006" t="s">
        <v>1944</v>
      </c>
      <c r="E3614" s="1006" t="s">
        <v>9425</v>
      </c>
      <c r="F3614" s="465"/>
      <c r="G3614" s="1007">
        <v>1</v>
      </c>
      <c r="H3614" s="465"/>
      <c r="I3614" s="465"/>
      <c r="J3614" s="1008">
        <v>0</v>
      </c>
      <c r="K3614" s="1009">
        <v>0</v>
      </c>
    </row>
    <row r="3615" spans="1:11" ht="20.25" customHeight="1" x14ac:dyDescent="0.25">
      <c r="A3615" s="1006" t="s">
        <v>3624</v>
      </c>
      <c r="B3615" s="1007">
        <v>2025</v>
      </c>
      <c r="C3615" s="1006" t="s">
        <v>1935</v>
      </c>
      <c r="D3615" s="1006" t="s">
        <v>1945</v>
      </c>
      <c r="E3615" s="1006" t="s">
        <v>9426</v>
      </c>
      <c r="F3615" s="465"/>
      <c r="G3615" s="1007">
        <v>1</v>
      </c>
      <c r="H3615" s="465"/>
      <c r="I3615" s="465"/>
      <c r="J3615" s="1008">
        <v>0</v>
      </c>
      <c r="K3615" s="1009">
        <v>0</v>
      </c>
    </row>
    <row r="3616" spans="1:11" ht="20.25" customHeight="1" x14ac:dyDescent="0.25">
      <c r="A3616" s="1006" t="s">
        <v>3624</v>
      </c>
      <c r="B3616" s="1007">
        <v>2025</v>
      </c>
      <c r="C3616" s="1006" t="s">
        <v>1935</v>
      </c>
      <c r="D3616" s="1006" t="s">
        <v>1946</v>
      </c>
      <c r="E3616" s="1006" t="s">
        <v>9427</v>
      </c>
      <c r="F3616" s="465"/>
      <c r="G3616" s="1007">
        <v>1</v>
      </c>
      <c r="H3616" s="465"/>
      <c r="I3616" s="465"/>
      <c r="J3616" s="1008">
        <v>0</v>
      </c>
      <c r="K3616" s="1009">
        <v>0</v>
      </c>
    </row>
    <row r="3617" spans="1:11" ht="20.25" customHeight="1" x14ac:dyDescent="0.25">
      <c r="A3617" s="1006" t="s">
        <v>3624</v>
      </c>
      <c r="B3617" s="1007">
        <v>2025</v>
      </c>
      <c r="C3617" s="1006" t="s">
        <v>1935</v>
      </c>
      <c r="D3617" s="1006" t="s">
        <v>1947</v>
      </c>
      <c r="E3617" s="1006" t="s">
        <v>9428</v>
      </c>
      <c r="F3617" s="465"/>
      <c r="G3617" s="1007">
        <v>1</v>
      </c>
      <c r="H3617" s="465"/>
      <c r="I3617" s="465"/>
      <c r="J3617" s="1008">
        <v>0</v>
      </c>
      <c r="K3617" s="1009">
        <v>0</v>
      </c>
    </row>
    <row r="3618" spans="1:11" ht="20.25" customHeight="1" x14ac:dyDescent="0.25">
      <c r="A3618" s="1006" t="s">
        <v>3624</v>
      </c>
      <c r="B3618" s="1007">
        <v>2025</v>
      </c>
      <c r="C3618" s="1006" t="s">
        <v>1935</v>
      </c>
      <c r="D3618" s="1006" t="s">
        <v>1948</v>
      </c>
      <c r="E3618" s="1006" t="s">
        <v>9429</v>
      </c>
      <c r="F3618" s="465"/>
      <c r="G3618" s="1007">
        <v>1</v>
      </c>
      <c r="H3618" s="465"/>
      <c r="I3618" s="465"/>
      <c r="J3618" s="1008">
        <v>0</v>
      </c>
      <c r="K3618" s="1009">
        <v>0</v>
      </c>
    </row>
    <row r="3619" spans="1:11" ht="20.25" customHeight="1" x14ac:dyDescent="0.25">
      <c r="A3619" s="1006" t="s">
        <v>3624</v>
      </c>
      <c r="B3619" s="1007">
        <v>2025</v>
      </c>
      <c r="C3619" s="1006" t="s">
        <v>1935</v>
      </c>
      <c r="D3619" s="1006" t="s">
        <v>1949</v>
      </c>
      <c r="E3619" s="1006" t="s">
        <v>9430</v>
      </c>
      <c r="F3619" s="465"/>
      <c r="G3619" s="1007">
        <v>1</v>
      </c>
      <c r="H3619" s="465"/>
      <c r="I3619" s="465"/>
      <c r="J3619" s="1008">
        <v>0</v>
      </c>
      <c r="K3619" s="1009">
        <v>0</v>
      </c>
    </row>
    <row r="3620" spans="1:11" ht="20.25" customHeight="1" x14ac:dyDescent="0.25">
      <c r="A3620" s="1006" t="s">
        <v>3624</v>
      </c>
      <c r="B3620" s="1007">
        <v>2025</v>
      </c>
      <c r="C3620" s="1006" t="s">
        <v>1935</v>
      </c>
      <c r="D3620" s="1006" t="s">
        <v>1950</v>
      </c>
      <c r="E3620" s="1006" t="s">
        <v>9431</v>
      </c>
      <c r="F3620" s="465"/>
      <c r="G3620" s="1007">
        <v>1</v>
      </c>
      <c r="H3620" s="465"/>
      <c r="I3620" s="465"/>
      <c r="J3620" s="1008">
        <v>0</v>
      </c>
      <c r="K3620" s="1009">
        <v>0</v>
      </c>
    </row>
    <row r="3621" spans="1:11" ht="20.25" customHeight="1" x14ac:dyDescent="0.25">
      <c r="A3621" s="1006" t="s">
        <v>3624</v>
      </c>
      <c r="B3621" s="1007">
        <v>2025</v>
      </c>
      <c r="C3621" s="1006" t="s">
        <v>1935</v>
      </c>
      <c r="D3621" s="1006" t="s">
        <v>1951</v>
      </c>
      <c r="E3621" s="1006" t="s">
        <v>9432</v>
      </c>
      <c r="F3621" s="465"/>
      <c r="G3621" s="1007">
        <v>1</v>
      </c>
      <c r="H3621" s="465"/>
      <c r="I3621" s="465"/>
      <c r="J3621" s="1008">
        <v>0</v>
      </c>
      <c r="K3621" s="1009">
        <v>0</v>
      </c>
    </row>
    <row r="3622" spans="1:11" ht="20.25" customHeight="1" x14ac:dyDescent="0.25">
      <c r="A3622" s="1006" t="s">
        <v>3624</v>
      </c>
      <c r="B3622" s="1007">
        <v>2025</v>
      </c>
      <c r="C3622" s="1006" t="s">
        <v>1935</v>
      </c>
      <c r="D3622" s="1006" t="s">
        <v>7801</v>
      </c>
      <c r="E3622" s="1006" t="s">
        <v>9433</v>
      </c>
      <c r="F3622" s="465"/>
      <c r="G3622" s="1007">
        <v>1</v>
      </c>
      <c r="H3622" s="465"/>
      <c r="I3622" s="465"/>
      <c r="J3622" s="1008">
        <v>0</v>
      </c>
      <c r="K3622" s="1009">
        <v>0</v>
      </c>
    </row>
    <row r="3623" spans="1:11" ht="20.25" customHeight="1" x14ac:dyDescent="0.25">
      <c r="A3623" s="1006" t="s">
        <v>3624</v>
      </c>
      <c r="B3623" s="1007">
        <v>2025</v>
      </c>
      <c r="C3623" s="1006" t="s">
        <v>1935</v>
      </c>
      <c r="D3623" s="1006" t="s">
        <v>3425</v>
      </c>
      <c r="E3623" s="1006" t="s">
        <v>9434</v>
      </c>
      <c r="F3623" s="465"/>
      <c r="G3623" s="1007">
        <v>0</v>
      </c>
      <c r="H3623" s="465"/>
      <c r="I3623" s="465"/>
      <c r="J3623" s="1008">
        <v>0</v>
      </c>
      <c r="K3623" s="1009">
        <v>0</v>
      </c>
    </row>
    <row r="3624" spans="1:11" ht="20.25" customHeight="1" x14ac:dyDescent="0.25">
      <c r="A3624" s="1006" t="s">
        <v>3624</v>
      </c>
      <c r="B3624" s="1007">
        <v>2025</v>
      </c>
      <c r="C3624" s="1006" t="s">
        <v>1935</v>
      </c>
      <c r="D3624" s="1006" t="s">
        <v>3426</v>
      </c>
      <c r="E3624" s="1006" t="s">
        <v>9435</v>
      </c>
      <c r="F3624" s="465"/>
      <c r="G3624" s="1007">
        <v>0</v>
      </c>
      <c r="H3624" s="465"/>
      <c r="I3624" s="465"/>
      <c r="J3624" s="1008">
        <v>0</v>
      </c>
      <c r="K3624" s="1009">
        <v>0</v>
      </c>
    </row>
    <row r="3625" spans="1:11" ht="20.25" customHeight="1" x14ac:dyDescent="0.25">
      <c r="A3625" s="1006" t="s">
        <v>3624</v>
      </c>
      <c r="B3625" s="1007">
        <v>2025</v>
      </c>
      <c r="C3625" s="1006" t="s">
        <v>1935</v>
      </c>
      <c r="D3625" s="1006" t="s">
        <v>3427</v>
      </c>
      <c r="E3625" s="1006" t="s">
        <v>9436</v>
      </c>
      <c r="F3625" s="465"/>
      <c r="G3625" s="1007">
        <v>0</v>
      </c>
      <c r="H3625" s="465"/>
      <c r="I3625" s="465"/>
      <c r="J3625" s="1008">
        <v>0</v>
      </c>
      <c r="K3625" s="1009">
        <v>0</v>
      </c>
    </row>
    <row r="3626" spans="1:11" ht="20.25" customHeight="1" x14ac:dyDescent="0.25">
      <c r="A3626" s="1006" t="s">
        <v>3624</v>
      </c>
      <c r="B3626" s="1007">
        <v>2025</v>
      </c>
      <c r="C3626" s="1006" t="s">
        <v>1935</v>
      </c>
      <c r="D3626" s="1006" t="s">
        <v>3428</v>
      </c>
      <c r="E3626" s="1006" t="s">
        <v>9434</v>
      </c>
      <c r="F3626" s="465"/>
      <c r="G3626" s="1007">
        <v>0</v>
      </c>
      <c r="H3626" s="465"/>
      <c r="I3626" s="465"/>
      <c r="J3626" s="1008">
        <v>0</v>
      </c>
      <c r="K3626" s="1009">
        <v>0</v>
      </c>
    </row>
    <row r="3627" spans="1:11" ht="20.25" customHeight="1" x14ac:dyDescent="0.25">
      <c r="A3627" s="1006" t="s">
        <v>3624</v>
      </c>
      <c r="B3627" s="1007">
        <v>2025</v>
      </c>
      <c r="C3627" s="1006" t="s">
        <v>1935</v>
      </c>
      <c r="D3627" s="1006" t="s">
        <v>3429</v>
      </c>
      <c r="E3627" s="1006" t="s">
        <v>9435</v>
      </c>
      <c r="F3627" s="465"/>
      <c r="G3627" s="1007">
        <v>0</v>
      </c>
      <c r="H3627" s="465"/>
      <c r="I3627" s="465"/>
      <c r="J3627" s="1008">
        <v>0</v>
      </c>
      <c r="K3627" s="1009">
        <v>0</v>
      </c>
    </row>
    <row r="3628" spans="1:11" ht="20.25" customHeight="1" x14ac:dyDescent="0.25">
      <c r="A3628" s="1006" t="s">
        <v>3624</v>
      </c>
      <c r="B3628" s="1007">
        <v>2025</v>
      </c>
      <c r="C3628" s="1006" t="s">
        <v>1935</v>
      </c>
      <c r="D3628" s="1006" t="s">
        <v>3430</v>
      </c>
      <c r="E3628" s="1006" t="s">
        <v>9436</v>
      </c>
      <c r="F3628" s="465"/>
      <c r="G3628" s="1007">
        <v>0</v>
      </c>
      <c r="H3628" s="465"/>
      <c r="I3628" s="465"/>
      <c r="J3628" s="1008">
        <v>0</v>
      </c>
      <c r="K3628" s="1009">
        <v>0</v>
      </c>
    </row>
    <row r="3629" spans="1:11" ht="20.25" customHeight="1" x14ac:dyDescent="0.25">
      <c r="A3629" s="1006" t="s">
        <v>3624</v>
      </c>
      <c r="B3629" s="1007">
        <v>2025</v>
      </c>
      <c r="C3629" s="1006" t="s">
        <v>1935</v>
      </c>
      <c r="D3629" s="1006" t="s">
        <v>3431</v>
      </c>
      <c r="E3629" s="1006" t="s">
        <v>9434</v>
      </c>
      <c r="F3629" s="465"/>
      <c r="G3629" s="1007">
        <v>0</v>
      </c>
      <c r="H3629" s="465"/>
      <c r="I3629" s="465"/>
      <c r="J3629" s="1008">
        <v>0</v>
      </c>
      <c r="K3629" s="1009">
        <v>0</v>
      </c>
    </row>
    <row r="3630" spans="1:11" ht="20.25" customHeight="1" x14ac:dyDescent="0.25">
      <c r="A3630" s="1006" t="s">
        <v>3624</v>
      </c>
      <c r="B3630" s="1007">
        <v>2025</v>
      </c>
      <c r="C3630" s="1006" t="s">
        <v>1935</v>
      </c>
      <c r="D3630" s="1006" t="s">
        <v>3432</v>
      </c>
      <c r="E3630" s="1006" t="s">
        <v>9435</v>
      </c>
      <c r="F3630" s="465"/>
      <c r="G3630" s="1007">
        <v>0</v>
      </c>
      <c r="H3630" s="465"/>
      <c r="I3630" s="465"/>
      <c r="J3630" s="1008">
        <v>0</v>
      </c>
      <c r="K3630" s="1009">
        <v>0</v>
      </c>
    </row>
    <row r="3631" spans="1:11" ht="20.25" customHeight="1" x14ac:dyDescent="0.25">
      <c r="A3631" s="1006" t="s">
        <v>3624</v>
      </c>
      <c r="B3631" s="1007">
        <v>2025</v>
      </c>
      <c r="C3631" s="1006" t="s">
        <v>1935</v>
      </c>
      <c r="D3631" s="1006" t="s">
        <v>3433</v>
      </c>
      <c r="E3631" s="1006" t="s">
        <v>9436</v>
      </c>
      <c r="F3631" s="465"/>
      <c r="G3631" s="1007">
        <v>0</v>
      </c>
      <c r="H3631" s="465"/>
      <c r="I3631" s="465"/>
      <c r="J3631" s="1008">
        <v>0</v>
      </c>
      <c r="K3631" s="1009">
        <v>0</v>
      </c>
    </row>
    <row r="3632" spans="1:11" ht="20.25" customHeight="1" x14ac:dyDescent="0.25">
      <c r="A3632" s="1006" t="s">
        <v>3634</v>
      </c>
      <c r="B3632" s="1007">
        <v>2025</v>
      </c>
      <c r="C3632" s="1006" t="s">
        <v>1887</v>
      </c>
      <c r="D3632" s="1006" t="s">
        <v>138</v>
      </c>
      <c r="E3632" s="1006" t="s">
        <v>3635</v>
      </c>
      <c r="F3632" s="465"/>
      <c r="G3632" s="1007">
        <v>1</v>
      </c>
      <c r="H3632" s="465"/>
      <c r="I3632" s="465"/>
      <c r="J3632" s="1008">
        <v>0</v>
      </c>
      <c r="K3632" s="1009">
        <v>0</v>
      </c>
    </row>
    <row r="3633" spans="1:11" ht="20.25" customHeight="1" x14ac:dyDescent="0.25">
      <c r="A3633" s="1006" t="s">
        <v>3634</v>
      </c>
      <c r="B3633" s="1007">
        <v>2025</v>
      </c>
      <c r="C3633" s="1006" t="s">
        <v>1889</v>
      </c>
      <c r="D3633" s="1006" t="s">
        <v>139</v>
      </c>
      <c r="E3633" s="1006" t="s">
        <v>3636</v>
      </c>
      <c r="F3633" s="465"/>
      <c r="G3633" s="1007">
        <v>1</v>
      </c>
      <c r="H3633" s="465"/>
      <c r="I3633" s="465"/>
      <c r="J3633" s="1008">
        <v>0</v>
      </c>
      <c r="K3633" s="1009">
        <v>0</v>
      </c>
    </row>
    <row r="3634" spans="1:11" ht="20.25" customHeight="1" x14ac:dyDescent="0.25">
      <c r="A3634" s="1006" t="s">
        <v>3634</v>
      </c>
      <c r="B3634" s="1007">
        <v>2025</v>
      </c>
      <c r="C3634" s="1006" t="s">
        <v>1891</v>
      </c>
      <c r="D3634" s="1006" t="s">
        <v>1894</v>
      </c>
      <c r="E3634" s="1006" t="s">
        <v>3637</v>
      </c>
      <c r="F3634" s="465"/>
      <c r="G3634" s="1007">
        <v>0</v>
      </c>
      <c r="H3634" s="465"/>
      <c r="I3634" s="465"/>
      <c r="J3634" s="1008">
        <v>0</v>
      </c>
      <c r="K3634" s="1009">
        <v>0</v>
      </c>
    </row>
    <row r="3635" spans="1:11" ht="20.25" customHeight="1" x14ac:dyDescent="0.25">
      <c r="A3635" s="1006" t="s">
        <v>3634</v>
      </c>
      <c r="B3635" s="1007">
        <v>2025</v>
      </c>
      <c r="C3635" s="1006" t="s">
        <v>1913</v>
      </c>
      <c r="D3635" s="1006" t="s">
        <v>1914</v>
      </c>
      <c r="E3635" s="1006" t="s">
        <v>3638</v>
      </c>
      <c r="F3635" s="465"/>
      <c r="G3635" s="1007">
        <v>1</v>
      </c>
      <c r="H3635" s="465"/>
      <c r="I3635" s="465"/>
      <c r="J3635" s="1008">
        <v>0</v>
      </c>
      <c r="K3635" s="1009">
        <v>0</v>
      </c>
    </row>
    <row r="3636" spans="1:11" ht="20.25" customHeight="1" x14ac:dyDescent="0.25">
      <c r="A3636" s="1006" t="s">
        <v>3634</v>
      </c>
      <c r="B3636" s="1007">
        <v>2025</v>
      </c>
      <c r="C3636" s="1006" t="s">
        <v>1913</v>
      </c>
      <c r="D3636" s="1006" t="s">
        <v>1916</v>
      </c>
      <c r="E3636" s="1006" t="s">
        <v>3638</v>
      </c>
      <c r="F3636" s="465"/>
      <c r="G3636" s="1007">
        <v>0</v>
      </c>
      <c r="H3636" s="465"/>
      <c r="I3636" s="465"/>
      <c r="J3636" s="1008">
        <v>0</v>
      </c>
      <c r="K3636" s="1009">
        <v>0</v>
      </c>
    </row>
    <row r="3637" spans="1:11" ht="20.25" customHeight="1" x14ac:dyDescent="0.25">
      <c r="A3637" s="1006" t="s">
        <v>3634</v>
      </c>
      <c r="B3637" s="1007">
        <v>2025</v>
      </c>
      <c r="C3637" s="1006" t="s">
        <v>1913</v>
      </c>
      <c r="D3637" s="1006" t="s">
        <v>1917</v>
      </c>
      <c r="E3637" s="1006" t="s">
        <v>3638</v>
      </c>
      <c r="F3637" s="465"/>
      <c r="G3637" s="1007">
        <v>0</v>
      </c>
      <c r="H3637" s="465"/>
      <c r="I3637" s="465"/>
      <c r="J3637" s="1008">
        <v>0</v>
      </c>
      <c r="K3637" s="1009">
        <v>0</v>
      </c>
    </row>
    <row r="3638" spans="1:11" ht="20.25" customHeight="1" x14ac:dyDescent="0.25">
      <c r="A3638" s="1006" t="s">
        <v>3634</v>
      </c>
      <c r="B3638" s="1007">
        <v>2025</v>
      </c>
      <c r="C3638" s="1006" t="s">
        <v>1913</v>
      </c>
      <c r="D3638" s="1006" t="s">
        <v>1918</v>
      </c>
      <c r="E3638" s="1006" t="s">
        <v>3638</v>
      </c>
      <c r="F3638" s="465"/>
      <c r="G3638" s="1007">
        <v>0</v>
      </c>
      <c r="H3638" s="465"/>
      <c r="I3638" s="465"/>
      <c r="J3638" s="1008">
        <v>0</v>
      </c>
      <c r="K3638" s="1009">
        <v>0</v>
      </c>
    </row>
    <row r="3639" spans="1:11" ht="20.25" customHeight="1" x14ac:dyDescent="0.25">
      <c r="A3639" s="1006" t="s">
        <v>3634</v>
      </c>
      <c r="B3639" s="1007">
        <v>2025</v>
      </c>
      <c r="C3639" s="1006" t="s">
        <v>1913</v>
      </c>
      <c r="D3639" s="1006" t="s">
        <v>1919</v>
      </c>
      <c r="E3639" s="1006" t="s">
        <v>3638</v>
      </c>
      <c r="F3639" s="465"/>
      <c r="G3639" s="1007">
        <v>0</v>
      </c>
      <c r="H3639" s="465"/>
      <c r="I3639" s="465"/>
      <c r="J3639" s="1008">
        <v>0</v>
      </c>
      <c r="K3639" s="1009">
        <v>0</v>
      </c>
    </row>
    <row r="3640" spans="1:11" ht="20.25" customHeight="1" x14ac:dyDescent="0.25">
      <c r="A3640" s="1006" t="s">
        <v>3634</v>
      </c>
      <c r="B3640" s="1007">
        <v>2025</v>
      </c>
      <c r="C3640" s="1006" t="s">
        <v>1923</v>
      </c>
      <c r="D3640" s="1006" t="s">
        <v>143</v>
      </c>
      <c r="E3640" s="1006" t="s">
        <v>3639</v>
      </c>
      <c r="F3640" s="465"/>
      <c r="G3640" s="1007">
        <v>1</v>
      </c>
      <c r="H3640" s="465"/>
      <c r="I3640" s="465"/>
      <c r="J3640" s="1008">
        <v>0</v>
      </c>
      <c r="K3640" s="1009">
        <v>0</v>
      </c>
    </row>
    <row r="3641" spans="1:11" ht="20.25" customHeight="1" x14ac:dyDescent="0.25">
      <c r="A3641" s="1006" t="s">
        <v>3634</v>
      </c>
      <c r="B3641" s="1007">
        <v>2025</v>
      </c>
      <c r="C3641" s="1006" t="s">
        <v>1925</v>
      </c>
      <c r="D3641" s="1006" t="s">
        <v>144</v>
      </c>
      <c r="E3641" s="1006" t="s">
        <v>3640</v>
      </c>
      <c r="F3641" s="465"/>
      <c r="G3641" s="1007">
        <v>1</v>
      </c>
      <c r="H3641" s="465"/>
      <c r="I3641" s="465"/>
      <c r="J3641" s="1008">
        <v>0</v>
      </c>
      <c r="K3641" s="1009">
        <v>0</v>
      </c>
    </row>
    <row r="3642" spans="1:11" ht="20.25" customHeight="1" x14ac:dyDescent="0.25">
      <c r="A3642" s="1006" t="s">
        <v>3634</v>
      </c>
      <c r="B3642" s="1007">
        <v>2025</v>
      </c>
      <c r="C3642" s="1006" t="s">
        <v>1927</v>
      </c>
      <c r="D3642" s="1006" t="s">
        <v>1928</v>
      </c>
      <c r="E3642" s="1006" t="s">
        <v>3641</v>
      </c>
      <c r="F3642" s="465"/>
      <c r="G3642" s="1007">
        <v>1</v>
      </c>
      <c r="H3642" s="465"/>
      <c r="I3642" s="465"/>
      <c r="J3642" s="1008">
        <v>0</v>
      </c>
      <c r="K3642" s="1009">
        <v>0</v>
      </c>
    </row>
    <row r="3643" spans="1:11" ht="20.25" customHeight="1" x14ac:dyDescent="0.25">
      <c r="A3643" s="1006" t="s">
        <v>3634</v>
      </c>
      <c r="B3643" s="1007">
        <v>2025</v>
      </c>
      <c r="C3643" s="1006" t="s">
        <v>1930</v>
      </c>
      <c r="D3643" s="1006" t="s">
        <v>156</v>
      </c>
      <c r="E3643" s="1006" t="s">
        <v>3642</v>
      </c>
      <c r="F3643" s="465"/>
      <c r="G3643" s="1007">
        <v>1</v>
      </c>
      <c r="H3643" s="465"/>
      <c r="I3643" s="465"/>
      <c r="J3643" s="1008">
        <v>0</v>
      </c>
      <c r="K3643" s="1009">
        <v>0</v>
      </c>
    </row>
    <row r="3644" spans="1:11" ht="20.25" customHeight="1" x14ac:dyDescent="0.25">
      <c r="A3644" s="1006" t="s">
        <v>3634</v>
      </c>
      <c r="B3644" s="1007">
        <v>2025</v>
      </c>
      <c r="C3644" s="1006" t="s">
        <v>1932</v>
      </c>
      <c r="D3644" s="1006" t="s">
        <v>3423</v>
      </c>
      <c r="E3644" s="1006" t="s">
        <v>3643</v>
      </c>
      <c r="F3644" s="465"/>
      <c r="G3644" s="1007">
        <v>0</v>
      </c>
      <c r="H3644" s="465"/>
      <c r="I3644" s="465"/>
      <c r="J3644" s="1008">
        <v>0</v>
      </c>
      <c r="K3644" s="1009">
        <v>0</v>
      </c>
    </row>
    <row r="3645" spans="1:11" ht="20.25" customHeight="1" x14ac:dyDescent="0.25">
      <c r="A3645" s="1006" t="s">
        <v>3634</v>
      </c>
      <c r="B3645" s="1007">
        <v>2025</v>
      </c>
      <c r="C3645" s="1006" t="s">
        <v>1935</v>
      </c>
      <c r="D3645" s="1006" t="s">
        <v>1936</v>
      </c>
      <c r="E3645" s="1006" t="s">
        <v>9437</v>
      </c>
      <c r="F3645" s="465"/>
      <c r="G3645" s="1007">
        <v>1</v>
      </c>
      <c r="H3645" s="465"/>
      <c r="I3645" s="465"/>
      <c r="J3645" s="1008">
        <v>0</v>
      </c>
      <c r="K3645" s="1009">
        <v>0</v>
      </c>
    </row>
    <row r="3646" spans="1:11" ht="20.25" customHeight="1" x14ac:dyDescent="0.25">
      <c r="A3646" s="1006" t="s">
        <v>3634</v>
      </c>
      <c r="B3646" s="1007">
        <v>2025</v>
      </c>
      <c r="C3646" s="1006" t="s">
        <v>1935</v>
      </c>
      <c r="D3646" s="1006" t="s">
        <v>1937</v>
      </c>
      <c r="E3646" s="1006" t="s">
        <v>9438</v>
      </c>
      <c r="F3646" s="465"/>
      <c r="G3646" s="1007">
        <v>1</v>
      </c>
      <c r="H3646" s="465"/>
      <c r="I3646" s="465"/>
      <c r="J3646" s="1008">
        <v>0</v>
      </c>
      <c r="K3646" s="1009">
        <v>0</v>
      </c>
    </row>
    <row r="3647" spans="1:11" ht="20.25" customHeight="1" x14ac:dyDescent="0.25">
      <c r="A3647" s="1006" t="s">
        <v>3634</v>
      </c>
      <c r="B3647" s="1007">
        <v>2025</v>
      </c>
      <c r="C3647" s="1006" t="s">
        <v>1935</v>
      </c>
      <c r="D3647" s="1006" t="s">
        <v>1938</v>
      </c>
      <c r="E3647" s="1006" t="s">
        <v>9439</v>
      </c>
      <c r="F3647" s="465"/>
      <c r="G3647" s="1007">
        <v>1</v>
      </c>
      <c r="H3647" s="465"/>
      <c r="I3647" s="465"/>
      <c r="J3647" s="1008">
        <v>0</v>
      </c>
      <c r="K3647" s="1009">
        <v>0</v>
      </c>
    </row>
    <row r="3648" spans="1:11" ht="20.25" customHeight="1" x14ac:dyDescent="0.25">
      <c r="A3648" s="1006" t="s">
        <v>3634</v>
      </c>
      <c r="B3648" s="1007">
        <v>2025</v>
      </c>
      <c r="C3648" s="1006" t="s">
        <v>1935</v>
      </c>
      <c r="D3648" s="1006" t="s">
        <v>1939</v>
      </c>
      <c r="E3648" s="1006" t="s">
        <v>9440</v>
      </c>
      <c r="F3648" s="465"/>
      <c r="G3648" s="1007">
        <v>1</v>
      </c>
      <c r="H3648" s="465"/>
      <c r="I3648" s="465"/>
      <c r="J3648" s="1008">
        <v>0</v>
      </c>
      <c r="K3648" s="1009">
        <v>0</v>
      </c>
    </row>
    <row r="3649" spans="1:11" ht="20.25" customHeight="1" x14ac:dyDescent="0.25">
      <c r="A3649" s="1006" t="s">
        <v>3634</v>
      </c>
      <c r="B3649" s="1007">
        <v>2025</v>
      </c>
      <c r="C3649" s="1006" t="s">
        <v>1935</v>
      </c>
      <c r="D3649" s="1006" t="s">
        <v>1940</v>
      </c>
      <c r="E3649" s="1006" t="s">
        <v>9441</v>
      </c>
      <c r="F3649" s="465"/>
      <c r="G3649" s="1007">
        <v>1</v>
      </c>
      <c r="H3649" s="465"/>
      <c r="I3649" s="465"/>
      <c r="J3649" s="1008">
        <v>0</v>
      </c>
      <c r="K3649" s="1009">
        <v>0</v>
      </c>
    </row>
    <row r="3650" spans="1:11" ht="20.25" customHeight="1" x14ac:dyDescent="0.25">
      <c r="A3650" s="1006" t="s">
        <v>3634</v>
      </c>
      <c r="B3650" s="1007">
        <v>2025</v>
      </c>
      <c r="C3650" s="1006" t="s">
        <v>1935</v>
      </c>
      <c r="D3650" s="1006" t="s">
        <v>1941</v>
      </c>
      <c r="E3650" s="1006" t="s">
        <v>9442</v>
      </c>
      <c r="F3650" s="465"/>
      <c r="G3650" s="1007">
        <v>1</v>
      </c>
      <c r="H3650" s="465"/>
      <c r="I3650" s="465"/>
      <c r="J3650" s="1008">
        <v>0</v>
      </c>
      <c r="K3650" s="1009">
        <v>0</v>
      </c>
    </row>
    <row r="3651" spans="1:11" ht="20.25" customHeight="1" x14ac:dyDescent="0.25">
      <c r="A3651" s="1006" t="s">
        <v>3634</v>
      </c>
      <c r="B3651" s="1007">
        <v>2025</v>
      </c>
      <c r="C3651" s="1006" t="s">
        <v>1935</v>
      </c>
      <c r="D3651" s="1006" t="s">
        <v>1942</v>
      </c>
      <c r="E3651" s="1006" t="s">
        <v>9443</v>
      </c>
      <c r="F3651" s="465"/>
      <c r="G3651" s="1007">
        <v>1</v>
      </c>
      <c r="H3651" s="465"/>
      <c r="I3651" s="465"/>
      <c r="J3651" s="1008">
        <v>0</v>
      </c>
      <c r="K3651" s="1009">
        <v>0</v>
      </c>
    </row>
    <row r="3652" spans="1:11" ht="20.25" customHeight="1" x14ac:dyDescent="0.25">
      <c r="A3652" s="1006" t="s">
        <v>3634</v>
      </c>
      <c r="B3652" s="1007">
        <v>2025</v>
      </c>
      <c r="C3652" s="1006" t="s">
        <v>1935</v>
      </c>
      <c r="D3652" s="1006" t="s">
        <v>1943</v>
      </c>
      <c r="E3652" s="1006" t="s">
        <v>9444</v>
      </c>
      <c r="F3652" s="465"/>
      <c r="G3652" s="1007">
        <v>1</v>
      </c>
      <c r="H3652" s="465"/>
      <c r="I3652" s="465"/>
      <c r="J3652" s="1008">
        <v>0</v>
      </c>
      <c r="K3652" s="1009">
        <v>0</v>
      </c>
    </row>
    <row r="3653" spans="1:11" ht="20.25" customHeight="1" x14ac:dyDescent="0.25">
      <c r="A3653" s="1006" t="s">
        <v>3634</v>
      </c>
      <c r="B3653" s="1007">
        <v>2025</v>
      </c>
      <c r="C3653" s="1006" t="s">
        <v>1935</v>
      </c>
      <c r="D3653" s="1006" t="s">
        <v>1944</v>
      </c>
      <c r="E3653" s="1006" t="s">
        <v>9445</v>
      </c>
      <c r="F3653" s="465"/>
      <c r="G3653" s="1007">
        <v>1</v>
      </c>
      <c r="H3653" s="465"/>
      <c r="I3653" s="465"/>
      <c r="J3653" s="1008">
        <v>0</v>
      </c>
      <c r="K3653" s="1009">
        <v>0</v>
      </c>
    </row>
    <row r="3654" spans="1:11" ht="20.25" customHeight="1" x14ac:dyDescent="0.25">
      <c r="A3654" s="1006" t="s">
        <v>3634</v>
      </c>
      <c r="B3654" s="1007">
        <v>2025</v>
      </c>
      <c r="C3654" s="1006" t="s">
        <v>1935</v>
      </c>
      <c r="D3654" s="1006" t="s">
        <v>1945</v>
      </c>
      <c r="E3654" s="1006" t="s">
        <v>9446</v>
      </c>
      <c r="F3654" s="465"/>
      <c r="G3654" s="1007">
        <v>1</v>
      </c>
      <c r="H3654" s="465"/>
      <c r="I3654" s="465"/>
      <c r="J3654" s="1008">
        <v>0</v>
      </c>
      <c r="K3654" s="1009">
        <v>0</v>
      </c>
    </row>
    <row r="3655" spans="1:11" ht="20.25" customHeight="1" x14ac:dyDescent="0.25">
      <c r="A3655" s="1006" t="s">
        <v>3634</v>
      </c>
      <c r="B3655" s="1007">
        <v>2025</v>
      </c>
      <c r="C3655" s="1006" t="s">
        <v>1935</v>
      </c>
      <c r="D3655" s="1006" t="s">
        <v>1946</v>
      </c>
      <c r="E3655" s="1006" t="s">
        <v>9447</v>
      </c>
      <c r="F3655" s="465"/>
      <c r="G3655" s="1007">
        <v>1</v>
      </c>
      <c r="H3655" s="465"/>
      <c r="I3655" s="465"/>
      <c r="J3655" s="1008">
        <v>0</v>
      </c>
      <c r="K3655" s="1009">
        <v>0</v>
      </c>
    </row>
    <row r="3656" spans="1:11" ht="20.25" customHeight="1" x14ac:dyDescent="0.25">
      <c r="A3656" s="1006" t="s">
        <v>3634</v>
      </c>
      <c r="B3656" s="1007">
        <v>2025</v>
      </c>
      <c r="C3656" s="1006" t="s">
        <v>1935</v>
      </c>
      <c r="D3656" s="1006" t="s">
        <v>1947</v>
      </c>
      <c r="E3656" s="1006" t="s">
        <v>9448</v>
      </c>
      <c r="F3656" s="465"/>
      <c r="G3656" s="1007">
        <v>1</v>
      </c>
      <c r="H3656" s="465"/>
      <c r="I3656" s="465"/>
      <c r="J3656" s="1008">
        <v>0</v>
      </c>
      <c r="K3656" s="1009">
        <v>0</v>
      </c>
    </row>
    <row r="3657" spans="1:11" ht="20.25" customHeight="1" x14ac:dyDescent="0.25">
      <c r="A3657" s="1006" t="s">
        <v>3634</v>
      </c>
      <c r="B3657" s="1007">
        <v>2025</v>
      </c>
      <c r="C3657" s="1006" t="s">
        <v>1935</v>
      </c>
      <c r="D3657" s="1006" t="s">
        <v>1948</v>
      </c>
      <c r="E3657" s="1006" t="s">
        <v>9449</v>
      </c>
      <c r="F3657" s="465"/>
      <c r="G3657" s="1007">
        <v>1</v>
      </c>
      <c r="H3657" s="465"/>
      <c r="I3657" s="465"/>
      <c r="J3657" s="1008">
        <v>0</v>
      </c>
      <c r="K3657" s="1009">
        <v>0</v>
      </c>
    </row>
    <row r="3658" spans="1:11" ht="20.25" customHeight="1" x14ac:dyDescent="0.25">
      <c r="A3658" s="1006" t="s">
        <v>3634</v>
      </c>
      <c r="B3658" s="1007">
        <v>2025</v>
      </c>
      <c r="C3658" s="1006" t="s">
        <v>1935</v>
      </c>
      <c r="D3658" s="1006" t="s">
        <v>1949</v>
      </c>
      <c r="E3658" s="1006" t="s">
        <v>9450</v>
      </c>
      <c r="F3658" s="465"/>
      <c r="G3658" s="1007">
        <v>1</v>
      </c>
      <c r="H3658" s="465"/>
      <c r="I3658" s="465"/>
      <c r="J3658" s="1008">
        <v>0</v>
      </c>
      <c r="K3658" s="1009">
        <v>0</v>
      </c>
    </row>
    <row r="3659" spans="1:11" ht="20.25" customHeight="1" x14ac:dyDescent="0.25">
      <c r="A3659" s="1006" t="s">
        <v>3634</v>
      </c>
      <c r="B3659" s="1007">
        <v>2025</v>
      </c>
      <c r="C3659" s="1006" t="s">
        <v>1935</v>
      </c>
      <c r="D3659" s="1006" t="s">
        <v>1950</v>
      </c>
      <c r="E3659" s="1006" t="s">
        <v>9451</v>
      </c>
      <c r="F3659" s="465"/>
      <c r="G3659" s="1007">
        <v>1</v>
      </c>
      <c r="H3659" s="465"/>
      <c r="I3659" s="465"/>
      <c r="J3659" s="1008">
        <v>0</v>
      </c>
      <c r="K3659" s="1009">
        <v>0</v>
      </c>
    </row>
    <row r="3660" spans="1:11" ht="20.25" customHeight="1" x14ac:dyDescent="0.25">
      <c r="A3660" s="1006" t="s">
        <v>3634</v>
      </c>
      <c r="B3660" s="1007">
        <v>2025</v>
      </c>
      <c r="C3660" s="1006" t="s">
        <v>1935</v>
      </c>
      <c r="D3660" s="1006" t="s">
        <v>1951</v>
      </c>
      <c r="E3660" s="1006" t="s">
        <v>9452</v>
      </c>
      <c r="F3660" s="465"/>
      <c r="G3660" s="1007">
        <v>1</v>
      </c>
      <c r="H3660" s="465"/>
      <c r="I3660" s="465"/>
      <c r="J3660" s="1008">
        <v>0</v>
      </c>
      <c r="K3660" s="1009">
        <v>0</v>
      </c>
    </row>
    <row r="3661" spans="1:11" ht="20.25" customHeight="1" x14ac:dyDescent="0.25">
      <c r="A3661" s="1006" t="s">
        <v>3634</v>
      </c>
      <c r="B3661" s="1007">
        <v>2025</v>
      </c>
      <c r="C3661" s="1006" t="s">
        <v>1935</v>
      </c>
      <c r="D3661" s="1006" t="s">
        <v>7801</v>
      </c>
      <c r="E3661" s="1006" t="s">
        <v>9453</v>
      </c>
      <c r="F3661" s="465"/>
      <c r="G3661" s="1007">
        <v>1</v>
      </c>
      <c r="H3661" s="465"/>
      <c r="I3661" s="465"/>
      <c r="J3661" s="1008">
        <v>0</v>
      </c>
      <c r="K3661" s="1009">
        <v>0</v>
      </c>
    </row>
    <row r="3662" spans="1:11" ht="20.25" customHeight="1" x14ac:dyDescent="0.25">
      <c r="A3662" s="1006" t="s">
        <v>3634</v>
      </c>
      <c r="B3662" s="1007">
        <v>2025</v>
      </c>
      <c r="C3662" s="1006" t="s">
        <v>1935</v>
      </c>
      <c r="D3662" s="1006" t="s">
        <v>3425</v>
      </c>
      <c r="E3662" s="1006" t="s">
        <v>9454</v>
      </c>
      <c r="F3662" s="465"/>
      <c r="G3662" s="1007">
        <v>0</v>
      </c>
      <c r="H3662" s="465"/>
      <c r="I3662" s="465"/>
      <c r="J3662" s="1008">
        <v>0</v>
      </c>
      <c r="K3662" s="1009">
        <v>0</v>
      </c>
    </row>
    <row r="3663" spans="1:11" ht="20.25" customHeight="1" x14ac:dyDescent="0.25">
      <c r="A3663" s="1006" t="s">
        <v>3634</v>
      </c>
      <c r="B3663" s="1007">
        <v>2025</v>
      </c>
      <c r="C3663" s="1006" t="s">
        <v>1935</v>
      </c>
      <c r="D3663" s="1006" t="s">
        <v>3426</v>
      </c>
      <c r="E3663" s="1006" t="s">
        <v>9455</v>
      </c>
      <c r="F3663" s="465"/>
      <c r="G3663" s="1007">
        <v>0</v>
      </c>
      <c r="H3663" s="465"/>
      <c r="I3663" s="465"/>
      <c r="J3663" s="1008">
        <v>0</v>
      </c>
      <c r="K3663" s="1009">
        <v>0</v>
      </c>
    </row>
    <row r="3664" spans="1:11" ht="20.25" customHeight="1" x14ac:dyDescent="0.25">
      <c r="A3664" s="1006" t="s">
        <v>3634</v>
      </c>
      <c r="B3664" s="1007">
        <v>2025</v>
      </c>
      <c r="C3664" s="1006" t="s">
        <v>1935</v>
      </c>
      <c r="D3664" s="1006" t="s">
        <v>3427</v>
      </c>
      <c r="E3664" s="1006" t="s">
        <v>9456</v>
      </c>
      <c r="F3664" s="465"/>
      <c r="G3664" s="1007">
        <v>0</v>
      </c>
      <c r="H3664" s="465"/>
      <c r="I3664" s="465"/>
      <c r="J3664" s="1008">
        <v>0</v>
      </c>
      <c r="K3664" s="1009">
        <v>0</v>
      </c>
    </row>
    <row r="3665" spans="1:11" ht="20.25" customHeight="1" x14ac:dyDescent="0.25">
      <c r="A3665" s="1006" t="s">
        <v>3634</v>
      </c>
      <c r="B3665" s="1007">
        <v>2025</v>
      </c>
      <c r="C3665" s="1006" t="s">
        <v>1935</v>
      </c>
      <c r="D3665" s="1006" t="s">
        <v>3428</v>
      </c>
      <c r="E3665" s="1006" t="s">
        <v>9454</v>
      </c>
      <c r="F3665" s="465"/>
      <c r="G3665" s="1007">
        <v>0</v>
      </c>
      <c r="H3665" s="465"/>
      <c r="I3665" s="465"/>
      <c r="J3665" s="1008">
        <v>0</v>
      </c>
      <c r="K3665" s="1009">
        <v>0</v>
      </c>
    </row>
    <row r="3666" spans="1:11" ht="20.25" customHeight="1" x14ac:dyDescent="0.25">
      <c r="A3666" s="1006" t="s">
        <v>3634</v>
      </c>
      <c r="B3666" s="1007">
        <v>2025</v>
      </c>
      <c r="C3666" s="1006" t="s">
        <v>1935</v>
      </c>
      <c r="D3666" s="1006" t="s">
        <v>3429</v>
      </c>
      <c r="E3666" s="1006" t="s">
        <v>9455</v>
      </c>
      <c r="F3666" s="465"/>
      <c r="G3666" s="1007">
        <v>0</v>
      </c>
      <c r="H3666" s="465"/>
      <c r="I3666" s="465"/>
      <c r="J3666" s="1008">
        <v>0</v>
      </c>
      <c r="K3666" s="1009">
        <v>0</v>
      </c>
    </row>
    <row r="3667" spans="1:11" ht="20.25" customHeight="1" x14ac:dyDescent="0.25">
      <c r="A3667" s="1006" t="s">
        <v>3634</v>
      </c>
      <c r="B3667" s="1007">
        <v>2025</v>
      </c>
      <c r="C3667" s="1006" t="s">
        <v>1935</v>
      </c>
      <c r="D3667" s="1006" t="s">
        <v>3430</v>
      </c>
      <c r="E3667" s="1006" t="s">
        <v>9456</v>
      </c>
      <c r="F3667" s="465"/>
      <c r="G3667" s="1007">
        <v>0</v>
      </c>
      <c r="H3667" s="465"/>
      <c r="I3667" s="465"/>
      <c r="J3667" s="1008">
        <v>0</v>
      </c>
      <c r="K3667" s="1009">
        <v>0</v>
      </c>
    </row>
    <row r="3668" spans="1:11" ht="20.25" customHeight="1" x14ac:dyDescent="0.25">
      <c r="A3668" s="1006" t="s">
        <v>3634</v>
      </c>
      <c r="B3668" s="1007">
        <v>2025</v>
      </c>
      <c r="C3668" s="1006" t="s">
        <v>1935</v>
      </c>
      <c r="D3668" s="1006" t="s">
        <v>3431</v>
      </c>
      <c r="E3668" s="1006" t="s">
        <v>9454</v>
      </c>
      <c r="F3668" s="465"/>
      <c r="G3668" s="1007">
        <v>0</v>
      </c>
      <c r="H3668" s="465"/>
      <c r="I3668" s="465"/>
      <c r="J3668" s="1008">
        <v>0</v>
      </c>
      <c r="K3668" s="1009">
        <v>0</v>
      </c>
    </row>
    <row r="3669" spans="1:11" ht="20.25" customHeight="1" x14ac:dyDescent="0.25">
      <c r="A3669" s="1006" t="s">
        <v>3634</v>
      </c>
      <c r="B3669" s="1007">
        <v>2025</v>
      </c>
      <c r="C3669" s="1006" t="s">
        <v>1935</v>
      </c>
      <c r="D3669" s="1006" t="s">
        <v>3432</v>
      </c>
      <c r="E3669" s="1006" t="s">
        <v>9455</v>
      </c>
      <c r="F3669" s="465"/>
      <c r="G3669" s="1007">
        <v>0</v>
      </c>
      <c r="H3669" s="465"/>
      <c r="I3669" s="465"/>
      <c r="J3669" s="1008">
        <v>0</v>
      </c>
      <c r="K3669" s="1009">
        <v>0</v>
      </c>
    </row>
    <row r="3670" spans="1:11" ht="20.25" customHeight="1" x14ac:dyDescent="0.25">
      <c r="A3670" s="1006" t="s">
        <v>3634</v>
      </c>
      <c r="B3670" s="1007">
        <v>2025</v>
      </c>
      <c r="C3670" s="1006" t="s">
        <v>1935</v>
      </c>
      <c r="D3670" s="1006" t="s">
        <v>3433</v>
      </c>
      <c r="E3670" s="1006" t="s">
        <v>9456</v>
      </c>
      <c r="F3670" s="465"/>
      <c r="G3670" s="1007">
        <v>0</v>
      </c>
      <c r="H3670" s="465"/>
      <c r="I3670" s="465"/>
      <c r="J3670" s="1008">
        <v>0</v>
      </c>
      <c r="K3670" s="1009">
        <v>0</v>
      </c>
    </row>
    <row r="3671" spans="1:11" ht="20.25" customHeight="1" x14ac:dyDescent="0.25">
      <c r="A3671" s="1006" t="s">
        <v>3644</v>
      </c>
      <c r="B3671" s="1007">
        <v>2025</v>
      </c>
      <c r="C3671" s="1006" t="s">
        <v>1887</v>
      </c>
      <c r="D3671" s="1006" t="s">
        <v>138</v>
      </c>
      <c r="E3671" s="1006" t="s">
        <v>3645</v>
      </c>
      <c r="F3671" s="465"/>
      <c r="G3671" s="1007">
        <v>1</v>
      </c>
      <c r="H3671" s="465"/>
      <c r="I3671" s="465"/>
      <c r="J3671" s="1008">
        <v>0</v>
      </c>
      <c r="K3671" s="1009">
        <v>0</v>
      </c>
    </row>
    <row r="3672" spans="1:11" ht="20.25" customHeight="1" x14ac:dyDescent="0.25">
      <c r="A3672" s="1006" t="s">
        <v>3644</v>
      </c>
      <c r="B3672" s="1007">
        <v>2025</v>
      </c>
      <c r="C3672" s="1006" t="s">
        <v>1889</v>
      </c>
      <c r="D3672" s="1006" t="s">
        <v>139</v>
      </c>
      <c r="E3672" s="1006" t="s">
        <v>3646</v>
      </c>
      <c r="F3672" s="465"/>
      <c r="G3672" s="1007">
        <v>1</v>
      </c>
      <c r="H3672" s="465"/>
      <c r="I3672" s="465"/>
      <c r="J3672" s="1008">
        <v>0</v>
      </c>
      <c r="K3672" s="1009">
        <v>0</v>
      </c>
    </row>
    <row r="3673" spans="1:11" ht="20.25" customHeight="1" x14ac:dyDescent="0.25">
      <c r="A3673" s="1006" t="s">
        <v>3644</v>
      </c>
      <c r="B3673" s="1007">
        <v>2025</v>
      </c>
      <c r="C3673" s="1006" t="s">
        <v>1891</v>
      </c>
      <c r="D3673" s="1006" t="s">
        <v>1894</v>
      </c>
      <c r="E3673" s="1006" t="s">
        <v>3647</v>
      </c>
      <c r="F3673" s="465"/>
      <c r="G3673" s="1007">
        <v>0</v>
      </c>
      <c r="H3673" s="465"/>
      <c r="I3673" s="465"/>
      <c r="J3673" s="1008">
        <v>0</v>
      </c>
      <c r="K3673" s="1009">
        <v>0</v>
      </c>
    </row>
    <row r="3674" spans="1:11" ht="20.25" customHeight="1" x14ac:dyDescent="0.25">
      <c r="A3674" s="1006" t="s">
        <v>3644</v>
      </c>
      <c r="B3674" s="1007">
        <v>2025</v>
      </c>
      <c r="C3674" s="1006" t="s">
        <v>1913</v>
      </c>
      <c r="D3674" s="1006" t="s">
        <v>1914</v>
      </c>
      <c r="E3674" s="1006" t="s">
        <v>3648</v>
      </c>
      <c r="F3674" s="465"/>
      <c r="G3674" s="1007">
        <v>1</v>
      </c>
      <c r="H3674" s="465"/>
      <c r="I3674" s="465"/>
      <c r="J3674" s="1008">
        <v>0</v>
      </c>
      <c r="K3674" s="1009">
        <v>0</v>
      </c>
    </row>
    <row r="3675" spans="1:11" ht="20.25" customHeight="1" x14ac:dyDescent="0.25">
      <c r="A3675" s="1006" t="s">
        <v>3644</v>
      </c>
      <c r="B3675" s="1007">
        <v>2025</v>
      </c>
      <c r="C3675" s="1006" t="s">
        <v>1913</v>
      </c>
      <c r="D3675" s="1006" t="s">
        <v>1916</v>
      </c>
      <c r="E3675" s="1006" t="s">
        <v>3648</v>
      </c>
      <c r="F3675" s="465"/>
      <c r="G3675" s="1007">
        <v>0</v>
      </c>
      <c r="H3675" s="465"/>
      <c r="I3675" s="465"/>
      <c r="J3675" s="1008">
        <v>0</v>
      </c>
      <c r="K3675" s="1009">
        <v>0</v>
      </c>
    </row>
    <row r="3676" spans="1:11" ht="20.25" customHeight="1" x14ac:dyDescent="0.25">
      <c r="A3676" s="1006" t="s">
        <v>3644</v>
      </c>
      <c r="B3676" s="1007">
        <v>2025</v>
      </c>
      <c r="C3676" s="1006" t="s">
        <v>1913</v>
      </c>
      <c r="D3676" s="1006" t="s">
        <v>1917</v>
      </c>
      <c r="E3676" s="1006" t="s">
        <v>3648</v>
      </c>
      <c r="F3676" s="465"/>
      <c r="G3676" s="1007">
        <v>0</v>
      </c>
      <c r="H3676" s="465"/>
      <c r="I3676" s="465"/>
      <c r="J3676" s="1008">
        <v>0</v>
      </c>
      <c r="K3676" s="1009">
        <v>0</v>
      </c>
    </row>
    <row r="3677" spans="1:11" ht="20.25" customHeight="1" x14ac:dyDescent="0.25">
      <c r="A3677" s="1006" t="s">
        <v>3644</v>
      </c>
      <c r="B3677" s="1007">
        <v>2025</v>
      </c>
      <c r="C3677" s="1006" t="s">
        <v>1913</v>
      </c>
      <c r="D3677" s="1006" t="s">
        <v>1918</v>
      </c>
      <c r="E3677" s="1006" t="s">
        <v>3648</v>
      </c>
      <c r="F3677" s="465"/>
      <c r="G3677" s="1007">
        <v>0</v>
      </c>
      <c r="H3677" s="465"/>
      <c r="I3677" s="465"/>
      <c r="J3677" s="1008">
        <v>0</v>
      </c>
      <c r="K3677" s="1009">
        <v>0</v>
      </c>
    </row>
    <row r="3678" spans="1:11" ht="20.25" customHeight="1" x14ac:dyDescent="0.25">
      <c r="A3678" s="1006" t="s">
        <v>3644</v>
      </c>
      <c r="B3678" s="1007">
        <v>2025</v>
      </c>
      <c r="C3678" s="1006" t="s">
        <v>1913</v>
      </c>
      <c r="D3678" s="1006" t="s">
        <v>1919</v>
      </c>
      <c r="E3678" s="1006" t="s">
        <v>3648</v>
      </c>
      <c r="F3678" s="465"/>
      <c r="G3678" s="1007">
        <v>0</v>
      </c>
      <c r="H3678" s="465"/>
      <c r="I3678" s="465"/>
      <c r="J3678" s="1008">
        <v>0</v>
      </c>
      <c r="K3678" s="1009">
        <v>0</v>
      </c>
    </row>
    <row r="3679" spans="1:11" ht="20.25" customHeight="1" x14ac:dyDescent="0.25">
      <c r="A3679" s="1006" t="s">
        <v>3644</v>
      </c>
      <c r="B3679" s="1007">
        <v>2025</v>
      </c>
      <c r="C3679" s="1006" t="s">
        <v>1923</v>
      </c>
      <c r="D3679" s="1006" t="s">
        <v>143</v>
      </c>
      <c r="E3679" s="1006" t="s">
        <v>3649</v>
      </c>
      <c r="F3679" s="465"/>
      <c r="G3679" s="1007">
        <v>1</v>
      </c>
      <c r="H3679" s="465"/>
      <c r="I3679" s="465"/>
      <c r="J3679" s="1008">
        <v>0</v>
      </c>
      <c r="K3679" s="1009">
        <v>0</v>
      </c>
    </row>
    <row r="3680" spans="1:11" ht="20.25" customHeight="1" x14ac:dyDescent="0.25">
      <c r="A3680" s="1006" t="s">
        <v>3644</v>
      </c>
      <c r="B3680" s="1007">
        <v>2025</v>
      </c>
      <c r="C3680" s="1006" t="s">
        <v>1925</v>
      </c>
      <c r="D3680" s="1006" t="s">
        <v>144</v>
      </c>
      <c r="E3680" s="1006" t="s">
        <v>3650</v>
      </c>
      <c r="F3680" s="465"/>
      <c r="G3680" s="1007">
        <v>1</v>
      </c>
      <c r="H3680" s="465"/>
      <c r="I3680" s="465"/>
      <c r="J3680" s="1008">
        <v>0</v>
      </c>
      <c r="K3680" s="1009">
        <v>0</v>
      </c>
    </row>
    <row r="3681" spans="1:11" ht="20.25" customHeight="1" x14ac:dyDescent="0.25">
      <c r="A3681" s="1006" t="s">
        <v>3644</v>
      </c>
      <c r="B3681" s="1007">
        <v>2025</v>
      </c>
      <c r="C3681" s="1006" t="s">
        <v>1927</v>
      </c>
      <c r="D3681" s="1006" t="s">
        <v>1928</v>
      </c>
      <c r="E3681" s="1006" t="s">
        <v>3651</v>
      </c>
      <c r="F3681" s="465"/>
      <c r="G3681" s="1007">
        <v>1</v>
      </c>
      <c r="H3681" s="465"/>
      <c r="I3681" s="465"/>
      <c r="J3681" s="1008">
        <v>0</v>
      </c>
      <c r="K3681" s="1009">
        <v>0</v>
      </c>
    </row>
    <row r="3682" spans="1:11" ht="20.25" customHeight="1" x14ac:dyDescent="0.25">
      <c r="A3682" s="1006" t="s">
        <v>3644</v>
      </c>
      <c r="B3682" s="1007">
        <v>2025</v>
      </c>
      <c r="C3682" s="1006" t="s">
        <v>1930</v>
      </c>
      <c r="D3682" s="1006" t="s">
        <v>156</v>
      </c>
      <c r="E3682" s="1006" t="s">
        <v>3652</v>
      </c>
      <c r="F3682" s="465"/>
      <c r="G3682" s="1007">
        <v>1</v>
      </c>
      <c r="H3682" s="465"/>
      <c r="I3682" s="465"/>
      <c r="J3682" s="1008">
        <v>0</v>
      </c>
      <c r="K3682" s="1009">
        <v>0</v>
      </c>
    </row>
    <row r="3683" spans="1:11" ht="20.25" customHeight="1" x14ac:dyDescent="0.25">
      <c r="A3683" s="1006" t="s">
        <v>3644</v>
      </c>
      <c r="B3683" s="1007">
        <v>2025</v>
      </c>
      <c r="C3683" s="1006" t="s">
        <v>1932</v>
      </c>
      <c r="D3683" s="1006" t="s">
        <v>3423</v>
      </c>
      <c r="E3683" s="1006" t="s">
        <v>3653</v>
      </c>
      <c r="F3683" s="465"/>
      <c r="G3683" s="1007">
        <v>0</v>
      </c>
      <c r="H3683" s="465"/>
      <c r="I3683" s="465"/>
      <c r="J3683" s="1008">
        <v>0</v>
      </c>
      <c r="K3683" s="1009">
        <v>0</v>
      </c>
    </row>
    <row r="3684" spans="1:11" ht="20.25" customHeight="1" x14ac:dyDescent="0.25">
      <c r="A3684" s="1006" t="s">
        <v>3644</v>
      </c>
      <c r="B3684" s="1007">
        <v>2025</v>
      </c>
      <c r="C3684" s="1006" t="s">
        <v>1935</v>
      </c>
      <c r="D3684" s="1006" t="s">
        <v>1936</v>
      </c>
      <c r="E3684" s="1006" t="s">
        <v>9457</v>
      </c>
      <c r="F3684" s="465"/>
      <c r="G3684" s="1007">
        <v>1</v>
      </c>
      <c r="H3684" s="465"/>
      <c r="I3684" s="465"/>
      <c r="J3684" s="1008">
        <v>0</v>
      </c>
      <c r="K3684" s="1009">
        <v>0</v>
      </c>
    </row>
    <row r="3685" spans="1:11" ht="20.25" customHeight="1" x14ac:dyDescent="0.25">
      <c r="A3685" s="1006" t="s">
        <v>3644</v>
      </c>
      <c r="B3685" s="1007">
        <v>2025</v>
      </c>
      <c r="C3685" s="1006" t="s">
        <v>1935</v>
      </c>
      <c r="D3685" s="1006" t="s">
        <v>1937</v>
      </c>
      <c r="E3685" s="1006" t="s">
        <v>9458</v>
      </c>
      <c r="F3685" s="465"/>
      <c r="G3685" s="1007">
        <v>1</v>
      </c>
      <c r="H3685" s="465"/>
      <c r="I3685" s="465"/>
      <c r="J3685" s="1008">
        <v>0</v>
      </c>
      <c r="K3685" s="1009">
        <v>0</v>
      </c>
    </row>
    <row r="3686" spans="1:11" ht="20.25" customHeight="1" x14ac:dyDescent="0.25">
      <c r="A3686" s="1006" t="s">
        <v>3644</v>
      </c>
      <c r="B3686" s="1007">
        <v>2025</v>
      </c>
      <c r="C3686" s="1006" t="s">
        <v>1935</v>
      </c>
      <c r="D3686" s="1006" t="s">
        <v>1938</v>
      </c>
      <c r="E3686" s="1006" t="s">
        <v>9459</v>
      </c>
      <c r="F3686" s="465"/>
      <c r="G3686" s="1007">
        <v>1</v>
      </c>
      <c r="H3686" s="465"/>
      <c r="I3686" s="465"/>
      <c r="J3686" s="1008">
        <v>0</v>
      </c>
      <c r="K3686" s="1009">
        <v>0</v>
      </c>
    </row>
    <row r="3687" spans="1:11" ht="20.25" customHeight="1" x14ac:dyDescent="0.25">
      <c r="A3687" s="1006" t="s">
        <v>3644</v>
      </c>
      <c r="B3687" s="1007">
        <v>2025</v>
      </c>
      <c r="C3687" s="1006" t="s">
        <v>1935</v>
      </c>
      <c r="D3687" s="1006" t="s">
        <v>1939</v>
      </c>
      <c r="E3687" s="1006" t="s">
        <v>9460</v>
      </c>
      <c r="F3687" s="465"/>
      <c r="G3687" s="1007">
        <v>1</v>
      </c>
      <c r="H3687" s="465"/>
      <c r="I3687" s="465"/>
      <c r="J3687" s="1008">
        <v>0</v>
      </c>
      <c r="K3687" s="1009">
        <v>0</v>
      </c>
    </row>
    <row r="3688" spans="1:11" ht="20.25" customHeight="1" x14ac:dyDescent="0.25">
      <c r="A3688" s="1006" t="s">
        <v>3644</v>
      </c>
      <c r="B3688" s="1007">
        <v>2025</v>
      </c>
      <c r="C3688" s="1006" t="s">
        <v>1935</v>
      </c>
      <c r="D3688" s="1006" t="s">
        <v>1940</v>
      </c>
      <c r="E3688" s="1006" t="s">
        <v>9461</v>
      </c>
      <c r="F3688" s="465"/>
      <c r="G3688" s="1007">
        <v>1</v>
      </c>
      <c r="H3688" s="465"/>
      <c r="I3688" s="465"/>
      <c r="J3688" s="1008">
        <v>0</v>
      </c>
      <c r="K3688" s="1009">
        <v>0</v>
      </c>
    </row>
    <row r="3689" spans="1:11" ht="20.25" customHeight="1" x14ac:dyDescent="0.25">
      <c r="A3689" s="1006" t="s">
        <v>3644</v>
      </c>
      <c r="B3689" s="1007">
        <v>2025</v>
      </c>
      <c r="C3689" s="1006" t="s">
        <v>1935</v>
      </c>
      <c r="D3689" s="1006" t="s">
        <v>1941</v>
      </c>
      <c r="E3689" s="1006" t="s">
        <v>9462</v>
      </c>
      <c r="F3689" s="465"/>
      <c r="G3689" s="1007">
        <v>1</v>
      </c>
      <c r="H3689" s="465"/>
      <c r="I3689" s="465"/>
      <c r="J3689" s="1008">
        <v>0</v>
      </c>
      <c r="K3689" s="1009">
        <v>0</v>
      </c>
    </row>
    <row r="3690" spans="1:11" ht="20.25" customHeight="1" x14ac:dyDescent="0.25">
      <c r="A3690" s="1006" t="s">
        <v>3644</v>
      </c>
      <c r="B3690" s="1007">
        <v>2025</v>
      </c>
      <c r="C3690" s="1006" t="s">
        <v>1935</v>
      </c>
      <c r="D3690" s="1006" t="s">
        <v>1942</v>
      </c>
      <c r="E3690" s="1006" t="s">
        <v>9463</v>
      </c>
      <c r="F3690" s="465"/>
      <c r="G3690" s="1007">
        <v>1</v>
      </c>
      <c r="H3690" s="465"/>
      <c r="I3690" s="465"/>
      <c r="J3690" s="1008">
        <v>0</v>
      </c>
      <c r="K3690" s="1009">
        <v>0</v>
      </c>
    </row>
    <row r="3691" spans="1:11" ht="20.25" customHeight="1" x14ac:dyDescent="0.25">
      <c r="A3691" s="1006" t="s">
        <v>3644</v>
      </c>
      <c r="B3691" s="1007">
        <v>2025</v>
      </c>
      <c r="C3691" s="1006" t="s">
        <v>1935</v>
      </c>
      <c r="D3691" s="1006" t="s">
        <v>1943</v>
      </c>
      <c r="E3691" s="1006" t="s">
        <v>9464</v>
      </c>
      <c r="F3691" s="465"/>
      <c r="G3691" s="1007">
        <v>1</v>
      </c>
      <c r="H3691" s="465"/>
      <c r="I3691" s="465"/>
      <c r="J3691" s="1008">
        <v>0</v>
      </c>
      <c r="K3691" s="1009">
        <v>0</v>
      </c>
    </row>
    <row r="3692" spans="1:11" ht="20.25" customHeight="1" x14ac:dyDescent="0.25">
      <c r="A3692" s="1006" t="s">
        <v>3644</v>
      </c>
      <c r="B3692" s="1007">
        <v>2025</v>
      </c>
      <c r="C3692" s="1006" t="s">
        <v>1935</v>
      </c>
      <c r="D3692" s="1006" t="s">
        <v>1944</v>
      </c>
      <c r="E3692" s="1006" t="s">
        <v>9465</v>
      </c>
      <c r="F3692" s="465"/>
      <c r="G3692" s="1007">
        <v>1</v>
      </c>
      <c r="H3692" s="465"/>
      <c r="I3692" s="465"/>
      <c r="J3692" s="1008">
        <v>0</v>
      </c>
      <c r="K3692" s="1009">
        <v>0</v>
      </c>
    </row>
    <row r="3693" spans="1:11" ht="20.25" customHeight="1" x14ac:dyDescent="0.25">
      <c r="A3693" s="1006" t="s">
        <v>3644</v>
      </c>
      <c r="B3693" s="1007">
        <v>2025</v>
      </c>
      <c r="C3693" s="1006" t="s">
        <v>1935</v>
      </c>
      <c r="D3693" s="1006" t="s">
        <v>1945</v>
      </c>
      <c r="E3693" s="1006" t="s">
        <v>9466</v>
      </c>
      <c r="F3693" s="465"/>
      <c r="G3693" s="1007">
        <v>1</v>
      </c>
      <c r="H3693" s="465"/>
      <c r="I3693" s="465"/>
      <c r="J3693" s="1008">
        <v>0</v>
      </c>
      <c r="K3693" s="1009">
        <v>0</v>
      </c>
    </row>
    <row r="3694" spans="1:11" ht="20.25" customHeight="1" x14ac:dyDescent="0.25">
      <c r="A3694" s="1006" t="s">
        <v>3644</v>
      </c>
      <c r="B3694" s="1007">
        <v>2025</v>
      </c>
      <c r="C3694" s="1006" t="s">
        <v>1935</v>
      </c>
      <c r="D3694" s="1006" t="s">
        <v>1946</v>
      </c>
      <c r="E3694" s="1006" t="s">
        <v>9467</v>
      </c>
      <c r="F3694" s="465"/>
      <c r="G3694" s="1007">
        <v>1</v>
      </c>
      <c r="H3694" s="465"/>
      <c r="I3694" s="465"/>
      <c r="J3694" s="1008">
        <v>0</v>
      </c>
      <c r="K3694" s="1009">
        <v>0</v>
      </c>
    </row>
    <row r="3695" spans="1:11" ht="20.25" customHeight="1" x14ac:dyDescent="0.25">
      <c r="A3695" s="1006" t="s">
        <v>3644</v>
      </c>
      <c r="B3695" s="1007">
        <v>2025</v>
      </c>
      <c r="C3695" s="1006" t="s">
        <v>1935</v>
      </c>
      <c r="D3695" s="1006" t="s">
        <v>1947</v>
      </c>
      <c r="E3695" s="1006" t="s">
        <v>9468</v>
      </c>
      <c r="F3695" s="465"/>
      <c r="G3695" s="1007">
        <v>1</v>
      </c>
      <c r="H3695" s="465"/>
      <c r="I3695" s="465"/>
      <c r="J3695" s="1008">
        <v>0</v>
      </c>
      <c r="K3695" s="1009">
        <v>0</v>
      </c>
    </row>
    <row r="3696" spans="1:11" ht="20.25" customHeight="1" x14ac:dyDescent="0.25">
      <c r="A3696" s="1006" t="s">
        <v>3644</v>
      </c>
      <c r="B3696" s="1007">
        <v>2025</v>
      </c>
      <c r="C3696" s="1006" t="s">
        <v>1935</v>
      </c>
      <c r="D3696" s="1006" t="s">
        <v>1948</v>
      </c>
      <c r="E3696" s="1006" t="s">
        <v>9469</v>
      </c>
      <c r="F3696" s="465"/>
      <c r="G3696" s="1007">
        <v>1</v>
      </c>
      <c r="H3696" s="465"/>
      <c r="I3696" s="465"/>
      <c r="J3696" s="1008">
        <v>0</v>
      </c>
      <c r="K3696" s="1009">
        <v>0</v>
      </c>
    </row>
    <row r="3697" spans="1:11" ht="20.25" customHeight="1" x14ac:dyDescent="0.25">
      <c r="A3697" s="1006" t="s">
        <v>3644</v>
      </c>
      <c r="B3697" s="1007">
        <v>2025</v>
      </c>
      <c r="C3697" s="1006" t="s">
        <v>1935</v>
      </c>
      <c r="D3697" s="1006" t="s">
        <v>1949</v>
      </c>
      <c r="E3697" s="1006" t="s">
        <v>9470</v>
      </c>
      <c r="F3697" s="465"/>
      <c r="G3697" s="1007">
        <v>1</v>
      </c>
      <c r="H3697" s="465"/>
      <c r="I3697" s="465"/>
      <c r="J3697" s="1008">
        <v>0</v>
      </c>
      <c r="K3697" s="1009">
        <v>0</v>
      </c>
    </row>
    <row r="3698" spans="1:11" ht="20.25" customHeight="1" x14ac:dyDescent="0.25">
      <c r="A3698" s="1006" t="s">
        <v>3644</v>
      </c>
      <c r="B3698" s="1007">
        <v>2025</v>
      </c>
      <c r="C3698" s="1006" t="s">
        <v>1935</v>
      </c>
      <c r="D3698" s="1006" t="s">
        <v>1950</v>
      </c>
      <c r="E3698" s="1006" t="s">
        <v>9471</v>
      </c>
      <c r="F3698" s="465"/>
      <c r="G3698" s="1007">
        <v>1</v>
      </c>
      <c r="H3698" s="465"/>
      <c r="I3698" s="465"/>
      <c r="J3698" s="1008">
        <v>0</v>
      </c>
      <c r="K3698" s="1009">
        <v>0</v>
      </c>
    </row>
    <row r="3699" spans="1:11" ht="20.25" customHeight="1" x14ac:dyDescent="0.25">
      <c r="A3699" s="1006" t="s">
        <v>3644</v>
      </c>
      <c r="B3699" s="1007">
        <v>2025</v>
      </c>
      <c r="C3699" s="1006" t="s">
        <v>1935</v>
      </c>
      <c r="D3699" s="1006" t="s">
        <v>1951</v>
      </c>
      <c r="E3699" s="1006" t="s">
        <v>9472</v>
      </c>
      <c r="F3699" s="465"/>
      <c r="G3699" s="1007">
        <v>1</v>
      </c>
      <c r="H3699" s="465"/>
      <c r="I3699" s="465"/>
      <c r="J3699" s="1008">
        <v>0</v>
      </c>
      <c r="K3699" s="1009">
        <v>0</v>
      </c>
    </row>
    <row r="3700" spans="1:11" ht="20.25" customHeight="1" x14ac:dyDescent="0.25">
      <c r="A3700" s="1006" t="s">
        <v>3644</v>
      </c>
      <c r="B3700" s="1007">
        <v>2025</v>
      </c>
      <c r="C3700" s="1006" t="s">
        <v>1935</v>
      </c>
      <c r="D3700" s="1006" t="s">
        <v>7801</v>
      </c>
      <c r="E3700" s="1006" t="s">
        <v>9473</v>
      </c>
      <c r="F3700" s="465"/>
      <c r="G3700" s="1007">
        <v>1</v>
      </c>
      <c r="H3700" s="465"/>
      <c r="I3700" s="465"/>
      <c r="J3700" s="1008">
        <v>0</v>
      </c>
      <c r="K3700" s="1009">
        <v>0</v>
      </c>
    </row>
    <row r="3701" spans="1:11" ht="20.25" customHeight="1" x14ac:dyDescent="0.25">
      <c r="A3701" s="1006" t="s">
        <v>3644</v>
      </c>
      <c r="B3701" s="1007">
        <v>2025</v>
      </c>
      <c r="C3701" s="1006" t="s">
        <v>1935</v>
      </c>
      <c r="D3701" s="1006" t="s">
        <v>3425</v>
      </c>
      <c r="E3701" s="1006" t="s">
        <v>9474</v>
      </c>
      <c r="F3701" s="465"/>
      <c r="G3701" s="1007">
        <v>0</v>
      </c>
      <c r="H3701" s="465"/>
      <c r="I3701" s="465"/>
      <c r="J3701" s="1008">
        <v>0</v>
      </c>
      <c r="K3701" s="1009">
        <v>0</v>
      </c>
    </row>
    <row r="3702" spans="1:11" ht="20.25" customHeight="1" x14ac:dyDescent="0.25">
      <c r="A3702" s="1006" t="s">
        <v>3644</v>
      </c>
      <c r="B3702" s="1007">
        <v>2025</v>
      </c>
      <c r="C3702" s="1006" t="s">
        <v>1935</v>
      </c>
      <c r="D3702" s="1006" t="s">
        <v>3426</v>
      </c>
      <c r="E3702" s="1006" t="s">
        <v>9475</v>
      </c>
      <c r="F3702" s="465"/>
      <c r="G3702" s="1007">
        <v>0</v>
      </c>
      <c r="H3702" s="465"/>
      <c r="I3702" s="465"/>
      <c r="J3702" s="1008">
        <v>0</v>
      </c>
      <c r="K3702" s="1009">
        <v>0</v>
      </c>
    </row>
    <row r="3703" spans="1:11" ht="20.25" customHeight="1" x14ac:dyDescent="0.25">
      <c r="A3703" s="1006" t="s">
        <v>3644</v>
      </c>
      <c r="B3703" s="1007">
        <v>2025</v>
      </c>
      <c r="C3703" s="1006" t="s">
        <v>1935</v>
      </c>
      <c r="D3703" s="1006" t="s">
        <v>3427</v>
      </c>
      <c r="E3703" s="1006" t="s">
        <v>9476</v>
      </c>
      <c r="F3703" s="465"/>
      <c r="G3703" s="1007">
        <v>0</v>
      </c>
      <c r="H3703" s="465"/>
      <c r="I3703" s="465"/>
      <c r="J3703" s="1008">
        <v>0</v>
      </c>
      <c r="K3703" s="1009">
        <v>0</v>
      </c>
    </row>
    <row r="3704" spans="1:11" ht="20.25" customHeight="1" x14ac:dyDescent="0.25">
      <c r="A3704" s="1006" t="s">
        <v>3644</v>
      </c>
      <c r="B3704" s="1007">
        <v>2025</v>
      </c>
      <c r="C3704" s="1006" t="s">
        <v>1935</v>
      </c>
      <c r="D3704" s="1006" t="s">
        <v>3428</v>
      </c>
      <c r="E3704" s="1006" t="s">
        <v>9474</v>
      </c>
      <c r="F3704" s="465"/>
      <c r="G3704" s="1007">
        <v>0</v>
      </c>
      <c r="H3704" s="465"/>
      <c r="I3704" s="465"/>
      <c r="J3704" s="1008">
        <v>0</v>
      </c>
      <c r="K3704" s="1009">
        <v>0</v>
      </c>
    </row>
    <row r="3705" spans="1:11" ht="20.25" customHeight="1" x14ac:dyDescent="0.25">
      <c r="A3705" s="1006" t="s">
        <v>3644</v>
      </c>
      <c r="B3705" s="1007">
        <v>2025</v>
      </c>
      <c r="C3705" s="1006" t="s">
        <v>1935</v>
      </c>
      <c r="D3705" s="1006" t="s">
        <v>3429</v>
      </c>
      <c r="E3705" s="1006" t="s">
        <v>9475</v>
      </c>
      <c r="F3705" s="465"/>
      <c r="G3705" s="1007">
        <v>0</v>
      </c>
      <c r="H3705" s="465"/>
      <c r="I3705" s="465"/>
      <c r="J3705" s="1008">
        <v>0</v>
      </c>
      <c r="K3705" s="1009">
        <v>0</v>
      </c>
    </row>
    <row r="3706" spans="1:11" ht="20.25" customHeight="1" x14ac:dyDescent="0.25">
      <c r="A3706" s="1006" t="s">
        <v>3644</v>
      </c>
      <c r="B3706" s="1007">
        <v>2025</v>
      </c>
      <c r="C3706" s="1006" t="s">
        <v>1935</v>
      </c>
      <c r="D3706" s="1006" t="s">
        <v>3430</v>
      </c>
      <c r="E3706" s="1006" t="s">
        <v>9476</v>
      </c>
      <c r="F3706" s="465"/>
      <c r="G3706" s="1007">
        <v>0</v>
      </c>
      <c r="H3706" s="465"/>
      <c r="I3706" s="465"/>
      <c r="J3706" s="1008">
        <v>0</v>
      </c>
      <c r="K3706" s="1009">
        <v>0</v>
      </c>
    </row>
    <row r="3707" spans="1:11" ht="20.25" customHeight="1" x14ac:dyDescent="0.25">
      <c r="A3707" s="1006" t="s">
        <v>3644</v>
      </c>
      <c r="B3707" s="1007">
        <v>2025</v>
      </c>
      <c r="C3707" s="1006" t="s">
        <v>1935</v>
      </c>
      <c r="D3707" s="1006" t="s">
        <v>3431</v>
      </c>
      <c r="E3707" s="1006" t="s">
        <v>9474</v>
      </c>
      <c r="F3707" s="465"/>
      <c r="G3707" s="1007">
        <v>0</v>
      </c>
      <c r="H3707" s="465"/>
      <c r="I3707" s="465"/>
      <c r="J3707" s="1008">
        <v>0</v>
      </c>
      <c r="K3707" s="1009">
        <v>0</v>
      </c>
    </row>
    <row r="3708" spans="1:11" ht="20.25" customHeight="1" x14ac:dyDescent="0.25">
      <c r="A3708" s="1006" t="s">
        <v>3644</v>
      </c>
      <c r="B3708" s="1007">
        <v>2025</v>
      </c>
      <c r="C3708" s="1006" t="s">
        <v>1935</v>
      </c>
      <c r="D3708" s="1006" t="s">
        <v>3432</v>
      </c>
      <c r="E3708" s="1006" t="s">
        <v>9475</v>
      </c>
      <c r="F3708" s="465"/>
      <c r="G3708" s="1007">
        <v>0</v>
      </c>
      <c r="H3708" s="465"/>
      <c r="I3708" s="465"/>
      <c r="J3708" s="1008">
        <v>0</v>
      </c>
      <c r="K3708" s="1009">
        <v>0</v>
      </c>
    </row>
    <row r="3709" spans="1:11" ht="20.25" customHeight="1" x14ac:dyDescent="0.25">
      <c r="A3709" s="1006" t="s">
        <v>3644</v>
      </c>
      <c r="B3709" s="1007">
        <v>2025</v>
      </c>
      <c r="C3709" s="1006" t="s">
        <v>1935</v>
      </c>
      <c r="D3709" s="1006" t="s">
        <v>3433</v>
      </c>
      <c r="E3709" s="1006" t="s">
        <v>9476</v>
      </c>
      <c r="F3709" s="465"/>
      <c r="G3709" s="1007">
        <v>0</v>
      </c>
      <c r="H3709" s="465"/>
      <c r="I3709" s="465"/>
      <c r="J3709" s="1008">
        <v>0</v>
      </c>
      <c r="K3709" s="1009">
        <v>0</v>
      </c>
    </row>
    <row r="3710" spans="1:11" ht="20.25" customHeight="1" x14ac:dyDescent="0.25">
      <c r="A3710" s="1006" t="s">
        <v>7802</v>
      </c>
      <c r="B3710" s="1007">
        <v>2025</v>
      </c>
      <c r="C3710" s="1006" t="s">
        <v>1887</v>
      </c>
      <c r="D3710" s="1006" t="s">
        <v>138</v>
      </c>
      <c r="E3710" s="1006" t="s">
        <v>7803</v>
      </c>
      <c r="F3710" s="465"/>
      <c r="G3710" s="1007">
        <v>1</v>
      </c>
      <c r="H3710" s="465"/>
      <c r="I3710" s="465"/>
      <c r="J3710" s="1008">
        <v>0</v>
      </c>
      <c r="K3710" s="1009">
        <v>0</v>
      </c>
    </row>
    <row r="3711" spans="1:11" ht="20.25" customHeight="1" x14ac:dyDescent="0.25">
      <c r="A3711" s="1006" t="s">
        <v>7802</v>
      </c>
      <c r="B3711" s="1007">
        <v>2025</v>
      </c>
      <c r="C3711" s="1006" t="s">
        <v>1889</v>
      </c>
      <c r="D3711" s="1006" t="s">
        <v>139</v>
      </c>
      <c r="E3711" s="1006" t="s">
        <v>7804</v>
      </c>
      <c r="F3711" s="465"/>
      <c r="G3711" s="1007">
        <v>1</v>
      </c>
      <c r="H3711" s="465"/>
      <c r="I3711" s="465"/>
      <c r="J3711" s="1008">
        <v>0</v>
      </c>
      <c r="K3711" s="1009">
        <v>0</v>
      </c>
    </row>
    <row r="3712" spans="1:11" ht="20.25" customHeight="1" x14ac:dyDescent="0.25">
      <c r="A3712" s="1006" t="s">
        <v>7802</v>
      </c>
      <c r="B3712" s="1007">
        <v>2025</v>
      </c>
      <c r="C3712" s="1006" t="s">
        <v>1891</v>
      </c>
      <c r="D3712" s="1006" t="s">
        <v>1894</v>
      </c>
      <c r="E3712" s="1006" t="s">
        <v>7805</v>
      </c>
      <c r="F3712" s="465"/>
      <c r="G3712" s="1007">
        <v>0</v>
      </c>
      <c r="H3712" s="465"/>
      <c r="I3712" s="465"/>
      <c r="J3712" s="1008">
        <v>0</v>
      </c>
      <c r="K3712" s="1009">
        <v>0</v>
      </c>
    </row>
    <row r="3713" spans="1:11" ht="20.25" customHeight="1" x14ac:dyDescent="0.25">
      <c r="A3713" s="1006" t="s">
        <v>7802</v>
      </c>
      <c r="B3713" s="1007">
        <v>2025</v>
      </c>
      <c r="C3713" s="1006" t="s">
        <v>1913</v>
      </c>
      <c r="D3713" s="1006" t="s">
        <v>1914</v>
      </c>
      <c r="E3713" s="1006" t="s">
        <v>7806</v>
      </c>
      <c r="F3713" s="465"/>
      <c r="G3713" s="1007">
        <v>1</v>
      </c>
      <c r="H3713" s="465"/>
      <c r="I3713" s="465"/>
      <c r="J3713" s="1008">
        <v>0</v>
      </c>
      <c r="K3713" s="1009">
        <v>0</v>
      </c>
    </row>
    <row r="3714" spans="1:11" ht="20.25" customHeight="1" x14ac:dyDescent="0.25">
      <c r="A3714" s="1006" t="s">
        <v>7802</v>
      </c>
      <c r="B3714" s="1007">
        <v>2025</v>
      </c>
      <c r="C3714" s="1006" t="s">
        <v>1913</v>
      </c>
      <c r="D3714" s="1006" t="s">
        <v>1916</v>
      </c>
      <c r="E3714" s="1006" t="s">
        <v>7806</v>
      </c>
      <c r="F3714" s="465"/>
      <c r="G3714" s="1007">
        <v>0</v>
      </c>
      <c r="H3714" s="465"/>
      <c r="I3714" s="465"/>
      <c r="J3714" s="1008">
        <v>0</v>
      </c>
      <c r="K3714" s="1009">
        <v>0</v>
      </c>
    </row>
    <row r="3715" spans="1:11" ht="20.25" customHeight="1" x14ac:dyDescent="0.25">
      <c r="A3715" s="1006" t="s">
        <v>7802</v>
      </c>
      <c r="B3715" s="1007">
        <v>2025</v>
      </c>
      <c r="C3715" s="1006" t="s">
        <v>1913</v>
      </c>
      <c r="D3715" s="1006" t="s">
        <v>1917</v>
      </c>
      <c r="E3715" s="1006" t="s">
        <v>7806</v>
      </c>
      <c r="F3715" s="465"/>
      <c r="G3715" s="1007">
        <v>0</v>
      </c>
      <c r="H3715" s="465"/>
      <c r="I3715" s="465"/>
      <c r="J3715" s="1008">
        <v>0</v>
      </c>
      <c r="K3715" s="1009">
        <v>0</v>
      </c>
    </row>
    <row r="3716" spans="1:11" ht="20.25" customHeight="1" x14ac:dyDescent="0.25">
      <c r="A3716" s="1006" t="s">
        <v>7802</v>
      </c>
      <c r="B3716" s="1007">
        <v>2025</v>
      </c>
      <c r="C3716" s="1006" t="s">
        <v>1913</v>
      </c>
      <c r="D3716" s="1006" t="s">
        <v>1918</v>
      </c>
      <c r="E3716" s="1006" t="s">
        <v>7806</v>
      </c>
      <c r="F3716" s="465"/>
      <c r="G3716" s="1007">
        <v>0</v>
      </c>
      <c r="H3716" s="465"/>
      <c r="I3716" s="465"/>
      <c r="J3716" s="1008">
        <v>0</v>
      </c>
      <c r="K3716" s="1009">
        <v>0</v>
      </c>
    </row>
    <row r="3717" spans="1:11" ht="20.25" customHeight="1" x14ac:dyDescent="0.25">
      <c r="A3717" s="1006" t="s">
        <v>7802</v>
      </c>
      <c r="B3717" s="1007">
        <v>2025</v>
      </c>
      <c r="C3717" s="1006" t="s">
        <v>1913</v>
      </c>
      <c r="D3717" s="1006" t="s">
        <v>1919</v>
      </c>
      <c r="E3717" s="1006" t="s">
        <v>7806</v>
      </c>
      <c r="F3717" s="465"/>
      <c r="G3717" s="1007">
        <v>0</v>
      </c>
      <c r="H3717" s="465"/>
      <c r="I3717" s="465"/>
      <c r="J3717" s="1008">
        <v>0</v>
      </c>
      <c r="K3717" s="1009">
        <v>0</v>
      </c>
    </row>
    <row r="3718" spans="1:11" ht="20.25" customHeight="1" x14ac:dyDescent="0.25">
      <c r="A3718" s="1006" t="s">
        <v>7802</v>
      </c>
      <c r="B3718" s="1007">
        <v>2025</v>
      </c>
      <c r="C3718" s="1006" t="s">
        <v>1923</v>
      </c>
      <c r="D3718" s="1006" t="s">
        <v>143</v>
      </c>
      <c r="E3718" s="1006" t="s">
        <v>7807</v>
      </c>
      <c r="F3718" s="465"/>
      <c r="G3718" s="1007">
        <v>1</v>
      </c>
      <c r="H3718" s="465"/>
      <c r="I3718" s="465"/>
      <c r="J3718" s="1008">
        <v>0</v>
      </c>
      <c r="K3718" s="1009">
        <v>0</v>
      </c>
    </row>
    <row r="3719" spans="1:11" ht="20.25" customHeight="1" x14ac:dyDescent="0.25">
      <c r="A3719" s="1006" t="s">
        <v>7802</v>
      </c>
      <c r="B3719" s="1007">
        <v>2025</v>
      </c>
      <c r="C3719" s="1006" t="s">
        <v>1925</v>
      </c>
      <c r="D3719" s="1006" t="s">
        <v>144</v>
      </c>
      <c r="E3719" s="1006" t="s">
        <v>7808</v>
      </c>
      <c r="F3719" s="465"/>
      <c r="G3719" s="1007">
        <v>1</v>
      </c>
      <c r="H3719" s="465"/>
      <c r="I3719" s="465"/>
      <c r="J3719" s="1008">
        <v>0</v>
      </c>
      <c r="K3719" s="1009">
        <v>0</v>
      </c>
    </row>
    <row r="3720" spans="1:11" ht="20.25" customHeight="1" x14ac:dyDescent="0.25">
      <c r="A3720" s="1006" t="s">
        <v>7802</v>
      </c>
      <c r="B3720" s="1007">
        <v>2025</v>
      </c>
      <c r="C3720" s="1006" t="s">
        <v>1927</v>
      </c>
      <c r="D3720" s="1006" t="s">
        <v>1928</v>
      </c>
      <c r="E3720" s="1006" t="s">
        <v>7809</v>
      </c>
      <c r="F3720" s="465"/>
      <c r="G3720" s="1007">
        <v>1</v>
      </c>
      <c r="H3720" s="465"/>
      <c r="I3720" s="465"/>
      <c r="J3720" s="1008">
        <v>0</v>
      </c>
      <c r="K3720" s="1009">
        <v>0</v>
      </c>
    </row>
    <row r="3721" spans="1:11" ht="20.25" customHeight="1" x14ac:dyDescent="0.25">
      <c r="A3721" s="1006" t="s">
        <v>7802</v>
      </c>
      <c r="B3721" s="1007">
        <v>2025</v>
      </c>
      <c r="C3721" s="1006" t="s">
        <v>1930</v>
      </c>
      <c r="D3721" s="1006" t="s">
        <v>156</v>
      </c>
      <c r="E3721" s="1006" t="s">
        <v>7810</v>
      </c>
      <c r="F3721" s="465"/>
      <c r="G3721" s="1007">
        <v>1</v>
      </c>
      <c r="H3721" s="465"/>
      <c r="I3721" s="465"/>
      <c r="J3721" s="1008">
        <v>0</v>
      </c>
      <c r="K3721" s="1009">
        <v>0</v>
      </c>
    </row>
    <row r="3722" spans="1:11" ht="20.25" customHeight="1" x14ac:dyDescent="0.25">
      <c r="A3722" s="1006" t="s">
        <v>7802</v>
      </c>
      <c r="B3722" s="1007">
        <v>2025</v>
      </c>
      <c r="C3722" s="1006" t="s">
        <v>1932</v>
      </c>
      <c r="D3722" s="1006" t="s">
        <v>3423</v>
      </c>
      <c r="E3722" s="1006" t="s">
        <v>7811</v>
      </c>
      <c r="F3722" s="465"/>
      <c r="G3722" s="1007">
        <v>0</v>
      </c>
      <c r="H3722" s="465"/>
      <c r="I3722" s="465"/>
      <c r="J3722" s="1008">
        <v>0</v>
      </c>
      <c r="K3722" s="1009">
        <v>0</v>
      </c>
    </row>
    <row r="3723" spans="1:11" ht="20.25" customHeight="1" x14ac:dyDescent="0.25">
      <c r="A3723" s="1006" t="s">
        <v>7802</v>
      </c>
      <c r="B3723" s="1007">
        <v>2025</v>
      </c>
      <c r="C3723" s="1006" t="s">
        <v>1935</v>
      </c>
      <c r="D3723" s="1006" t="s">
        <v>1936</v>
      </c>
      <c r="E3723" s="1006" t="s">
        <v>9477</v>
      </c>
      <c r="F3723" s="465"/>
      <c r="G3723" s="1007">
        <v>1</v>
      </c>
      <c r="H3723" s="465"/>
      <c r="I3723" s="465"/>
      <c r="J3723" s="1008">
        <v>0</v>
      </c>
      <c r="K3723" s="1009">
        <v>0</v>
      </c>
    </row>
    <row r="3724" spans="1:11" ht="20.25" customHeight="1" x14ac:dyDescent="0.25">
      <c r="A3724" s="1006" t="s">
        <v>7802</v>
      </c>
      <c r="B3724" s="1007">
        <v>2025</v>
      </c>
      <c r="C3724" s="1006" t="s">
        <v>1935</v>
      </c>
      <c r="D3724" s="1006" t="s">
        <v>1937</v>
      </c>
      <c r="E3724" s="1006" t="s">
        <v>9478</v>
      </c>
      <c r="F3724" s="465"/>
      <c r="G3724" s="1007">
        <v>1</v>
      </c>
      <c r="H3724" s="465"/>
      <c r="I3724" s="465"/>
      <c r="J3724" s="1008">
        <v>0</v>
      </c>
      <c r="K3724" s="1009">
        <v>0</v>
      </c>
    </row>
    <row r="3725" spans="1:11" ht="20.25" customHeight="1" x14ac:dyDescent="0.25">
      <c r="A3725" s="1006" t="s">
        <v>7802</v>
      </c>
      <c r="B3725" s="1007">
        <v>2025</v>
      </c>
      <c r="C3725" s="1006" t="s">
        <v>1935</v>
      </c>
      <c r="D3725" s="1006" t="s">
        <v>1938</v>
      </c>
      <c r="E3725" s="1006" t="s">
        <v>9479</v>
      </c>
      <c r="F3725" s="465"/>
      <c r="G3725" s="1007">
        <v>1</v>
      </c>
      <c r="H3725" s="465"/>
      <c r="I3725" s="465"/>
      <c r="J3725" s="1008">
        <v>0</v>
      </c>
      <c r="K3725" s="1009">
        <v>0</v>
      </c>
    </row>
    <row r="3726" spans="1:11" ht="20.25" customHeight="1" x14ac:dyDescent="0.25">
      <c r="A3726" s="1006" t="s">
        <v>7802</v>
      </c>
      <c r="B3726" s="1007">
        <v>2025</v>
      </c>
      <c r="C3726" s="1006" t="s">
        <v>1935</v>
      </c>
      <c r="D3726" s="1006" t="s">
        <v>1939</v>
      </c>
      <c r="E3726" s="1006" t="s">
        <v>9480</v>
      </c>
      <c r="F3726" s="465"/>
      <c r="G3726" s="1007">
        <v>1</v>
      </c>
      <c r="H3726" s="465"/>
      <c r="I3726" s="465"/>
      <c r="J3726" s="1008">
        <v>0</v>
      </c>
      <c r="K3726" s="1009">
        <v>0</v>
      </c>
    </row>
    <row r="3727" spans="1:11" ht="20.25" customHeight="1" x14ac:dyDescent="0.25">
      <c r="A3727" s="1006" t="s">
        <v>7802</v>
      </c>
      <c r="B3727" s="1007">
        <v>2025</v>
      </c>
      <c r="C3727" s="1006" t="s">
        <v>1935</v>
      </c>
      <c r="D3727" s="1006" t="s">
        <v>1940</v>
      </c>
      <c r="E3727" s="1006" t="s">
        <v>9481</v>
      </c>
      <c r="F3727" s="465"/>
      <c r="G3727" s="1007">
        <v>1</v>
      </c>
      <c r="H3727" s="465"/>
      <c r="I3727" s="465"/>
      <c r="J3727" s="1008">
        <v>0</v>
      </c>
      <c r="K3727" s="1009">
        <v>0</v>
      </c>
    </row>
    <row r="3728" spans="1:11" ht="20.25" customHeight="1" x14ac:dyDescent="0.25">
      <c r="A3728" s="1006" t="s">
        <v>7802</v>
      </c>
      <c r="B3728" s="1007">
        <v>2025</v>
      </c>
      <c r="C3728" s="1006" t="s">
        <v>1935</v>
      </c>
      <c r="D3728" s="1006" t="s">
        <v>1941</v>
      </c>
      <c r="E3728" s="1006" t="s">
        <v>9482</v>
      </c>
      <c r="F3728" s="465"/>
      <c r="G3728" s="1007">
        <v>1</v>
      </c>
      <c r="H3728" s="465"/>
      <c r="I3728" s="465"/>
      <c r="J3728" s="1008">
        <v>0</v>
      </c>
      <c r="K3728" s="1009">
        <v>0</v>
      </c>
    </row>
    <row r="3729" spans="1:11" ht="20.25" customHeight="1" x14ac:dyDescent="0.25">
      <c r="A3729" s="1006" t="s">
        <v>7802</v>
      </c>
      <c r="B3729" s="1007">
        <v>2025</v>
      </c>
      <c r="C3729" s="1006" t="s">
        <v>1935</v>
      </c>
      <c r="D3729" s="1006" t="s">
        <v>1942</v>
      </c>
      <c r="E3729" s="1006" t="s">
        <v>9483</v>
      </c>
      <c r="F3729" s="465"/>
      <c r="G3729" s="1007">
        <v>1</v>
      </c>
      <c r="H3729" s="465"/>
      <c r="I3729" s="465"/>
      <c r="J3729" s="1008">
        <v>0</v>
      </c>
      <c r="K3729" s="1009">
        <v>0</v>
      </c>
    </row>
    <row r="3730" spans="1:11" ht="20.25" customHeight="1" x14ac:dyDescent="0.25">
      <c r="A3730" s="1006" t="s">
        <v>7802</v>
      </c>
      <c r="B3730" s="1007">
        <v>2025</v>
      </c>
      <c r="C3730" s="1006" t="s">
        <v>1935</v>
      </c>
      <c r="D3730" s="1006" t="s">
        <v>1943</v>
      </c>
      <c r="E3730" s="1006" t="s">
        <v>9484</v>
      </c>
      <c r="F3730" s="465"/>
      <c r="G3730" s="1007">
        <v>1</v>
      </c>
      <c r="H3730" s="465"/>
      <c r="I3730" s="465"/>
      <c r="J3730" s="1008">
        <v>0</v>
      </c>
      <c r="K3730" s="1009">
        <v>0</v>
      </c>
    </row>
    <row r="3731" spans="1:11" ht="20.25" customHeight="1" x14ac:dyDescent="0.25">
      <c r="A3731" s="1006" t="s">
        <v>7802</v>
      </c>
      <c r="B3731" s="1007">
        <v>2025</v>
      </c>
      <c r="C3731" s="1006" t="s">
        <v>1935</v>
      </c>
      <c r="D3731" s="1006" t="s">
        <v>1944</v>
      </c>
      <c r="E3731" s="1006" t="s">
        <v>9485</v>
      </c>
      <c r="F3731" s="465"/>
      <c r="G3731" s="1007">
        <v>1</v>
      </c>
      <c r="H3731" s="465"/>
      <c r="I3731" s="465"/>
      <c r="J3731" s="1008">
        <v>0</v>
      </c>
      <c r="K3731" s="1009">
        <v>0</v>
      </c>
    </row>
    <row r="3732" spans="1:11" ht="20.25" customHeight="1" x14ac:dyDescent="0.25">
      <c r="A3732" s="1006" t="s">
        <v>7802</v>
      </c>
      <c r="B3732" s="1007">
        <v>2025</v>
      </c>
      <c r="C3732" s="1006" t="s">
        <v>1935</v>
      </c>
      <c r="D3732" s="1006" t="s">
        <v>1945</v>
      </c>
      <c r="E3732" s="1006" t="s">
        <v>9486</v>
      </c>
      <c r="F3732" s="465"/>
      <c r="G3732" s="1007">
        <v>1</v>
      </c>
      <c r="H3732" s="465"/>
      <c r="I3732" s="465"/>
      <c r="J3732" s="1008">
        <v>0</v>
      </c>
      <c r="K3732" s="1009">
        <v>0</v>
      </c>
    </row>
    <row r="3733" spans="1:11" ht="20.25" customHeight="1" x14ac:dyDescent="0.25">
      <c r="A3733" s="1006" t="s">
        <v>7802</v>
      </c>
      <c r="B3733" s="1007">
        <v>2025</v>
      </c>
      <c r="C3733" s="1006" t="s">
        <v>1935</v>
      </c>
      <c r="D3733" s="1006" t="s">
        <v>1946</v>
      </c>
      <c r="E3733" s="1006" t="s">
        <v>9487</v>
      </c>
      <c r="F3733" s="465"/>
      <c r="G3733" s="1007">
        <v>1</v>
      </c>
      <c r="H3733" s="465"/>
      <c r="I3733" s="465"/>
      <c r="J3733" s="1008">
        <v>0</v>
      </c>
      <c r="K3733" s="1009">
        <v>0</v>
      </c>
    </row>
    <row r="3734" spans="1:11" ht="20.25" customHeight="1" x14ac:dyDescent="0.25">
      <c r="A3734" s="1006" t="s">
        <v>7802</v>
      </c>
      <c r="B3734" s="1007">
        <v>2025</v>
      </c>
      <c r="C3734" s="1006" t="s">
        <v>1935</v>
      </c>
      <c r="D3734" s="1006" t="s">
        <v>1947</v>
      </c>
      <c r="E3734" s="1006" t="s">
        <v>9488</v>
      </c>
      <c r="F3734" s="465"/>
      <c r="G3734" s="1007">
        <v>1</v>
      </c>
      <c r="H3734" s="465"/>
      <c r="I3734" s="465"/>
      <c r="J3734" s="1008">
        <v>0</v>
      </c>
      <c r="K3734" s="1009">
        <v>0</v>
      </c>
    </row>
    <row r="3735" spans="1:11" ht="20.25" customHeight="1" x14ac:dyDescent="0.25">
      <c r="A3735" s="1006" t="s">
        <v>7802</v>
      </c>
      <c r="B3735" s="1007">
        <v>2025</v>
      </c>
      <c r="C3735" s="1006" t="s">
        <v>1935</v>
      </c>
      <c r="D3735" s="1006" t="s">
        <v>1948</v>
      </c>
      <c r="E3735" s="1006" t="s">
        <v>9489</v>
      </c>
      <c r="F3735" s="465"/>
      <c r="G3735" s="1007">
        <v>1</v>
      </c>
      <c r="H3735" s="465"/>
      <c r="I3735" s="465"/>
      <c r="J3735" s="1008">
        <v>0</v>
      </c>
      <c r="K3735" s="1009">
        <v>0</v>
      </c>
    </row>
    <row r="3736" spans="1:11" ht="20.25" customHeight="1" x14ac:dyDescent="0.25">
      <c r="A3736" s="1006" t="s">
        <v>7802</v>
      </c>
      <c r="B3736" s="1007">
        <v>2025</v>
      </c>
      <c r="C3736" s="1006" t="s">
        <v>1935</v>
      </c>
      <c r="D3736" s="1006" t="s">
        <v>1949</v>
      </c>
      <c r="E3736" s="1006" t="s">
        <v>9490</v>
      </c>
      <c r="F3736" s="465"/>
      <c r="G3736" s="1007">
        <v>1</v>
      </c>
      <c r="H3736" s="465"/>
      <c r="I3736" s="465"/>
      <c r="J3736" s="1008">
        <v>0</v>
      </c>
      <c r="K3736" s="1009">
        <v>0</v>
      </c>
    </row>
    <row r="3737" spans="1:11" ht="20.25" customHeight="1" x14ac:dyDescent="0.25">
      <c r="A3737" s="1006" t="s">
        <v>7802</v>
      </c>
      <c r="B3737" s="1007">
        <v>2025</v>
      </c>
      <c r="C3737" s="1006" t="s">
        <v>1935</v>
      </c>
      <c r="D3737" s="1006" t="s">
        <v>1950</v>
      </c>
      <c r="E3737" s="1006" t="s">
        <v>9491</v>
      </c>
      <c r="F3737" s="465"/>
      <c r="G3737" s="1007">
        <v>1</v>
      </c>
      <c r="H3737" s="465"/>
      <c r="I3737" s="465"/>
      <c r="J3737" s="1008">
        <v>0</v>
      </c>
      <c r="K3737" s="1009">
        <v>0</v>
      </c>
    </row>
    <row r="3738" spans="1:11" ht="20.25" customHeight="1" x14ac:dyDescent="0.25">
      <c r="A3738" s="1006" t="s">
        <v>7802</v>
      </c>
      <c r="B3738" s="1007">
        <v>2025</v>
      </c>
      <c r="C3738" s="1006" t="s">
        <v>1935</v>
      </c>
      <c r="D3738" s="1006" t="s">
        <v>1951</v>
      </c>
      <c r="E3738" s="1006" t="s">
        <v>9492</v>
      </c>
      <c r="F3738" s="465"/>
      <c r="G3738" s="1007">
        <v>1</v>
      </c>
      <c r="H3738" s="465"/>
      <c r="I3738" s="465"/>
      <c r="J3738" s="1008">
        <v>0</v>
      </c>
      <c r="K3738" s="1009">
        <v>0</v>
      </c>
    </row>
    <row r="3739" spans="1:11" ht="20.25" customHeight="1" x14ac:dyDescent="0.25">
      <c r="A3739" s="1006" t="s">
        <v>7802</v>
      </c>
      <c r="B3739" s="1007">
        <v>2025</v>
      </c>
      <c r="C3739" s="1006" t="s">
        <v>1935</v>
      </c>
      <c r="D3739" s="1006" t="s">
        <v>7801</v>
      </c>
      <c r="E3739" s="1006" t="s">
        <v>9493</v>
      </c>
      <c r="F3739" s="465"/>
      <c r="G3739" s="1007">
        <v>1</v>
      </c>
      <c r="H3739" s="465"/>
      <c r="I3739" s="465"/>
      <c r="J3739" s="1008">
        <v>0</v>
      </c>
      <c r="K3739" s="1009">
        <v>0</v>
      </c>
    </row>
    <row r="3740" spans="1:11" ht="20.25" customHeight="1" x14ac:dyDescent="0.25">
      <c r="A3740" s="1006" t="s">
        <v>7802</v>
      </c>
      <c r="B3740" s="1007">
        <v>2025</v>
      </c>
      <c r="C3740" s="1006" t="s">
        <v>1935</v>
      </c>
      <c r="D3740" s="1006" t="s">
        <v>3425</v>
      </c>
      <c r="E3740" s="1006" t="s">
        <v>9494</v>
      </c>
      <c r="F3740" s="465"/>
      <c r="G3740" s="1007">
        <v>0</v>
      </c>
      <c r="H3740" s="465"/>
      <c r="I3740" s="465"/>
      <c r="J3740" s="1008">
        <v>0</v>
      </c>
      <c r="K3740" s="1009">
        <v>0</v>
      </c>
    </row>
    <row r="3741" spans="1:11" ht="20.25" customHeight="1" x14ac:dyDescent="0.25">
      <c r="A3741" s="1006" t="s">
        <v>7802</v>
      </c>
      <c r="B3741" s="1007">
        <v>2025</v>
      </c>
      <c r="C3741" s="1006" t="s">
        <v>1935</v>
      </c>
      <c r="D3741" s="1006" t="s">
        <v>3426</v>
      </c>
      <c r="E3741" s="1006" t="s">
        <v>9495</v>
      </c>
      <c r="F3741" s="465"/>
      <c r="G3741" s="1007">
        <v>0</v>
      </c>
      <c r="H3741" s="465"/>
      <c r="I3741" s="465"/>
      <c r="J3741" s="1008">
        <v>0</v>
      </c>
      <c r="K3741" s="1009">
        <v>0</v>
      </c>
    </row>
    <row r="3742" spans="1:11" ht="20.25" customHeight="1" x14ac:dyDescent="0.25">
      <c r="A3742" s="1006" t="s">
        <v>7802</v>
      </c>
      <c r="B3742" s="1007">
        <v>2025</v>
      </c>
      <c r="C3742" s="1006" t="s">
        <v>1935</v>
      </c>
      <c r="D3742" s="1006" t="s">
        <v>3427</v>
      </c>
      <c r="E3742" s="1006" t="s">
        <v>9496</v>
      </c>
      <c r="F3742" s="465"/>
      <c r="G3742" s="1007">
        <v>0</v>
      </c>
      <c r="H3742" s="465"/>
      <c r="I3742" s="465"/>
      <c r="J3742" s="1008">
        <v>0</v>
      </c>
      <c r="K3742" s="1009">
        <v>0</v>
      </c>
    </row>
    <row r="3743" spans="1:11" ht="20.25" customHeight="1" x14ac:dyDescent="0.25">
      <c r="A3743" s="1006" t="s">
        <v>7802</v>
      </c>
      <c r="B3743" s="1007">
        <v>2025</v>
      </c>
      <c r="C3743" s="1006" t="s">
        <v>1935</v>
      </c>
      <c r="D3743" s="1006" t="s">
        <v>3428</v>
      </c>
      <c r="E3743" s="1006" t="s">
        <v>9494</v>
      </c>
      <c r="F3743" s="465"/>
      <c r="G3743" s="1007">
        <v>0</v>
      </c>
      <c r="H3743" s="465"/>
      <c r="I3743" s="465"/>
      <c r="J3743" s="1008">
        <v>0</v>
      </c>
      <c r="K3743" s="1009">
        <v>0</v>
      </c>
    </row>
    <row r="3744" spans="1:11" ht="20.25" customHeight="1" x14ac:dyDescent="0.25">
      <c r="A3744" s="1006" t="s">
        <v>7802</v>
      </c>
      <c r="B3744" s="1007">
        <v>2025</v>
      </c>
      <c r="C3744" s="1006" t="s">
        <v>1935</v>
      </c>
      <c r="D3744" s="1006" t="s">
        <v>3429</v>
      </c>
      <c r="E3744" s="1006" t="s">
        <v>9495</v>
      </c>
      <c r="F3744" s="465"/>
      <c r="G3744" s="1007">
        <v>0</v>
      </c>
      <c r="H3744" s="465"/>
      <c r="I3744" s="465"/>
      <c r="J3744" s="1008">
        <v>0</v>
      </c>
      <c r="K3744" s="1009">
        <v>0</v>
      </c>
    </row>
    <row r="3745" spans="1:11" ht="20.25" customHeight="1" x14ac:dyDescent="0.25">
      <c r="A3745" s="1006" t="s">
        <v>7802</v>
      </c>
      <c r="B3745" s="1007">
        <v>2025</v>
      </c>
      <c r="C3745" s="1006" t="s">
        <v>1935</v>
      </c>
      <c r="D3745" s="1006" t="s">
        <v>3430</v>
      </c>
      <c r="E3745" s="1006" t="s">
        <v>9496</v>
      </c>
      <c r="F3745" s="465"/>
      <c r="G3745" s="1007">
        <v>0</v>
      </c>
      <c r="H3745" s="465"/>
      <c r="I3745" s="465"/>
      <c r="J3745" s="1008">
        <v>0</v>
      </c>
      <c r="K3745" s="1009">
        <v>0</v>
      </c>
    </row>
    <row r="3746" spans="1:11" ht="20.25" customHeight="1" x14ac:dyDescent="0.25">
      <c r="A3746" s="1006" t="s">
        <v>7802</v>
      </c>
      <c r="B3746" s="1007">
        <v>2025</v>
      </c>
      <c r="C3746" s="1006" t="s">
        <v>1935</v>
      </c>
      <c r="D3746" s="1006" t="s">
        <v>3431</v>
      </c>
      <c r="E3746" s="1006" t="s">
        <v>9494</v>
      </c>
      <c r="F3746" s="465"/>
      <c r="G3746" s="1007">
        <v>0</v>
      </c>
      <c r="H3746" s="465"/>
      <c r="I3746" s="465"/>
      <c r="J3746" s="1008">
        <v>0</v>
      </c>
      <c r="K3746" s="1009">
        <v>0</v>
      </c>
    </row>
    <row r="3747" spans="1:11" ht="20.25" customHeight="1" x14ac:dyDescent="0.25">
      <c r="A3747" s="1006" t="s">
        <v>7802</v>
      </c>
      <c r="B3747" s="1007">
        <v>2025</v>
      </c>
      <c r="C3747" s="1006" t="s">
        <v>1935</v>
      </c>
      <c r="D3747" s="1006" t="s">
        <v>3432</v>
      </c>
      <c r="E3747" s="1006" t="s">
        <v>9495</v>
      </c>
      <c r="F3747" s="465"/>
      <c r="G3747" s="1007">
        <v>0</v>
      </c>
      <c r="H3747" s="465"/>
      <c r="I3747" s="465"/>
      <c r="J3747" s="1008">
        <v>0</v>
      </c>
      <c r="K3747" s="1009">
        <v>0</v>
      </c>
    </row>
    <row r="3748" spans="1:11" ht="20.25" customHeight="1" x14ac:dyDescent="0.25">
      <c r="A3748" s="1006" t="s">
        <v>7802</v>
      </c>
      <c r="B3748" s="1007">
        <v>2025</v>
      </c>
      <c r="C3748" s="1006" t="s">
        <v>1935</v>
      </c>
      <c r="D3748" s="1006" t="s">
        <v>3433</v>
      </c>
      <c r="E3748" s="1006" t="s">
        <v>9496</v>
      </c>
      <c r="F3748" s="465"/>
      <c r="G3748" s="1007">
        <v>0</v>
      </c>
      <c r="H3748" s="465"/>
      <c r="I3748" s="465"/>
      <c r="J3748" s="1008">
        <v>0</v>
      </c>
      <c r="K3748" s="1009">
        <v>0</v>
      </c>
    </row>
    <row r="3749" spans="1:11" ht="20.25" customHeight="1" x14ac:dyDescent="0.25">
      <c r="A3749" s="1006" t="s">
        <v>7699</v>
      </c>
      <c r="B3749" s="1007">
        <v>2025</v>
      </c>
      <c r="C3749" s="1006" t="s">
        <v>1887</v>
      </c>
      <c r="D3749" s="1006" t="s">
        <v>138</v>
      </c>
      <c r="E3749" s="1006" t="s">
        <v>7700</v>
      </c>
      <c r="F3749" s="465"/>
      <c r="G3749" s="1007">
        <v>1</v>
      </c>
      <c r="H3749" s="465"/>
      <c r="I3749" s="465"/>
      <c r="J3749" s="1008">
        <v>0</v>
      </c>
      <c r="K3749" s="1009">
        <v>0</v>
      </c>
    </row>
    <row r="3750" spans="1:11" ht="20.25" customHeight="1" x14ac:dyDescent="0.25">
      <c r="A3750" s="1006" t="s">
        <v>7699</v>
      </c>
      <c r="B3750" s="1007">
        <v>2025</v>
      </c>
      <c r="C3750" s="1006" t="s">
        <v>1889</v>
      </c>
      <c r="D3750" s="1006" t="s">
        <v>139</v>
      </c>
      <c r="E3750" s="1006" t="s">
        <v>7701</v>
      </c>
      <c r="F3750" s="465"/>
      <c r="G3750" s="1007">
        <v>1</v>
      </c>
      <c r="H3750" s="465"/>
      <c r="I3750" s="465"/>
      <c r="J3750" s="1008">
        <v>0</v>
      </c>
      <c r="K3750" s="1009">
        <v>0</v>
      </c>
    </row>
    <row r="3751" spans="1:11" ht="20.25" customHeight="1" x14ac:dyDescent="0.25">
      <c r="A3751" s="1006" t="s">
        <v>7699</v>
      </c>
      <c r="B3751" s="1007">
        <v>2025</v>
      </c>
      <c r="C3751" s="1006" t="s">
        <v>1891</v>
      </c>
      <c r="D3751" s="1006" t="s">
        <v>1894</v>
      </c>
      <c r="E3751" s="1006" t="s">
        <v>7702</v>
      </c>
      <c r="F3751" s="465"/>
      <c r="G3751" s="1007">
        <v>0</v>
      </c>
      <c r="H3751" s="465"/>
      <c r="I3751" s="465"/>
      <c r="J3751" s="1008">
        <v>0</v>
      </c>
      <c r="K3751" s="1009">
        <v>0</v>
      </c>
    </row>
    <row r="3752" spans="1:11" ht="20.25" customHeight="1" x14ac:dyDescent="0.25">
      <c r="A3752" s="1006" t="s">
        <v>7699</v>
      </c>
      <c r="B3752" s="1007">
        <v>2025</v>
      </c>
      <c r="C3752" s="1006" t="s">
        <v>1913</v>
      </c>
      <c r="D3752" s="1006" t="s">
        <v>1914</v>
      </c>
      <c r="E3752" s="1006" t="s">
        <v>7703</v>
      </c>
      <c r="F3752" s="465"/>
      <c r="G3752" s="1007">
        <v>1</v>
      </c>
      <c r="H3752" s="465"/>
      <c r="I3752" s="465"/>
      <c r="J3752" s="1008">
        <v>0</v>
      </c>
      <c r="K3752" s="1009">
        <v>0</v>
      </c>
    </row>
    <row r="3753" spans="1:11" ht="20.25" customHeight="1" x14ac:dyDescent="0.25">
      <c r="A3753" s="1006" t="s">
        <v>7699</v>
      </c>
      <c r="B3753" s="1007">
        <v>2025</v>
      </c>
      <c r="C3753" s="1006" t="s">
        <v>1913</v>
      </c>
      <c r="D3753" s="1006" t="s">
        <v>1916</v>
      </c>
      <c r="E3753" s="1006" t="s">
        <v>7703</v>
      </c>
      <c r="F3753" s="465"/>
      <c r="G3753" s="1007">
        <v>0</v>
      </c>
      <c r="H3753" s="465"/>
      <c r="I3753" s="465"/>
      <c r="J3753" s="1008">
        <v>0</v>
      </c>
      <c r="K3753" s="1009">
        <v>0</v>
      </c>
    </row>
    <row r="3754" spans="1:11" ht="20.25" customHeight="1" x14ac:dyDescent="0.25">
      <c r="A3754" s="1006" t="s">
        <v>7699</v>
      </c>
      <c r="B3754" s="1007">
        <v>2025</v>
      </c>
      <c r="C3754" s="1006" t="s">
        <v>1913</v>
      </c>
      <c r="D3754" s="1006" t="s">
        <v>1917</v>
      </c>
      <c r="E3754" s="1006" t="s">
        <v>7703</v>
      </c>
      <c r="F3754" s="465"/>
      <c r="G3754" s="1007">
        <v>0</v>
      </c>
      <c r="H3754" s="465"/>
      <c r="I3754" s="465"/>
      <c r="J3754" s="1008">
        <v>0</v>
      </c>
      <c r="K3754" s="1009">
        <v>0</v>
      </c>
    </row>
    <row r="3755" spans="1:11" ht="20.25" customHeight="1" x14ac:dyDescent="0.25">
      <c r="A3755" s="1006" t="s">
        <v>7699</v>
      </c>
      <c r="B3755" s="1007">
        <v>2025</v>
      </c>
      <c r="C3755" s="1006" t="s">
        <v>1913</v>
      </c>
      <c r="D3755" s="1006" t="s">
        <v>1918</v>
      </c>
      <c r="E3755" s="1006" t="s">
        <v>7703</v>
      </c>
      <c r="F3755" s="1008">
        <v>132.15</v>
      </c>
      <c r="G3755" s="1007">
        <v>0</v>
      </c>
      <c r="H3755" s="465"/>
      <c r="I3755" s="465"/>
      <c r="J3755" s="1008">
        <v>0</v>
      </c>
      <c r="K3755" s="1009">
        <v>132.15</v>
      </c>
    </row>
    <row r="3756" spans="1:11" ht="20.25" customHeight="1" x14ac:dyDescent="0.25">
      <c r="A3756" s="1006" t="s">
        <v>7699</v>
      </c>
      <c r="B3756" s="1007">
        <v>2025</v>
      </c>
      <c r="C3756" s="1006" t="s">
        <v>1913</v>
      </c>
      <c r="D3756" s="1006" t="s">
        <v>1919</v>
      </c>
      <c r="E3756" s="1006" t="s">
        <v>7703</v>
      </c>
      <c r="F3756" s="1008">
        <v>56304.800000000003</v>
      </c>
      <c r="G3756" s="1007">
        <v>0</v>
      </c>
      <c r="H3756" s="465"/>
      <c r="I3756" s="465"/>
      <c r="J3756" s="1008">
        <v>0</v>
      </c>
      <c r="K3756" s="1009">
        <v>56304.800000000003</v>
      </c>
    </row>
    <row r="3757" spans="1:11" ht="20.25" customHeight="1" x14ac:dyDescent="0.25">
      <c r="A3757" s="1006" t="s">
        <v>7699</v>
      </c>
      <c r="B3757" s="1007">
        <v>2025</v>
      </c>
      <c r="C3757" s="1006" t="s">
        <v>1923</v>
      </c>
      <c r="D3757" s="1006" t="s">
        <v>143</v>
      </c>
      <c r="E3757" s="1006" t="s">
        <v>7704</v>
      </c>
      <c r="F3757" s="465"/>
      <c r="G3757" s="1007">
        <v>1</v>
      </c>
      <c r="H3757" s="465"/>
      <c r="I3757" s="465"/>
      <c r="J3757" s="1008">
        <v>0</v>
      </c>
      <c r="K3757" s="1009">
        <v>0</v>
      </c>
    </row>
    <row r="3758" spans="1:11" ht="20.25" customHeight="1" x14ac:dyDescent="0.25">
      <c r="A3758" s="1006" t="s">
        <v>7699</v>
      </c>
      <c r="B3758" s="1007">
        <v>2025</v>
      </c>
      <c r="C3758" s="1006" t="s">
        <v>1925</v>
      </c>
      <c r="D3758" s="1006" t="s">
        <v>144</v>
      </c>
      <c r="E3758" s="1006" t="s">
        <v>7705</v>
      </c>
      <c r="F3758" s="465"/>
      <c r="G3758" s="1007">
        <v>1</v>
      </c>
      <c r="H3758" s="465"/>
      <c r="I3758" s="465"/>
      <c r="J3758" s="1008">
        <v>0</v>
      </c>
      <c r="K3758" s="1009">
        <v>0</v>
      </c>
    </row>
    <row r="3759" spans="1:11" ht="20.25" customHeight="1" x14ac:dyDescent="0.25">
      <c r="A3759" s="1006" t="s">
        <v>7699</v>
      </c>
      <c r="B3759" s="1007">
        <v>2025</v>
      </c>
      <c r="C3759" s="1006" t="s">
        <v>1927</v>
      </c>
      <c r="D3759" s="1006" t="s">
        <v>1928</v>
      </c>
      <c r="E3759" s="1006" t="s">
        <v>7706</v>
      </c>
      <c r="F3759" s="465"/>
      <c r="G3759" s="1007">
        <v>1</v>
      </c>
      <c r="H3759" s="465"/>
      <c r="I3759" s="465"/>
      <c r="J3759" s="1008">
        <v>0</v>
      </c>
      <c r="K3759" s="1009">
        <v>0</v>
      </c>
    </row>
    <row r="3760" spans="1:11" ht="20.25" customHeight="1" x14ac:dyDescent="0.25">
      <c r="A3760" s="1006" t="s">
        <v>7699</v>
      </c>
      <c r="B3760" s="1007">
        <v>2025</v>
      </c>
      <c r="C3760" s="1006" t="s">
        <v>1930</v>
      </c>
      <c r="D3760" s="1006" t="s">
        <v>156</v>
      </c>
      <c r="E3760" s="1006" t="s">
        <v>7707</v>
      </c>
      <c r="F3760" s="465"/>
      <c r="G3760" s="1007">
        <v>1</v>
      </c>
      <c r="H3760" s="465"/>
      <c r="I3760" s="465"/>
      <c r="J3760" s="1008">
        <v>0</v>
      </c>
      <c r="K3760" s="1009">
        <v>0</v>
      </c>
    </row>
    <row r="3761" spans="1:11" ht="20.25" customHeight="1" x14ac:dyDescent="0.25">
      <c r="A3761" s="1006" t="s">
        <v>7699</v>
      </c>
      <c r="B3761" s="1007">
        <v>2025</v>
      </c>
      <c r="C3761" s="1006" t="s">
        <v>1932</v>
      </c>
      <c r="D3761" s="1006" t="s">
        <v>3423</v>
      </c>
      <c r="E3761" s="1006" t="s">
        <v>7708</v>
      </c>
      <c r="F3761" s="1008">
        <v>-17251.3</v>
      </c>
      <c r="G3761" s="1007">
        <v>0</v>
      </c>
      <c r="H3761" s="465"/>
      <c r="I3761" s="465"/>
      <c r="J3761" s="1008">
        <v>0</v>
      </c>
      <c r="K3761" s="1009">
        <v>-17251.3</v>
      </c>
    </row>
    <row r="3762" spans="1:11" ht="20.25" customHeight="1" x14ac:dyDescent="0.25">
      <c r="A3762" s="1006" t="s">
        <v>7699</v>
      </c>
      <c r="B3762" s="1007">
        <v>2025</v>
      </c>
      <c r="C3762" s="1006" t="s">
        <v>1935</v>
      </c>
      <c r="D3762" s="1006" t="s">
        <v>1936</v>
      </c>
      <c r="E3762" s="1006" t="s">
        <v>9497</v>
      </c>
      <c r="F3762" s="465"/>
      <c r="G3762" s="1007">
        <v>1</v>
      </c>
      <c r="H3762" s="465"/>
      <c r="I3762" s="465"/>
      <c r="J3762" s="1008">
        <v>0</v>
      </c>
      <c r="K3762" s="1009">
        <v>0</v>
      </c>
    </row>
    <row r="3763" spans="1:11" ht="20.25" customHeight="1" x14ac:dyDescent="0.25">
      <c r="A3763" s="1006" t="s">
        <v>7699</v>
      </c>
      <c r="B3763" s="1007">
        <v>2025</v>
      </c>
      <c r="C3763" s="1006" t="s">
        <v>1935</v>
      </c>
      <c r="D3763" s="1006" t="s">
        <v>1937</v>
      </c>
      <c r="E3763" s="1006" t="s">
        <v>9498</v>
      </c>
      <c r="F3763" s="465"/>
      <c r="G3763" s="1007">
        <v>1</v>
      </c>
      <c r="H3763" s="465"/>
      <c r="I3763" s="465"/>
      <c r="J3763" s="1008">
        <v>0</v>
      </c>
      <c r="K3763" s="1009">
        <v>0</v>
      </c>
    </row>
    <row r="3764" spans="1:11" ht="20.25" customHeight="1" x14ac:dyDescent="0.25">
      <c r="A3764" s="1006" t="s">
        <v>7699</v>
      </c>
      <c r="B3764" s="1007">
        <v>2025</v>
      </c>
      <c r="C3764" s="1006" t="s">
        <v>1935</v>
      </c>
      <c r="D3764" s="1006" t="s">
        <v>1938</v>
      </c>
      <c r="E3764" s="1006" t="s">
        <v>9499</v>
      </c>
      <c r="F3764" s="465"/>
      <c r="G3764" s="1007">
        <v>1</v>
      </c>
      <c r="H3764" s="465"/>
      <c r="I3764" s="465"/>
      <c r="J3764" s="1008">
        <v>0</v>
      </c>
      <c r="K3764" s="1009">
        <v>0</v>
      </c>
    </row>
    <row r="3765" spans="1:11" ht="20.25" customHeight="1" x14ac:dyDescent="0.25">
      <c r="A3765" s="1006" t="s">
        <v>7699</v>
      </c>
      <c r="B3765" s="1007">
        <v>2025</v>
      </c>
      <c r="C3765" s="1006" t="s">
        <v>1935</v>
      </c>
      <c r="D3765" s="1006" t="s">
        <v>1939</v>
      </c>
      <c r="E3765" s="1006" t="s">
        <v>9500</v>
      </c>
      <c r="F3765" s="465"/>
      <c r="G3765" s="1007">
        <v>1</v>
      </c>
      <c r="H3765" s="465"/>
      <c r="I3765" s="465"/>
      <c r="J3765" s="1008">
        <v>0</v>
      </c>
      <c r="K3765" s="1009">
        <v>0</v>
      </c>
    </row>
    <row r="3766" spans="1:11" ht="20.25" customHeight="1" x14ac:dyDescent="0.25">
      <c r="A3766" s="1006" t="s">
        <v>7699</v>
      </c>
      <c r="B3766" s="1007">
        <v>2025</v>
      </c>
      <c r="C3766" s="1006" t="s">
        <v>1935</v>
      </c>
      <c r="D3766" s="1006" t="s">
        <v>1940</v>
      </c>
      <c r="E3766" s="1006" t="s">
        <v>9501</v>
      </c>
      <c r="F3766" s="465"/>
      <c r="G3766" s="1007">
        <v>1</v>
      </c>
      <c r="H3766" s="465"/>
      <c r="I3766" s="465"/>
      <c r="J3766" s="1008">
        <v>0</v>
      </c>
      <c r="K3766" s="1009">
        <v>0</v>
      </c>
    </row>
    <row r="3767" spans="1:11" ht="20.25" customHeight="1" x14ac:dyDescent="0.25">
      <c r="A3767" s="1006" t="s">
        <v>7699</v>
      </c>
      <c r="B3767" s="1007">
        <v>2025</v>
      </c>
      <c r="C3767" s="1006" t="s">
        <v>1935</v>
      </c>
      <c r="D3767" s="1006" t="s">
        <v>1941</v>
      </c>
      <c r="E3767" s="1006" t="s">
        <v>9502</v>
      </c>
      <c r="F3767" s="465"/>
      <c r="G3767" s="1007">
        <v>1</v>
      </c>
      <c r="H3767" s="465"/>
      <c r="I3767" s="465"/>
      <c r="J3767" s="1008">
        <v>0</v>
      </c>
      <c r="K3767" s="1009">
        <v>0</v>
      </c>
    </row>
    <row r="3768" spans="1:11" ht="20.25" customHeight="1" x14ac:dyDescent="0.25">
      <c r="A3768" s="1006" t="s">
        <v>7699</v>
      </c>
      <c r="B3768" s="1007">
        <v>2025</v>
      </c>
      <c r="C3768" s="1006" t="s">
        <v>1935</v>
      </c>
      <c r="D3768" s="1006" t="s">
        <v>1942</v>
      </c>
      <c r="E3768" s="1006" t="s">
        <v>9503</v>
      </c>
      <c r="F3768" s="465"/>
      <c r="G3768" s="1007">
        <v>1</v>
      </c>
      <c r="H3768" s="465"/>
      <c r="I3768" s="465"/>
      <c r="J3768" s="1008">
        <v>0</v>
      </c>
      <c r="K3768" s="1009">
        <v>0</v>
      </c>
    </row>
    <row r="3769" spans="1:11" ht="20.25" customHeight="1" x14ac:dyDescent="0.25">
      <c r="A3769" s="1006" t="s">
        <v>7699</v>
      </c>
      <c r="B3769" s="1007">
        <v>2025</v>
      </c>
      <c r="C3769" s="1006" t="s">
        <v>1935</v>
      </c>
      <c r="D3769" s="1006" t="s">
        <v>1943</v>
      </c>
      <c r="E3769" s="1006" t="s">
        <v>9504</v>
      </c>
      <c r="F3769" s="465"/>
      <c r="G3769" s="1007">
        <v>1</v>
      </c>
      <c r="H3769" s="465"/>
      <c r="I3769" s="465"/>
      <c r="J3769" s="1008">
        <v>0</v>
      </c>
      <c r="K3769" s="1009">
        <v>0</v>
      </c>
    </row>
    <row r="3770" spans="1:11" ht="20.25" customHeight="1" x14ac:dyDescent="0.25">
      <c r="A3770" s="1006" t="s">
        <v>7699</v>
      </c>
      <c r="B3770" s="1007">
        <v>2025</v>
      </c>
      <c r="C3770" s="1006" t="s">
        <v>1935</v>
      </c>
      <c r="D3770" s="1006" t="s">
        <v>1944</v>
      </c>
      <c r="E3770" s="1006" t="s">
        <v>9505</v>
      </c>
      <c r="F3770" s="465"/>
      <c r="G3770" s="1007">
        <v>1</v>
      </c>
      <c r="H3770" s="465"/>
      <c r="I3770" s="465"/>
      <c r="J3770" s="1008">
        <v>0</v>
      </c>
      <c r="K3770" s="1009">
        <v>0</v>
      </c>
    </row>
    <row r="3771" spans="1:11" ht="20.25" customHeight="1" x14ac:dyDescent="0.25">
      <c r="A3771" s="1006" t="s">
        <v>7699</v>
      </c>
      <c r="B3771" s="1007">
        <v>2025</v>
      </c>
      <c r="C3771" s="1006" t="s">
        <v>1935</v>
      </c>
      <c r="D3771" s="1006" t="s">
        <v>1945</v>
      </c>
      <c r="E3771" s="1006" t="s">
        <v>9506</v>
      </c>
      <c r="F3771" s="465"/>
      <c r="G3771" s="1007">
        <v>1</v>
      </c>
      <c r="H3771" s="465"/>
      <c r="I3771" s="465"/>
      <c r="J3771" s="1008">
        <v>0</v>
      </c>
      <c r="K3771" s="1009">
        <v>0</v>
      </c>
    </row>
    <row r="3772" spans="1:11" ht="20.25" customHeight="1" x14ac:dyDescent="0.25">
      <c r="A3772" s="1006" t="s">
        <v>7699</v>
      </c>
      <c r="B3772" s="1007">
        <v>2025</v>
      </c>
      <c r="C3772" s="1006" t="s">
        <v>1935</v>
      </c>
      <c r="D3772" s="1006" t="s">
        <v>1946</v>
      </c>
      <c r="E3772" s="1006" t="s">
        <v>9507</v>
      </c>
      <c r="F3772" s="465"/>
      <c r="G3772" s="1007">
        <v>1</v>
      </c>
      <c r="H3772" s="465"/>
      <c r="I3772" s="465"/>
      <c r="J3772" s="1008">
        <v>0</v>
      </c>
      <c r="K3772" s="1009">
        <v>0</v>
      </c>
    </row>
    <row r="3773" spans="1:11" ht="20.25" customHeight="1" x14ac:dyDescent="0.25">
      <c r="A3773" s="1006" t="s">
        <v>7699</v>
      </c>
      <c r="B3773" s="1007">
        <v>2025</v>
      </c>
      <c r="C3773" s="1006" t="s">
        <v>1935</v>
      </c>
      <c r="D3773" s="1006" t="s">
        <v>1947</v>
      </c>
      <c r="E3773" s="1006" t="s">
        <v>9508</v>
      </c>
      <c r="F3773" s="465"/>
      <c r="G3773" s="1007">
        <v>1</v>
      </c>
      <c r="H3773" s="465"/>
      <c r="I3773" s="465"/>
      <c r="J3773" s="1008">
        <v>0</v>
      </c>
      <c r="K3773" s="1009">
        <v>0</v>
      </c>
    </row>
    <row r="3774" spans="1:11" ht="20.25" customHeight="1" x14ac:dyDescent="0.25">
      <c r="A3774" s="1006" t="s">
        <v>7699</v>
      </c>
      <c r="B3774" s="1007">
        <v>2025</v>
      </c>
      <c r="C3774" s="1006" t="s">
        <v>1935</v>
      </c>
      <c r="D3774" s="1006" t="s">
        <v>1948</v>
      </c>
      <c r="E3774" s="1006" t="s">
        <v>9509</v>
      </c>
      <c r="F3774" s="465"/>
      <c r="G3774" s="1007">
        <v>1</v>
      </c>
      <c r="H3774" s="465"/>
      <c r="I3774" s="465"/>
      <c r="J3774" s="1008">
        <v>0</v>
      </c>
      <c r="K3774" s="1009">
        <v>0</v>
      </c>
    </row>
    <row r="3775" spans="1:11" ht="20.25" customHeight="1" x14ac:dyDescent="0.25">
      <c r="A3775" s="1006" t="s">
        <v>7699</v>
      </c>
      <c r="B3775" s="1007">
        <v>2025</v>
      </c>
      <c r="C3775" s="1006" t="s">
        <v>1935</v>
      </c>
      <c r="D3775" s="1006" t="s">
        <v>1949</v>
      </c>
      <c r="E3775" s="1006" t="s">
        <v>9510</v>
      </c>
      <c r="F3775" s="465"/>
      <c r="G3775" s="1007">
        <v>1</v>
      </c>
      <c r="H3775" s="465"/>
      <c r="I3775" s="465"/>
      <c r="J3775" s="1008">
        <v>0</v>
      </c>
      <c r="K3775" s="1009">
        <v>0</v>
      </c>
    </row>
    <row r="3776" spans="1:11" ht="20.25" customHeight="1" x14ac:dyDescent="0.25">
      <c r="A3776" s="1006" t="s">
        <v>7699</v>
      </c>
      <c r="B3776" s="1007">
        <v>2025</v>
      </c>
      <c r="C3776" s="1006" t="s">
        <v>1935</v>
      </c>
      <c r="D3776" s="1006" t="s">
        <v>1950</v>
      </c>
      <c r="E3776" s="1006" t="s">
        <v>9511</v>
      </c>
      <c r="F3776" s="465"/>
      <c r="G3776" s="1007">
        <v>1</v>
      </c>
      <c r="H3776" s="465"/>
      <c r="I3776" s="465"/>
      <c r="J3776" s="1008">
        <v>0</v>
      </c>
      <c r="K3776" s="1009">
        <v>0</v>
      </c>
    </row>
    <row r="3777" spans="1:11" ht="20.25" customHeight="1" x14ac:dyDescent="0.25">
      <c r="A3777" s="1006" t="s">
        <v>7699</v>
      </c>
      <c r="B3777" s="1007">
        <v>2025</v>
      </c>
      <c r="C3777" s="1006" t="s">
        <v>1935</v>
      </c>
      <c r="D3777" s="1006" t="s">
        <v>1951</v>
      </c>
      <c r="E3777" s="1006" t="s">
        <v>9512</v>
      </c>
      <c r="F3777" s="465"/>
      <c r="G3777" s="1007">
        <v>1</v>
      </c>
      <c r="H3777" s="465"/>
      <c r="I3777" s="465"/>
      <c r="J3777" s="1008">
        <v>0</v>
      </c>
      <c r="K3777" s="1009">
        <v>0</v>
      </c>
    </row>
    <row r="3778" spans="1:11" ht="20.25" customHeight="1" x14ac:dyDescent="0.25">
      <c r="A3778" s="1006" t="s">
        <v>7699</v>
      </c>
      <c r="B3778" s="1007">
        <v>2025</v>
      </c>
      <c r="C3778" s="1006" t="s">
        <v>1935</v>
      </c>
      <c r="D3778" s="1006" t="s">
        <v>7801</v>
      </c>
      <c r="E3778" s="1006" t="s">
        <v>9513</v>
      </c>
      <c r="F3778" s="465"/>
      <c r="G3778" s="1007">
        <v>1</v>
      </c>
      <c r="H3778" s="465"/>
      <c r="I3778" s="465"/>
      <c r="J3778" s="1008">
        <v>0</v>
      </c>
      <c r="K3778" s="1009">
        <v>0</v>
      </c>
    </row>
    <row r="3779" spans="1:11" ht="20.25" customHeight="1" x14ac:dyDescent="0.25">
      <c r="A3779" s="1006" t="s">
        <v>7699</v>
      </c>
      <c r="B3779" s="1007">
        <v>2025</v>
      </c>
      <c r="C3779" s="1006" t="s">
        <v>1935</v>
      </c>
      <c r="D3779" s="1006" t="s">
        <v>3425</v>
      </c>
      <c r="E3779" s="1006" t="s">
        <v>9514</v>
      </c>
      <c r="F3779" s="465"/>
      <c r="G3779" s="1007">
        <v>0</v>
      </c>
      <c r="H3779" s="465"/>
      <c r="I3779" s="465"/>
      <c r="J3779" s="1008">
        <v>0</v>
      </c>
      <c r="K3779" s="1009">
        <v>0</v>
      </c>
    </row>
    <row r="3780" spans="1:11" ht="20.25" customHeight="1" x14ac:dyDescent="0.25">
      <c r="A3780" s="1006" t="s">
        <v>7699</v>
      </c>
      <c r="B3780" s="1007">
        <v>2025</v>
      </c>
      <c r="C3780" s="1006" t="s">
        <v>1935</v>
      </c>
      <c r="D3780" s="1006" t="s">
        <v>3426</v>
      </c>
      <c r="E3780" s="1006" t="s">
        <v>9515</v>
      </c>
      <c r="F3780" s="465"/>
      <c r="G3780" s="1007">
        <v>0</v>
      </c>
      <c r="H3780" s="465"/>
      <c r="I3780" s="465"/>
      <c r="J3780" s="1008">
        <v>0</v>
      </c>
      <c r="K3780" s="1009">
        <v>0</v>
      </c>
    </row>
    <row r="3781" spans="1:11" ht="20.25" customHeight="1" x14ac:dyDescent="0.25">
      <c r="A3781" s="1006" t="s">
        <v>7699</v>
      </c>
      <c r="B3781" s="1007">
        <v>2025</v>
      </c>
      <c r="C3781" s="1006" t="s">
        <v>1935</v>
      </c>
      <c r="D3781" s="1006" t="s">
        <v>3427</v>
      </c>
      <c r="E3781" s="1006" t="s">
        <v>9516</v>
      </c>
      <c r="F3781" s="465"/>
      <c r="G3781" s="1007">
        <v>0</v>
      </c>
      <c r="H3781" s="465"/>
      <c r="I3781" s="465"/>
      <c r="J3781" s="1008">
        <v>0</v>
      </c>
      <c r="K3781" s="1009">
        <v>0</v>
      </c>
    </row>
    <row r="3782" spans="1:11" ht="20.25" customHeight="1" x14ac:dyDescent="0.25">
      <c r="A3782" s="1006" t="s">
        <v>7699</v>
      </c>
      <c r="B3782" s="1007">
        <v>2025</v>
      </c>
      <c r="C3782" s="1006" t="s">
        <v>1935</v>
      </c>
      <c r="D3782" s="1006" t="s">
        <v>3428</v>
      </c>
      <c r="E3782" s="1006" t="s">
        <v>9514</v>
      </c>
      <c r="F3782" s="465"/>
      <c r="G3782" s="1007">
        <v>0</v>
      </c>
      <c r="H3782" s="465"/>
      <c r="I3782" s="465"/>
      <c r="J3782" s="1008">
        <v>0</v>
      </c>
      <c r="K3782" s="1009">
        <v>0</v>
      </c>
    </row>
    <row r="3783" spans="1:11" ht="20.25" customHeight="1" x14ac:dyDescent="0.25">
      <c r="A3783" s="1006" t="s">
        <v>7699</v>
      </c>
      <c r="B3783" s="1007">
        <v>2025</v>
      </c>
      <c r="C3783" s="1006" t="s">
        <v>1935</v>
      </c>
      <c r="D3783" s="1006" t="s">
        <v>3429</v>
      </c>
      <c r="E3783" s="1006" t="s">
        <v>9515</v>
      </c>
      <c r="F3783" s="465"/>
      <c r="G3783" s="1007">
        <v>0</v>
      </c>
      <c r="H3783" s="465"/>
      <c r="I3783" s="465"/>
      <c r="J3783" s="1008">
        <v>0</v>
      </c>
      <c r="K3783" s="1009">
        <v>0</v>
      </c>
    </row>
    <row r="3784" spans="1:11" ht="20.25" customHeight="1" x14ac:dyDescent="0.25">
      <c r="A3784" s="1006" t="s">
        <v>7699</v>
      </c>
      <c r="B3784" s="1007">
        <v>2025</v>
      </c>
      <c r="C3784" s="1006" t="s">
        <v>1935</v>
      </c>
      <c r="D3784" s="1006" t="s">
        <v>3430</v>
      </c>
      <c r="E3784" s="1006" t="s">
        <v>9516</v>
      </c>
      <c r="F3784" s="465"/>
      <c r="G3784" s="1007">
        <v>0</v>
      </c>
      <c r="H3784" s="465"/>
      <c r="I3784" s="465"/>
      <c r="J3784" s="1008">
        <v>0</v>
      </c>
      <c r="K3784" s="1009">
        <v>0</v>
      </c>
    </row>
    <row r="3785" spans="1:11" ht="20.25" customHeight="1" x14ac:dyDescent="0.25">
      <c r="A3785" s="1006" t="s">
        <v>7699</v>
      </c>
      <c r="B3785" s="1007">
        <v>2025</v>
      </c>
      <c r="C3785" s="1006" t="s">
        <v>1935</v>
      </c>
      <c r="D3785" s="1006" t="s">
        <v>3431</v>
      </c>
      <c r="E3785" s="1006" t="s">
        <v>9514</v>
      </c>
      <c r="F3785" s="465"/>
      <c r="G3785" s="1007">
        <v>0</v>
      </c>
      <c r="H3785" s="465"/>
      <c r="I3785" s="465"/>
      <c r="J3785" s="1008">
        <v>0</v>
      </c>
      <c r="K3785" s="1009">
        <v>0</v>
      </c>
    </row>
    <row r="3786" spans="1:11" ht="20.25" customHeight="1" x14ac:dyDescent="0.25">
      <c r="A3786" s="1006" t="s">
        <v>7699</v>
      </c>
      <c r="B3786" s="1007">
        <v>2025</v>
      </c>
      <c r="C3786" s="1006" t="s">
        <v>1935</v>
      </c>
      <c r="D3786" s="1006" t="s">
        <v>3432</v>
      </c>
      <c r="E3786" s="1006" t="s">
        <v>9515</v>
      </c>
      <c r="F3786" s="465"/>
      <c r="G3786" s="1007">
        <v>0</v>
      </c>
      <c r="H3786" s="465"/>
      <c r="I3786" s="465"/>
      <c r="J3786" s="1008">
        <v>0</v>
      </c>
      <c r="K3786" s="1009">
        <v>0</v>
      </c>
    </row>
    <row r="3787" spans="1:11" ht="20.25" customHeight="1" x14ac:dyDescent="0.25">
      <c r="A3787" s="1006" t="s">
        <v>7699</v>
      </c>
      <c r="B3787" s="1007">
        <v>2025</v>
      </c>
      <c r="C3787" s="1006" t="s">
        <v>1935</v>
      </c>
      <c r="D3787" s="1006" t="s">
        <v>3433</v>
      </c>
      <c r="E3787" s="1006" t="s">
        <v>9516</v>
      </c>
      <c r="F3787" s="465"/>
      <c r="G3787" s="1007">
        <v>0</v>
      </c>
      <c r="H3787" s="465"/>
      <c r="I3787" s="465"/>
      <c r="J3787" s="1008">
        <v>0</v>
      </c>
      <c r="K3787" s="1009">
        <v>0</v>
      </c>
    </row>
    <row r="3788" spans="1:11" ht="20.25" customHeight="1" x14ac:dyDescent="0.25">
      <c r="A3788" s="1006" t="s">
        <v>7709</v>
      </c>
      <c r="B3788" s="1007">
        <v>2025</v>
      </c>
      <c r="C3788" s="1006" t="s">
        <v>1887</v>
      </c>
      <c r="D3788" s="1006" t="s">
        <v>138</v>
      </c>
      <c r="E3788" s="1006" t="s">
        <v>7710</v>
      </c>
      <c r="F3788" s="465"/>
      <c r="G3788" s="1007">
        <v>1</v>
      </c>
      <c r="H3788" s="465"/>
      <c r="I3788" s="465"/>
      <c r="J3788" s="1008">
        <v>0</v>
      </c>
      <c r="K3788" s="1009">
        <v>0</v>
      </c>
    </row>
    <row r="3789" spans="1:11" ht="20.25" customHeight="1" x14ac:dyDescent="0.25">
      <c r="A3789" s="1006" t="s">
        <v>7709</v>
      </c>
      <c r="B3789" s="1007">
        <v>2025</v>
      </c>
      <c r="C3789" s="1006" t="s">
        <v>1889</v>
      </c>
      <c r="D3789" s="1006" t="s">
        <v>139</v>
      </c>
      <c r="E3789" s="1006" t="s">
        <v>7711</v>
      </c>
      <c r="F3789" s="465"/>
      <c r="G3789" s="1007">
        <v>1</v>
      </c>
      <c r="H3789" s="465"/>
      <c r="I3789" s="465"/>
      <c r="J3789" s="1008">
        <v>0</v>
      </c>
      <c r="K3789" s="1009">
        <v>0</v>
      </c>
    </row>
    <row r="3790" spans="1:11" ht="20.25" customHeight="1" x14ac:dyDescent="0.25">
      <c r="A3790" s="1006" t="s">
        <v>7709</v>
      </c>
      <c r="B3790" s="1007">
        <v>2025</v>
      </c>
      <c r="C3790" s="1006" t="s">
        <v>1891</v>
      </c>
      <c r="D3790" s="1006" t="s">
        <v>1894</v>
      </c>
      <c r="E3790" s="1006" t="s">
        <v>7712</v>
      </c>
      <c r="F3790" s="465"/>
      <c r="G3790" s="1007">
        <v>0</v>
      </c>
      <c r="H3790" s="465"/>
      <c r="I3790" s="465"/>
      <c r="J3790" s="1008">
        <v>0</v>
      </c>
      <c r="K3790" s="1009">
        <v>0</v>
      </c>
    </row>
    <row r="3791" spans="1:11" ht="20.25" customHeight="1" x14ac:dyDescent="0.25">
      <c r="A3791" s="1006" t="s">
        <v>7709</v>
      </c>
      <c r="B3791" s="1007">
        <v>2025</v>
      </c>
      <c r="C3791" s="1006" t="s">
        <v>1913</v>
      </c>
      <c r="D3791" s="1006" t="s">
        <v>1914</v>
      </c>
      <c r="E3791" s="1006" t="s">
        <v>7713</v>
      </c>
      <c r="F3791" s="465"/>
      <c r="G3791" s="1007">
        <v>1</v>
      </c>
      <c r="H3791" s="465"/>
      <c r="I3791" s="465"/>
      <c r="J3791" s="1008">
        <v>0</v>
      </c>
      <c r="K3791" s="1009">
        <v>0</v>
      </c>
    </row>
    <row r="3792" spans="1:11" ht="20.25" customHeight="1" x14ac:dyDescent="0.25">
      <c r="A3792" s="1006" t="s">
        <v>7709</v>
      </c>
      <c r="B3792" s="1007">
        <v>2025</v>
      </c>
      <c r="C3792" s="1006" t="s">
        <v>1913</v>
      </c>
      <c r="D3792" s="1006" t="s">
        <v>1916</v>
      </c>
      <c r="E3792" s="1006" t="s">
        <v>7713</v>
      </c>
      <c r="F3792" s="465"/>
      <c r="G3792" s="1007">
        <v>0</v>
      </c>
      <c r="H3792" s="465"/>
      <c r="I3792" s="465"/>
      <c r="J3792" s="1008">
        <v>0</v>
      </c>
      <c r="K3792" s="1009">
        <v>0</v>
      </c>
    </row>
    <row r="3793" spans="1:11" ht="20.25" customHeight="1" x14ac:dyDescent="0.25">
      <c r="A3793" s="1006" t="s">
        <v>7709</v>
      </c>
      <c r="B3793" s="1007">
        <v>2025</v>
      </c>
      <c r="C3793" s="1006" t="s">
        <v>1913</v>
      </c>
      <c r="D3793" s="1006" t="s">
        <v>1917</v>
      </c>
      <c r="E3793" s="1006" t="s">
        <v>7713</v>
      </c>
      <c r="F3793" s="465"/>
      <c r="G3793" s="1007">
        <v>0</v>
      </c>
      <c r="H3793" s="465"/>
      <c r="I3793" s="465"/>
      <c r="J3793" s="1008">
        <v>0</v>
      </c>
      <c r="K3793" s="1009">
        <v>0</v>
      </c>
    </row>
    <row r="3794" spans="1:11" ht="20.25" customHeight="1" x14ac:dyDescent="0.25">
      <c r="A3794" s="1006" t="s">
        <v>7709</v>
      </c>
      <c r="B3794" s="1007">
        <v>2025</v>
      </c>
      <c r="C3794" s="1006" t="s">
        <v>1913</v>
      </c>
      <c r="D3794" s="1006" t="s">
        <v>1918</v>
      </c>
      <c r="E3794" s="1006" t="s">
        <v>7713</v>
      </c>
      <c r="F3794" s="1008">
        <v>-4292.74</v>
      </c>
      <c r="G3794" s="1007">
        <v>0</v>
      </c>
      <c r="H3794" s="465"/>
      <c r="I3794" s="465"/>
      <c r="J3794" s="1008">
        <v>0</v>
      </c>
      <c r="K3794" s="1009">
        <v>-4292.74</v>
      </c>
    </row>
    <row r="3795" spans="1:11" ht="20.25" customHeight="1" x14ac:dyDescent="0.25">
      <c r="A3795" s="1006" t="s">
        <v>7709</v>
      </c>
      <c r="B3795" s="1007">
        <v>2025</v>
      </c>
      <c r="C3795" s="1006" t="s">
        <v>1913</v>
      </c>
      <c r="D3795" s="1006" t="s">
        <v>1919</v>
      </c>
      <c r="E3795" s="1006" t="s">
        <v>7713</v>
      </c>
      <c r="F3795" s="1008">
        <v>276855.17</v>
      </c>
      <c r="G3795" s="1007">
        <v>0</v>
      </c>
      <c r="H3795" s="465"/>
      <c r="I3795" s="465"/>
      <c r="J3795" s="1008">
        <v>0</v>
      </c>
      <c r="K3795" s="1009">
        <v>276855.17</v>
      </c>
    </row>
    <row r="3796" spans="1:11" ht="20.25" customHeight="1" x14ac:dyDescent="0.25">
      <c r="A3796" s="1006" t="s">
        <v>7709</v>
      </c>
      <c r="B3796" s="1007">
        <v>2025</v>
      </c>
      <c r="C3796" s="1006" t="s">
        <v>1923</v>
      </c>
      <c r="D3796" s="1006" t="s">
        <v>143</v>
      </c>
      <c r="E3796" s="1006" t="s">
        <v>7714</v>
      </c>
      <c r="F3796" s="465"/>
      <c r="G3796" s="1007">
        <v>1</v>
      </c>
      <c r="H3796" s="465"/>
      <c r="I3796" s="465"/>
      <c r="J3796" s="1008">
        <v>0</v>
      </c>
      <c r="K3796" s="1009">
        <v>0</v>
      </c>
    </row>
    <row r="3797" spans="1:11" ht="20.25" customHeight="1" x14ac:dyDescent="0.25">
      <c r="A3797" s="1006" t="s">
        <v>7709</v>
      </c>
      <c r="B3797" s="1007">
        <v>2025</v>
      </c>
      <c r="C3797" s="1006" t="s">
        <v>1925</v>
      </c>
      <c r="D3797" s="1006" t="s">
        <v>144</v>
      </c>
      <c r="E3797" s="1006" t="s">
        <v>7715</v>
      </c>
      <c r="F3797" s="465"/>
      <c r="G3797" s="1007">
        <v>1</v>
      </c>
      <c r="H3797" s="465"/>
      <c r="I3797" s="465"/>
      <c r="J3797" s="1008">
        <v>0</v>
      </c>
      <c r="K3797" s="1009">
        <v>0</v>
      </c>
    </row>
    <row r="3798" spans="1:11" ht="20.25" customHeight="1" x14ac:dyDescent="0.25">
      <c r="A3798" s="1006" t="s">
        <v>7709</v>
      </c>
      <c r="B3798" s="1007">
        <v>2025</v>
      </c>
      <c r="C3798" s="1006" t="s">
        <v>1927</v>
      </c>
      <c r="D3798" s="1006" t="s">
        <v>1928</v>
      </c>
      <c r="E3798" s="1006" t="s">
        <v>7716</v>
      </c>
      <c r="F3798" s="465"/>
      <c r="G3798" s="1007">
        <v>1</v>
      </c>
      <c r="H3798" s="465"/>
      <c r="I3798" s="465"/>
      <c r="J3798" s="1008">
        <v>0</v>
      </c>
      <c r="K3798" s="1009">
        <v>0</v>
      </c>
    </row>
    <row r="3799" spans="1:11" ht="20.25" customHeight="1" x14ac:dyDescent="0.25">
      <c r="A3799" s="1006" t="s">
        <v>7709</v>
      </c>
      <c r="B3799" s="1007">
        <v>2025</v>
      </c>
      <c r="C3799" s="1006" t="s">
        <v>1930</v>
      </c>
      <c r="D3799" s="1006" t="s">
        <v>156</v>
      </c>
      <c r="E3799" s="1006" t="s">
        <v>7717</v>
      </c>
      <c r="F3799" s="465"/>
      <c r="G3799" s="1007">
        <v>1</v>
      </c>
      <c r="H3799" s="465"/>
      <c r="I3799" s="465"/>
      <c r="J3799" s="1008">
        <v>0</v>
      </c>
      <c r="K3799" s="1009">
        <v>0</v>
      </c>
    </row>
    <row r="3800" spans="1:11" ht="20.25" customHeight="1" x14ac:dyDescent="0.25">
      <c r="A3800" s="1006" t="s">
        <v>7709</v>
      </c>
      <c r="B3800" s="1007">
        <v>2025</v>
      </c>
      <c r="C3800" s="1006" t="s">
        <v>1932</v>
      </c>
      <c r="D3800" s="1006" t="s">
        <v>3423</v>
      </c>
      <c r="E3800" s="1006" t="s">
        <v>7718</v>
      </c>
      <c r="F3800" s="465"/>
      <c r="G3800" s="1007">
        <v>0</v>
      </c>
      <c r="H3800" s="465"/>
      <c r="I3800" s="465"/>
      <c r="J3800" s="1008">
        <v>0</v>
      </c>
      <c r="K3800" s="1009">
        <v>0</v>
      </c>
    </row>
    <row r="3801" spans="1:11" ht="20.25" customHeight="1" x14ac:dyDescent="0.25">
      <c r="A3801" s="1006" t="s">
        <v>7709</v>
      </c>
      <c r="B3801" s="1007">
        <v>2025</v>
      </c>
      <c r="C3801" s="1006" t="s">
        <v>1935</v>
      </c>
      <c r="D3801" s="1006" t="s">
        <v>1936</v>
      </c>
      <c r="E3801" s="1006" t="s">
        <v>9517</v>
      </c>
      <c r="F3801" s="465"/>
      <c r="G3801" s="1007">
        <v>1</v>
      </c>
      <c r="H3801" s="465"/>
      <c r="I3801" s="465"/>
      <c r="J3801" s="1008">
        <v>0</v>
      </c>
      <c r="K3801" s="1009">
        <v>0</v>
      </c>
    </row>
    <row r="3802" spans="1:11" ht="20.25" customHeight="1" x14ac:dyDescent="0.25">
      <c r="A3802" s="1006" t="s">
        <v>7709</v>
      </c>
      <c r="B3802" s="1007">
        <v>2025</v>
      </c>
      <c r="C3802" s="1006" t="s">
        <v>1935</v>
      </c>
      <c r="D3802" s="1006" t="s">
        <v>1937</v>
      </c>
      <c r="E3802" s="1006" t="s">
        <v>9518</v>
      </c>
      <c r="F3802" s="465"/>
      <c r="G3802" s="1007">
        <v>1</v>
      </c>
      <c r="H3802" s="465"/>
      <c r="I3802" s="465"/>
      <c r="J3802" s="1008">
        <v>0</v>
      </c>
      <c r="K3802" s="1009">
        <v>0</v>
      </c>
    </row>
    <row r="3803" spans="1:11" ht="20.25" customHeight="1" x14ac:dyDescent="0.25">
      <c r="A3803" s="1006" t="s">
        <v>7709</v>
      </c>
      <c r="B3803" s="1007">
        <v>2025</v>
      </c>
      <c r="C3803" s="1006" t="s">
        <v>1935</v>
      </c>
      <c r="D3803" s="1006" t="s">
        <v>1938</v>
      </c>
      <c r="E3803" s="1006" t="s">
        <v>9519</v>
      </c>
      <c r="F3803" s="465"/>
      <c r="G3803" s="1007">
        <v>1</v>
      </c>
      <c r="H3803" s="465"/>
      <c r="I3803" s="465"/>
      <c r="J3803" s="1008">
        <v>0</v>
      </c>
      <c r="K3803" s="1009">
        <v>0</v>
      </c>
    </row>
    <row r="3804" spans="1:11" ht="20.25" customHeight="1" x14ac:dyDescent="0.25">
      <c r="A3804" s="1006" t="s">
        <v>7709</v>
      </c>
      <c r="B3804" s="1007">
        <v>2025</v>
      </c>
      <c r="C3804" s="1006" t="s">
        <v>1935</v>
      </c>
      <c r="D3804" s="1006" t="s">
        <v>1939</v>
      </c>
      <c r="E3804" s="1006" t="s">
        <v>9520</v>
      </c>
      <c r="F3804" s="465"/>
      <c r="G3804" s="1007">
        <v>1</v>
      </c>
      <c r="H3804" s="465"/>
      <c r="I3804" s="465"/>
      <c r="J3804" s="1008">
        <v>0</v>
      </c>
      <c r="K3804" s="1009">
        <v>0</v>
      </c>
    </row>
    <row r="3805" spans="1:11" ht="20.25" customHeight="1" x14ac:dyDescent="0.25">
      <c r="A3805" s="1006" t="s">
        <v>7709</v>
      </c>
      <c r="B3805" s="1007">
        <v>2025</v>
      </c>
      <c r="C3805" s="1006" t="s">
        <v>1935</v>
      </c>
      <c r="D3805" s="1006" t="s">
        <v>1940</v>
      </c>
      <c r="E3805" s="1006" t="s">
        <v>9521</v>
      </c>
      <c r="F3805" s="465"/>
      <c r="G3805" s="1007">
        <v>1</v>
      </c>
      <c r="H3805" s="465"/>
      <c r="I3805" s="465"/>
      <c r="J3805" s="1008">
        <v>0</v>
      </c>
      <c r="K3805" s="1009">
        <v>0</v>
      </c>
    </row>
    <row r="3806" spans="1:11" ht="20.25" customHeight="1" x14ac:dyDescent="0.25">
      <c r="A3806" s="1006" t="s">
        <v>7709</v>
      </c>
      <c r="B3806" s="1007">
        <v>2025</v>
      </c>
      <c r="C3806" s="1006" t="s">
        <v>1935</v>
      </c>
      <c r="D3806" s="1006" t="s">
        <v>1941</v>
      </c>
      <c r="E3806" s="1006" t="s">
        <v>9522</v>
      </c>
      <c r="F3806" s="465"/>
      <c r="G3806" s="1007">
        <v>1</v>
      </c>
      <c r="H3806" s="465"/>
      <c r="I3806" s="465"/>
      <c r="J3806" s="1008">
        <v>0</v>
      </c>
      <c r="K3806" s="1009">
        <v>0</v>
      </c>
    </row>
    <row r="3807" spans="1:11" ht="20.25" customHeight="1" x14ac:dyDescent="0.25">
      <c r="A3807" s="1006" t="s">
        <v>7709</v>
      </c>
      <c r="B3807" s="1007">
        <v>2025</v>
      </c>
      <c r="C3807" s="1006" t="s">
        <v>1935</v>
      </c>
      <c r="D3807" s="1006" t="s">
        <v>1942</v>
      </c>
      <c r="E3807" s="1006" t="s">
        <v>9523</v>
      </c>
      <c r="F3807" s="465"/>
      <c r="G3807" s="1007">
        <v>1</v>
      </c>
      <c r="H3807" s="465"/>
      <c r="I3807" s="465"/>
      <c r="J3807" s="1008">
        <v>0</v>
      </c>
      <c r="K3807" s="1009">
        <v>0</v>
      </c>
    </row>
    <row r="3808" spans="1:11" ht="20.25" customHeight="1" x14ac:dyDescent="0.25">
      <c r="A3808" s="1006" t="s">
        <v>7709</v>
      </c>
      <c r="B3808" s="1007">
        <v>2025</v>
      </c>
      <c r="C3808" s="1006" t="s">
        <v>1935</v>
      </c>
      <c r="D3808" s="1006" t="s">
        <v>1943</v>
      </c>
      <c r="E3808" s="1006" t="s">
        <v>9524</v>
      </c>
      <c r="F3808" s="465"/>
      <c r="G3808" s="1007">
        <v>1</v>
      </c>
      <c r="H3808" s="465"/>
      <c r="I3808" s="465"/>
      <c r="J3808" s="1008">
        <v>0</v>
      </c>
      <c r="K3808" s="1009">
        <v>0</v>
      </c>
    </row>
    <row r="3809" spans="1:11" ht="20.25" customHeight="1" x14ac:dyDescent="0.25">
      <c r="A3809" s="1006" t="s">
        <v>7709</v>
      </c>
      <c r="B3809" s="1007">
        <v>2025</v>
      </c>
      <c r="C3809" s="1006" t="s">
        <v>1935</v>
      </c>
      <c r="D3809" s="1006" t="s">
        <v>1944</v>
      </c>
      <c r="E3809" s="1006" t="s">
        <v>9525</v>
      </c>
      <c r="F3809" s="465"/>
      <c r="G3809" s="1007">
        <v>1</v>
      </c>
      <c r="H3809" s="465"/>
      <c r="I3809" s="465"/>
      <c r="J3809" s="1008">
        <v>0</v>
      </c>
      <c r="K3809" s="1009">
        <v>0</v>
      </c>
    </row>
    <row r="3810" spans="1:11" ht="20.25" customHeight="1" x14ac:dyDescent="0.25">
      <c r="A3810" s="1006" t="s">
        <v>7709</v>
      </c>
      <c r="B3810" s="1007">
        <v>2025</v>
      </c>
      <c r="C3810" s="1006" t="s">
        <v>1935</v>
      </c>
      <c r="D3810" s="1006" t="s">
        <v>1945</v>
      </c>
      <c r="E3810" s="1006" t="s">
        <v>9526</v>
      </c>
      <c r="F3810" s="465"/>
      <c r="G3810" s="1007">
        <v>1</v>
      </c>
      <c r="H3810" s="465"/>
      <c r="I3810" s="465"/>
      <c r="J3810" s="1008">
        <v>0</v>
      </c>
      <c r="K3810" s="1009">
        <v>0</v>
      </c>
    </row>
    <row r="3811" spans="1:11" ht="20.25" customHeight="1" x14ac:dyDescent="0.25">
      <c r="A3811" s="1006" t="s">
        <v>7709</v>
      </c>
      <c r="B3811" s="1007">
        <v>2025</v>
      </c>
      <c r="C3811" s="1006" t="s">
        <v>1935</v>
      </c>
      <c r="D3811" s="1006" t="s">
        <v>1946</v>
      </c>
      <c r="E3811" s="1006" t="s">
        <v>9527</v>
      </c>
      <c r="F3811" s="465"/>
      <c r="G3811" s="1007">
        <v>1</v>
      </c>
      <c r="H3811" s="465"/>
      <c r="I3811" s="465"/>
      <c r="J3811" s="1008">
        <v>0</v>
      </c>
      <c r="K3811" s="1009">
        <v>0</v>
      </c>
    </row>
    <row r="3812" spans="1:11" ht="20.25" customHeight="1" x14ac:dyDescent="0.25">
      <c r="A3812" s="1006" t="s">
        <v>7709</v>
      </c>
      <c r="B3812" s="1007">
        <v>2025</v>
      </c>
      <c r="C3812" s="1006" t="s">
        <v>1935</v>
      </c>
      <c r="D3812" s="1006" t="s">
        <v>1947</v>
      </c>
      <c r="E3812" s="1006" t="s">
        <v>9528</v>
      </c>
      <c r="F3812" s="465"/>
      <c r="G3812" s="1007">
        <v>1</v>
      </c>
      <c r="H3812" s="465"/>
      <c r="I3812" s="465"/>
      <c r="J3812" s="1008">
        <v>0</v>
      </c>
      <c r="K3812" s="1009">
        <v>0</v>
      </c>
    </row>
    <row r="3813" spans="1:11" ht="20.25" customHeight="1" x14ac:dyDescent="0.25">
      <c r="A3813" s="1006" t="s">
        <v>7709</v>
      </c>
      <c r="B3813" s="1007">
        <v>2025</v>
      </c>
      <c r="C3813" s="1006" t="s">
        <v>1935</v>
      </c>
      <c r="D3813" s="1006" t="s">
        <v>1948</v>
      </c>
      <c r="E3813" s="1006" t="s">
        <v>9529</v>
      </c>
      <c r="F3813" s="465"/>
      <c r="G3813" s="1007">
        <v>1</v>
      </c>
      <c r="H3813" s="465"/>
      <c r="I3813" s="465"/>
      <c r="J3813" s="1008">
        <v>0</v>
      </c>
      <c r="K3813" s="1009">
        <v>0</v>
      </c>
    </row>
    <row r="3814" spans="1:11" ht="20.25" customHeight="1" x14ac:dyDescent="0.25">
      <c r="A3814" s="1006" t="s">
        <v>7709</v>
      </c>
      <c r="B3814" s="1007">
        <v>2025</v>
      </c>
      <c r="C3814" s="1006" t="s">
        <v>1935</v>
      </c>
      <c r="D3814" s="1006" t="s">
        <v>1949</v>
      </c>
      <c r="E3814" s="1006" t="s">
        <v>9530</v>
      </c>
      <c r="F3814" s="465"/>
      <c r="G3814" s="1007">
        <v>1</v>
      </c>
      <c r="H3814" s="465"/>
      <c r="I3814" s="465"/>
      <c r="J3814" s="1008">
        <v>0</v>
      </c>
      <c r="K3814" s="1009">
        <v>0</v>
      </c>
    </row>
    <row r="3815" spans="1:11" ht="20.25" customHeight="1" x14ac:dyDescent="0.25">
      <c r="A3815" s="1006" t="s">
        <v>7709</v>
      </c>
      <c r="B3815" s="1007">
        <v>2025</v>
      </c>
      <c r="C3815" s="1006" t="s">
        <v>1935</v>
      </c>
      <c r="D3815" s="1006" t="s">
        <v>1950</v>
      </c>
      <c r="E3815" s="1006" t="s">
        <v>9531</v>
      </c>
      <c r="F3815" s="465"/>
      <c r="G3815" s="1007">
        <v>1</v>
      </c>
      <c r="H3815" s="465"/>
      <c r="I3815" s="465"/>
      <c r="J3815" s="1008">
        <v>0</v>
      </c>
      <c r="K3815" s="1009">
        <v>0</v>
      </c>
    </row>
    <row r="3816" spans="1:11" ht="20.25" customHeight="1" x14ac:dyDescent="0.25">
      <c r="A3816" s="1006" t="s">
        <v>7709</v>
      </c>
      <c r="B3816" s="1007">
        <v>2025</v>
      </c>
      <c r="C3816" s="1006" t="s">
        <v>1935</v>
      </c>
      <c r="D3816" s="1006" t="s">
        <v>1951</v>
      </c>
      <c r="E3816" s="1006" t="s">
        <v>9532</v>
      </c>
      <c r="F3816" s="465"/>
      <c r="G3816" s="1007">
        <v>1</v>
      </c>
      <c r="H3816" s="465"/>
      <c r="I3816" s="465"/>
      <c r="J3816" s="1008">
        <v>0</v>
      </c>
      <c r="K3816" s="1009">
        <v>0</v>
      </c>
    </row>
    <row r="3817" spans="1:11" ht="20.25" customHeight="1" x14ac:dyDescent="0.25">
      <c r="A3817" s="1006" t="s">
        <v>7709</v>
      </c>
      <c r="B3817" s="1007">
        <v>2025</v>
      </c>
      <c r="C3817" s="1006" t="s">
        <v>1935</v>
      </c>
      <c r="D3817" s="1006" t="s">
        <v>7801</v>
      </c>
      <c r="E3817" s="1006" t="s">
        <v>9533</v>
      </c>
      <c r="F3817" s="465"/>
      <c r="G3817" s="1007">
        <v>1</v>
      </c>
      <c r="H3817" s="465"/>
      <c r="I3817" s="465"/>
      <c r="J3817" s="1008">
        <v>0</v>
      </c>
      <c r="K3817" s="1009">
        <v>0</v>
      </c>
    </row>
    <row r="3818" spans="1:11" ht="20.25" customHeight="1" x14ac:dyDescent="0.25">
      <c r="A3818" s="1006" t="s">
        <v>7709</v>
      </c>
      <c r="B3818" s="1007">
        <v>2025</v>
      </c>
      <c r="C3818" s="1006" t="s">
        <v>1935</v>
      </c>
      <c r="D3818" s="1006" t="s">
        <v>3425</v>
      </c>
      <c r="E3818" s="1006" t="s">
        <v>9534</v>
      </c>
      <c r="F3818" s="465"/>
      <c r="G3818" s="1007">
        <v>0</v>
      </c>
      <c r="H3818" s="465"/>
      <c r="I3818" s="465"/>
      <c r="J3818" s="1008">
        <v>0</v>
      </c>
      <c r="K3818" s="1009">
        <v>0</v>
      </c>
    </row>
    <row r="3819" spans="1:11" ht="20.25" customHeight="1" x14ac:dyDescent="0.25">
      <c r="A3819" s="1006" t="s">
        <v>7709</v>
      </c>
      <c r="B3819" s="1007">
        <v>2025</v>
      </c>
      <c r="C3819" s="1006" t="s">
        <v>1935</v>
      </c>
      <c r="D3819" s="1006" t="s">
        <v>3426</v>
      </c>
      <c r="E3819" s="1006" t="s">
        <v>9535</v>
      </c>
      <c r="F3819" s="465"/>
      <c r="G3819" s="1007">
        <v>0</v>
      </c>
      <c r="H3819" s="465"/>
      <c r="I3819" s="465"/>
      <c r="J3819" s="1008">
        <v>0</v>
      </c>
      <c r="K3819" s="1009">
        <v>0</v>
      </c>
    </row>
    <row r="3820" spans="1:11" ht="20.25" customHeight="1" x14ac:dyDescent="0.25">
      <c r="A3820" s="1006" t="s">
        <v>7709</v>
      </c>
      <c r="B3820" s="1007">
        <v>2025</v>
      </c>
      <c r="C3820" s="1006" t="s">
        <v>1935</v>
      </c>
      <c r="D3820" s="1006" t="s">
        <v>3427</v>
      </c>
      <c r="E3820" s="1006" t="s">
        <v>9536</v>
      </c>
      <c r="F3820" s="465"/>
      <c r="G3820" s="1007">
        <v>0</v>
      </c>
      <c r="H3820" s="465"/>
      <c r="I3820" s="465"/>
      <c r="J3820" s="1008">
        <v>0</v>
      </c>
      <c r="K3820" s="1009">
        <v>0</v>
      </c>
    </row>
    <row r="3821" spans="1:11" ht="20.25" customHeight="1" x14ac:dyDescent="0.25">
      <c r="A3821" s="1006" t="s">
        <v>7709</v>
      </c>
      <c r="B3821" s="1007">
        <v>2025</v>
      </c>
      <c r="C3821" s="1006" t="s">
        <v>1935</v>
      </c>
      <c r="D3821" s="1006" t="s">
        <v>3428</v>
      </c>
      <c r="E3821" s="1006" t="s">
        <v>9534</v>
      </c>
      <c r="F3821" s="465"/>
      <c r="G3821" s="1007">
        <v>0</v>
      </c>
      <c r="H3821" s="465"/>
      <c r="I3821" s="465"/>
      <c r="J3821" s="1008">
        <v>0</v>
      </c>
      <c r="K3821" s="1009">
        <v>0</v>
      </c>
    </row>
    <row r="3822" spans="1:11" ht="20.25" customHeight="1" x14ac:dyDescent="0.25">
      <c r="A3822" s="1006" t="s">
        <v>7709</v>
      </c>
      <c r="B3822" s="1007">
        <v>2025</v>
      </c>
      <c r="C3822" s="1006" t="s">
        <v>1935</v>
      </c>
      <c r="D3822" s="1006" t="s">
        <v>3429</v>
      </c>
      <c r="E3822" s="1006" t="s">
        <v>9535</v>
      </c>
      <c r="F3822" s="465"/>
      <c r="G3822" s="1007">
        <v>0</v>
      </c>
      <c r="H3822" s="465"/>
      <c r="I3822" s="465"/>
      <c r="J3822" s="1008">
        <v>0</v>
      </c>
      <c r="K3822" s="1009">
        <v>0</v>
      </c>
    </row>
    <row r="3823" spans="1:11" ht="20.25" customHeight="1" x14ac:dyDescent="0.25">
      <c r="A3823" s="1006" t="s">
        <v>7709</v>
      </c>
      <c r="B3823" s="1007">
        <v>2025</v>
      </c>
      <c r="C3823" s="1006" t="s">
        <v>1935</v>
      </c>
      <c r="D3823" s="1006" t="s">
        <v>3430</v>
      </c>
      <c r="E3823" s="1006" t="s">
        <v>9536</v>
      </c>
      <c r="F3823" s="465"/>
      <c r="G3823" s="1007">
        <v>0</v>
      </c>
      <c r="H3823" s="465"/>
      <c r="I3823" s="465"/>
      <c r="J3823" s="1008">
        <v>0</v>
      </c>
      <c r="K3823" s="1009">
        <v>0</v>
      </c>
    </row>
    <row r="3824" spans="1:11" ht="20.25" customHeight="1" x14ac:dyDescent="0.25">
      <c r="A3824" s="1006" t="s">
        <v>7709</v>
      </c>
      <c r="B3824" s="1007">
        <v>2025</v>
      </c>
      <c r="C3824" s="1006" t="s">
        <v>1935</v>
      </c>
      <c r="D3824" s="1006" t="s">
        <v>3431</v>
      </c>
      <c r="E3824" s="1006" t="s">
        <v>9534</v>
      </c>
      <c r="F3824" s="465"/>
      <c r="G3824" s="1007">
        <v>0</v>
      </c>
      <c r="H3824" s="465"/>
      <c r="I3824" s="465"/>
      <c r="J3824" s="1008">
        <v>0</v>
      </c>
      <c r="K3824" s="1009">
        <v>0</v>
      </c>
    </row>
    <row r="3825" spans="1:11" ht="20.25" customHeight="1" x14ac:dyDescent="0.25">
      <c r="A3825" s="1006" t="s">
        <v>7709</v>
      </c>
      <c r="B3825" s="1007">
        <v>2025</v>
      </c>
      <c r="C3825" s="1006" t="s">
        <v>1935</v>
      </c>
      <c r="D3825" s="1006" t="s">
        <v>3432</v>
      </c>
      <c r="E3825" s="1006" t="s">
        <v>9535</v>
      </c>
      <c r="F3825" s="465"/>
      <c r="G3825" s="1007">
        <v>0</v>
      </c>
      <c r="H3825" s="465"/>
      <c r="I3825" s="465"/>
      <c r="J3825" s="1008">
        <v>0</v>
      </c>
      <c r="K3825" s="1009">
        <v>0</v>
      </c>
    </row>
    <row r="3826" spans="1:11" ht="20.25" customHeight="1" x14ac:dyDescent="0.25">
      <c r="A3826" s="1006" t="s">
        <v>7709</v>
      </c>
      <c r="B3826" s="1007">
        <v>2025</v>
      </c>
      <c r="C3826" s="1006" t="s">
        <v>1935</v>
      </c>
      <c r="D3826" s="1006" t="s">
        <v>3433</v>
      </c>
      <c r="E3826" s="1006" t="s">
        <v>9536</v>
      </c>
      <c r="F3826" s="465"/>
      <c r="G3826" s="1007">
        <v>0</v>
      </c>
      <c r="H3826" s="465"/>
      <c r="I3826" s="465"/>
      <c r="J3826" s="1008">
        <v>0</v>
      </c>
      <c r="K3826" s="1009">
        <v>0</v>
      </c>
    </row>
    <row r="3827" spans="1:11" ht="20.25" customHeight="1" x14ac:dyDescent="0.25">
      <c r="A3827" s="1006" t="s">
        <v>6462</v>
      </c>
      <c r="B3827" s="1007">
        <v>2025</v>
      </c>
      <c r="C3827" s="1006" t="s">
        <v>1887</v>
      </c>
      <c r="D3827" s="1006" t="s">
        <v>138</v>
      </c>
      <c r="E3827" s="1006" t="s">
        <v>6463</v>
      </c>
      <c r="F3827" s="465"/>
      <c r="G3827" s="1007">
        <v>1</v>
      </c>
      <c r="H3827" s="1008">
        <v>45996</v>
      </c>
      <c r="I3827" s="1008">
        <v>403</v>
      </c>
      <c r="J3827" s="1008">
        <v>46399</v>
      </c>
      <c r="K3827" s="1009">
        <v>46399</v>
      </c>
    </row>
    <row r="3828" spans="1:11" ht="20.25" customHeight="1" x14ac:dyDescent="0.25">
      <c r="A3828" s="1006" t="s">
        <v>6462</v>
      </c>
      <c r="B3828" s="1007">
        <v>2025</v>
      </c>
      <c r="C3828" s="1006" t="s">
        <v>1889</v>
      </c>
      <c r="D3828" s="1006" t="s">
        <v>139</v>
      </c>
      <c r="E3828" s="1006" t="s">
        <v>6464</v>
      </c>
      <c r="F3828" s="465"/>
      <c r="G3828" s="1007">
        <v>1</v>
      </c>
      <c r="H3828" s="1008">
        <v>-9303</v>
      </c>
      <c r="I3828" s="1008">
        <v>-419</v>
      </c>
      <c r="J3828" s="1008">
        <v>-9722</v>
      </c>
      <c r="K3828" s="1009">
        <v>-9722</v>
      </c>
    </row>
    <row r="3829" spans="1:11" ht="20.25" customHeight="1" x14ac:dyDescent="0.25">
      <c r="A3829" s="1006" t="s">
        <v>6462</v>
      </c>
      <c r="B3829" s="1007">
        <v>2025</v>
      </c>
      <c r="C3829" s="1006" t="s">
        <v>1891</v>
      </c>
      <c r="D3829" s="1006" t="s">
        <v>1894</v>
      </c>
      <c r="E3829" s="1006" t="s">
        <v>6465</v>
      </c>
      <c r="F3829" s="465"/>
      <c r="G3829" s="1007">
        <v>0</v>
      </c>
      <c r="H3829" s="465"/>
      <c r="I3829" s="465"/>
      <c r="J3829" s="1008">
        <v>0</v>
      </c>
      <c r="K3829" s="1009">
        <v>0</v>
      </c>
    </row>
    <row r="3830" spans="1:11" ht="20.25" customHeight="1" x14ac:dyDescent="0.25">
      <c r="A3830" s="1006" t="s">
        <v>6462</v>
      </c>
      <c r="B3830" s="1007">
        <v>2025</v>
      </c>
      <c r="C3830" s="1006" t="s">
        <v>1913</v>
      </c>
      <c r="D3830" s="1006" t="s">
        <v>1914</v>
      </c>
      <c r="E3830" s="1006" t="s">
        <v>6466</v>
      </c>
      <c r="F3830" s="465"/>
      <c r="G3830" s="1007">
        <v>1</v>
      </c>
      <c r="H3830" s="1008">
        <v>3185</v>
      </c>
      <c r="I3830" s="1008">
        <v>361</v>
      </c>
      <c r="J3830" s="1008">
        <v>3546</v>
      </c>
      <c r="K3830" s="1009">
        <v>3546</v>
      </c>
    </row>
    <row r="3831" spans="1:11" ht="20.25" customHeight="1" x14ac:dyDescent="0.25">
      <c r="A3831" s="1006" t="s">
        <v>6462</v>
      </c>
      <c r="B3831" s="1007">
        <v>2025</v>
      </c>
      <c r="C3831" s="1006" t="s">
        <v>1913</v>
      </c>
      <c r="D3831" s="1006" t="s">
        <v>1916</v>
      </c>
      <c r="E3831" s="1006" t="s">
        <v>6466</v>
      </c>
      <c r="F3831" s="465"/>
      <c r="G3831" s="1007">
        <v>0</v>
      </c>
      <c r="H3831" s="465"/>
      <c r="I3831" s="465"/>
      <c r="J3831" s="1008">
        <v>0</v>
      </c>
      <c r="K3831" s="1009">
        <v>0</v>
      </c>
    </row>
    <row r="3832" spans="1:11" ht="20.25" customHeight="1" x14ac:dyDescent="0.25">
      <c r="A3832" s="1006" t="s">
        <v>6462</v>
      </c>
      <c r="B3832" s="1007">
        <v>2025</v>
      </c>
      <c r="C3832" s="1006" t="s">
        <v>1913</v>
      </c>
      <c r="D3832" s="1006" t="s">
        <v>1917</v>
      </c>
      <c r="E3832" s="1006" t="s">
        <v>6466</v>
      </c>
      <c r="F3832" s="465"/>
      <c r="G3832" s="1007">
        <v>0</v>
      </c>
      <c r="H3832" s="465"/>
      <c r="I3832" s="465"/>
      <c r="J3832" s="1008">
        <v>0</v>
      </c>
      <c r="K3832" s="1009">
        <v>0</v>
      </c>
    </row>
    <row r="3833" spans="1:11" ht="20.25" customHeight="1" x14ac:dyDescent="0.25">
      <c r="A3833" s="1006" t="s">
        <v>6462</v>
      </c>
      <c r="B3833" s="1007">
        <v>2025</v>
      </c>
      <c r="C3833" s="1006" t="s">
        <v>1913</v>
      </c>
      <c r="D3833" s="1006" t="s">
        <v>1918</v>
      </c>
      <c r="E3833" s="1006" t="s">
        <v>6466</v>
      </c>
      <c r="F3833" s="1008">
        <v>-46</v>
      </c>
      <c r="G3833" s="1007">
        <v>0</v>
      </c>
      <c r="H3833" s="465"/>
      <c r="I3833" s="465"/>
      <c r="J3833" s="1008">
        <v>0</v>
      </c>
      <c r="K3833" s="1009">
        <v>-46</v>
      </c>
    </row>
    <row r="3834" spans="1:11" ht="20.25" customHeight="1" x14ac:dyDescent="0.25">
      <c r="A3834" s="1006" t="s">
        <v>6462</v>
      </c>
      <c r="B3834" s="1007">
        <v>2025</v>
      </c>
      <c r="C3834" s="1006" t="s">
        <v>1913</v>
      </c>
      <c r="D3834" s="1006" t="s">
        <v>1919</v>
      </c>
      <c r="E3834" s="1006" t="s">
        <v>6466</v>
      </c>
      <c r="F3834" s="1008">
        <v>-662</v>
      </c>
      <c r="G3834" s="1007">
        <v>0</v>
      </c>
      <c r="H3834" s="465"/>
      <c r="I3834" s="465"/>
      <c r="J3834" s="1008">
        <v>0</v>
      </c>
      <c r="K3834" s="1009">
        <v>-662</v>
      </c>
    </row>
    <row r="3835" spans="1:11" ht="20.25" customHeight="1" x14ac:dyDescent="0.25">
      <c r="A3835" s="1006" t="s">
        <v>6462</v>
      </c>
      <c r="B3835" s="1007">
        <v>2025</v>
      </c>
      <c r="C3835" s="1006" t="s">
        <v>1923</v>
      </c>
      <c r="D3835" s="1006" t="s">
        <v>143</v>
      </c>
      <c r="E3835" s="1006" t="s">
        <v>6467</v>
      </c>
      <c r="F3835" s="465"/>
      <c r="G3835" s="1007">
        <v>1</v>
      </c>
      <c r="H3835" s="1008">
        <v>40463</v>
      </c>
      <c r="I3835" s="1008">
        <v>1747</v>
      </c>
      <c r="J3835" s="1008">
        <v>42210</v>
      </c>
      <c r="K3835" s="1009">
        <v>42210</v>
      </c>
    </row>
    <row r="3836" spans="1:11" ht="20.25" customHeight="1" x14ac:dyDescent="0.25">
      <c r="A3836" s="1006" t="s">
        <v>6462</v>
      </c>
      <c r="B3836" s="1007">
        <v>2025</v>
      </c>
      <c r="C3836" s="1006" t="s">
        <v>1925</v>
      </c>
      <c r="D3836" s="1006" t="s">
        <v>144</v>
      </c>
      <c r="E3836" s="1006" t="s">
        <v>6468</v>
      </c>
      <c r="F3836" s="465"/>
      <c r="G3836" s="1007">
        <v>1</v>
      </c>
      <c r="H3836" s="1008">
        <v>52159</v>
      </c>
      <c r="I3836" s="1008">
        <v>2203</v>
      </c>
      <c r="J3836" s="1008">
        <v>54362</v>
      </c>
      <c r="K3836" s="1009">
        <v>54362</v>
      </c>
    </row>
    <row r="3837" spans="1:11" ht="20.25" customHeight="1" x14ac:dyDescent="0.25">
      <c r="A3837" s="1006" t="s">
        <v>6462</v>
      </c>
      <c r="B3837" s="1007">
        <v>2025</v>
      </c>
      <c r="C3837" s="1006" t="s">
        <v>1927</v>
      </c>
      <c r="D3837" s="1006" t="s">
        <v>1928</v>
      </c>
      <c r="E3837" s="1006" t="s">
        <v>6469</v>
      </c>
      <c r="F3837" s="465"/>
      <c r="G3837" s="1007">
        <v>1</v>
      </c>
      <c r="H3837" s="1008">
        <v>912477</v>
      </c>
      <c r="I3837" s="1008">
        <v>101666</v>
      </c>
      <c r="J3837" s="1008">
        <v>1014143</v>
      </c>
      <c r="K3837" s="1009">
        <v>1014143</v>
      </c>
    </row>
    <row r="3838" spans="1:11" ht="20.25" customHeight="1" x14ac:dyDescent="0.25">
      <c r="A3838" s="1006" t="s">
        <v>6462</v>
      </c>
      <c r="B3838" s="1007">
        <v>2025</v>
      </c>
      <c r="C3838" s="1006" t="s">
        <v>1930</v>
      </c>
      <c r="D3838" s="1006" t="s">
        <v>156</v>
      </c>
      <c r="E3838" s="1006" t="s">
        <v>6470</v>
      </c>
      <c r="F3838" s="465"/>
      <c r="G3838" s="1007">
        <v>1</v>
      </c>
      <c r="H3838" s="1008">
        <v>-36328</v>
      </c>
      <c r="I3838" s="1008">
        <v>15967</v>
      </c>
      <c r="J3838" s="1008">
        <v>-20361</v>
      </c>
      <c r="K3838" s="1009">
        <v>-20361</v>
      </c>
    </row>
    <row r="3839" spans="1:11" ht="20.25" customHeight="1" x14ac:dyDescent="0.25">
      <c r="A3839" s="1006" t="s">
        <v>6462</v>
      </c>
      <c r="B3839" s="1007">
        <v>2025</v>
      </c>
      <c r="C3839" s="1006" t="s">
        <v>1932</v>
      </c>
      <c r="D3839" s="1006" t="s">
        <v>3423</v>
      </c>
      <c r="E3839" s="1006" t="s">
        <v>6471</v>
      </c>
      <c r="F3839" s="465"/>
      <c r="G3839" s="1007">
        <v>0</v>
      </c>
      <c r="H3839" s="465"/>
      <c r="I3839" s="465"/>
      <c r="J3839" s="1008">
        <v>0</v>
      </c>
      <c r="K3839" s="1009">
        <v>0</v>
      </c>
    </row>
    <row r="3840" spans="1:11" ht="20.25" customHeight="1" x14ac:dyDescent="0.25">
      <c r="A3840" s="1006" t="s">
        <v>6462</v>
      </c>
      <c r="B3840" s="1007">
        <v>2025</v>
      </c>
      <c r="C3840" s="1006" t="s">
        <v>1935</v>
      </c>
      <c r="D3840" s="1006" t="s">
        <v>1936</v>
      </c>
      <c r="E3840" s="1006" t="s">
        <v>9537</v>
      </c>
      <c r="F3840" s="465"/>
      <c r="G3840" s="1007">
        <v>1</v>
      </c>
      <c r="H3840" s="465"/>
      <c r="I3840" s="465"/>
      <c r="J3840" s="1008">
        <v>0</v>
      </c>
      <c r="K3840" s="1009">
        <v>0</v>
      </c>
    </row>
    <row r="3841" spans="1:11" ht="20.25" customHeight="1" x14ac:dyDescent="0.25">
      <c r="A3841" s="1006" t="s">
        <v>6462</v>
      </c>
      <c r="B3841" s="1007">
        <v>2025</v>
      </c>
      <c r="C3841" s="1006" t="s">
        <v>1935</v>
      </c>
      <c r="D3841" s="1006" t="s">
        <v>1937</v>
      </c>
      <c r="E3841" s="1006" t="s">
        <v>9538</v>
      </c>
      <c r="F3841" s="465"/>
      <c r="G3841" s="1007">
        <v>1</v>
      </c>
      <c r="H3841" s="465"/>
      <c r="I3841" s="465"/>
      <c r="J3841" s="1008">
        <v>0</v>
      </c>
      <c r="K3841" s="1009">
        <v>0</v>
      </c>
    </row>
    <row r="3842" spans="1:11" ht="20.25" customHeight="1" x14ac:dyDescent="0.25">
      <c r="A3842" s="1006" t="s">
        <v>6462</v>
      </c>
      <c r="B3842" s="1007">
        <v>2025</v>
      </c>
      <c r="C3842" s="1006" t="s">
        <v>1935</v>
      </c>
      <c r="D3842" s="1006" t="s">
        <v>1938</v>
      </c>
      <c r="E3842" s="1006" t="s">
        <v>9539</v>
      </c>
      <c r="F3842" s="465"/>
      <c r="G3842" s="1007">
        <v>1</v>
      </c>
      <c r="H3842" s="465"/>
      <c r="I3842" s="465"/>
      <c r="J3842" s="1008">
        <v>0</v>
      </c>
      <c r="K3842" s="1009">
        <v>0</v>
      </c>
    </row>
    <row r="3843" spans="1:11" ht="20.25" customHeight="1" x14ac:dyDescent="0.25">
      <c r="A3843" s="1006" t="s">
        <v>6462</v>
      </c>
      <c r="B3843" s="1007">
        <v>2025</v>
      </c>
      <c r="C3843" s="1006" t="s">
        <v>1935</v>
      </c>
      <c r="D3843" s="1006" t="s">
        <v>1939</v>
      </c>
      <c r="E3843" s="1006" t="s">
        <v>9540</v>
      </c>
      <c r="F3843" s="465"/>
      <c r="G3843" s="1007">
        <v>1</v>
      </c>
      <c r="H3843" s="465"/>
      <c r="I3843" s="465"/>
      <c r="J3843" s="1008">
        <v>0</v>
      </c>
      <c r="K3843" s="1009">
        <v>0</v>
      </c>
    </row>
    <row r="3844" spans="1:11" ht="20.25" customHeight="1" x14ac:dyDescent="0.25">
      <c r="A3844" s="1006" t="s">
        <v>6462</v>
      </c>
      <c r="B3844" s="1007">
        <v>2025</v>
      </c>
      <c r="C3844" s="1006" t="s">
        <v>1935</v>
      </c>
      <c r="D3844" s="1006" t="s">
        <v>1940</v>
      </c>
      <c r="E3844" s="1006" t="s">
        <v>9541</v>
      </c>
      <c r="F3844" s="465"/>
      <c r="G3844" s="1007">
        <v>1</v>
      </c>
      <c r="H3844" s="465"/>
      <c r="I3844" s="465"/>
      <c r="J3844" s="1008">
        <v>0</v>
      </c>
      <c r="K3844" s="1009">
        <v>0</v>
      </c>
    </row>
    <row r="3845" spans="1:11" ht="20.25" customHeight="1" x14ac:dyDescent="0.25">
      <c r="A3845" s="1006" t="s">
        <v>6462</v>
      </c>
      <c r="B3845" s="1007">
        <v>2025</v>
      </c>
      <c r="C3845" s="1006" t="s">
        <v>1935</v>
      </c>
      <c r="D3845" s="1006" t="s">
        <v>1941</v>
      </c>
      <c r="E3845" s="1006" t="s">
        <v>9542</v>
      </c>
      <c r="F3845" s="465"/>
      <c r="G3845" s="1007">
        <v>1</v>
      </c>
      <c r="H3845" s="465"/>
      <c r="I3845" s="465"/>
      <c r="J3845" s="1008">
        <v>0</v>
      </c>
      <c r="K3845" s="1009">
        <v>0</v>
      </c>
    </row>
    <row r="3846" spans="1:11" ht="20.25" customHeight="1" x14ac:dyDescent="0.25">
      <c r="A3846" s="1006" t="s">
        <v>6462</v>
      </c>
      <c r="B3846" s="1007">
        <v>2025</v>
      </c>
      <c r="C3846" s="1006" t="s">
        <v>1935</v>
      </c>
      <c r="D3846" s="1006" t="s">
        <v>1942</v>
      </c>
      <c r="E3846" s="1006" t="s">
        <v>9543</v>
      </c>
      <c r="F3846" s="465"/>
      <c r="G3846" s="1007">
        <v>1</v>
      </c>
      <c r="H3846" s="465"/>
      <c r="I3846" s="465"/>
      <c r="J3846" s="1008">
        <v>0</v>
      </c>
      <c r="K3846" s="1009">
        <v>0</v>
      </c>
    </row>
    <row r="3847" spans="1:11" ht="20.25" customHeight="1" x14ac:dyDescent="0.25">
      <c r="A3847" s="1006" t="s">
        <v>6462</v>
      </c>
      <c r="B3847" s="1007">
        <v>2025</v>
      </c>
      <c r="C3847" s="1006" t="s">
        <v>1935</v>
      </c>
      <c r="D3847" s="1006" t="s">
        <v>1943</v>
      </c>
      <c r="E3847" s="1006" t="s">
        <v>9544</v>
      </c>
      <c r="F3847" s="465"/>
      <c r="G3847" s="1007">
        <v>1</v>
      </c>
      <c r="H3847" s="465"/>
      <c r="I3847" s="465"/>
      <c r="J3847" s="1008">
        <v>0</v>
      </c>
      <c r="K3847" s="1009">
        <v>0</v>
      </c>
    </row>
    <row r="3848" spans="1:11" ht="20.25" customHeight="1" x14ac:dyDescent="0.25">
      <c r="A3848" s="1006" t="s">
        <v>6462</v>
      </c>
      <c r="B3848" s="1007">
        <v>2025</v>
      </c>
      <c r="C3848" s="1006" t="s">
        <v>1935</v>
      </c>
      <c r="D3848" s="1006" t="s">
        <v>1944</v>
      </c>
      <c r="E3848" s="1006" t="s">
        <v>9545</v>
      </c>
      <c r="F3848" s="465"/>
      <c r="G3848" s="1007">
        <v>1</v>
      </c>
      <c r="H3848" s="465"/>
      <c r="I3848" s="465"/>
      <c r="J3848" s="1008">
        <v>0</v>
      </c>
      <c r="K3848" s="1009">
        <v>0</v>
      </c>
    </row>
    <row r="3849" spans="1:11" ht="20.25" customHeight="1" x14ac:dyDescent="0.25">
      <c r="A3849" s="1006" t="s">
        <v>6462</v>
      </c>
      <c r="B3849" s="1007">
        <v>2025</v>
      </c>
      <c r="C3849" s="1006" t="s">
        <v>1935</v>
      </c>
      <c r="D3849" s="1006" t="s">
        <v>1945</v>
      </c>
      <c r="E3849" s="1006" t="s">
        <v>9546</v>
      </c>
      <c r="F3849" s="465"/>
      <c r="G3849" s="1007">
        <v>1</v>
      </c>
      <c r="H3849" s="465"/>
      <c r="I3849" s="465"/>
      <c r="J3849" s="1008">
        <v>0</v>
      </c>
      <c r="K3849" s="1009">
        <v>0</v>
      </c>
    </row>
    <row r="3850" spans="1:11" ht="20.25" customHeight="1" x14ac:dyDescent="0.25">
      <c r="A3850" s="1006" t="s">
        <v>6462</v>
      </c>
      <c r="B3850" s="1007">
        <v>2025</v>
      </c>
      <c r="C3850" s="1006" t="s">
        <v>1935</v>
      </c>
      <c r="D3850" s="1006" t="s">
        <v>1946</v>
      </c>
      <c r="E3850" s="1006" t="s">
        <v>9547</v>
      </c>
      <c r="F3850" s="465"/>
      <c r="G3850" s="1007">
        <v>1</v>
      </c>
      <c r="H3850" s="465"/>
      <c r="I3850" s="465"/>
      <c r="J3850" s="1008">
        <v>0</v>
      </c>
      <c r="K3850" s="1009">
        <v>0</v>
      </c>
    </row>
    <row r="3851" spans="1:11" ht="20.25" customHeight="1" x14ac:dyDescent="0.25">
      <c r="A3851" s="1006" t="s">
        <v>6462</v>
      </c>
      <c r="B3851" s="1007">
        <v>2025</v>
      </c>
      <c r="C3851" s="1006" t="s">
        <v>1935</v>
      </c>
      <c r="D3851" s="1006" t="s">
        <v>1947</v>
      </c>
      <c r="E3851" s="1006" t="s">
        <v>9548</v>
      </c>
      <c r="F3851" s="465"/>
      <c r="G3851" s="1007">
        <v>1</v>
      </c>
      <c r="H3851" s="465"/>
      <c r="I3851" s="465"/>
      <c r="J3851" s="1008">
        <v>0</v>
      </c>
      <c r="K3851" s="1009">
        <v>0</v>
      </c>
    </row>
    <row r="3852" spans="1:11" ht="20.25" customHeight="1" x14ac:dyDescent="0.25">
      <c r="A3852" s="1006" t="s">
        <v>6462</v>
      </c>
      <c r="B3852" s="1007">
        <v>2025</v>
      </c>
      <c r="C3852" s="1006" t="s">
        <v>1935</v>
      </c>
      <c r="D3852" s="1006" t="s">
        <v>1948</v>
      </c>
      <c r="E3852" s="1006" t="s">
        <v>9549</v>
      </c>
      <c r="F3852" s="465"/>
      <c r="G3852" s="1007">
        <v>1</v>
      </c>
      <c r="H3852" s="465"/>
      <c r="I3852" s="465"/>
      <c r="J3852" s="1008">
        <v>0</v>
      </c>
      <c r="K3852" s="1009">
        <v>0</v>
      </c>
    </row>
    <row r="3853" spans="1:11" ht="20.25" customHeight="1" x14ac:dyDescent="0.25">
      <c r="A3853" s="1006" t="s">
        <v>6462</v>
      </c>
      <c r="B3853" s="1007">
        <v>2025</v>
      </c>
      <c r="C3853" s="1006" t="s">
        <v>1935</v>
      </c>
      <c r="D3853" s="1006" t="s">
        <v>1949</v>
      </c>
      <c r="E3853" s="1006" t="s">
        <v>9550</v>
      </c>
      <c r="F3853" s="465"/>
      <c r="G3853" s="1007">
        <v>1</v>
      </c>
      <c r="H3853" s="1008">
        <v>909544</v>
      </c>
      <c r="I3853" s="1008">
        <v>-514558</v>
      </c>
      <c r="J3853" s="1008">
        <v>394986</v>
      </c>
      <c r="K3853" s="1009">
        <v>394986</v>
      </c>
    </row>
    <row r="3854" spans="1:11" ht="20.25" customHeight="1" x14ac:dyDescent="0.25">
      <c r="A3854" s="1006" t="s">
        <v>6462</v>
      </c>
      <c r="B3854" s="1007">
        <v>2025</v>
      </c>
      <c r="C3854" s="1006" t="s">
        <v>1935</v>
      </c>
      <c r="D3854" s="1006" t="s">
        <v>1950</v>
      </c>
      <c r="E3854" s="1006" t="s">
        <v>9551</v>
      </c>
      <c r="F3854" s="465"/>
      <c r="G3854" s="1007">
        <v>1</v>
      </c>
      <c r="H3854" s="1008">
        <v>1771</v>
      </c>
      <c r="I3854" s="1008">
        <v>-264</v>
      </c>
      <c r="J3854" s="1008">
        <v>1507</v>
      </c>
      <c r="K3854" s="1009">
        <v>1507</v>
      </c>
    </row>
    <row r="3855" spans="1:11" ht="20.25" customHeight="1" x14ac:dyDescent="0.25">
      <c r="A3855" s="1006" t="s">
        <v>6462</v>
      </c>
      <c r="B3855" s="1007">
        <v>2025</v>
      </c>
      <c r="C3855" s="1006" t="s">
        <v>1935</v>
      </c>
      <c r="D3855" s="1006" t="s">
        <v>1951</v>
      </c>
      <c r="E3855" s="1006" t="s">
        <v>9552</v>
      </c>
      <c r="F3855" s="465"/>
      <c r="G3855" s="1007">
        <v>1</v>
      </c>
      <c r="H3855" s="465"/>
      <c r="I3855" s="465"/>
      <c r="J3855" s="1008">
        <v>0</v>
      </c>
      <c r="K3855" s="1009">
        <v>0</v>
      </c>
    </row>
    <row r="3856" spans="1:11" ht="20.25" customHeight="1" x14ac:dyDescent="0.25">
      <c r="A3856" s="1006" t="s">
        <v>6462</v>
      </c>
      <c r="B3856" s="1007">
        <v>2025</v>
      </c>
      <c r="C3856" s="1006" t="s">
        <v>1935</v>
      </c>
      <c r="D3856" s="1006" t="s">
        <v>7801</v>
      </c>
      <c r="E3856" s="1006" t="s">
        <v>9553</v>
      </c>
      <c r="F3856" s="465"/>
      <c r="G3856" s="1007">
        <v>1</v>
      </c>
      <c r="H3856" s="1008">
        <v>23656</v>
      </c>
      <c r="I3856" s="1008">
        <v>47349</v>
      </c>
      <c r="J3856" s="1008">
        <v>71005</v>
      </c>
      <c r="K3856" s="1009">
        <v>71005</v>
      </c>
    </row>
    <row r="3857" spans="1:11" ht="20.25" customHeight="1" x14ac:dyDescent="0.25">
      <c r="A3857" s="1006" t="s">
        <v>6462</v>
      </c>
      <c r="B3857" s="1007">
        <v>2025</v>
      </c>
      <c r="C3857" s="1006" t="s">
        <v>1935</v>
      </c>
      <c r="D3857" s="1006" t="s">
        <v>3425</v>
      </c>
      <c r="E3857" s="1006" t="s">
        <v>9554</v>
      </c>
      <c r="F3857" s="465"/>
      <c r="G3857" s="1007">
        <v>0</v>
      </c>
      <c r="H3857" s="465"/>
      <c r="I3857" s="465"/>
      <c r="J3857" s="1008">
        <v>0</v>
      </c>
      <c r="K3857" s="1009">
        <v>0</v>
      </c>
    </row>
    <row r="3858" spans="1:11" ht="20.25" customHeight="1" x14ac:dyDescent="0.25">
      <c r="A3858" s="1006" t="s">
        <v>6462</v>
      </c>
      <c r="B3858" s="1007">
        <v>2025</v>
      </c>
      <c r="C3858" s="1006" t="s">
        <v>1935</v>
      </c>
      <c r="D3858" s="1006" t="s">
        <v>3426</v>
      </c>
      <c r="E3858" s="1006" t="s">
        <v>9555</v>
      </c>
      <c r="F3858" s="465"/>
      <c r="G3858" s="1007">
        <v>0</v>
      </c>
      <c r="H3858" s="465"/>
      <c r="I3858" s="465"/>
      <c r="J3858" s="1008">
        <v>0</v>
      </c>
      <c r="K3858" s="1009">
        <v>0</v>
      </c>
    </row>
    <row r="3859" spans="1:11" ht="20.25" customHeight="1" x14ac:dyDescent="0.25">
      <c r="A3859" s="1006" t="s">
        <v>6462</v>
      </c>
      <c r="B3859" s="1007">
        <v>2025</v>
      </c>
      <c r="C3859" s="1006" t="s">
        <v>1935</v>
      </c>
      <c r="D3859" s="1006" t="s">
        <v>3427</v>
      </c>
      <c r="E3859" s="1006" t="s">
        <v>9556</v>
      </c>
      <c r="F3859" s="465"/>
      <c r="G3859" s="1007">
        <v>0</v>
      </c>
      <c r="H3859" s="465"/>
      <c r="I3859" s="465"/>
      <c r="J3859" s="1008">
        <v>0</v>
      </c>
      <c r="K3859" s="1009">
        <v>0</v>
      </c>
    </row>
    <row r="3860" spans="1:11" ht="20.25" customHeight="1" x14ac:dyDescent="0.25">
      <c r="A3860" s="1006" t="s">
        <v>6462</v>
      </c>
      <c r="B3860" s="1007">
        <v>2025</v>
      </c>
      <c r="C3860" s="1006" t="s">
        <v>1935</v>
      </c>
      <c r="D3860" s="1006" t="s">
        <v>3428</v>
      </c>
      <c r="E3860" s="1006" t="s">
        <v>9554</v>
      </c>
      <c r="F3860" s="465"/>
      <c r="G3860" s="1007">
        <v>0</v>
      </c>
      <c r="H3860" s="465"/>
      <c r="I3860" s="465"/>
      <c r="J3860" s="1008">
        <v>0</v>
      </c>
      <c r="K3860" s="1009">
        <v>0</v>
      </c>
    </row>
    <row r="3861" spans="1:11" ht="20.25" customHeight="1" x14ac:dyDescent="0.25">
      <c r="A3861" s="1006" t="s">
        <v>6462</v>
      </c>
      <c r="B3861" s="1007">
        <v>2025</v>
      </c>
      <c r="C3861" s="1006" t="s">
        <v>1935</v>
      </c>
      <c r="D3861" s="1006" t="s">
        <v>3429</v>
      </c>
      <c r="E3861" s="1006" t="s">
        <v>9555</v>
      </c>
      <c r="F3861" s="465"/>
      <c r="G3861" s="1007">
        <v>0</v>
      </c>
      <c r="H3861" s="465"/>
      <c r="I3861" s="465"/>
      <c r="J3861" s="1008">
        <v>0</v>
      </c>
      <c r="K3861" s="1009">
        <v>0</v>
      </c>
    </row>
    <row r="3862" spans="1:11" ht="20.25" customHeight="1" x14ac:dyDescent="0.25">
      <c r="A3862" s="1006" t="s">
        <v>6462</v>
      </c>
      <c r="B3862" s="1007">
        <v>2025</v>
      </c>
      <c r="C3862" s="1006" t="s">
        <v>1935</v>
      </c>
      <c r="D3862" s="1006" t="s">
        <v>3430</v>
      </c>
      <c r="E3862" s="1006" t="s">
        <v>9556</v>
      </c>
      <c r="F3862" s="465"/>
      <c r="G3862" s="1007">
        <v>0</v>
      </c>
      <c r="H3862" s="465"/>
      <c r="I3862" s="465"/>
      <c r="J3862" s="1008">
        <v>0</v>
      </c>
      <c r="K3862" s="1009">
        <v>0</v>
      </c>
    </row>
    <row r="3863" spans="1:11" ht="20.25" customHeight="1" x14ac:dyDescent="0.25">
      <c r="A3863" s="1006" t="s">
        <v>6462</v>
      </c>
      <c r="B3863" s="1007">
        <v>2025</v>
      </c>
      <c r="C3863" s="1006" t="s">
        <v>1935</v>
      </c>
      <c r="D3863" s="1006" t="s">
        <v>3431</v>
      </c>
      <c r="E3863" s="1006" t="s">
        <v>9554</v>
      </c>
      <c r="F3863" s="465"/>
      <c r="G3863" s="1007">
        <v>0</v>
      </c>
      <c r="H3863" s="465"/>
      <c r="I3863" s="465"/>
      <c r="J3863" s="1008">
        <v>0</v>
      </c>
      <c r="K3863" s="1009">
        <v>0</v>
      </c>
    </row>
    <row r="3864" spans="1:11" ht="20.25" customHeight="1" x14ac:dyDescent="0.25">
      <c r="A3864" s="1006" t="s">
        <v>6462</v>
      </c>
      <c r="B3864" s="1007">
        <v>2025</v>
      </c>
      <c r="C3864" s="1006" t="s">
        <v>1935</v>
      </c>
      <c r="D3864" s="1006" t="s">
        <v>3432</v>
      </c>
      <c r="E3864" s="1006" t="s">
        <v>9555</v>
      </c>
      <c r="F3864" s="465"/>
      <c r="G3864" s="1007">
        <v>0</v>
      </c>
      <c r="H3864" s="465"/>
      <c r="I3864" s="465"/>
      <c r="J3864" s="1008">
        <v>0</v>
      </c>
      <c r="K3864" s="1009">
        <v>0</v>
      </c>
    </row>
    <row r="3865" spans="1:11" ht="20.25" customHeight="1" x14ac:dyDescent="0.25">
      <c r="A3865" s="1006" t="s">
        <v>6462</v>
      </c>
      <c r="B3865" s="1007">
        <v>2025</v>
      </c>
      <c r="C3865" s="1006" t="s">
        <v>1935</v>
      </c>
      <c r="D3865" s="1006" t="s">
        <v>3433</v>
      </c>
      <c r="E3865" s="1006" t="s">
        <v>9556</v>
      </c>
      <c r="F3865" s="465"/>
      <c r="G3865" s="1007">
        <v>0</v>
      </c>
      <c r="H3865" s="465"/>
      <c r="I3865" s="465"/>
      <c r="J3865" s="1008">
        <v>0</v>
      </c>
      <c r="K3865" s="1009">
        <v>0</v>
      </c>
    </row>
    <row r="3866" spans="1:11" ht="20.25" customHeight="1" x14ac:dyDescent="0.25">
      <c r="A3866" s="1006" t="s">
        <v>6452</v>
      </c>
      <c r="B3866" s="1007">
        <v>2025</v>
      </c>
      <c r="C3866" s="1006" t="s">
        <v>1887</v>
      </c>
      <c r="D3866" s="1006" t="s">
        <v>138</v>
      </c>
      <c r="E3866" s="1006" t="s">
        <v>6453</v>
      </c>
      <c r="F3866" s="465"/>
      <c r="G3866" s="1007">
        <v>1</v>
      </c>
      <c r="H3866" s="1008">
        <v>-5304</v>
      </c>
      <c r="I3866" s="1008">
        <v>-534</v>
      </c>
      <c r="J3866" s="1008">
        <v>-5838</v>
      </c>
      <c r="K3866" s="1009">
        <v>-5838</v>
      </c>
    </row>
    <row r="3867" spans="1:11" ht="20.25" customHeight="1" x14ac:dyDescent="0.25">
      <c r="A3867" s="1006" t="s">
        <v>6452</v>
      </c>
      <c r="B3867" s="1007">
        <v>2025</v>
      </c>
      <c r="C3867" s="1006" t="s">
        <v>1889</v>
      </c>
      <c r="D3867" s="1006" t="s">
        <v>139</v>
      </c>
      <c r="E3867" s="1006" t="s">
        <v>6454</v>
      </c>
      <c r="F3867" s="465"/>
      <c r="G3867" s="1007">
        <v>1</v>
      </c>
      <c r="H3867" s="1008">
        <v>-64955</v>
      </c>
      <c r="I3867" s="1008">
        <v>-3836</v>
      </c>
      <c r="J3867" s="1008">
        <v>-68791</v>
      </c>
      <c r="K3867" s="1009">
        <v>-68791</v>
      </c>
    </row>
    <row r="3868" spans="1:11" ht="20.25" customHeight="1" x14ac:dyDescent="0.25">
      <c r="A3868" s="1006" t="s">
        <v>6452</v>
      </c>
      <c r="B3868" s="1007">
        <v>2025</v>
      </c>
      <c r="C3868" s="1006" t="s">
        <v>1891</v>
      </c>
      <c r="D3868" s="1006" t="s">
        <v>1894</v>
      </c>
      <c r="E3868" s="1006" t="s">
        <v>6455</v>
      </c>
      <c r="F3868" s="465"/>
      <c r="G3868" s="1007">
        <v>0</v>
      </c>
      <c r="H3868" s="465"/>
      <c r="I3868" s="465"/>
      <c r="J3868" s="1008">
        <v>0</v>
      </c>
      <c r="K3868" s="1009">
        <v>0</v>
      </c>
    </row>
    <row r="3869" spans="1:11" ht="20.25" customHeight="1" x14ac:dyDescent="0.25">
      <c r="A3869" s="1006" t="s">
        <v>6452</v>
      </c>
      <c r="B3869" s="1007">
        <v>2025</v>
      </c>
      <c r="C3869" s="1006" t="s">
        <v>1913</v>
      </c>
      <c r="D3869" s="1006" t="s">
        <v>1914</v>
      </c>
      <c r="E3869" s="1006" t="s">
        <v>6456</v>
      </c>
      <c r="F3869" s="465"/>
      <c r="G3869" s="1007">
        <v>1</v>
      </c>
      <c r="H3869" s="1008">
        <v>-699883</v>
      </c>
      <c r="I3869" s="1008">
        <v>-39461</v>
      </c>
      <c r="J3869" s="1008">
        <v>-739344</v>
      </c>
      <c r="K3869" s="1009">
        <v>-739344</v>
      </c>
    </row>
    <row r="3870" spans="1:11" ht="20.25" customHeight="1" x14ac:dyDescent="0.25">
      <c r="A3870" s="1006" t="s">
        <v>6452</v>
      </c>
      <c r="B3870" s="1007">
        <v>2025</v>
      </c>
      <c r="C3870" s="1006" t="s">
        <v>1913</v>
      </c>
      <c r="D3870" s="1006" t="s">
        <v>1916</v>
      </c>
      <c r="E3870" s="1006" t="s">
        <v>6456</v>
      </c>
      <c r="F3870" s="465"/>
      <c r="G3870" s="1007">
        <v>0</v>
      </c>
      <c r="H3870" s="465"/>
      <c r="I3870" s="465"/>
      <c r="J3870" s="1008">
        <v>0</v>
      </c>
      <c r="K3870" s="1009">
        <v>0</v>
      </c>
    </row>
    <row r="3871" spans="1:11" ht="20.25" customHeight="1" x14ac:dyDescent="0.25">
      <c r="A3871" s="1006" t="s">
        <v>6452</v>
      </c>
      <c r="B3871" s="1007">
        <v>2025</v>
      </c>
      <c r="C3871" s="1006" t="s">
        <v>1913</v>
      </c>
      <c r="D3871" s="1006" t="s">
        <v>1917</v>
      </c>
      <c r="E3871" s="1006" t="s">
        <v>6456</v>
      </c>
      <c r="F3871" s="465"/>
      <c r="G3871" s="1007">
        <v>0</v>
      </c>
      <c r="H3871" s="465"/>
      <c r="I3871" s="465"/>
      <c r="J3871" s="1008">
        <v>0</v>
      </c>
      <c r="K3871" s="1009">
        <v>0</v>
      </c>
    </row>
    <row r="3872" spans="1:11" ht="20.25" customHeight="1" x14ac:dyDescent="0.25">
      <c r="A3872" s="1006" t="s">
        <v>6452</v>
      </c>
      <c r="B3872" s="1007">
        <v>2025</v>
      </c>
      <c r="C3872" s="1006" t="s">
        <v>1913</v>
      </c>
      <c r="D3872" s="1006" t="s">
        <v>1918</v>
      </c>
      <c r="E3872" s="1006" t="s">
        <v>6456</v>
      </c>
      <c r="F3872" s="1008">
        <v>3174</v>
      </c>
      <c r="G3872" s="1007">
        <v>0</v>
      </c>
      <c r="H3872" s="465"/>
      <c r="I3872" s="465"/>
      <c r="J3872" s="1008">
        <v>0</v>
      </c>
      <c r="K3872" s="1009">
        <v>3174</v>
      </c>
    </row>
    <row r="3873" spans="1:11" ht="20.25" customHeight="1" x14ac:dyDescent="0.25">
      <c r="A3873" s="1006" t="s">
        <v>6452</v>
      </c>
      <c r="B3873" s="1007">
        <v>2025</v>
      </c>
      <c r="C3873" s="1006" t="s">
        <v>1913</v>
      </c>
      <c r="D3873" s="1006" t="s">
        <v>1919</v>
      </c>
      <c r="E3873" s="1006" t="s">
        <v>6456</v>
      </c>
      <c r="F3873" s="1008">
        <v>235259</v>
      </c>
      <c r="G3873" s="1007">
        <v>0</v>
      </c>
      <c r="H3873" s="465"/>
      <c r="I3873" s="465"/>
      <c r="J3873" s="1008">
        <v>0</v>
      </c>
      <c r="K3873" s="1009">
        <v>235259</v>
      </c>
    </row>
    <row r="3874" spans="1:11" ht="20.25" customHeight="1" x14ac:dyDescent="0.25">
      <c r="A3874" s="1006" t="s">
        <v>6452</v>
      </c>
      <c r="B3874" s="1007">
        <v>2025</v>
      </c>
      <c r="C3874" s="1006" t="s">
        <v>1923</v>
      </c>
      <c r="D3874" s="1006" t="s">
        <v>143</v>
      </c>
      <c r="E3874" s="1006" t="s">
        <v>6457</v>
      </c>
      <c r="F3874" s="465"/>
      <c r="G3874" s="1007">
        <v>1</v>
      </c>
      <c r="H3874" s="1008">
        <v>714265</v>
      </c>
      <c r="I3874" s="1008">
        <v>35392</v>
      </c>
      <c r="J3874" s="1008">
        <v>749657</v>
      </c>
      <c r="K3874" s="1009">
        <v>749657</v>
      </c>
    </row>
    <row r="3875" spans="1:11" ht="20.25" customHeight="1" x14ac:dyDescent="0.25">
      <c r="A3875" s="1006" t="s">
        <v>6452</v>
      </c>
      <c r="B3875" s="1007">
        <v>2025</v>
      </c>
      <c r="C3875" s="1006" t="s">
        <v>1925</v>
      </c>
      <c r="D3875" s="1006" t="s">
        <v>144</v>
      </c>
      <c r="E3875" s="1006" t="s">
        <v>6458</v>
      </c>
      <c r="F3875" s="465"/>
      <c r="G3875" s="1007">
        <v>1</v>
      </c>
      <c r="H3875" s="1008">
        <v>308600</v>
      </c>
      <c r="I3875" s="1008">
        <v>22251</v>
      </c>
      <c r="J3875" s="1008">
        <v>330851</v>
      </c>
      <c r="K3875" s="1009">
        <v>330851</v>
      </c>
    </row>
    <row r="3876" spans="1:11" ht="20.25" customHeight="1" x14ac:dyDescent="0.25">
      <c r="A3876" s="1006" t="s">
        <v>6452</v>
      </c>
      <c r="B3876" s="1007">
        <v>2025</v>
      </c>
      <c r="C3876" s="1006" t="s">
        <v>1927</v>
      </c>
      <c r="D3876" s="1006" t="s">
        <v>1928</v>
      </c>
      <c r="E3876" s="1006" t="s">
        <v>6459</v>
      </c>
      <c r="F3876" s="465"/>
      <c r="G3876" s="1007">
        <v>1</v>
      </c>
      <c r="H3876" s="1008">
        <v>-373848</v>
      </c>
      <c r="I3876" s="1008">
        <v>-16244</v>
      </c>
      <c r="J3876" s="1008">
        <v>-390092</v>
      </c>
      <c r="K3876" s="1009">
        <v>-390092</v>
      </c>
    </row>
    <row r="3877" spans="1:11" ht="20.25" customHeight="1" x14ac:dyDescent="0.25">
      <c r="A3877" s="1006" t="s">
        <v>6452</v>
      </c>
      <c r="B3877" s="1007">
        <v>2025</v>
      </c>
      <c r="C3877" s="1006" t="s">
        <v>1930</v>
      </c>
      <c r="D3877" s="1006" t="s">
        <v>156</v>
      </c>
      <c r="E3877" s="1006" t="s">
        <v>6460</v>
      </c>
      <c r="F3877" s="465"/>
      <c r="G3877" s="1007">
        <v>1</v>
      </c>
      <c r="H3877" s="1008">
        <v>958105</v>
      </c>
      <c r="I3877" s="1008">
        <v>70723</v>
      </c>
      <c r="J3877" s="1008">
        <v>1028828</v>
      </c>
      <c r="K3877" s="1009">
        <v>1028828</v>
      </c>
    </row>
    <row r="3878" spans="1:11" ht="20.25" customHeight="1" x14ac:dyDescent="0.25">
      <c r="A3878" s="1006" t="s">
        <v>6452</v>
      </c>
      <c r="B3878" s="1007">
        <v>2025</v>
      </c>
      <c r="C3878" s="1006" t="s">
        <v>1932</v>
      </c>
      <c r="D3878" s="1006" t="s">
        <v>3423</v>
      </c>
      <c r="E3878" s="1006" t="s">
        <v>6461</v>
      </c>
      <c r="F3878" s="465"/>
      <c r="G3878" s="1007">
        <v>0</v>
      </c>
      <c r="H3878" s="465"/>
      <c r="I3878" s="465"/>
      <c r="J3878" s="1008">
        <v>0</v>
      </c>
      <c r="K3878" s="1009">
        <v>0</v>
      </c>
    </row>
    <row r="3879" spans="1:11" ht="20.25" customHeight="1" x14ac:dyDescent="0.25">
      <c r="A3879" s="1006" t="s">
        <v>6452</v>
      </c>
      <c r="B3879" s="1007">
        <v>2025</v>
      </c>
      <c r="C3879" s="1006" t="s">
        <v>1935</v>
      </c>
      <c r="D3879" s="1006" t="s">
        <v>1936</v>
      </c>
      <c r="E3879" s="1006" t="s">
        <v>9557</v>
      </c>
      <c r="F3879" s="465"/>
      <c r="G3879" s="1007">
        <v>1</v>
      </c>
      <c r="H3879" s="465"/>
      <c r="I3879" s="465"/>
      <c r="J3879" s="1008">
        <v>0</v>
      </c>
      <c r="K3879" s="1009">
        <v>0</v>
      </c>
    </row>
    <row r="3880" spans="1:11" ht="20.25" customHeight="1" x14ac:dyDescent="0.25">
      <c r="A3880" s="1006" t="s">
        <v>6452</v>
      </c>
      <c r="B3880" s="1007">
        <v>2025</v>
      </c>
      <c r="C3880" s="1006" t="s">
        <v>1935</v>
      </c>
      <c r="D3880" s="1006" t="s">
        <v>1937</v>
      </c>
      <c r="E3880" s="1006" t="s">
        <v>9558</v>
      </c>
      <c r="F3880" s="465"/>
      <c r="G3880" s="1007">
        <v>1</v>
      </c>
      <c r="H3880" s="465"/>
      <c r="I3880" s="465"/>
      <c r="J3880" s="1008">
        <v>0</v>
      </c>
      <c r="K3880" s="1009">
        <v>0</v>
      </c>
    </row>
    <row r="3881" spans="1:11" ht="20.25" customHeight="1" x14ac:dyDescent="0.25">
      <c r="A3881" s="1006" t="s">
        <v>6452</v>
      </c>
      <c r="B3881" s="1007">
        <v>2025</v>
      </c>
      <c r="C3881" s="1006" t="s">
        <v>1935</v>
      </c>
      <c r="D3881" s="1006" t="s">
        <v>1938</v>
      </c>
      <c r="E3881" s="1006" t="s">
        <v>9559</v>
      </c>
      <c r="F3881" s="465"/>
      <c r="G3881" s="1007">
        <v>1</v>
      </c>
      <c r="H3881" s="465"/>
      <c r="I3881" s="465"/>
      <c r="J3881" s="1008">
        <v>0</v>
      </c>
      <c r="K3881" s="1009">
        <v>0</v>
      </c>
    </row>
    <row r="3882" spans="1:11" ht="20.25" customHeight="1" x14ac:dyDescent="0.25">
      <c r="A3882" s="1006" t="s">
        <v>6452</v>
      </c>
      <c r="B3882" s="1007">
        <v>2025</v>
      </c>
      <c r="C3882" s="1006" t="s">
        <v>1935</v>
      </c>
      <c r="D3882" s="1006" t="s">
        <v>1939</v>
      </c>
      <c r="E3882" s="1006" t="s">
        <v>9560</v>
      </c>
      <c r="F3882" s="465"/>
      <c r="G3882" s="1007">
        <v>1</v>
      </c>
      <c r="H3882" s="465"/>
      <c r="I3882" s="465"/>
      <c r="J3882" s="1008">
        <v>0</v>
      </c>
      <c r="K3882" s="1009">
        <v>0</v>
      </c>
    </row>
    <row r="3883" spans="1:11" ht="20.25" customHeight="1" x14ac:dyDescent="0.25">
      <c r="A3883" s="1006" t="s">
        <v>6452</v>
      </c>
      <c r="B3883" s="1007">
        <v>2025</v>
      </c>
      <c r="C3883" s="1006" t="s">
        <v>1935</v>
      </c>
      <c r="D3883" s="1006" t="s">
        <v>1940</v>
      </c>
      <c r="E3883" s="1006" t="s">
        <v>9561</v>
      </c>
      <c r="F3883" s="465"/>
      <c r="G3883" s="1007">
        <v>1</v>
      </c>
      <c r="H3883" s="465"/>
      <c r="I3883" s="465"/>
      <c r="J3883" s="1008">
        <v>0</v>
      </c>
      <c r="K3883" s="1009">
        <v>0</v>
      </c>
    </row>
    <row r="3884" spans="1:11" ht="20.25" customHeight="1" x14ac:dyDescent="0.25">
      <c r="A3884" s="1006" t="s">
        <v>6452</v>
      </c>
      <c r="B3884" s="1007">
        <v>2025</v>
      </c>
      <c r="C3884" s="1006" t="s">
        <v>1935</v>
      </c>
      <c r="D3884" s="1006" t="s">
        <v>1941</v>
      </c>
      <c r="E3884" s="1006" t="s">
        <v>9562</v>
      </c>
      <c r="F3884" s="465"/>
      <c r="G3884" s="1007">
        <v>1</v>
      </c>
      <c r="H3884" s="465"/>
      <c r="I3884" s="465"/>
      <c r="J3884" s="1008">
        <v>0</v>
      </c>
      <c r="K3884" s="1009">
        <v>0</v>
      </c>
    </row>
    <row r="3885" spans="1:11" ht="20.25" customHeight="1" x14ac:dyDescent="0.25">
      <c r="A3885" s="1006" t="s">
        <v>6452</v>
      </c>
      <c r="B3885" s="1007">
        <v>2025</v>
      </c>
      <c r="C3885" s="1006" t="s">
        <v>1935</v>
      </c>
      <c r="D3885" s="1006" t="s">
        <v>1942</v>
      </c>
      <c r="E3885" s="1006" t="s">
        <v>9563</v>
      </c>
      <c r="F3885" s="465"/>
      <c r="G3885" s="1007">
        <v>1</v>
      </c>
      <c r="H3885" s="465"/>
      <c r="I3885" s="465"/>
      <c r="J3885" s="1008">
        <v>0</v>
      </c>
      <c r="K3885" s="1009">
        <v>0</v>
      </c>
    </row>
    <row r="3886" spans="1:11" ht="20.25" customHeight="1" x14ac:dyDescent="0.25">
      <c r="A3886" s="1006" t="s">
        <v>6452</v>
      </c>
      <c r="B3886" s="1007">
        <v>2025</v>
      </c>
      <c r="C3886" s="1006" t="s">
        <v>1935</v>
      </c>
      <c r="D3886" s="1006" t="s">
        <v>1943</v>
      </c>
      <c r="E3886" s="1006" t="s">
        <v>9564</v>
      </c>
      <c r="F3886" s="465"/>
      <c r="G3886" s="1007">
        <v>1</v>
      </c>
      <c r="H3886" s="465"/>
      <c r="I3886" s="465"/>
      <c r="J3886" s="1008">
        <v>0</v>
      </c>
      <c r="K3886" s="1009">
        <v>0</v>
      </c>
    </row>
    <row r="3887" spans="1:11" ht="20.25" customHeight="1" x14ac:dyDescent="0.25">
      <c r="A3887" s="1006" t="s">
        <v>6452</v>
      </c>
      <c r="B3887" s="1007">
        <v>2025</v>
      </c>
      <c r="C3887" s="1006" t="s">
        <v>1935</v>
      </c>
      <c r="D3887" s="1006" t="s">
        <v>1944</v>
      </c>
      <c r="E3887" s="1006" t="s">
        <v>9565</v>
      </c>
      <c r="F3887" s="465"/>
      <c r="G3887" s="1007">
        <v>1</v>
      </c>
      <c r="H3887" s="465"/>
      <c r="I3887" s="465"/>
      <c r="J3887" s="1008">
        <v>0</v>
      </c>
      <c r="K3887" s="1009">
        <v>0</v>
      </c>
    </row>
    <row r="3888" spans="1:11" ht="20.25" customHeight="1" x14ac:dyDescent="0.25">
      <c r="A3888" s="1006" t="s">
        <v>6452</v>
      </c>
      <c r="B3888" s="1007">
        <v>2025</v>
      </c>
      <c r="C3888" s="1006" t="s">
        <v>1935</v>
      </c>
      <c r="D3888" s="1006" t="s">
        <v>1945</v>
      </c>
      <c r="E3888" s="1006" t="s">
        <v>9566</v>
      </c>
      <c r="F3888" s="465"/>
      <c r="G3888" s="1007">
        <v>1</v>
      </c>
      <c r="H3888" s="465"/>
      <c r="I3888" s="465"/>
      <c r="J3888" s="1008">
        <v>0</v>
      </c>
      <c r="K3888" s="1009">
        <v>0</v>
      </c>
    </row>
    <row r="3889" spans="1:11" ht="20.25" customHeight="1" x14ac:dyDescent="0.25">
      <c r="A3889" s="1006" t="s">
        <v>6452</v>
      </c>
      <c r="B3889" s="1007">
        <v>2025</v>
      </c>
      <c r="C3889" s="1006" t="s">
        <v>1935</v>
      </c>
      <c r="D3889" s="1006" t="s">
        <v>1946</v>
      </c>
      <c r="E3889" s="1006" t="s">
        <v>9567</v>
      </c>
      <c r="F3889" s="465"/>
      <c r="G3889" s="1007">
        <v>1</v>
      </c>
      <c r="H3889" s="1008">
        <v>29142</v>
      </c>
      <c r="I3889" s="1008">
        <v>-32561</v>
      </c>
      <c r="J3889" s="1008">
        <v>-3419</v>
      </c>
      <c r="K3889" s="1009">
        <v>-3419</v>
      </c>
    </row>
    <row r="3890" spans="1:11" ht="20.25" customHeight="1" x14ac:dyDescent="0.25">
      <c r="A3890" s="1006" t="s">
        <v>6452</v>
      </c>
      <c r="B3890" s="1007">
        <v>2025</v>
      </c>
      <c r="C3890" s="1006" t="s">
        <v>1935</v>
      </c>
      <c r="D3890" s="1006" t="s">
        <v>1947</v>
      </c>
      <c r="E3890" s="1006" t="s">
        <v>9568</v>
      </c>
      <c r="F3890" s="465"/>
      <c r="G3890" s="1007">
        <v>1</v>
      </c>
      <c r="H3890" s="465"/>
      <c r="I3890" s="465"/>
      <c r="J3890" s="1008">
        <v>0</v>
      </c>
      <c r="K3890" s="1009">
        <v>0</v>
      </c>
    </row>
    <row r="3891" spans="1:11" ht="20.25" customHeight="1" x14ac:dyDescent="0.25">
      <c r="A3891" s="1006" t="s">
        <v>6452</v>
      </c>
      <c r="B3891" s="1007">
        <v>2025</v>
      </c>
      <c r="C3891" s="1006" t="s">
        <v>1935</v>
      </c>
      <c r="D3891" s="1006" t="s">
        <v>1948</v>
      </c>
      <c r="E3891" s="1006" t="s">
        <v>9569</v>
      </c>
      <c r="F3891" s="465"/>
      <c r="G3891" s="1007">
        <v>1</v>
      </c>
      <c r="H3891" s="1008">
        <v>-14659</v>
      </c>
      <c r="I3891" s="1008">
        <v>13468</v>
      </c>
      <c r="J3891" s="1008">
        <v>-1191</v>
      </c>
      <c r="K3891" s="1009">
        <v>-1191</v>
      </c>
    </row>
    <row r="3892" spans="1:11" ht="20.25" customHeight="1" x14ac:dyDescent="0.25">
      <c r="A3892" s="1006" t="s">
        <v>6452</v>
      </c>
      <c r="B3892" s="1007">
        <v>2025</v>
      </c>
      <c r="C3892" s="1006" t="s">
        <v>1935</v>
      </c>
      <c r="D3892" s="1006" t="s">
        <v>1949</v>
      </c>
      <c r="E3892" s="1006" t="s">
        <v>9570</v>
      </c>
      <c r="F3892" s="465"/>
      <c r="G3892" s="1007">
        <v>1</v>
      </c>
      <c r="H3892" s="1008">
        <v>16094</v>
      </c>
      <c r="I3892" s="1008">
        <v>-25742</v>
      </c>
      <c r="J3892" s="1008">
        <v>-9648</v>
      </c>
      <c r="K3892" s="1009">
        <v>-9648</v>
      </c>
    </row>
    <row r="3893" spans="1:11" ht="20.25" customHeight="1" x14ac:dyDescent="0.25">
      <c r="A3893" s="1006" t="s">
        <v>6452</v>
      </c>
      <c r="B3893" s="1007">
        <v>2025</v>
      </c>
      <c r="C3893" s="1006" t="s">
        <v>1935</v>
      </c>
      <c r="D3893" s="1006" t="s">
        <v>1950</v>
      </c>
      <c r="E3893" s="1006" t="s">
        <v>9571</v>
      </c>
      <c r="F3893" s="465"/>
      <c r="G3893" s="1007">
        <v>1</v>
      </c>
      <c r="H3893" s="465"/>
      <c r="I3893" s="465"/>
      <c r="J3893" s="1008">
        <v>0</v>
      </c>
      <c r="K3893" s="1009">
        <v>0</v>
      </c>
    </row>
    <row r="3894" spans="1:11" ht="20.25" customHeight="1" x14ac:dyDescent="0.25">
      <c r="A3894" s="1006" t="s">
        <v>6452</v>
      </c>
      <c r="B3894" s="1007">
        <v>2025</v>
      </c>
      <c r="C3894" s="1006" t="s">
        <v>1935</v>
      </c>
      <c r="D3894" s="1006" t="s">
        <v>1951</v>
      </c>
      <c r="E3894" s="1006" t="s">
        <v>9572</v>
      </c>
      <c r="F3894" s="465"/>
      <c r="G3894" s="1007">
        <v>1</v>
      </c>
      <c r="H3894" s="1008">
        <v>-21723</v>
      </c>
      <c r="I3894" s="1008">
        <v>16949</v>
      </c>
      <c r="J3894" s="1008">
        <v>-4774</v>
      </c>
      <c r="K3894" s="1009">
        <v>-4774</v>
      </c>
    </row>
    <row r="3895" spans="1:11" ht="20.25" customHeight="1" x14ac:dyDescent="0.25">
      <c r="A3895" s="1006" t="s">
        <v>6452</v>
      </c>
      <c r="B3895" s="1007">
        <v>2025</v>
      </c>
      <c r="C3895" s="1006" t="s">
        <v>1935</v>
      </c>
      <c r="D3895" s="1006" t="s">
        <v>7801</v>
      </c>
      <c r="E3895" s="1006" t="s">
        <v>9573</v>
      </c>
      <c r="F3895" s="465"/>
      <c r="G3895" s="1007">
        <v>1</v>
      </c>
      <c r="H3895" s="1008">
        <v>962003</v>
      </c>
      <c r="I3895" s="1008">
        <v>166950</v>
      </c>
      <c r="J3895" s="1008">
        <v>1128953</v>
      </c>
      <c r="K3895" s="1009">
        <v>1128953</v>
      </c>
    </row>
    <row r="3896" spans="1:11" ht="20.25" customHeight="1" x14ac:dyDescent="0.25">
      <c r="A3896" s="1006" t="s">
        <v>6452</v>
      </c>
      <c r="B3896" s="1007">
        <v>2025</v>
      </c>
      <c r="C3896" s="1006" t="s">
        <v>1935</v>
      </c>
      <c r="D3896" s="1006" t="s">
        <v>3425</v>
      </c>
      <c r="E3896" s="1006" t="s">
        <v>9574</v>
      </c>
      <c r="F3896" s="465"/>
      <c r="G3896" s="1007">
        <v>0</v>
      </c>
      <c r="H3896" s="465"/>
      <c r="I3896" s="465"/>
      <c r="J3896" s="1008">
        <v>0</v>
      </c>
      <c r="K3896" s="1009">
        <v>0</v>
      </c>
    </row>
    <row r="3897" spans="1:11" ht="20.25" customHeight="1" x14ac:dyDescent="0.25">
      <c r="A3897" s="1006" t="s">
        <v>6452</v>
      </c>
      <c r="B3897" s="1007">
        <v>2025</v>
      </c>
      <c r="C3897" s="1006" t="s">
        <v>1935</v>
      </c>
      <c r="D3897" s="1006" t="s">
        <v>3426</v>
      </c>
      <c r="E3897" s="1006" t="s">
        <v>9575</v>
      </c>
      <c r="F3897" s="465"/>
      <c r="G3897" s="1007">
        <v>0</v>
      </c>
      <c r="H3897" s="465"/>
      <c r="I3897" s="465"/>
      <c r="J3897" s="1008">
        <v>0</v>
      </c>
      <c r="K3897" s="1009">
        <v>0</v>
      </c>
    </row>
    <row r="3898" spans="1:11" ht="20.25" customHeight="1" x14ac:dyDescent="0.25">
      <c r="A3898" s="1006" t="s">
        <v>6452</v>
      </c>
      <c r="B3898" s="1007">
        <v>2025</v>
      </c>
      <c r="C3898" s="1006" t="s">
        <v>1935</v>
      </c>
      <c r="D3898" s="1006" t="s">
        <v>3427</v>
      </c>
      <c r="E3898" s="1006" t="s">
        <v>9576</v>
      </c>
      <c r="F3898" s="465"/>
      <c r="G3898" s="1007">
        <v>0</v>
      </c>
      <c r="H3898" s="465"/>
      <c r="I3898" s="465"/>
      <c r="J3898" s="1008">
        <v>0</v>
      </c>
      <c r="K3898" s="1009">
        <v>0</v>
      </c>
    </row>
    <row r="3899" spans="1:11" ht="20.25" customHeight="1" x14ac:dyDescent="0.25">
      <c r="A3899" s="1006" t="s">
        <v>6452</v>
      </c>
      <c r="B3899" s="1007">
        <v>2025</v>
      </c>
      <c r="C3899" s="1006" t="s">
        <v>1935</v>
      </c>
      <c r="D3899" s="1006" t="s">
        <v>3428</v>
      </c>
      <c r="E3899" s="1006" t="s">
        <v>9574</v>
      </c>
      <c r="F3899" s="465"/>
      <c r="G3899" s="1007">
        <v>0</v>
      </c>
      <c r="H3899" s="465"/>
      <c r="I3899" s="465"/>
      <c r="J3899" s="1008">
        <v>0</v>
      </c>
      <c r="K3899" s="1009">
        <v>0</v>
      </c>
    </row>
    <row r="3900" spans="1:11" ht="20.25" customHeight="1" x14ac:dyDescent="0.25">
      <c r="A3900" s="1006" t="s">
        <v>6452</v>
      </c>
      <c r="B3900" s="1007">
        <v>2025</v>
      </c>
      <c r="C3900" s="1006" t="s">
        <v>1935</v>
      </c>
      <c r="D3900" s="1006" t="s">
        <v>3429</v>
      </c>
      <c r="E3900" s="1006" t="s">
        <v>9575</v>
      </c>
      <c r="F3900" s="465"/>
      <c r="G3900" s="1007">
        <v>0</v>
      </c>
      <c r="H3900" s="465"/>
      <c r="I3900" s="465"/>
      <c r="J3900" s="1008">
        <v>0</v>
      </c>
      <c r="K3900" s="1009">
        <v>0</v>
      </c>
    </row>
    <row r="3901" spans="1:11" ht="20.25" customHeight="1" x14ac:dyDescent="0.25">
      <c r="A3901" s="1006" t="s">
        <v>6452</v>
      </c>
      <c r="B3901" s="1007">
        <v>2025</v>
      </c>
      <c r="C3901" s="1006" t="s">
        <v>1935</v>
      </c>
      <c r="D3901" s="1006" t="s">
        <v>3430</v>
      </c>
      <c r="E3901" s="1006" t="s">
        <v>9576</v>
      </c>
      <c r="F3901" s="465"/>
      <c r="G3901" s="1007">
        <v>0</v>
      </c>
      <c r="H3901" s="465"/>
      <c r="I3901" s="465"/>
      <c r="J3901" s="1008">
        <v>0</v>
      </c>
      <c r="K3901" s="1009">
        <v>0</v>
      </c>
    </row>
    <row r="3902" spans="1:11" ht="20.25" customHeight="1" x14ac:dyDescent="0.25">
      <c r="A3902" s="1006" t="s">
        <v>6452</v>
      </c>
      <c r="B3902" s="1007">
        <v>2025</v>
      </c>
      <c r="C3902" s="1006" t="s">
        <v>1935</v>
      </c>
      <c r="D3902" s="1006" t="s">
        <v>3431</v>
      </c>
      <c r="E3902" s="1006" t="s">
        <v>9574</v>
      </c>
      <c r="F3902" s="465"/>
      <c r="G3902" s="1007">
        <v>0</v>
      </c>
      <c r="H3902" s="465"/>
      <c r="I3902" s="465"/>
      <c r="J3902" s="1008">
        <v>0</v>
      </c>
      <c r="K3902" s="1009">
        <v>0</v>
      </c>
    </row>
    <row r="3903" spans="1:11" ht="20.25" customHeight="1" x14ac:dyDescent="0.25">
      <c r="A3903" s="1006" t="s">
        <v>6452</v>
      </c>
      <c r="B3903" s="1007">
        <v>2025</v>
      </c>
      <c r="C3903" s="1006" t="s">
        <v>1935</v>
      </c>
      <c r="D3903" s="1006" t="s">
        <v>3432</v>
      </c>
      <c r="E3903" s="1006" t="s">
        <v>9575</v>
      </c>
      <c r="F3903" s="465"/>
      <c r="G3903" s="1007">
        <v>0</v>
      </c>
      <c r="H3903" s="465"/>
      <c r="I3903" s="465"/>
      <c r="J3903" s="1008">
        <v>0</v>
      </c>
      <c r="K3903" s="1009">
        <v>0</v>
      </c>
    </row>
    <row r="3904" spans="1:11" ht="20.25" customHeight="1" x14ac:dyDescent="0.25">
      <c r="A3904" s="1006" t="s">
        <v>6452</v>
      </c>
      <c r="B3904" s="1007">
        <v>2025</v>
      </c>
      <c r="C3904" s="1006" t="s">
        <v>1935</v>
      </c>
      <c r="D3904" s="1006" t="s">
        <v>3433</v>
      </c>
      <c r="E3904" s="1006" t="s">
        <v>9576</v>
      </c>
      <c r="F3904" s="465"/>
      <c r="G3904" s="1007">
        <v>0</v>
      </c>
      <c r="H3904" s="465"/>
      <c r="I3904" s="465"/>
      <c r="J3904" s="1008">
        <v>0</v>
      </c>
      <c r="K3904" s="1009">
        <v>0</v>
      </c>
    </row>
    <row r="3905" spans="1:11" ht="20.25" customHeight="1" x14ac:dyDescent="0.25">
      <c r="A3905" s="1006" t="s">
        <v>3654</v>
      </c>
      <c r="B3905" s="1007">
        <v>2025</v>
      </c>
      <c r="C3905" s="1006" t="s">
        <v>1887</v>
      </c>
      <c r="D3905" s="1006" t="s">
        <v>138</v>
      </c>
      <c r="E3905" s="1006" t="s">
        <v>3655</v>
      </c>
      <c r="F3905" s="465"/>
      <c r="G3905" s="1007">
        <v>1</v>
      </c>
      <c r="H3905" s="465"/>
      <c r="I3905" s="465"/>
      <c r="J3905" s="1008">
        <v>0</v>
      </c>
      <c r="K3905" s="1009">
        <v>0</v>
      </c>
    </row>
    <row r="3906" spans="1:11" ht="20.25" customHeight="1" x14ac:dyDescent="0.25">
      <c r="A3906" s="1006" t="s">
        <v>3654</v>
      </c>
      <c r="B3906" s="1007">
        <v>2025</v>
      </c>
      <c r="C3906" s="1006" t="s">
        <v>1889</v>
      </c>
      <c r="D3906" s="1006" t="s">
        <v>139</v>
      </c>
      <c r="E3906" s="1006" t="s">
        <v>3656</v>
      </c>
      <c r="F3906" s="465"/>
      <c r="G3906" s="1007">
        <v>1</v>
      </c>
      <c r="H3906" s="465"/>
      <c r="I3906" s="465"/>
      <c r="J3906" s="1008">
        <v>0</v>
      </c>
      <c r="K3906" s="1009">
        <v>0</v>
      </c>
    </row>
    <row r="3907" spans="1:11" ht="20.25" customHeight="1" x14ac:dyDescent="0.25">
      <c r="A3907" s="1006" t="s">
        <v>3654</v>
      </c>
      <c r="B3907" s="1007">
        <v>2025</v>
      </c>
      <c r="C3907" s="1006" t="s">
        <v>1891</v>
      </c>
      <c r="D3907" s="1006" t="s">
        <v>1894</v>
      </c>
      <c r="E3907" s="1006" t="s">
        <v>3657</v>
      </c>
      <c r="F3907" s="465"/>
      <c r="G3907" s="1007">
        <v>0</v>
      </c>
      <c r="H3907" s="465"/>
      <c r="I3907" s="465"/>
      <c r="J3907" s="1008">
        <v>0</v>
      </c>
      <c r="K3907" s="1009">
        <v>0</v>
      </c>
    </row>
    <row r="3908" spans="1:11" ht="20.25" customHeight="1" x14ac:dyDescent="0.25">
      <c r="A3908" s="1006" t="s">
        <v>3654</v>
      </c>
      <c r="B3908" s="1007">
        <v>2025</v>
      </c>
      <c r="C3908" s="1006" t="s">
        <v>1913</v>
      </c>
      <c r="D3908" s="1006" t="s">
        <v>1914</v>
      </c>
      <c r="E3908" s="1006" t="s">
        <v>3658</v>
      </c>
      <c r="F3908" s="465"/>
      <c r="G3908" s="1007">
        <v>1</v>
      </c>
      <c r="H3908" s="465"/>
      <c r="I3908" s="465"/>
      <c r="J3908" s="1008">
        <v>0</v>
      </c>
      <c r="K3908" s="1009">
        <v>0</v>
      </c>
    </row>
    <row r="3909" spans="1:11" ht="20.25" customHeight="1" x14ac:dyDescent="0.25">
      <c r="A3909" s="1006" t="s">
        <v>3654</v>
      </c>
      <c r="B3909" s="1007">
        <v>2025</v>
      </c>
      <c r="C3909" s="1006" t="s">
        <v>1913</v>
      </c>
      <c r="D3909" s="1006" t="s">
        <v>1916</v>
      </c>
      <c r="E3909" s="1006" t="s">
        <v>3658</v>
      </c>
      <c r="F3909" s="465"/>
      <c r="G3909" s="1007">
        <v>0</v>
      </c>
      <c r="H3909" s="465"/>
      <c r="I3909" s="465"/>
      <c r="J3909" s="1008">
        <v>0</v>
      </c>
      <c r="K3909" s="1009">
        <v>0</v>
      </c>
    </row>
    <row r="3910" spans="1:11" ht="20.25" customHeight="1" x14ac:dyDescent="0.25">
      <c r="A3910" s="1006" t="s">
        <v>3654</v>
      </c>
      <c r="B3910" s="1007">
        <v>2025</v>
      </c>
      <c r="C3910" s="1006" t="s">
        <v>1913</v>
      </c>
      <c r="D3910" s="1006" t="s">
        <v>1917</v>
      </c>
      <c r="E3910" s="1006" t="s">
        <v>3658</v>
      </c>
      <c r="F3910" s="465"/>
      <c r="G3910" s="1007">
        <v>0</v>
      </c>
      <c r="H3910" s="465"/>
      <c r="I3910" s="465"/>
      <c r="J3910" s="1008">
        <v>0</v>
      </c>
      <c r="K3910" s="1009">
        <v>0</v>
      </c>
    </row>
    <row r="3911" spans="1:11" ht="20.25" customHeight="1" x14ac:dyDescent="0.25">
      <c r="A3911" s="1006" t="s">
        <v>3654</v>
      </c>
      <c r="B3911" s="1007">
        <v>2025</v>
      </c>
      <c r="C3911" s="1006" t="s">
        <v>1913</v>
      </c>
      <c r="D3911" s="1006" t="s">
        <v>1918</v>
      </c>
      <c r="E3911" s="1006" t="s">
        <v>3658</v>
      </c>
      <c r="F3911" s="1008">
        <v>-233.58</v>
      </c>
      <c r="G3911" s="1007">
        <v>0</v>
      </c>
      <c r="H3911" s="465"/>
      <c r="I3911" s="465"/>
      <c r="J3911" s="1008">
        <v>0</v>
      </c>
      <c r="K3911" s="1009">
        <v>-233.58</v>
      </c>
    </row>
    <row r="3912" spans="1:11" ht="20.25" customHeight="1" x14ac:dyDescent="0.25">
      <c r="A3912" s="1006" t="s">
        <v>3654</v>
      </c>
      <c r="B3912" s="1007">
        <v>2025</v>
      </c>
      <c r="C3912" s="1006" t="s">
        <v>1913</v>
      </c>
      <c r="D3912" s="1006" t="s">
        <v>1919</v>
      </c>
      <c r="E3912" s="1006" t="s">
        <v>3658</v>
      </c>
      <c r="F3912" s="1008">
        <v>4816.8100000000004</v>
      </c>
      <c r="G3912" s="1007">
        <v>0</v>
      </c>
      <c r="H3912" s="465"/>
      <c r="I3912" s="465"/>
      <c r="J3912" s="1008">
        <v>0</v>
      </c>
      <c r="K3912" s="1009">
        <v>4816.8100000000004</v>
      </c>
    </row>
    <row r="3913" spans="1:11" ht="20.25" customHeight="1" x14ac:dyDescent="0.25">
      <c r="A3913" s="1006" t="s">
        <v>3654</v>
      </c>
      <c r="B3913" s="1007">
        <v>2025</v>
      </c>
      <c r="C3913" s="1006" t="s">
        <v>1923</v>
      </c>
      <c r="D3913" s="1006" t="s">
        <v>143</v>
      </c>
      <c r="E3913" s="1006" t="s">
        <v>3659</v>
      </c>
      <c r="F3913" s="465"/>
      <c r="G3913" s="1007">
        <v>1</v>
      </c>
      <c r="H3913" s="465"/>
      <c r="I3913" s="465"/>
      <c r="J3913" s="1008">
        <v>0</v>
      </c>
      <c r="K3913" s="1009">
        <v>0</v>
      </c>
    </row>
    <row r="3914" spans="1:11" ht="20.25" customHeight="1" x14ac:dyDescent="0.25">
      <c r="A3914" s="1006" t="s">
        <v>3654</v>
      </c>
      <c r="B3914" s="1007">
        <v>2025</v>
      </c>
      <c r="C3914" s="1006" t="s">
        <v>1925</v>
      </c>
      <c r="D3914" s="1006" t="s">
        <v>144</v>
      </c>
      <c r="E3914" s="1006" t="s">
        <v>3660</v>
      </c>
      <c r="F3914" s="465"/>
      <c r="G3914" s="1007">
        <v>1</v>
      </c>
      <c r="H3914" s="465"/>
      <c r="I3914" s="465"/>
      <c r="J3914" s="1008">
        <v>0</v>
      </c>
      <c r="K3914" s="1009">
        <v>0</v>
      </c>
    </row>
    <row r="3915" spans="1:11" ht="20.25" customHeight="1" x14ac:dyDescent="0.25">
      <c r="A3915" s="1006" t="s">
        <v>3654</v>
      </c>
      <c r="B3915" s="1007">
        <v>2025</v>
      </c>
      <c r="C3915" s="1006" t="s">
        <v>1927</v>
      </c>
      <c r="D3915" s="1006" t="s">
        <v>1928</v>
      </c>
      <c r="E3915" s="1006" t="s">
        <v>3661</v>
      </c>
      <c r="F3915" s="465"/>
      <c r="G3915" s="1007">
        <v>1</v>
      </c>
      <c r="H3915" s="465"/>
      <c r="I3915" s="465"/>
      <c r="J3915" s="1008">
        <v>0</v>
      </c>
      <c r="K3915" s="1009">
        <v>0</v>
      </c>
    </row>
    <row r="3916" spans="1:11" ht="20.25" customHeight="1" x14ac:dyDescent="0.25">
      <c r="A3916" s="1006" t="s">
        <v>3654</v>
      </c>
      <c r="B3916" s="1007">
        <v>2025</v>
      </c>
      <c r="C3916" s="1006" t="s">
        <v>1930</v>
      </c>
      <c r="D3916" s="1006" t="s">
        <v>156</v>
      </c>
      <c r="E3916" s="1006" t="s">
        <v>3662</v>
      </c>
      <c r="F3916" s="465"/>
      <c r="G3916" s="1007">
        <v>1</v>
      </c>
      <c r="H3916" s="465"/>
      <c r="I3916" s="465"/>
      <c r="J3916" s="1008">
        <v>0</v>
      </c>
      <c r="K3916" s="1009">
        <v>0</v>
      </c>
    </row>
    <row r="3917" spans="1:11" ht="20.25" customHeight="1" x14ac:dyDescent="0.25">
      <c r="A3917" s="1006" t="s">
        <v>3654</v>
      </c>
      <c r="B3917" s="1007">
        <v>2025</v>
      </c>
      <c r="C3917" s="1006" t="s">
        <v>1932</v>
      </c>
      <c r="D3917" s="1006" t="s">
        <v>3423</v>
      </c>
      <c r="E3917" s="1006" t="s">
        <v>3663</v>
      </c>
      <c r="F3917" s="465"/>
      <c r="G3917" s="1007">
        <v>0</v>
      </c>
      <c r="H3917" s="465"/>
      <c r="I3917" s="465"/>
      <c r="J3917" s="1008">
        <v>0</v>
      </c>
      <c r="K3917" s="1009">
        <v>0</v>
      </c>
    </row>
    <row r="3918" spans="1:11" ht="20.25" customHeight="1" x14ac:dyDescent="0.25">
      <c r="A3918" s="1006" t="s">
        <v>3654</v>
      </c>
      <c r="B3918" s="1007">
        <v>2025</v>
      </c>
      <c r="C3918" s="1006" t="s">
        <v>1935</v>
      </c>
      <c r="D3918" s="1006" t="s">
        <v>1936</v>
      </c>
      <c r="E3918" s="1006" t="s">
        <v>9577</v>
      </c>
      <c r="F3918" s="465"/>
      <c r="G3918" s="1007">
        <v>1</v>
      </c>
      <c r="H3918" s="465"/>
      <c r="I3918" s="465"/>
      <c r="J3918" s="1008">
        <v>0</v>
      </c>
      <c r="K3918" s="1009">
        <v>0</v>
      </c>
    </row>
    <row r="3919" spans="1:11" ht="20.25" customHeight="1" x14ac:dyDescent="0.25">
      <c r="A3919" s="1006" t="s">
        <v>3654</v>
      </c>
      <c r="B3919" s="1007">
        <v>2025</v>
      </c>
      <c r="C3919" s="1006" t="s">
        <v>1935</v>
      </c>
      <c r="D3919" s="1006" t="s">
        <v>1937</v>
      </c>
      <c r="E3919" s="1006" t="s">
        <v>9578</v>
      </c>
      <c r="F3919" s="465"/>
      <c r="G3919" s="1007">
        <v>1</v>
      </c>
      <c r="H3919" s="465"/>
      <c r="I3919" s="465"/>
      <c r="J3919" s="1008">
        <v>0</v>
      </c>
      <c r="K3919" s="1009">
        <v>0</v>
      </c>
    </row>
    <row r="3920" spans="1:11" ht="20.25" customHeight="1" x14ac:dyDescent="0.25">
      <c r="A3920" s="1006" t="s">
        <v>3654</v>
      </c>
      <c r="B3920" s="1007">
        <v>2025</v>
      </c>
      <c r="C3920" s="1006" t="s">
        <v>1935</v>
      </c>
      <c r="D3920" s="1006" t="s">
        <v>1938</v>
      </c>
      <c r="E3920" s="1006" t="s">
        <v>9579</v>
      </c>
      <c r="F3920" s="465"/>
      <c r="G3920" s="1007">
        <v>1</v>
      </c>
      <c r="H3920" s="465"/>
      <c r="I3920" s="465"/>
      <c r="J3920" s="1008">
        <v>0</v>
      </c>
      <c r="K3920" s="1009">
        <v>0</v>
      </c>
    </row>
    <row r="3921" spans="1:11" ht="20.25" customHeight="1" x14ac:dyDescent="0.25">
      <c r="A3921" s="1006" t="s">
        <v>3654</v>
      </c>
      <c r="B3921" s="1007">
        <v>2025</v>
      </c>
      <c r="C3921" s="1006" t="s">
        <v>1935</v>
      </c>
      <c r="D3921" s="1006" t="s">
        <v>1939</v>
      </c>
      <c r="E3921" s="1006" t="s">
        <v>9580</v>
      </c>
      <c r="F3921" s="465"/>
      <c r="G3921" s="1007">
        <v>1</v>
      </c>
      <c r="H3921" s="465"/>
      <c r="I3921" s="465"/>
      <c r="J3921" s="1008">
        <v>0</v>
      </c>
      <c r="K3921" s="1009">
        <v>0</v>
      </c>
    </row>
    <row r="3922" spans="1:11" ht="20.25" customHeight="1" x14ac:dyDescent="0.25">
      <c r="A3922" s="1006" t="s">
        <v>3654</v>
      </c>
      <c r="B3922" s="1007">
        <v>2025</v>
      </c>
      <c r="C3922" s="1006" t="s">
        <v>1935</v>
      </c>
      <c r="D3922" s="1006" t="s">
        <v>1940</v>
      </c>
      <c r="E3922" s="1006" t="s">
        <v>9581</v>
      </c>
      <c r="F3922" s="465"/>
      <c r="G3922" s="1007">
        <v>1</v>
      </c>
      <c r="H3922" s="465"/>
      <c r="I3922" s="465"/>
      <c r="J3922" s="1008">
        <v>0</v>
      </c>
      <c r="K3922" s="1009">
        <v>0</v>
      </c>
    </row>
    <row r="3923" spans="1:11" ht="20.25" customHeight="1" x14ac:dyDescent="0.25">
      <c r="A3923" s="1006" t="s">
        <v>3654</v>
      </c>
      <c r="B3923" s="1007">
        <v>2025</v>
      </c>
      <c r="C3923" s="1006" t="s">
        <v>1935</v>
      </c>
      <c r="D3923" s="1006" t="s">
        <v>1941</v>
      </c>
      <c r="E3923" s="1006" t="s">
        <v>9582</v>
      </c>
      <c r="F3923" s="465"/>
      <c r="G3923" s="1007">
        <v>1</v>
      </c>
      <c r="H3923" s="465"/>
      <c r="I3923" s="465"/>
      <c r="J3923" s="1008">
        <v>0</v>
      </c>
      <c r="K3923" s="1009">
        <v>0</v>
      </c>
    </row>
    <row r="3924" spans="1:11" ht="20.25" customHeight="1" x14ac:dyDescent="0.25">
      <c r="A3924" s="1006" t="s">
        <v>3654</v>
      </c>
      <c r="B3924" s="1007">
        <v>2025</v>
      </c>
      <c r="C3924" s="1006" t="s">
        <v>1935</v>
      </c>
      <c r="D3924" s="1006" t="s">
        <v>1942</v>
      </c>
      <c r="E3924" s="1006" t="s">
        <v>9583</v>
      </c>
      <c r="F3924" s="465"/>
      <c r="G3924" s="1007">
        <v>1</v>
      </c>
      <c r="H3924" s="465"/>
      <c r="I3924" s="465"/>
      <c r="J3924" s="1008">
        <v>0</v>
      </c>
      <c r="K3924" s="1009">
        <v>0</v>
      </c>
    </row>
    <row r="3925" spans="1:11" ht="20.25" customHeight="1" x14ac:dyDescent="0.25">
      <c r="A3925" s="1006" t="s">
        <v>3654</v>
      </c>
      <c r="B3925" s="1007">
        <v>2025</v>
      </c>
      <c r="C3925" s="1006" t="s">
        <v>1935</v>
      </c>
      <c r="D3925" s="1006" t="s">
        <v>1943</v>
      </c>
      <c r="E3925" s="1006" t="s">
        <v>9584</v>
      </c>
      <c r="F3925" s="465"/>
      <c r="G3925" s="1007">
        <v>1</v>
      </c>
      <c r="H3925" s="465"/>
      <c r="I3925" s="465"/>
      <c r="J3925" s="1008">
        <v>0</v>
      </c>
      <c r="K3925" s="1009">
        <v>0</v>
      </c>
    </row>
    <row r="3926" spans="1:11" ht="20.25" customHeight="1" x14ac:dyDescent="0.25">
      <c r="A3926" s="1006" t="s">
        <v>3654</v>
      </c>
      <c r="B3926" s="1007">
        <v>2025</v>
      </c>
      <c r="C3926" s="1006" t="s">
        <v>1935</v>
      </c>
      <c r="D3926" s="1006" t="s">
        <v>1944</v>
      </c>
      <c r="E3926" s="1006" t="s">
        <v>9585</v>
      </c>
      <c r="F3926" s="465"/>
      <c r="G3926" s="1007">
        <v>1</v>
      </c>
      <c r="H3926" s="465"/>
      <c r="I3926" s="465"/>
      <c r="J3926" s="1008">
        <v>0</v>
      </c>
      <c r="K3926" s="1009">
        <v>0</v>
      </c>
    </row>
    <row r="3927" spans="1:11" ht="20.25" customHeight="1" x14ac:dyDescent="0.25">
      <c r="A3927" s="1006" t="s">
        <v>3654</v>
      </c>
      <c r="B3927" s="1007">
        <v>2025</v>
      </c>
      <c r="C3927" s="1006" t="s">
        <v>1935</v>
      </c>
      <c r="D3927" s="1006" t="s">
        <v>1945</v>
      </c>
      <c r="E3927" s="1006" t="s">
        <v>9586</v>
      </c>
      <c r="F3927" s="465"/>
      <c r="G3927" s="1007">
        <v>1</v>
      </c>
      <c r="H3927" s="465"/>
      <c r="I3927" s="465"/>
      <c r="J3927" s="1008">
        <v>0</v>
      </c>
      <c r="K3927" s="1009">
        <v>0</v>
      </c>
    </row>
    <row r="3928" spans="1:11" ht="20.25" customHeight="1" x14ac:dyDescent="0.25">
      <c r="A3928" s="1006" t="s">
        <v>3654</v>
      </c>
      <c r="B3928" s="1007">
        <v>2025</v>
      </c>
      <c r="C3928" s="1006" t="s">
        <v>1935</v>
      </c>
      <c r="D3928" s="1006" t="s">
        <v>1946</v>
      </c>
      <c r="E3928" s="1006" t="s">
        <v>9587</v>
      </c>
      <c r="F3928" s="465"/>
      <c r="G3928" s="1007">
        <v>1</v>
      </c>
      <c r="H3928" s="465"/>
      <c r="I3928" s="465"/>
      <c r="J3928" s="1008">
        <v>0</v>
      </c>
      <c r="K3928" s="1009">
        <v>0</v>
      </c>
    </row>
    <row r="3929" spans="1:11" ht="20.25" customHeight="1" x14ac:dyDescent="0.25">
      <c r="A3929" s="1006" t="s">
        <v>3654</v>
      </c>
      <c r="B3929" s="1007">
        <v>2025</v>
      </c>
      <c r="C3929" s="1006" t="s">
        <v>1935</v>
      </c>
      <c r="D3929" s="1006" t="s">
        <v>1947</v>
      </c>
      <c r="E3929" s="1006" t="s">
        <v>9588</v>
      </c>
      <c r="F3929" s="465"/>
      <c r="G3929" s="1007">
        <v>1</v>
      </c>
      <c r="H3929" s="465"/>
      <c r="I3929" s="465"/>
      <c r="J3929" s="1008">
        <v>0</v>
      </c>
      <c r="K3929" s="1009">
        <v>0</v>
      </c>
    </row>
    <row r="3930" spans="1:11" ht="20.25" customHeight="1" x14ac:dyDescent="0.25">
      <c r="A3930" s="1006" t="s">
        <v>3654</v>
      </c>
      <c r="B3930" s="1007">
        <v>2025</v>
      </c>
      <c r="C3930" s="1006" t="s">
        <v>1935</v>
      </c>
      <c r="D3930" s="1006" t="s">
        <v>1948</v>
      </c>
      <c r="E3930" s="1006" t="s">
        <v>9589</v>
      </c>
      <c r="F3930" s="465"/>
      <c r="G3930" s="1007">
        <v>1</v>
      </c>
      <c r="H3930" s="1008">
        <v>-6736</v>
      </c>
      <c r="I3930" s="1008">
        <v>-3669</v>
      </c>
      <c r="J3930" s="1008">
        <v>-10405</v>
      </c>
      <c r="K3930" s="1009">
        <v>-10405</v>
      </c>
    </row>
    <row r="3931" spans="1:11" ht="20.25" customHeight="1" x14ac:dyDescent="0.25">
      <c r="A3931" s="1006" t="s">
        <v>3654</v>
      </c>
      <c r="B3931" s="1007">
        <v>2025</v>
      </c>
      <c r="C3931" s="1006" t="s">
        <v>1935</v>
      </c>
      <c r="D3931" s="1006" t="s">
        <v>1949</v>
      </c>
      <c r="E3931" s="1006" t="s">
        <v>9590</v>
      </c>
      <c r="F3931" s="465"/>
      <c r="G3931" s="1007">
        <v>1</v>
      </c>
      <c r="H3931" s="1008">
        <v>-3757</v>
      </c>
      <c r="I3931" s="1008">
        <v>-1857</v>
      </c>
      <c r="J3931" s="1008">
        <v>-5614</v>
      </c>
      <c r="K3931" s="1009">
        <v>-5614</v>
      </c>
    </row>
    <row r="3932" spans="1:11" ht="20.25" customHeight="1" x14ac:dyDescent="0.25">
      <c r="A3932" s="1006" t="s">
        <v>3654</v>
      </c>
      <c r="B3932" s="1007">
        <v>2025</v>
      </c>
      <c r="C3932" s="1006" t="s">
        <v>1935</v>
      </c>
      <c r="D3932" s="1006" t="s">
        <v>1950</v>
      </c>
      <c r="E3932" s="1006" t="s">
        <v>9591</v>
      </c>
      <c r="F3932" s="465"/>
      <c r="G3932" s="1007">
        <v>1</v>
      </c>
      <c r="H3932" s="1008">
        <v>-12917</v>
      </c>
      <c r="I3932" s="1008">
        <v>9027</v>
      </c>
      <c r="J3932" s="1008">
        <v>-3890</v>
      </c>
      <c r="K3932" s="1009">
        <v>-3890</v>
      </c>
    </row>
    <row r="3933" spans="1:11" ht="20.25" customHeight="1" x14ac:dyDescent="0.25">
      <c r="A3933" s="1006" t="s">
        <v>3654</v>
      </c>
      <c r="B3933" s="1007">
        <v>2025</v>
      </c>
      <c r="C3933" s="1006" t="s">
        <v>1935</v>
      </c>
      <c r="D3933" s="1006" t="s">
        <v>1951</v>
      </c>
      <c r="E3933" s="1006" t="s">
        <v>9592</v>
      </c>
      <c r="F3933" s="465"/>
      <c r="G3933" s="1007">
        <v>1</v>
      </c>
      <c r="H3933" s="1008">
        <v>2148</v>
      </c>
      <c r="I3933" s="1008">
        <v>16170</v>
      </c>
      <c r="J3933" s="1008">
        <v>18318</v>
      </c>
      <c r="K3933" s="1009">
        <v>18318</v>
      </c>
    </row>
    <row r="3934" spans="1:11" ht="20.25" customHeight="1" x14ac:dyDescent="0.25">
      <c r="A3934" s="1006" t="s">
        <v>3654</v>
      </c>
      <c r="B3934" s="1007">
        <v>2025</v>
      </c>
      <c r="C3934" s="1006" t="s">
        <v>1935</v>
      </c>
      <c r="D3934" s="1006" t="s">
        <v>7801</v>
      </c>
      <c r="E3934" s="1006" t="s">
        <v>9593</v>
      </c>
      <c r="F3934" s="465"/>
      <c r="G3934" s="1007">
        <v>1</v>
      </c>
      <c r="H3934" s="1008">
        <v>-24336</v>
      </c>
      <c r="I3934" s="1008">
        <v>12012</v>
      </c>
      <c r="J3934" s="1008">
        <v>-12324</v>
      </c>
      <c r="K3934" s="1009">
        <v>-12324</v>
      </c>
    </row>
    <row r="3935" spans="1:11" ht="20.25" customHeight="1" x14ac:dyDescent="0.25">
      <c r="A3935" s="1006" t="s">
        <v>3654</v>
      </c>
      <c r="B3935" s="1007">
        <v>2025</v>
      </c>
      <c r="C3935" s="1006" t="s">
        <v>1935</v>
      </c>
      <c r="D3935" s="1006" t="s">
        <v>3425</v>
      </c>
      <c r="E3935" s="1006" t="s">
        <v>9594</v>
      </c>
      <c r="F3935" s="1008">
        <v>3502.08</v>
      </c>
      <c r="G3935" s="1007">
        <v>0</v>
      </c>
      <c r="H3935" s="465"/>
      <c r="I3935" s="465"/>
      <c r="J3935" s="1008">
        <v>0</v>
      </c>
      <c r="K3935" s="1009">
        <v>3502.08</v>
      </c>
    </row>
    <row r="3936" spans="1:11" ht="20.25" customHeight="1" x14ac:dyDescent="0.25">
      <c r="A3936" s="1006" t="s">
        <v>3654</v>
      </c>
      <c r="B3936" s="1007">
        <v>2025</v>
      </c>
      <c r="C3936" s="1006" t="s">
        <v>1935</v>
      </c>
      <c r="D3936" s="1006" t="s">
        <v>3426</v>
      </c>
      <c r="E3936" s="1006" t="s">
        <v>9595</v>
      </c>
      <c r="F3936" s="1008">
        <v>16170.06</v>
      </c>
      <c r="G3936" s="1007">
        <v>0</v>
      </c>
      <c r="H3936" s="465"/>
      <c r="I3936" s="465"/>
      <c r="J3936" s="1008">
        <v>0</v>
      </c>
      <c r="K3936" s="1009">
        <v>16170.06</v>
      </c>
    </row>
    <row r="3937" spans="1:11" ht="20.25" customHeight="1" x14ac:dyDescent="0.25">
      <c r="A3937" s="1006" t="s">
        <v>3654</v>
      </c>
      <c r="B3937" s="1007">
        <v>2025</v>
      </c>
      <c r="C3937" s="1006" t="s">
        <v>1935</v>
      </c>
      <c r="D3937" s="1006" t="s">
        <v>3427</v>
      </c>
      <c r="E3937" s="1006" t="s">
        <v>9596</v>
      </c>
      <c r="F3937" s="1008">
        <v>12012.45</v>
      </c>
      <c r="G3937" s="1007">
        <v>0</v>
      </c>
      <c r="H3937" s="465"/>
      <c r="I3937" s="465"/>
      <c r="J3937" s="1008">
        <v>0</v>
      </c>
      <c r="K3937" s="1009">
        <v>12012.45</v>
      </c>
    </row>
    <row r="3938" spans="1:11" ht="20.25" customHeight="1" x14ac:dyDescent="0.25">
      <c r="A3938" s="1006" t="s">
        <v>3654</v>
      </c>
      <c r="B3938" s="1007">
        <v>2025</v>
      </c>
      <c r="C3938" s="1006" t="s">
        <v>1935</v>
      </c>
      <c r="D3938" s="1006" t="s">
        <v>3428</v>
      </c>
      <c r="E3938" s="1006" t="s">
        <v>9594</v>
      </c>
      <c r="F3938" s="1008">
        <v>0</v>
      </c>
      <c r="G3938" s="1007">
        <v>0</v>
      </c>
      <c r="H3938" s="465"/>
      <c r="I3938" s="465"/>
      <c r="J3938" s="1008">
        <v>0</v>
      </c>
      <c r="K3938" s="1009">
        <v>0</v>
      </c>
    </row>
    <row r="3939" spans="1:11" ht="20.25" customHeight="1" x14ac:dyDescent="0.25">
      <c r="A3939" s="1006" t="s">
        <v>3654</v>
      </c>
      <c r="B3939" s="1007">
        <v>2025</v>
      </c>
      <c r="C3939" s="1006" t="s">
        <v>1935</v>
      </c>
      <c r="D3939" s="1006" t="s">
        <v>3429</v>
      </c>
      <c r="E3939" s="1006" t="s">
        <v>9595</v>
      </c>
      <c r="F3939" s="1008">
        <v>0</v>
      </c>
      <c r="G3939" s="1007">
        <v>0</v>
      </c>
      <c r="H3939" s="465"/>
      <c r="I3939" s="465"/>
      <c r="J3939" s="1008">
        <v>0</v>
      </c>
      <c r="K3939" s="1009">
        <v>0</v>
      </c>
    </row>
    <row r="3940" spans="1:11" ht="20.25" customHeight="1" x14ac:dyDescent="0.25">
      <c r="A3940" s="1006" t="s">
        <v>3654</v>
      </c>
      <c r="B3940" s="1007">
        <v>2025</v>
      </c>
      <c r="C3940" s="1006" t="s">
        <v>1935</v>
      </c>
      <c r="D3940" s="1006" t="s">
        <v>3430</v>
      </c>
      <c r="E3940" s="1006" t="s">
        <v>9596</v>
      </c>
      <c r="F3940" s="1008">
        <v>0</v>
      </c>
      <c r="G3940" s="1007">
        <v>0</v>
      </c>
      <c r="H3940" s="465"/>
      <c r="I3940" s="465"/>
      <c r="J3940" s="1008">
        <v>0</v>
      </c>
      <c r="K3940" s="1009">
        <v>0</v>
      </c>
    </row>
    <row r="3941" spans="1:11" ht="20.25" customHeight="1" x14ac:dyDescent="0.25">
      <c r="A3941" s="1006" t="s">
        <v>3654</v>
      </c>
      <c r="B3941" s="1007">
        <v>2025</v>
      </c>
      <c r="C3941" s="1006" t="s">
        <v>1935</v>
      </c>
      <c r="D3941" s="1006" t="s">
        <v>3431</v>
      </c>
      <c r="E3941" s="1006" t="s">
        <v>9594</v>
      </c>
      <c r="F3941" s="1008">
        <v>-23409.279999999999</v>
      </c>
      <c r="G3941" s="1007">
        <v>0</v>
      </c>
      <c r="H3941" s="465"/>
      <c r="I3941" s="465"/>
      <c r="J3941" s="1008">
        <v>0</v>
      </c>
      <c r="K3941" s="1009">
        <v>-23409.279999999999</v>
      </c>
    </row>
    <row r="3942" spans="1:11" ht="20.25" customHeight="1" x14ac:dyDescent="0.25">
      <c r="A3942" s="1006" t="s">
        <v>3654</v>
      </c>
      <c r="B3942" s="1007">
        <v>2025</v>
      </c>
      <c r="C3942" s="1006" t="s">
        <v>1935</v>
      </c>
      <c r="D3942" s="1006" t="s">
        <v>3432</v>
      </c>
      <c r="E3942" s="1006" t="s">
        <v>9595</v>
      </c>
      <c r="F3942" s="1008">
        <v>2147.63</v>
      </c>
      <c r="G3942" s="1007">
        <v>0</v>
      </c>
      <c r="H3942" s="465"/>
      <c r="I3942" s="465"/>
      <c r="J3942" s="1008">
        <v>0</v>
      </c>
      <c r="K3942" s="1009">
        <v>2147.63</v>
      </c>
    </row>
    <row r="3943" spans="1:11" ht="20.25" customHeight="1" x14ac:dyDescent="0.25">
      <c r="A3943" s="1006" t="s">
        <v>3654</v>
      </c>
      <c r="B3943" s="1007">
        <v>2025</v>
      </c>
      <c r="C3943" s="1006" t="s">
        <v>1935</v>
      </c>
      <c r="D3943" s="1006" t="s">
        <v>3433</v>
      </c>
      <c r="E3943" s="1006" t="s">
        <v>9596</v>
      </c>
      <c r="F3943" s="1008">
        <v>-24336.32</v>
      </c>
      <c r="G3943" s="1007">
        <v>0</v>
      </c>
      <c r="H3943" s="465"/>
      <c r="I3943" s="465"/>
      <c r="J3943" s="1008">
        <v>0</v>
      </c>
      <c r="K3943" s="1009">
        <v>-24336.32</v>
      </c>
    </row>
    <row r="3944" spans="1:11" ht="20.25" customHeight="1" x14ac:dyDescent="0.25">
      <c r="A3944" s="1006" t="s">
        <v>3664</v>
      </c>
      <c r="B3944" s="1007">
        <v>2025</v>
      </c>
      <c r="C3944" s="1006" t="s">
        <v>1887</v>
      </c>
      <c r="D3944" s="1006" t="s">
        <v>138</v>
      </c>
      <c r="E3944" s="1006" t="s">
        <v>3665</v>
      </c>
      <c r="F3944" s="465"/>
      <c r="G3944" s="1007">
        <v>1</v>
      </c>
      <c r="H3944" s="465"/>
      <c r="I3944" s="465"/>
      <c r="J3944" s="1008">
        <v>0</v>
      </c>
      <c r="K3944" s="1009">
        <v>0</v>
      </c>
    </row>
    <row r="3945" spans="1:11" ht="20.25" customHeight="1" x14ac:dyDescent="0.25">
      <c r="A3945" s="1006" t="s">
        <v>3664</v>
      </c>
      <c r="B3945" s="1007">
        <v>2025</v>
      </c>
      <c r="C3945" s="1006" t="s">
        <v>1889</v>
      </c>
      <c r="D3945" s="1006" t="s">
        <v>139</v>
      </c>
      <c r="E3945" s="1006" t="s">
        <v>3666</v>
      </c>
      <c r="F3945" s="465"/>
      <c r="G3945" s="1007">
        <v>1</v>
      </c>
      <c r="H3945" s="465"/>
      <c r="I3945" s="465"/>
      <c r="J3945" s="1008">
        <v>0</v>
      </c>
      <c r="K3945" s="1009">
        <v>0</v>
      </c>
    </row>
    <row r="3946" spans="1:11" ht="20.25" customHeight="1" x14ac:dyDescent="0.25">
      <c r="A3946" s="1006" t="s">
        <v>3664</v>
      </c>
      <c r="B3946" s="1007">
        <v>2025</v>
      </c>
      <c r="C3946" s="1006" t="s">
        <v>1891</v>
      </c>
      <c r="D3946" s="1006" t="s">
        <v>1894</v>
      </c>
      <c r="E3946" s="1006" t="s">
        <v>3667</v>
      </c>
      <c r="F3946" s="465"/>
      <c r="G3946" s="1007">
        <v>0</v>
      </c>
      <c r="H3946" s="465"/>
      <c r="I3946" s="465"/>
      <c r="J3946" s="1008">
        <v>0</v>
      </c>
      <c r="K3946" s="1009">
        <v>0</v>
      </c>
    </row>
    <row r="3947" spans="1:11" ht="20.25" customHeight="1" x14ac:dyDescent="0.25">
      <c r="A3947" s="1006" t="s">
        <v>3664</v>
      </c>
      <c r="B3947" s="1007">
        <v>2025</v>
      </c>
      <c r="C3947" s="1006" t="s">
        <v>1913</v>
      </c>
      <c r="D3947" s="1006" t="s">
        <v>1914</v>
      </c>
      <c r="E3947" s="1006" t="s">
        <v>3668</v>
      </c>
      <c r="F3947" s="465"/>
      <c r="G3947" s="1007">
        <v>1</v>
      </c>
      <c r="H3947" s="465"/>
      <c r="I3947" s="465"/>
      <c r="J3947" s="1008">
        <v>0</v>
      </c>
      <c r="K3947" s="1009">
        <v>0</v>
      </c>
    </row>
    <row r="3948" spans="1:11" ht="20.25" customHeight="1" x14ac:dyDescent="0.25">
      <c r="A3948" s="1006" t="s">
        <v>3664</v>
      </c>
      <c r="B3948" s="1007">
        <v>2025</v>
      </c>
      <c r="C3948" s="1006" t="s">
        <v>1913</v>
      </c>
      <c r="D3948" s="1006" t="s">
        <v>1916</v>
      </c>
      <c r="E3948" s="1006" t="s">
        <v>3668</v>
      </c>
      <c r="F3948" s="465"/>
      <c r="G3948" s="1007">
        <v>0</v>
      </c>
      <c r="H3948" s="465"/>
      <c r="I3948" s="465"/>
      <c r="J3948" s="1008">
        <v>0</v>
      </c>
      <c r="K3948" s="1009">
        <v>0</v>
      </c>
    </row>
    <row r="3949" spans="1:11" ht="20.25" customHeight="1" x14ac:dyDescent="0.25">
      <c r="A3949" s="1006" t="s">
        <v>3664</v>
      </c>
      <c r="B3949" s="1007">
        <v>2025</v>
      </c>
      <c r="C3949" s="1006" t="s">
        <v>1913</v>
      </c>
      <c r="D3949" s="1006" t="s">
        <v>1917</v>
      </c>
      <c r="E3949" s="1006" t="s">
        <v>3668</v>
      </c>
      <c r="F3949" s="465"/>
      <c r="G3949" s="1007">
        <v>0</v>
      </c>
      <c r="H3949" s="465"/>
      <c r="I3949" s="465"/>
      <c r="J3949" s="1008">
        <v>0</v>
      </c>
      <c r="K3949" s="1009">
        <v>0</v>
      </c>
    </row>
    <row r="3950" spans="1:11" ht="20.25" customHeight="1" x14ac:dyDescent="0.25">
      <c r="A3950" s="1006" t="s">
        <v>3664</v>
      </c>
      <c r="B3950" s="1007">
        <v>2025</v>
      </c>
      <c r="C3950" s="1006" t="s">
        <v>1913</v>
      </c>
      <c r="D3950" s="1006" t="s">
        <v>1918</v>
      </c>
      <c r="E3950" s="1006" t="s">
        <v>3668</v>
      </c>
      <c r="F3950" s="1008">
        <v>-1789.24</v>
      </c>
      <c r="G3950" s="1007">
        <v>0</v>
      </c>
      <c r="H3950" s="465"/>
      <c r="I3950" s="465"/>
      <c r="J3950" s="1008">
        <v>0</v>
      </c>
      <c r="K3950" s="1009">
        <v>-1789.24</v>
      </c>
    </row>
    <row r="3951" spans="1:11" ht="20.25" customHeight="1" x14ac:dyDescent="0.25">
      <c r="A3951" s="1006" t="s">
        <v>3664</v>
      </c>
      <c r="B3951" s="1007">
        <v>2025</v>
      </c>
      <c r="C3951" s="1006" t="s">
        <v>1913</v>
      </c>
      <c r="D3951" s="1006" t="s">
        <v>1919</v>
      </c>
      <c r="E3951" s="1006" t="s">
        <v>3668</v>
      </c>
      <c r="F3951" s="1008">
        <v>34179.980000000003</v>
      </c>
      <c r="G3951" s="1007">
        <v>0</v>
      </c>
      <c r="H3951" s="465"/>
      <c r="I3951" s="465"/>
      <c r="J3951" s="1008">
        <v>0</v>
      </c>
      <c r="K3951" s="1009">
        <v>34179.980000000003</v>
      </c>
    </row>
    <row r="3952" spans="1:11" ht="20.25" customHeight="1" x14ac:dyDescent="0.25">
      <c r="A3952" s="1006" t="s">
        <v>3664</v>
      </c>
      <c r="B3952" s="1007">
        <v>2025</v>
      </c>
      <c r="C3952" s="1006" t="s">
        <v>1923</v>
      </c>
      <c r="D3952" s="1006" t="s">
        <v>143</v>
      </c>
      <c r="E3952" s="1006" t="s">
        <v>3669</v>
      </c>
      <c r="F3952" s="465"/>
      <c r="G3952" s="1007">
        <v>1</v>
      </c>
      <c r="H3952" s="465"/>
      <c r="I3952" s="465"/>
      <c r="J3952" s="1008">
        <v>0</v>
      </c>
      <c r="K3952" s="1009">
        <v>0</v>
      </c>
    </row>
    <row r="3953" spans="1:11" ht="20.25" customHeight="1" x14ac:dyDescent="0.25">
      <c r="A3953" s="1006" t="s">
        <v>3664</v>
      </c>
      <c r="B3953" s="1007">
        <v>2025</v>
      </c>
      <c r="C3953" s="1006" t="s">
        <v>1925</v>
      </c>
      <c r="D3953" s="1006" t="s">
        <v>144</v>
      </c>
      <c r="E3953" s="1006" t="s">
        <v>3670</v>
      </c>
      <c r="F3953" s="465"/>
      <c r="G3953" s="1007">
        <v>1</v>
      </c>
      <c r="H3953" s="465"/>
      <c r="I3953" s="465"/>
      <c r="J3953" s="1008">
        <v>0</v>
      </c>
      <c r="K3953" s="1009">
        <v>0</v>
      </c>
    </row>
    <row r="3954" spans="1:11" ht="20.25" customHeight="1" x14ac:dyDescent="0.25">
      <c r="A3954" s="1006" t="s">
        <v>3664</v>
      </c>
      <c r="B3954" s="1007">
        <v>2025</v>
      </c>
      <c r="C3954" s="1006" t="s">
        <v>1927</v>
      </c>
      <c r="D3954" s="1006" t="s">
        <v>1928</v>
      </c>
      <c r="E3954" s="1006" t="s">
        <v>3671</v>
      </c>
      <c r="F3954" s="465"/>
      <c r="G3954" s="1007">
        <v>1</v>
      </c>
      <c r="H3954" s="465"/>
      <c r="I3954" s="465"/>
      <c r="J3954" s="1008">
        <v>0</v>
      </c>
      <c r="K3954" s="1009">
        <v>0</v>
      </c>
    </row>
    <row r="3955" spans="1:11" ht="20.25" customHeight="1" x14ac:dyDescent="0.25">
      <c r="A3955" s="1006" t="s">
        <v>3664</v>
      </c>
      <c r="B3955" s="1007">
        <v>2025</v>
      </c>
      <c r="C3955" s="1006" t="s">
        <v>1930</v>
      </c>
      <c r="D3955" s="1006" t="s">
        <v>156</v>
      </c>
      <c r="E3955" s="1006" t="s">
        <v>3672</v>
      </c>
      <c r="F3955" s="465"/>
      <c r="G3955" s="1007">
        <v>1</v>
      </c>
      <c r="H3955" s="465"/>
      <c r="I3955" s="465"/>
      <c r="J3955" s="1008">
        <v>0</v>
      </c>
      <c r="K3955" s="1009">
        <v>0</v>
      </c>
    </row>
    <row r="3956" spans="1:11" ht="20.25" customHeight="1" x14ac:dyDescent="0.25">
      <c r="A3956" s="1006" t="s">
        <v>3664</v>
      </c>
      <c r="B3956" s="1007">
        <v>2025</v>
      </c>
      <c r="C3956" s="1006" t="s">
        <v>1932</v>
      </c>
      <c r="D3956" s="1006" t="s">
        <v>3423</v>
      </c>
      <c r="E3956" s="1006" t="s">
        <v>3673</v>
      </c>
      <c r="F3956" s="465"/>
      <c r="G3956" s="1007">
        <v>0</v>
      </c>
      <c r="H3956" s="465"/>
      <c r="I3956" s="465"/>
      <c r="J3956" s="1008">
        <v>0</v>
      </c>
      <c r="K3956" s="1009">
        <v>0</v>
      </c>
    </row>
    <row r="3957" spans="1:11" ht="20.25" customHeight="1" x14ac:dyDescent="0.25">
      <c r="A3957" s="1006" t="s">
        <v>3664</v>
      </c>
      <c r="B3957" s="1007">
        <v>2025</v>
      </c>
      <c r="C3957" s="1006" t="s">
        <v>1935</v>
      </c>
      <c r="D3957" s="1006" t="s">
        <v>1936</v>
      </c>
      <c r="E3957" s="1006" t="s">
        <v>9597</v>
      </c>
      <c r="F3957" s="465"/>
      <c r="G3957" s="1007">
        <v>1</v>
      </c>
      <c r="H3957" s="465"/>
      <c r="I3957" s="465"/>
      <c r="J3957" s="1008">
        <v>0</v>
      </c>
      <c r="K3957" s="1009">
        <v>0</v>
      </c>
    </row>
    <row r="3958" spans="1:11" ht="20.25" customHeight="1" x14ac:dyDescent="0.25">
      <c r="A3958" s="1006" t="s">
        <v>3664</v>
      </c>
      <c r="B3958" s="1007">
        <v>2025</v>
      </c>
      <c r="C3958" s="1006" t="s">
        <v>1935</v>
      </c>
      <c r="D3958" s="1006" t="s">
        <v>1937</v>
      </c>
      <c r="E3958" s="1006" t="s">
        <v>9598</v>
      </c>
      <c r="F3958" s="465"/>
      <c r="G3958" s="1007">
        <v>1</v>
      </c>
      <c r="H3958" s="465"/>
      <c r="I3958" s="465"/>
      <c r="J3958" s="1008">
        <v>0</v>
      </c>
      <c r="K3958" s="1009">
        <v>0</v>
      </c>
    </row>
    <row r="3959" spans="1:11" ht="20.25" customHeight="1" x14ac:dyDescent="0.25">
      <c r="A3959" s="1006" t="s">
        <v>3664</v>
      </c>
      <c r="B3959" s="1007">
        <v>2025</v>
      </c>
      <c r="C3959" s="1006" t="s">
        <v>1935</v>
      </c>
      <c r="D3959" s="1006" t="s">
        <v>1938</v>
      </c>
      <c r="E3959" s="1006" t="s">
        <v>9599</v>
      </c>
      <c r="F3959" s="465"/>
      <c r="G3959" s="1007">
        <v>1</v>
      </c>
      <c r="H3959" s="465"/>
      <c r="I3959" s="465"/>
      <c r="J3959" s="1008">
        <v>0</v>
      </c>
      <c r="K3959" s="1009">
        <v>0</v>
      </c>
    </row>
    <row r="3960" spans="1:11" ht="20.25" customHeight="1" x14ac:dyDescent="0.25">
      <c r="A3960" s="1006" t="s">
        <v>3664</v>
      </c>
      <c r="B3960" s="1007">
        <v>2025</v>
      </c>
      <c r="C3960" s="1006" t="s">
        <v>1935</v>
      </c>
      <c r="D3960" s="1006" t="s">
        <v>1939</v>
      </c>
      <c r="E3960" s="1006" t="s">
        <v>9600</v>
      </c>
      <c r="F3960" s="465"/>
      <c r="G3960" s="1007">
        <v>1</v>
      </c>
      <c r="H3960" s="465"/>
      <c r="I3960" s="465"/>
      <c r="J3960" s="1008">
        <v>0</v>
      </c>
      <c r="K3960" s="1009">
        <v>0</v>
      </c>
    </row>
    <row r="3961" spans="1:11" ht="20.25" customHeight="1" x14ac:dyDescent="0.25">
      <c r="A3961" s="1006" t="s">
        <v>3664</v>
      </c>
      <c r="B3961" s="1007">
        <v>2025</v>
      </c>
      <c r="C3961" s="1006" t="s">
        <v>1935</v>
      </c>
      <c r="D3961" s="1006" t="s">
        <v>1940</v>
      </c>
      <c r="E3961" s="1006" t="s">
        <v>9601</v>
      </c>
      <c r="F3961" s="465"/>
      <c r="G3961" s="1007">
        <v>1</v>
      </c>
      <c r="H3961" s="465"/>
      <c r="I3961" s="465"/>
      <c r="J3961" s="1008">
        <v>0</v>
      </c>
      <c r="K3961" s="1009">
        <v>0</v>
      </c>
    </row>
    <row r="3962" spans="1:11" ht="20.25" customHeight="1" x14ac:dyDescent="0.25">
      <c r="A3962" s="1006" t="s">
        <v>3664</v>
      </c>
      <c r="B3962" s="1007">
        <v>2025</v>
      </c>
      <c r="C3962" s="1006" t="s">
        <v>1935</v>
      </c>
      <c r="D3962" s="1006" t="s">
        <v>1941</v>
      </c>
      <c r="E3962" s="1006" t="s">
        <v>9602</v>
      </c>
      <c r="F3962" s="465"/>
      <c r="G3962" s="1007">
        <v>1</v>
      </c>
      <c r="H3962" s="465"/>
      <c r="I3962" s="465"/>
      <c r="J3962" s="1008">
        <v>0</v>
      </c>
      <c r="K3962" s="1009">
        <v>0</v>
      </c>
    </row>
    <row r="3963" spans="1:11" ht="20.25" customHeight="1" x14ac:dyDescent="0.25">
      <c r="A3963" s="1006" t="s">
        <v>3664</v>
      </c>
      <c r="B3963" s="1007">
        <v>2025</v>
      </c>
      <c r="C3963" s="1006" t="s">
        <v>1935</v>
      </c>
      <c r="D3963" s="1006" t="s">
        <v>1942</v>
      </c>
      <c r="E3963" s="1006" t="s">
        <v>9603</v>
      </c>
      <c r="F3963" s="465"/>
      <c r="G3963" s="1007">
        <v>1</v>
      </c>
      <c r="H3963" s="465"/>
      <c r="I3963" s="465"/>
      <c r="J3963" s="1008">
        <v>0</v>
      </c>
      <c r="K3963" s="1009">
        <v>0</v>
      </c>
    </row>
    <row r="3964" spans="1:11" ht="20.25" customHeight="1" x14ac:dyDescent="0.25">
      <c r="A3964" s="1006" t="s">
        <v>3664</v>
      </c>
      <c r="B3964" s="1007">
        <v>2025</v>
      </c>
      <c r="C3964" s="1006" t="s">
        <v>1935</v>
      </c>
      <c r="D3964" s="1006" t="s">
        <v>1943</v>
      </c>
      <c r="E3964" s="1006" t="s">
        <v>9604</v>
      </c>
      <c r="F3964" s="465"/>
      <c r="G3964" s="1007">
        <v>1</v>
      </c>
      <c r="H3964" s="465"/>
      <c r="I3964" s="465"/>
      <c r="J3964" s="1008">
        <v>0</v>
      </c>
      <c r="K3964" s="1009">
        <v>0</v>
      </c>
    </row>
    <row r="3965" spans="1:11" ht="20.25" customHeight="1" x14ac:dyDescent="0.25">
      <c r="A3965" s="1006" t="s">
        <v>3664</v>
      </c>
      <c r="B3965" s="1007">
        <v>2025</v>
      </c>
      <c r="C3965" s="1006" t="s">
        <v>1935</v>
      </c>
      <c r="D3965" s="1006" t="s">
        <v>1944</v>
      </c>
      <c r="E3965" s="1006" t="s">
        <v>9605</v>
      </c>
      <c r="F3965" s="465"/>
      <c r="G3965" s="1007">
        <v>1</v>
      </c>
      <c r="H3965" s="465"/>
      <c r="I3965" s="465"/>
      <c r="J3965" s="1008">
        <v>0</v>
      </c>
      <c r="K3965" s="1009">
        <v>0</v>
      </c>
    </row>
    <row r="3966" spans="1:11" ht="20.25" customHeight="1" x14ac:dyDescent="0.25">
      <c r="A3966" s="1006" t="s">
        <v>3664</v>
      </c>
      <c r="B3966" s="1007">
        <v>2025</v>
      </c>
      <c r="C3966" s="1006" t="s">
        <v>1935</v>
      </c>
      <c r="D3966" s="1006" t="s">
        <v>1945</v>
      </c>
      <c r="E3966" s="1006" t="s">
        <v>9606</v>
      </c>
      <c r="F3966" s="465"/>
      <c r="G3966" s="1007">
        <v>1</v>
      </c>
      <c r="H3966" s="465"/>
      <c r="I3966" s="465"/>
      <c r="J3966" s="1008">
        <v>0</v>
      </c>
      <c r="K3966" s="1009">
        <v>0</v>
      </c>
    </row>
    <row r="3967" spans="1:11" ht="20.25" customHeight="1" x14ac:dyDescent="0.25">
      <c r="A3967" s="1006" t="s">
        <v>3664</v>
      </c>
      <c r="B3967" s="1007">
        <v>2025</v>
      </c>
      <c r="C3967" s="1006" t="s">
        <v>1935</v>
      </c>
      <c r="D3967" s="1006" t="s">
        <v>1946</v>
      </c>
      <c r="E3967" s="1006" t="s">
        <v>9607</v>
      </c>
      <c r="F3967" s="465"/>
      <c r="G3967" s="1007">
        <v>1</v>
      </c>
      <c r="H3967" s="465"/>
      <c r="I3967" s="465"/>
      <c r="J3967" s="1008">
        <v>0</v>
      </c>
      <c r="K3967" s="1009">
        <v>0</v>
      </c>
    </row>
    <row r="3968" spans="1:11" ht="20.25" customHeight="1" x14ac:dyDescent="0.25">
      <c r="A3968" s="1006" t="s">
        <v>3664</v>
      </c>
      <c r="B3968" s="1007">
        <v>2025</v>
      </c>
      <c r="C3968" s="1006" t="s">
        <v>1935</v>
      </c>
      <c r="D3968" s="1006" t="s">
        <v>1947</v>
      </c>
      <c r="E3968" s="1006" t="s">
        <v>9608</v>
      </c>
      <c r="F3968" s="465"/>
      <c r="G3968" s="1007">
        <v>1</v>
      </c>
      <c r="H3968" s="465"/>
      <c r="I3968" s="465"/>
      <c r="J3968" s="1008">
        <v>0</v>
      </c>
      <c r="K3968" s="1009">
        <v>0</v>
      </c>
    </row>
    <row r="3969" spans="1:11" ht="20.25" customHeight="1" x14ac:dyDescent="0.25">
      <c r="A3969" s="1006" t="s">
        <v>3664</v>
      </c>
      <c r="B3969" s="1007">
        <v>2025</v>
      </c>
      <c r="C3969" s="1006" t="s">
        <v>1935</v>
      </c>
      <c r="D3969" s="1006" t="s">
        <v>1948</v>
      </c>
      <c r="E3969" s="1006" t="s">
        <v>9609</v>
      </c>
      <c r="F3969" s="465"/>
      <c r="G3969" s="1007">
        <v>1</v>
      </c>
      <c r="H3969" s="1008">
        <v>-1543</v>
      </c>
      <c r="I3969" s="1008">
        <v>8530</v>
      </c>
      <c r="J3969" s="1008">
        <v>6987</v>
      </c>
      <c r="K3969" s="1009">
        <v>6987</v>
      </c>
    </row>
    <row r="3970" spans="1:11" ht="20.25" customHeight="1" x14ac:dyDescent="0.25">
      <c r="A3970" s="1006" t="s">
        <v>3664</v>
      </c>
      <c r="B3970" s="1007">
        <v>2025</v>
      </c>
      <c r="C3970" s="1006" t="s">
        <v>1935</v>
      </c>
      <c r="D3970" s="1006" t="s">
        <v>1949</v>
      </c>
      <c r="E3970" s="1006" t="s">
        <v>9610</v>
      </c>
      <c r="F3970" s="465"/>
      <c r="G3970" s="1007">
        <v>1</v>
      </c>
      <c r="H3970" s="1008">
        <v>25942</v>
      </c>
      <c r="I3970" s="1008">
        <v>3666</v>
      </c>
      <c r="J3970" s="1008">
        <v>29608</v>
      </c>
      <c r="K3970" s="1009">
        <v>29608</v>
      </c>
    </row>
    <row r="3971" spans="1:11" ht="20.25" customHeight="1" x14ac:dyDescent="0.25">
      <c r="A3971" s="1006" t="s">
        <v>3664</v>
      </c>
      <c r="B3971" s="1007">
        <v>2025</v>
      </c>
      <c r="C3971" s="1006" t="s">
        <v>1935</v>
      </c>
      <c r="D3971" s="1006" t="s">
        <v>1950</v>
      </c>
      <c r="E3971" s="1006" t="s">
        <v>9611</v>
      </c>
      <c r="F3971" s="465"/>
      <c r="G3971" s="1007">
        <v>1</v>
      </c>
      <c r="H3971" s="1008">
        <v>86585</v>
      </c>
      <c r="I3971" s="1008">
        <v>-33115</v>
      </c>
      <c r="J3971" s="1008">
        <v>53470</v>
      </c>
      <c r="K3971" s="1009">
        <v>53470</v>
      </c>
    </row>
    <row r="3972" spans="1:11" ht="20.25" customHeight="1" x14ac:dyDescent="0.25">
      <c r="A3972" s="1006" t="s">
        <v>3664</v>
      </c>
      <c r="B3972" s="1007">
        <v>2025</v>
      </c>
      <c r="C3972" s="1006" t="s">
        <v>1935</v>
      </c>
      <c r="D3972" s="1006" t="s">
        <v>1951</v>
      </c>
      <c r="E3972" s="1006" t="s">
        <v>9612</v>
      </c>
      <c r="F3972" s="465"/>
      <c r="G3972" s="1007">
        <v>1</v>
      </c>
      <c r="H3972" s="1008">
        <v>55347</v>
      </c>
      <c r="I3972" s="1008">
        <v>-73652</v>
      </c>
      <c r="J3972" s="1008">
        <v>-18305</v>
      </c>
      <c r="K3972" s="1009">
        <v>-18305</v>
      </c>
    </row>
    <row r="3973" spans="1:11" ht="20.25" customHeight="1" x14ac:dyDescent="0.25">
      <c r="A3973" s="1006" t="s">
        <v>3664</v>
      </c>
      <c r="B3973" s="1007">
        <v>2025</v>
      </c>
      <c r="C3973" s="1006" t="s">
        <v>1935</v>
      </c>
      <c r="D3973" s="1006" t="s">
        <v>7801</v>
      </c>
      <c r="E3973" s="1006" t="s">
        <v>9613</v>
      </c>
      <c r="F3973" s="465"/>
      <c r="G3973" s="1007">
        <v>1</v>
      </c>
      <c r="H3973" s="1008">
        <v>424378</v>
      </c>
      <c r="I3973" s="1008">
        <v>-454745</v>
      </c>
      <c r="J3973" s="1008">
        <v>-30367</v>
      </c>
      <c r="K3973" s="1009">
        <v>-30367</v>
      </c>
    </row>
    <row r="3974" spans="1:11" ht="20.25" customHeight="1" x14ac:dyDescent="0.25">
      <c r="A3974" s="1006" t="s">
        <v>3664</v>
      </c>
      <c r="B3974" s="1007">
        <v>2025</v>
      </c>
      <c r="C3974" s="1006" t="s">
        <v>1935</v>
      </c>
      <c r="D3974" s="1006" t="s">
        <v>3425</v>
      </c>
      <c r="E3974" s="1006" t="s">
        <v>9614</v>
      </c>
      <c r="F3974" s="1008">
        <v>-20918.740000000002</v>
      </c>
      <c r="G3974" s="1007">
        <v>0</v>
      </c>
      <c r="H3974" s="465"/>
      <c r="I3974" s="465"/>
      <c r="J3974" s="1008">
        <v>0</v>
      </c>
      <c r="K3974" s="1009">
        <v>-20918.740000000002</v>
      </c>
    </row>
    <row r="3975" spans="1:11" ht="20.25" customHeight="1" x14ac:dyDescent="0.25">
      <c r="A3975" s="1006" t="s">
        <v>3664</v>
      </c>
      <c r="B3975" s="1007">
        <v>2025</v>
      </c>
      <c r="C3975" s="1006" t="s">
        <v>1935</v>
      </c>
      <c r="D3975" s="1006" t="s">
        <v>3426</v>
      </c>
      <c r="E3975" s="1006" t="s">
        <v>9615</v>
      </c>
      <c r="F3975" s="1008">
        <v>-73652.42</v>
      </c>
      <c r="G3975" s="1007">
        <v>0</v>
      </c>
      <c r="H3975" s="465"/>
      <c r="I3975" s="465"/>
      <c r="J3975" s="1008">
        <v>0</v>
      </c>
      <c r="K3975" s="1009">
        <v>-73652.42</v>
      </c>
    </row>
    <row r="3976" spans="1:11" ht="20.25" customHeight="1" x14ac:dyDescent="0.25">
      <c r="A3976" s="1006" t="s">
        <v>3664</v>
      </c>
      <c r="B3976" s="1007">
        <v>2025</v>
      </c>
      <c r="C3976" s="1006" t="s">
        <v>1935</v>
      </c>
      <c r="D3976" s="1006" t="s">
        <v>3427</v>
      </c>
      <c r="E3976" s="1006" t="s">
        <v>9616</v>
      </c>
      <c r="F3976" s="1008">
        <v>-454744.85</v>
      </c>
      <c r="G3976" s="1007">
        <v>0</v>
      </c>
      <c r="H3976" s="465"/>
      <c r="I3976" s="465"/>
      <c r="J3976" s="1008">
        <v>0</v>
      </c>
      <c r="K3976" s="1009">
        <v>-454744.85</v>
      </c>
    </row>
    <row r="3977" spans="1:11" ht="20.25" customHeight="1" x14ac:dyDescent="0.25">
      <c r="A3977" s="1006" t="s">
        <v>3664</v>
      </c>
      <c r="B3977" s="1007">
        <v>2025</v>
      </c>
      <c r="C3977" s="1006" t="s">
        <v>1935</v>
      </c>
      <c r="D3977" s="1006" t="s">
        <v>3428</v>
      </c>
      <c r="E3977" s="1006" t="s">
        <v>9614</v>
      </c>
      <c r="F3977" s="465"/>
      <c r="G3977" s="1007">
        <v>0</v>
      </c>
      <c r="H3977" s="465"/>
      <c r="I3977" s="465"/>
      <c r="J3977" s="1008">
        <v>0</v>
      </c>
      <c r="K3977" s="1009">
        <v>0</v>
      </c>
    </row>
    <row r="3978" spans="1:11" ht="20.25" customHeight="1" x14ac:dyDescent="0.25">
      <c r="A3978" s="1006" t="s">
        <v>3664</v>
      </c>
      <c r="B3978" s="1007">
        <v>2025</v>
      </c>
      <c r="C3978" s="1006" t="s">
        <v>1935</v>
      </c>
      <c r="D3978" s="1006" t="s">
        <v>3429</v>
      </c>
      <c r="E3978" s="1006" t="s">
        <v>9615</v>
      </c>
      <c r="F3978" s="465"/>
      <c r="G3978" s="1007">
        <v>0</v>
      </c>
      <c r="H3978" s="465"/>
      <c r="I3978" s="465"/>
      <c r="J3978" s="1008">
        <v>0</v>
      </c>
      <c r="K3978" s="1009">
        <v>0</v>
      </c>
    </row>
    <row r="3979" spans="1:11" ht="20.25" customHeight="1" x14ac:dyDescent="0.25">
      <c r="A3979" s="1006" t="s">
        <v>3664</v>
      </c>
      <c r="B3979" s="1007">
        <v>2025</v>
      </c>
      <c r="C3979" s="1006" t="s">
        <v>1935</v>
      </c>
      <c r="D3979" s="1006" t="s">
        <v>3430</v>
      </c>
      <c r="E3979" s="1006" t="s">
        <v>9616</v>
      </c>
      <c r="F3979" s="465"/>
      <c r="G3979" s="1007">
        <v>0</v>
      </c>
      <c r="H3979" s="465"/>
      <c r="I3979" s="465"/>
      <c r="J3979" s="1008">
        <v>0</v>
      </c>
      <c r="K3979" s="1009">
        <v>0</v>
      </c>
    </row>
    <row r="3980" spans="1:11" ht="20.25" customHeight="1" x14ac:dyDescent="0.25">
      <c r="A3980" s="1006" t="s">
        <v>3664</v>
      </c>
      <c r="B3980" s="1007">
        <v>2025</v>
      </c>
      <c r="C3980" s="1006" t="s">
        <v>1935</v>
      </c>
      <c r="D3980" s="1006" t="s">
        <v>3431</v>
      </c>
      <c r="E3980" s="1006" t="s">
        <v>9614</v>
      </c>
      <c r="F3980" s="1008">
        <v>110983.85</v>
      </c>
      <c r="G3980" s="1007">
        <v>0</v>
      </c>
      <c r="H3980" s="465"/>
      <c r="I3980" s="465"/>
      <c r="J3980" s="1008">
        <v>0</v>
      </c>
      <c r="K3980" s="1009">
        <v>110983.85</v>
      </c>
    </row>
    <row r="3981" spans="1:11" ht="20.25" customHeight="1" x14ac:dyDescent="0.25">
      <c r="A3981" s="1006" t="s">
        <v>3664</v>
      </c>
      <c r="B3981" s="1007">
        <v>2025</v>
      </c>
      <c r="C3981" s="1006" t="s">
        <v>1935</v>
      </c>
      <c r="D3981" s="1006" t="s">
        <v>3432</v>
      </c>
      <c r="E3981" s="1006" t="s">
        <v>9615</v>
      </c>
      <c r="F3981" s="1008">
        <v>55346.61</v>
      </c>
      <c r="G3981" s="1007">
        <v>0</v>
      </c>
      <c r="H3981" s="465"/>
      <c r="I3981" s="465"/>
      <c r="J3981" s="1008">
        <v>0</v>
      </c>
      <c r="K3981" s="1009">
        <v>55346.61</v>
      </c>
    </row>
    <row r="3982" spans="1:11" ht="20.25" customHeight="1" x14ac:dyDescent="0.25">
      <c r="A3982" s="1006" t="s">
        <v>3664</v>
      </c>
      <c r="B3982" s="1007">
        <v>2025</v>
      </c>
      <c r="C3982" s="1006" t="s">
        <v>1935</v>
      </c>
      <c r="D3982" s="1006" t="s">
        <v>3433</v>
      </c>
      <c r="E3982" s="1006" t="s">
        <v>9616</v>
      </c>
      <c r="F3982" s="1008">
        <v>424377.76</v>
      </c>
      <c r="G3982" s="1007">
        <v>0</v>
      </c>
      <c r="H3982" s="465"/>
      <c r="I3982" s="465"/>
      <c r="J3982" s="1008">
        <v>0</v>
      </c>
      <c r="K3982" s="1009">
        <v>424377.76</v>
      </c>
    </row>
    <row r="3983" spans="1:11" x14ac:dyDescent="0.25">
      <c r="E3983" t="s">
        <v>169</v>
      </c>
      <c r="K3983">
        <v>0</v>
      </c>
    </row>
    <row r="3984" spans="1:11" x14ac:dyDescent="0.25">
      <c r="E3984" t="s">
        <v>169</v>
      </c>
      <c r="K3984">
        <v>0</v>
      </c>
    </row>
    <row r="3985" spans="5:11" x14ac:dyDescent="0.25">
      <c r="E3985" t="s">
        <v>169</v>
      </c>
      <c r="K3985">
        <v>0</v>
      </c>
    </row>
    <row r="3986" spans="5:11" x14ac:dyDescent="0.25">
      <c r="E3986" t="s">
        <v>169</v>
      </c>
      <c r="K3986">
        <v>0</v>
      </c>
    </row>
    <row r="3987" spans="5:11" x14ac:dyDescent="0.25">
      <c r="E3987" t="s">
        <v>169</v>
      </c>
      <c r="K3987">
        <v>0</v>
      </c>
    </row>
    <row r="3988" spans="5:11" x14ac:dyDescent="0.25">
      <c r="E3988" t="s">
        <v>169</v>
      </c>
      <c r="K3988">
        <v>0</v>
      </c>
    </row>
    <row r="3989" spans="5:11" x14ac:dyDescent="0.25">
      <c r="E3989" t="s">
        <v>169</v>
      </c>
      <c r="K3989">
        <v>0</v>
      </c>
    </row>
    <row r="3990" spans="5:11" x14ac:dyDescent="0.25">
      <c r="E3990" t="s">
        <v>169</v>
      </c>
      <c r="K3990">
        <v>0</v>
      </c>
    </row>
    <row r="3991" spans="5:11" x14ac:dyDescent="0.25">
      <c r="E3991" t="s">
        <v>169</v>
      </c>
      <c r="K3991">
        <v>0</v>
      </c>
    </row>
    <row r="3992" spans="5:11" x14ac:dyDescent="0.25">
      <c r="E3992" t="s">
        <v>169</v>
      </c>
      <c r="K3992">
        <v>0</v>
      </c>
    </row>
    <row r="3993" spans="5:11" x14ac:dyDescent="0.25">
      <c r="E3993" t="s">
        <v>169</v>
      </c>
      <c r="K3993">
        <v>0</v>
      </c>
    </row>
    <row r="3994" spans="5:11" x14ac:dyDescent="0.25">
      <c r="E3994" t="s">
        <v>169</v>
      </c>
      <c r="K3994">
        <v>0</v>
      </c>
    </row>
    <row r="3995" spans="5:11" x14ac:dyDescent="0.25">
      <c r="E3995" t="s">
        <v>169</v>
      </c>
      <c r="K3995">
        <v>0</v>
      </c>
    </row>
    <row r="3996" spans="5:11" x14ac:dyDescent="0.25">
      <c r="E3996" t="s">
        <v>169</v>
      </c>
      <c r="K3996">
        <v>0</v>
      </c>
    </row>
    <row r="3997" spans="5:11" x14ac:dyDescent="0.25">
      <c r="E3997" t="s">
        <v>169</v>
      </c>
      <c r="K3997">
        <v>0</v>
      </c>
    </row>
    <row r="3998" spans="5:11" x14ac:dyDescent="0.25">
      <c r="E3998" t="s">
        <v>169</v>
      </c>
      <c r="K3998">
        <v>0</v>
      </c>
    </row>
    <row r="3999" spans="5:11" x14ac:dyDescent="0.25">
      <c r="E3999" t="s">
        <v>169</v>
      </c>
      <c r="K3999">
        <v>0</v>
      </c>
    </row>
    <row r="4000" spans="5:11" x14ac:dyDescent="0.25">
      <c r="E4000" t="s">
        <v>169</v>
      </c>
      <c r="K4000">
        <v>0</v>
      </c>
    </row>
    <row r="4001" spans="5:11" x14ac:dyDescent="0.25">
      <c r="E4001" t="s">
        <v>169</v>
      </c>
      <c r="K4001">
        <v>0</v>
      </c>
    </row>
    <row r="4002" spans="5:11" x14ac:dyDescent="0.25">
      <c r="E4002" t="s">
        <v>169</v>
      </c>
      <c r="K4002">
        <v>0</v>
      </c>
    </row>
    <row r="4003" spans="5:11" x14ac:dyDescent="0.25">
      <c r="E4003" t="s">
        <v>169</v>
      </c>
      <c r="K4003">
        <v>0</v>
      </c>
    </row>
    <row r="4004" spans="5:11" x14ac:dyDescent="0.25">
      <c r="E4004" t="s">
        <v>169</v>
      </c>
      <c r="K4004">
        <v>0</v>
      </c>
    </row>
    <row r="4005" spans="5:11" x14ac:dyDescent="0.25">
      <c r="E4005" t="s">
        <v>169</v>
      </c>
      <c r="K4005">
        <v>0</v>
      </c>
    </row>
    <row r="4006" spans="5:11" x14ac:dyDescent="0.25">
      <c r="E4006" t="s">
        <v>169</v>
      </c>
      <c r="K4006">
        <v>0</v>
      </c>
    </row>
    <row r="4007" spans="5:11" x14ac:dyDescent="0.25">
      <c r="E4007" t="s">
        <v>169</v>
      </c>
      <c r="K4007">
        <v>0</v>
      </c>
    </row>
    <row r="4008" spans="5:11" x14ac:dyDescent="0.25">
      <c r="E4008" t="s">
        <v>169</v>
      </c>
      <c r="K4008">
        <v>0</v>
      </c>
    </row>
    <row r="4009" spans="5:11" x14ac:dyDescent="0.25">
      <c r="E4009" t="s">
        <v>169</v>
      </c>
      <c r="K4009">
        <v>0</v>
      </c>
    </row>
    <row r="4010" spans="5:11" x14ac:dyDescent="0.25">
      <c r="E4010" t="s">
        <v>169</v>
      </c>
      <c r="K4010">
        <v>0</v>
      </c>
    </row>
    <row r="4011" spans="5:11" x14ac:dyDescent="0.25">
      <c r="E4011" t="s">
        <v>169</v>
      </c>
      <c r="K4011">
        <v>0</v>
      </c>
    </row>
    <row r="4012" spans="5:11" x14ac:dyDescent="0.25">
      <c r="E4012" t="s">
        <v>169</v>
      </c>
      <c r="K4012">
        <v>0</v>
      </c>
    </row>
    <row r="4013" spans="5:11" x14ac:dyDescent="0.25">
      <c r="E4013" t="s">
        <v>169</v>
      </c>
      <c r="K4013">
        <v>0</v>
      </c>
    </row>
    <row r="4014" spans="5:11" x14ac:dyDescent="0.25">
      <c r="E4014" t="s">
        <v>169</v>
      </c>
      <c r="K4014">
        <v>0</v>
      </c>
    </row>
    <row r="4015" spans="5:11" x14ac:dyDescent="0.25">
      <c r="E4015" t="s">
        <v>169</v>
      </c>
      <c r="K4015">
        <v>0</v>
      </c>
    </row>
    <row r="4016" spans="5:11" x14ac:dyDescent="0.25">
      <c r="E4016" t="s">
        <v>169</v>
      </c>
      <c r="K4016">
        <v>0</v>
      </c>
    </row>
    <row r="4017" spans="5:11" x14ac:dyDescent="0.25">
      <c r="E4017" t="s">
        <v>169</v>
      </c>
      <c r="K4017">
        <v>0</v>
      </c>
    </row>
    <row r="4018" spans="5:11" x14ac:dyDescent="0.25">
      <c r="E4018" t="s">
        <v>169</v>
      </c>
      <c r="K4018">
        <v>0</v>
      </c>
    </row>
    <row r="4019" spans="5:11" x14ac:dyDescent="0.25">
      <c r="E4019" t="s">
        <v>169</v>
      </c>
      <c r="K4019">
        <v>0</v>
      </c>
    </row>
    <row r="4020" spans="5:11" x14ac:dyDescent="0.25">
      <c r="E4020" t="s">
        <v>169</v>
      </c>
      <c r="K4020">
        <v>0</v>
      </c>
    </row>
    <row r="4021" spans="5:11" x14ac:dyDescent="0.25">
      <c r="E4021" t="s">
        <v>169</v>
      </c>
      <c r="K4021">
        <v>0</v>
      </c>
    </row>
    <row r="4022" spans="5:11" x14ac:dyDescent="0.25">
      <c r="E4022" t="s">
        <v>169</v>
      </c>
      <c r="K4022">
        <v>0</v>
      </c>
    </row>
    <row r="4023" spans="5:11" x14ac:dyDescent="0.25">
      <c r="E4023" t="s">
        <v>169</v>
      </c>
      <c r="K4023">
        <v>0</v>
      </c>
    </row>
    <row r="4024" spans="5:11" x14ac:dyDescent="0.25">
      <c r="E4024" t="s">
        <v>169</v>
      </c>
      <c r="K4024">
        <v>0</v>
      </c>
    </row>
    <row r="4025" spans="5:11" x14ac:dyDescent="0.25">
      <c r="E4025" t="s">
        <v>169</v>
      </c>
      <c r="K4025">
        <v>0</v>
      </c>
    </row>
    <row r="4026" spans="5:11" x14ac:dyDescent="0.25">
      <c r="E4026" t="s">
        <v>169</v>
      </c>
      <c r="K4026">
        <v>0</v>
      </c>
    </row>
    <row r="4027" spans="5:11" x14ac:dyDescent="0.25">
      <c r="E4027" t="s">
        <v>169</v>
      </c>
      <c r="K4027">
        <v>0</v>
      </c>
    </row>
    <row r="4028" spans="5:11" x14ac:dyDescent="0.25">
      <c r="E4028" t="s">
        <v>169</v>
      </c>
      <c r="K4028">
        <v>0</v>
      </c>
    </row>
    <row r="4029" spans="5:11" x14ac:dyDescent="0.25">
      <c r="E4029" t="s">
        <v>169</v>
      </c>
      <c r="K4029">
        <v>0</v>
      </c>
    </row>
    <row r="4030" spans="5:11" x14ac:dyDescent="0.25">
      <c r="E4030" t="s">
        <v>169</v>
      </c>
      <c r="K4030">
        <v>0</v>
      </c>
    </row>
    <row r="4031" spans="5:11" x14ac:dyDescent="0.25">
      <c r="E4031" t="s">
        <v>169</v>
      </c>
      <c r="K4031">
        <v>0</v>
      </c>
    </row>
    <row r="4032" spans="5:11" x14ac:dyDescent="0.25">
      <c r="E4032" t="s">
        <v>169</v>
      </c>
      <c r="K4032">
        <v>0</v>
      </c>
    </row>
    <row r="4033" spans="5:11" x14ac:dyDescent="0.25">
      <c r="E4033" t="s">
        <v>169</v>
      </c>
      <c r="K4033">
        <v>0</v>
      </c>
    </row>
    <row r="4034" spans="5:11" x14ac:dyDescent="0.25">
      <c r="E4034" t="s">
        <v>169</v>
      </c>
      <c r="K4034">
        <v>0</v>
      </c>
    </row>
    <row r="4035" spans="5:11" x14ac:dyDescent="0.25">
      <c r="E4035" t="s">
        <v>169</v>
      </c>
      <c r="K4035">
        <v>0</v>
      </c>
    </row>
    <row r="4036" spans="5:11" x14ac:dyDescent="0.25">
      <c r="E4036" t="s">
        <v>169</v>
      </c>
      <c r="K4036">
        <v>0</v>
      </c>
    </row>
    <row r="4037" spans="5:11" x14ac:dyDescent="0.25">
      <c r="E4037" t="s">
        <v>169</v>
      </c>
      <c r="K4037">
        <v>0</v>
      </c>
    </row>
    <row r="4038" spans="5:11" x14ac:dyDescent="0.25">
      <c r="E4038" t="s">
        <v>169</v>
      </c>
      <c r="K4038">
        <v>0</v>
      </c>
    </row>
    <row r="4039" spans="5:11" x14ac:dyDescent="0.25">
      <c r="E4039" t="s">
        <v>169</v>
      </c>
      <c r="K4039">
        <v>0</v>
      </c>
    </row>
    <row r="4040" spans="5:11" x14ac:dyDescent="0.25">
      <c r="E4040" t="s">
        <v>169</v>
      </c>
      <c r="K4040">
        <v>0</v>
      </c>
    </row>
    <row r="4041" spans="5:11" x14ac:dyDescent="0.25">
      <c r="E4041" t="s">
        <v>169</v>
      </c>
      <c r="K4041">
        <v>0</v>
      </c>
    </row>
    <row r="4042" spans="5:11" x14ac:dyDescent="0.25">
      <c r="E4042" t="s">
        <v>169</v>
      </c>
      <c r="K4042">
        <v>0</v>
      </c>
    </row>
    <row r="4043" spans="5:11" x14ac:dyDescent="0.25">
      <c r="E4043" t="s">
        <v>169</v>
      </c>
      <c r="K4043">
        <v>0</v>
      </c>
    </row>
    <row r="4044" spans="5:11" x14ac:dyDescent="0.25">
      <c r="E4044" t="s">
        <v>169</v>
      </c>
      <c r="K4044">
        <v>0</v>
      </c>
    </row>
    <row r="4045" spans="5:11" x14ac:dyDescent="0.25">
      <c r="E4045" t="s">
        <v>169</v>
      </c>
      <c r="K4045">
        <v>0</v>
      </c>
    </row>
    <row r="4046" spans="5:11" x14ac:dyDescent="0.25">
      <c r="E4046" t="s">
        <v>169</v>
      </c>
      <c r="K4046">
        <v>0</v>
      </c>
    </row>
    <row r="4047" spans="5:11" x14ac:dyDescent="0.25">
      <c r="E4047" t="s">
        <v>169</v>
      </c>
      <c r="K4047">
        <v>0</v>
      </c>
    </row>
    <row r="4048" spans="5:11" x14ac:dyDescent="0.25">
      <c r="E4048" t="s">
        <v>169</v>
      </c>
      <c r="K4048">
        <v>0</v>
      </c>
    </row>
    <row r="4049" spans="5:11" x14ac:dyDescent="0.25">
      <c r="E4049" t="s">
        <v>169</v>
      </c>
      <c r="K4049">
        <v>0</v>
      </c>
    </row>
    <row r="4050" spans="5:11" x14ac:dyDescent="0.25">
      <c r="E4050" t="s">
        <v>169</v>
      </c>
      <c r="K4050">
        <v>0</v>
      </c>
    </row>
    <row r="4051" spans="5:11" x14ac:dyDescent="0.25">
      <c r="E4051" t="s">
        <v>169</v>
      </c>
      <c r="K4051">
        <v>0</v>
      </c>
    </row>
    <row r="4052" spans="5:11" x14ac:dyDescent="0.25">
      <c r="E4052" t="s">
        <v>169</v>
      </c>
      <c r="K4052">
        <v>0</v>
      </c>
    </row>
    <row r="4053" spans="5:11" x14ac:dyDescent="0.25">
      <c r="E4053" t="s">
        <v>169</v>
      </c>
      <c r="K4053">
        <v>0</v>
      </c>
    </row>
    <row r="4054" spans="5:11" x14ac:dyDescent="0.25">
      <c r="E4054" t="s">
        <v>169</v>
      </c>
      <c r="K4054">
        <v>0</v>
      </c>
    </row>
    <row r="4055" spans="5:11" x14ac:dyDescent="0.25">
      <c r="E4055" t="s">
        <v>169</v>
      </c>
      <c r="K4055">
        <v>0</v>
      </c>
    </row>
    <row r="4056" spans="5:11" x14ac:dyDescent="0.25">
      <c r="E4056" t="s">
        <v>169</v>
      </c>
      <c r="K4056">
        <v>0</v>
      </c>
    </row>
    <row r="4057" spans="5:11" x14ac:dyDescent="0.25">
      <c r="E4057" t="s">
        <v>169</v>
      </c>
      <c r="K4057">
        <v>0</v>
      </c>
    </row>
    <row r="4058" spans="5:11" x14ac:dyDescent="0.25">
      <c r="E4058" t="s">
        <v>169</v>
      </c>
      <c r="K4058">
        <v>0</v>
      </c>
    </row>
    <row r="4059" spans="5:11" x14ac:dyDescent="0.25">
      <c r="E4059" t="s">
        <v>169</v>
      </c>
      <c r="K4059">
        <v>0</v>
      </c>
    </row>
    <row r="4060" spans="5:11" x14ac:dyDescent="0.25">
      <c r="E4060" t="s">
        <v>169</v>
      </c>
      <c r="K4060">
        <v>0</v>
      </c>
    </row>
    <row r="4061" spans="5:11" x14ac:dyDescent="0.25">
      <c r="E4061" t="s">
        <v>169</v>
      </c>
      <c r="K4061">
        <v>0</v>
      </c>
    </row>
    <row r="4062" spans="5:11" x14ac:dyDescent="0.25">
      <c r="E4062" t="s">
        <v>169</v>
      </c>
      <c r="K4062">
        <v>0</v>
      </c>
    </row>
    <row r="4063" spans="5:11" x14ac:dyDescent="0.25">
      <c r="E4063" t="s">
        <v>169</v>
      </c>
      <c r="K4063">
        <v>0</v>
      </c>
    </row>
    <row r="4064" spans="5:11" x14ac:dyDescent="0.25">
      <c r="E4064" t="s">
        <v>169</v>
      </c>
      <c r="K4064">
        <v>0</v>
      </c>
    </row>
    <row r="4065" spans="5:11" x14ac:dyDescent="0.25">
      <c r="E4065" t="s">
        <v>169</v>
      </c>
      <c r="K4065">
        <v>0</v>
      </c>
    </row>
    <row r="4066" spans="5:11" x14ac:dyDescent="0.25">
      <c r="E4066" t="s">
        <v>169</v>
      </c>
      <c r="K4066">
        <v>0</v>
      </c>
    </row>
    <row r="4067" spans="5:11" x14ac:dyDescent="0.25">
      <c r="E4067" t="s">
        <v>169</v>
      </c>
      <c r="K4067">
        <v>0</v>
      </c>
    </row>
    <row r="4068" spans="5:11" x14ac:dyDescent="0.25">
      <c r="E4068" t="s">
        <v>169</v>
      </c>
      <c r="K4068">
        <v>0</v>
      </c>
    </row>
    <row r="4069" spans="5:11" x14ac:dyDescent="0.25">
      <c r="E4069" t="s">
        <v>169</v>
      </c>
      <c r="K4069">
        <v>0</v>
      </c>
    </row>
    <row r="4070" spans="5:11" x14ac:dyDescent="0.25">
      <c r="E4070" t="s">
        <v>169</v>
      </c>
      <c r="K4070">
        <v>0</v>
      </c>
    </row>
    <row r="4071" spans="5:11" x14ac:dyDescent="0.25">
      <c r="E4071" t="s">
        <v>169</v>
      </c>
      <c r="K4071">
        <v>0</v>
      </c>
    </row>
    <row r="4072" spans="5:11" x14ac:dyDescent="0.25">
      <c r="E4072" t="s">
        <v>169</v>
      </c>
      <c r="K4072">
        <v>0</v>
      </c>
    </row>
    <row r="4073" spans="5:11" x14ac:dyDescent="0.25">
      <c r="E4073" t="s">
        <v>169</v>
      </c>
      <c r="K4073">
        <v>0</v>
      </c>
    </row>
    <row r="4074" spans="5:11" x14ac:dyDescent="0.25">
      <c r="E4074" t="s">
        <v>169</v>
      </c>
      <c r="K4074">
        <v>0</v>
      </c>
    </row>
    <row r="4075" spans="5:11" x14ac:dyDescent="0.25">
      <c r="E4075" t="s">
        <v>169</v>
      </c>
      <c r="K4075">
        <v>0</v>
      </c>
    </row>
    <row r="4076" spans="5:11" x14ac:dyDescent="0.25">
      <c r="E4076" t="s">
        <v>169</v>
      </c>
      <c r="K4076">
        <v>0</v>
      </c>
    </row>
    <row r="4077" spans="5:11" x14ac:dyDescent="0.25">
      <c r="E4077" t="s">
        <v>169</v>
      </c>
      <c r="K4077">
        <v>0</v>
      </c>
    </row>
    <row r="4078" spans="5:11" x14ac:dyDescent="0.25">
      <c r="E4078" t="s">
        <v>169</v>
      </c>
      <c r="K4078">
        <v>0</v>
      </c>
    </row>
    <row r="4079" spans="5:11" x14ac:dyDescent="0.25">
      <c r="E4079" t="s">
        <v>169</v>
      </c>
      <c r="K4079">
        <v>0</v>
      </c>
    </row>
    <row r="4080" spans="5:11" x14ac:dyDescent="0.25">
      <c r="E4080" t="s">
        <v>169</v>
      </c>
      <c r="K4080">
        <v>0</v>
      </c>
    </row>
    <row r="4081" spans="5:11" x14ac:dyDescent="0.25">
      <c r="E4081" t="s">
        <v>169</v>
      </c>
      <c r="K4081">
        <v>0</v>
      </c>
    </row>
    <row r="4082" spans="5:11" x14ac:dyDescent="0.25">
      <c r="E4082" t="s">
        <v>169</v>
      </c>
      <c r="K4082">
        <v>0</v>
      </c>
    </row>
    <row r="4083" spans="5:11" x14ac:dyDescent="0.25">
      <c r="E4083" t="s">
        <v>169</v>
      </c>
      <c r="K4083">
        <v>0</v>
      </c>
    </row>
    <row r="4084" spans="5:11" x14ac:dyDescent="0.25">
      <c r="E4084" t="s">
        <v>169</v>
      </c>
      <c r="K4084">
        <v>0</v>
      </c>
    </row>
    <row r="4085" spans="5:11" x14ac:dyDescent="0.25">
      <c r="E4085" t="s">
        <v>169</v>
      </c>
      <c r="K4085">
        <v>0</v>
      </c>
    </row>
    <row r="4086" spans="5:11" x14ac:dyDescent="0.25">
      <c r="E4086" t="s">
        <v>169</v>
      </c>
      <c r="K4086">
        <v>0</v>
      </c>
    </row>
    <row r="4087" spans="5:11" x14ac:dyDescent="0.25">
      <c r="E4087" t="s">
        <v>169</v>
      </c>
      <c r="K4087">
        <v>0</v>
      </c>
    </row>
    <row r="4088" spans="5:11" x14ac:dyDescent="0.25">
      <c r="E4088" t="s">
        <v>169</v>
      </c>
      <c r="K4088">
        <v>0</v>
      </c>
    </row>
    <row r="4089" spans="5:11" x14ac:dyDescent="0.25">
      <c r="E4089" t="s">
        <v>169</v>
      </c>
      <c r="K4089">
        <v>0</v>
      </c>
    </row>
    <row r="4090" spans="5:11" x14ac:dyDescent="0.25">
      <c r="E4090" t="s">
        <v>169</v>
      </c>
      <c r="K4090">
        <v>0</v>
      </c>
    </row>
    <row r="4091" spans="5:11" x14ac:dyDescent="0.25">
      <c r="E4091" t="s">
        <v>169</v>
      </c>
      <c r="K4091">
        <v>0</v>
      </c>
    </row>
    <row r="4092" spans="5:11" x14ac:dyDescent="0.25">
      <c r="E4092" t="s">
        <v>169</v>
      </c>
      <c r="K4092">
        <v>0</v>
      </c>
    </row>
    <row r="4093" spans="5:11" x14ac:dyDescent="0.25">
      <c r="E4093" t="s">
        <v>169</v>
      </c>
      <c r="K4093">
        <v>0</v>
      </c>
    </row>
    <row r="4094" spans="5:11" x14ac:dyDescent="0.25">
      <c r="E4094" t="s">
        <v>169</v>
      </c>
      <c r="K4094">
        <v>0</v>
      </c>
    </row>
    <row r="4095" spans="5:11" x14ac:dyDescent="0.25">
      <c r="E4095" t="s">
        <v>169</v>
      </c>
      <c r="K4095">
        <v>0</v>
      </c>
    </row>
    <row r="4096" spans="5:11" x14ac:dyDescent="0.25">
      <c r="E4096" t="s">
        <v>169</v>
      </c>
      <c r="K4096">
        <v>0</v>
      </c>
    </row>
    <row r="4097" spans="5:11" x14ac:dyDescent="0.25">
      <c r="E4097" t="s">
        <v>169</v>
      </c>
      <c r="K4097">
        <v>0</v>
      </c>
    </row>
    <row r="4098" spans="5:11" x14ac:dyDescent="0.25">
      <c r="E4098" t="s">
        <v>169</v>
      </c>
      <c r="K4098">
        <v>0</v>
      </c>
    </row>
    <row r="4099" spans="5:11" x14ac:dyDescent="0.25">
      <c r="E4099" t="s">
        <v>169</v>
      </c>
      <c r="K4099">
        <v>0</v>
      </c>
    </row>
    <row r="4100" spans="5:11" x14ac:dyDescent="0.25">
      <c r="E4100" t="s">
        <v>169</v>
      </c>
      <c r="K4100">
        <v>0</v>
      </c>
    </row>
    <row r="4101" spans="5:11" x14ac:dyDescent="0.25">
      <c r="E4101" t="s">
        <v>169</v>
      </c>
      <c r="K4101">
        <v>0</v>
      </c>
    </row>
    <row r="4102" spans="5:11" x14ac:dyDescent="0.25">
      <c r="E4102" t="s">
        <v>169</v>
      </c>
      <c r="K4102">
        <v>0</v>
      </c>
    </row>
    <row r="4103" spans="5:11" x14ac:dyDescent="0.25">
      <c r="E4103" t="s">
        <v>169</v>
      </c>
      <c r="K4103">
        <v>0</v>
      </c>
    </row>
    <row r="4104" spans="5:11" x14ac:dyDescent="0.25">
      <c r="E4104" t="s">
        <v>169</v>
      </c>
      <c r="K4104">
        <v>0</v>
      </c>
    </row>
    <row r="4105" spans="5:11" x14ac:dyDescent="0.25">
      <c r="E4105" t="s">
        <v>169</v>
      </c>
      <c r="K4105">
        <v>0</v>
      </c>
    </row>
    <row r="4106" spans="5:11" x14ac:dyDescent="0.25">
      <c r="E4106" t="s">
        <v>169</v>
      </c>
      <c r="K4106">
        <v>0</v>
      </c>
    </row>
    <row r="4107" spans="5:11" x14ac:dyDescent="0.25">
      <c r="E4107" t="s">
        <v>169</v>
      </c>
      <c r="K4107">
        <v>0</v>
      </c>
    </row>
    <row r="4108" spans="5:11" x14ac:dyDescent="0.25">
      <c r="E4108" t="s">
        <v>169</v>
      </c>
      <c r="K4108">
        <v>0</v>
      </c>
    </row>
    <row r="4109" spans="5:11" x14ac:dyDescent="0.25">
      <c r="E4109" t="s">
        <v>169</v>
      </c>
      <c r="K4109">
        <v>0</v>
      </c>
    </row>
    <row r="4110" spans="5:11" x14ac:dyDescent="0.25">
      <c r="E4110" t="s">
        <v>169</v>
      </c>
      <c r="K4110">
        <v>0</v>
      </c>
    </row>
    <row r="4111" spans="5:11" x14ac:dyDescent="0.25">
      <c r="E4111" t="s">
        <v>169</v>
      </c>
      <c r="K4111">
        <v>0</v>
      </c>
    </row>
    <row r="4112" spans="5:11" x14ac:dyDescent="0.25">
      <c r="E4112" t="s">
        <v>169</v>
      </c>
      <c r="K4112">
        <v>0</v>
      </c>
    </row>
    <row r="4113" spans="5:11" x14ac:dyDescent="0.25">
      <c r="E4113" t="s">
        <v>169</v>
      </c>
      <c r="K4113">
        <v>0</v>
      </c>
    </row>
    <row r="4114" spans="5:11" x14ac:dyDescent="0.25">
      <c r="E4114" t="s">
        <v>169</v>
      </c>
      <c r="K4114">
        <v>0</v>
      </c>
    </row>
    <row r="4115" spans="5:11" x14ac:dyDescent="0.25">
      <c r="E4115" t="s">
        <v>169</v>
      </c>
      <c r="K4115">
        <v>0</v>
      </c>
    </row>
    <row r="4116" spans="5:11" x14ac:dyDescent="0.25">
      <c r="E4116" t="s">
        <v>169</v>
      </c>
      <c r="K4116">
        <v>0</v>
      </c>
    </row>
    <row r="4117" spans="5:11" x14ac:dyDescent="0.25">
      <c r="E4117" t="s">
        <v>169</v>
      </c>
      <c r="K4117">
        <v>0</v>
      </c>
    </row>
    <row r="4118" spans="5:11" x14ac:dyDescent="0.25">
      <c r="E4118" t="s">
        <v>169</v>
      </c>
      <c r="K4118">
        <v>0</v>
      </c>
    </row>
    <row r="4119" spans="5:11" x14ac:dyDescent="0.25">
      <c r="E4119" t="s">
        <v>169</v>
      </c>
      <c r="K4119">
        <v>0</v>
      </c>
    </row>
    <row r="4120" spans="5:11" x14ac:dyDescent="0.25">
      <c r="E4120" t="s">
        <v>169</v>
      </c>
      <c r="K4120">
        <v>0</v>
      </c>
    </row>
    <row r="4121" spans="5:11" x14ac:dyDescent="0.25">
      <c r="E4121" t="s">
        <v>169</v>
      </c>
      <c r="K4121">
        <v>0</v>
      </c>
    </row>
    <row r="4122" spans="5:11" x14ac:dyDescent="0.25">
      <c r="E4122" t="s">
        <v>169</v>
      </c>
      <c r="K4122">
        <v>0</v>
      </c>
    </row>
    <row r="4123" spans="5:11" x14ac:dyDescent="0.25">
      <c r="E4123" t="s">
        <v>169</v>
      </c>
      <c r="K4123">
        <v>0</v>
      </c>
    </row>
    <row r="4124" spans="5:11" x14ac:dyDescent="0.25">
      <c r="E4124" t="s">
        <v>169</v>
      </c>
      <c r="K4124">
        <v>0</v>
      </c>
    </row>
    <row r="4125" spans="5:11" x14ac:dyDescent="0.25">
      <c r="E4125" t="s">
        <v>169</v>
      </c>
      <c r="K4125">
        <v>0</v>
      </c>
    </row>
    <row r="4126" spans="5:11" x14ac:dyDescent="0.25">
      <c r="E4126" t="s">
        <v>169</v>
      </c>
      <c r="K4126">
        <v>0</v>
      </c>
    </row>
    <row r="4127" spans="5:11" x14ac:dyDescent="0.25">
      <c r="E4127" t="s">
        <v>169</v>
      </c>
      <c r="K4127">
        <v>0</v>
      </c>
    </row>
    <row r="4128" spans="5:11" x14ac:dyDescent="0.25">
      <c r="E4128" t="s">
        <v>169</v>
      </c>
      <c r="K4128">
        <v>0</v>
      </c>
    </row>
    <row r="4129" spans="5:11" x14ac:dyDescent="0.25">
      <c r="E4129" t="s">
        <v>169</v>
      </c>
      <c r="K4129">
        <v>0</v>
      </c>
    </row>
    <row r="4130" spans="5:11" x14ac:dyDescent="0.25">
      <c r="E4130" t="s">
        <v>169</v>
      </c>
      <c r="K4130">
        <v>0</v>
      </c>
    </row>
    <row r="4131" spans="5:11" x14ac:dyDescent="0.25">
      <c r="E4131" t="s">
        <v>169</v>
      </c>
      <c r="K4131">
        <v>0</v>
      </c>
    </row>
    <row r="4132" spans="5:11" x14ac:dyDescent="0.25">
      <c r="E4132" t="s">
        <v>169</v>
      </c>
      <c r="K4132">
        <v>0</v>
      </c>
    </row>
    <row r="4133" spans="5:11" x14ac:dyDescent="0.25">
      <c r="E4133" t="s">
        <v>169</v>
      </c>
      <c r="K4133">
        <v>0</v>
      </c>
    </row>
    <row r="4134" spans="5:11" x14ac:dyDescent="0.25">
      <c r="E4134" t="s">
        <v>169</v>
      </c>
      <c r="K4134">
        <v>0</v>
      </c>
    </row>
    <row r="4135" spans="5:11" x14ac:dyDescent="0.25">
      <c r="E4135" t="s">
        <v>169</v>
      </c>
      <c r="K4135">
        <v>0</v>
      </c>
    </row>
    <row r="4136" spans="5:11" x14ac:dyDescent="0.25">
      <c r="E4136" t="s">
        <v>169</v>
      </c>
      <c r="K4136">
        <v>0</v>
      </c>
    </row>
    <row r="4137" spans="5:11" x14ac:dyDescent="0.25">
      <c r="E4137" t="s">
        <v>169</v>
      </c>
      <c r="K4137">
        <v>0</v>
      </c>
    </row>
    <row r="4138" spans="5:11" x14ac:dyDescent="0.25">
      <c r="E4138" t="s">
        <v>169</v>
      </c>
      <c r="K4138">
        <v>0</v>
      </c>
    </row>
    <row r="4139" spans="5:11" x14ac:dyDescent="0.25">
      <c r="E4139" t="s">
        <v>169</v>
      </c>
      <c r="K4139">
        <v>0</v>
      </c>
    </row>
    <row r="4140" spans="5:11" x14ac:dyDescent="0.25">
      <c r="E4140" t="s">
        <v>169</v>
      </c>
      <c r="K4140">
        <v>0</v>
      </c>
    </row>
    <row r="4141" spans="5:11" x14ac:dyDescent="0.25">
      <c r="E4141" t="s">
        <v>169</v>
      </c>
      <c r="K4141">
        <v>0</v>
      </c>
    </row>
    <row r="4142" spans="5:11" x14ac:dyDescent="0.25">
      <c r="E4142" t="s">
        <v>169</v>
      </c>
      <c r="K4142">
        <v>0</v>
      </c>
    </row>
    <row r="4143" spans="5:11" x14ac:dyDescent="0.25">
      <c r="E4143" t="s">
        <v>169</v>
      </c>
      <c r="K4143">
        <v>0</v>
      </c>
    </row>
    <row r="4144" spans="5:11" x14ac:dyDescent="0.25">
      <c r="E4144" t="s">
        <v>169</v>
      </c>
      <c r="K4144">
        <v>0</v>
      </c>
    </row>
    <row r="4145" spans="5:11" x14ac:dyDescent="0.25">
      <c r="E4145" t="s">
        <v>169</v>
      </c>
      <c r="K4145">
        <v>0</v>
      </c>
    </row>
    <row r="4146" spans="5:11" x14ac:dyDescent="0.25">
      <c r="E4146" t="s">
        <v>169</v>
      </c>
      <c r="K4146">
        <v>0</v>
      </c>
    </row>
    <row r="4147" spans="5:11" x14ac:dyDescent="0.25">
      <c r="E4147" t="s">
        <v>169</v>
      </c>
      <c r="K4147">
        <v>0</v>
      </c>
    </row>
    <row r="4148" spans="5:11" x14ac:dyDescent="0.25">
      <c r="E4148" t="s">
        <v>169</v>
      </c>
      <c r="K4148">
        <v>0</v>
      </c>
    </row>
    <row r="4149" spans="5:11" x14ac:dyDescent="0.25">
      <c r="E4149" t="s">
        <v>169</v>
      </c>
      <c r="K4149">
        <v>0</v>
      </c>
    </row>
    <row r="4150" spans="5:11" x14ac:dyDescent="0.25">
      <c r="E4150" t="s">
        <v>169</v>
      </c>
      <c r="K4150">
        <v>0</v>
      </c>
    </row>
    <row r="4151" spans="5:11" x14ac:dyDescent="0.25">
      <c r="E4151" t="s">
        <v>169</v>
      </c>
      <c r="K4151">
        <v>0</v>
      </c>
    </row>
    <row r="4152" spans="5:11" x14ac:dyDescent="0.25">
      <c r="E4152" t="s">
        <v>169</v>
      </c>
      <c r="K4152">
        <v>0</v>
      </c>
    </row>
    <row r="4153" spans="5:11" x14ac:dyDescent="0.25">
      <c r="E4153" t="s">
        <v>169</v>
      </c>
      <c r="K4153">
        <v>0</v>
      </c>
    </row>
    <row r="4154" spans="5:11" x14ac:dyDescent="0.25">
      <c r="E4154" t="s">
        <v>169</v>
      </c>
      <c r="K4154">
        <v>0</v>
      </c>
    </row>
    <row r="4155" spans="5:11" x14ac:dyDescent="0.25">
      <c r="E4155" t="s">
        <v>169</v>
      </c>
      <c r="K4155">
        <v>0</v>
      </c>
    </row>
    <row r="4156" spans="5:11" x14ac:dyDescent="0.25">
      <c r="E4156" t="s">
        <v>169</v>
      </c>
      <c r="K4156">
        <v>0</v>
      </c>
    </row>
    <row r="4157" spans="5:11" x14ac:dyDescent="0.25">
      <c r="E4157" t="s">
        <v>169</v>
      </c>
      <c r="K4157">
        <v>0</v>
      </c>
    </row>
    <row r="4158" spans="5:11" x14ac:dyDescent="0.25">
      <c r="E4158" t="s">
        <v>169</v>
      </c>
      <c r="K4158">
        <v>0</v>
      </c>
    </row>
    <row r="4159" spans="5:11" x14ac:dyDescent="0.25">
      <c r="E4159" t="s">
        <v>169</v>
      </c>
      <c r="K4159">
        <v>0</v>
      </c>
    </row>
    <row r="4160" spans="5:11" x14ac:dyDescent="0.25">
      <c r="E4160" t="s">
        <v>169</v>
      </c>
      <c r="K4160">
        <v>0</v>
      </c>
    </row>
    <row r="4161" spans="5:11" x14ac:dyDescent="0.25">
      <c r="E4161" t="s">
        <v>169</v>
      </c>
      <c r="K4161">
        <v>0</v>
      </c>
    </row>
    <row r="4162" spans="5:11" x14ac:dyDescent="0.25">
      <c r="E4162" t="s">
        <v>169</v>
      </c>
      <c r="K4162">
        <v>0</v>
      </c>
    </row>
    <row r="4163" spans="5:11" x14ac:dyDescent="0.25">
      <c r="E4163" t="s">
        <v>169</v>
      </c>
      <c r="K4163">
        <v>0</v>
      </c>
    </row>
    <row r="4164" spans="5:11" x14ac:dyDescent="0.25">
      <c r="E4164" t="s">
        <v>169</v>
      </c>
      <c r="K4164">
        <v>0</v>
      </c>
    </row>
    <row r="4165" spans="5:11" x14ac:dyDescent="0.25">
      <c r="E4165" t="s">
        <v>169</v>
      </c>
      <c r="K4165">
        <v>0</v>
      </c>
    </row>
    <row r="4166" spans="5:11" x14ac:dyDescent="0.25">
      <c r="E4166" t="s">
        <v>169</v>
      </c>
      <c r="K4166">
        <v>0</v>
      </c>
    </row>
    <row r="4167" spans="5:11" x14ac:dyDescent="0.25">
      <c r="E4167" t="s">
        <v>169</v>
      </c>
      <c r="K4167">
        <v>0</v>
      </c>
    </row>
    <row r="4168" spans="5:11" x14ac:dyDescent="0.25">
      <c r="E4168" t="s">
        <v>169</v>
      </c>
      <c r="K4168">
        <v>0</v>
      </c>
    </row>
    <row r="4169" spans="5:11" x14ac:dyDescent="0.25">
      <c r="E4169" t="s">
        <v>169</v>
      </c>
      <c r="K4169">
        <v>0</v>
      </c>
    </row>
    <row r="4170" spans="5:11" x14ac:dyDescent="0.25">
      <c r="E4170" t="s">
        <v>169</v>
      </c>
      <c r="K4170">
        <v>0</v>
      </c>
    </row>
    <row r="4171" spans="5:11" x14ac:dyDescent="0.25">
      <c r="E4171" t="s">
        <v>169</v>
      </c>
      <c r="K4171">
        <v>0</v>
      </c>
    </row>
    <row r="4172" spans="5:11" x14ac:dyDescent="0.25">
      <c r="E4172" t="s">
        <v>169</v>
      </c>
      <c r="K4172">
        <v>0</v>
      </c>
    </row>
    <row r="4173" spans="5:11" x14ac:dyDescent="0.25">
      <c r="E4173" t="s">
        <v>169</v>
      </c>
      <c r="K4173">
        <v>0</v>
      </c>
    </row>
    <row r="4174" spans="5:11" x14ac:dyDescent="0.25">
      <c r="E4174" t="s">
        <v>169</v>
      </c>
      <c r="K4174">
        <v>0</v>
      </c>
    </row>
    <row r="4175" spans="5:11" x14ac:dyDescent="0.25">
      <c r="E4175" t="s">
        <v>169</v>
      </c>
      <c r="K4175">
        <v>0</v>
      </c>
    </row>
    <row r="4176" spans="5:11" x14ac:dyDescent="0.25">
      <c r="E4176" t="s">
        <v>169</v>
      </c>
      <c r="K4176">
        <v>0</v>
      </c>
    </row>
    <row r="4177" spans="5:11" x14ac:dyDescent="0.25">
      <c r="E4177" t="s">
        <v>169</v>
      </c>
      <c r="K4177">
        <v>0</v>
      </c>
    </row>
    <row r="4178" spans="5:11" x14ac:dyDescent="0.25">
      <c r="E4178" t="s">
        <v>169</v>
      </c>
      <c r="K4178">
        <v>0</v>
      </c>
    </row>
    <row r="4179" spans="5:11" x14ac:dyDescent="0.25">
      <c r="E4179" t="s">
        <v>169</v>
      </c>
      <c r="K4179">
        <v>0</v>
      </c>
    </row>
    <row r="4180" spans="5:11" x14ac:dyDescent="0.25">
      <c r="E4180" t="s">
        <v>169</v>
      </c>
      <c r="K4180">
        <v>0</v>
      </c>
    </row>
    <row r="4181" spans="5:11" x14ac:dyDescent="0.25">
      <c r="E4181" t="s">
        <v>169</v>
      </c>
      <c r="K4181">
        <v>0</v>
      </c>
    </row>
    <row r="4182" spans="5:11" x14ac:dyDescent="0.25">
      <c r="E4182" t="s">
        <v>169</v>
      </c>
      <c r="K4182">
        <v>0</v>
      </c>
    </row>
    <row r="4183" spans="5:11" x14ac:dyDescent="0.25">
      <c r="E4183" t="s">
        <v>169</v>
      </c>
      <c r="K4183">
        <v>0</v>
      </c>
    </row>
    <row r="4184" spans="5:11" x14ac:dyDescent="0.25">
      <c r="E4184" t="s">
        <v>169</v>
      </c>
      <c r="K4184">
        <v>0</v>
      </c>
    </row>
    <row r="4185" spans="5:11" x14ac:dyDescent="0.25">
      <c r="E4185" t="s">
        <v>169</v>
      </c>
      <c r="K4185">
        <v>0</v>
      </c>
    </row>
    <row r="4186" spans="5:11" x14ac:dyDescent="0.25">
      <c r="E4186" t="s">
        <v>169</v>
      </c>
      <c r="K4186">
        <v>0</v>
      </c>
    </row>
    <row r="4187" spans="5:11" x14ac:dyDescent="0.25">
      <c r="E4187" t="s">
        <v>169</v>
      </c>
      <c r="K4187">
        <v>0</v>
      </c>
    </row>
    <row r="4188" spans="5:11" x14ac:dyDescent="0.25">
      <c r="E4188" t="s">
        <v>169</v>
      </c>
      <c r="K4188">
        <v>0</v>
      </c>
    </row>
    <row r="4189" spans="5:11" x14ac:dyDescent="0.25">
      <c r="E4189" t="s">
        <v>169</v>
      </c>
      <c r="K4189">
        <v>0</v>
      </c>
    </row>
    <row r="4190" spans="5:11" x14ac:dyDescent="0.25">
      <c r="E4190" t="s">
        <v>169</v>
      </c>
      <c r="K4190">
        <v>0</v>
      </c>
    </row>
    <row r="4191" spans="5:11" x14ac:dyDescent="0.25">
      <c r="E4191" t="s">
        <v>169</v>
      </c>
      <c r="K4191">
        <v>0</v>
      </c>
    </row>
    <row r="4192" spans="5:11" x14ac:dyDescent="0.25">
      <c r="E4192" t="s">
        <v>169</v>
      </c>
      <c r="K4192">
        <v>0</v>
      </c>
    </row>
    <row r="4193" spans="5:11" x14ac:dyDescent="0.25">
      <c r="E4193" t="s">
        <v>169</v>
      </c>
      <c r="K4193">
        <v>0</v>
      </c>
    </row>
    <row r="4194" spans="5:11" x14ac:dyDescent="0.25">
      <c r="E4194" t="s">
        <v>169</v>
      </c>
      <c r="K4194">
        <v>0</v>
      </c>
    </row>
    <row r="4195" spans="5:11" x14ac:dyDescent="0.25">
      <c r="E4195" t="s">
        <v>169</v>
      </c>
      <c r="K4195">
        <v>0</v>
      </c>
    </row>
    <row r="4196" spans="5:11" x14ac:dyDescent="0.25">
      <c r="E4196" t="s">
        <v>169</v>
      </c>
      <c r="K4196">
        <v>0</v>
      </c>
    </row>
    <row r="4197" spans="5:11" x14ac:dyDescent="0.25">
      <c r="E4197" t="s">
        <v>169</v>
      </c>
      <c r="K4197">
        <v>0</v>
      </c>
    </row>
    <row r="4198" spans="5:11" x14ac:dyDescent="0.25">
      <c r="E4198" t="s">
        <v>169</v>
      </c>
      <c r="K4198">
        <v>0</v>
      </c>
    </row>
    <row r="4199" spans="5:11" x14ac:dyDescent="0.25">
      <c r="E4199" t="s">
        <v>169</v>
      </c>
      <c r="K4199">
        <v>0</v>
      </c>
    </row>
    <row r="4200" spans="5:11" x14ac:dyDescent="0.25">
      <c r="E4200" t="s">
        <v>169</v>
      </c>
      <c r="K4200">
        <v>0</v>
      </c>
    </row>
    <row r="4201" spans="5:11" x14ac:dyDescent="0.25">
      <c r="E4201" t="s">
        <v>169</v>
      </c>
      <c r="K4201">
        <v>0</v>
      </c>
    </row>
    <row r="4202" spans="5:11" x14ac:dyDescent="0.25">
      <c r="E4202" t="s">
        <v>169</v>
      </c>
      <c r="K4202">
        <v>0</v>
      </c>
    </row>
    <row r="4203" spans="5:11" x14ac:dyDescent="0.25">
      <c r="E4203" t="s">
        <v>169</v>
      </c>
      <c r="K4203">
        <v>0</v>
      </c>
    </row>
    <row r="4204" spans="5:11" x14ac:dyDescent="0.25">
      <c r="E4204" t="s">
        <v>169</v>
      </c>
      <c r="K4204">
        <v>0</v>
      </c>
    </row>
    <row r="4205" spans="5:11" x14ac:dyDescent="0.25">
      <c r="E4205" t="s">
        <v>169</v>
      </c>
      <c r="K4205">
        <v>0</v>
      </c>
    </row>
    <row r="4206" spans="5:11" x14ac:dyDescent="0.25">
      <c r="E4206" t="s">
        <v>169</v>
      </c>
      <c r="K4206">
        <v>0</v>
      </c>
    </row>
    <row r="4207" spans="5:11" x14ac:dyDescent="0.25">
      <c r="E4207" t="s">
        <v>169</v>
      </c>
      <c r="K4207">
        <v>0</v>
      </c>
    </row>
    <row r="4208" spans="5:11" x14ac:dyDescent="0.25">
      <c r="E4208" t="s">
        <v>169</v>
      </c>
      <c r="K4208">
        <v>0</v>
      </c>
    </row>
    <row r="4209" spans="5:11" x14ac:dyDescent="0.25">
      <c r="E4209" t="s">
        <v>169</v>
      </c>
      <c r="K4209">
        <v>0</v>
      </c>
    </row>
    <row r="4210" spans="5:11" x14ac:dyDescent="0.25">
      <c r="E4210" t="s">
        <v>169</v>
      </c>
      <c r="K4210">
        <v>0</v>
      </c>
    </row>
    <row r="4211" spans="5:11" x14ac:dyDescent="0.25">
      <c r="E4211" t="s">
        <v>169</v>
      </c>
      <c r="K4211">
        <v>0</v>
      </c>
    </row>
    <row r="4212" spans="5:11" x14ac:dyDescent="0.25">
      <c r="E4212" t="s">
        <v>169</v>
      </c>
      <c r="K4212">
        <v>0</v>
      </c>
    </row>
    <row r="4213" spans="5:11" x14ac:dyDescent="0.25">
      <c r="E4213" t="s">
        <v>169</v>
      </c>
      <c r="K4213">
        <v>0</v>
      </c>
    </row>
    <row r="4214" spans="5:11" x14ac:dyDescent="0.25">
      <c r="E4214" t="s">
        <v>169</v>
      </c>
      <c r="K4214">
        <v>0</v>
      </c>
    </row>
    <row r="4215" spans="5:11" x14ac:dyDescent="0.25">
      <c r="E4215" t="s">
        <v>169</v>
      </c>
      <c r="K4215">
        <v>0</v>
      </c>
    </row>
    <row r="4216" spans="5:11" x14ac:dyDescent="0.25">
      <c r="E4216" t="s">
        <v>169</v>
      </c>
      <c r="K4216">
        <v>0</v>
      </c>
    </row>
    <row r="4217" spans="5:11" x14ac:dyDescent="0.25">
      <c r="E4217" t="s">
        <v>169</v>
      </c>
      <c r="K4217">
        <v>0</v>
      </c>
    </row>
    <row r="4218" spans="5:11" x14ac:dyDescent="0.25">
      <c r="E4218" t="s">
        <v>169</v>
      </c>
      <c r="K4218">
        <v>0</v>
      </c>
    </row>
    <row r="4219" spans="5:11" x14ac:dyDescent="0.25">
      <c r="E4219" t="s">
        <v>169</v>
      </c>
      <c r="K4219">
        <v>0</v>
      </c>
    </row>
    <row r="4220" spans="5:11" x14ac:dyDescent="0.25">
      <c r="E4220" t="s">
        <v>169</v>
      </c>
      <c r="K4220">
        <v>0</v>
      </c>
    </row>
    <row r="4221" spans="5:11" x14ac:dyDescent="0.25">
      <c r="E4221" t="s">
        <v>169</v>
      </c>
      <c r="K4221">
        <v>0</v>
      </c>
    </row>
    <row r="4222" spans="5:11" x14ac:dyDescent="0.25">
      <c r="E4222" t="s">
        <v>169</v>
      </c>
      <c r="K4222">
        <v>0</v>
      </c>
    </row>
    <row r="4223" spans="5:11" x14ac:dyDescent="0.25">
      <c r="E4223" t="s">
        <v>169</v>
      </c>
      <c r="K4223">
        <v>0</v>
      </c>
    </row>
    <row r="4224" spans="5:11" x14ac:dyDescent="0.25">
      <c r="E4224" t="s">
        <v>169</v>
      </c>
      <c r="K4224">
        <v>0</v>
      </c>
    </row>
    <row r="4225" spans="5:11" x14ac:dyDescent="0.25">
      <c r="E4225" t="s">
        <v>169</v>
      </c>
      <c r="K4225">
        <v>0</v>
      </c>
    </row>
    <row r="4226" spans="5:11" x14ac:dyDescent="0.25">
      <c r="E4226" t="s">
        <v>169</v>
      </c>
      <c r="K4226">
        <v>0</v>
      </c>
    </row>
    <row r="4227" spans="5:11" x14ac:dyDescent="0.25">
      <c r="E4227" t="s">
        <v>169</v>
      </c>
      <c r="K4227">
        <v>0</v>
      </c>
    </row>
    <row r="4228" spans="5:11" x14ac:dyDescent="0.25">
      <c r="E4228" t="s">
        <v>169</v>
      </c>
      <c r="K4228">
        <v>0</v>
      </c>
    </row>
    <row r="4229" spans="5:11" x14ac:dyDescent="0.25">
      <c r="E4229" t="s">
        <v>169</v>
      </c>
      <c r="K4229">
        <v>0</v>
      </c>
    </row>
    <row r="4230" spans="5:11" x14ac:dyDescent="0.25">
      <c r="E4230" t="s">
        <v>169</v>
      </c>
      <c r="K4230">
        <v>0</v>
      </c>
    </row>
    <row r="4231" spans="5:11" x14ac:dyDescent="0.25">
      <c r="E4231" t="s">
        <v>169</v>
      </c>
      <c r="K4231">
        <v>0</v>
      </c>
    </row>
    <row r="4232" spans="5:11" x14ac:dyDescent="0.25">
      <c r="E4232" t="s">
        <v>169</v>
      </c>
      <c r="K4232">
        <v>0</v>
      </c>
    </row>
    <row r="4233" spans="5:11" x14ac:dyDescent="0.25">
      <c r="E4233" t="s">
        <v>169</v>
      </c>
      <c r="K4233">
        <v>0</v>
      </c>
    </row>
    <row r="4234" spans="5:11" x14ac:dyDescent="0.25">
      <c r="E4234" t="s">
        <v>169</v>
      </c>
      <c r="K4234">
        <v>0</v>
      </c>
    </row>
    <row r="4235" spans="5:11" x14ac:dyDescent="0.25">
      <c r="E4235" t="s">
        <v>169</v>
      </c>
      <c r="K4235">
        <v>0</v>
      </c>
    </row>
    <row r="4236" spans="5:11" x14ac:dyDescent="0.25">
      <c r="E4236" t="s">
        <v>169</v>
      </c>
      <c r="K4236">
        <v>0</v>
      </c>
    </row>
    <row r="4237" spans="5:11" x14ac:dyDescent="0.25">
      <c r="E4237" t="s">
        <v>169</v>
      </c>
      <c r="K4237">
        <v>0</v>
      </c>
    </row>
    <row r="4238" spans="5:11" x14ac:dyDescent="0.25">
      <c r="E4238" t="s">
        <v>169</v>
      </c>
      <c r="K4238">
        <v>0</v>
      </c>
    </row>
    <row r="4239" spans="5:11" x14ac:dyDescent="0.25">
      <c r="E4239" t="s">
        <v>169</v>
      </c>
      <c r="K4239">
        <v>0</v>
      </c>
    </row>
    <row r="4240" spans="5:11" x14ac:dyDescent="0.25">
      <c r="E4240" t="s">
        <v>169</v>
      </c>
      <c r="K4240">
        <v>0</v>
      </c>
    </row>
    <row r="4241" spans="5:11" x14ac:dyDescent="0.25">
      <c r="E4241" t="s">
        <v>169</v>
      </c>
      <c r="K4241">
        <v>0</v>
      </c>
    </row>
    <row r="4242" spans="5:11" x14ac:dyDescent="0.25">
      <c r="E4242" t="s">
        <v>169</v>
      </c>
      <c r="K4242">
        <v>0</v>
      </c>
    </row>
    <row r="4243" spans="5:11" x14ac:dyDescent="0.25">
      <c r="E4243" t="s">
        <v>169</v>
      </c>
      <c r="K4243">
        <v>0</v>
      </c>
    </row>
    <row r="4244" spans="5:11" x14ac:dyDescent="0.25">
      <c r="E4244" t="s">
        <v>169</v>
      </c>
      <c r="K4244">
        <v>0</v>
      </c>
    </row>
    <row r="4245" spans="5:11" x14ac:dyDescent="0.25">
      <c r="E4245" t="s">
        <v>169</v>
      </c>
      <c r="K4245">
        <v>0</v>
      </c>
    </row>
    <row r="4246" spans="5:11" x14ac:dyDescent="0.25">
      <c r="E4246" t="s">
        <v>169</v>
      </c>
      <c r="K4246">
        <v>0</v>
      </c>
    </row>
    <row r="4247" spans="5:11" x14ac:dyDescent="0.25">
      <c r="E4247" t="s">
        <v>169</v>
      </c>
      <c r="K4247">
        <v>0</v>
      </c>
    </row>
    <row r="4248" spans="5:11" x14ac:dyDescent="0.25">
      <c r="E4248" t="s">
        <v>169</v>
      </c>
      <c r="K4248">
        <v>0</v>
      </c>
    </row>
    <row r="4249" spans="5:11" x14ac:dyDescent="0.25">
      <c r="E4249" t="s">
        <v>169</v>
      </c>
      <c r="K4249">
        <v>0</v>
      </c>
    </row>
    <row r="4250" spans="5:11" x14ac:dyDescent="0.25">
      <c r="E4250" t="s">
        <v>169</v>
      </c>
      <c r="K4250">
        <v>0</v>
      </c>
    </row>
    <row r="4251" spans="5:11" x14ac:dyDescent="0.25">
      <c r="E4251" t="s">
        <v>169</v>
      </c>
      <c r="K4251">
        <v>0</v>
      </c>
    </row>
    <row r="4252" spans="5:11" x14ac:dyDescent="0.25">
      <c r="E4252" t="s">
        <v>169</v>
      </c>
      <c r="K4252">
        <v>0</v>
      </c>
    </row>
    <row r="4253" spans="5:11" x14ac:dyDescent="0.25">
      <c r="E4253" t="s">
        <v>169</v>
      </c>
      <c r="K4253">
        <v>0</v>
      </c>
    </row>
    <row r="4254" spans="5:11" x14ac:dyDescent="0.25">
      <c r="E4254" t="s">
        <v>169</v>
      </c>
      <c r="K4254">
        <v>0</v>
      </c>
    </row>
    <row r="4255" spans="5:11" x14ac:dyDescent="0.25">
      <c r="E4255" t="s">
        <v>169</v>
      </c>
      <c r="K4255">
        <v>0</v>
      </c>
    </row>
    <row r="4256" spans="5:11" x14ac:dyDescent="0.25">
      <c r="E4256" t="s">
        <v>169</v>
      </c>
      <c r="K4256">
        <v>0</v>
      </c>
    </row>
    <row r="4257" spans="5:11" x14ac:dyDescent="0.25">
      <c r="E4257" t="s">
        <v>169</v>
      </c>
      <c r="K4257">
        <v>0</v>
      </c>
    </row>
    <row r="4258" spans="5:11" x14ac:dyDescent="0.25">
      <c r="E4258" t="s">
        <v>169</v>
      </c>
      <c r="K4258">
        <v>0</v>
      </c>
    </row>
    <row r="4259" spans="5:11" x14ac:dyDescent="0.25">
      <c r="E4259" t="s">
        <v>169</v>
      </c>
      <c r="K4259">
        <v>0</v>
      </c>
    </row>
    <row r="4260" spans="5:11" x14ac:dyDescent="0.25">
      <c r="E4260" t="s">
        <v>169</v>
      </c>
      <c r="K4260">
        <v>0</v>
      </c>
    </row>
    <row r="4261" spans="5:11" x14ac:dyDescent="0.25">
      <c r="E4261" t="s">
        <v>169</v>
      </c>
      <c r="K4261">
        <v>0</v>
      </c>
    </row>
    <row r="4262" spans="5:11" x14ac:dyDescent="0.25">
      <c r="E4262" t="s">
        <v>169</v>
      </c>
      <c r="K4262">
        <v>0</v>
      </c>
    </row>
    <row r="4263" spans="5:11" x14ac:dyDescent="0.25">
      <c r="E4263" t="s">
        <v>169</v>
      </c>
      <c r="K4263">
        <v>0</v>
      </c>
    </row>
    <row r="4264" spans="5:11" x14ac:dyDescent="0.25">
      <c r="E4264" t="s">
        <v>169</v>
      </c>
      <c r="K4264">
        <v>0</v>
      </c>
    </row>
    <row r="4265" spans="5:11" x14ac:dyDescent="0.25">
      <c r="E4265" t="s">
        <v>169</v>
      </c>
      <c r="K4265">
        <v>0</v>
      </c>
    </row>
    <row r="4266" spans="5:11" x14ac:dyDescent="0.25">
      <c r="E4266" t="s">
        <v>169</v>
      </c>
      <c r="K4266">
        <v>0</v>
      </c>
    </row>
    <row r="4267" spans="5:11" x14ac:dyDescent="0.25">
      <c r="E4267" t="s">
        <v>169</v>
      </c>
      <c r="K4267">
        <v>0</v>
      </c>
    </row>
    <row r="4268" spans="5:11" x14ac:dyDescent="0.25">
      <c r="E4268" t="s">
        <v>169</v>
      </c>
      <c r="K4268">
        <v>0</v>
      </c>
    </row>
    <row r="4269" spans="5:11" x14ac:dyDescent="0.25">
      <c r="E4269" t="s">
        <v>169</v>
      </c>
      <c r="K4269">
        <v>0</v>
      </c>
    </row>
    <row r="4270" spans="5:11" x14ac:dyDescent="0.25">
      <c r="E4270" t="s">
        <v>169</v>
      </c>
      <c r="K4270">
        <v>0</v>
      </c>
    </row>
    <row r="4271" spans="5:11" x14ac:dyDescent="0.25">
      <c r="E4271" t="s">
        <v>169</v>
      </c>
      <c r="K4271">
        <v>0</v>
      </c>
    </row>
    <row r="4272" spans="5:11" x14ac:dyDescent="0.25">
      <c r="E4272" t="s">
        <v>169</v>
      </c>
      <c r="K4272">
        <v>0</v>
      </c>
    </row>
    <row r="4273" spans="5:11" x14ac:dyDescent="0.25">
      <c r="E4273" t="s">
        <v>169</v>
      </c>
      <c r="K4273">
        <v>0</v>
      </c>
    </row>
    <row r="4274" spans="5:11" x14ac:dyDescent="0.25">
      <c r="E4274" t="s">
        <v>169</v>
      </c>
      <c r="K4274">
        <v>0</v>
      </c>
    </row>
    <row r="4275" spans="5:11" x14ac:dyDescent="0.25">
      <c r="E4275" t="s">
        <v>169</v>
      </c>
      <c r="K4275">
        <v>0</v>
      </c>
    </row>
    <row r="4276" spans="5:11" x14ac:dyDescent="0.25">
      <c r="E4276" t="s">
        <v>169</v>
      </c>
      <c r="K4276">
        <v>0</v>
      </c>
    </row>
    <row r="4277" spans="5:11" x14ac:dyDescent="0.25">
      <c r="E4277" t="s">
        <v>169</v>
      </c>
      <c r="K4277">
        <v>0</v>
      </c>
    </row>
    <row r="4278" spans="5:11" x14ac:dyDescent="0.25">
      <c r="E4278" t="s">
        <v>169</v>
      </c>
      <c r="K4278">
        <v>0</v>
      </c>
    </row>
    <row r="4279" spans="5:11" x14ac:dyDescent="0.25">
      <c r="E4279" t="s">
        <v>169</v>
      </c>
      <c r="K4279">
        <v>0</v>
      </c>
    </row>
    <row r="4280" spans="5:11" x14ac:dyDescent="0.25">
      <c r="E4280" t="s">
        <v>169</v>
      </c>
      <c r="K4280">
        <v>0</v>
      </c>
    </row>
    <row r="4281" spans="5:11" x14ac:dyDescent="0.25">
      <c r="E4281" t="s">
        <v>169</v>
      </c>
      <c r="K4281">
        <v>0</v>
      </c>
    </row>
    <row r="4282" spans="5:11" x14ac:dyDescent="0.25">
      <c r="E4282" t="s">
        <v>169</v>
      </c>
      <c r="K4282">
        <v>0</v>
      </c>
    </row>
    <row r="4283" spans="5:11" x14ac:dyDescent="0.25">
      <c r="E4283" t="s">
        <v>169</v>
      </c>
      <c r="K4283">
        <v>0</v>
      </c>
    </row>
    <row r="4284" spans="5:11" x14ac:dyDescent="0.25">
      <c r="E4284" t="s">
        <v>169</v>
      </c>
      <c r="K4284">
        <v>0</v>
      </c>
    </row>
    <row r="4285" spans="5:11" x14ac:dyDescent="0.25">
      <c r="E4285" t="s">
        <v>169</v>
      </c>
      <c r="K4285">
        <v>0</v>
      </c>
    </row>
    <row r="4286" spans="5:11" x14ac:dyDescent="0.25">
      <c r="E4286" t="s">
        <v>169</v>
      </c>
      <c r="K4286">
        <v>0</v>
      </c>
    </row>
    <row r="4287" spans="5:11" x14ac:dyDescent="0.25">
      <c r="E4287" t="s">
        <v>169</v>
      </c>
      <c r="K4287">
        <v>0</v>
      </c>
    </row>
    <row r="4288" spans="5:11" x14ac:dyDescent="0.25">
      <c r="E4288" t="s">
        <v>169</v>
      </c>
      <c r="K4288">
        <v>0</v>
      </c>
    </row>
    <row r="4289" spans="5:11" x14ac:dyDescent="0.25">
      <c r="E4289" t="s">
        <v>169</v>
      </c>
      <c r="K4289">
        <v>0</v>
      </c>
    </row>
    <row r="4290" spans="5:11" x14ac:dyDescent="0.25">
      <c r="E4290" t="s">
        <v>169</v>
      </c>
      <c r="K4290">
        <v>0</v>
      </c>
    </row>
    <row r="4291" spans="5:11" x14ac:dyDescent="0.25">
      <c r="E4291" t="s">
        <v>169</v>
      </c>
      <c r="K4291">
        <v>0</v>
      </c>
    </row>
    <row r="4292" spans="5:11" x14ac:dyDescent="0.25">
      <c r="E4292" t="s">
        <v>169</v>
      </c>
      <c r="K4292">
        <v>0</v>
      </c>
    </row>
    <row r="4293" spans="5:11" x14ac:dyDescent="0.25">
      <c r="E4293" t="s">
        <v>169</v>
      </c>
      <c r="K4293">
        <v>0</v>
      </c>
    </row>
    <row r="4294" spans="5:11" x14ac:dyDescent="0.25">
      <c r="E4294" t="s">
        <v>169</v>
      </c>
      <c r="K4294">
        <v>0</v>
      </c>
    </row>
    <row r="4295" spans="5:11" x14ac:dyDescent="0.25">
      <c r="E4295" t="s">
        <v>169</v>
      </c>
      <c r="K4295">
        <v>0</v>
      </c>
    </row>
    <row r="4296" spans="5:11" x14ac:dyDescent="0.25">
      <c r="E4296" t="s">
        <v>169</v>
      </c>
      <c r="K4296">
        <v>0</v>
      </c>
    </row>
    <row r="4297" spans="5:11" x14ac:dyDescent="0.25">
      <c r="E4297" t="s">
        <v>169</v>
      </c>
      <c r="K4297">
        <v>0</v>
      </c>
    </row>
    <row r="4298" spans="5:11" x14ac:dyDescent="0.25">
      <c r="E4298" t="s">
        <v>169</v>
      </c>
      <c r="K4298">
        <v>0</v>
      </c>
    </row>
    <row r="4299" spans="5:11" x14ac:dyDescent="0.25">
      <c r="E4299" t="s">
        <v>169</v>
      </c>
      <c r="K4299">
        <v>0</v>
      </c>
    </row>
    <row r="4300" spans="5:11" x14ac:dyDescent="0.25">
      <c r="E4300" t="s">
        <v>169</v>
      </c>
      <c r="K4300">
        <v>0</v>
      </c>
    </row>
    <row r="4301" spans="5:11" x14ac:dyDescent="0.25">
      <c r="E4301" t="s">
        <v>169</v>
      </c>
      <c r="K4301">
        <v>0</v>
      </c>
    </row>
    <row r="4302" spans="5:11" x14ac:dyDescent="0.25">
      <c r="E4302" t="s">
        <v>169</v>
      </c>
      <c r="K4302">
        <v>0</v>
      </c>
    </row>
    <row r="4303" spans="5:11" x14ac:dyDescent="0.25">
      <c r="E4303" t="s">
        <v>169</v>
      </c>
      <c r="K4303">
        <v>0</v>
      </c>
    </row>
    <row r="4304" spans="5:11" x14ac:dyDescent="0.25">
      <c r="E4304" t="s">
        <v>169</v>
      </c>
      <c r="K4304">
        <v>0</v>
      </c>
    </row>
    <row r="4305" spans="5:11" x14ac:dyDescent="0.25">
      <c r="E4305" t="s">
        <v>169</v>
      </c>
      <c r="K4305">
        <v>0</v>
      </c>
    </row>
    <row r="4306" spans="5:11" x14ac:dyDescent="0.25">
      <c r="E4306" t="s">
        <v>169</v>
      </c>
      <c r="K4306">
        <v>0</v>
      </c>
    </row>
    <row r="4307" spans="5:11" x14ac:dyDescent="0.25">
      <c r="E4307" t="s">
        <v>169</v>
      </c>
      <c r="K4307">
        <v>0</v>
      </c>
    </row>
    <row r="4308" spans="5:11" x14ac:dyDescent="0.25">
      <c r="E4308" t="s">
        <v>169</v>
      </c>
      <c r="K4308">
        <v>0</v>
      </c>
    </row>
    <row r="4309" spans="5:11" x14ac:dyDescent="0.25">
      <c r="E4309" t="s">
        <v>169</v>
      </c>
      <c r="K4309">
        <v>0</v>
      </c>
    </row>
    <row r="4310" spans="5:11" x14ac:dyDescent="0.25">
      <c r="E4310" t="s">
        <v>169</v>
      </c>
      <c r="K4310">
        <v>0</v>
      </c>
    </row>
    <row r="4311" spans="5:11" x14ac:dyDescent="0.25">
      <c r="E4311" t="s">
        <v>169</v>
      </c>
      <c r="K4311">
        <v>0</v>
      </c>
    </row>
    <row r="4312" spans="5:11" x14ac:dyDescent="0.25">
      <c r="E4312" t="s">
        <v>169</v>
      </c>
      <c r="K4312">
        <v>0</v>
      </c>
    </row>
    <row r="4313" spans="5:11" x14ac:dyDescent="0.25">
      <c r="E4313" t="s">
        <v>169</v>
      </c>
      <c r="K4313">
        <v>0</v>
      </c>
    </row>
    <row r="4314" spans="5:11" x14ac:dyDescent="0.25">
      <c r="E4314" t="s">
        <v>169</v>
      </c>
      <c r="K4314">
        <v>0</v>
      </c>
    </row>
    <row r="4315" spans="5:11" x14ac:dyDescent="0.25">
      <c r="E4315" t="s">
        <v>169</v>
      </c>
      <c r="K4315">
        <v>0</v>
      </c>
    </row>
    <row r="4316" spans="5:11" x14ac:dyDescent="0.25">
      <c r="E4316" t="s">
        <v>169</v>
      </c>
      <c r="K4316">
        <v>0</v>
      </c>
    </row>
    <row r="4317" spans="5:11" x14ac:dyDescent="0.25">
      <c r="E4317" t="s">
        <v>169</v>
      </c>
      <c r="K4317">
        <v>0</v>
      </c>
    </row>
    <row r="4318" spans="5:11" x14ac:dyDescent="0.25">
      <c r="E4318" t="s">
        <v>169</v>
      </c>
      <c r="K4318">
        <v>0</v>
      </c>
    </row>
    <row r="4319" spans="5:11" x14ac:dyDescent="0.25">
      <c r="E4319" t="s">
        <v>169</v>
      </c>
      <c r="K4319">
        <v>0</v>
      </c>
    </row>
    <row r="4320" spans="5:11" x14ac:dyDescent="0.25">
      <c r="E4320" t="s">
        <v>169</v>
      </c>
      <c r="K4320">
        <v>0</v>
      </c>
    </row>
    <row r="4321" spans="5:11" x14ac:dyDescent="0.25">
      <c r="E4321" t="s">
        <v>169</v>
      </c>
      <c r="K4321">
        <v>0</v>
      </c>
    </row>
    <row r="4322" spans="5:11" x14ac:dyDescent="0.25">
      <c r="E4322" t="s">
        <v>169</v>
      </c>
      <c r="K4322">
        <v>0</v>
      </c>
    </row>
    <row r="4323" spans="5:11" x14ac:dyDescent="0.25">
      <c r="E4323" t="s">
        <v>169</v>
      </c>
      <c r="K4323">
        <v>0</v>
      </c>
    </row>
    <row r="4324" spans="5:11" x14ac:dyDescent="0.25">
      <c r="E4324" t="s">
        <v>169</v>
      </c>
      <c r="K4324">
        <v>0</v>
      </c>
    </row>
    <row r="4325" spans="5:11" x14ac:dyDescent="0.25">
      <c r="E4325" t="s">
        <v>169</v>
      </c>
      <c r="K4325">
        <v>0</v>
      </c>
    </row>
    <row r="4326" spans="5:11" x14ac:dyDescent="0.25">
      <c r="E4326" t="s">
        <v>169</v>
      </c>
      <c r="K4326">
        <v>0</v>
      </c>
    </row>
    <row r="4327" spans="5:11" x14ac:dyDescent="0.25">
      <c r="E4327" t="s">
        <v>169</v>
      </c>
      <c r="K4327">
        <v>0</v>
      </c>
    </row>
    <row r="4328" spans="5:11" x14ac:dyDescent="0.25">
      <c r="E4328" t="s">
        <v>169</v>
      </c>
      <c r="K4328">
        <v>0</v>
      </c>
    </row>
    <row r="4329" spans="5:11" x14ac:dyDescent="0.25">
      <c r="E4329" t="s">
        <v>169</v>
      </c>
      <c r="K4329">
        <v>0</v>
      </c>
    </row>
    <row r="4330" spans="5:11" x14ac:dyDescent="0.25">
      <c r="E4330" t="s">
        <v>169</v>
      </c>
      <c r="K4330">
        <v>0</v>
      </c>
    </row>
    <row r="4331" spans="5:11" x14ac:dyDescent="0.25">
      <c r="E4331" t="s">
        <v>169</v>
      </c>
      <c r="K4331">
        <v>0</v>
      </c>
    </row>
    <row r="4332" spans="5:11" x14ac:dyDescent="0.25">
      <c r="E4332" t="s">
        <v>169</v>
      </c>
      <c r="K4332">
        <v>0</v>
      </c>
    </row>
    <row r="4333" spans="5:11" x14ac:dyDescent="0.25">
      <c r="E4333" t="s">
        <v>169</v>
      </c>
      <c r="K4333">
        <v>0</v>
      </c>
    </row>
    <row r="4334" spans="5:11" x14ac:dyDescent="0.25">
      <c r="E4334" t="s">
        <v>169</v>
      </c>
      <c r="K4334">
        <v>0</v>
      </c>
    </row>
    <row r="4335" spans="5:11" x14ac:dyDescent="0.25">
      <c r="E4335" t="s">
        <v>169</v>
      </c>
      <c r="K4335">
        <v>0</v>
      </c>
    </row>
    <row r="4336" spans="5:11" x14ac:dyDescent="0.25">
      <c r="E4336" t="s">
        <v>169</v>
      </c>
      <c r="K4336">
        <v>0</v>
      </c>
    </row>
    <row r="4337" spans="5:11" x14ac:dyDescent="0.25">
      <c r="E4337" t="s">
        <v>169</v>
      </c>
      <c r="K4337">
        <v>0</v>
      </c>
    </row>
    <row r="4338" spans="5:11" x14ac:dyDescent="0.25">
      <c r="E4338" t="s">
        <v>169</v>
      </c>
      <c r="K4338">
        <v>0</v>
      </c>
    </row>
    <row r="4339" spans="5:11" x14ac:dyDescent="0.25">
      <c r="E4339" t="s">
        <v>169</v>
      </c>
      <c r="K4339">
        <v>0</v>
      </c>
    </row>
    <row r="4340" spans="5:11" x14ac:dyDescent="0.25">
      <c r="E4340" t="s">
        <v>169</v>
      </c>
      <c r="K4340">
        <v>0</v>
      </c>
    </row>
    <row r="4341" spans="5:11" x14ac:dyDescent="0.25">
      <c r="E4341" t="s">
        <v>169</v>
      </c>
      <c r="K4341">
        <v>0</v>
      </c>
    </row>
    <row r="4342" spans="5:11" x14ac:dyDescent="0.25">
      <c r="E4342" t="s">
        <v>169</v>
      </c>
      <c r="K4342">
        <v>0</v>
      </c>
    </row>
    <row r="4343" spans="5:11" x14ac:dyDescent="0.25">
      <c r="E4343" t="s">
        <v>169</v>
      </c>
      <c r="K4343">
        <v>0</v>
      </c>
    </row>
    <row r="4344" spans="5:11" x14ac:dyDescent="0.25">
      <c r="E4344" t="s">
        <v>169</v>
      </c>
      <c r="K4344">
        <v>0</v>
      </c>
    </row>
    <row r="4345" spans="5:11" x14ac:dyDescent="0.25">
      <c r="E4345" t="s">
        <v>169</v>
      </c>
      <c r="K4345">
        <v>0</v>
      </c>
    </row>
    <row r="4346" spans="5:11" x14ac:dyDescent="0.25">
      <c r="E4346" t="s">
        <v>169</v>
      </c>
      <c r="K4346">
        <v>0</v>
      </c>
    </row>
    <row r="4347" spans="5:11" x14ac:dyDescent="0.25">
      <c r="E4347" t="s">
        <v>169</v>
      </c>
      <c r="K4347">
        <v>0</v>
      </c>
    </row>
    <row r="4348" spans="5:11" x14ac:dyDescent="0.25">
      <c r="E4348" t="s">
        <v>169</v>
      </c>
      <c r="K4348">
        <v>0</v>
      </c>
    </row>
    <row r="4349" spans="5:11" x14ac:dyDescent="0.25">
      <c r="E4349" t="s">
        <v>169</v>
      </c>
      <c r="K4349">
        <v>0</v>
      </c>
    </row>
    <row r="4350" spans="5:11" x14ac:dyDescent="0.25">
      <c r="E4350" t="s">
        <v>169</v>
      </c>
      <c r="K4350">
        <v>0</v>
      </c>
    </row>
    <row r="4351" spans="5:11" x14ac:dyDescent="0.25">
      <c r="E4351" t="s">
        <v>169</v>
      </c>
      <c r="K4351">
        <v>0</v>
      </c>
    </row>
    <row r="4352" spans="5:11" x14ac:dyDescent="0.25">
      <c r="E4352" t="s">
        <v>169</v>
      </c>
      <c r="K4352">
        <v>0</v>
      </c>
    </row>
    <row r="4353" spans="5:11" x14ac:dyDescent="0.25">
      <c r="E4353" t="s">
        <v>169</v>
      </c>
      <c r="K4353">
        <v>0</v>
      </c>
    </row>
    <row r="4354" spans="5:11" x14ac:dyDescent="0.25">
      <c r="E4354" t="s">
        <v>169</v>
      </c>
      <c r="K4354">
        <v>0</v>
      </c>
    </row>
    <row r="4355" spans="5:11" x14ac:dyDescent="0.25">
      <c r="E4355" t="s">
        <v>169</v>
      </c>
      <c r="K4355">
        <v>0</v>
      </c>
    </row>
    <row r="4356" spans="5:11" x14ac:dyDescent="0.25">
      <c r="E4356" t="s">
        <v>169</v>
      </c>
      <c r="K4356">
        <v>0</v>
      </c>
    </row>
    <row r="4357" spans="5:11" x14ac:dyDescent="0.25">
      <c r="E4357" t="s">
        <v>169</v>
      </c>
      <c r="K4357">
        <v>0</v>
      </c>
    </row>
    <row r="4358" spans="5:11" x14ac:dyDescent="0.25">
      <c r="E4358" t="s">
        <v>169</v>
      </c>
      <c r="K4358">
        <v>0</v>
      </c>
    </row>
    <row r="4359" spans="5:11" x14ac:dyDescent="0.25">
      <c r="E4359" t="s">
        <v>169</v>
      </c>
      <c r="K4359">
        <v>0</v>
      </c>
    </row>
    <row r="4360" spans="5:11" x14ac:dyDescent="0.25">
      <c r="E4360" t="s">
        <v>169</v>
      </c>
      <c r="K4360">
        <v>0</v>
      </c>
    </row>
    <row r="4361" spans="5:11" x14ac:dyDescent="0.25">
      <c r="E4361" t="s">
        <v>169</v>
      </c>
      <c r="K4361">
        <v>0</v>
      </c>
    </row>
    <row r="4362" spans="5:11" x14ac:dyDescent="0.25">
      <c r="E4362" t="s">
        <v>169</v>
      </c>
      <c r="K4362">
        <v>0</v>
      </c>
    </row>
    <row r="4363" spans="5:11" x14ac:dyDescent="0.25">
      <c r="E4363" t="s">
        <v>169</v>
      </c>
      <c r="K4363">
        <v>0</v>
      </c>
    </row>
    <row r="4364" spans="5:11" x14ac:dyDescent="0.25">
      <c r="E4364" t="s">
        <v>169</v>
      </c>
      <c r="K4364">
        <v>0</v>
      </c>
    </row>
    <row r="4365" spans="5:11" x14ac:dyDescent="0.25">
      <c r="E4365" t="s">
        <v>169</v>
      </c>
      <c r="K4365">
        <v>0</v>
      </c>
    </row>
    <row r="4366" spans="5:11" x14ac:dyDescent="0.25">
      <c r="E4366" t="s">
        <v>169</v>
      </c>
      <c r="K4366">
        <v>0</v>
      </c>
    </row>
    <row r="4367" spans="5:11" x14ac:dyDescent="0.25">
      <c r="E4367" t="s">
        <v>169</v>
      </c>
      <c r="K4367">
        <v>0</v>
      </c>
    </row>
    <row r="4368" spans="5:11" x14ac:dyDescent="0.25">
      <c r="E4368" t="s">
        <v>169</v>
      </c>
      <c r="K4368">
        <v>0</v>
      </c>
    </row>
    <row r="4369" spans="5:11" x14ac:dyDescent="0.25">
      <c r="E4369" t="s">
        <v>169</v>
      </c>
      <c r="K4369">
        <v>0</v>
      </c>
    </row>
    <row r="4370" spans="5:11" x14ac:dyDescent="0.25">
      <c r="E4370" t="s">
        <v>169</v>
      </c>
      <c r="K4370">
        <v>0</v>
      </c>
    </row>
    <row r="4371" spans="5:11" x14ac:dyDescent="0.25">
      <c r="E4371" t="s">
        <v>169</v>
      </c>
      <c r="K4371">
        <v>0</v>
      </c>
    </row>
    <row r="4372" spans="5:11" x14ac:dyDescent="0.25">
      <c r="E4372" t="s">
        <v>169</v>
      </c>
      <c r="K4372">
        <v>0</v>
      </c>
    </row>
    <row r="4373" spans="5:11" x14ac:dyDescent="0.25">
      <c r="E4373" t="s">
        <v>169</v>
      </c>
      <c r="K4373">
        <v>0</v>
      </c>
    </row>
    <row r="4374" spans="5:11" x14ac:dyDescent="0.25">
      <c r="E4374" t="s">
        <v>169</v>
      </c>
      <c r="K4374">
        <v>0</v>
      </c>
    </row>
    <row r="4375" spans="5:11" x14ac:dyDescent="0.25">
      <c r="E4375" t="s">
        <v>169</v>
      </c>
      <c r="K4375">
        <v>0</v>
      </c>
    </row>
    <row r="4376" spans="5:11" x14ac:dyDescent="0.25">
      <c r="E4376" t="s">
        <v>169</v>
      </c>
      <c r="K4376">
        <v>0</v>
      </c>
    </row>
    <row r="4377" spans="5:11" x14ac:dyDescent="0.25">
      <c r="E4377" t="s">
        <v>169</v>
      </c>
      <c r="K4377">
        <v>0</v>
      </c>
    </row>
    <row r="4378" spans="5:11" x14ac:dyDescent="0.25">
      <c r="E4378" t="s">
        <v>169</v>
      </c>
      <c r="K4378">
        <v>0</v>
      </c>
    </row>
    <row r="4379" spans="5:11" x14ac:dyDescent="0.25">
      <c r="E4379" t="s">
        <v>169</v>
      </c>
      <c r="K4379">
        <v>0</v>
      </c>
    </row>
    <row r="4380" spans="5:11" x14ac:dyDescent="0.25">
      <c r="E4380" t="s">
        <v>169</v>
      </c>
      <c r="K4380">
        <v>0</v>
      </c>
    </row>
    <row r="4381" spans="5:11" x14ac:dyDescent="0.25">
      <c r="E4381" t="s">
        <v>169</v>
      </c>
      <c r="K4381">
        <v>0</v>
      </c>
    </row>
    <row r="4382" spans="5:11" x14ac:dyDescent="0.25">
      <c r="E4382" t="s">
        <v>169</v>
      </c>
      <c r="K4382">
        <v>0</v>
      </c>
    </row>
    <row r="4383" spans="5:11" x14ac:dyDescent="0.25">
      <c r="E4383" t="s">
        <v>169</v>
      </c>
      <c r="K4383">
        <v>0</v>
      </c>
    </row>
    <row r="4384" spans="5:11" x14ac:dyDescent="0.25">
      <c r="E4384" t="s">
        <v>169</v>
      </c>
      <c r="K4384">
        <v>0</v>
      </c>
    </row>
    <row r="4385" spans="5:11" x14ac:dyDescent="0.25">
      <c r="E4385" t="s">
        <v>169</v>
      </c>
      <c r="K4385">
        <v>0</v>
      </c>
    </row>
    <row r="4386" spans="5:11" x14ac:dyDescent="0.25">
      <c r="E4386" t="s">
        <v>169</v>
      </c>
      <c r="K4386">
        <v>0</v>
      </c>
    </row>
    <row r="4387" spans="5:11" x14ac:dyDescent="0.25">
      <c r="E4387" t="s">
        <v>169</v>
      </c>
      <c r="K4387">
        <v>0</v>
      </c>
    </row>
    <row r="4388" spans="5:11" x14ac:dyDescent="0.25">
      <c r="E4388" t="s">
        <v>169</v>
      </c>
      <c r="K4388">
        <v>0</v>
      </c>
    </row>
    <row r="4389" spans="5:11" x14ac:dyDescent="0.25">
      <c r="E4389" t="s">
        <v>169</v>
      </c>
      <c r="K4389">
        <v>0</v>
      </c>
    </row>
    <row r="4390" spans="5:11" x14ac:dyDescent="0.25">
      <c r="E4390" t="s">
        <v>169</v>
      </c>
      <c r="K4390">
        <v>0</v>
      </c>
    </row>
    <row r="4391" spans="5:11" x14ac:dyDescent="0.25">
      <c r="E4391" t="s">
        <v>169</v>
      </c>
      <c r="K4391">
        <v>0</v>
      </c>
    </row>
    <row r="4392" spans="5:11" x14ac:dyDescent="0.25">
      <c r="E4392" t="s">
        <v>169</v>
      </c>
      <c r="K4392">
        <v>0</v>
      </c>
    </row>
    <row r="4393" spans="5:11" x14ac:dyDescent="0.25">
      <c r="E4393" t="s">
        <v>169</v>
      </c>
      <c r="K4393">
        <v>0</v>
      </c>
    </row>
    <row r="4394" spans="5:11" x14ac:dyDescent="0.25">
      <c r="E4394" t="s">
        <v>169</v>
      </c>
      <c r="K4394">
        <v>0</v>
      </c>
    </row>
    <row r="4395" spans="5:11" x14ac:dyDescent="0.25">
      <c r="E4395" t="s">
        <v>169</v>
      </c>
      <c r="K4395">
        <v>0</v>
      </c>
    </row>
    <row r="4396" spans="5:11" x14ac:dyDescent="0.25">
      <c r="E4396" t="s">
        <v>169</v>
      </c>
      <c r="K4396">
        <v>0</v>
      </c>
    </row>
    <row r="4397" spans="5:11" x14ac:dyDescent="0.25">
      <c r="E4397" t="s">
        <v>169</v>
      </c>
      <c r="K4397">
        <v>0</v>
      </c>
    </row>
    <row r="4398" spans="5:11" x14ac:dyDescent="0.25">
      <c r="E4398" t="s">
        <v>169</v>
      </c>
      <c r="K4398">
        <v>0</v>
      </c>
    </row>
    <row r="4399" spans="5:11" x14ac:dyDescent="0.25">
      <c r="E4399" t="s">
        <v>169</v>
      </c>
      <c r="K4399">
        <v>0</v>
      </c>
    </row>
    <row r="4400" spans="5:11" x14ac:dyDescent="0.25">
      <c r="E4400" t="s">
        <v>169</v>
      </c>
      <c r="K4400">
        <v>0</v>
      </c>
    </row>
    <row r="4401" spans="5:11" x14ac:dyDescent="0.25">
      <c r="E4401" t="s">
        <v>169</v>
      </c>
      <c r="K4401">
        <v>0</v>
      </c>
    </row>
    <row r="4402" spans="5:11" x14ac:dyDescent="0.25">
      <c r="E4402" t="s">
        <v>169</v>
      </c>
      <c r="K4402">
        <v>0</v>
      </c>
    </row>
    <row r="4403" spans="5:11" x14ac:dyDescent="0.25">
      <c r="E4403" t="s">
        <v>169</v>
      </c>
      <c r="K4403">
        <v>0</v>
      </c>
    </row>
    <row r="4404" spans="5:11" x14ac:dyDescent="0.25">
      <c r="E4404" t="s">
        <v>169</v>
      </c>
      <c r="K4404">
        <v>0</v>
      </c>
    </row>
    <row r="4405" spans="5:11" x14ac:dyDescent="0.25">
      <c r="E4405" t="s">
        <v>169</v>
      </c>
      <c r="K4405">
        <v>0</v>
      </c>
    </row>
    <row r="4406" spans="5:11" x14ac:dyDescent="0.25">
      <c r="E4406" t="s">
        <v>169</v>
      </c>
      <c r="K4406">
        <v>0</v>
      </c>
    </row>
    <row r="4407" spans="5:11" x14ac:dyDescent="0.25">
      <c r="E4407" t="s">
        <v>169</v>
      </c>
      <c r="K4407">
        <v>0</v>
      </c>
    </row>
    <row r="4408" spans="5:11" x14ac:dyDescent="0.25">
      <c r="E4408" t="s">
        <v>169</v>
      </c>
      <c r="K4408">
        <v>0</v>
      </c>
    </row>
    <row r="4409" spans="5:11" x14ac:dyDescent="0.25">
      <c r="E4409" t="s">
        <v>169</v>
      </c>
      <c r="K4409">
        <v>0</v>
      </c>
    </row>
    <row r="4410" spans="5:11" x14ac:dyDescent="0.25">
      <c r="E4410" t="s">
        <v>169</v>
      </c>
      <c r="K4410">
        <v>0</v>
      </c>
    </row>
    <row r="4411" spans="5:11" x14ac:dyDescent="0.25">
      <c r="E4411" t="s">
        <v>169</v>
      </c>
      <c r="K4411">
        <v>0</v>
      </c>
    </row>
    <row r="4412" spans="5:11" x14ac:dyDescent="0.25">
      <c r="E4412" t="s">
        <v>169</v>
      </c>
      <c r="K4412">
        <v>0</v>
      </c>
    </row>
    <row r="4413" spans="5:11" x14ac:dyDescent="0.25">
      <c r="E4413" t="s">
        <v>169</v>
      </c>
      <c r="K4413">
        <v>0</v>
      </c>
    </row>
    <row r="4414" spans="5:11" x14ac:dyDescent="0.25">
      <c r="E4414" t="s">
        <v>169</v>
      </c>
      <c r="K4414">
        <v>0</v>
      </c>
    </row>
    <row r="4415" spans="5:11" x14ac:dyDescent="0.25">
      <c r="E4415" t="s">
        <v>169</v>
      </c>
      <c r="K4415">
        <v>0</v>
      </c>
    </row>
    <row r="4416" spans="5:11" x14ac:dyDescent="0.25">
      <c r="E4416" t="s">
        <v>169</v>
      </c>
      <c r="K4416">
        <v>0</v>
      </c>
    </row>
    <row r="4417" spans="5:11" x14ac:dyDescent="0.25">
      <c r="E4417" t="s">
        <v>169</v>
      </c>
      <c r="K4417">
        <v>0</v>
      </c>
    </row>
    <row r="4418" spans="5:11" x14ac:dyDescent="0.25">
      <c r="E4418" t="s">
        <v>169</v>
      </c>
      <c r="K4418">
        <v>0</v>
      </c>
    </row>
    <row r="4419" spans="5:11" x14ac:dyDescent="0.25">
      <c r="E4419" t="s">
        <v>169</v>
      </c>
      <c r="K4419">
        <v>0</v>
      </c>
    </row>
    <row r="4420" spans="5:11" x14ac:dyDescent="0.25">
      <c r="E4420" t="s">
        <v>169</v>
      </c>
      <c r="K4420">
        <v>0</v>
      </c>
    </row>
    <row r="4421" spans="5:11" x14ac:dyDescent="0.25">
      <c r="E4421" t="s">
        <v>169</v>
      </c>
      <c r="K4421">
        <v>0</v>
      </c>
    </row>
    <row r="4422" spans="5:11" x14ac:dyDescent="0.25">
      <c r="E4422" t="s">
        <v>169</v>
      </c>
      <c r="K4422">
        <v>0</v>
      </c>
    </row>
    <row r="4423" spans="5:11" x14ac:dyDescent="0.25">
      <c r="E4423" t="s">
        <v>169</v>
      </c>
      <c r="K4423">
        <v>0</v>
      </c>
    </row>
    <row r="4424" spans="5:11" x14ac:dyDescent="0.25">
      <c r="E4424" t="s">
        <v>169</v>
      </c>
      <c r="K4424">
        <v>0</v>
      </c>
    </row>
    <row r="4425" spans="5:11" x14ac:dyDescent="0.25">
      <c r="E4425" t="s">
        <v>169</v>
      </c>
      <c r="K4425">
        <v>0</v>
      </c>
    </row>
    <row r="4426" spans="5:11" x14ac:dyDescent="0.25">
      <c r="E4426" t="s">
        <v>169</v>
      </c>
      <c r="K4426">
        <v>0</v>
      </c>
    </row>
    <row r="4427" spans="5:11" x14ac:dyDescent="0.25">
      <c r="E4427" t="s">
        <v>169</v>
      </c>
      <c r="K4427">
        <v>0</v>
      </c>
    </row>
    <row r="4428" spans="5:11" x14ac:dyDescent="0.25">
      <c r="E4428" t="s">
        <v>169</v>
      </c>
      <c r="K4428">
        <v>0</v>
      </c>
    </row>
    <row r="4429" spans="5:11" x14ac:dyDescent="0.25">
      <c r="E4429" t="s">
        <v>169</v>
      </c>
      <c r="K4429">
        <v>0</v>
      </c>
    </row>
    <row r="4430" spans="5:11" x14ac:dyDescent="0.25">
      <c r="E4430" t="s">
        <v>169</v>
      </c>
      <c r="K4430">
        <v>0</v>
      </c>
    </row>
    <row r="4431" spans="5:11" x14ac:dyDescent="0.25">
      <c r="E4431" t="s">
        <v>169</v>
      </c>
      <c r="K4431">
        <v>0</v>
      </c>
    </row>
    <row r="4432" spans="5:11" x14ac:dyDescent="0.25">
      <c r="E4432" t="s">
        <v>169</v>
      </c>
      <c r="K4432">
        <v>0</v>
      </c>
    </row>
    <row r="4433" spans="5:11" x14ac:dyDescent="0.25">
      <c r="E4433" t="s">
        <v>169</v>
      </c>
      <c r="K4433">
        <v>0</v>
      </c>
    </row>
    <row r="4434" spans="5:11" x14ac:dyDescent="0.25">
      <c r="E4434" t="s">
        <v>169</v>
      </c>
      <c r="K4434">
        <v>0</v>
      </c>
    </row>
    <row r="4435" spans="5:11" x14ac:dyDescent="0.25">
      <c r="E4435" t="s">
        <v>169</v>
      </c>
      <c r="K4435">
        <v>0</v>
      </c>
    </row>
    <row r="4436" spans="5:11" x14ac:dyDescent="0.25">
      <c r="E4436" t="s">
        <v>169</v>
      </c>
      <c r="K4436">
        <v>0</v>
      </c>
    </row>
    <row r="4437" spans="5:11" x14ac:dyDescent="0.25">
      <c r="E4437" t="s">
        <v>169</v>
      </c>
      <c r="K4437">
        <v>0</v>
      </c>
    </row>
    <row r="4438" spans="5:11" x14ac:dyDescent="0.25">
      <c r="E4438" t="s">
        <v>169</v>
      </c>
      <c r="K4438">
        <v>0</v>
      </c>
    </row>
    <row r="4439" spans="5:11" x14ac:dyDescent="0.25">
      <c r="E4439" t="s">
        <v>169</v>
      </c>
      <c r="K4439">
        <v>0</v>
      </c>
    </row>
    <row r="4440" spans="5:11" x14ac:dyDescent="0.25">
      <c r="E4440" t="s">
        <v>169</v>
      </c>
      <c r="K4440">
        <v>0</v>
      </c>
    </row>
    <row r="4441" spans="5:11" x14ac:dyDescent="0.25">
      <c r="E4441" t="s">
        <v>169</v>
      </c>
      <c r="K4441">
        <v>0</v>
      </c>
    </row>
    <row r="4442" spans="5:11" x14ac:dyDescent="0.25">
      <c r="E4442" t="s">
        <v>169</v>
      </c>
      <c r="K4442">
        <v>0</v>
      </c>
    </row>
    <row r="4443" spans="5:11" x14ac:dyDescent="0.25">
      <c r="E4443" t="s">
        <v>169</v>
      </c>
      <c r="K4443">
        <v>0</v>
      </c>
    </row>
    <row r="4444" spans="5:11" x14ac:dyDescent="0.25">
      <c r="E4444" t="s">
        <v>169</v>
      </c>
      <c r="K4444">
        <v>0</v>
      </c>
    </row>
    <row r="4445" spans="5:11" x14ac:dyDescent="0.25">
      <c r="E4445" t="s">
        <v>169</v>
      </c>
      <c r="K4445">
        <v>0</v>
      </c>
    </row>
    <row r="4446" spans="5:11" x14ac:dyDescent="0.25">
      <c r="E4446" t="s">
        <v>169</v>
      </c>
      <c r="K4446">
        <v>0</v>
      </c>
    </row>
    <row r="4447" spans="5:11" x14ac:dyDescent="0.25">
      <c r="E4447" t="s">
        <v>169</v>
      </c>
      <c r="K4447">
        <v>0</v>
      </c>
    </row>
    <row r="4448" spans="5:11" x14ac:dyDescent="0.25">
      <c r="E4448" t="s">
        <v>169</v>
      </c>
      <c r="K4448">
        <v>0</v>
      </c>
    </row>
    <row r="4449" spans="5:11" x14ac:dyDescent="0.25">
      <c r="E4449" t="s">
        <v>169</v>
      </c>
      <c r="K4449">
        <v>0</v>
      </c>
    </row>
    <row r="4450" spans="5:11" x14ac:dyDescent="0.25">
      <c r="E4450" t="s">
        <v>169</v>
      </c>
      <c r="K4450">
        <v>0</v>
      </c>
    </row>
    <row r="4451" spans="5:11" x14ac:dyDescent="0.25">
      <c r="E4451" t="s">
        <v>169</v>
      </c>
      <c r="K4451">
        <v>0</v>
      </c>
    </row>
    <row r="4452" spans="5:11" x14ac:dyDescent="0.25">
      <c r="E4452" t="s">
        <v>169</v>
      </c>
      <c r="K4452">
        <v>0</v>
      </c>
    </row>
    <row r="4453" spans="5:11" x14ac:dyDescent="0.25">
      <c r="E4453" t="s">
        <v>169</v>
      </c>
      <c r="K4453">
        <v>0</v>
      </c>
    </row>
    <row r="4454" spans="5:11" x14ac:dyDescent="0.25">
      <c r="E4454" t="s">
        <v>169</v>
      </c>
      <c r="K4454">
        <v>0</v>
      </c>
    </row>
    <row r="4455" spans="5:11" x14ac:dyDescent="0.25">
      <c r="E4455" t="s">
        <v>169</v>
      </c>
      <c r="K4455">
        <v>0</v>
      </c>
    </row>
    <row r="4456" spans="5:11" x14ac:dyDescent="0.25">
      <c r="E4456" t="s">
        <v>169</v>
      </c>
      <c r="K4456">
        <v>0</v>
      </c>
    </row>
    <row r="4457" spans="5:11" x14ac:dyDescent="0.25">
      <c r="E4457" t="s">
        <v>169</v>
      </c>
      <c r="K4457">
        <v>0</v>
      </c>
    </row>
    <row r="4458" spans="5:11" x14ac:dyDescent="0.25">
      <c r="E4458" t="s">
        <v>169</v>
      </c>
      <c r="K4458">
        <v>0</v>
      </c>
    </row>
    <row r="4459" spans="5:11" x14ac:dyDescent="0.25">
      <c r="E4459" t="s">
        <v>169</v>
      </c>
      <c r="K4459">
        <v>0</v>
      </c>
    </row>
    <row r="4460" spans="5:11" x14ac:dyDescent="0.25">
      <c r="E4460" t="s">
        <v>169</v>
      </c>
      <c r="K4460">
        <v>0</v>
      </c>
    </row>
    <row r="4461" spans="5:11" x14ac:dyDescent="0.25">
      <c r="E4461" t="s">
        <v>169</v>
      </c>
      <c r="K4461">
        <v>0</v>
      </c>
    </row>
    <row r="4462" spans="5:11" x14ac:dyDescent="0.25">
      <c r="E4462" t="s">
        <v>169</v>
      </c>
      <c r="K4462">
        <v>0</v>
      </c>
    </row>
    <row r="4463" spans="5:11" x14ac:dyDescent="0.25">
      <c r="E4463" t="s">
        <v>169</v>
      </c>
      <c r="K4463">
        <v>0</v>
      </c>
    </row>
    <row r="4464" spans="5:11" x14ac:dyDescent="0.25">
      <c r="E4464" t="s">
        <v>169</v>
      </c>
      <c r="K4464">
        <v>0</v>
      </c>
    </row>
    <row r="4465" spans="5:11" x14ac:dyDescent="0.25">
      <c r="E4465" t="s">
        <v>169</v>
      </c>
      <c r="K4465">
        <v>0</v>
      </c>
    </row>
    <row r="4466" spans="5:11" x14ac:dyDescent="0.25">
      <c r="E4466" t="s">
        <v>169</v>
      </c>
      <c r="K4466">
        <v>0</v>
      </c>
    </row>
    <row r="4467" spans="5:11" x14ac:dyDescent="0.25">
      <c r="E4467" t="s">
        <v>169</v>
      </c>
      <c r="K4467">
        <v>0</v>
      </c>
    </row>
    <row r="4468" spans="5:11" x14ac:dyDescent="0.25">
      <c r="E4468" t="s">
        <v>169</v>
      </c>
      <c r="K4468">
        <v>0</v>
      </c>
    </row>
    <row r="4469" spans="5:11" x14ac:dyDescent="0.25">
      <c r="E4469" t="s">
        <v>169</v>
      </c>
      <c r="K4469">
        <v>0</v>
      </c>
    </row>
    <row r="4470" spans="5:11" x14ac:dyDescent="0.25">
      <c r="E4470" t="s">
        <v>169</v>
      </c>
      <c r="K4470">
        <v>0</v>
      </c>
    </row>
    <row r="4471" spans="5:11" x14ac:dyDescent="0.25">
      <c r="E4471" t="s">
        <v>169</v>
      </c>
      <c r="K4471">
        <v>0</v>
      </c>
    </row>
    <row r="4472" spans="5:11" x14ac:dyDescent="0.25">
      <c r="E4472" t="s">
        <v>169</v>
      </c>
      <c r="K4472">
        <v>0</v>
      </c>
    </row>
    <row r="4473" spans="5:11" x14ac:dyDescent="0.25">
      <c r="E4473" t="s">
        <v>169</v>
      </c>
      <c r="K4473">
        <v>0</v>
      </c>
    </row>
    <row r="4474" spans="5:11" x14ac:dyDescent="0.25">
      <c r="E4474" t="s">
        <v>169</v>
      </c>
      <c r="K4474">
        <v>0</v>
      </c>
    </row>
    <row r="4475" spans="5:11" x14ac:dyDescent="0.25">
      <c r="E4475" t="s">
        <v>169</v>
      </c>
      <c r="K4475">
        <v>0</v>
      </c>
    </row>
    <row r="4476" spans="5:11" x14ac:dyDescent="0.25">
      <c r="E4476" t="s">
        <v>169</v>
      </c>
      <c r="K4476">
        <v>0</v>
      </c>
    </row>
    <row r="4477" spans="5:11" x14ac:dyDescent="0.25">
      <c r="E4477" t="s">
        <v>169</v>
      </c>
      <c r="K4477">
        <v>0</v>
      </c>
    </row>
    <row r="4478" spans="5:11" x14ac:dyDescent="0.25">
      <c r="E4478" t="s">
        <v>169</v>
      </c>
      <c r="K4478">
        <v>0</v>
      </c>
    </row>
    <row r="4479" spans="5:11" x14ac:dyDescent="0.25">
      <c r="E4479" t="s">
        <v>169</v>
      </c>
      <c r="K4479">
        <v>0</v>
      </c>
    </row>
    <row r="4480" spans="5:11" x14ac:dyDescent="0.25">
      <c r="E4480" t="s">
        <v>169</v>
      </c>
      <c r="K4480">
        <v>0</v>
      </c>
    </row>
    <row r="4481" spans="5:11" x14ac:dyDescent="0.25">
      <c r="E4481" t="s">
        <v>169</v>
      </c>
      <c r="K4481">
        <v>0</v>
      </c>
    </row>
    <row r="4482" spans="5:11" x14ac:dyDescent="0.25">
      <c r="E4482" t="s">
        <v>169</v>
      </c>
      <c r="K4482">
        <v>0</v>
      </c>
    </row>
    <row r="4483" spans="5:11" x14ac:dyDescent="0.25">
      <c r="E4483" t="s">
        <v>169</v>
      </c>
      <c r="K4483">
        <v>0</v>
      </c>
    </row>
    <row r="4484" spans="5:11" x14ac:dyDescent="0.25">
      <c r="E4484" t="s">
        <v>169</v>
      </c>
      <c r="K4484">
        <v>0</v>
      </c>
    </row>
    <row r="4485" spans="5:11" x14ac:dyDescent="0.25">
      <c r="E4485" t="s">
        <v>169</v>
      </c>
      <c r="K4485">
        <v>0</v>
      </c>
    </row>
    <row r="4486" spans="5:11" x14ac:dyDescent="0.25">
      <c r="E4486" t="s">
        <v>169</v>
      </c>
      <c r="K4486">
        <v>0</v>
      </c>
    </row>
    <row r="4487" spans="5:11" x14ac:dyDescent="0.25">
      <c r="E4487" t="s">
        <v>169</v>
      </c>
      <c r="K4487">
        <v>0</v>
      </c>
    </row>
    <row r="4488" spans="5:11" x14ac:dyDescent="0.25">
      <c r="E4488" t="s">
        <v>169</v>
      </c>
      <c r="K4488">
        <v>0</v>
      </c>
    </row>
    <row r="4489" spans="5:11" x14ac:dyDescent="0.25">
      <c r="E4489" t="s">
        <v>169</v>
      </c>
      <c r="K4489">
        <v>0</v>
      </c>
    </row>
    <row r="4490" spans="5:11" x14ac:dyDescent="0.25">
      <c r="E4490" t="s">
        <v>169</v>
      </c>
      <c r="K4490">
        <v>0</v>
      </c>
    </row>
    <row r="4491" spans="5:11" x14ac:dyDescent="0.25">
      <c r="E4491" t="s">
        <v>169</v>
      </c>
      <c r="K4491">
        <v>0</v>
      </c>
    </row>
    <row r="4492" spans="5:11" x14ac:dyDescent="0.25">
      <c r="E4492" t="s">
        <v>169</v>
      </c>
      <c r="K4492">
        <v>0</v>
      </c>
    </row>
    <row r="4493" spans="5:11" x14ac:dyDescent="0.25">
      <c r="E4493" t="s">
        <v>169</v>
      </c>
      <c r="K4493">
        <v>0</v>
      </c>
    </row>
    <row r="4494" spans="5:11" x14ac:dyDescent="0.25">
      <c r="E4494" t="s">
        <v>169</v>
      </c>
      <c r="K4494">
        <v>0</v>
      </c>
    </row>
    <row r="4495" spans="5:11" x14ac:dyDescent="0.25">
      <c r="E4495" t="s">
        <v>169</v>
      </c>
      <c r="K4495">
        <v>0</v>
      </c>
    </row>
    <row r="4496" spans="5:11" x14ac:dyDescent="0.25">
      <c r="E4496" t="s">
        <v>169</v>
      </c>
      <c r="K4496">
        <v>0</v>
      </c>
    </row>
    <row r="4497" spans="5:11" x14ac:dyDescent="0.25">
      <c r="E4497" t="s">
        <v>169</v>
      </c>
      <c r="K4497">
        <v>0</v>
      </c>
    </row>
    <row r="4498" spans="5:11" x14ac:dyDescent="0.25">
      <c r="E4498" t="s">
        <v>169</v>
      </c>
      <c r="K4498">
        <v>0</v>
      </c>
    </row>
    <row r="4499" spans="5:11" x14ac:dyDescent="0.25">
      <c r="E4499" t="s">
        <v>169</v>
      </c>
      <c r="K4499">
        <v>0</v>
      </c>
    </row>
    <row r="4500" spans="5:11" x14ac:dyDescent="0.25">
      <c r="E4500" t="s">
        <v>169</v>
      </c>
      <c r="K4500">
        <v>0</v>
      </c>
    </row>
    <row r="4501" spans="5:11" x14ac:dyDescent="0.25">
      <c r="E4501" t="s">
        <v>169</v>
      </c>
      <c r="K4501">
        <v>0</v>
      </c>
    </row>
    <row r="4502" spans="5:11" x14ac:dyDescent="0.25">
      <c r="E4502" t="s">
        <v>169</v>
      </c>
      <c r="K4502">
        <v>0</v>
      </c>
    </row>
    <row r="4503" spans="5:11" x14ac:dyDescent="0.25">
      <c r="E4503" t="s">
        <v>169</v>
      </c>
      <c r="K4503">
        <v>0</v>
      </c>
    </row>
    <row r="4504" spans="5:11" x14ac:dyDescent="0.25">
      <c r="E4504" t="s">
        <v>169</v>
      </c>
      <c r="K4504">
        <v>0</v>
      </c>
    </row>
    <row r="4505" spans="5:11" x14ac:dyDescent="0.25">
      <c r="E4505" t="s">
        <v>169</v>
      </c>
      <c r="K4505">
        <v>0</v>
      </c>
    </row>
    <row r="4506" spans="5:11" x14ac:dyDescent="0.25">
      <c r="E4506" t="s">
        <v>169</v>
      </c>
      <c r="K4506">
        <v>0</v>
      </c>
    </row>
    <row r="4507" spans="5:11" x14ac:dyDescent="0.25">
      <c r="E4507" t="s">
        <v>169</v>
      </c>
      <c r="K4507">
        <v>0</v>
      </c>
    </row>
    <row r="4508" spans="5:11" x14ac:dyDescent="0.25">
      <c r="E4508" t="s">
        <v>169</v>
      </c>
      <c r="K4508">
        <v>0</v>
      </c>
    </row>
    <row r="4509" spans="5:11" x14ac:dyDescent="0.25">
      <c r="E4509" t="s">
        <v>169</v>
      </c>
      <c r="K4509">
        <v>0</v>
      </c>
    </row>
    <row r="4510" spans="5:11" x14ac:dyDescent="0.25">
      <c r="E4510" t="s">
        <v>169</v>
      </c>
      <c r="K4510">
        <v>0</v>
      </c>
    </row>
    <row r="4511" spans="5:11" x14ac:dyDescent="0.25">
      <c r="E4511" t="s">
        <v>169</v>
      </c>
      <c r="K4511">
        <v>0</v>
      </c>
    </row>
    <row r="4512" spans="5:11" x14ac:dyDescent="0.25">
      <c r="E4512" t="s">
        <v>169</v>
      </c>
      <c r="K4512">
        <v>0</v>
      </c>
    </row>
    <row r="4513" spans="5:11" x14ac:dyDescent="0.25">
      <c r="E4513" t="s">
        <v>169</v>
      </c>
      <c r="K4513">
        <v>0</v>
      </c>
    </row>
    <row r="4514" spans="5:11" x14ac:dyDescent="0.25">
      <c r="E4514" t="s">
        <v>169</v>
      </c>
      <c r="K4514">
        <v>0</v>
      </c>
    </row>
    <row r="4515" spans="5:11" x14ac:dyDescent="0.25">
      <c r="E4515" t="s">
        <v>169</v>
      </c>
      <c r="K4515">
        <v>0</v>
      </c>
    </row>
    <row r="4516" spans="5:11" x14ac:dyDescent="0.25">
      <c r="E4516" t="s">
        <v>169</v>
      </c>
      <c r="K4516">
        <v>0</v>
      </c>
    </row>
    <row r="4517" spans="5:11" x14ac:dyDescent="0.25">
      <c r="E4517" t="s">
        <v>169</v>
      </c>
      <c r="K4517">
        <v>0</v>
      </c>
    </row>
    <row r="4518" spans="5:11" x14ac:dyDescent="0.25">
      <c r="E4518" t="s">
        <v>169</v>
      </c>
      <c r="K4518">
        <v>0</v>
      </c>
    </row>
    <row r="4519" spans="5:11" x14ac:dyDescent="0.25">
      <c r="E4519" t="s">
        <v>169</v>
      </c>
      <c r="K4519">
        <v>0</v>
      </c>
    </row>
    <row r="4520" spans="5:11" x14ac:dyDescent="0.25">
      <c r="E4520" t="s">
        <v>169</v>
      </c>
      <c r="K4520">
        <v>0</v>
      </c>
    </row>
    <row r="4521" spans="5:11" x14ac:dyDescent="0.25">
      <c r="E4521" t="s">
        <v>169</v>
      </c>
      <c r="K4521">
        <v>0</v>
      </c>
    </row>
    <row r="4522" spans="5:11" x14ac:dyDescent="0.25">
      <c r="E4522" t="s">
        <v>169</v>
      </c>
      <c r="K4522">
        <v>0</v>
      </c>
    </row>
    <row r="4523" spans="5:11" x14ac:dyDescent="0.25">
      <c r="E4523" t="s">
        <v>169</v>
      </c>
      <c r="K4523">
        <v>0</v>
      </c>
    </row>
    <row r="4524" spans="5:11" x14ac:dyDescent="0.25">
      <c r="E4524" t="s">
        <v>169</v>
      </c>
      <c r="K4524">
        <v>0</v>
      </c>
    </row>
    <row r="4525" spans="5:11" x14ac:dyDescent="0.25">
      <c r="E4525" t="s">
        <v>169</v>
      </c>
      <c r="K4525">
        <v>0</v>
      </c>
    </row>
    <row r="4526" spans="5:11" x14ac:dyDescent="0.25">
      <c r="E4526" t="s">
        <v>169</v>
      </c>
      <c r="K4526">
        <v>0</v>
      </c>
    </row>
    <row r="4527" spans="5:11" x14ac:dyDescent="0.25">
      <c r="E4527" t="s">
        <v>169</v>
      </c>
      <c r="K4527">
        <v>0</v>
      </c>
    </row>
    <row r="4528" spans="5:11" x14ac:dyDescent="0.25">
      <c r="E4528" t="s">
        <v>169</v>
      </c>
      <c r="K4528">
        <v>0</v>
      </c>
    </row>
    <row r="4529" spans="5:11" x14ac:dyDescent="0.25">
      <c r="E4529" t="s">
        <v>169</v>
      </c>
      <c r="K4529">
        <v>0</v>
      </c>
    </row>
    <row r="4530" spans="5:11" x14ac:dyDescent="0.25">
      <c r="E4530" t="s">
        <v>169</v>
      </c>
      <c r="K4530">
        <v>0</v>
      </c>
    </row>
    <row r="4531" spans="5:11" x14ac:dyDescent="0.25">
      <c r="E4531" t="s">
        <v>169</v>
      </c>
      <c r="K4531">
        <v>0</v>
      </c>
    </row>
    <row r="4532" spans="5:11" x14ac:dyDescent="0.25">
      <c r="E4532" t="s">
        <v>169</v>
      </c>
      <c r="K4532">
        <v>0</v>
      </c>
    </row>
    <row r="4533" spans="5:11" x14ac:dyDescent="0.25">
      <c r="E4533" t="s">
        <v>169</v>
      </c>
      <c r="K4533">
        <v>0</v>
      </c>
    </row>
    <row r="4534" spans="5:11" x14ac:dyDescent="0.25">
      <c r="E4534" t="s">
        <v>169</v>
      </c>
      <c r="K4534">
        <v>0</v>
      </c>
    </row>
    <row r="4535" spans="5:11" x14ac:dyDescent="0.25">
      <c r="E4535" t="s">
        <v>169</v>
      </c>
      <c r="K4535">
        <v>0</v>
      </c>
    </row>
    <row r="4536" spans="5:11" x14ac:dyDescent="0.25">
      <c r="E4536" t="s">
        <v>169</v>
      </c>
      <c r="K4536">
        <v>0</v>
      </c>
    </row>
    <row r="4537" spans="5:11" x14ac:dyDescent="0.25">
      <c r="E4537" t="s">
        <v>169</v>
      </c>
      <c r="K4537">
        <v>0</v>
      </c>
    </row>
    <row r="4538" spans="5:11" x14ac:dyDescent="0.25">
      <c r="E4538" t="s">
        <v>169</v>
      </c>
      <c r="K4538">
        <v>0</v>
      </c>
    </row>
    <row r="4539" spans="5:11" x14ac:dyDescent="0.25">
      <c r="E4539" t="s">
        <v>169</v>
      </c>
      <c r="K4539">
        <v>0</v>
      </c>
    </row>
    <row r="4540" spans="5:11" x14ac:dyDescent="0.25">
      <c r="E4540" t="s">
        <v>169</v>
      </c>
      <c r="K4540">
        <v>0</v>
      </c>
    </row>
    <row r="4541" spans="5:11" x14ac:dyDescent="0.25">
      <c r="E4541" t="s">
        <v>169</v>
      </c>
      <c r="K4541">
        <v>0</v>
      </c>
    </row>
    <row r="4542" spans="5:11" x14ac:dyDescent="0.25">
      <c r="E4542" t="s">
        <v>169</v>
      </c>
      <c r="K4542">
        <v>0</v>
      </c>
    </row>
    <row r="4543" spans="5:11" x14ac:dyDescent="0.25">
      <c r="E4543" t="s">
        <v>169</v>
      </c>
      <c r="K4543">
        <v>0</v>
      </c>
    </row>
    <row r="4544" spans="5:11" x14ac:dyDescent="0.25">
      <c r="E4544" t="s">
        <v>169</v>
      </c>
      <c r="K4544">
        <v>0</v>
      </c>
    </row>
    <row r="4545" spans="5:11" x14ac:dyDescent="0.25">
      <c r="E4545" t="s">
        <v>169</v>
      </c>
      <c r="K4545">
        <v>0</v>
      </c>
    </row>
    <row r="4546" spans="5:11" x14ac:dyDescent="0.25">
      <c r="E4546" t="s">
        <v>169</v>
      </c>
      <c r="K4546">
        <v>0</v>
      </c>
    </row>
    <row r="4547" spans="5:11" x14ac:dyDescent="0.25">
      <c r="E4547" t="s">
        <v>169</v>
      </c>
      <c r="K4547">
        <v>0</v>
      </c>
    </row>
    <row r="4548" spans="5:11" x14ac:dyDescent="0.25">
      <c r="E4548" t="s">
        <v>169</v>
      </c>
      <c r="K4548">
        <v>0</v>
      </c>
    </row>
    <row r="4549" spans="5:11" x14ac:dyDescent="0.25">
      <c r="E4549" t="s">
        <v>169</v>
      </c>
      <c r="K4549">
        <v>0</v>
      </c>
    </row>
    <row r="4550" spans="5:11" x14ac:dyDescent="0.25">
      <c r="E4550" t="s">
        <v>169</v>
      </c>
      <c r="K4550">
        <v>0</v>
      </c>
    </row>
    <row r="4551" spans="5:11" x14ac:dyDescent="0.25">
      <c r="E4551" t="s">
        <v>169</v>
      </c>
      <c r="K4551">
        <v>0</v>
      </c>
    </row>
    <row r="4552" spans="5:11" x14ac:dyDescent="0.25">
      <c r="E4552" t="s">
        <v>169</v>
      </c>
      <c r="K4552">
        <v>0</v>
      </c>
    </row>
    <row r="4553" spans="5:11" x14ac:dyDescent="0.25">
      <c r="E4553" t="s">
        <v>169</v>
      </c>
      <c r="K4553">
        <v>0</v>
      </c>
    </row>
    <row r="4554" spans="5:11" x14ac:dyDescent="0.25">
      <c r="E4554" t="s">
        <v>169</v>
      </c>
      <c r="K4554">
        <v>0</v>
      </c>
    </row>
    <row r="4555" spans="5:11" x14ac:dyDescent="0.25">
      <c r="E4555" t="s">
        <v>169</v>
      </c>
      <c r="K4555">
        <v>0</v>
      </c>
    </row>
    <row r="4556" spans="5:11" x14ac:dyDescent="0.25">
      <c r="E4556" t="s">
        <v>169</v>
      </c>
      <c r="K4556">
        <v>0</v>
      </c>
    </row>
    <row r="4557" spans="5:11" x14ac:dyDescent="0.25">
      <c r="E4557" t="s">
        <v>169</v>
      </c>
      <c r="K4557">
        <v>0</v>
      </c>
    </row>
    <row r="4558" spans="5:11" x14ac:dyDescent="0.25">
      <c r="E4558" t="s">
        <v>169</v>
      </c>
      <c r="K4558">
        <v>0</v>
      </c>
    </row>
    <row r="4559" spans="5:11" x14ac:dyDescent="0.25">
      <c r="E4559" t="s">
        <v>169</v>
      </c>
      <c r="K4559">
        <v>0</v>
      </c>
    </row>
    <row r="4560" spans="5:11" x14ac:dyDescent="0.25">
      <c r="E4560" t="s">
        <v>169</v>
      </c>
      <c r="K4560">
        <v>0</v>
      </c>
    </row>
    <row r="4561" spans="5:11" x14ac:dyDescent="0.25">
      <c r="E4561" t="s">
        <v>169</v>
      </c>
      <c r="K4561">
        <v>0</v>
      </c>
    </row>
    <row r="4562" spans="5:11" x14ac:dyDescent="0.25">
      <c r="E4562" t="s">
        <v>169</v>
      </c>
      <c r="K4562">
        <v>0</v>
      </c>
    </row>
    <row r="4563" spans="5:11" x14ac:dyDescent="0.25">
      <c r="E4563" t="s">
        <v>169</v>
      </c>
      <c r="K4563">
        <v>0</v>
      </c>
    </row>
    <row r="4564" spans="5:11" x14ac:dyDescent="0.25">
      <c r="E4564" t="s">
        <v>169</v>
      </c>
      <c r="K4564">
        <v>0</v>
      </c>
    </row>
    <row r="4565" spans="5:11" x14ac:dyDescent="0.25">
      <c r="E4565" t="s">
        <v>169</v>
      </c>
      <c r="K4565">
        <v>0</v>
      </c>
    </row>
    <row r="4566" spans="5:11" x14ac:dyDescent="0.25">
      <c r="E4566" t="s">
        <v>169</v>
      </c>
      <c r="K4566">
        <v>0</v>
      </c>
    </row>
    <row r="4567" spans="5:11" x14ac:dyDescent="0.25">
      <c r="E4567" t="s">
        <v>169</v>
      </c>
      <c r="K4567">
        <v>0</v>
      </c>
    </row>
    <row r="4568" spans="5:11" x14ac:dyDescent="0.25">
      <c r="E4568" t="s">
        <v>169</v>
      </c>
      <c r="K4568">
        <v>0</v>
      </c>
    </row>
    <row r="4569" spans="5:11" x14ac:dyDescent="0.25">
      <c r="E4569" t="s">
        <v>169</v>
      </c>
      <c r="K4569">
        <v>0</v>
      </c>
    </row>
    <row r="4570" spans="5:11" x14ac:dyDescent="0.25">
      <c r="E4570" t="s">
        <v>169</v>
      </c>
      <c r="K4570">
        <v>0</v>
      </c>
    </row>
    <row r="4571" spans="5:11" x14ac:dyDescent="0.25">
      <c r="E4571" t="s">
        <v>169</v>
      </c>
      <c r="K4571">
        <v>0</v>
      </c>
    </row>
    <row r="4572" spans="5:11" x14ac:dyDescent="0.25">
      <c r="E4572" t="s">
        <v>169</v>
      </c>
      <c r="K4572">
        <v>0</v>
      </c>
    </row>
    <row r="4573" spans="5:11" x14ac:dyDescent="0.25">
      <c r="E4573" t="s">
        <v>169</v>
      </c>
      <c r="K4573">
        <v>0</v>
      </c>
    </row>
    <row r="4574" spans="5:11" x14ac:dyDescent="0.25">
      <c r="E4574" t="s">
        <v>169</v>
      </c>
      <c r="K4574">
        <v>0</v>
      </c>
    </row>
    <row r="4575" spans="5:11" x14ac:dyDescent="0.25">
      <c r="E4575" t="s">
        <v>169</v>
      </c>
      <c r="K4575">
        <v>0</v>
      </c>
    </row>
    <row r="4576" spans="5:11" x14ac:dyDescent="0.25">
      <c r="E4576" t="s">
        <v>169</v>
      </c>
      <c r="K4576">
        <v>0</v>
      </c>
    </row>
    <row r="4577" spans="5:11" x14ac:dyDescent="0.25">
      <c r="E4577" t="s">
        <v>169</v>
      </c>
      <c r="K4577">
        <v>0</v>
      </c>
    </row>
    <row r="4578" spans="5:11" x14ac:dyDescent="0.25">
      <c r="E4578" t="s">
        <v>169</v>
      </c>
      <c r="K4578">
        <v>0</v>
      </c>
    </row>
    <row r="4579" spans="5:11" x14ac:dyDescent="0.25">
      <c r="E4579" t="s">
        <v>169</v>
      </c>
      <c r="K4579">
        <v>0</v>
      </c>
    </row>
    <row r="4580" spans="5:11" x14ac:dyDescent="0.25">
      <c r="E4580" t="s">
        <v>169</v>
      </c>
      <c r="K4580">
        <v>0</v>
      </c>
    </row>
    <row r="4581" spans="5:11" x14ac:dyDescent="0.25">
      <c r="E4581" t="s">
        <v>169</v>
      </c>
      <c r="K4581">
        <v>0</v>
      </c>
    </row>
    <row r="4582" spans="5:11" x14ac:dyDescent="0.25">
      <c r="E4582" t="s">
        <v>169</v>
      </c>
      <c r="K4582">
        <v>0</v>
      </c>
    </row>
    <row r="4583" spans="5:11" x14ac:dyDescent="0.25">
      <c r="E4583" t="s">
        <v>169</v>
      </c>
      <c r="K4583">
        <v>0</v>
      </c>
    </row>
    <row r="4584" spans="5:11" x14ac:dyDescent="0.25">
      <c r="E4584" t="s">
        <v>169</v>
      </c>
      <c r="K4584">
        <v>0</v>
      </c>
    </row>
    <row r="4585" spans="5:11" x14ac:dyDescent="0.25">
      <c r="E4585" t="s">
        <v>169</v>
      </c>
      <c r="K4585">
        <v>0</v>
      </c>
    </row>
    <row r="4586" spans="5:11" x14ac:dyDescent="0.25">
      <c r="E4586" t="s">
        <v>169</v>
      </c>
      <c r="K4586">
        <v>0</v>
      </c>
    </row>
    <row r="4587" spans="5:11" x14ac:dyDescent="0.25">
      <c r="E4587" t="s">
        <v>169</v>
      </c>
      <c r="K4587">
        <v>0</v>
      </c>
    </row>
    <row r="4588" spans="5:11" x14ac:dyDescent="0.25">
      <c r="E4588" t="s">
        <v>169</v>
      </c>
      <c r="K4588">
        <v>0</v>
      </c>
    </row>
    <row r="4589" spans="5:11" x14ac:dyDescent="0.25">
      <c r="E4589" t="s">
        <v>169</v>
      </c>
      <c r="K4589">
        <v>0</v>
      </c>
    </row>
    <row r="4590" spans="5:11" x14ac:dyDescent="0.25">
      <c r="E4590" t="s">
        <v>169</v>
      </c>
      <c r="K4590">
        <v>0</v>
      </c>
    </row>
    <row r="4591" spans="5:11" x14ac:dyDescent="0.25">
      <c r="E4591" t="s">
        <v>169</v>
      </c>
      <c r="K4591">
        <v>0</v>
      </c>
    </row>
    <row r="4592" spans="5:11" x14ac:dyDescent="0.25">
      <c r="E4592" t="s">
        <v>169</v>
      </c>
      <c r="K4592">
        <v>0</v>
      </c>
    </row>
    <row r="4593" spans="5:11" x14ac:dyDescent="0.25">
      <c r="E4593" t="s">
        <v>169</v>
      </c>
      <c r="K4593">
        <v>0</v>
      </c>
    </row>
    <row r="4594" spans="5:11" x14ac:dyDescent="0.25">
      <c r="E4594" t="s">
        <v>169</v>
      </c>
      <c r="K4594">
        <v>0</v>
      </c>
    </row>
    <row r="4595" spans="5:11" x14ac:dyDescent="0.25">
      <c r="E4595" t="s">
        <v>169</v>
      </c>
      <c r="K4595">
        <v>0</v>
      </c>
    </row>
    <row r="4596" spans="5:11" x14ac:dyDescent="0.25">
      <c r="E4596" t="s">
        <v>169</v>
      </c>
      <c r="K4596">
        <v>0</v>
      </c>
    </row>
    <row r="4597" spans="5:11" x14ac:dyDescent="0.25">
      <c r="E4597" t="s">
        <v>169</v>
      </c>
      <c r="K4597">
        <v>0</v>
      </c>
    </row>
    <row r="4598" spans="5:11" x14ac:dyDescent="0.25">
      <c r="E4598" t="s">
        <v>169</v>
      </c>
      <c r="K4598">
        <v>0</v>
      </c>
    </row>
    <row r="4599" spans="5:11" x14ac:dyDescent="0.25">
      <c r="E4599" t="s">
        <v>169</v>
      </c>
      <c r="K4599">
        <v>0</v>
      </c>
    </row>
    <row r="4600" spans="5:11" x14ac:dyDescent="0.25">
      <c r="E4600" t="s">
        <v>169</v>
      </c>
      <c r="K4600">
        <v>0</v>
      </c>
    </row>
    <row r="4601" spans="5:11" x14ac:dyDescent="0.25">
      <c r="E4601" t="s">
        <v>169</v>
      </c>
      <c r="K4601">
        <v>0</v>
      </c>
    </row>
    <row r="4602" spans="5:11" x14ac:dyDescent="0.25">
      <c r="E4602" t="s">
        <v>169</v>
      </c>
      <c r="K4602">
        <v>0</v>
      </c>
    </row>
    <row r="4603" spans="5:11" x14ac:dyDescent="0.25">
      <c r="E4603" t="s">
        <v>169</v>
      </c>
      <c r="K4603">
        <v>0</v>
      </c>
    </row>
    <row r="4604" spans="5:11" x14ac:dyDescent="0.25">
      <c r="E4604" t="s">
        <v>169</v>
      </c>
      <c r="K4604">
        <v>0</v>
      </c>
    </row>
    <row r="4605" spans="5:11" x14ac:dyDescent="0.25">
      <c r="E4605" t="s">
        <v>169</v>
      </c>
      <c r="K4605">
        <v>0</v>
      </c>
    </row>
    <row r="4606" spans="5:11" x14ac:dyDescent="0.25">
      <c r="E4606" t="s">
        <v>169</v>
      </c>
      <c r="K4606">
        <v>0</v>
      </c>
    </row>
    <row r="4607" spans="5:11" x14ac:dyDescent="0.25">
      <c r="E4607" t="s">
        <v>169</v>
      </c>
      <c r="K4607">
        <v>0</v>
      </c>
    </row>
    <row r="4608" spans="5:11" x14ac:dyDescent="0.25">
      <c r="E4608" t="s">
        <v>169</v>
      </c>
      <c r="K4608">
        <v>0</v>
      </c>
    </row>
    <row r="4609" spans="5:11" x14ac:dyDescent="0.25">
      <c r="E4609" t="s">
        <v>169</v>
      </c>
      <c r="K4609">
        <v>0</v>
      </c>
    </row>
    <row r="4610" spans="5:11" x14ac:dyDescent="0.25">
      <c r="E4610" t="s">
        <v>169</v>
      </c>
      <c r="K4610">
        <v>0</v>
      </c>
    </row>
    <row r="4611" spans="5:11" x14ac:dyDescent="0.25">
      <c r="E4611" t="s">
        <v>169</v>
      </c>
      <c r="K4611">
        <v>0</v>
      </c>
    </row>
    <row r="4612" spans="5:11" x14ac:dyDescent="0.25">
      <c r="E4612" t="s">
        <v>169</v>
      </c>
      <c r="K4612">
        <v>0</v>
      </c>
    </row>
    <row r="4613" spans="5:11" x14ac:dyDescent="0.25">
      <c r="E4613" t="s">
        <v>169</v>
      </c>
      <c r="K4613">
        <v>0</v>
      </c>
    </row>
    <row r="4614" spans="5:11" x14ac:dyDescent="0.25">
      <c r="E4614" t="s">
        <v>169</v>
      </c>
      <c r="K4614">
        <v>0</v>
      </c>
    </row>
    <row r="4615" spans="5:11" x14ac:dyDescent="0.25">
      <c r="E4615" t="s">
        <v>169</v>
      </c>
      <c r="K4615">
        <v>0</v>
      </c>
    </row>
    <row r="4616" spans="5:11" x14ac:dyDescent="0.25">
      <c r="E4616" t="s">
        <v>169</v>
      </c>
      <c r="K4616">
        <v>0</v>
      </c>
    </row>
    <row r="4617" spans="5:11" x14ac:dyDescent="0.25">
      <c r="E4617" t="s">
        <v>169</v>
      </c>
      <c r="K4617">
        <v>0</v>
      </c>
    </row>
    <row r="4618" spans="5:11" x14ac:dyDescent="0.25">
      <c r="E4618" t="s">
        <v>169</v>
      </c>
      <c r="K4618">
        <v>0</v>
      </c>
    </row>
    <row r="4619" spans="5:11" x14ac:dyDescent="0.25">
      <c r="E4619" t="s">
        <v>169</v>
      </c>
      <c r="K4619">
        <v>0</v>
      </c>
    </row>
    <row r="4620" spans="5:11" x14ac:dyDescent="0.25">
      <c r="E4620" t="s">
        <v>169</v>
      </c>
      <c r="K4620">
        <v>0</v>
      </c>
    </row>
    <row r="4621" spans="5:11" x14ac:dyDescent="0.25">
      <c r="E4621" t="s">
        <v>169</v>
      </c>
      <c r="K4621">
        <v>0</v>
      </c>
    </row>
    <row r="4622" spans="5:11" x14ac:dyDescent="0.25">
      <c r="E4622" t="s">
        <v>169</v>
      </c>
      <c r="K4622">
        <v>0</v>
      </c>
    </row>
    <row r="4623" spans="5:11" x14ac:dyDescent="0.25">
      <c r="E4623" t="s">
        <v>169</v>
      </c>
      <c r="K4623">
        <v>0</v>
      </c>
    </row>
    <row r="4624" spans="5:11" x14ac:dyDescent="0.25">
      <c r="E4624" t="s">
        <v>169</v>
      </c>
      <c r="K4624">
        <v>0</v>
      </c>
    </row>
    <row r="4625" spans="5:11" x14ac:dyDescent="0.25">
      <c r="E4625" t="s">
        <v>169</v>
      </c>
      <c r="K4625">
        <v>0</v>
      </c>
    </row>
    <row r="4626" spans="5:11" x14ac:dyDescent="0.25">
      <c r="E4626" t="s">
        <v>169</v>
      </c>
      <c r="K4626">
        <v>0</v>
      </c>
    </row>
    <row r="4627" spans="5:11" x14ac:dyDescent="0.25">
      <c r="E4627" t="s">
        <v>169</v>
      </c>
      <c r="K4627">
        <v>0</v>
      </c>
    </row>
    <row r="4628" spans="5:11" x14ac:dyDescent="0.25">
      <c r="E4628" t="s">
        <v>169</v>
      </c>
      <c r="K4628">
        <v>0</v>
      </c>
    </row>
    <row r="4629" spans="5:11" x14ac:dyDescent="0.25">
      <c r="E4629" t="s">
        <v>169</v>
      </c>
      <c r="K4629">
        <v>0</v>
      </c>
    </row>
    <row r="4630" spans="5:11" x14ac:dyDescent="0.25">
      <c r="E4630" t="s">
        <v>169</v>
      </c>
      <c r="K4630">
        <v>0</v>
      </c>
    </row>
    <row r="4631" spans="5:11" x14ac:dyDescent="0.25">
      <c r="E4631" t="s">
        <v>169</v>
      </c>
      <c r="K4631">
        <v>0</v>
      </c>
    </row>
    <row r="4632" spans="5:11" x14ac:dyDescent="0.25">
      <c r="E4632" t="s">
        <v>169</v>
      </c>
      <c r="K4632">
        <v>0</v>
      </c>
    </row>
    <row r="4633" spans="5:11" x14ac:dyDescent="0.25">
      <c r="E4633" t="s">
        <v>169</v>
      </c>
      <c r="K4633">
        <v>0</v>
      </c>
    </row>
    <row r="4634" spans="5:11" x14ac:dyDescent="0.25">
      <c r="E4634" t="s">
        <v>169</v>
      </c>
      <c r="K4634">
        <v>0</v>
      </c>
    </row>
    <row r="4635" spans="5:11" x14ac:dyDescent="0.25">
      <c r="E4635" t="s">
        <v>169</v>
      </c>
      <c r="K4635">
        <v>0</v>
      </c>
    </row>
    <row r="4636" spans="5:11" x14ac:dyDescent="0.25">
      <c r="E4636" t="s">
        <v>169</v>
      </c>
      <c r="K4636">
        <v>0</v>
      </c>
    </row>
    <row r="4637" spans="5:11" x14ac:dyDescent="0.25">
      <c r="E4637" t="s">
        <v>169</v>
      </c>
      <c r="K4637">
        <v>0</v>
      </c>
    </row>
    <row r="4638" spans="5:11" x14ac:dyDescent="0.25">
      <c r="E4638" t="s">
        <v>169</v>
      </c>
      <c r="K4638">
        <v>0</v>
      </c>
    </row>
    <row r="4639" spans="5:11" x14ac:dyDescent="0.25">
      <c r="E4639" t="s">
        <v>169</v>
      </c>
      <c r="K4639">
        <v>0</v>
      </c>
    </row>
    <row r="4640" spans="5:11" x14ac:dyDescent="0.25">
      <c r="E4640" t="s">
        <v>169</v>
      </c>
      <c r="K4640">
        <v>0</v>
      </c>
    </row>
    <row r="4641" spans="5:11" x14ac:dyDescent="0.25">
      <c r="E4641" t="s">
        <v>169</v>
      </c>
      <c r="K4641">
        <v>0</v>
      </c>
    </row>
    <row r="4642" spans="5:11" x14ac:dyDescent="0.25">
      <c r="E4642" t="s">
        <v>169</v>
      </c>
      <c r="K4642">
        <v>0</v>
      </c>
    </row>
    <row r="4643" spans="5:11" x14ac:dyDescent="0.25">
      <c r="E4643" t="s">
        <v>169</v>
      </c>
      <c r="K4643">
        <v>0</v>
      </c>
    </row>
    <row r="4644" spans="5:11" x14ac:dyDescent="0.25">
      <c r="E4644" t="s">
        <v>169</v>
      </c>
      <c r="K4644">
        <v>0</v>
      </c>
    </row>
    <row r="4645" spans="5:11" x14ac:dyDescent="0.25">
      <c r="E4645" t="s">
        <v>169</v>
      </c>
      <c r="K4645">
        <v>0</v>
      </c>
    </row>
    <row r="4646" spans="5:11" x14ac:dyDescent="0.25">
      <c r="E4646" t="s">
        <v>169</v>
      </c>
      <c r="K4646">
        <v>0</v>
      </c>
    </row>
    <row r="4647" spans="5:11" x14ac:dyDescent="0.25">
      <c r="E4647" t="s">
        <v>169</v>
      </c>
      <c r="K4647">
        <v>0</v>
      </c>
    </row>
    <row r="4648" spans="5:11" x14ac:dyDescent="0.25">
      <c r="E4648" t="s">
        <v>169</v>
      </c>
      <c r="K4648">
        <v>0</v>
      </c>
    </row>
    <row r="4649" spans="5:11" x14ac:dyDescent="0.25">
      <c r="E4649" t="s">
        <v>169</v>
      </c>
      <c r="K4649">
        <v>0</v>
      </c>
    </row>
    <row r="4650" spans="5:11" x14ac:dyDescent="0.25">
      <c r="E4650" t="s">
        <v>169</v>
      </c>
      <c r="K4650">
        <v>0</v>
      </c>
    </row>
    <row r="4651" spans="5:11" x14ac:dyDescent="0.25">
      <c r="E4651" t="s">
        <v>169</v>
      </c>
      <c r="K4651">
        <v>0</v>
      </c>
    </row>
    <row r="4652" spans="5:11" x14ac:dyDescent="0.25">
      <c r="E4652" t="s">
        <v>169</v>
      </c>
      <c r="K4652">
        <v>0</v>
      </c>
    </row>
    <row r="4653" spans="5:11" x14ac:dyDescent="0.25">
      <c r="E4653" t="s">
        <v>169</v>
      </c>
      <c r="K4653">
        <v>0</v>
      </c>
    </row>
    <row r="4654" spans="5:11" x14ac:dyDescent="0.25">
      <c r="E4654" t="s">
        <v>169</v>
      </c>
      <c r="K4654">
        <v>0</v>
      </c>
    </row>
    <row r="4655" spans="5:11" x14ac:dyDescent="0.25">
      <c r="E4655" t="s">
        <v>169</v>
      </c>
      <c r="K4655">
        <v>0</v>
      </c>
    </row>
    <row r="4656" spans="5:11" x14ac:dyDescent="0.25">
      <c r="E4656" t="s">
        <v>169</v>
      </c>
      <c r="K4656">
        <v>0</v>
      </c>
    </row>
    <row r="4657" spans="5:11" x14ac:dyDescent="0.25">
      <c r="E4657" t="s">
        <v>169</v>
      </c>
      <c r="K4657">
        <v>0</v>
      </c>
    </row>
    <row r="4658" spans="5:11" x14ac:dyDescent="0.25">
      <c r="E4658" t="s">
        <v>169</v>
      </c>
      <c r="K4658">
        <v>0</v>
      </c>
    </row>
    <row r="4659" spans="5:11" x14ac:dyDescent="0.25">
      <c r="E4659" t="s">
        <v>169</v>
      </c>
      <c r="K4659">
        <v>0</v>
      </c>
    </row>
    <row r="4660" spans="5:11" x14ac:dyDescent="0.25">
      <c r="E4660" t="s">
        <v>169</v>
      </c>
      <c r="K4660">
        <v>0</v>
      </c>
    </row>
    <row r="4661" spans="5:11" x14ac:dyDescent="0.25">
      <c r="E4661" t="s">
        <v>169</v>
      </c>
      <c r="K4661">
        <v>0</v>
      </c>
    </row>
    <row r="4662" spans="5:11" x14ac:dyDescent="0.25">
      <c r="E4662" t="s">
        <v>169</v>
      </c>
      <c r="K4662">
        <v>0</v>
      </c>
    </row>
    <row r="4663" spans="5:11" x14ac:dyDescent="0.25">
      <c r="E4663" t="s">
        <v>169</v>
      </c>
      <c r="K4663">
        <v>0</v>
      </c>
    </row>
    <row r="4664" spans="5:11" x14ac:dyDescent="0.25">
      <c r="E4664" t="s">
        <v>169</v>
      </c>
      <c r="K4664">
        <v>0</v>
      </c>
    </row>
    <row r="4665" spans="5:11" x14ac:dyDescent="0.25">
      <c r="E4665" t="s">
        <v>169</v>
      </c>
      <c r="K4665">
        <v>0</v>
      </c>
    </row>
    <row r="4666" spans="5:11" x14ac:dyDescent="0.25">
      <c r="E4666" t="s">
        <v>169</v>
      </c>
      <c r="K4666">
        <v>0</v>
      </c>
    </row>
    <row r="4667" spans="5:11" x14ac:dyDescent="0.25">
      <c r="E4667" t="s">
        <v>169</v>
      </c>
      <c r="K4667">
        <v>0</v>
      </c>
    </row>
    <row r="4668" spans="5:11" x14ac:dyDescent="0.25">
      <c r="E4668" t="s">
        <v>169</v>
      </c>
      <c r="K4668">
        <v>0</v>
      </c>
    </row>
    <row r="4669" spans="5:11" x14ac:dyDescent="0.25">
      <c r="E4669" t="s">
        <v>169</v>
      </c>
      <c r="K4669">
        <v>0</v>
      </c>
    </row>
    <row r="4670" spans="5:11" x14ac:dyDescent="0.25">
      <c r="E4670" t="s">
        <v>169</v>
      </c>
      <c r="K4670">
        <v>0</v>
      </c>
    </row>
    <row r="4671" spans="5:11" x14ac:dyDescent="0.25">
      <c r="E4671" t="s">
        <v>169</v>
      </c>
      <c r="K4671">
        <v>0</v>
      </c>
    </row>
    <row r="4672" spans="5:11" x14ac:dyDescent="0.25">
      <c r="E4672" t="s">
        <v>169</v>
      </c>
      <c r="K4672">
        <v>0</v>
      </c>
    </row>
    <row r="4673" spans="5:11" x14ac:dyDescent="0.25">
      <c r="E4673" t="s">
        <v>169</v>
      </c>
      <c r="K4673">
        <v>0</v>
      </c>
    </row>
    <row r="4674" spans="5:11" x14ac:dyDescent="0.25">
      <c r="E4674" t="s">
        <v>169</v>
      </c>
      <c r="K4674">
        <v>0</v>
      </c>
    </row>
    <row r="4675" spans="5:11" x14ac:dyDescent="0.25">
      <c r="E4675" t="s">
        <v>169</v>
      </c>
      <c r="K4675">
        <v>0</v>
      </c>
    </row>
    <row r="4676" spans="5:11" x14ac:dyDescent="0.25">
      <c r="E4676" t="s">
        <v>169</v>
      </c>
      <c r="K4676">
        <v>0</v>
      </c>
    </row>
    <row r="4677" spans="5:11" x14ac:dyDescent="0.25">
      <c r="E4677" t="s">
        <v>169</v>
      </c>
      <c r="K4677">
        <v>0</v>
      </c>
    </row>
    <row r="4678" spans="5:11" x14ac:dyDescent="0.25">
      <c r="E4678" t="s">
        <v>169</v>
      </c>
      <c r="K4678">
        <v>0</v>
      </c>
    </row>
    <row r="4679" spans="5:11" x14ac:dyDescent="0.25">
      <c r="E4679" t="s">
        <v>169</v>
      </c>
      <c r="K4679">
        <v>0</v>
      </c>
    </row>
    <row r="4680" spans="5:11" x14ac:dyDescent="0.25">
      <c r="E4680" t="s">
        <v>169</v>
      </c>
      <c r="K4680">
        <v>0</v>
      </c>
    </row>
    <row r="4681" spans="5:11" x14ac:dyDescent="0.25">
      <c r="E4681" t="s">
        <v>169</v>
      </c>
      <c r="K4681">
        <v>0</v>
      </c>
    </row>
    <row r="4682" spans="5:11" x14ac:dyDescent="0.25">
      <c r="E4682" t="s">
        <v>169</v>
      </c>
      <c r="K4682">
        <v>0</v>
      </c>
    </row>
    <row r="4683" spans="5:11" x14ac:dyDescent="0.25">
      <c r="E4683" t="s">
        <v>169</v>
      </c>
      <c r="K4683">
        <v>0</v>
      </c>
    </row>
    <row r="4684" spans="5:11" x14ac:dyDescent="0.25">
      <c r="E4684" t="s">
        <v>169</v>
      </c>
      <c r="K4684">
        <v>0</v>
      </c>
    </row>
    <row r="4685" spans="5:11" x14ac:dyDescent="0.25">
      <c r="E4685" t="s">
        <v>169</v>
      </c>
      <c r="K4685">
        <v>0</v>
      </c>
    </row>
    <row r="4686" spans="5:11" x14ac:dyDescent="0.25">
      <c r="E4686" t="s">
        <v>169</v>
      </c>
      <c r="K4686">
        <v>0</v>
      </c>
    </row>
    <row r="4687" spans="5:11" x14ac:dyDescent="0.25">
      <c r="E4687" t="s">
        <v>169</v>
      </c>
      <c r="K4687">
        <v>0</v>
      </c>
    </row>
    <row r="4688" spans="5:11" x14ac:dyDescent="0.25">
      <c r="E4688" t="s">
        <v>169</v>
      </c>
      <c r="K4688">
        <v>0</v>
      </c>
    </row>
    <row r="4689" spans="5:11" x14ac:dyDescent="0.25">
      <c r="E4689" t="s">
        <v>169</v>
      </c>
      <c r="K4689">
        <v>0</v>
      </c>
    </row>
    <row r="4690" spans="5:11" x14ac:dyDescent="0.25">
      <c r="E4690" t="s">
        <v>169</v>
      </c>
      <c r="K4690">
        <v>0</v>
      </c>
    </row>
    <row r="4691" spans="5:11" x14ac:dyDescent="0.25">
      <c r="E4691" t="s">
        <v>169</v>
      </c>
      <c r="K4691">
        <v>0</v>
      </c>
    </row>
    <row r="4692" spans="5:11" x14ac:dyDescent="0.25">
      <c r="E4692" t="s">
        <v>169</v>
      </c>
      <c r="K4692">
        <v>0</v>
      </c>
    </row>
    <row r="4693" spans="5:11" x14ac:dyDescent="0.25">
      <c r="E4693" t="s">
        <v>169</v>
      </c>
      <c r="K4693">
        <v>0</v>
      </c>
    </row>
    <row r="4694" spans="5:11" x14ac:dyDescent="0.25">
      <c r="E4694" t="s">
        <v>169</v>
      </c>
      <c r="K4694">
        <v>0</v>
      </c>
    </row>
    <row r="4695" spans="5:11" x14ac:dyDescent="0.25">
      <c r="E4695" t="s">
        <v>169</v>
      </c>
      <c r="K4695">
        <v>0</v>
      </c>
    </row>
    <row r="4696" spans="5:11" x14ac:dyDescent="0.25">
      <c r="E4696" t="s">
        <v>169</v>
      </c>
      <c r="K4696">
        <v>0</v>
      </c>
    </row>
    <row r="4697" spans="5:11" x14ac:dyDescent="0.25">
      <c r="E4697" t="s">
        <v>169</v>
      </c>
      <c r="K4697">
        <v>0</v>
      </c>
    </row>
    <row r="4698" spans="5:11" x14ac:dyDescent="0.25">
      <c r="E4698" t="s">
        <v>169</v>
      </c>
      <c r="K4698">
        <v>0</v>
      </c>
    </row>
    <row r="4699" spans="5:11" x14ac:dyDescent="0.25">
      <c r="E4699" t="s">
        <v>169</v>
      </c>
      <c r="K4699">
        <v>0</v>
      </c>
    </row>
    <row r="4700" spans="5:11" x14ac:dyDescent="0.25">
      <c r="E4700" t="s">
        <v>169</v>
      </c>
      <c r="K4700">
        <v>0</v>
      </c>
    </row>
    <row r="4701" spans="5:11" x14ac:dyDescent="0.25">
      <c r="E4701" t="s">
        <v>169</v>
      </c>
      <c r="K4701">
        <v>0</v>
      </c>
    </row>
    <row r="4702" spans="5:11" x14ac:dyDescent="0.25">
      <c r="E4702" t="s">
        <v>169</v>
      </c>
      <c r="K4702">
        <v>0</v>
      </c>
    </row>
    <row r="4703" spans="5:11" x14ac:dyDescent="0.25">
      <c r="E4703" t="s">
        <v>169</v>
      </c>
      <c r="K4703">
        <v>0</v>
      </c>
    </row>
    <row r="4704" spans="5:11" x14ac:dyDescent="0.25">
      <c r="E4704" t="s">
        <v>169</v>
      </c>
      <c r="K4704">
        <v>0</v>
      </c>
    </row>
    <row r="4705" spans="5:11" x14ac:dyDescent="0.25">
      <c r="E4705" t="s">
        <v>169</v>
      </c>
      <c r="K4705">
        <v>0</v>
      </c>
    </row>
    <row r="4706" spans="5:11" x14ac:dyDescent="0.25">
      <c r="E4706" t="s">
        <v>169</v>
      </c>
      <c r="K4706">
        <v>0</v>
      </c>
    </row>
    <row r="4707" spans="5:11" x14ac:dyDescent="0.25">
      <c r="E4707" t="s">
        <v>169</v>
      </c>
      <c r="K4707">
        <v>0</v>
      </c>
    </row>
    <row r="4708" spans="5:11" x14ac:dyDescent="0.25">
      <c r="E4708" t="s">
        <v>169</v>
      </c>
      <c r="K4708">
        <v>0</v>
      </c>
    </row>
    <row r="4709" spans="5:11" x14ac:dyDescent="0.25">
      <c r="E4709" t="s">
        <v>169</v>
      </c>
      <c r="K4709">
        <v>0</v>
      </c>
    </row>
    <row r="4710" spans="5:11" x14ac:dyDescent="0.25">
      <c r="E4710" t="s">
        <v>169</v>
      </c>
      <c r="K4710">
        <v>0</v>
      </c>
    </row>
    <row r="4711" spans="5:11" x14ac:dyDescent="0.25">
      <c r="E4711" t="s">
        <v>169</v>
      </c>
      <c r="K4711">
        <v>0</v>
      </c>
    </row>
    <row r="4712" spans="5:11" x14ac:dyDescent="0.25">
      <c r="E4712" t="s">
        <v>169</v>
      </c>
      <c r="K4712">
        <v>0</v>
      </c>
    </row>
    <row r="4713" spans="5:11" x14ac:dyDescent="0.25">
      <c r="E4713" t="s">
        <v>169</v>
      </c>
      <c r="K4713">
        <v>0</v>
      </c>
    </row>
    <row r="4714" spans="5:11" x14ac:dyDescent="0.25">
      <c r="E4714" t="s">
        <v>169</v>
      </c>
      <c r="K4714">
        <v>0</v>
      </c>
    </row>
    <row r="4715" spans="5:11" x14ac:dyDescent="0.25">
      <c r="E4715" t="s">
        <v>169</v>
      </c>
      <c r="K4715">
        <v>0</v>
      </c>
    </row>
    <row r="4716" spans="5:11" x14ac:dyDescent="0.25">
      <c r="E4716" t="s">
        <v>169</v>
      </c>
      <c r="K4716">
        <v>0</v>
      </c>
    </row>
    <row r="4717" spans="5:11" x14ac:dyDescent="0.25">
      <c r="E4717" t="s">
        <v>169</v>
      </c>
      <c r="K4717">
        <v>0</v>
      </c>
    </row>
    <row r="4718" spans="5:11" x14ac:dyDescent="0.25">
      <c r="E4718" t="s">
        <v>169</v>
      </c>
      <c r="K4718">
        <v>0</v>
      </c>
    </row>
    <row r="4719" spans="5:11" x14ac:dyDescent="0.25">
      <c r="E4719" t="s">
        <v>169</v>
      </c>
      <c r="K4719">
        <v>0</v>
      </c>
    </row>
    <row r="4720" spans="5:11" x14ac:dyDescent="0.25">
      <c r="E4720" t="s">
        <v>169</v>
      </c>
      <c r="K4720">
        <v>0</v>
      </c>
    </row>
    <row r="4721" spans="5:11" x14ac:dyDescent="0.25">
      <c r="E4721" t="s">
        <v>169</v>
      </c>
      <c r="K4721">
        <v>0</v>
      </c>
    </row>
    <row r="4722" spans="5:11" x14ac:dyDescent="0.25">
      <c r="E4722" t="s">
        <v>169</v>
      </c>
      <c r="K4722">
        <v>0</v>
      </c>
    </row>
    <row r="4723" spans="5:11" x14ac:dyDescent="0.25">
      <c r="E4723" t="s">
        <v>169</v>
      </c>
      <c r="K4723">
        <v>0</v>
      </c>
    </row>
    <row r="4724" spans="5:11" x14ac:dyDescent="0.25">
      <c r="E4724" t="s">
        <v>169</v>
      </c>
      <c r="K4724">
        <v>0</v>
      </c>
    </row>
    <row r="4725" spans="5:11" x14ac:dyDescent="0.25">
      <c r="E4725" t="s">
        <v>169</v>
      </c>
      <c r="K4725">
        <v>0</v>
      </c>
    </row>
    <row r="4726" spans="5:11" x14ac:dyDescent="0.25">
      <c r="E4726" t="s">
        <v>169</v>
      </c>
      <c r="K4726">
        <v>0</v>
      </c>
    </row>
    <row r="4727" spans="5:11" x14ac:dyDescent="0.25">
      <c r="E4727" t="s">
        <v>169</v>
      </c>
      <c r="K4727">
        <v>0</v>
      </c>
    </row>
    <row r="4728" spans="5:11" x14ac:dyDescent="0.25">
      <c r="E4728" t="s">
        <v>169</v>
      </c>
      <c r="K4728">
        <v>0</v>
      </c>
    </row>
    <row r="4729" spans="5:11" x14ac:dyDescent="0.25">
      <c r="E4729" t="s">
        <v>169</v>
      </c>
      <c r="K4729">
        <v>0</v>
      </c>
    </row>
    <row r="4730" spans="5:11" x14ac:dyDescent="0.25">
      <c r="E4730" t="s">
        <v>169</v>
      </c>
      <c r="K4730">
        <v>0</v>
      </c>
    </row>
    <row r="4731" spans="5:11" x14ac:dyDescent="0.25">
      <c r="E4731" t="s">
        <v>169</v>
      </c>
      <c r="K4731">
        <v>0</v>
      </c>
    </row>
    <row r="4732" spans="5:11" x14ac:dyDescent="0.25">
      <c r="E4732" t="s">
        <v>169</v>
      </c>
      <c r="K4732">
        <v>0</v>
      </c>
    </row>
    <row r="4733" spans="5:11" x14ac:dyDescent="0.25">
      <c r="E4733" t="s">
        <v>169</v>
      </c>
      <c r="K4733">
        <v>0</v>
      </c>
    </row>
    <row r="4734" spans="5:11" x14ac:dyDescent="0.25">
      <c r="E4734" t="s">
        <v>169</v>
      </c>
      <c r="K4734">
        <v>0</v>
      </c>
    </row>
    <row r="4735" spans="5:11" x14ac:dyDescent="0.25">
      <c r="E4735" t="s">
        <v>169</v>
      </c>
      <c r="K4735">
        <v>0</v>
      </c>
    </row>
    <row r="4736" spans="5:11" x14ac:dyDescent="0.25">
      <c r="E4736" t="s">
        <v>169</v>
      </c>
      <c r="K4736">
        <v>0</v>
      </c>
    </row>
    <row r="4737" spans="5:11" x14ac:dyDescent="0.25">
      <c r="E4737" t="s">
        <v>169</v>
      </c>
      <c r="K4737">
        <v>0</v>
      </c>
    </row>
    <row r="4738" spans="5:11" x14ac:dyDescent="0.25">
      <c r="E4738" t="s">
        <v>169</v>
      </c>
      <c r="K4738">
        <v>0</v>
      </c>
    </row>
    <row r="4739" spans="5:11" x14ac:dyDescent="0.25">
      <c r="E4739" t="s">
        <v>169</v>
      </c>
      <c r="K4739">
        <v>0</v>
      </c>
    </row>
    <row r="4740" spans="5:11" x14ac:dyDescent="0.25">
      <c r="E4740" t="s">
        <v>169</v>
      </c>
      <c r="K4740">
        <v>0</v>
      </c>
    </row>
    <row r="4741" spans="5:11" x14ac:dyDescent="0.25">
      <c r="E4741" t="s">
        <v>169</v>
      </c>
      <c r="K4741">
        <v>0</v>
      </c>
    </row>
    <row r="4742" spans="5:11" x14ac:dyDescent="0.25">
      <c r="E4742" t="s">
        <v>169</v>
      </c>
      <c r="K4742">
        <v>0</v>
      </c>
    </row>
    <row r="4743" spans="5:11" x14ac:dyDescent="0.25">
      <c r="E4743" t="s">
        <v>169</v>
      </c>
      <c r="K4743">
        <v>0</v>
      </c>
    </row>
    <row r="4744" spans="5:11" x14ac:dyDescent="0.25">
      <c r="E4744" t="s">
        <v>169</v>
      </c>
      <c r="K4744">
        <v>0</v>
      </c>
    </row>
    <row r="4745" spans="5:11" x14ac:dyDescent="0.25">
      <c r="E4745" t="s">
        <v>169</v>
      </c>
      <c r="K4745">
        <v>0</v>
      </c>
    </row>
    <row r="4746" spans="5:11" x14ac:dyDescent="0.25">
      <c r="E4746" t="s">
        <v>169</v>
      </c>
      <c r="K4746">
        <v>0</v>
      </c>
    </row>
    <row r="4747" spans="5:11" x14ac:dyDescent="0.25">
      <c r="E4747" t="s">
        <v>169</v>
      </c>
      <c r="K4747">
        <v>0</v>
      </c>
    </row>
    <row r="4748" spans="5:11" x14ac:dyDescent="0.25">
      <c r="E4748" t="s">
        <v>169</v>
      </c>
      <c r="K4748">
        <v>0</v>
      </c>
    </row>
    <row r="4749" spans="5:11" x14ac:dyDescent="0.25">
      <c r="E4749" t="s">
        <v>169</v>
      </c>
      <c r="K4749">
        <v>0</v>
      </c>
    </row>
    <row r="4750" spans="5:11" x14ac:dyDescent="0.25">
      <c r="E4750" t="s">
        <v>169</v>
      </c>
      <c r="K4750">
        <v>0</v>
      </c>
    </row>
    <row r="4751" spans="5:11" x14ac:dyDescent="0.25">
      <c r="E4751" t="s">
        <v>169</v>
      </c>
      <c r="K4751">
        <v>0</v>
      </c>
    </row>
    <row r="4752" spans="5:11" x14ac:dyDescent="0.25">
      <c r="E4752" t="s">
        <v>169</v>
      </c>
      <c r="K4752">
        <v>0</v>
      </c>
    </row>
    <row r="4753" spans="5:11" x14ac:dyDescent="0.25">
      <c r="E4753" t="s">
        <v>169</v>
      </c>
      <c r="K4753">
        <v>0</v>
      </c>
    </row>
    <row r="4754" spans="5:11" x14ac:dyDescent="0.25">
      <c r="E4754" t="s">
        <v>169</v>
      </c>
      <c r="K4754">
        <v>0</v>
      </c>
    </row>
    <row r="4755" spans="5:11" x14ac:dyDescent="0.25">
      <c r="E4755" t="s">
        <v>169</v>
      </c>
      <c r="K4755">
        <v>0</v>
      </c>
    </row>
    <row r="4756" spans="5:11" x14ac:dyDescent="0.25">
      <c r="E4756" t="s">
        <v>169</v>
      </c>
      <c r="K4756">
        <v>0</v>
      </c>
    </row>
    <row r="4757" spans="5:11" x14ac:dyDescent="0.25">
      <c r="E4757" t="s">
        <v>169</v>
      </c>
      <c r="K4757">
        <v>0</v>
      </c>
    </row>
    <row r="4758" spans="5:11" x14ac:dyDescent="0.25">
      <c r="E4758" t="s">
        <v>169</v>
      </c>
      <c r="K4758">
        <v>0</v>
      </c>
    </row>
    <row r="4759" spans="5:11" x14ac:dyDescent="0.25">
      <c r="E4759" t="s">
        <v>169</v>
      </c>
      <c r="K4759">
        <v>0</v>
      </c>
    </row>
    <row r="4760" spans="5:11" x14ac:dyDescent="0.25">
      <c r="E4760" t="s">
        <v>169</v>
      </c>
      <c r="K4760">
        <v>0</v>
      </c>
    </row>
    <row r="4761" spans="5:11" x14ac:dyDescent="0.25">
      <c r="E4761" t="s">
        <v>169</v>
      </c>
      <c r="K4761">
        <v>0</v>
      </c>
    </row>
    <row r="4762" spans="5:11" x14ac:dyDescent="0.25">
      <c r="E4762" t="s">
        <v>169</v>
      </c>
      <c r="K4762">
        <v>0</v>
      </c>
    </row>
    <row r="4763" spans="5:11" x14ac:dyDescent="0.25">
      <c r="E4763" t="s">
        <v>169</v>
      </c>
      <c r="K4763">
        <v>0</v>
      </c>
    </row>
    <row r="4764" spans="5:11" x14ac:dyDescent="0.25">
      <c r="E4764" t="s">
        <v>169</v>
      </c>
      <c r="K4764">
        <v>0</v>
      </c>
    </row>
    <row r="4765" spans="5:11" x14ac:dyDescent="0.25">
      <c r="E4765" t="s">
        <v>169</v>
      </c>
      <c r="K4765">
        <v>0</v>
      </c>
    </row>
    <row r="4766" spans="5:11" x14ac:dyDescent="0.25">
      <c r="E4766" t="s">
        <v>169</v>
      </c>
      <c r="K4766">
        <v>0</v>
      </c>
    </row>
    <row r="4767" spans="5:11" x14ac:dyDescent="0.25">
      <c r="E4767" t="s">
        <v>169</v>
      </c>
      <c r="K4767">
        <v>0</v>
      </c>
    </row>
    <row r="4768" spans="5:11" x14ac:dyDescent="0.25">
      <c r="E4768" t="s">
        <v>169</v>
      </c>
      <c r="K4768">
        <v>0</v>
      </c>
    </row>
    <row r="4769" spans="5:11" x14ac:dyDescent="0.25">
      <c r="E4769" t="s">
        <v>169</v>
      </c>
      <c r="K4769">
        <v>0</v>
      </c>
    </row>
    <row r="4770" spans="5:11" x14ac:dyDescent="0.25">
      <c r="E4770" t="s">
        <v>169</v>
      </c>
      <c r="K4770">
        <v>0</v>
      </c>
    </row>
    <row r="4771" spans="5:11" x14ac:dyDescent="0.25">
      <c r="E4771" t="s">
        <v>169</v>
      </c>
      <c r="K4771">
        <v>0</v>
      </c>
    </row>
    <row r="4772" spans="5:11" x14ac:dyDescent="0.25">
      <c r="E4772" t="s">
        <v>169</v>
      </c>
      <c r="K4772">
        <v>0</v>
      </c>
    </row>
    <row r="4773" spans="5:11" x14ac:dyDescent="0.25">
      <c r="E4773" t="s">
        <v>169</v>
      </c>
      <c r="K4773">
        <v>0</v>
      </c>
    </row>
    <row r="4774" spans="5:11" x14ac:dyDescent="0.25">
      <c r="E4774" t="s">
        <v>169</v>
      </c>
      <c r="K4774">
        <v>0</v>
      </c>
    </row>
    <row r="4775" spans="5:11" x14ac:dyDescent="0.25">
      <c r="E4775" t="s">
        <v>169</v>
      </c>
      <c r="K4775">
        <v>0</v>
      </c>
    </row>
    <row r="4776" spans="5:11" x14ac:dyDescent="0.25">
      <c r="E4776" t="s">
        <v>169</v>
      </c>
      <c r="K4776">
        <v>0</v>
      </c>
    </row>
    <row r="4777" spans="5:11" x14ac:dyDescent="0.25">
      <c r="E4777" t="s">
        <v>169</v>
      </c>
      <c r="K4777">
        <v>0</v>
      </c>
    </row>
    <row r="4778" spans="5:11" x14ac:dyDescent="0.25">
      <c r="E4778" t="s">
        <v>169</v>
      </c>
      <c r="K4778">
        <v>0</v>
      </c>
    </row>
    <row r="4779" spans="5:11" x14ac:dyDescent="0.25">
      <c r="E4779" t="s">
        <v>169</v>
      </c>
      <c r="K4779">
        <v>0</v>
      </c>
    </row>
    <row r="4780" spans="5:11" x14ac:dyDescent="0.25">
      <c r="E4780" t="s">
        <v>169</v>
      </c>
      <c r="K4780">
        <v>0</v>
      </c>
    </row>
    <row r="4781" spans="5:11" x14ac:dyDescent="0.25">
      <c r="E4781" t="s">
        <v>169</v>
      </c>
      <c r="K4781">
        <v>0</v>
      </c>
    </row>
    <row r="4782" spans="5:11" x14ac:dyDescent="0.25">
      <c r="E4782" t="s">
        <v>169</v>
      </c>
      <c r="K4782">
        <v>0</v>
      </c>
    </row>
    <row r="4783" spans="5:11" x14ac:dyDescent="0.25">
      <c r="E4783" t="s">
        <v>169</v>
      </c>
      <c r="K4783">
        <v>0</v>
      </c>
    </row>
    <row r="4784" spans="5:11" x14ac:dyDescent="0.25">
      <c r="E4784" t="s">
        <v>169</v>
      </c>
      <c r="K4784">
        <v>0</v>
      </c>
    </row>
    <row r="4785" spans="5:11" x14ac:dyDescent="0.25">
      <c r="E4785" t="s">
        <v>169</v>
      </c>
      <c r="K4785">
        <v>0</v>
      </c>
    </row>
    <row r="4786" spans="5:11" x14ac:dyDescent="0.25">
      <c r="E4786" t="s">
        <v>169</v>
      </c>
      <c r="K4786">
        <v>0</v>
      </c>
    </row>
    <row r="4787" spans="5:11" x14ac:dyDescent="0.25">
      <c r="E4787" t="s">
        <v>169</v>
      </c>
      <c r="K4787">
        <v>0</v>
      </c>
    </row>
    <row r="4788" spans="5:11" x14ac:dyDescent="0.25">
      <c r="E4788" t="s">
        <v>169</v>
      </c>
      <c r="K4788">
        <v>0</v>
      </c>
    </row>
    <row r="4789" spans="5:11" x14ac:dyDescent="0.25">
      <c r="E4789" t="s">
        <v>169</v>
      </c>
      <c r="K4789">
        <v>0</v>
      </c>
    </row>
    <row r="4790" spans="5:11" x14ac:dyDescent="0.25">
      <c r="E4790" t="s">
        <v>169</v>
      </c>
      <c r="K4790">
        <v>0</v>
      </c>
    </row>
    <row r="4791" spans="5:11" x14ac:dyDescent="0.25">
      <c r="E4791" t="s">
        <v>169</v>
      </c>
      <c r="K4791">
        <v>0</v>
      </c>
    </row>
    <row r="4792" spans="5:11" x14ac:dyDescent="0.25">
      <c r="E4792" t="s">
        <v>169</v>
      </c>
      <c r="K4792">
        <v>0</v>
      </c>
    </row>
    <row r="4793" spans="5:11" x14ac:dyDescent="0.25">
      <c r="E4793" t="s">
        <v>169</v>
      </c>
      <c r="K4793">
        <v>0</v>
      </c>
    </row>
    <row r="4794" spans="5:11" x14ac:dyDescent="0.25">
      <c r="E4794" t="s">
        <v>169</v>
      </c>
      <c r="K4794">
        <v>0</v>
      </c>
    </row>
    <row r="4795" spans="5:11" x14ac:dyDescent="0.25">
      <c r="E4795" t="s">
        <v>169</v>
      </c>
      <c r="K4795">
        <v>0</v>
      </c>
    </row>
    <row r="4796" spans="5:11" x14ac:dyDescent="0.25">
      <c r="E4796" t="s">
        <v>169</v>
      </c>
      <c r="K4796">
        <v>0</v>
      </c>
    </row>
    <row r="4797" spans="5:11" x14ac:dyDescent="0.25">
      <c r="E4797" t="s">
        <v>169</v>
      </c>
      <c r="K4797">
        <v>0</v>
      </c>
    </row>
    <row r="4798" spans="5:11" x14ac:dyDescent="0.25">
      <c r="E4798" t="s">
        <v>169</v>
      </c>
      <c r="K4798">
        <v>0</v>
      </c>
    </row>
    <row r="4799" spans="5:11" x14ac:dyDescent="0.25">
      <c r="E4799" t="s">
        <v>169</v>
      </c>
      <c r="K4799">
        <v>0</v>
      </c>
    </row>
    <row r="4800" spans="5:11" x14ac:dyDescent="0.25">
      <c r="E4800" t="s">
        <v>169</v>
      </c>
      <c r="K4800">
        <v>0</v>
      </c>
    </row>
    <row r="4801" spans="5:11" x14ac:dyDescent="0.25">
      <c r="E4801" t="s">
        <v>169</v>
      </c>
      <c r="K4801">
        <v>0</v>
      </c>
    </row>
    <row r="4802" spans="5:11" x14ac:dyDescent="0.25">
      <c r="E4802" t="s">
        <v>169</v>
      </c>
      <c r="K4802">
        <v>0</v>
      </c>
    </row>
    <row r="4803" spans="5:11" x14ac:dyDescent="0.25">
      <c r="E4803" t="s">
        <v>169</v>
      </c>
      <c r="K4803">
        <v>0</v>
      </c>
    </row>
    <row r="4804" spans="5:11" x14ac:dyDescent="0.25">
      <c r="E4804" t="s">
        <v>169</v>
      </c>
      <c r="K4804">
        <v>0</v>
      </c>
    </row>
    <row r="4805" spans="5:11" x14ac:dyDescent="0.25">
      <c r="E4805" t="s">
        <v>169</v>
      </c>
      <c r="K4805">
        <v>0</v>
      </c>
    </row>
    <row r="4806" spans="5:11" x14ac:dyDescent="0.25">
      <c r="E4806" t="s">
        <v>169</v>
      </c>
      <c r="K4806">
        <v>0</v>
      </c>
    </row>
    <row r="4807" spans="5:11" x14ac:dyDescent="0.25">
      <c r="E4807" t="s">
        <v>169</v>
      </c>
      <c r="K4807">
        <v>0</v>
      </c>
    </row>
    <row r="4808" spans="5:11" x14ac:dyDescent="0.25">
      <c r="E4808" t="s">
        <v>169</v>
      </c>
      <c r="K4808">
        <v>0</v>
      </c>
    </row>
    <row r="4809" spans="5:11" x14ac:dyDescent="0.25">
      <c r="E4809" t="s">
        <v>169</v>
      </c>
      <c r="K4809">
        <v>0</v>
      </c>
    </row>
    <row r="4810" spans="5:11" x14ac:dyDescent="0.25">
      <c r="E4810" t="s">
        <v>169</v>
      </c>
      <c r="K4810">
        <v>0</v>
      </c>
    </row>
    <row r="4811" spans="5:11" x14ac:dyDescent="0.25">
      <c r="E4811" t="s">
        <v>169</v>
      </c>
      <c r="K4811">
        <v>0</v>
      </c>
    </row>
    <row r="4812" spans="5:11" x14ac:dyDescent="0.25">
      <c r="E4812" t="s">
        <v>169</v>
      </c>
      <c r="K4812">
        <v>0</v>
      </c>
    </row>
    <row r="4813" spans="5:11" x14ac:dyDescent="0.25">
      <c r="E4813" t="s">
        <v>169</v>
      </c>
      <c r="K4813">
        <v>0</v>
      </c>
    </row>
    <row r="4814" spans="5:11" x14ac:dyDescent="0.25">
      <c r="E4814" t="s">
        <v>169</v>
      </c>
      <c r="K4814">
        <v>0</v>
      </c>
    </row>
    <row r="4815" spans="5:11" x14ac:dyDescent="0.25">
      <c r="E4815" t="s">
        <v>169</v>
      </c>
      <c r="K4815">
        <v>0</v>
      </c>
    </row>
    <row r="4816" spans="5:11" x14ac:dyDescent="0.25">
      <c r="E4816" t="s">
        <v>169</v>
      </c>
      <c r="K4816">
        <v>0</v>
      </c>
    </row>
    <row r="4817" spans="5:11" x14ac:dyDescent="0.25">
      <c r="E4817" t="s">
        <v>169</v>
      </c>
      <c r="K4817">
        <v>0</v>
      </c>
    </row>
    <row r="4818" spans="5:11" x14ac:dyDescent="0.25">
      <c r="E4818" t="s">
        <v>169</v>
      </c>
      <c r="K4818">
        <v>0</v>
      </c>
    </row>
    <row r="4819" spans="5:11" x14ac:dyDescent="0.25">
      <c r="E4819" t="s">
        <v>169</v>
      </c>
      <c r="K4819">
        <v>0</v>
      </c>
    </row>
    <row r="4820" spans="5:11" x14ac:dyDescent="0.25">
      <c r="E4820" t="s">
        <v>169</v>
      </c>
      <c r="K4820">
        <v>0</v>
      </c>
    </row>
    <row r="4821" spans="5:11" x14ac:dyDescent="0.25">
      <c r="E4821" t="s">
        <v>169</v>
      </c>
      <c r="K4821">
        <v>0</v>
      </c>
    </row>
    <row r="4822" spans="5:11" x14ac:dyDescent="0.25">
      <c r="E4822" t="s">
        <v>169</v>
      </c>
      <c r="K4822">
        <v>0</v>
      </c>
    </row>
    <row r="4823" spans="5:11" x14ac:dyDescent="0.25">
      <c r="E4823" t="s">
        <v>169</v>
      </c>
      <c r="K4823">
        <v>0</v>
      </c>
    </row>
    <row r="4824" spans="5:11" x14ac:dyDescent="0.25">
      <c r="E4824" t="s">
        <v>169</v>
      </c>
      <c r="K4824">
        <v>0</v>
      </c>
    </row>
    <row r="4825" spans="5:11" x14ac:dyDescent="0.25">
      <c r="E4825" t="s">
        <v>169</v>
      </c>
      <c r="K4825">
        <v>0</v>
      </c>
    </row>
    <row r="4826" spans="5:11" x14ac:dyDescent="0.25">
      <c r="E4826" t="s">
        <v>169</v>
      </c>
      <c r="K4826">
        <v>0</v>
      </c>
    </row>
    <row r="4827" spans="5:11" x14ac:dyDescent="0.25">
      <c r="E4827" t="s">
        <v>169</v>
      </c>
      <c r="K4827">
        <v>0</v>
      </c>
    </row>
    <row r="4828" spans="5:11" x14ac:dyDescent="0.25">
      <c r="E4828" t="s">
        <v>169</v>
      </c>
      <c r="K4828">
        <v>0</v>
      </c>
    </row>
    <row r="4829" spans="5:11" x14ac:dyDescent="0.25">
      <c r="E4829" t="s">
        <v>169</v>
      </c>
      <c r="K4829">
        <v>0</v>
      </c>
    </row>
    <row r="4830" spans="5:11" x14ac:dyDescent="0.25">
      <c r="E4830" t="s">
        <v>169</v>
      </c>
      <c r="K4830">
        <v>0</v>
      </c>
    </row>
    <row r="4831" spans="5:11" x14ac:dyDescent="0.25">
      <c r="E4831" t="s">
        <v>169</v>
      </c>
      <c r="K4831">
        <v>0</v>
      </c>
    </row>
    <row r="4832" spans="5:11" x14ac:dyDescent="0.25">
      <c r="E4832" t="s">
        <v>169</v>
      </c>
      <c r="K4832">
        <v>0</v>
      </c>
    </row>
    <row r="4833" spans="5:11" x14ac:dyDescent="0.25">
      <c r="E4833" t="s">
        <v>169</v>
      </c>
      <c r="K4833">
        <v>0</v>
      </c>
    </row>
    <row r="4834" spans="5:11" x14ac:dyDescent="0.25">
      <c r="E4834" t="s">
        <v>169</v>
      </c>
      <c r="K4834">
        <v>0</v>
      </c>
    </row>
    <row r="4835" spans="5:11" x14ac:dyDescent="0.25">
      <c r="E4835" t="s">
        <v>169</v>
      </c>
      <c r="K4835">
        <v>0</v>
      </c>
    </row>
    <row r="4836" spans="5:11" x14ac:dyDescent="0.25">
      <c r="E4836" t="s">
        <v>169</v>
      </c>
      <c r="K4836">
        <v>0</v>
      </c>
    </row>
    <row r="4837" spans="5:11" x14ac:dyDescent="0.25">
      <c r="E4837" t="s">
        <v>169</v>
      </c>
      <c r="K4837">
        <v>0</v>
      </c>
    </row>
    <row r="4838" spans="5:11" x14ac:dyDescent="0.25">
      <c r="E4838" t="s">
        <v>169</v>
      </c>
      <c r="K4838">
        <v>0</v>
      </c>
    </row>
    <row r="4839" spans="5:11" x14ac:dyDescent="0.25">
      <c r="E4839" t="s">
        <v>169</v>
      </c>
      <c r="K4839">
        <v>0</v>
      </c>
    </row>
    <row r="4840" spans="5:11" x14ac:dyDescent="0.25">
      <c r="E4840" t="s">
        <v>169</v>
      </c>
      <c r="K4840">
        <v>0</v>
      </c>
    </row>
    <row r="4841" spans="5:11" x14ac:dyDescent="0.25">
      <c r="E4841" t="s">
        <v>169</v>
      </c>
      <c r="K4841">
        <v>0</v>
      </c>
    </row>
    <row r="4842" spans="5:11" x14ac:dyDescent="0.25">
      <c r="E4842" t="s">
        <v>169</v>
      </c>
      <c r="K4842">
        <v>0</v>
      </c>
    </row>
    <row r="4843" spans="5:11" x14ac:dyDescent="0.25">
      <c r="E4843" t="s">
        <v>169</v>
      </c>
      <c r="K4843">
        <v>0</v>
      </c>
    </row>
    <row r="4844" spans="5:11" x14ac:dyDescent="0.25">
      <c r="E4844" t="s">
        <v>169</v>
      </c>
      <c r="K4844">
        <v>0</v>
      </c>
    </row>
    <row r="4845" spans="5:11" x14ac:dyDescent="0.25">
      <c r="E4845" t="s">
        <v>169</v>
      </c>
      <c r="K4845">
        <v>0</v>
      </c>
    </row>
    <row r="4846" spans="5:11" x14ac:dyDescent="0.25">
      <c r="E4846" t="s">
        <v>169</v>
      </c>
      <c r="K4846">
        <v>0</v>
      </c>
    </row>
    <row r="4847" spans="5:11" x14ac:dyDescent="0.25">
      <c r="E4847" t="s">
        <v>169</v>
      </c>
      <c r="K4847">
        <v>0</v>
      </c>
    </row>
    <row r="4848" spans="5:11" x14ac:dyDescent="0.25">
      <c r="E4848" t="s">
        <v>169</v>
      </c>
      <c r="K4848">
        <v>0</v>
      </c>
    </row>
    <row r="4849" spans="5:11" x14ac:dyDescent="0.25">
      <c r="E4849" t="s">
        <v>169</v>
      </c>
      <c r="K4849">
        <v>0</v>
      </c>
    </row>
    <row r="4850" spans="5:11" x14ac:dyDescent="0.25">
      <c r="E4850" t="s">
        <v>169</v>
      </c>
      <c r="K4850">
        <v>0</v>
      </c>
    </row>
    <row r="4851" spans="5:11" x14ac:dyDescent="0.25">
      <c r="E4851" t="s">
        <v>169</v>
      </c>
      <c r="K4851">
        <v>0</v>
      </c>
    </row>
    <row r="4852" spans="5:11" x14ac:dyDescent="0.25">
      <c r="E4852" t="s">
        <v>169</v>
      </c>
      <c r="K4852">
        <v>0</v>
      </c>
    </row>
    <row r="4853" spans="5:11" x14ac:dyDescent="0.25">
      <c r="E4853" t="s">
        <v>169</v>
      </c>
      <c r="K4853">
        <v>0</v>
      </c>
    </row>
    <row r="4854" spans="5:11" x14ac:dyDescent="0.25">
      <c r="E4854" t="s">
        <v>169</v>
      </c>
      <c r="K4854">
        <v>0</v>
      </c>
    </row>
    <row r="4855" spans="5:11" x14ac:dyDescent="0.25">
      <c r="E4855" t="s">
        <v>169</v>
      </c>
      <c r="K4855">
        <v>0</v>
      </c>
    </row>
    <row r="4856" spans="5:11" x14ac:dyDescent="0.25">
      <c r="E4856" t="s">
        <v>169</v>
      </c>
      <c r="K4856">
        <v>0</v>
      </c>
    </row>
    <row r="4857" spans="5:11" x14ac:dyDescent="0.25">
      <c r="E4857" t="s">
        <v>169</v>
      </c>
      <c r="K4857">
        <v>0</v>
      </c>
    </row>
    <row r="4858" spans="5:11" x14ac:dyDescent="0.25">
      <c r="E4858" t="s">
        <v>169</v>
      </c>
      <c r="K4858">
        <v>0</v>
      </c>
    </row>
    <row r="4859" spans="5:11" x14ac:dyDescent="0.25">
      <c r="E4859" t="s">
        <v>169</v>
      </c>
      <c r="K4859">
        <v>0</v>
      </c>
    </row>
    <row r="4860" spans="5:11" x14ac:dyDescent="0.25">
      <c r="E4860" t="s">
        <v>169</v>
      </c>
      <c r="K4860">
        <v>0</v>
      </c>
    </row>
    <row r="4861" spans="5:11" x14ac:dyDescent="0.25">
      <c r="E4861" t="s">
        <v>169</v>
      </c>
      <c r="K4861">
        <v>0</v>
      </c>
    </row>
    <row r="4862" spans="5:11" x14ac:dyDescent="0.25">
      <c r="E4862" t="s">
        <v>169</v>
      </c>
      <c r="K4862">
        <v>0</v>
      </c>
    </row>
    <row r="4863" spans="5:11" x14ac:dyDescent="0.25">
      <c r="E4863" t="s">
        <v>169</v>
      </c>
      <c r="K4863">
        <v>0</v>
      </c>
    </row>
    <row r="4864" spans="5:11" x14ac:dyDescent="0.25">
      <c r="E4864" t="s">
        <v>169</v>
      </c>
      <c r="K4864">
        <v>0</v>
      </c>
    </row>
    <row r="4865" spans="5:11" x14ac:dyDescent="0.25">
      <c r="E4865" t="s">
        <v>169</v>
      </c>
      <c r="K4865">
        <v>0</v>
      </c>
    </row>
    <row r="4866" spans="5:11" x14ac:dyDescent="0.25">
      <c r="E4866" t="s">
        <v>169</v>
      </c>
      <c r="K4866">
        <v>0</v>
      </c>
    </row>
    <row r="4867" spans="5:11" x14ac:dyDescent="0.25">
      <c r="E4867" t="s">
        <v>169</v>
      </c>
      <c r="K4867">
        <v>0</v>
      </c>
    </row>
    <row r="4868" spans="5:11" x14ac:dyDescent="0.25">
      <c r="E4868" t="s">
        <v>169</v>
      </c>
      <c r="K4868">
        <v>0</v>
      </c>
    </row>
    <row r="4869" spans="5:11" x14ac:dyDescent="0.25">
      <c r="E4869" t="s">
        <v>169</v>
      </c>
      <c r="K4869">
        <v>0</v>
      </c>
    </row>
    <row r="4870" spans="5:11" x14ac:dyDescent="0.25">
      <c r="E4870" t="s">
        <v>169</v>
      </c>
      <c r="K4870">
        <v>0</v>
      </c>
    </row>
    <row r="4871" spans="5:11" x14ac:dyDescent="0.25">
      <c r="E4871" t="s">
        <v>169</v>
      </c>
      <c r="K4871">
        <v>0</v>
      </c>
    </row>
    <row r="4872" spans="5:11" x14ac:dyDescent="0.25">
      <c r="E4872" t="s">
        <v>169</v>
      </c>
      <c r="K4872">
        <v>0</v>
      </c>
    </row>
    <row r="4873" spans="5:11" x14ac:dyDescent="0.25">
      <c r="E4873" t="s">
        <v>169</v>
      </c>
      <c r="K4873">
        <v>0</v>
      </c>
    </row>
    <row r="4874" spans="5:11" x14ac:dyDescent="0.25">
      <c r="E4874" t="s">
        <v>169</v>
      </c>
      <c r="K4874">
        <v>0</v>
      </c>
    </row>
    <row r="4875" spans="5:11" x14ac:dyDescent="0.25">
      <c r="E4875" t="s">
        <v>169</v>
      </c>
      <c r="K4875">
        <v>0</v>
      </c>
    </row>
    <row r="4876" spans="5:11" x14ac:dyDescent="0.25">
      <c r="E4876" t="s">
        <v>169</v>
      </c>
      <c r="K4876">
        <v>0</v>
      </c>
    </row>
    <row r="4877" spans="5:11" x14ac:dyDescent="0.25">
      <c r="E4877" t="s">
        <v>169</v>
      </c>
      <c r="K4877">
        <v>0</v>
      </c>
    </row>
    <row r="4878" spans="5:11" x14ac:dyDescent="0.25">
      <c r="E4878" t="s">
        <v>169</v>
      </c>
      <c r="K4878">
        <v>0</v>
      </c>
    </row>
    <row r="4879" spans="5:11" x14ac:dyDescent="0.25">
      <c r="E4879" t="s">
        <v>169</v>
      </c>
      <c r="K4879">
        <v>0</v>
      </c>
    </row>
    <row r="4880" spans="5:11" x14ac:dyDescent="0.25">
      <c r="E4880" t="s">
        <v>169</v>
      </c>
      <c r="K4880">
        <v>0</v>
      </c>
    </row>
    <row r="4881" spans="5:11" x14ac:dyDescent="0.25">
      <c r="E4881" t="s">
        <v>169</v>
      </c>
      <c r="K4881">
        <v>0</v>
      </c>
    </row>
    <row r="4882" spans="5:11" x14ac:dyDescent="0.25">
      <c r="E4882" t="s">
        <v>169</v>
      </c>
      <c r="K4882">
        <v>0</v>
      </c>
    </row>
    <row r="4883" spans="5:11" x14ac:dyDescent="0.25">
      <c r="E4883" t="s">
        <v>169</v>
      </c>
      <c r="K4883">
        <v>0</v>
      </c>
    </row>
    <row r="4884" spans="5:11" x14ac:dyDescent="0.25">
      <c r="E4884" t="s">
        <v>169</v>
      </c>
      <c r="K4884">
        <v>0</v>
      </c>
    </row>
    <row r="4885" spans="5:11" x14ac:dyDescent="0.25">
      <c r="E4885" t="s">
        <v>169</v>
      </c>
      <c r="K4885">
        <v>0</v>
      </c>
    </row>
    <row r="4886" spans="5:11" x14ac:dyDescent="0.25">
      <c r="E4886" t="s">
        <v>169</v>
      </c>
      <c r="K4886">
        <v>0</v>
      </c>
    </row>
    <row r="4887" spans="5:11" x14ac:dyDescent="0.25">
      <c r="E4887" t="s">
        <v>169</v>
      </c>
      <c r="K4887">
        <v>0</v>
      </c>
    </row>
    <row r="4888" spans="5:11" x14ac:dyDescent="0.25">
      <c r="E4888" t="s">
        <v>169</v>
      </c>
      <c r="K4888">
        <v>0</v>
      </c>
    </row>
    <row r="4889" spans="5:11" x14ac:dyDescent="0.25">
      <c r="E4889" t="s">
        <v>169</v>
      </c>
      <c r="K4889">
        <v>0</v>
      </c>
    </row>
    <row r="4890" spans="5:11" x14ac:dyDescent="0.25">
      <c r="E4890" t="s">
        <v>169</v>
      </c>
      <c r="K4890">
        <v>0</v>
      </c>
    </row>
    <row r="4891" spans="5:11" x14ac:dyDescent="0.25">
      <c r="E4891" t="s">
        <v>169</v>
      </c>
      <c r="K4891">
        <v>0</v>
      </c>
    </row>
    <row r="4892" spans="5:11" x14ac:dyDescent="0.25">
      <c r="E4892" t="s">
        <v>169</v>
      </c>
      <c r="K4892">
        <v>0</v>
      </c>
    </row>
    <row r="4893" spans="5:11" x14ac:dyDescent="0.25">
      <c r="E4893" t="s">
        <v>169</v>
      </c>
      <c r="K4893">
        <v>0</v>
      </c>
    </row>
    <row r="4894" spans="5:11" x14ac:dyDescent="0.25">
      <c r="E4894" t="s">
        <v>169</v>
      </c>
      <c r="K4894">
        <v>0</v>
      </c>
    </row>
    <row r="4895" spans="5:11" x14ac:dyDescent="0.25">
      <c r="E4895" t="s">
        <v>169</v>
      </c>
      <c r="K4895">
        <v>0</v>
      </c>
    </row>
    <row r="4896" spans="5:11" x14ac:dyDescent="0.25">
      <c r="E4896" t="s">
        <v>169</v>
      </c>
      <c r="K4896">
        <v>0</v>
      </c>
    </row>
    <row r="4897" spans="5:11" x14ac:dyDescent="0.25">
      <c r="E4897" t="s">
        <v>169</v>
      </c>
      <c r="K4897">
        <v>0</v>
      </c>
    </row>
    <row r="4898" spans="5:11" x14ac:dyDescent="0.25">
      <c r="E4898" t="s">
        <v>169</v>
      </c>
      <c r="K4898">
        <v>0</v>
      </c>
    </row>
    <row r="4899" spans="5:11" x14ac:dyDescent="0.25">
      <c r="E4899" t="s">
        <v>169</v>
      </c>
      <c r="K4899">
        <v>0</v>
      </c>
    </row>
    <row r="4900" spans="5:11" x14ac:dyDescent="0.25">
      <c r="E4900" t="s">
        <v>169</v>
      </c>
      <c r="K4900">
        <v>0</v>
      </c>
    </row>
    <row r="4901" spans="5:11" x14ac:dyDescent="0.25">
      <c r="E4901" t="s">
        <v>169</v>
      </c>
      <c r="K4901">
        <v>0</v>
      </c>
    </row>
    <row r="4902" spans="5:11" x14ac:dyDescent="0.25">
      <c r="E4902" t="s">
        <v>169</v>
      </c>
      <c r="K4902">
        <v>0</v>
      </c>
    </row>
    <row r="4903" spans="5:11" x14ac:dyDescent="0.25">
      <c r="E4903" t="s">
        <v>169</v>
      </c>
      <c r="K4903">
        <v>0</v>
      </c>
    </row>
    <row r="4904" spans="5:11" x14ac:dyDescent="0.25">
      <c r="E4904" t="s">
        <v>169</v>
      </c>
      <c r="K4904">
        <v>0</v>
      </c>
    </row>
    <row r="4905" spans="5:11" x14ac:dyDescent="0.25">
      <c r="E4905" t="s">
        <v>169</v>
      </c>
      <c r="K4905">
        <v>0</v>
      </c>
    </row>
    <row r="4906" spans="5:11" x14ac:dyDescent="0.25">
      <c r="E4906" t="s">
        <v>169</v>
      </c>
      <c r="K4906">
        <v>0</v>
      </c>
    </row>
    <row r="4907" spans="5:11" x14ac:dyDescent="0.25">
      <c r="E4907" t="s">
        <v>169</v>
      </c>
      <c r="K4907">
        <v>0</v>
      </c>
    </row>
    <row r="4908" spans="5:11" x14ac:dyDescent="0.25">
      <c r="E4908" t="s">
        <v>169</v>
      </c>
      <c r="K4908">
        <v>0</v>
      </c>
    </row>
    <row r="4909" spans="5:11" x14ac:dyDescent="0.25">
      <c r="E4909" t="s">
        <v>169</v>
      </c>
      <c r="K4909">
        <v>0</v>
      </c>
    </row>
    <row r="4910" spans="5:11" x14ac:dyDescent="0.25">
      <c r="E4910" t="s">
        <v>169</v>
      </c>
      <c r="K4910">
        <v>0</v>
      </c>
    </row>
    <row r="4911" spans="5:11" x14ac:dyDescent="0.25">
      <c r="E4911" t="s">
        <v>169</v>
      </c>
      <c r="K4911">
        <v>0</v>
      </c>
    </row>
    <row r="4912" spans="5:11" x14ac:dyDescent="0.25">
      <c r="E4912" t="s">
        <v>169</v>
      </c>
      <c r="K4912">
        <v>0</v>
      </c>
    </row>
    <row r="4913" spans="5:11" x14ac:dyDescent="0.25">
      <c r="E4913" t="s">
        <v>169</v>
      </c>
      <c r="K4913">
        <v>0</v>
      </c>
    </row>
    <row r="4914" spans="5:11" x14ac:dyDescent="0.25">
      <c r="E4914" t="s">
        <v>169</v>
      </c>
      <c r="K4914">
        <v>0</v>
      </c>
    </row>
    <row r="4915" spans="5:11" x14ac:dyDescent="0.25">
      <c r="E4915" t="s">
        <v>169</v>
      </c>
      <c r="K4915">
        <v>0</v>
      </c>
    </row>
    <row r="4916" spans="5:11" x14ac:dyDescent="0.25">
      <c r="E4916" t="s">
        <v>169</v>
      </c>
      <c r="K4916">
        <v>0</v>
      </c>
    </row>
    <row r="4917" spans="5:11" x14ac:dyDescent="0.25">
      <c r="E4917" t="s">
        <v>169</v>
      </c>
      <c r="K4917">
        <v>0</v>
      </c>
    </row>
    <row r="4918" spans="5:11" x14ac:dyDescent="0.25">
      <c r="E4918" t="s">
        <v>169</v>
      </c>
      <c r="K4918">
        <v>0</v>
      </c>
    </row>
    <row r="4919" spans="5:11" x14ac:dyDescent="0.25">
      <c r="E4919" t="s">
        <v>169</v>
      </c>
      <c r="K4919">
        <v>0</v>
      </c>
    </row>
    <row r="4920" spans="5:11" x14ac:dyDescent="0.25">
      <c r="E4920" t="s">
        <v>169</v>
      </c>
      <c r="K4920">
        <v>0</v>
      </c>
    </row>
    <row r="4921" spans="5:11" x14ac:dyDescent="0.25">
      <c r="E4921" t="s">
        <v>169</v>
      </c>
      <c r="K4921">
        <v>0</v>
      </c>
    </row>
    <row r="4922" spans="5:11" x14ac:dyDescent="0.25">
      <c r="E4922" t="s">
        <v>169</v>
      </c>
      <c r="K4922">
        <v>0</v>
      </c>
    </row>
    <row r="4923" spans="5:11" x14ac:dyDescent="0.25">
      <c r="E4923" t="s">
        <v>169</v>
      </c>
      <c r="K4923">
        <v>0</v>
      </c>
    </row>
    <row r="4924" spans="5:11" x14ac:dyDescent="0.25">
      <c r="E4924" t="s">
        <v>169</v>
      </c>
      <c r="K4924">
        <v>0</v>
      </c>
    </row>
    <row r="4925" spans="5:11" x14ac:dyDescent="0.25">
      <c r="E4925" t="s">
        <v>169</v>
      </c>
      <c r="K4925">
        <v>0</v>
      </c>
    </row>
    <row r="4926" spans="5:11" x14ac:dyDescent="0.25">
      <c r="E4926" t="s">
        <v>169</v>
      </c>
      <c r="K4926">
        <v>0</v>
      </c>
    </row>
    <row r="4927" spans="5:11" x14ac:dyDescent="0.25">
      <c r="E4927" t="s">
        <v>169</v>
      </c>
      <c r="K4927">
        <v>0</v>
      </c>
    </row>
    <row r="4928" spans="5:11" x14ac:dyDescent="0.25">
      <c r="E4928" t="s">
        <v>169</v>
      </c>
      <c r="K4928">
        <v>0</v>
      </c>
    </row>
    <row r="4929" spans="5:11" x14ac:dyDescent="0.25">
      <c r="E4929" t="s">
        <v>169</v>
      </c>
      <c r="K4929">
        <v>0</v>
      </c>
    </row>
    <row r="4930" spans="5:11" x14ac:dyDescent="0.25">
      <c r="E4930" t="s">
        <v>169</v>
      </c>
      <c r="K4930">
        <v>0</v>
      </c>
    </row>
    <row r="4931" spans="5:11" x14ac:dyDescent="0.25">
      <c r="E4931" t="s">
        <v>169</v>
      </c>
      <c r="K4931">
        <v>0</v>
      </c>
    </row>
    <row r="4932" spans="5:11" x14ac:dyDescent="0.25">
      <c r="E4932" t="s">
        <v>169</v>
      </c>
      <c r="K4932">
        <v>0</v>
      </c>
    </row>
    <row r="4933" spans="5:11" x14ac:dyDescent="0.25">
      <c r="E4933" t="s">
        <v>169</v>
      </c>
      <c r="K4933">
        <v>0</v>
      </c>
    </row>
    <row r="4934" spans="5:11" x14ac:dyDescent="0.25">
      <c r="E4934" t="s">
        <v>169</v>
      </c>
      <c r="K4934">
        <v>0</v>
      </c>
    </row>
    <row r="4935" spans="5:11" x14ac:dyDescent="0.25">
      <c r="E4935" t="s">
        <v>169</v>
      </c>
      <c r="K4935">
        <v>0</v>
      </c>
    </row>
    <row r="4936" spans="5:11" x14ac:dyDescent="0.25">
      <c r="E4936" t="s">
        <v>169</v>
      </c>
      <c r="K4936">
        <v>0</v>
      </c>
    </row>
    <row r="4937" spans="5:11" x14ac:dyDescent="0.25">
      <c r="E4937" t="s">
        <v>169</v>
      </c>
      <c r="K4937">
        <v>0</v>
      </c>
    </row>
    <row r="4938" spans="5:11" x14ac:dyDescent="0.25">
      <c r="E4938" t="s">
        <v>169</v>
      </c>
      <c r="K4938">
        <v>0</v>
      </c>
    </row>
    <row r="4939" spans="5:11" x14ac:dyDescent="0.25">
      <c r="E4939" t="s">
        <v>169</v>
      </c>
      <c r="K4939">
        <v>0</v>
      </c>
    </row>
    <row r="4940" spans="5:11" x14ac:dyDescent="0.25">
      <c r="E4940" t="s">
        <v>169</v>
      </c>
      <c r="K4940">
        <v>0</v>
      </c>
    </row>
    <row r="4941" spans="5:11" x14ac:dyDescent="0.25">
      <c r="E4941" t="s">
        <v>169</v>
      </c>
      <c r="K4941">
        <v>0</v>
      </c>
    </row>
    <row r="4942" spans="5:11" x14ac:dyDescent="0.25">
      <c r="E4942" t="s">
        <v>169</v>
      </c>
      <c r="K4942">
        <v>0</v>
      </c>
    </row>
    <row r="4943" spans="5:11" x14ac:dyDescent="0.25">
      <c r="E4943" t="s">
        <v>169</v>
      </c>
      <c r="K4943">
        <v>0</v>
      </c>
    </row>
    <row r="4944" spans="5:11" x14ac:dyDescent="0.25">
      <c r="E4944" t="s">
        <v>169</v>
      </c>
      <c r="K4944">
        <v>0</v>
      </c>
    </row>
    <row r="4945" spans="5:11" x14ac:dyDescent="0.25">
      <c r="E4945" t="s">
        <v>169</v>
      </c>
      <c r="K4945">
        <v>0</v>
      </c>
    </row>
    <row r="4946" spans="5:11" x14ac:dyDescent="0.25">
      <c r="E4946" t="s">
        <v>169</v>
      </c>
      <c r="K4946">
        <v>0</v>
      </c>
    </row>
    <row r="4947" spans="5:11" x14ac:dyDescent="0.25">
      <c r="E4947" t="s">
        <v>169</v>
      </c>
      <c r="K4947">
        <v>0</v>
      </c>
    </row>
    <row r="4948" spans="5:11" x14ac:dyDescent="0.25">
      <c r="E4948" t="s">
        <v>169</v>
      </c>
      <c r="K4948">
        <v>0</v>
      </c>
    </row>
    <row r="4949" spans="5:11" x14ac:dyDescent="0.25">
      <c r="E4949" t="s">
        <v>169</v>
      </c>
      <c r="K4949">
        <v>0</v>
      </c>
    </row>
    <row r="4950" spans="5:11" x14ac:dyDescent="0.25">
      <c r="E4950" t="s">
        <v>169</v>
      </c>
      <c r="K4950">
        <v>0</v>
      </c>
    </row>
    <row r="4951" spans="5:11" x14ac:dyDescent="0.25">
      <c r="E4951" t="s">
        <v>169</v>
      </c>
      <c r="K4951">
        <v>0</v>
      </c>
    </row>
    <row r="4952" spans="5:11" x14ac:dyDescent="0.25">
      <c r="E4952" t="s">
        <v>169</v>
      </c>
      <c r="K4952">
        <v>0</v>
      </c>
    </row>
    <row r="4953" spans="5:11" x14ac:dyDescent="0.25">
      <c r="E4953" t="s">
        <v>169</v>
      </c>
      <c r="K4953">
        <v>0</v>
      </c>
    </row>
    <row r="4954" spans="5:11" x14ac:dyDescent="0.25">
      <c r="E4954" t="s">
        <v>169</v>
      </c>
      <c r="K4954">
        <v>0</v>
      </c>
    </row>
    <row r="4955" spans="5:11" x14ac:dyDescent="0.25">
      <c r="E4955" t="s">
        <v>169</v>
      </c>
      <c r="K4955">
        <v>0</v>
      </c>
    </row>
    <row r="4956" spans="5:11" x14ac:dyDescent="0.25">
      <c r="E4956" t="s">
        <v>169</v>
      </c>
      <c r="K4956">
        <v>0</v>
      </c>
    </row>
    <row r="4957" spans="5:11" x14ac:dyDescent="0.25">
      <c r="E4957" t="s">
        <v>169</v>
      </c>
      <c r="K4957">
        <v>0</v>
      </c>
    </row>
    <row r="4958" spans="5:11" x14ac:dyDescent="0.25">
      <c r="E4958" t="s">
        <v>169</v>
      </c>
      <c r="K4958">
        <v>0</v>
      </c>
    </row>
    <row r="4959" spans="5:11" x14ac:dyDescent="0.25">
      <c r="E4959" t="s">
        <v>169</v>
      </c>
      <c r="K4959">
        <v>0</v>
      </c>
    </row>
  </sheetData>
  <sheetProtection algorithmName="SHA-512" hashValue="xCz8Kl5XiBPl9hb+ca/XS5RkFjCSqcmYgvlfAx/efxD5jfKa65McrfxNNJjCe4v9uItQ+B45HVD7I3HgGBJuzQ==" saltValue="fEUynge3TzmS3CCxI7xPLw==" spinCount="100000" sheet="1" objects="1" scenarios="1"/>
  <autoFilter ref="A4:K4959" xr:uid="{00000000-0001-0000-1E00-000000000000}"/>
  <sortState xmlns:xlrd2="http://schemas.microsoft.com/office/spreadsheetml/2017/richdata2" ref="A5:K1889">
    <sortCondition ref="A5:A1889"/>
    <sortCondition ref="C5:C1889"/>
  </sortState>
  <pageMargins left="0.75" right="0.75" top="1" bottom="1" header="0.5" footer="0.5"/>
  <pageSetup orientation="portrait" verticalDpi="300"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85"/>
  <sheetViews>
    <sheetView showGridLines="0" zoomScale="85" zoomScaleNormal="85" workbookViewId="0"/>
  </sheetViews>
  <sheetFormatPr defaultColWidth="9.28515625" defaultRowHeight="15" x14ac:dyDescent="0.25"/>
  <cols>
    <col min="1" max="1" width="13.28515625" customWidth="1"/>
    <col min="2" max="2" width="3.42578125" customWidth="1"/>
    <col min="5" max="5" width="51.42578125" customWidth="1"/>
    <col min="8" max="8" width="16" customWidth="1"/>
    <col min="11" max="11" width="11.28515625" bestFit="1" customWidth="1"/>
    <col min="13" max="13" width="13.42578125" customWidth="1"/>
    <col min="27" max="27" width="9.28515625" customWidth="1"/>
  </cols>
  <sheetData>
    <row r="1" spans="2:21" x14ac:dyDescent="0.25">
      <c r="U1" s="533" t="s">
        <v>58</v>
      </c>
    </row>
    <row r="2" spans="2:21" x14ac:dyDescent="0.25">
      <c r="C2" t="b">
        <v>0</v>
      </c>
    </row>
    <row r="3" spans="2:21" x14ac:dyDescent="0.25">
      <c r="C3" t="b">
        <v>0</v>
      </c>
    </row>
    <row r="12" spans="2:21" x14ac:dyDescent="0.25">
      <c r="B12" s="539"/>
      <c r="C12" s="539"/>
      <c r="D12" s="539"/>
      <c r="E12" s="539"/>
      <c r="F12" s="539"/>
      <c r="M12" s="17" t="s">
        <v>59</v>
      </c>
      <c r="N12" s="532">
        <v>1</v>
      </c>
    </row>
    <row r="13" spans="2:21" ht="15.75" thickBot="1" x14ac:dyDescent="0.3"/>
    <row r="14" spans="2:21" ht="16.5" customHeight="1" thickTop="1" thickBot="1" x14ac:dyDescent="0.3">
      <c r="E14" s="527" t="s">
        <v>60</v>
      </c>
      <c r="F14" s="1454" t="s">
        <v>311</v>
      </c>
      <c r="G14" s="1455"/>
      <c r="H14" s="1455"/>
      <c r="I14" s="1455"/>
      <c r="J14" s="1455"/>
      <c r="K14" s="1455"/>
      <c r="L14" s="1456"/>
    </row>
    <row r="15" spans="2:21" ht="15.75" hidden="1" thickBot="1" x14ac:dyDescent="0.3">
      <c r="E15" s="528"/>
      <c r="F15" s="537"/>
      <c r="G15" s="537"/>
      <c r="H15" s="537"/>
      <c r="I15" s="537"/>
      <c r="J15" s="537"/>
    </row>
    <row r="16" spans="2:21" ht="16.5" hidden="1" thickTop="1" thickBot="1" x14ac:dyDescent="0.3">
      <c r="E16" s="529" t="s">
        <v>61</v>
      </c>
      <c r="F16" s="1457"/>
      <c r="G16" s="1458"/>
      <c r="H16" s="1458"/>
      <c r="I16" s="1458"/>
      <c r="J16" s="1459"/>
    </row>
    <row r="17" spans="1:13" ht="15.75" thickBot="1" x14ac:dyDescent="0.3">
      <c r="E17" s="22"/>
    </row>
    <row r="18" spans="1:13" ht="16.5" thickTop="1" thickBot="1" x14ac:dyDescent="0.3">
      <c r="E18" s="529" t="s">
        <v>62</v>
      </c>
      <c r="F18" s="1460"/>
      <c r="G18" s="1461"/>
      <c r="H18" s="1461"/>
    </row>
    <row r="19" spans="1:13" ht="15.75" thickBot="1" x14ac:dyDescent="0.3">
      <c r="E19" s="22"/>
    </row>
    <row r="20" spans="1:13" ht="16.5" thickTop="1" thickBot="1" x14ac:dyDescent="0.3">
      <c r="E20" s="529" t="s">
        <v>63</v>
      </c>
      <c r="F20" s="1460"/>
      <c r="G20" s="1461"/>
      <c r="H20" s="1461"/>
      <c r="I20" s="1461"/>
      <c r="J20" s="1461"/>
      <c r="K20" s="1461"/>
      <c r="M20" s="538"/>
    </row>
    <row r="21" spans="1:13" ht="15.75" thickBot="1" x14ac:dyDescent="0.3">
      <c r="E21" s="530"/>
      <c r="F21" s="537"/>
      <c r="G21" s="537"/>
      <c r="H21" s="537"/>
      <c r="I21" s="537"/>
      <c r="J21" s="537"/>
    </row>
    <row r="22" spans="1:13" ht="16.5" thickTop="1" thickBot="1" x14ac:dyDescent="0.3">
      <c r="E22" s="527" t="s">
        <v>64</v>
      </c>
      <c r="F22" s="1460"/>
      <c r="G22" s="1461"/>
      <c r="H22" s="1461"/>
    </row>
    <row r="23" spans="1:13" ht="15.75" thickBot="1" x14ac:dyDescent="0.3">
      <c r="E23" s="530"/>
      <c r="F23" s="537"/>
      <c r="G23" s="537"/>
      <c r="H23" s="537"/>
      <c r="I23" s="537"/>
      <c r="J23" s="537"/>
      <c r="M23" s="540"/>
    </row>
    <row r="24" spans="1:13" ht="16.5" thickTop="1" thickBot="1" x14ac:dyDescent="0.3">
      <c r="E24" s="527" t="s">
        <v>65</v>
      </c>
      <c r="F24" s="1460"/>
      <c r="G24" s="1461"/>
      <c r="H24" s="1461"/>
      <c r="I24" s="1461"/>
      <c r="J24" s="1461"/>
    </row>
    <row r="25" spans="1:13" ht="15.75" thickBot="1" x14ac:dyDescent="0.3">
      <c r="E25" s="530"/>
      <c r="F25" s="537"/>
      <c r="G25" s="537"/>
      <c r="H25" s="537"/>
      <c r="I25" s="537"/>
      <c r="J25" s="537"/>
    </row>
    <row r="26" spans="1:13" ht="16.5" customHeight="1" thickTop="1" thickBot="1" x14ac:dyDescent="0.3">
      <c r="E26" s="527" t="s">
        <v>66</v>
      </c>
      <c r="F26" s="1465">
        <v>46023</v>
      </c>
      <c r="G26" s="1466"/>
      <c r="H26" s="1466"/>
      <c r="K26" s="540"/>
    </row>
    <row r="27" spans="1:13" ht="15.75" thickBot="1" x14ac:dyDescent="0.3"/>
    <row r="28" spans="1:13" ht="16.5" thickTop="1" thickBot="1" x14ac:dyDescent="0.3">
      <c r="E28" s="531" t="s">
        <v>67</v>
      </c>
      <c r="F28" s="1439" t="s">
        <v>9724</v>
      </c>
      <c r="G28" s="1440"/>
      <c r="H28" s="1441"/>
    </row>
    <row r="29" spans="1:13" ht="15.75" thickBot="1" x14ac:dyDescent="0.3"/>
    <row r="30" spans="1:13" ht="30.75" customHeight="1" thickTop="1" thickBot="1" x14ac:dyDescent="0.3">
      <c r="A30" s="1438" t="s">
        <v>68</v>
      </c>
      <c r="B30" s="1438"/>
      <c r="C30" s="1438"/>
      <c r="D30" s="1438"/>
      <c r="E30" s="1445"/>
      <c r="F30" s="1439">
        <v>2025</v>
      </c>
      <c r="G30" s="1440"/>
      <c r="H30" s="1441"/>
    </row>
    <row r="31" spans="1:13" ht="78" customHeight="1" thickBot="1" x14ac:dyDescent="0.3">
      <c r="A31" s="1438" t="s">
        <v>69</v>
      </c>
      <c r="B31" s="1438"/>
      <c r="C31" s="1438"/>
      <c r="D31" s="1438"/>
      <c r="E31" s="1438"/>
      <c r="F31" s="1438"/>
      <c r="G31" s="1438"/>
      <c r="H31" s="1438"/>
      <c r="I31" s="1438"/>
      <c r="J31" s="1438"/>
    </row>
    <row r="32" spans="1:13" ht="30.75" customHeight="1" thickTop="1" thickBot="1" x14ac:dyDescent="0.3">
      <c r="A32" s="1438" t="s">
        <v>70</v>
      </c>
      <c r="B32" s="1438"/>
      <c r="C32" s="1438"/>
      <c r="D32" s="1438"/>
      <c r="E32" s="1445"/>
      <c r="F32" s="785">
        <v>2023</v>
      </c>
      <c r="G32" s="593"/>
      <c r="H32" s="593"/>
    </row>
    <row r="33" spans="1:8" ht="6.75" customHeight="1" thickTop="1" thickBot="1" x14ac:dyDescent="0.3">
      <c r="A33" s="596"/>
      <c r="B33" s="596"/>
      <c r="C33" s="596"/>
      <c r="D33" s="596"/>
      <c r="E33" s="596"/>
    </row>
    <row r="34" spans="1:8" ht="74.25" customHeight="1" thickTop="1" x14ac:dyDescent="0.25">
      <c r="A34" s="1438" t="s">
        <v>71</v>
      </c>
      <c r="B34" s="1438"/>
      <c r="C34" s="1438"/>
      <c r="D34" s="1438"/>
      <c r="E34" s="1438"/>
      <c r="F34" s="1442">
        <v>2023</v>
      </c>
      <c r="G34" s="592"/>
      <c r="H34" s="592"/>
    </row>
    <row r="35" spans="1:8" ht="30.4" customHeight="1" x14ac:dyDescent="0.25">
      <c r="A35" s="1438" t="s">
        <v>72</v>
      </c>
      <c r="B35" s="1438"/>
      <c r="C35" s="1438"/>
      <c r="D35" s="1438"/>
      <c r="E35" s="1438"/>
      <c r="F35" s="1443"/>
      <c r="G35" s="592"/>
      <c r="H35" s="592"/>
    </row>
    <row r="36" spans="1:8" ht="86.25" customHeight="1" x14ac:dyDescent="0.25">
      <c r="A36" s="1446" t="s">
        <v>73</v>
      </c>
      <c r="B36" s="1446"/>
      <c r="C36" s="1446"/>
      <c r="D36" s="1446"/>
      <c r="E36" s="1446"/>
      <c r="F36" s="1443"/>
      <c r="G36" s="592"/>
      <c r="H36" s="592"/>
    </row>
    <row r="37" spans="1:8" ht="4.5" customHeight="1" thickBot="1" x14ac:dyDescent="0.3">
      <c r="A37" s="1438"/>
      <c r="B37" s="1438"/>
      <c r="C37" s="1438"/>
      <c r="D37" s="1438"/>
      <c r="E37" s="1438"/>
      <c r="F37" s="1444"/>
      <c r="G37" s="592"/>
      <c r="H37" s="592"/>
    </row>
    <row r="38" spans="1:8" ht="30.75" customHeight="1" thickTop="1" thickBot="1" x14ac:dyDescent="0.3">
      <c r="A38" s="596"/>
      <c r="B38" s="596"/>
      <c r="C38" s="596"/>
      <c r="D38" s="596"/>
      <c r="E38" s="596"/>
      <c r="F38" s="592"/>
      <c r="G38" s="592"/>
      <c r="H38" s="592"/>
    </row>
    <row r="39" spans="1:8" ht="17.25" customHeight="1" thickTop="1" x14ac:dyDescent="0.25">
      <c r="A39" s="1438" t="s">
        <v>74</v>
      </c>
      <c r="B39" s="1438"/>
      <c r="C39" s="1438"/>
      <c r="D39" s="1438"/>
      <c r="E39" s="1438"/>
      <c r="F39" s="1462">
        <v>2023</v>
      </c>
      <c r="G39" s="592"/>
      <c r="H39" s="592"/>
    </row>
    <row r="40" spans="1:8" ht="15" customHeight="1" thickBot="1" x14ac:dyDescent="0.3">
      <c r="A40" s="1438"/>
      <c r="B40" s="1438"/>
      <c r="C40" s="1438"/>
      <c r="D40" s="1438"/>
      <c r="E40" s="1438"/>
      <c r="F40" s="1463"/>
      <c r="G40" s="592"/>
      <c r="H40" s="592"/>
    </row>
    <row r="41" spans="1:8" ht="16.5" customHeight="1" thickTop="1" thickBot="1" x14ac:dyDescent="0.3">
      <c r="A41" s="1438" t="s">
        <v>75</v>
      </c>
      <c r="B41" s="1438"/>
      <c r="C41" s="1438"/>
      <c r="D41" s="1438"/>
      <c r="E41" s="1438"/>
      <c r="F41" s="593"/>
      <c r="G41" s="592"/>
      <c r="H41" s="592"/>
    </row>
    <row r="42" spans="1:8" ht="45.75" customHeight="1" thickTop="1" x14ac:dyDescent="0.25">
      <c r="A42" s="1438" t="s">
        <v>76</v>
      </c>
      <c r="B42" s="1438"/>
      <c r="C42" s="1438"/>
      <c r="D42" s="1438"/>
      <c r="E42" s="1438"/>
      <c r="F42" s="1442">
        <v>2023</v>
      </c>
      <c r="G42" s="592"/>
      <c r="H42" s="592"/>
    </row>
    <row r="43" spans="1:8" ht="18.75" customHeight="1" x14ac:dyDescent="0.25">
      <c r="A43" s="1438" t="s">
        <v>77</v>
      </c>
      <c r="B43" s="1438"/>
      <c r="C43" s="1438"/>
      <c r="D43" s="1438"/>
      <c r="E43" s="1438"/>
      <c r="F43" s="1443"/>
      <c r="G43" s="592"/>
      <c r="H43" s="592"/>
    </row>
    <row r="44" spans="1:8" ht="46.5" customHeight="1" x14ac:dyDescent="0.25">
      <c r="A44" s="1446" t="s">
        <v>78</v>
      </c>
      <c r="B44" s="1446"/>
      <c r="C44" s="1446"/>
      <c r="D44" s="1446"/>
      <c r="E44" s="1446"/>
      <c r="F44" s="1443"/>
      <c r="G44" s="592"/>
      <c r="H44" s="592"/>
    </row>
    <row r="45" spans="1:8" ht="48" customHeight="1" thickBot="1" x14ac:dyDescent="0.3">
      <c r="A45" s="1446" t="s">
        <v>79</v>
      </c>
      <c r="B45" s="1446"/>
      <c r="C45" s="1446"/>
      <c r="D45" s="1446"/>
      <c r="E45" s="1446"/>
      <c r="F45" s="1444"/>
      <c r="G45" s="592"/>
      <c r="H45" s="592"/>
    </row>
    <row r="46" spans="1:8" ht="7.35" customHeight="1" thickTop="1" thickBot="1" x14ac:dyDescent="0.3">
      <c r="A46" s="596"/>
      <c r="B46" s="596"/>
      <c r="C46" s="596"/>
      <c r="D46" s="596"/>
      <c r="E46" s="596"/>
      <c r="F46" s="592"/>
      <c r="G46" s="592"/>
      <c r="H46" s="592"/>
    </row>
    <row r="47" spans="1:8" ht="24" customHeight="1" thickTop="1" thickBot="1" x14ac:dyDescent="0.3">
      <c r="A47" s="1438" t="s">
        <v>80</v>
      </c>
      <c r="B47" s="1438"/>
      <c r="C47" s="1438"/>
      <c r="D47" s="1438"/>
      <c r="E47" s="1438"/>
      <c r="F47" s="594">
        <v>2020</v>
      </c>
      <c r="G47" s="592"/>
      <c r="H47" s="592"/>
    </row>
    <row r="48" spans="1:8" ht="34.5" customHeight="1" thickTop="1" thickBot="1" x14ac:dyDescent="0.3">
      <c r="A48" s="1464" t="s">
        <v>81</v>
      </c>
      <c r="B48" s="1464"/>
      <c r="C48" s="1464"/>
      <c r="D48" s="1464"/>
      <c r="E48" s="1464"/>
    </row>
    <row r="49" spans="1:19" ht="44.25" customHeight="1" thickTop="1" thickBot="1" x14ac:dyDescent="0.3">
      <c r="A49" s="1438" t="s">
        <v>82</v>
      </c>
      <c r="B49" s="1438"/>
      <c r="C49" s="1438"/>
      <c r="D49" s="1438"/>
      <c r="E49" s="1438"/>
      <c r="F49" s="594" t="s">
        <v>146</v>
      </c>
      <c r="G49" s="592"/>
      <c r="H49" s="592"/>
    </row>
    <row r="50" spans="1:19" ht="3.75" customHeight="1" thickTop="1" thickBot="1" x14ac:dyDescent="0.3">
      <c r="A50" s="1438"/>
      <c r="B50" s="1438"/>
      <c r="C50" s="1438"/>
      <c r="D50" s="1438"/>
      <c r="E50" s="1438"/>
    </row>
    <row r="51" spans="1:19" ht="54" customHeight="1" thickTop="1" thickBot="1" x14ac:dyDescent="0.3">
      <c r="A51" s="1438" t="s">
        <v>83</v>
      </c>
      <c r="B51" s="1438"/>
      <c r="C51" s="1438"/>
      <c r="D51" s="1438"/>
      <c r="E51" s="1438"/>
      <c r="F51" s="594" t="s">
        <v>146</v>
      </c>
      <c r="G51" s="592"/>
      <c r="H51" s="592"/>
    </row>
    <row r="52" spans="1:19" ht="15.75" customHeight="1" thickTop="1" thickBot="1" x14ac:dyDescent="0.3">
      <c r="A52" s="596"/>
      <c r="B52" s="596"/>
      <c r="C52" s="596"/>
      <c r="D52" s="596"/>
      <c r="E52" s="596"/>
    </row>
    <row r="53" spans="1:19" ht="22.5" customHeight="1" thickTop="1" thickBot="1" x14ac:dyDescent="0.3">
      <c r="A53" s="1438" t="str">
        <f>"7. Retail Transmission Service Rates:    " &amp; LDCNAME1 &amp; " is:"</f>
        <v>7. Retail Transmission Service Rates:    Toronto Hydro-Electric System Limited is:</v>
      </c>
      <c r="B53" s="1438"/>
      <c r="C53" s="1438"/>
      <c r="D53" s="1438"/>
      <c r="E53" s="1445"/>
      <c r="F53" s="1439" t="s">
        <v>9725</v>
      </c>
      <c r="G53" s="1440"/>
      <c r="H53" s="1441"/>
      <c r="I53" s="17" t="str">
        <f>IF(F53="Partially Embedded","Within","")</f>
        <v/>
      </c>
      <c r="J53" s="1453"/>
      <c r="K53" s="1453"/>
      <c r="L53" s="1453"/>
      <c r="M53" s="1453"/>
      <c r="N53" s="1453"/>
      <c r="O53" s="1453"/>
      <c r="P53" s="1453"/>
      <c r="Q53" s="1453"/>
      <c r="R53" s="1453"/>
      <c r="S53" s="17" t="str">
        <f>IF(F53="Partially Embedded","Distribution System(s)","")</f>
        <v/>
      </c>
    </row>
    <row r="54" spans="1:19" ht="16.5" customHeight="1" thickBot="1" x14ac:dyDescent="0.3">
      <c r="A54" s="595"/>
      <c r="B54" s="595"/>
      <c r="C54" s="595"/>
      <c r="D54" s="595"/>
      <c r="E54" s="595"/>
      <c r="J54" s="534" t="str">
        <f>IF(F53="Partially Embedded","(If necessary, enter all host-distributors' names in the above green shaded cell.)","")</f>
        <v/>
      </c>
    </row>
    <row r="55" spans="1:19" ht="24" customHeight="1" thickTop="1" thickBot="1" x14ac:dyDescent="0.3">
      <c r="A55" s="1438" t="s">
        <v>84</v>
      </c>
      <c r="B55" s="1438"/>
      <c r="C55" s="1438"/>
      <c r="D55" s="1438"/>
      <c r="E55" s="1438"/>
      <c r="F55" s="1439" t="s">
        <v>146</v>
      </c>
      <c r="G55" s="1440"/>
      <c r="H55" s="1441"/>
    </row>
    <row r="56" spans="1:19" ht="3.75" customHeight="1" x14ac:dyDescent="0.25">
      <c r="A56" s="520"/>
      <c r="B56" s="520"/>
      <c r="C56" s="520"/>
      <c r="D56" s="520"/>
      <c r="E56" s="520"/>
    </row>
    <row r="57" spans="1:19" ht="11.25" customHeight="1" thickBot="1" x14ac:dyDescent="0.3">
      <c r="A57" s="520"/>
      <c r="B57" s="520"/>
      <c r="C57" s="520"/>
      <c r="D57" s="520"/>
      <c r="E57" s="520"/>
    </row>
    <row r="58" spans="1:19" ht="21" customHeight="1" thickTop="1" thickBot="1" x14ac:dyDescent="0.3">
      <c r="A58" s="1438" t="s">
        <v>85</v>
      </c>
      <c r="B58" s="1438"/>
      <c r="C58" s="1438"/>
      <c r="D58" s="1438"/>
      <c r="E58" s="1438"/>
      <c r="F58" s="1439" t="s">
        <v>128</v>
      </c>
      <c r="G58" s="1440"/>
      <c r="H58" s="1441"/>
    </row>
    <row r="59" spans="1:19" ht="11.25" customHeight="1" x14ac:dyDescent="0.25">
      <c r="A59" s="520"/>
      <c r="B59" s="520"/>
      <c r="C59" s="520"/>
      <c r="D59" s="520"/>
      <c r="E59" s="520"/>
    </row>
    <row r="60" spans="1:19" ht="11.25" customHeight="1" x14ac:dyDescent="0.25">
      <c r="A60" s="520"/>
      <c r="B60" s="520"/>
      <c r="C60" s="520"/>
      <c r="D60" s="520"/>
      <c r="E60" s="520"/>
    </row>
    <row r="61" spans="1:19" ht="11.25" customHeight="1" x14ac:dyDescent="0.25">
      <c r="A61" s="520"/>
      <c r="B61" s="520"/>
      <c r="C61" s="520"/>
      <c r="D61" s="520"/>
      <c r="E61" s="520"/>
    </row>
    <row r="62" spans="1:19" ht="9.75" customHeight="1" x14ac:dyDescent="0.25"/>
    <row r="63" spans="1:19" ht="21.75" customHeight="1" x14ac:dyDescent="0.25">
      <c r="B63" s="521" t="s">
        <v>86</v>
      </c>
    </row>
    <row r="64" spans="1:19" ht="15.75" thickBot="1" x14ac:dyDescent="0.3"/>
    <row r="65" spans="1:14" ht="15.75" thickBot="1" x14ac:dyDescent="0.3">
      <c r="B65" s="522"/>
      <c r="C65" s="1448" t="s">
        <v>87</v>
      </c>
      <c r="D65" s="1448"/>
      <c r="E65" s="1448"/>
      <c r="F65" s="1448"/>
      <c r="G65" s="1448"/>
      <c r="H65" s="1448"/>
      <c r="I65" s="1448"/>
      <c r="J65" s="1448"/>
      <c r="K65" s="1448"/>
      <c r="L65" s="1448"/>
    </row>
    <row r="66" spans="1:14" ht="15.75" thickBot="1" x14ac:dyDescent="0.3">
      <c r="C66" s="354"/>
      <c r="D66" s="354"/>
      <c r="E66" s="354"/>
      <c r="F66" s="354"/>
      <c r="G66" s="354"/>
      <c r="H66" s="354"/>
      <c r="I66" s="354"/>
      <c r="J66" s="354"/>
      <c r="K66" s="354"/>
      <c r="L66" s="354"/>
    </row>
    <row r="67" spans="1:14" ht="15" customHeight="1" thickBot="1" x14ac:dyDescent="0.3">
      <c r="B67" s="523"/>
      <c r="C67" s="1449" t="s">
        <v>88</v>
      </c>
      <c r="D67" s="1450"/>
      <c r="E67" s="1450"/>
      <c r="F67" s="1450"/>
      <c r="G67" s="1450"/>
      <c r="H67" s="1450"/>
      <c r="I67" s="1450"/>
      <c r="J67" s="1450"/>
      <c r="K67" s="1450"/>
      <c r="L67" s="1450"/>
      <c r="M67" s="1450"/>
      <c r="N67" s="1450"/>
    </row>
    <row r="68" spans="1:14" ht="15.75" thickBot="1" x14ac:dyDescent="0.3"/>
    <row r="69" spans="1:14" ht="15.75" thickBot="1" x14ac:dyDescent="0.3">
      <c r="B69" s="524"/>
      <c r="C69" s="1449" t="s">
        <v>89</v>
      </c>
      <c r="D69" s="1450"/>
      <c r="E69" s="1450"/>
      <c r="F69" s="1450"/>
      <c r="G69" s="1450"/>
      <c r="H69" s="1450"/>
      <c r="I69" s="1450"/>
      <c r="J69" s="1450"/>
      <c r="K69" s="1450"/>
      <c r="L69" s="1450"/>
      <c r="M69" s="1450"/>
      <c r="N69" s="1450"/>
    </row>
    <row r="70" spans="1:14" ht="15.75" thickBot="1" x14ac:dyDescent="0.3">
      <c r="C70" s="536"/>
      <c r="D70" s="536"/>
      <c r="E70" s="536"/>
      <c r="F70" s="536"/>
      <c r="G70" s="536"/>
      <c r="H70" s="536"/>
      <c r="I70" s="536"/>
      <c r="J70" s="536"/>
      <c r="K70" s="536"/>
      <c r="L70" s="536"/>
      <c r="M70" s="536"/>
      <c r="N70" s="536"/>
    </row>
    <row r="71" spans="1:14" ht="15.75" thickBot="1" x14ac:dyDescent="0.3">
      <c r="B71" s="525"/>
      <c r="C71" s="1449" t="s">
        <v>90</v>
      </c>
      <c r="D71" s="1450"/>
      <c r="E71" s="1450"/>
      <c r="F71" s="1450"/>
      <c r="G71" s="1450"/>
      <c r="H71" s="1450"/>
      <c r="I71" s="1450"/>
      <c r="J71" s="1450"/>
      <c r="K71" s="1450"/>
      <c r="L71" s="1450"/>
      <c r="M71" s="536"/>
      <c r="N71" s="536"/>
    </row>
    <row r="72" spans="1:14" ht="15.75" customHeight="1" thickBot="1" x14ac:dyDescent="0.3">
      <c r="B72" s="363"/>
    </row>
    <row r="73" spans="1:14" ht="15.75" thickBot="1" x14ac:dyDescent="0.3">
      <c r="B73" s="526"/>
      <c r="C73" s="1451" t="s">
        <v>91</v>
      </c>
      <c r="D73" s="1452"/>
      <c r="E73" s="1452"/>
      <c r="F73" s="1452"/>
      <c r="G73" s="1452"/>
      <c r="H73" s="1452"/>
      <c r="I73" s="1452"/>
      <c r="J73" s="1452"/>
      <c r="K73" s="1452"/>
      <c r="L73" s="1452"/>
      <c r="M73" s="1452"/>
    </row>
    <row r="74" spans="1:14" ht="15.75" customHeight="1" x14ac:dyDescent="0.25"/>
    <row r="75" spans="1:14" ht="4.5" customHeight="1" x14ac:dyDescent="0.25"/>
    <row r="76" spans="1:14" ht="25.5" customHeight="1" x14ac:dyDescent="0.25">
      <c r="A76" s="1447"/>
      <c r="B76" s="1447"/>
      <c r="C76" s="1447"/>
      <c r="D76" s="1447"/>
      <c r="E76" s="1447"/>
      <c r="F76" s="1447"/>
      <c r="G76" s="1447"/>
    </row>
    <row r="77" spans="1:14" ht="8.25" customHeight="1" x14ac:dyDescent="0.25">
      <c r="A77" s="1447"/>
      <c r="B77" s="1447"/>
      <c r="C77" s="1447"/>
      <c r="D77" s="1447"/>
      <c r="E77" s="1447"/>
      <c r="F77" s="1447"/>
      <c r="G77" s="1447"/>
    </row>
    <row r="78" spans="1:14" ht="5.25" customHeight="1" x14ac:dyDescent="0.25"/>
    <row r="85" ht="81.75" customHeight="1" x14ac:dyDescent="0.25"/>
  </sheetData>
  <sheetProtection algorithmName="SHA-512" hashValue="2lrI/5iWS4oUli459BANvN/7oBMpR9OGTIGqDoeJYofM6GR79/M6Smz/cI5jw7Pho6DTteoxeFr+uL7b77b+EQ==" saltValue="DT4qe/3R7eIuW7fXPNq7cw==" spinCount="100000" sheet="1" objects="1" scenarios="1"/>
  <mergeCells count="44">
    <mergeCell ref="A30:E30"/>
    <mergeCell ref="F18:H18"/>
    <mergeCell ref="F20:K20"/>
    <mergeCell ref="F22:H22"/>
    <mergeCell ref="F26:H26"/>
    <mergeCell ref="J53:R53"/>
    <mergeCell ref="F14:L14"/>
    <mergeCell ref="F16:J16"/>
    <mergeCell ref="F24:J24"/>
    <mergeCell ref="F28:H28"/>
    <mergeCell ref="F30:H30"/>
    <mergeCell ref="F39:F40"/>
    <mergeCell ref="A31:J31"/>
    <mergeCell ref="A48:E48"/>
    <mergeCell ref="A49:E49"/>
    <mergeCell ref="A42:E42"/>
    <mergeCell ref="A43:E43"/>
    <mergeCell ref="A44:E44"/>
    <mergeCell ref="A45:E45"/>
    <mergeCell ref="A41:E41"/>
    <mergeCell ref="A32:E32"/>
    <mergeCell ref="A77:G77"/>
    <mergeCell ref="C65:L65"/>
    <mergeCell ref="C69:N69"/>
    <mergeCell ref="C71:L71"/>
    <mergeCell ref="C73:M73"/>
    <mergeCell ref="A76:G76"/>
    <mergeCell ref="C67:N67"/>
    <mergeCell ref="A35:E35"/>
    <mergeCell ref="A36:E36"/>
    <mergeCell ref="A37:E37"/>
    <mergeCell ref="F34:F37"/>
    <mergeCell ref="A39:E40"/>
    <mergeCell ref="A34:E34"/>
    <mergeCell ref="A58:E58"/>
    <mergeCell ref="F58:H58"/>
    <mergeCell ref="A47:E47"/>
    <mergeCell ref="F42:F45"/>
    <mergeCell ref="A50:E50"/>
    <mergeCell ref="A55:E55"/>
    <mergeCell ref="F55:H55"/>
    <mergeCell ref="A51:E51"/>
    <mergeCell ref="F53:H53"/>
    <mergeCell ref="A53:E53"/>
  </mergeCells>
  <conditionalFormatting sqref="J53">
    <cfRule type="expression" dxfId="0" priority="1">
      <formula>$F$53="Partially Embedded"</formula>
    </cfRule>
  </conditionalFormatting>
  <dataValidations count="9">
    <dataValidation allowBlank="1" showInputMessage="1" showErrorMessage="1" prompt="First and last name, title" sqref="F20" xr:uid="{00000000-0002-0000-0100-000000000000}"/>
    <dataValidation type="list" showErrorMessage="1" errorTitle="Selection Needed" error="Please select an option from the drop-down list." prompt="Use the following format eg: January 1, 2013" sqref="F28:H28" xr:uid="{00000000-0002-0000-0100-000001000000}">
      <formula1>"Price Cap IR, Annual IR Index"</formula1>
    </dataValidation>
    <dataValidation type="list" errorTitle="Selection Needed" error="Please select an option from the drop-down list." prompt="Use the following format eg: January 1, 2013" sqref="F30:H30" xr:uid="{00000000-0002-0000-0100-000002000000}">
      <formula1>"2011,2012,2013, 2014, 2015, 2016, 2017, 2018, 2019,2020,2021,2022,2023,2024,2025"</formula1>
    </dataValidation>
    <dataValidation type="list" allowBlank="1" showInputMessage="1" showErrorMessage="1" sqref="F14:L14" xr:uid="{00000000-0002-0000-0100-000003000000}">
      <formula1>LDCList</formula1>
    </dataValidation>
    <dataValidation type="list" errorTitle="Selection Needed" error="Please select an option from the drop-down list." prompt="Use the following format eg: January 1, 2013" sqref="F55:H55 F49 F51 F58:H58" xr:uid="{00000000-0002-0000-0100-000004000000}">
      <formula1>"Yes,No"</formula1>
    </dataValidation>
    <dataValidation type="list" errorTitle="Selection Needed" error="Please select an option from the drop-down list." prompt="Use the following format eg: January 1, 2013" sqref="F47 F34:F37 F42:F45" xr:uid="{00000000-0002-0000-0100-000005000000}">
      <formula1>"2019,2020,2021,2022,2023,2024"</formula1>
    </dataValidation>
    <dataValidation type="list" showErrorMessage="1" errorTitle="Selection Needed" error="Please select an option from the drop-down list." prompt="Use the following format eg: January 1, 2013" sqref="F53:H53" xr:uid="{00000000-0002-0000-0100-000006000000}">
      <formula1>"Transmission Connected, Partially Embedded, Fully Embedded"</formula1>
    </dataValidation>
    <dataValidation errorTitle="Selection Needed" error="Please select an option from the drop-down list." prompt="Use the following format eg: January 1, 2013" sqref="G51:H51 G34:H42 G47:H47 G49:H49 F38" xr:uid="{00000000-0002-0000-0100-000008000000}"/>
    <dataValidation type="list" allowBlank="1" showInputMessage="1" showErrorMessage="1" sqref="F16:J16" xr:uid="{C20AE188-4F60-457E-A9CA-5DA256671478}">
      <formula1>Elexicon_SA</formula1>
    </dataValidation>
  </dataValidations>
  <pageMargins left="0.25" right="0.25" top="0.75" bottom="0.75" header="0.3" footer="0.3"/>
  <pageSetup scale="37" orientation="portrait" r:id="rId1"/>
  <headerFooter>
    <oddFooter>&amp;C&amp;A</oddFooter>
  </headerFooter>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6" r:id="rId5" name="Button 2">
              <controlPr defaultSize="0" print="0" autoFill="0" autoPict="0" macro="[0]!loadCalendar">
                <anchor moveWithCells="1" sizeWithCells="1">
                  <from>
                    <xdr:col>8</xdr:col>
                    <xdr:colOff>47625</xdr:colOff>
                    <xdr:row>25</xdr:row>
                    <xdr:rowOff>0</xdr:rowOff>
                  </from>
                  <to>
                    <xdr:col>8</xdr:col>
                    <xdr:colOff>333375</xdr:colOff>
                    <xdr:row>25</xdr:row>
                    <xdr:rowOff>257175</xdr:rowOff>
                  </to>
                </anchor>
              </controlPr>
            </control>
          </mc:Choice>
        </mc:AlternateContent>
        <mc:AlternateContent xmlns:mc="http://schemas.openxmlformats.org/markup-compatibility/2006">
          <mc:Choice Requires="x14">
            <control shapeId="1029" r:id="rId6" name="Check Box 5">
              <controlPr defaultSize="0" autoFill="0" autoLine="0" autoPict="0" macro="[0]!CheckBox5_Click">
                <anchor moveWithCells="1">
                  <from>
                    <xdr:col>19</xdr:col>
                    <xdr:colOff>228600</xdr:colOff>
                    <xdr:row>27</xdr:row>
                    <xdr:rowOff>28575</xdr:rowOff>
                  </from>
                  <to>
                    <xdr:col>20</xdr:col>
                    <xdr:colOff>114300</xdr:colOff>
                    <xdr:row>28</xdr:row>
                    <xdr:rowOff>85725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2:O71"/>
  <sheetViews>
    <sheetView showGridLines="0" topLeftCell="C20" workbookViewId="0">
      <selection activeCell="F38" sqref="F38"/>
    </sheetView>
  </sheetViews>
  <sheetFormatPr defaultColWidth="9.28515625" defaultRowHeight="12.75" x14ac:dyDescent="0.2"/>
  <cols>
    <col min="1" max="1" width="15.28515625" style="49" customWidth="1"/>
    <col min="2" max="2" width="29.28515625" style="49" customWidth="1"/>
    <col min="3" max="3" width="3.28515625" style="49" customWidth="1"/>
    <col min="4" max="4" width="34.7109375" style="49" customWidth="1"/>
    <col min="5" max="5" width="13.28515625" style="49" customWidth="1"/>
    <col min="6" max="6" width="12.28515625" style="49" customWidth="1"/>
    <col min="7" max="7" width="11.5703125" style="49" customWidth="1"/>
    <col min="8" max="8" width="18.28515625" style="49" customWidth="1"/>
    <col min="9" max="9" width="13.28515625" style="49" customWidth="1"/>
    <col min="10" max="10" width="13.42578125" style="49" customWidth="1"/>
    <col min="11" max="11" width="13.5703125" style="49" customWidth="1"/>
    <col min="12" max="12" width="13.28515625" style="49" customWidth="1"/>
    <col min="13" max="13" width="12.7109375" style="49" customWidth="1"/>
    <col min="14" max="14" width="12.7109375" style="49" bestFit="1" customWidth="1"/>
    <col min="15" max="16" width="10.7109375" style="49" bestFit="1" customWidth="1"/>
    <col min="17" max="17" width="3.7109375" style="49" customWidth="1"/>
    <col min="18" max="20" width="9.28515625" style="49"/>
    <col min="21" max="21" width="9.28515625" style="49" customWidth="1"/>
    <col min="22" max="16384" width="9.28515625" style="49"/>
  </cols>
  <sheetData>
    <row r="2" spans="1:15" x14ac:dyDescent="0.2">
      <c r="D2" s="190" t="s">
        <v>3674</v>
      </c>
      <c r="E2" s="1918"/>
      <c r="F2" s="1918"/>
      <c r="G2" s="1918"/>
      <c r="H2" s="1918"/>
      <c r="I2" s="1918"/>
      <c r="J2" s="1918"/>
      <c r="O2" s="49" t="e">
        <f>FIND("RESIDENTIAL", E2)</f>
        <v>#VALUE!</v>
      </c>
    </row>
    <row r="3" spans="1:15" x14ac:dyDescent="0.2">
      <c r="D3" s="190" t="s">
        <v>3675</v>
      </c>
      <c r="E3" s="1914"/>
      <c r="F3" s="1914"/>
      <c r="G3" s="1914"/>
      <c r="H3" s="191"/>
      <c r="I3" s="191"/>
    </row>
    <row r="4" spans="1:15" ht="15.75" x14ac:dyDescent="0.2">
      <c r="D4" s="190" t="s">
        <v>3676</v>
      </c>
      <c r="E4" s="192"/>
      <c r="F4" s="193" t="s">
        <v>379</v>
      </c>
      <c r="J4" s="194"/>
      <c r="K4" s="194"/>
      <c r="L4" s="194"/>
      <c r="M4" s="194"/>
      <c r="N4" s="194"/>
      <c r="O4" s="194"/>
    </row>
    <row r="5" spans="1:15" ht="15.75" x14ac:dyDescent="0.25">
      <c r="D5" s="190" t="s">
        <v>3677</v>
      </c>
      <c r="E5" s="192"/>
      <c r="F5" s="195" t="s">
        <v>380</v>
      </c>
      <c r="G5" s="196"/>
      <c r="H5" s="197"/>
      <c r="I5" s="197"/>
      <c r="J5" s="197"/>
    </row>
    <row r="6" spans="1:15" x14ac:dyDescent="0.2">
      <c r="D6" s="190" t="s">
        <v>3678</v>
      </c>
      <c r="E6" s="198"/>
    </row>
    <row r="7" spans="1:15" x14ac:dyDescent="0.2">
      <c r="D7" s="190" t="s">
        <v>3679</v>
      </c>
      <c r="E7" s="198"/>
    </row>
    <row r="9" spans="1:15" x14ac:dyDescent="0.2">
      <c r="E9" s="193"/>
      <c r="F9" s="1915" t="s">
        <v>3680</v>
      </c>
      <c r="G9" s="1916"/>
      <c r="H9" s="1917"/>
      <c r="I9" s="1915" t="s">
        <v>3681</v>
      </c>
      <c r="J9" s="1916"/>
      <c r="K9" s="1917"/>
      <c r="L9" s="1915" t="s">
        <v>3682</v>
      </c>
      <c r="M9" s="1917"/>
    </row>
    <row r="10" spans="1:15" x14ac:dyDescent="0.2">
      <c r="E10" s="1919"/>
      <c r="F10" s="199" t="s">
        <v>763</v>
      </c>
      <c r="G10" s="199" t="s">
        <v>3683</v>
      </c>
      <c r="H10" s="200" t="s">
        <v>3684</v>
      </c>
      <c r="I10" s="199" t="s">
        <v>763</v>
      </c>
      <c r="J10" s="201" t="s">
        <v>3683</v>
      </c>
      <c r="K10" s="200" t="s">
        <v>3684</v>
      </c>
      <c r="L10" s="1921" t="s">
        <v>3685</v>
      </c>
      <c r="M10" s="1923" t="s">
        <v>3686</v>
      </c>
    </row>
    <row r="11" spans="1:15" x14ac:dyDescent="0.2">
      <c r="E11" s="1920"/>
      <c r="F11" s="202" t="s">
        <v>3687</v>
      </c>
      <c r="G11" s="202"/>
      <c r="H11" s="203" t="s">
        <v>3687</v>
      </c>
      <c r="I11" s="202" t="s">
        <v>3687</v>
      </c>
      <c r="J11" s="203"/>
      <c r="K11" s="203" t="s">
        <v>3687</v>
      </c>
      <c r="L11" s="1922"/>
      <c r="M11" s="1924"/>
    </row>
    <row r="12" spans="1:15" x14ac:dyDescent="0.2">
      <c r="A12" s="49">
        <f>$E2</f>
        <v>0</v>
      </c>
      <c r="C12" s="266"/>
      <c r="D12" s="58" t="s">
        <v>958</v>
      </c>
      <c r="E12" s="238"/>
      <c r="F12" s="260"/>
      <c r="G12" s="224">
        <v>1</v>
      </c>
      <c r="H12" s="261">
        <f>G12*F12</f>
        <v>0</v>
      </c>
      <c r="I12" s="491"/>
      <c r="J12" s="498">
        <f>G12</f>
        <v>1</v>
      </c>
      <c r="K12" s="497">
        <f>J12*I12</f>
        <v>0</v>
      </c>
      <c r="L12" s="225">
        <f t="shared" ref="L12:L23" si="0">K12-H12</f>
        <v>0</v>
      </c>
      <c r="M12" s="262" t="str">
        <f>IF(ISERROR(L12/H12), "", L12/H12)</f>
        <v/>
      </c>
    </row>
    <row r="13" spans="1:15" x14ac:dyDescent="0.2">
      <c r="A13" s="49">
        <f>A12</f>
        <v>0</v>
      </c>
      <c r="C13" s="266"/>
      <c r="D13" s="58" t="s">
        <v>3688</v>
      </c>
      <c r="E13" s="238"/>
      <c r="F13" s="242"/>
      <c r="G13" s="224">
        <f>IF($E5&gt;0, $E5, $E4)</f>
        <v>0</v>
      </c>
      <c r="H13" s="261">
        <f t="shared" ref="H13:H25" si="1">G13*F13</f>
        <v>0</v>
      </c>
      <c r="I13" s="492"/>
      <c r="J13" s="498">
        <f>IF($E5&gt;0, $E5, $E4)</f>
        <v>0</v>
      </c>
      <c r="K13" s="497">
        <f>J13*I13</f>
        <v>0</v>
      </c>
      <c r="L13" s="225">
        <f t="shared" si="0"/>
        <v>0</v>
      </c>
      <c r="M13" s="262" t="str">
        <f t="shared" ref="M13:M23" si="2">IF(ISERROR(L13/H13), "", L13/H13)</f>
        <v/>
      </c>
    </row>
    <row r="14" spans="1:15" x14ac:dyDescent="0.2">
      <c r="A14" s="49">
        <f t="shared" ref="A14:A55" si="3">A13</f>
        <v>0</v>
      </c>
      <c r="C14" s="266"/>
      <c r="D14" s="58" t="s">
        <v>3689</v>
      </c>
      <c r="E14" s="238"/>
      <c r="F14" s="242"/>
      <c r="G14" s="224">
        <f>IF($E5&gt;0, $E5, $E4)</f>
        <v>0</v>
      </c>
      <c r="H14" s="261">
        <v>-60.5</v>
      </c>
      <c r="I14" s="492"/>
      <c r="J14" s="498">
        <f>IF($E5&gt;0, $E5, $E4)</f>
        <v>0</v>
      </c>
      <c r="K14" s="497">
        <v>-60.5</v>
      </c>
      <c r="L14" s="225"/>
      <c r="M14" s="262"/>
    </row>
    <row r="15" spans="1:15" x14ac:dyDescent="0.2">
      <c r="A15" s="49">
        <f t="shared" si="3"/>
        <v>0</v>
      </c>
      <c r="C15" s="266"/>
      <c r="D15" s="58" t="s">
        <v>3690</v>
      </c>
      <c r="E15" s="238"/>
      <c r="F15" s="242"/>
      <c r="G15" s="224">
        <f>IF($E5&gt;0, $E5, $E4)</f>
        <v>0</v>
      </c>
      <c r="H15" s="261" t="e">
        <f>IF(H12+H13+H14&gt;DRP,-(H12+H13+H14-DRP),0)</f>
        <v>#REF!</v>
      </c>
      <c r="I15" s="492"/>
      <c r="J15" s="501">
        <f>IF($E5&gt;0, $E5, $E4)</f>
        <v>0</v>
      </c>
      <c r="K15" s="497" t="e">
        <f>IF(K12+K13+K14&gt;DRP,-(K12+K13+K14-DRP),0)</f>
        <v>#REF!</v>
      </c>
      <c r="L15" s="225" t="e">
        <f>K15-H15</f>
        <v>#REF!</v>
      </c>
      <c r="M15" s="262" t="str">
        <f>IF(ISERROR(L15/H15), "", L15/H15)</f>
        <v/>
      </c>
    </row>
    <row r="16" spans="1:15" x14ac:dyDescent="0.2">
      <c r="A16" s="49">
        <f t="shared" si="3"/>
        <v>0</v>
      </c>
      <c r="C16" s="266"/>
      <c r="D16" s="58" t="s">
        <v>3691</v>
      </c>
      <c r="E16" s="238"/>
      <c r="F16" s="260"/>
      <c r="G16" s="224">
        <v>1</v>
      </c>
      <c r="H16" s="261">
        <f t="shared" si="1"/>
        <v>0</v>
      </c>
      <c r="I16" s="491"/>
      <c r="J16" s="498">
        <f>G16</f>
        <v>1</v>
      </c>
      <c r="K16" s="497">
        <f t="shared" ref="K16:K23" si="4">J16*I16</f>
        <v>0</v>
      </c>
      <c r="L16" s="225">
        <f t="shared" si="0"/>
        <v>0</v>
      </c>
      <c r="M16" s="262" t="str">
        <f t="shared" si="2"/>
        <v/>
      </c>
    </row>
    <row r="17" spans="1:14" x14ac:dyDescent="0.2">
      <c r="A17" s="49">
        <f t="shared" si="3"/>
        <v>0</v>
      </c>
      <c r="C17" s="266"/>
      <c r="D17" s="58" t="s">
        <v>3692</v>
      </c>
      <c r="E17" s="238"/>
      <c r="F17" s="242"/>
      <c r="G17" s="224">
        <f>IF($E5&gt;0, $E5, $E4)</f>
        <v>0</v>
      </c>
      <c r="H17" s="261">
        <f t="shared" si="1"/>
        <v>0</v>
      </c>
      <c r="I17" s="492"/>
      <c r="J17" s="498">
        <f>IF($E5&gt;0, $E5, $E4)</f>
        <v>0</v>
      </c>
      <c r="K17" s="497">
        <f t="shared" si="4"/>
        <v>0</v>
      </c>
      <c r="L17" s="225">
        <f t="shared" si="0"/>
        <v>0</v>
      </c>
      <c r="M17" s="262" t="str">
        <f t="shared" si="2"/>
        <v/>
      </c>
    </row>
    <row r="18" spans="1:14" x14ac:dyDescent="0.2">
      <c r="A18" s="49">
        <f t="shared" si="3"/>
        <v>0</v>
      </c>
      <c r="B18" s="49" t="s">
        <v>3693</v>
      </c>
      <c r="C18" s="266"/>
      <c r="D18" s="205" t="s">
        <v>3694</v>
      </c>
      <c r="E18" s="206"/>
      <c r="F18" s="263"/>
      <c r="G18" s="430"/>
      <c r="H18" s="431" t="e">
        <f>SUM(H12:H17)</f>
        <v>#REF!</v>
      </c>
      <c r="I18" s="264"/>
      <c r="J18" s="212"/>
      <c r="K18" s="431" t="e">
        <f>SUM(K12:K17)</f>
        <v>#REF!</v>
      </c>
      <c r="L18" s="207" t="e">
        <f t="shared" si="0"/>
        <v>#REF!</v>
      </c>
      <c r="M18" s="208" t="e">
        <f>IF((H18)=0,"",(L18/H18))</f>
        <v>#REF!</v>
      </c>
    </row>
    <row r="19" spans="1:14" x14ac:dyDescent="0.2">
      <c r="A19" s="49">
        <f t="shared" si="3"/>
        <v>0</v>
      </c>
      <c r="C19" s="266"/>
      <c r="D19" s="61" t="s">
        <v>3695</v>
      </c>
      <c r="E19" s="238"/>
      <c r="F19" s="242">
        <f>IF((E4*12&gt;=150000), 0, IF(E3="RPP",(F35*OffPeakPer+F36*MidPeakPer+F37*OnPeakPer),IF(E3="Non-RPP (Retailer)",F38,F39)))</f>
        <v>0.15959999999999999</v>
      </c>
      <c r="G19" s="247">
        <f>IF(F19=0, 0, $E4*E6-E4)</f>
        <v>0</v>
      </c>
      <c r="H19" s="261">
        <f>G19*F19</f>
        <v>0</v>
      </c>
      <c r="I19" s="492">
        <f>IF((E4*12&gt;=150000), 0, IF(E3="RPP",(I35*OffPeakPer+I36*MidPeakPer+I37*OnPeakPer),IF(E3="Non-RPP (Retailer)",I38,I39)))</f>
        <v>0.15959999999999999</v>
      </c>
      <c r="J19" s="496">
        <f>IF(I19=0, 0, E4*E7-E4)</f>
        <v>0</v>
      </c>
      <c r="K19" s="497">
        <f>J19*I19</f>
        <v>0</v>
      </c>
      <c r="L19" s="225">
        <f>K19-H19</f>
        <v>0</v>
      </c>
      <c r="M19" s="262" t="str">
        <f>IF(ISERROR(L19/H19), "", L19/H19)</f>
        <v/>
      </c>
    </row>
    <row r="20" spans="1:14" ht="25.5" x14ac:dyDescent="0.2">
      <c r="A20" s="49">
        <f t="shared" si="3"/>
        <v>0</v>
      </c>
      <c r="C20" s="266"/>
      <c r="D20" s="61" t="s">
        <v>3696</v>
      </c>
      <c r="E20" s="238"/>
      <c r="F20" s="242"/>
      <c r="G20" s="248">
        <f>IF($E5&gt;0, $E5, $E4)</f>
        <v>0</v>
      </c>
      <c r="H20" s="261">
        <f t="shared" si="1"/>
        <v>0</v>
      </c>
      <c r="I20" s="492"/>
      <c r="J20" s="500">
        <f>IF($E5&gt;0, $E5, $E4)</f>
        <v>0</v>
      </c>
      <c r="K20" s="497">
        <f t="shared" si="4"/>
        <v>0</v>
      </c>
      <c r="L20" s="225">
        <f t="shared" si="0"/>
        <v>0</v>
      </c>
      <c r="M20" s="262" t="str">
        <f t="shared" si="2"/>
        <v/>
      </c>
    </row>
    <row r="21" spans="1:14" x14ac:dyDescent="0.2">
      <c r="A21" s="49">
        <f t="shared" si="3"/>
        <v>0</v>
      </c>
      <c r="C21" s="266"/>
      <c r="D21" s="61" t="s">
        <v>3697</v>
      </c>
      <c r="E21" s="238"/>
      <c r="F21" s="242"/>
      <c r="G21" s="248">
        <f>IF($E5&gt;0, $E5, $E4)</f>
        <v>0</v>
      </c>
      <c r="H21" s="261">
        <f>G21*F21</f>
        <v>0</v>
      </c>
      <c r="I21" s="492"/>
      <c r="J21" s="500">
        <f>IF($E5&gt;0, $E5, $E4)</f>
        <v>0</v>
      </c>
      <c r="K21" s="497">
        <f>J21*I21</f>
        <v>0</v>
      </c>
      <c r="L21" s="225">
        <f t="shared" si="0"/>
        <v>0</v>
      </c>
      <c r="M21" s="262" t="str">
        <f t="shared" si="2"/>
        <v/>
      </c>
    </row>
    <row r="22" spans="1:14" x14ac:dyDescent="0.2">
      <c r="A22" s="49">
        <f t="shared" si="3"/>
        <v>0</v>
      </c>
      <c r="C22" s="266"/>
      <c r="D22" s="61" t="s">
        <v>3698</v>
      </c>
      <c r="E22" s="238"/>
      <c r="F22" s="242"/>
      <c r="G22" s="248">
        <f>E4</f>
        <v>0</v>
      </c>
      <c r="H22" s="261">
        <f>G22*F22</f>
        <v>0</v>
      </c>
      <c r="I22" s="492"/>
      <c r="J22" s="500">
        <f>E4</f>
        <v>0</v>
      </c>
      <c r="K22" s="497">
        <f t="shared" si="4"/>
        <v>0</v>
      </c>
      <c r="L22" s="225">
        <f t="shared" si="0"/>
        <v>0</v>
      </c>
      <c r="M22" s="262" t="str">
        <f t="shared" si="2"/>
        <v/>
      </c>
    </row>
    <row r="23" spans="1:14" x14ac:dyDescent="0.2">
      <c r="A23" s="49">
        <f t="shared" si="3"/>
        <v>0</v>
      </c>
      <c r="C23" s="266"/>
      <c r="D23" s="58" t="s">
        <v>3699</v>
      </c>
      <c r="E23" s="238"/>
      <c r="F23" s="242"/>
      <c r="G23" s="248">
        <f>IF($E5&gt;0, $E5, $E4)</f>
        <v>0</v>
      </c>
      <c r="H23" s="261">
        <f t="shared" si="1"/>
        <v>0</v>
      </c>
      <c r="I23" s="492"/>
      <c r="J23" s="500">
        <f>IF($E5&gt;0, $E5, $E4)</f>
        <v>0</v>
      </c>
      <c r="K23" s="497">
        <f t="shared" si="4"/>
        <v>0</v>
      </c>
      <c r="L23" s="225">
        <f t="shared" si="0"/>
        <v>0</v>
      </c>
      <c r="M23" s="262" t="str">
        <f t="shared" si="2"/>
        <v/>
      </c>
    </row>
    <row r="24" spans="1:14" ht="14.25" customHeight="1" x14ac:dyDescent="0.2">
      <c r="A24" s="49">
        <f t="shared" si="3"/>
        <v>0</v>
      </c>
      <c r="C24" s="266"/>
      <c r="D24" s="61" t="s">
        <v>3700</v>
      </c>
      <c r="E24" s="238"/>
      <c r="F24" s="466">
        <f>IF(OR(ISNUMBER(SEARCH("RESIDENTIAL", E2))=TRUE, ISNUMBER(SEARCH("GENERAL SERVICE LESS THAN 50", E2))=TRUE), SME, 0)</f>
        <v>0</v>
      </c>
      <c r="G24" s="224">
        <v>1</v>
      </c>
      <c r="H24" s="261">
        <f>G24*F24</f>
        <v>0</v>
      </c>
      <c r="I24" s="493">
        <f>IF(OR(ISNUMBER(SEARCH("RESIDENTIAL", E2))=TRUE, ISNUMBER(SEARCH("GENERAL SERVICE LESS THAN 50", E2))=TRUE), SME, 0)</f>
        <v>0</v>
      </c>
      <c r="J24" s="501">
        <v>1</v>
      </c>
      <c r="K24" s="497">
        <f>J24*I24</f>
        <v>0</v>
      </c>
      <c r="L24" s="225">
        <f t="shared" ref="L24:L33" si="5">K24-H24</f>
        <v>0</v>
      </c>
      <c r="M24" s="262" t="str">
        <f>IF(ISERROR(L24/H24), "", L24/H24)</f>
        <v/>
      </c>
    </row>
    <row r="25" spans="1:14" x14ac:dyDescent="0.2">
      <c r="A25" s="49">
        <f t="shared" si="3"/>
        <v>0</v>
      </c>
      <c r="C25" s="266"/>
      <c r="D25" s="58" t="s">
        <v>3701</v>
      </c>
      <c r="E25" s="238"/>
      <c r="F25" s="260"/>
      <c r="G25" s="224">
        <v>1</v>
      </c>
      <c r="H25" s="261">
        <f t="shared" si="1"/>
        <v>0</v>
      </c>
      <c r="I25" s="491"/>
      <c r="J25" s="501">
        <v>1</v>
      </c>
      <c r="K25" s="497">
        <f>J25*I25</f>
        <v>0</v>
      </c>
      <c r="L25" s="225">
        <f>K25-H25</f>
        <v>0</v>
      </c>
      <c r="M25" s="262" t="str">
        <f>IF(ISERROR(L25/H25), "", L25/H25)</f>
        <v/>
      </c>
    </row>
    <row r="26" spans="1:14" x14ac:dyDescent="0.2">
      <c r="A26" s="49">
        <f t="shared" si="3"/>
        <v>0</v>
      </c>
      <c r="C26" s="266"/>
      <c r="D26" s="58" t="s">
        <v>3702</v>
      </c>
      <c r="E26" s="238"/>
      <c r="F26" s="242"/>
      <c r="G26" s="248">
        <f>IF($E5&gt;0, $E5, $E4)</f>
        <v>0</v>
      </c>
      <c r="H26" s="261">
        <f>G26*F26</f>
        <v>0</v>
      </c>
      <c r="I26" s="492"/>
      <c r="J26" s="500">
        <f>IF($E5&gt;0, $E5, $E4)</f>
        <v>0</v>
      </c>
      <c r="K26" s="497">
        <f>J26*I26</f>
        <v>0</v>
      </c>
      <c r="L26" s="225">
        <f t="shared" si="5"/>
        <v>0</v>
      </c>
      <c r="M26" s="262" t="str">
        <f>IF(ISERROR(L26/H26), "", L26/H26)</f>
        <v/>
      </c>
    </row>
    <row r="27" spans="1:14" ht="25.5" x14ac:dyDescent="0.2">
      <c r="A27" s="49">
        <f t="shared" si="3"/>
        <v>0</v>
      </c>
      <c r="B27" s="49" t="s">
        <v>3703</v>
      </c>
      <c r="C27" s="266"/>
      <c r="D27" s="209" t="s">
        <v>3704</v>
      </c>
      <c r="E27" s="210"/>
      <c r="F27" s="239"/>
      <c r="G27" s="245"/>
      <c r="H27" s="211" t="e">
        <f>SUM(H18:H26)</f>
        <v>#REF!</v>
      </c>
      <c r="I27" s="240"/>
      <c r="J27" s="246"/>
      <c r="K27" s="211" t="e">
        <f>SUM(K18:K26)</f>
        <v>#REF!</v>
      </c>
      <c r="L27" s="207" t="e">
        <f t="shared" si="5"/>
        <v>#REF!</v>
      </c>
      <c r="M27" s="208" t="e">
        <f>IF((H27)=0,"",(L27/H27))</f>
        <v>#REF!</v>
      </c>
    </row>
    <row r="28" spans="1:14" x14ac:dyDescent="0.2">
      <c r="A28" s="49">
        <f t="shared" si="3"/>
        <v>0</v>
      </c>
      <c r="C28" s="266"/>
      <c r="D28" s="63" t="s">
        <v>3705</v>
      </c>
      <c r="E28" s="238"/>
      <c r="F28" s="242"/>
      <c r="G28" s="247">
        <f>IF($E5&gt;0, $E5, $E4*$E6)</f>
        <v>0</v>
      </c>
      <c r="H28" s="261">
        <f>G28*F28</f>
        <v>0</v>
      </c>
      <c r="I28" s="241"/>
      <c r="J28" s="496">
        <f>IF($E5&gt;0, $E5, $E4*$E7)</f>
        <v>0</v>
      </c>
      <c r="K28" s="497">
        <f>J28*I28</f>
        <v>0</v>
      </c>
      <c r="L28" s="225">
        <f t="shared" si="5"/>
        <v>0</v>
      </c>
      <c r="M28" s="262" t="str">
        <f>IF(ISERROR(L28/H28), "", L28/H28)</f>
        <v/>
      </c>
      <c r="N28" s="519" t="str">
        <f>IF(ISERROR(ABS(M28)), "", IF(ABS(M28)&gt;=4%, "In the manager's summary, discuss the reasoning for the change in RTSR rates", ""))</f>
        <v/>
      </c>
    </row>
    <row r="29" spans="1:14" ht="25.5" x14ac:dyDescent="0.2">
      <c r="A29" s="49">
        <f t="shared" si="3"/>
        <v>0</v>
      </c>
      <c r="C29" s="266"/>
      <c r="D29" s="121" t="s">
        <v>3706</v>
      </c>
      <c r="E29" s="238"/>
      <c r="F29" s="242"/>
      <c r="G29" s="247">
        <f>IF($E5&gt;0, $E5, $E4*$E6)</f>
        <v>0</v>
      </c>
      <c r="H29" s="261">
        <f>G29*F29</f>
        <v>0</v>
      </c>
      <c r="I29" s="241"/>
      <c r="J29" s="496">
        <f>IF($E5&gt;0, $E5, $E4*$E7)</f>
        <v>0</v>
      </c>
      <c r="K29" s="497">
        <f>J29*I29</f>
        <v>0</v>
      </c>
      <c r="L29" s="225">
        <f t="shared" si="5"/>
        <v>0</v>
      </c>
      <c r="M29" s="262" t="str">
        <f>IF(ISERROR(L29/H29), "", L29/H29)</f>
        <v/>
      </c>
      <c r="N29" s="519" t="str">
        <f>IF(ISERROR(ABS(M29)), "", IF(ABS(M29)&gt;=4%, "In the manager's summary, discuss the reasoning for the change in RTSR rates", ""))</f>
        <v/>
      </c>
    </row>
    <row r="30" spans="1:14" ht="25.5" x14ac:dyDescent="0.2">
      <c r="A30" s="49">
        <f t="shared" si="3"/>
        <v>0</v>
      </c>
      <c r="B30" s="49" t="s">
        <v>3707</v>
      </c>
      <c r="C30" s="266"/>
      <c r="D30" s="209" t="s">
        <v>3708</v>
      </c>
      <c r="E30" s="206"/>
      <c r="F30" s="239"/>
      <c r="G30" s="245"/>
      <c r="H30" s="211" t="e">
        <f>SUM(H27:H29)</f>
        <v>#REF!</v>
      </c>
      <c r="I30" s="240"/>
      <c r="J30" s="212"/>
      <c r="K30" s="211" t="e">
        <f>SUM(K27:K29)</f>
        <v>#REF!</v>
      </c>
      <c r="L30" s="207" t="e">
        <f t="shared" si="5"/>
        <v>#REF!</v>
      </c>
      <c r="M30" s="208" t="e">
        <f>IF((H30)=0,"",(L30/H30))</f>
        <v>#REF!</v>
      </c>
    </row>
    <row r="31" spans="1:14" ht="25.5" x14ac:dyDescent="0.2">
      <c r="A31" s="49">
        <f t="shared" si="3"/>
        <v>0</v>
      </c>
      <c r="C31" s="266"/>
      <c r="D31" s="213" t="s">
        <v>3709</v>
      </c>
      <c r="E31" s="238"/>
      <c r="F31" s="242" t="e">
        <f>IF(AND('1. Information Sheet'!$F$26:$H$26&gt;=#REF!,'1. Information Sheet'!$F$26:$H$26&lt;#REF!),#REF!+#REF!,#REF!+#REF!)</f>
        <v>#REF!</v>
      </c>
      <c r="G31" s="247">
        <f>E4*E6</f>
        <v>0</v>
      </c>
      <c r="H31" s="249" t="e">
        <f t="shared" ref="H31:H37" si="6">G31*F31</f>
        <v>#REF!</v>
      </c>
      <c r="I31" s="492" t="e">
        <f>#REF!+#REF!</f>
        <v>#REF!</v>
      </c>
      <c r="J31" s="496">
        <f>E4*E7</f>
        <v>0</v>
      </c>
      <c r="K31" s="497" t="e">
        <f t="shared" ref="K31:K37" si="7">J31*I31</f>
        <v>#REF!</v>
      </c>
      <c r="L31" s="225" t="e">
        <f t="shared" si="5"/>
        <v>#REF!</v>
      </c>
      <c r="M31" s="262" t="str">
        <f t="shared" ref="M31:M39" si="8">IF(ISERROR(L31/H31), "", L31/H31)</f>
        <v/>
      </c>
    </row>
    <row r="32" spans="1:14" ht="25.5" x14ac:dyDescent="0.2">
      <c r="A32" s="49">
        <f t="shared" si="3"/>
        <v>0</v>
      </c>
      <c r="C32" s="266"/>
      <c r="D32" s="213" t="s">
        <v>3710</v>
      </c>
      <c r="E32" s="238"/>
      <c r="F32" s="242" t="e">
        <f>IF(AND('1. Information Sheet'!$F$26:$H$26&gt;=#REF!,'1. Information Sheet'!$F$26:$H$26&lt;#REF!),#REF!,#REF!)</f>
        <v>#REF!</v>
      </c>
      <c r="G32" s="247">
        <f>E4*E6</f>
        <v>0</v>
      </c>
      <c r="H32" s="249" t="e">
        <f t="shared" si="6"/>
        <v>#REF!</v>
      </c>
      <c r="I32" s="492" t="e">
        <f>#REF!</f>
        <v>#REF!</v>
      </c>
      <c r="J32" s="496">
        <f>E4*E7</f>
        <v>0</v>
      </c>
      <c r="K32" s="497" t="e">
        <f t="shared" si="7"/>
        <v>#REF!</v>
      </c>
      <c r="L32" s="225" t="e">
        <f t="shared" si="5"/>
        <v>#REF!</v>
      </c>
      <c r="M32" s="262" t="str">
        <f t="shared" si="8"/>
        <v/>
      </c>
    </row>
    <row r="33" spans="1:13" x14ac:dyDescent="0.2">
      <c r="A33" s="49">
        <f t="shared" si="3"/>
        <v>0</v>
      </c>
      <c r="C33" s="266"/>
      <c r="D33" s="204" t="s">
        <v>3711</v>
      </c>
      <c r="E33" s="238"/>
      <c r="F33" s="466" t="e">
        <f>IF(AND('1. Information Sheet'!$F$26:$H$26&gt;=#REF!,'1. Information Sheet'!$F$26:$H$26&lt;#REF!),#REF!,#REF!)</f>
        <v>#REF!</v>
      </c>
      <c r="G33" s="224">
        <v>1</v>
      </c>
      <c r="H33" s="249" t="e">
        <f t="shared" si="6"/>
        <v>#REF!</v>
      </c>
      <c r="I33" s="493" t="e">
        <f>#REF!</f>
        <v>#REF!</v>
      </c>
      <c r="J33" s="498">
        <v>1</v>
      </c>
      <c r="K33" s="497" t="e">
        <f t="shared" si="7"/>
        <v>#REF!</v>
      </c>
      <c r="L33" s="225" t="e">
        <f t="shared" si="5"/>
        <v>#REF!</v>
      </c>
      <c r="M33" s="262" t="str">
        <f t="shared" si="8"/>
        <v/>
      </c>
    </row>
    <row r="34" spans="1:13" ht="25.5" hidden="1" x14ac:dyDescent="0.2">
      <c r="A34" s="49">
        <f t="shared" si="3"/>
        <v>0</v>
      </c>
      <c r="C34" s="266"/>
      <c r="D34" s="213" t="s">
        <v>3712</v>
      </c>
      <c r="E34" s="238"/>
      <c r="F34" s="242"/>
      <c r="G34" s="247"/>
      <c r="H34" s="249"/>
      <c r="I34" s="492"/>
      <c r="J34" s="496"/>
      <c r="K34" s="497"/>
      <c r="L34" s="225"/>
      <c r="M34" s="262"/>
    </row>
    <row r="35" spans="1:13" x14ac:dyDescent="0.2">
      <c r="A35" s="49">
        <f t="shared" si="3"/>
        <v>0</v>
      </c>
      <c r="B35" s="49" t="s">
        <v>3713</v>
      </c>
      <c r="C35" s="266"/>
      <c r="D35" s="204" t="s">
        <v>3714</v>
      </c>
      <c r="E35" s="238"/>
      <c r="F35" s="243" t="e">
        <f>OffPeak</f>
        <v>#REF!</v>
      </c>
      <c r="G35" s="214" t="e">
        <f>IF(AND(E4*12&gt;=150000),OffPeakPer*E4*E6,OffPeakPer*E4)</f>
        <v>#REF!</v>
      </c>
      <c r="H35" s="249" t="e">
        <f t="shared" si="6"/>
        <v>#REF!</v>
      </c>
      <c r="I35" s="494" t="e">
        <f>OffPeak</f>
        <v>#REF!</v>
      </c>
      <c r="J35" s="499" t="e">
        <f>IF(AND(E4*12&gt;=150000),OffPeakPer*E4*E7,OffPeakPer*E4)</f>
        <v>#REF!</v>
      </c>
      <c r="K35" s="497" t="e">
        <f t="shared" si="7"/>
        <v>#REF!</v>
      </c>
      <c r="L35" s="225" t="e">
        <f>K35-H35</f>
        <v>#REF!</v>
      </c>
      <c r="M35" s="262" t="str">
        <f t="shared" si="8"/>
        <v/>
      </c>
    </row>
    <row r="36" spans="1:13" x14ac:dyDescent="0.2">
      <c r="A36" s="49">
        <f t="shared" si="3"/>
        <v>0</v>
      </c>
      <c r="B36" s="49" t="s">
        <v>3713</v>
      </c>
      <c r="C36" s="266"/>
      <c r="D36" s="204" t="s">
        <v>3715</v>
      </c>
      <c r="E36" s="238"/>
      <c r="F36" s="243" t="e">
        <f>MidPeak</f>
        <v>#REF!</v>
      </c>
      <c r="G36" s="214" t="e">
        <f>IF(AND(E4*12&gt;=150000),MidPeakPer*E4*E6,MidPeakPer*E4)</f>
        <v>#REF!</v>
      </c>
      <c r="H36" s="249" t="e">
        <f t="shared" si="6"/>
        <v>#REF!</v>
      </c>
      <c r="I36" s="494" t="e">
        <f>MidPeak</f>
        <v>#REF!</v>
      </c>
      <c r="J36" s="499" t="e">
        <f>IF(AND(E4*12&gt;=150000),MidPeakPer*E4*E7,MidPeakPer*E4)</f>
        <v>#REF!</v>
      </c>
      <c r="K36" s="497" t="e">
        <f t="shared" si="7"/>
        <v>#REF!</v>
      </c>
      <c r="L36" s="225" t="e">
        <f>K36-H36</f>
        <v>#REF!</v>
      </c>
      <c r="M36" s="262" t="str">
        <f t="shared" si="8"/>
        <v/>
      </c>
    </row>
    <row r="37" spans="1:13" x14ac:dyDescent="0.2">
      <c r="A37" s="49">
        <f t="shared" si="3"/>
        <v>0</v>
      </c>
      <c r="B37" s="49" t="s">
        <v>3713</v>
      </c>
      <c r="C37" s="266"/>
      <c r="D37" s="49" t="s">
        <v>3716</v>
      </c>
      <c r="E37" s="238"/>
      <c r="F37" s="243" t="e">
        <f>OnPeak</f>
        <v>#REF!</v>
      </c>
      <c r="G37" s="214" t="e">
        <f>IF(AND(E4*12&gt;=150000),OnPeakPer*E4*E6,OnPeakPer*E4)</f>
        <v>#REF!</v>
      </c>
      <c r="H37" s="249" t="e">
        <f t="shared" si="6"/>
        <v>#REF!</v>
      </c>
      <c r="I37" s="494" t="e">
        <f>OnPeak</f>
        <v>#REF!</v>
      </c>
      <c r="J37" s="499" t="e">
        <f>IF(AND(E4*12&gt;=150000),OnPeakPer*E4*E7,OnPeakPer*E4)</f>
        <v>#REF!</v>
      </c>
      <c r="K37" s="497" t="e">
        <f t="shared" si="7"/>
        <v>#REF!</v>
      </c>
      <c r="L37" s="225" t="e">
        <f>K37-H37</f>
        <v>#REF!</v>
      </c>
      <c r="M37" s="262" t="str">
        <f t="shared" si="8"/>
        <v/>
      </c>
    </row>
    <row r="38" spans="1:13" x14ac:dyDescent="0.2">
      <c r="A38" s="49">
        <f t="shared" si="3"/>
        <v>0</v>
      </c>
      <c r="B38" s="49" t="s">
        <v>3717</v>
      </c>
      <c r="C38" s="266"/>
      <c r="D38" s="204" t="s">
        <v>3718</v>
      </c>
      <c r="E38" s="238"/>
      <c r="F38" s="244">
        <v>0.15959999999999999</v>
      </c>
      <c r="G38" s="214">
        <f>IF(AND(E4*12&gt;=150000),E4*E6,E4)</f>
        <v>0</v>
      </c>
      <c r="H38" s="249">
        <f>G38*F38</f>
        <v>0</v>
      </c>
      <c r="I38" s="495">
        <f>F38</f>
        <v>0.15959999999999999</v>
      </c>
      <c r="J38" s="499">
        <f>IF(AND(E4*12&gt;=150000),E4*E7,E4)</f>
        <v>0</v>
      </c>
      <c r="K38" s="497">
        <f>J38*I38</f>
        <v>0</v>
      </c>
      <c r="L38" s="225">
        <f>K38-H38</f>
        <v>0</v>
      </c>
      <c r="M38" s="262" t="str">
        <f t="shared" si="8"/>
        <v/>
      </c>
    </row>
    <row r="39" spans="1:13" ht="13.5" thickBot="1" x14ac:dyDescent="0.25">
      <c r="A39" s="49">
        <f t="shared" si="3"/>
        <v>0</v>
      </c>
      <c r="B39" s="49" t="s">
        <v>3719</v>
      </c>
      <c r="C39" s="266"/>
      <c r="D39" s="204" t="s">
        <v>3720</v>
      </c>
      <c r="E39" s="238"/>
      <c r="F39" s="244">
        <v>0.15959999999999999</v>
      </c>
      <c r="G39" s="214">
        <f>IF(AND(E4*12&gt;=150000),E4*E6,E4)</f>
        <v>0</v>
      </c>
      <c r="H39" s="249">
        <f>G39*F39</f>
        <v>0</v>
      </c>
      <c r="I39" s="495">
        <f>F39</f>
        <v>0.15959999999999999</v>
      </c>
      <c r="J39" s="499">
        <f>IF(AND(E4*12&gt;=150000),E4*E7,E4)</f>
        <v>0</v>
      </c>
      <c r="K39" s="497">
        <f>J39*I39</f>
        <v>0</v>
      </c>
      <c r="L39" s="225">
        <f>K39-H39</f>
        <v>0</v>
      </c>
      <c r="M39" s="262" t="str">
        <f t="shared" si="8"/>
        <v/>
      </c>
    </row>
    <row r="40" spans="1:13" ht="13.5" thickBot="1" x14ac:dyDescent="0.25">
      <c r="A40" s="49">
        <f t="shared" si="3"/>
        <v>0</v>
      </c>
      <c r="C40" s="266"/>
      <c r="D40" s="215"/>
      <c r="E40" s="216"/>
      <c r="F40" s="250"/>
      <c r="G40" s="165"/>
      <c r="H40" s="251"/>
      <c r="I40" s="250"/>
      <c r="J40" s="252"/>
      <c r="K40" s="251"/>
      <c r="L40" s="253"/>
      <c r="M40" s="168"/>
    </row>
    <row r="41" spans="1:13" x14ac:dyDescent="0.2">
      <c r="A41" s="49">
        <f t="shared" si="3"/>
        <v>0</v>
      </c>
      <c r="B41" s="49" t="s">
        <v>3713</v>
      </c>
      <c r="C41" s="266"/>
      <c r="D41" s="218" t="s">
        <v>3721</v>
      </c>
      <c r="E41" s="204"/>
      <c r="F41" s="231"/>
      <c r="G41" s="254"/>
      <c r="H41" s="931" t="e">
        <f>SUM(H31:H37,H30)</f>
        <v>#REF!</v>
      </c>
      <c r="I41" s="219"/>
      <c r="J41" s="219"/>
      <c r="K41" s="931" t="e">
        <f>SUM(K31:K37,K30)</f>
        <v>#REF!</v>
      </c>
      <c r="L41" s="220" t="e">
        <f>K41-H41</f>
        <v>#REF!</v>
      </c>
      <c r="M41" s="221" t="e">
        <f>IF((H41)=0,"",(L41/H41))</f>
        <v>#REF!</v>
      </c>
    </row>
    <row r="42" spans="1:13" x14ac:dyDescent="0.2">
      <c r="A42" s="49">
        <f t="shared" si="3"/>
        <v>0</v>
      </c>
      <c r="B42" s="49" t="s">
        <v>3713</v>
      </c>
      <c r="C42" s="266"/>
      <c r="D42" s="222" t="s">
        <v>3722</v>
      </c>
      <c r="E42" s="204"/>
      <c r="F42" s="231">
        <v>0.13</v>
      </c>
      <c r="G42" s="255"/>
      <c r="H42" s="427" t="e">
        <f>H41*F42</f>
        <v>#REF!</v>
      </c>
      <c r="I42" s="223">
        <v>0.13</v>
      </c>
      <c r="J42" s="224"/>
      <c r="K42" s="427" t="e">
        <f>K41*I42</f>
        <v>#REF!</v>
      </c>
      <c r="L42" s="225" t="e">
        <f>K42-H42</f>
        <v>#REF!</v>
      </c>
      <c r="M42" s="226" t="e">
        <f>IF((H42)=0,"",(L42/H42))</f>
        <v>#REF!</v>
      </c>
    </row>
    <row r="43" spans="1:13" ht="15" x14ac:dyDescent="0.25">
      <c r="A43" s="49">
        <f t="shared" si="3"/>
        <v>0</v>
      </c>
      <c r="B43" s="49" t="s">
        <v>3713</v>
      </c>
      <c r="C43" s="266"/>
      <c r="D43" s="222" t="s">
        <v>3723</v>
      </c>
      <c r="E43"/>
      <c r="F43" s="665" t="e">
        <f>OER</f>
        <v>#REF!</v>
      </c>
      <c r="G43" s="255"/>
      <c r="H43" s="427">
        <f>IF(OR(ISNUMBER(SEARCH("[DGEN]", E2))=TRUE, ISNUMBER(SEARCH("STREET LIGHT", E2))=TRUE), 0, IF(AND(E4=0, E5=0),0, IF(AND(E5=0, E4*12&gt;250000), 0, IF(AND(E4=0, E5&gt;=50), 0, IF(E4*12&lt;=250000, F43*H41*-1, IF(E5&lt;50, F43*H41*-1, 0))))))</f>
        <v>0</v>
      </c>
      <c r="I43" s="665" t="e">
        <f>OER</f>
        <v>#REF!</v>
      </c>
      <c r="J43" s="224"/>
      <c r="K43" s="427">
        <f>IF(OR(ISNUMBER(SEARCH("[DGEN]", E2))=TRUE, ISNUMBER(SEARCH("STREET LIGHT", E2))=TRUE), 0, IF(AND(E4=0, E5=0),0, IF(AND(E5=0, E4*12&gt;250000), 0, IF(AND(E4=0, E5&gt;=50), 0, IF(E4*12&lt;=250000, I43*K41*-1, IF(E5&lt;50, I43*K41*-1, 0))))))</f>
        <v>0</v>
      </c>
      <c r="L43" s="225">
        <f>K43-H43</f>
        <v>0</v>
      </c>
      <c r="M43" s="226"/>
    </row>
    <row r="44" spans="1:13" ht="13.5" thickBot="1" x14ac:dyDescent="0.25">
      <c r="A44" s="49">
        <f t="shared" si="3"/>
        <v>0</v>
      </c>
      <c r="B44" s="49" t="s">
        <v>3724</v>
      </c>
      <c r="C44" s="266"/>
      <c r="D44" s="1925" t="s">
        <v>3725</v>
      </c>
      <c r="E44" s="1925"/>
      <c r="F44" s="256"/>
      <c r="G44" s="257"/>
      <c r="H44" s="932" t="e">
        <f>H41+H42+H43</f>
        <v>#REF!</v>
      </c>
      <c r="I44" s="228"/>
      <c r="J44" s="228"/>
      <c r="K44" s="227" t="e">
        <f>K41+K42+K43</f>
        <v>#REF!</v>
      </c>
      <c r="L44" s="229" t="e">
        <f>K44-H44</f>
        <v>#REF!</v>
      </c>
      <c r="M44" s="230" t="e">
        <f>IF((H44)=0,"",(L44/H44))</f>
        <v>#REF!</v>
      </c>
    </row>
    <row r="45" spans="1:13" ht="13.5" thickBot="1" x14ac:dyDescent="0.25">
      <c r="A45" s="49">
        <f t="shared" si="3"/>
        <v>0</v>
      </c>
      <c r="B45" s="49" t="s">
        <v>3713</v>
      </c>
      <c r="C45" s="266"/>
      <c r="D45" s="215"/>
      <c r="E45" s="216"/>
      <c r="F45" s="250"/>
      <c r="G45" s="165"/>
      <c r="H45" s="251"/>
      <c r="I45" s="250"/>
      <c r="J45" s="252"/>
      <c r="K45" s="251"/>
      <c r="L45" s="253"/>
      <c r="M45" s="168"/>
    </row>
    <row r="46" spans="1:13" x14ac:dyDescent="0.2">
      <c r="A46" s="49">
        <f t="shared" si="3"/>
        <v>0</v>
      </c>
      <c r="B46" s="49" t="s">
        <v>3717</v>
      </c>
      <c r="C46" s="266"/>
      <c r="D46" s="218" t="s">
        <v>3726</v>
      </c>
      <c r="E46" s="204"/>
      <c r="F46" s="231"/>
      <c r="G46" s="254"/>
      <c r="H46" s="931" t="e">
        <f>SUM(H38,H31:H34,H30)</f>
        <v>#REF!</v>
      </c>
      <c r="I46" s="219"/>
      <c r="J46" s="219"/>
      <c r="K46" s="931" t="e">
        <f>SUM(K38,K31:K34,K30)</f>
        <v>#REF!</v>
      </c>
      <c r="L46" s="220" t="e">
        <f>K46-H46</f>
        <v>#REF!</v>
      </c>
      <c r="M46" s="221" t="e">
        <f>IF((H46)=0,"",(L46/H46))</f>
        <v>#REF!</v>
      </c>
    </row>
    <row r="47" spans="1:13" x14ac:dyDescent="0.2">
      <c r="A47" s="49">
        <f t="shared" si="3"/>
        <v>0</v>
      </c>
      <c r="B47" s="49" t="s">
        <v>3717</v>
      </c>
      <c r="C47" s="266"/>
      <c r="D47" s="222" t="s">
        <v>3722</v>
      </c>
      <c r="E47" s="204"/>
      <c r="F47" s="231">
        <v>0.13</v>
      </c>
      <c r="G47" s="254"/>
      <c r="H47" s="427" t="e">
        <f>H46*F47</f>
        <v>#REF!</v>
      </c>
      <c r="I47" s="231">
        <v>0.13</v>
      </c>
      <c r="J47" s="223"/>
      <c r="K47" s="427" t="e">
        <f>K46*I47</f>
        <v>#REF!</v>
      </c>
      <c r="L47" s="225" t="e">
        <f>K47-H47</f>
        <v>#REF!</v>
      </c>
      <c r="M47" s="226" t="e">
        <f>IF((H47)=0,"",(L47/H47))</f>
        <v>#REF!</v>
      </c>
    </row>
    <row r="48" spans="1:13" ht="15" x14ac:dyDescent="0.25">
      <c r="A48" s="49">
        <f t="shared" si="3"/>
        <v>0</v>
      </c>
      <c r="B48" s="49" t="s">
        <v>3717</v>
      </c>
      <c r="C48" s="266"/>
      <c r="D48" s="222" t="s">
        <v>3723</v>
      </c>
      <c r="E48"/>
      <c r="F48" s="665" t="e">
        <f>OER</f>
        <v>#REF!</v>
      </c>
      <c r="G48" s="254"/>
      <c r="H48" s="427">
        <f>IF(OR(ISNUMBER(SEARCH("[DGEN]", E2))=TRUE, ISNUMBER(SEARCH("STREET LIGHT", E2))=TRUE), 0, IF(AND(E4=0, E5=0),0, IF(AND(E5=0, E4*12&gt;250000), 0, IF(AND(E4=0, E5&gt;=50), 0, IF(E4*12&lt;=250000, F48*H46*-1, IF(E5&lt;50, F48*H46*-1, 0))))))</f>
        <v>0</v>
      </c>
      <c r="I48" s="665" t="e">
        <f>OER</f>
        <v>#REF!</v>
      </c>
      <c r="J48" s="223"/>
      <c r="K48" s="427">
        <f>IF(OR(ISNUMBER(SEARCH("[DGEN]", E2))=TRUE, ISNUMBER(SEARCH("STREET LIGHT", E2))=TRUE), 0, IF(AND(E4=0, E5=0),0, IF(AND(E5=0, E4*12&gt;250000), 0, IF(AND(E4=0, E5&gt;=50), 0, IF(E4*12&lt;=250000, I48*K46*-1, IF(E5&lt;50, I48*K46*-1, 0))))))</f>
        <v>0</v>
      </c>
      <c r="L48" s="225"/>
      <c r="M48" s="226"/>
    </row>
    <row r="49" spans="1:13" ht="13.5" thickBot="1" x14ac:dyDescent="0.25">
      <c r="A49" s="49">
        <f t="shared" si="3"/>
        <v>0</v>
      </c>
      <c r="B49" s="49" t="s">
        <v>3727</v>
      </c>
      <c r="C49" s="266"/>
      <c r="D49" s="1925" t="s">
        <v>3726</v>
      </c>
      <c r="E49" s="1925"/>
      <c r="F49" s="258"/>
      <c r="G49" s="259"/>
      <c r="H49" s="932" t="e">
        <f>SUM(H46,H47)</f>
        <v>#REF!</v>
      </c>
      <c r="I49" s="232"/>
      <c r="J49" s="232"/>
      <c r="K49" s="932" t="e">
        <f>SUM(K46,K47)</f>
        <v>#REF!</v>
      </c>
      <c r="L49" s="233" t="e">
        <f>K49-H49</f>
        <v>#REF!</v>
      </c>
      <c r="M49" s="234" t="e">
        <f>IF((H49)=0,"",(L49/H49))</f>
        <v>#REF!</v>
      </c>
    </row>
    <row r="50" spans="1:13" ht="13.5" thickBot="1" x14ac:dyDescent="0.25">
      <c r="A50" s="49">
        <f t="shared" si="3"/>
        <v>0</v>
      </c>
      <c r="B50" s="49" t="s">
        <v>3717</v>
      </c>
      <c r="C50" s="266"/>
      <c r="D50" s="215"/>
      <c r="E50" s="216"/>
      <c r="F50" s="162"/>
      <c r="G50" s="163"/>
      <c r="H50" s="164"/>
      <c r="I50" s="162"/>
      <c r="J50" s="165"/>
      <c r="K50" s="164"/>
      <c r="L50" s="167"/>
      <c r="M50" s="168"/>
    </row>
    <row r="51" spans="1:13" x14ac:dyDescent="0.2">
      <c r="A51" s="49">
        <f t="shared" si="3"/>
        <v>0</v>
      </c>
      <c r="B51" s="49" t="s">
        <v>3719</v>
      </c>
      <c r="C51" s="266"/>
      <c r="D51" s="218" t="s">
        <v>3728</v>
      </c>
      <c r="E51" s="204"/>
      <c r="F51" s="231"/>
      <c r="G51" s="254"/>
      <c r="H51" s="931" t="e">
        <f>SUM(H39,H31:H34,H30)</f>
        <v>#REF!</v>
      </c>
      <c r="I51" s="219"/>
      <c r="J51" s="219"/>
      <c r="K51" s="931" t="e">
        <f>SUM(K39,K31:K34,K30)</f>
        <v>#REF!</v>
      </c>
      <c r="L51" s="220" t="e">
        <f>K51-H51</f>
        <v>#REF!</v>
      </c>
      <c r="M51" s="221" t="e">
        <f>IF((H51)=0,"",(L51/H51))</f>
        <v>#REF!</v>
      </c>
    </row>
    <row r="52" spans="1:13" x14ac:dyDescent="0.2">
      <c r="A52" s="49">
        <f t="shared" si="3"/>
        <v>0</v>
      </c>
      <c r="B52" s="49" t="s">
        <v>3719</v>
      </c>
      <c r="C52" s="266"/>
      <c r="D52" s="222" t="s">
        <v>3722</v>
      </c>
      <c r="E52" s="204"/>
      <c r="F52" s="231">
        <v>0.13</v>
      </c>
      <c r="G52" s="254"/>
      <c r="H52" s="427" t="e">
        <f>H51*F52</f>
        <v>#REF!</v>
      </c>
      <c r="I52" s="231">
        <v>0.13</v>
      </c>
      <c r="J52" s="223"/>
      <c r="K52" s="427" t="e">
        <f>K51*I52</f>
        <v>#REF!</v>
      </c>
      <c r="L52" s="225" t="e">
        <f>K52-H52</f>
        <v>#REF!</v>
      </c>
      <c r="M52" s="226" t="e">
        <f>IF((H52)=0,"",(L52/H52))</f>
        <v>#REF!</v>
      </c>
    </row>
    <row r="53" spans="1:13" ht="15" x14ac:dyDescent="0.25">
      <c r="A53" s="49">
        <f t="shared" si="3"/>
        <v>0</v>
      </c>
      <c r="B53" s="49" t="s">
        <v>3719</v>
      </c>
      <c r="C53" s="266"/>
      <c r="D53" s="222" t="s">
        <v>3723</v>
      </c>
      <c r="E53"/>
      <c r="F53" s="665" t="e">
        <f>OER</f>
        <v>#REF!</v>
      </c>
      <c r="G53" s="254"/>
      <c r="H53" s="427">
        <f>IF(OR(ISNUMBER(SEARCH("[DGEN]", E2))=TRUE, ISNUMBER(SEARCH("STREET LIGHT", E2))=TRUE), 0, IF(AND(E4=0, E5=0),0, IF(AND(E5=0, E4*12&gt;250000), 0, IF(AND(E4=0, E5&gt;=50), 0, IF(E4*12&lt;=250000, F53*H51*-1, IF(E5&lt;50, F53*H51*-1, 0))))))</f>
        <v>0</v>
      </c>
      <c r="I53" s="665" t="e">
        <f>OER</f>
        <v>#REF!</v>
      </c>
      <c r="J53" s="223"/>
      <c r="K53" s="427">
        <f>IF(OR(ISNUMBER(SEARCH("[DGEN]", E2))=TRUE, ISNUMBER(SEARCH("STREET LIGHT", E2))=TRUE), 0, IF(AND(E4=0, E5=0),0, IF(AND(E5=0, E4*12&gt;250000), 0, IF(AND(E4=0, E5&gt;=50), 0, IF(E4*12&lt;=250000, I53*K51*-1, IF(E5&lt;50, I53*K51*-1, 0))))))</f>
        <v>0</v>
      </c>
      <c r="L53" s="225"/>
      <c r="M53" s="226"/>
    </row>
    <row r="54" spans="1:13" ht="13.5" thickBot="1" x14ac:dyDescent="0.25">
      <c r="A54" s="49">
        <f t="shared" si="3"/>
        <v>0</v>
      </c>
      <c r="B54" s="49" t="s">
        <v>3729</v>
      </c>
      <c r="C54" s="266"/>
      <c r="D54" s="1925" t="s">
        <v>3728</v>
      </c>
      <c r="E54" s="1925"/>
      <c r="F54" s="258"/>
      <c r="G54" s="259"/>
      <c r="H54" s="932" t="e">
        <f>SUM(H51,H52)</f>
        <v>#REF!</v>
      </c>
      <c r="I54" s="232"/>
      <c r="J54" s="232"/>
      <c r="K54" s="932" t="e">
        <f>SUM(K51,K52)</f>
        <v>#REF!</v>
      </c>
      <c r="L54" s="233" t="e">
        <f>K54-H54</f>
        <v>#REF!</v>
      </c>
      <c r="M54" s="234" t="e">
        <f>IF((H54)=0,"",(L54/H54))</f>
        <v>#REF!</v>
      </c>
    </row>
    <row r="55" spans="1:13" ht="13.5" thickBot="1" x14ac:dyDescent="0.25">
      <c r="A55" s="49">
        <f t="shared" si="3"/>
        <v>0</v>
      </c>
      <c r="B55" s="49" t="s">
        <v>3719</v>
      </c>
      <c r="C55" s="266"/>
      <c r="D55" s="215"/>
      <c r="E55" s="216"/>
      <c r="F55" s="235"/>
      <c r="G55" s="163"/>
      <c r="H55" s="236"/>
      <c r="I55" s="235"/>
      <c r="J55" s="165"/>
      <c r="K55" s="236"/>
      <c r="L55" s="167"/>
      <c r="M55" s="217"/>
    </row>
    <row r="71" spans="11:11" x14ac:dyDescent="0.2">
      <c r="K71" s="237"/>
    </row>
  </sheetData>
  <sheetProtection algorithmName="SHA-512" hashValue="E5tohhR2u6XhpDuX5fE6sSwSyQT0jrOwXRfYRRRT13XCiic0fMEzBbBpjChRfdDpRgTaG4ZViC4RhIdNXpxbfg==" saltValue="SHxDGzGbvB8xQap6EzCGDA==" spinCount="100000" sheet="1" objects="1" scenarios="1" selectLockedCells="1"/>
  <mergeCells count="11">
    <mergeCell ref="E10:E11"/>
    <mergeCell ref="L10:L11"/>
    <mergeCell ref="M10:M11"/>
    <mergeCell ref="D54:E54"/>
    <mergeCell ref="D44:E44"/>
    <mergeCell ref="D49:E49"/>
    <mergeCell ref="E3:G3"/>
    <mergeCell ref="F9:H9"/>
    <mergeCell ref="I9:K9"/>
    <mergeCell ref="E2:J2"/>
    <mergeCell ref="L9:M9"/>
  </mergeCells>
  <dataValidations count="1">
    <dataValidation type="list" allowBlank="1" showInputMessage="1" showErrorMessage="1" prompt="Select Charge Unit - monthly, per kWh, per kW" sqref="E45 E50 E55 E40" xr:uid="{00000000-0002-0000-1F00-000000000000}">
      <formula1>"Monthly, per kWh, per kW"</formula1>
    </dataValidation>
  </dataValidations>
  <pageMargins left="0.75" right="0.75" top="1" bottom="1" header="0.5" footer="0.5"/>
  <pageSetup scale="39" orientation="portrait" r:id="rId1"/>
  <headerFooter alignWithMargins="0">
    <oddFooter>&amp;C9</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2:O63"/>
  <sheetViews>
    <sheetView showGridLines="0" topLeftCell="A7" workbookViewId="0">
      <selection activeCell="E42" sqref="E42"/>
    </sheetView>
  </sheetViews>
  <sheetFormatPr defaultColWidth="9.28515625" defaultRowHeight="12.75" x14ac:dyDescent="0.2"/>
  <cols>
    <col min="1" max="1" width="15.28515625" style="3" customWidth="1"/>
    <col min="2" max="2" width="9.28515625" style="3"/>
    <col min="3" max="3" width="3.28515625" style="3" customWidth="1"/>
    <col min="4" max="4" width="34.7109375" style="3" customWidth="1"/>
    <col min="5" max="5" width="13.28515625" style="3" customWidth="1"/>
    <col min="6" max="6" width="12.28515625" style="3" customWidth="1"/>
    <col min="7" max="7" width="11.5703125" style="3" customWidth="1"/>
    <col min="8" max="8" width="18.28515625" style="3" customWidth="1"/>
    <col min="9" max="9" width="13.28515625" style="3" customWidth="1"/>
    <col min="10" max="10" width="13.42578125" style="3" customWidth="1"/>
    <col min="11" max="11" width="13.5703125" style="3" customWidth="1"/>
    <col min="12" max="12" width="13.28515625" style="3" customWidth="1"/>
    <col min="13" max="13" width="12.7109375" style="3" customWidth="1"/>
    <col min="14" max="14" width="12.7109375" style="3" bestFit="1" customWidth="1"/>
    <col min="15" max="16" width="10.7109375" style="3" bestFit="1" customWidth="1"/>
    <col min="17" max="17" width="3.7109375" style="3" customWidth="1"/>
    <col min="18" max="20" width="9.28515625" style="3"/>
    <col min="21" max="21" width="9.28515625" style="3" customWidth="1"/>
    <col min="22" max="16384" width="9.28515625" style="3"/>
  </cols>
  <sheetData>
    <row r="2" spans="1:15" x14ac:dyDescent="0.2">
      <c r="D2" s="112" t="s">
        <v>3674</v>
      </c>
      <c r="E2" s="1931"/>
      <c r="F2" s="1931"/>
      <c r="G2" s="1931"/>
      <c r="H2" s="1931"/>
      <c r="I2" s="1931"/>
      <c r="J2" s="1931"/>
      <c r="K2" s="265"/>
    </row>
    <row r="3" spans="1:15" x14ac:dyDescent="0.2">
      <c r="D3" s="112" t="s">
        <v>3675</v>
      </c>
      <c r="E3" s="1930"/>
      <c r="F3" s="1930"/>
      <c r="G3" s="1930"/>
      <c r="H3" s="113"/>
      <c r="I3" s="113"/>
    </row>
    <row r="4" spans="1:15" ht="15.75" x14ac:dyDescent="0.2">
      <c r="D4" s="112" t="s">
        <v>3676</v>
      </c>
      <c r="E4" s="114">
        <v>800</v>
      </c>
      <c r="F4" s="2" t="s">
        <v>379</v>
      </c>
      <c r="J4" s="115"/>
      <c r="K4" s="115"/>
      <c r="L4" s="115"/>
      <c r="M4" s="115"/>
      <c r="N4" s="115"/>
      <c r="O4" s="115"/>
    </row>
    <row r="5" spans="1:15" ht="15.75" x14ac:dyDescent="0.25">
      <c r="D5" s="112" t="s">
        <v>3677</v>
      </c>
      <c r="E5" s="114"/>
      <c r="F5" s="116" t="s">
        <v>380</v>
      </c>
      <c r="G5" s="52"/>
      <c r="H5" s="50"/>
      <c r="I5" s="50"/>
      <c r="J5" s="50"/>
    </row>
    <row r="6" spans="1:15" x14ac:dyDescent="0.2">
      <c r="D6" s="112" t="s">
        <v>3730</v>
      </c>
      <c r="E6" s="117">
        <v>1.05</v>
      </c>
    </row>
    <row r="12" spans="1:15" x14ac:dyDescent="0.2">
      <c r="A12" s="3">
        <f>$E2</f>
        <v>0</v>
      </c>
      <c r="E12" s="1932" t="s">
        <v>3731</v>
      </c>
      <c r="F12" s="1933"/>
      <c r="G12" s="1934"/>
      <c r="H12" s="1932" t="s">
        <v>3681</v>
      </c>
      <c r="I12" s="1933"/>
      <c r="J12" s="1934"/>
      <c r="K12" s="1932" t="s">
        <v>3682</v>
      </c>
      <c r="L12" s="1934"/>
    </row>
    <row r="13" spans="1:15" x14ac:dyDescent="0.2">
      <c r="A13" s="3">
        <f>A12</f>
        <v>0</v>
      </c>
      <c r="E13" s="53" t="s">
        <v>763</v>
      </c>
      <c r="F13" s="53" t="s">
        <v>3683</v>
      </c>
      <c r="G13" s="54" t="s">
        <v>3684</v>
      </c>
      <c r="H13" s="53" t="s">
        <v>763</v>
      </c>
      <c r="I13" s="55" t="s">
        <v>3683</v>
      </c>
      <c r="J13" s="54" t="s">
        <v>3684</v>
      </c>
      <c r="K13" s="1926" t="s">
        <v>3685</v>
      </c>
      <c r="L13" s="1928" t="s">
        <v>3686</v>
      </c>
    </row>
    <row r="14" spans="1:15" x14ac:dyDescent="0.2">
      <c r="A14" s="3">
        <f t="shared" ref="A14:A52" si="0">A13</f>
        <v>0</v>
      </c>
      <c r="E14" s="56" t="s">
        <v>3687</v>
      </c>
      <c r="F14" s="56"/>
      <c r="G14" s="57" t="s">
        <v>3687</v>
      </c>
      <c r="H14" s="56" t="s">
        <v>3687</v>
      </c>
      <c r="I14" s="57"/>
      <c r="J14" s="57" t="s">
        <v>3687</v>
      </c>
      <c r="K14" s="1927"/>
      <c r="L14" s="1929"/>
    </row>
    <row r="15" spans="1:15" x14ac:dyDescent="0.2">
      <c r="A15" s="3">
        <f t="shared" si="0"/>
        <v>0</v>
      </c>
      <c r="D15" s="58" t="s">
        <v>958</v>
      </c>
      <c r="E15" s="123"/>
      <c r="F15" s="124">
        <v>1</v>
      </c>
      <c r="G15" s="125">
        <f>F15*E15</f>
        <v>0</v>
      </c>
      <c r="H15" s="123"/>
      <c r="I15" s="126"/>
      <c r="J15" s="125">
        <f>I15*H15</f>
        <v>0</v>
      </c>
      <c r="K15" s="127">
        <f>J15-G15</f>
        <v>0</v>
      </c>
      <c r="L15" s="128" t="str">
        <f>IF(ISERROR(K15/G15), "", K15/G15)</f>
        <v/>
      </c>
    </row>
    <row r="16" spans="1:15" x14ac:dyDescent="0.2">
      <c r="A16" s="3">
        <f t="shared" si="0"/>
        <v>0</v>
      </c>
      <c r="D16" s="58" t="s">
        <v>3688</v>
      </c>
      <c r="E16" s="129"/>
      <c r="F16" s="130">
        <f>IF($E5&gt;0, $E5, $E4)</f>
        <v>800</v>
      </c>
      <c r="G16" s="125">
        <f>F16*E16</f>
        <v>0</v>
      </c>
      <c r="H16" s="129"/>
      <c r="I16" s="130">
        <f>IF($E5&gt;0, $E5, $E4)</f>
        <v>800</v>
      </c>
      <c r="J16" s="125">
        <f>I16*H16</f>
        <v>0</v>
      </c>
      <c r="K16" s="127">
        <f t="shared" ref="K16:K51" si="1">J16-G16</f>
        <v>0</v>
      </c>
      <c r="L16" s="128" t="str">
        <f t="shared" ref="L16:L51" si="2">IF(ISERROR(K16/G16), "", K16/G16)</f>
        <v/>
      </c>
    </row>
    <row r="17" spans="1:12" x14ac:dyDescent="0.2">
      <c r="A17" s="3">
        <f t="shared" si="0"/>
        <v>0</v>
      </c>
      <c r="D17" s="58" t="s">
        <v>3691</v>
      </c>
      <c r="E17" s="131"/>
      <c r="F17" s="124">
        <v>1</v>
      </c>
      <c r="G17" s="125">
        <f>F17*E17</f>
        <v>0</v>
      </c>
      <c r="H17" s="131"/>
      <c r="I17" s="126"/>
      <c r="J17" s="125">
        <f>I17*H17</f>
        <v>0</v>
      </c>
      <c r="K17" s="127">
        <f t="shared" si="1"/>
        <v>0</v>
      </c>
      <c r="L17" s="128" t="str">
        <f t="shared" si="2"/>
        <v/>
      </c>
    </row>
    <row r="18" spans="1:12" x14ac:dyDescent="0.2">
      <c r="A18" s="3">
        <f t="shared" si="0"/>
        <v>0</v>
      </c>
      <c r="D18" s="59" t="s">
        <v>3692</v>
      </c>
      <c r="E18" s="132"/>
      <c r="F18" s="133">
        <f>F16</f>
        <v>800</v>
      </c>
      <c r="G18" s="125">
        <f>F18*E18</f>
        <v>0</v>
      </c>
      <c r="H18" s="132"/>
      <c r="I18" s="133">
        <f>I16</f>
        <v>800</v>
      </c>
      <c r="J18" s="125">
        <f>I18*H18</f>
        <v>0</v>
      </c>
      <c r="K18" s="127">
        <f t="shared" si="1"/>
        <v>0</v>
      </c>
      <c r="L18" s="128" t="str">
        <f t="shared" si="2"/>
        <v/>
      </c>
    </row>
    <row r="19" spans="1:12" x14ac:dyDescent="0.2">
      <c r="A19" s="3">
        <f t="shared" si="0"/>
        <v>0</v>
      </c>
      <c r="B19" s="3" t="s">
        <v>3693</v>
      </c>
      <c r="D19" s="60" t="s">
        <v>3694</v>
      </c>
      <c r="E19" s="134"/>
      <c r="F19" s="135"/>
      <c r="G19" s="136">
        <f>SUM(G15:G18)</f>
        <v>0</v>
      </c>
      <c r="H19" s="134"/>
      <c r="I19" s="137"/>
      <c r="J19" s="136">
        <f>SUM(J15:J18)</f>
        <v>0</v>
      </c>
      <c r="K19" s="136">
        <f>SUM(K15:K18)</f>
        <v>0</v>
      </c>
      <c r="L19" s="189"/>
    </row>
    <row r="20" spans="1:12" x14ac:dyDescent="0.2">
      <c r="A20" s="3">
        <f t="shared" si="0"/>
        <v>0</v>
      </c>
      <c r="D20" s="61" t="s">
        <v>3695</v>
      </c>
      <c r="E20" s="172">
        <f>IF(E3="RPP",(E32*0.64+E33*0.18+E34*0.18),IF(E3="Non-RPP (Retailer)",E35,E36))</f>
        <v>9.06E-2</v>
      </c>
      <c r="F20" s="138">
        <f>$E4*($E6) - ($E4)</f>
        <v>40</v>
      </c>
      <c r="G20" s="125">
        <f>F20*E20</f>
        <v>3.6240000000000001</v>
      </c>
      <c r="H20" s="172">
        <f>IF(E3="RPP",(H32*0.64+H33*0.18+H34*0.18),IF(E3="Non-RPP (Retailer)",H35,H36))</f>
        <v>9.06E-2</v>
      </c>
      <c r="I20" s="138">
        <f>$E4*($E6) - ($E4)</f>
        <v>40</v>
      </c>
      <c r="J20" s="125">
        <f>I20*H20</f>
        <v>3.6240000000000001</v>
      </c>
      <c r="K20" s="127">
        <f t="shared" si="1"/>
        <v>0</v>
      </c>
      <c r="L20" s="128">
        <f t="shared" si="2"/>
        <v>0</v>
      </c>
    </row>
    <row r="21" spans="1:12" ht="25.5" x14ac:dyDescent="0.2">
      <c r="A21" s="3">
        <f t="shared" si="0"/>
        <v>0</v>
      </c>
      <c r="D21" s="61" t="s">
        <v>3696</v>
      </c>
      <c r="E21" s="139"/>
      <c r="F21" s="138">
        <f>F16</f>
        <v>800</v>
      </c>
      <c r="G21" s="125">
        <f>F21*E21</f>
        <v>0</v>
      </c>
      <c r="H21" s="139"/>
      <c r="I21" s="138">
        <f>I16</f>
        <v>800</v>
      </c>
      <c r="J21" s="125">
        <f>I21*H21</f>
        <v>0</v>
      </c>
      <c r="K21" s="127">
        <f t="shared" si="1"/>
        <v>0</v>
      </c>
      <c r="L21" s="128" t="str">
        <f t="shared" si="2"/>
        <v/>
      </c>
    </row>
    <row r="22" spans="1:12" x14ac:dyDescent="0.2">
      <c r="A22" s="3">
        <f t="shared" si="0"/>
        <v>0</v>
      </c>
      <c r="D22" s="58" t="s">
        <v>3699</v>
      </c>
      <c r="E22" s="129"/>
      <c r="F22" s="138">
        <f>F16</f>
        <v>800</v>
      </c>
      <c r="G22" s="125">
        <f>F22*E22</f>
        <v>0</v>
      </c>
      <c r="H22" s="129"/>
      <c r="I22" s="138">
        <f>I16</f>
        <v>800</v>
      </c>
      <c r="J22" s="125">
        <f>I22*H22</f>
        <v>0</v>
      </c>
      <c r="K22" s="127">
        <f t="shared" si="1"/>
        <v>0</v>
      </c>
      <c r="L22" s="128" t="str">
        <f t="shared" si="2"/>
        <v/>
      </c>
    </row>
    <row r="23" spans="1:12" x14ac:dyDescent="0.2">
      <c r="A23" s="3">
        <f t="shared" si="0"/>
        <v>0</v>
      </c>
      <c r="D23" s="58" t="s">
        <v>3732</v>
      </c>
      <c r="E23" s="129"/>
      <c r="F23" s="138">
        <v>1</v>
      </c>
      <c r="G23" s="125">
        <f>F23*E23</f>
        <v>0</v>
      </c>
      <c r="H23" s="129"/>
      <c r="I23" s="138">
        <v>1</v>
      </c>
      <c r="J23" s="125">
        <f>I23*H23</f>
        <v>0</v>
      </c>
      <c r="K23" s="127">
        <f t="shared" si="1"/>
        <v>0</v>
      </c>
      <c r="L23" s="128" t="str">
        <f t="shared" si="2"/>
        <v/>
      </c>
    </row>
    <row r="24" spans="1:12" ht="25.5" x14ac:dyDescent="0.2">
      <c r="A24" s="3">
        <f t="shared" si="0"/>
        <v>0</v>
      </c>
      <c r="B24" s="3" t="s">
        <v>3703</v>
      </c>
      <c r="D24" s="62" t="s">
        <v>3733</v>
      </c>
      <c r="E24" s="140"/>
      <c r="F24" s="140"/>
      <c r="G24" s="141">
        <f>SUM(G19:G23)</f>
        <v>3.6240000000000001</v>
      </c>
      <c r="H24" s="140"/>
      <c r="I24" s="142"/>
      <c r="J24" s="141">
        <f>SUM(J19:J23)</f>
        <v>3.6240000000000001</v>
      </c>
      <c r="K24" s="141">
        <f>SUM(K19:K23)</f>
        <v>0</v>
      </c>
      <c r="L24" s="143"/>
    </row>
    <row r="25" spans="1:12" x14ac:dyDescent="0.2">
      <c r="A25" s="3">
        <f t="shared" si="0"/>
        <v>0</v>
      </c>
      <c r="D25" s="63" t="s">
        <v>3705</v>
      </c>
      <c r="E25" s="129"/>
      <c r="F25" s="176">
        <f>IF($E5&gt;0, $E5, $E4*$E6)</f>
        <v>840</v>
      </c>
      <c r="G25" s="125">
        <f>F25*E25</f>
        <v>0</v>
      </c>
      <c r="H25" s="129"/>
      <c r="I25" s="177">
        <f>IF($E5&gt;0, $E5, $E4*$E6)</f>
        <v>840</v>
      </c>
      <c r="J25" s="125">
        <f>I25*H25</f>
        <v>0</v>
      </c>
      <c r="K25" s="127">
        <f t="shared" si="1"/>
        <v>0</v>
      </c>
      <c r="L25" s="128" t="str">
        <f t="shared" si="2"/>
        <v/>
      </c>
    </row>
    <row r="26" spans="1:12" ht="25.5" x14ac:dyDescent="0.2">
      <c r="A26" s="3">
        <f t="shared" si="0"/>
        <v>0</v>
      </c>
      <c r="D26" s="121" t="s">
        <v>3706</v>
      </c>
      <c r="E26" s="129"/>
      <c r="F26" s="176">
        <f>IF($E5&gt;0, $E5, $E4*$E6)</f>
        <v>840</v>
      </c>
      <c r="G26" s="125">
        <f>F26*E26</f>
        <v>0</v>
      </c>
      <c r="H26" s="129"/>
      <c r="I26" s="177">
        <f>IF($E5&gt;0, $E5, $E4*$E6)</f>
        <v>840</v>
      </c>
      <c r="J26" s="125">
        <f>I26*H26</f>
        <v>0</v>
      </c>
      <c r="K26" s="127">
        <f t="shared" si="1"/>
        <v>0</v>
      </c>
      <c r="L26" s="128" t="str">
        <f t="shared" si="2"/>
        <v/>
      </c>
    </row>
    <row r="27" spans="1:12" ht="25.5" x14ac:dyDescent="0.2">
      <c r="A27" s="3">
        <f t="shared" si="0"/>
        <v>0</v>
      </c>
      <c r="B27" s="3" t="s">
        <v>3707</v>
      </c>
      <c r="D27" s="62" t="s">
        <v>3734</v>
      </c>
      <c r="E27" s="140"/>
      <c r="F27" s="140"/>
      <c r="G27" s="141">
        <f>SUM(G24:G26)</f>
        <v>3.6240000000000001</v>
      </c>
      <c r="H27" s="144"/>
      <c r="I27" s="145"/>
      <c r="J27" s="141">
        <f>SUM(J24:J26)</f>
        <v>3.6240000000000001</v>
      </c>
      <c r="K27" s="141">
        <f>SUM(K24:K26)</f>
        <v>0</v>
      </c>
      <c r="L27" s="143"/>
    </row>
    <row r="28" spans="1:12" ht="25.5" x14ac:dyDescent="0.2">
      <c r="A28" s="3">
        <f t="shared" si="0"/>
        <v>0</v>
      </c>
      <c r="D28" s="61" t="s">
        <v>3709</v>
      </c>
      <c r="E28" s="146"/>
      <c r="F28" s="178">
        <f>IF($E5&gt;0, $E5, $E4*$E6)</f>
        <v>840</v>
      </c>
      <c r="G28" s="147"/>
      <c r="H28" s="146"/>
      <c r="I28" s="178">
        <f>IF($E5&gt;0, $E5, $E4*$E6)</f>
        <v>840</v>
      </c>
      <c r="J28" s="147"/>
      <c r="K28" s="127">
        <f t="shared" si="1"/>
        <v>0</v>
      </c>
      <c r="L28" s="128" t="str">
        <f t="shared" si="2"/>
        <v/>
      </c>
    </row>
    <row r="29" spans="1:12" ht="25.5" x14ac:dyDescent="0.2">
      <c r="A29" s="3">
        <f t="shared" si="0"/>
        <v>0</v>
      </c>
      <c r="D29" s="61" t="s">
        <v>3710</v>
      </c>
      <c r="E29" s="146"/>
      <c r="F29" s="178">
        <f>IF($E5&gt;0, $E5, $E4*$E6)</f>
        <v>840</v>
      </c>
      <c r="G29" s="147"/>
      <c r="H29" s="146"/>
      <c r="I29" s="178">
        <f>IF($E5&gt;0, $E5, $E4*$E6)</f>
        <v>840</v>
      </c>
      <c r="J29" s="147"/>
      <c r="K29" s="127">
        <f t="shared" si="1"/>
        <v>0</v>
      </c>
      <c r="L29" s="128" t="str">
        <f t="shared" si="2"/>
        <v/>
      </c>
    </row>
    <row r="30" spans="1:12" x14ac:dyDescent="0.2">
      <c r="A30" s="3">
        <f t="shared" si="0"/>
        <v>0</v>
      </c>
      <c r="D30" s="58" t="s">
        <v>3711</v>
      </c>
      <c r="E30" s="146"/>
      <c r="F30" s="169">
        <v>1</v>
      </c>
      <c r="G30" s="147"/>
      <c r="H30" s="146"/>
      <c r="I30" s="169">
        <v>1</v>
      </c>
      <c r="J30" s="147"/>
      <c r="K30" s="127">
        <f t="shared" si="1"/>
        <v>0</v>
      </c>
      <c r="L30" s="128" t="str">
        <f t="shared" si="2"/>
        <v/>
      </c>
    </row>
    <row r="31" spans="1:12" x14ac:dyDescent="0.2">
      <c r="A31" s="3">
        <f t="shared" si="0"/>
        <v>0</v>
      </c>
      <c r="D31" s="58" t="s">
        <v>3735</v>
      </c>
      <c r="E31" s="146"/>
      <c r="F31" s="170">
        <f>IF($E5&gt;0, $E5, $E4)</f>
        <v>800</v>
      </c>
      <c r="G31" s="147"/>
      <c r="H31" s="146"/>
      <c r="I31" s="170">
        <f>IF($E5&gt;0, $E5, $E4)</f>
        <v>800</v>
      </c>
      <c r="J31" s="147"/>
      <c r="K31" s="127">
        <f t="shared" si="1"/>
        <v>0</v>
      </c>
      <c r="L31" s="128" t="str">
        <f t="shared" si="2"/>
        <v/>
      </c>
    </row>
    <row r="32" spans="1:12" x14ac:dyDescent="0.2">
      <c r="A32" s="3">
        <f t="shared" si="0"/>
        <v>0</v>
      </c>
      <c r="B32" s="3" t="s">
        <v>3713</v>
      </c>
      <c r="D32" s="58" t="s">
        <v>3714</v>
      </c>
      <c r="E32" s="119">
        <v>0.08</v>
      </c>
      <c r="F32" s="122">
        <f>0.64*$E4</f>
        <v>512</v>
      </c>
      <c r="G32" s="147">
        <f>F32*E32</f>
        <v>40.96</v>
      </c>
      <c r="H32" s="119">
        <v>0.08</v>
      </c>
      <c r="I32" s="122">
        <f>0.64*$E4</f>
        <v>512</v>
      </c>
      <c r="J32" s="147">
        <f>I32*H32</f>
        <v>40.96</v>
      </c>
      <c r="K32" s="127">
        <f t="shared" si="1"/>
        <v>0</v>
      </c>
      <c r="L32" s="128">
        <f t="shared" si="2"/>
        <v>0</v>
      </c>
    </row>
    <row r="33" spans="1:12" x14ac:dyDescent="0.2">
      <c r="A33" s="3">
        <f t="shared" si="0"/>
        <v>0</v>
      </c>
      <c r="B33" s="3" t="s">
        <v>3713</v>
      </c>
      <c r="D33" s="58" t="s">
        <v>3715</v>
      </c>
      <c r="E33" s="119">
        <v>0.122</v>
      </c>
      <c r="F33" s="122">
        <f>0.18*$E4</f>
        <v>144</v>
      </c>
      <c r="G33" s="147">
        <f>F33*E33</f>
        <v>17.567999999999998</v>
      </c>
      <c r="H33" s="119">
        <v>0.122</v>
      </c>
      <c r="I33" s="122">
        <f>0.18*$E4</f>
        <v>144</v>
      </c>
      <c r="J33" s="147">
        <f>I33*H33</f>
        <v>17.567999999999998</v>
      </c>
      <c r="K33" s="127">
        <f t="shared" si="1"/>
        <v>0</v>
      </c>
      <c r="L33" s="128">
        <f t="shared" si="2"/>
        <v>0</v>
      </c>
    </row>
    <row r="34" spans="1:12" x14ac:dyDescent="0.2">
      <c r="A34" s="3">
        <f t="shared" si="0"/>
        <v>0</v>
      </c>
      <c r="B34" s="3" t="s">
        <v>3713</v>
      </c>
      <c r="D34" s="3" t="s">
        <v>3716</v>
      </c>
      <c r="E34" s="119">
        <v>0.161</v>
      </c>
      <c r="F34" s="122">
        <f>0.18*$E4</f>
        <v>144</v>
      </c>
      <c r="G34" s="147">
        <f>F34*E34</f>
        <v>23.184000000000001</v>
      </c>
      <c r="H34" s="119">
        <v>0.161</v>
      </c>
      <c r="I34" s="122">
        <f>0.18*$E4</f>
        <v>144</v>
      </c>
      <c r="J34" s="147">
        <f>I34*H34</f>
        <v>23.184000000000001</v>
      </c>
      <c r="K34" s="127">
        <f t="shared" si="1"/>
        <v>0</v>
      </c>
      <c r="L34" s="128">
        <f t="shared" si="2"/>
        <v>0</v>
      </c>
    </row>
    <row r="35" spans="1:12" x14ac:dyDescent="0.2">
      <c r="A35" s="3">
        <f t="shared" si="0"/>
        <v>0</v>
      </c>
      <c r="B35" s="3" t="s">
        <v>3717</v>
      </c>
      <c r="D35" s="58" t="s">
        <v>3718</v>
      </c>
      <c r="E35" s="119">
        <v>8.5999999999999993E-2</v>
      </c>
      <c r="F35" s="122">
        <f>$E4</f>
        <v>800</v>
      </c>
      <c r="G35" s="147">
        <f>F35*E35</f>
        <v>68.8</v>
      </c>
      <c r="H35" s="119">
        <v>8.5999999999999993E-2</v>
      </c>
      <c r="I35" s="122">
        <f>$E4</f>
        <v>800</v>
      </c>
      <c r="J35" s="147">
        <f>I35*H35</f>
        <v>68.8</v>
      </c>
      <c r="K35" s="127">
        <f t="shared" si="1"/>
        <v>0</v>
      </c>
      <c r="L35" s="128">
        <f t="shared" si="2"/>
        <v>0</v>
      </c>
    </row>
    <row r="36" spans="1:12" ht="13.5" thickBot="1" x14ac:dyDescent="0.25">
      <c r="A36" s="3">
        <f t="shared" si="0"/>
        <v>0</v>
      </c>
      <c r="B36" s="3" t="s">
        <v>3719</v>
      </c>
      <c r="D36" s="58" t="s">
        <v>3720</v>
      </c>
      <c r="E36" s="118">
        <f>0.0906</f>
        <v>9.06E-2</v>
      </c>
      <c r="F36" s="120">
        <f>$E4</f>
        <v>800</v>
      </c>
      <c r="G36" s="147">
        <f>F36*E36</f>
        <v>72.48</v>
      </c>
      <c r="H36" s="118">
        <f>0.0906</f>
        <v>9.06E-2</v>
      </c>
      <c r="I36" s="120">
        <f>$E4</f>
        <v>800</v>
      </c>
      <c r="J36" s="147">
        <f>I36*H36</f>
        <v>72.48</v>
      </c>
      <c r="K36" s="127">
        <f t="shared" si="1"/>
        <v>0</v>
      </c>
      <c r="L36" s="128">
        <f t="shared" si="2"/>
        <v>0</v>
      </c>
    </row>
    <row r="37" spans="1:12" ht="13.5" thickBot="1" x14ac:dyDescent="0.25">
      <c r="A37" s="3">
        <f t="shared" si="0"/>
        <v>0</v>
      </c>
      <c r="B37" s="3" t="s">
        <v>3713</v>
      </c>
      <c r="D37" s="64"/>
      <c r="E37" s="148"/>
      <c r="F37" s="149"/>
      <c r="G37" s="150"/>
      <c r="H37" s="148"/>
      <c r="I37" s="151"/>
      <c r="J37" s="150"/>
      <c r="K37" s="150"/>
      <c r="L37" s="152"/>
    </row>
    <row r="38" spans="1:12" x14ac:dyDescent="0.2">
      <c r="A38" s="3">
        <f t="shared" si="0"/>
        <v>0</v>
      </c>
      <c r="B38" s="3" t="s">
        <v>3713</v>
      </c>
      <c r="D38" s="65" t="s">
        <v>3721</v>
      </c>
      <c r="E38" s="153"/>
      <c r="F38" s="154"/>
      <c r="G38" s="933">
        <f>SUM(G27:G34)</f>
        <v>85.335999999999999</v>
      </c>
      <c r="H38" s="155"/>
      <c r="I38" s="155"/>
      <c r="J38" s="933">
        <f>SUM(J27:J34)</f>
        <v>85.335999999999999</v>
      </c>
      <c r="K38" s="127">
        <f t="shared" si="1"/>
        <v>0</v>
      </c>
      <c r="L38" s="128">
        <f t="shared" si="2"/>
        <v>0</v>
      </c>
    </row>
    <row r="39" spans="1:12" x14ac:dyDescent="0.2">
      <c r="A39" s="3">
        <f t="shared" si="0"/>
        <v>0</v>
      </c>
      <c r="B39" s="3" t="s">
        <v>3713</v>
      </c>
      <c r="D39" s="66" t="s">
        <v>3722</v>
      </c>
      <c r="E39" s="171">
        <v>0.13</v>
      </c>
      <c r="F39" s="156"/>
      <c r="G39" s="934">
        <f>E39*G38</f>
        <v>11.093680000000001</v>
      </c>
      <c r="H39" s="171">
        <v>0.13</v>
      </c>
      <c r="I39" s="157"/>
      <c r="J39" s="934">
        <f>H39*J38</f>
        <v>11.093680000000001</v>
      </c>
      <c r="K39" s="127">
        <f t="shared" si="1"/>
        <v>0</v>
      </c>
      <c r="L39" s="128">
        <f t="shared" si="2"/>
        <v>0</v>
      </c>
    </row>
    <row r="40" spans="1:12" x14ac:dyDescent="0.2">
      <c r="A40" s="3">
        <f t="shared" si="0"/>
        <v>0</v>
      </c>
      <c r="B40" s="3" t="s">
        <v>3713</v>
      </c>
      <c r="D40" s="67" t="s">
        <v>3736</v>
      </c>
      <c r="E40" s="157"/>
      <c r="F40" s="156"/>
      <c r="G40" s="934">
        <f>SUM(G38:G39)</f>
        <v>96.429680000000005</v>
      </c>
      <c r="H40" s="157"/>
      <c r="I40" s="157"/>
      <c r="J40" s="934">
        <f>SUM(J38:J39)</f>
        <v>96.429680000000005</v>
      </c>
      <c r="K40" s="127">
        <f t="shared" si="1"/>
        <v>0</v>
      </c>
      <c r="L40" s="128">
        <f t="shared" si="2"/>
        <v>0</v>
      </c>
    </row>
    <row r="41" spans="1:12" ht="13.5" thickBot="1" x14ac:dyDescent="0.25">
      <c r="A41" s="3" t="e">
        <f>#REF!</f>
        <v>#REF!</v>
      </c>
      <c r="B41" s="3" t="s">
        <v>3713</v>
      </c>
      <c r="D41" s="935" t="s">
        <v>3725</v>
      </c>
      <c r="E41" s="936"/>
      <c r="F41" s="937"/>
      <c r="G41" s="938">
        <f>SUM(G40:G40)</f>
        <v>96.429680000000005</v>
      </c>
      <c r="H41" s="939"/>
      <c r="I41" s="939"/>
      <c r="J41" s="938">
        <f>SUM(J40:J40)</f>
        <v>96.429680000000005</v>
      </c>
      <c r="K41" s="940">
        <f t="shared" si="1"/>
        <v>0</v>
      </c>
      <c r="L41" s="941">
        <f t="shared" si="2"/>
        <v>0</v>
      </c>
    </row>
    <row r="42" spans="1:12" ht="13.5" thickBot="1" x14ac:dyDescent="0.25">
      <c r="A42" s="3" t="e">
        <f t="shared" si="0"/>
        <v>#REF!</v>
      </c>
      <c r="B42" s="3" t="s">
        <v>3717</v>
      </c>
      <c r="D42" s="64"/>
      <c r="E42" s="162"/>
      <c r="F42" s="163"/>
      <c r="G42" s="164"/>
      <c r="H42" s="162"/>
      <c r="I42" s="165"/>
      <c r="J42" s="166"/>
      <c r="K42" s="166"/>
      <c r="L42" s="168"/>
    </row>
    <row r="43" spans="1:12" x14ac:dyDescent="0.2">
      <c r="A43" s="3" t="e">
        <f t="shared" si="0"/>
        <v>#REF!</v>
      </c>
      <c r="B43" s="3" t="s">
        <v>3717</v>
      </c>
      <c r="D43" s="65" t="s">
        <v>3726</v>
      </c>
      <c r="E43" s="153"/>
      <c r="F43" s="154"/>
      <c r="G43" s="933">
        <f>SUM(G27:G31,G35)</f>
        <v>72.423999999999992</v>
      </c>
      <c r="H43" s="153"/>
      <c r="I43" s="155"/>
      <c r="J43" s="933">
        <f>SUM(J27:J31,J35)</f>
        <v>72.423999999999992</v>
      </c>
      <c r="K43" s="127">
        <f t="shared" si="1"/>
        <v>0</v>
      </c>
      <c r="L43" s="128">
        <f t="shared" si="2"/>
        <v>0</v>
      </c>
    </row>
    <row r="44" spans="1:12" x14ac:dyDescent="0.2">
      <c r="A44" s="3" t="e">
        <f t="shared" si="0"/>
        <v>#REF!</v>
      </c>
      <c r="B44" s="3" t="s">
        <v>3717</v>
      </c>
      <c r="D44" s="66" t="s">
        <v>3722</v>
      </c>
      <c r="E44" s="171">
        <v>0.13</v>
      </c>
      <c r="F44" s="156"/>
      <c r="G44" s="934">
        <f>E44*G43</f>
        <v>9.4151199999999999</v>
      </c>
      <c r="H44" s="171">
        <v>0.13</v>
      </c>
      <c r="I44" s="157"/>
      <c r="J44" s="934">
        <f>H44*J43</f>
        <v>9.4151199999999999</v>
      </c>
      <c r="K44" s="127">
        <f t="shared" si="1"/>
        <v>0</v>
      </c>
      <c r="L44" s="128">
        <f t="shared" si="2"/>
        <v>0</v>
      </c>
    </row>
    <row r="45" spans="1:12" x14ac:dyDescent="0.2">
      <c r="A45" s="3" t="e">
        <f t="shared" si="0"/>
        <v>#REF!</v>
      </c>
      <c r="B45" s="3" t="s">
        <v>3717</v>
      </c>
      <c r="D45" s="67" t="s">
        <v>3736</v>
      </c>
      <c r="E45" s="157"/>
      <c r="F45" s="156"/>
      <c r="G45" s="934">
        <f>SUM(G43:G44)</f>
        <v>81.839119999999994</v>
      </c>
      <c r="H45" s="157"/>
      <c r="I45" s="157"/>
      <c r="J45" s="934">
        <f>SUM(J43:J44)</f>
        <v>81.839119999999994</v>
      </c>
      <c r="K45" s="127">
        <f t="shared" si="1"/>
        <v>0</v>
      </c>
      <c r="L45" s="128">
        <f t="shared" si="2"/>
        <v>0</v>
      </c>
    </row>
    <row r="46" spans="1:12" ht="13.5" thickBot="1" x14ac:dyDescent="0.25">
      <c r="A46" s="3" t="e">
        <f>#REF!</f>
        <v>#REF!</v>
      </c>
      <c r="B46" s="3" t="s">
        <v>3717</v>
      </c>
      <c r="D46" s="935" t="s">
        <v>3726</v>
      </c>
      <c r="E46" s="158"/>
      <c r="F46" s="159"/>
      <c r="G46" s="160">
        <f>SUM(G45:G45)</f>
        <v>81.839119999999994</v>
      </c>
      <c r="H46" s="158"/>
      <c r="I46" s="161"/>
      <c r="J46" s="160">
        <f>SUM(J45:J45)</f>
        <v>81.839119999999994</v>
      </c>
      <c r="K46" s="173">
        <f t="shared" si="1"/>
        <v>0</v>
      </c>
      <c r="L46" s="174">
        <f t="shared" si="2"/>
        <v>0</v>
      </c>
    </row>
    <row r="47" spans="1:12" ht="13.5" thickBot="1" x14ac:dyDescent="0.25">
      <c r="A47" s="3" t="e">
        <f t="shared" si="0"/>
        <v>#REF!</v>
      </c>
      <c r="B47" s="3" t="s">
        <v>3719</v>
      </c>
      <c r="D47" s="64"/>
      <c r="E47" s="162"/>
      <c r="F47" s="163"/>
      <c r="G47" s="164"/>
      <c r="H47" s="162"/>
      <c r="I47" s="165"/>
      <c r="J47" s="166"/>
      <c r="K47" s="166"/>
      <c r="L47" s="168"/>
    </row>
    <row r="48" spans="1:12" ht="25.5" x14ac:dyDescent="0.2">
      <c r="A48" s="3" t="e">
        <f t="shared" si="0"/>
        <v>#REF!</v>
      </c>
      <c r="B48" s="3" t="s">
        <v>3719</v>
      </c>
      <c r="D48" s="175" t="s">
        <v>3737</v>
      </c>
      <c r="E48" s="153"/>
      <c r="F48" s="154"/>
      <c r="G48" s="933">
        <f>SUM(G27:G31,G36)</f>
        <v>76.103999999999999</v>
      </c>
      <c r="H48" s="153"/>
      <c r="I48" s="155"/>
      <c r="J48" s="933">
        <f>SUM(J27:J31,J36)</f>
        <v>76.103999999999999</v>
      </c>
      <c r="K48" s="127">
        <f t="shared" si="1"/>
        <v>0</v>
      </c>
      <c r="L48" s="128">
        <f t="shared" si="2"/>
        <v>0</v>
      </c>
    </row>
    <row r="49" spans="1:12" x14ac:dyDescent="0.2">
      <c r="A49" s="3" t="e">
        <f t="shared" si="0"/>
        <v>#REF!</v>
      </c>
      <c r="B49" s="3" t="s">
        <v>3719</v>
      </c>
      <c r="D49" s="66" t="s">
        <v>3722</v>
      </c>
      <c r="E49" s="171">
        <v>0.13</v>
      </c>
      <c r="F49" s="156"/>
      <c r="G49" s="934">
        <f>E49*G48</f>
        <v>9.8935200000000005</v>
      </c>
      <c r="H49" s="171">
        <v>0.13</v>
      </c>
      <c r="I49" s="157"/>
      <c r="J49" s="934">
        <f>H49*J48</f>
        <v>9.8935200000000005</v>
      </c>
      <c r="K49" s="127">
        <f t="shared" si="1"/>
        <v>0</v>
      </c>
      <c r="L49" s="128">
        <f t="shared" si="2"/>
        <v>0</v>
      </c>
    </row>
    <row r="50" spans="1:12" x14ac:dyDescent="0.2">
      <c r="A50" s="3" t="e">
        <f t="shared" si="0"/>
        <v>#REF!</v>
      </c>
      <c r="B50" s="3" t="s">
        <v>3719</v>
      </c>
      <c r="D50" s="67" t="s">
        <v>3736</v>
      </c>
      <c r="E50" s="157"/>
      <c r="F50" s="156"/>
      <c r="G50" s="934">
        <f>SUM(G48:G49)</f>
        <v>85.997519999999994</v>
      </c>
      <c r="H50" s="157"/>
      <c r="I50" s="157"/>
      <c r="J50" s="934">
        <f>SUM(J48:J49)</f>
        <v>85.997519999999994</v>
      </c>
      <c r="K50" s="127">
        <f t="shared" si="1"/>
        <v>0</v>
      </c>
      <c r="L50" s="128">
        <f t="shared" si="2"/>
        <v>0</v>
      </c>
    </row>
    <row r="51" spans="1:12" ht="26.25" thickBot="1" x14ac:dyDescent="0.25">
      <c r="A51" s="3" t="e">
        <f>#REF!</f>
        <v>#REF!</v>
      </c>
      <c r="B51" s="3" t="s">
        <v>3719</v>
      </c>
      <c r="D51" s="935" t="s">
        <v>3728</v>
      </c>
      <c r="E51" s="158"/>
      <c r="F51" s="159"/>
      <c r="G51" s="160">
        <f>SUM(G50:G50)</f>
        <v>85.997519999999994</v>
      </c>
      <c r="H51" s="158"/>
      <c r="I51" s="161"/>
      <c r="J51" s="160">
        <f>SUM(J50:J50)</f>
        <v>85.997519999999994</v>
      </c>
      <c r="K51" s="173">
        <f t="shared" si="1"/>
        <v>0</v>
      </c>
      <c r="L51" s="174">
        <f t="shared" si="2"/>
        <v>0</v>
      </c>
    </row>
    <row r="52" spans="1:12" ht="13.5" thickBot="1" x14ac:dyDescent="0.25">
      <c r="A52" s="3" t="e">
        <f t="shared" si="0"/>
        <v>#REF!</v>
      </c>
      <c r="B52" s="3" t="s">
        <v>3719</v>
      </c>
      <c r="D52" s="64"/>
      <c r="E52" s="162"/>
      <c r="F52" s="163"/>
      <c r="G52" s="164"/>
      <c r="H52" s="162"/>
      <c r="I52" s="165"/>
      <c r="J52" s="166"/>
      <c r="K52" s="167"/>
      <c r="L52" s="168"/>
    </row>
    <row r="56" spans="1:12" ht="12.75" customHeight="1" x14ac:dyDescent="0.2"/>
    <row r="62" spans="1:12" ht="12.75" customHeight="1" x14ac:dyDescent="0.2"/>
    <row r="63" spans="1:12" ht="13.5" customHeight="1" x14ac:dyDescent="0.2"/>
  </sheetData>
  <sheetProtection algorithmName="SHA-512" hashValue="wIyYGPajdLE/u2ZEColQ9MQ+Y94f5QwTmuhOFc2ZMND3ycwQFY3afMRw1eSgI6voY3e30WQ+C04HJ4aZjLV28Q==" saltValue="H+OwseAyYfj00x2Pv4j1Yg==" spinCount="100000" sheet="1" objects="1" scenarios="1" selectLockedCells="1"/>
  <mergeCells count="7">
    <mergeCell ref="K13:K14"/>
    <mergeCell ref="L13:L14"/>
    <mergeCell ref="E3:G3"/>
    <mergeCell ref="E2:J2"/>
    <mergeCell ref="E12:G12"/>
    <mergeCell ref="H12:J12"/>
    <mergeCell ref="K12:L12"/>
  </mergeCells>
  <pageMargins left="0.75" right="0.75" top="1" bottom="1" header="0.5" footer="0.5"/>
  <pageSetup scale="42" orientation="portrait" r:id="rId1"/>
  <headerFooter alignWithMargins="0">
    <oddFooter>&amp;C9</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
  <dimension ref="A1:BY307"/>
  <sheetViews>
    <sheetView topLeftCell="A43" workbookViewId="0">
      <selection activeCell="I43" sqref="I43"/>
    </sheetView>
  </sheetViews>
  <sheetFormatPr defaultColWidth="9.28515625" defaultRowHeight="15" x14ac:dyDescent="0.25"/>
  <cols>
    <col min="1" max="1" width="105.7109375" bestFit="1" customWidth="1"/>
    <col min="9" max="9" width="132.28515625" bestFit="1" customWidth="1"/>
    <col min="11" max="11" width="2.28515625" customWidth="1"/>
    <col min="12" max="12" width="59.28515625" hidden="1" customWidth="1"/>
    <col min="13" max="13" width="0" hidden="1" customWidth="1"/>
    <col min="15" max="15" width="110" bestFit="1" customWidth="1"/>
    <col min="26" max="27" width="83" bestFit="1" customWidth="1"/>
    <col min="29" max="29" width="63.7109375" customWidth="1"/>
    <col min="31" max="31" width="14.7109375" customWidth="1"/>
    <col min="34" max="34" width="56.42578125" customWidth="1"/>
  </cols>
  <sheetData>
    <row r="1" spans="1:77" x14ac:dyDescent="0.25">
      <c r="A1" t="s">
        <v>207</v>
      </c>
      <c r="B1" t="s">
        <v>1250</v>
      </c>
      <c r="C1">
        <f>COUNTA(B1:B17)</f>
        <v>4</v>
      </c>
      <c r="I1" t="s">
        <v>6009</v>
      </c>
      <c r="L1" s="368" t="s">
        <v>6010</v>
      </c>
      <c r="N1" s="368" t="s">
        <v>837</v>
      </c>
      <c r="O1" s="369" t="s">
        <v>3837</v>
      </c>
      <c r="P1" s="369" t="s">
        <v>6011</v>
      </c>
      <c r="Z1" t="s">
        <v>171</v>
      </c>
      <c r="AA1" t="s">
        <v>171</v>
      </c>
      <c r="AC1" s="370" t="s">
        <v>6012</v>
      </c>
      <c r="AD1" t="s">
        <v>380</v>
      </c>
      <c r="AH1" s="36" t="s">
        <v>6013</v>
      </c>
      <c r="AI1" s="38"/>
      <c r="AJ1" s="38"/>
      <c r="AK1" s="365"/>
      <c r="AL1" s="38"/>
      <c r="AM1" s="38"/>
      <c r="AN1" s="1938"/>
      <c r="AO1" s="1938"/>
      <c r="AP1" s="365"/>
      <c r="AQ1" s="35"/>
      <c r="AR1" s="35"/>
      <c r="AS1" s="39"/>
      <c r="BQ1" s="371"/>
      <c r="BR1" s="372"/>
    </row>
    <row r="2" spans="1:77" x14ac:dyDescent="0.25">
      <c r="A2" t="s">
        <v>4363</v>
      </c>
      <c r="B2" t="s">
        <v>1260</v>
      </c>
      <c r="I2" t="s">
        <v>3688</v>
      </c>
      <c r="L2" s="369" t="s">
        <v>6014</v>
      </c>
      <c r="N2" t="s">
        <v>777</v>
      </c>
      <c r="O2" s="369" t="s">
        <v>6015</v>
      </c>
      <c r="P2" s="369" t="s">
        <v>6014</v>
      </c>
      <c r="Q2" s="373"/>
      <c r="R2" s="373"/>
      <c r="S2" s="373"/>
      <c r="T2" s="373"/>
      <c r="U2" s="373"/>
      <c r="V2" s="373"/>
      <c r="W2" s="373"/>
      <c r="X2" s="373"/>
      <c r="Y2" s="373"/>
      <c r="Z2" t="s">
        <v>176</v>
      </c>
      <c r="AA2" t="s">
        <v>176</v>
      </c>
      <c r="AB2" s="373"/>
      <c r="AC2" s="374" t="s">
        <v>6016</v>
      </c>
      <c r="AD2" t="s">
        <v>380</v>
      </c>
      <c r="AG2" s="373"/>
      <c r="AH2" s="14" t="s">
        <v>6017</v>
      </c>
      <c r="AI2" s="4"/>
      <c r="AJ2" s="8"/>
      <c r="AK2" s="364">
        <f>AI2*AJ2</f>
        <v>0</v>
      </c>
      <c r="AL2" s="4">
        <f t="shared" ref="AL2:AM4" si="0">AI2</f>
        <v>0</v>
      </c>
      <c r="AM2" s="7">
        <f t="shared" si="0"/>
        <v>0</v>
      </c>
      <c r="AN2" s="1937">
        <f>AL2*AM2</f>
        <v>0</v>
      </c>
      <c r="AO2" s="1937"/>
      <c r="AP2" s="367">
        <f>AN2-AK2</f>
        <v>0</v>
      </c>
      <c r="AQ2" s="5" t="e">
        <f>AP2/AK2</f>
        <v>#DIV/0!</v>
      </c>
      <c r="AR2" s="5"/>
      <c r="AS2" s="40"/>
      <c r="AT2" s="373"/>
      <c r="AU2" s="373"/>
      <c r="AV2" s="373"/>
      <c r="AW2" s="373"/>
      <c r="AX2" s="373"/>
      <c r="AY2" s="373"/>
      <c r="AZ2" s="373"/>
      <c r="BA2" s="373"/>
      <c r="BB2" s="373"/>
      <c r="BC2" s="373"/>
      <c r="BD2" s="373"/>
      <c r="BE2" s="373"/>
      <c r="BF2" s="373"/>
      <c r="BG2" s="373"/>
      <c r="BH2" s="373"/>
      <c r="BI2" s="373"/>
      <c r="BJ2" s="373"/>
      <c r="BK2" s="373"/>
      <c r="BL2" s="373"/>
      <c r="BM2" s="373"/>
      <c r="BN2" s="373"/>
      <c r="BO2" s="373"/>
      <c r="BP2" s="373"/>
      <c r="BR2" s="372"/>
      <c r="BS2" s="373"/>
      <c r="BT2" s="373"/>
      <c r="BU2" s="373"/>
      <c r="BV2" s="373"/>
      <c r="BW2" s="373"/>
      <c r="BX2" s="373"/>
      <c r="BY2" s="373"/>
    </row>
    <row r="3" spans="1:77" x14ac:dyDescent="0.25">
      <c r="A3" t="s">
        <v>4379</v>
      </c>
      <c r="B3" t="s">
        <v>1233</v>
      </c>
      <c r="I3" t="s">
        <v>4863</v>
      </c>
      <c r="L3" s="369" t="s">
        <v>4319</v>
      </c>
      <c r="N3" t="s">
        <v>845</v>
      </c>
      <c r="O3" s="369" t="s">
        <v>6018</v>
      </c>
      <c r="P3" s="369" t="s">
        <v>4319</v>
      </c>
      <c r="Z3" t="s">
        <v>191</v>
      </c>
      <c r="AA3" t="s">
        <v>191</v>
      </c>
      <c r="AC3" s="370" t="s">
        <v>6016</v>
      </c>
      <c r="AD3" t="s">
        <v>380</v>
      </c>
      <c r="AH3" s="14" t="s">
        <v>847</v>
      </c>
      <c r="AI3" s="4"/>
      <c r="AJ3" s="8"/>
      <c r="AK3" s="364">
        <f>AI3*AJ3</f>
        <v>0</v>
      </c>
      <c r="AL3" s="4">
        <f t="shared" si="0"/>
        <v>0</v>
      </c>
      <c r="AM3" s="7">
        <f t="shared" si="0"/>
        <v>0</v>
      </c>
      <c r="AN3" s="1937">
        <f>AL3*AM3</f>
        <v>0</v>
      </c>
      <c r="AO3" s="1937"/>
      <c r="AP3" s="367">
        <f>AN3-AK3</f>
        <v>0</v>
      </c>
      <c r="AQ3" s="5" t="e">
        <f>AP3/AK3</f>
        <v>#DIV/0!</v>
      </c>
      <c r="AR3" s="5"/>
      <c r="AS3" s="40"/>
      <c r="BQ3" s="371"/>
      <c r="BR3" s="372"/>
    </row>
    <row r="4" spans="1:77" x14ac:dyDescent="0.25">
      <c r="A4" t="s">
        <v>4390</v>
      </c>
      <c r="B4" t="s">
        <v>6019</v>
      </c>
      <c r="I4" t="s">
        <v>918</v>
      </c>
      <c r="L4" s="369" t="s">
        <v>4320</v>
      </c>
      <c r="N4" t="s">
        <v>3775</v>
      </c>
      <c r="O4" s="369" t="s">
        <v>6020</v>
      </c>
      <c r="P4" s="369" t="s">
        <v>4320</v>
      </c>
      <c r="Z4" t="s">
        <v>181</v>
      </c>
      <c r="AA4" t="s">
        <v>181</v>
      </c>
      <c r="AC4" s="370" t="s">
        <v>6021</v>
      </c>
      <c r="AD4" t="s">
        <v>379</v>
      </c>
      <c r="AH4" s="14" t="s">
        <v>6022</v>
      </c>
      <c r="AI4" s="6"/>
      <c r="AJ4" s="4"/>
      <c r="AK4" s="364">
        <f>AI4*AJ4</f>
        <v>0</v>
      </c>
      <c r="AL4" s="6">
        <f t="shared" si="0"/>
        <v>0</v>
      </c>
      <c r="AM4" s="9">
        <f t="shared" si="0"/>
        <v>0</v>
      </c>
      <c r="AN4" s="1937">
        <f>AL4*AM4</f>
        <v>0</v>
      </c>
      <c r="AO4" s="1937"/>
      <c r="AP4" s="367">
        <f>AN4-AK4</f>
        <v>0</v>
      </c>
      <c r="AQ4" s="5" t="e">
        <f>AP4/AK4</f>
        <v>#DIV/0!</v>
      </c>
      <c r="AR4" s="5"/>
      <c r="AS4" s="40"/>
      <c r="BR4" s="372"/>
    </row>
    <row r="5" spans="1:77" x14ac:dyDescent="0.25">
      <c r="A5" t="s">
        <v>202</v>
      </c>
      <c r="I5" t="s">
        <v>6023</v>
      </c>
      <c r="L5" s="369" t="s">
        <v>6024</v>
      </c>
      <c r="N5" t="s">
        <v>5931</v>
      </c>
      <c r="O5" s="369" t="s">
        <v>6025</v>
      </c>
      <c r="P5" s="369" t="s">
        <v>6024</v>
      </c>
      <c r="Z5" t="s">
        <v>6026</v>
      </c>
      <c r="AA5" t="s">
        <v>6026</v>
      </c>
      <c r="AC5" s="370" t="s">
        <v>6027</v>
      </c>
      <c r="AD5" t="s">
        <v>379</v>
      </c>
      <c r="AH5" s="36" t="s">
        <v>6028</v>
      </c>
      <c r="AI5" s="38"/>
      <c r="AJ5" s="38"/>
      <c r="AK5" s="365">
        <f>SUM(AK2:AK4)</f>
        <v>0</v>
      </c>
      <c r="AL5" s="38"/>
      <c r="AM5" s="38"/>
      <c r="AN5" s="1938">
        <f>SUM(AN2:AO4)</f>
        <v>0</v>
      </c>
      <c r="AO5" s="1938"/>
      <c r="AP5" s="365">
        <f>AN5-AK5</f>
        <v>0</v>
      </c>
      <c r="AQ5" s="37" t="e">
        <f>AP5/AK5</f>
        <v>#DIV/0!</v>
      </c>
      <c r="AR5" s="35"/>
      <c r="AS5" s="39"/>
      <c r="BR5" s="372"/>
    </row>
    <row r="6" spans="1:77" x14ac:dyDescent="0.25">
      <c r="A6" t="s">
        <v>3767</v>
      </c>
      <c r="I6" t="s">
        <v>6029</v>
      </c>
      <c r="L6" s="369" t="s">
        <v>4317</v>
      </c>
      <c r="O6" s="369" t="s">
        <v>6030</v>
      </c>
      <c r="P6" s="369" t="s">
        <v>4317</v>
      </c>
      <c r="Z6" t="s">
        <v>6031</v>
      </c>
      <c r="AA6" t="s">
        <v>6031</v>
      </c>
      <c r="AC6" s="370" t="s">
        <v>6032</v>
      </c>
      <c r="AD6" t="s">
        <v>380</v>
      </c>
      <c r="AH6" s="15" t="s">
        <v>3735</v>
      </c>
      <c r="AI6" s="4"/>
      <c r="AJ6" s="10"/>
      <c r="AK6" s="364">
        <f>AI6*AJ6</f>
        <v>0</v>
      </c>
      <c r="AL6" s="4">
        <f>AI6</f>
        <v>0</v>
      </c>
      <c r="AM6" s="7">
        <f>AJ6</f>
        <v>0</v>
      </c>
      <c r="AN6" s="1942">
        <f>AL6*AM6</f>
        <v>0</v>
      </c>
      <c r="AO6" s="1942"/>
      <c r="AP6" s="367">
        <f>AN6-AK6</f>
        <v>0</v>
      </c>
      <c r="AQ6" s="5" t="e">
        <f>AP6/AK6</f>
        <v>#DIV/0!</v>
      </c>
      <c r="AR6" s="29"/>
      <c r="AS6" s="41"/>
      <c r="BR6" s="372"/>
    </row>
    <row r="7" spans="1:77" x14ac:dyDescent="0.25">
      <c r="A7" t="s">
        <v>174</v>
      </c>
      <c r="I7" t="s">
        <v>6033</v>
      </c>
      <c r="L7" s="375"/>
      <c r="O7" s="369"/>
      <c r="Z7" t="s">
        <v>6034</v>
      </c>
      <c r="AA7" t="s">
        <v>6034</v>
      </c>
      <c r="AC7" s="370" t="s">
        <v>6035</v>
      </c>
      <c r="AD7" t="s">
        <v>380</v>
      </c>
      <c r="AH7" s="24"/>
      <c r="AI7" s="25"/>
      <c r="AJ7" s="25"/>
      <c r="AK7" s="26"/>
      <c r="AL7" s="25"/>
      <c r="AM7" s="25"/>
      <c r="AN7" s="1935"/>
      <c r="AO7" s="1936"/>
      <c r="AP7" s="27"/>
      <c r="AQ7" s="28"/>
      <c r="AR7" s="44"/>
      <c r="AS7" s="42"/>
      <c r="BQ7" s="371"/>
      <c r="BR7" s="372"/>
    </row>
    <row r="8" spans="1:77" x14ac:dyDescent="0.25">
      <c r="A8" t="s">
        <v>170</v>
      </c>
      <c r="I8" t="s">
        <v>6036</v>
      </c>
      <c r="L8" s="369" t="s">
        <v>4318</v>
      </c>
      <c r="O8" s="369" t="s">
        <v>6037</v>
      </c>
      <c r="P8" s="369" t="s">
        <v>4318</v>
      </c>
      <c r="Z8" t="s">
        <v>196</v>
      </c>
      <c r="AA8" t="s">
        <v>196</v>
      </c>
      <c r="AC8" s="370" t="s">
        <v>6038</v>
      </c>
      <c r="AD8" t="s">
        <v>380</v>
      </c>
      <c r="AH8" s="15" t="s">
        <v>6039</v>
      </c>
      <c r="AI8" s="13"/>
      <c r="AJ8" s="13"/>
      <c r="AK8" s="367"/>
      <c r="AL8" s="46"/>
      <c r="AM8" s="46"/>
      <c r="AN8" s="1941"/>
      <c r="AO8" s="1941"/>
      <c r="AP8" s="367">
        <f>AN8-AK8</f>
        <v>0</v>
      </c>
      <c r="AQ8" s="5"/>
      <c r="AR8" s="5"/>
      <c r="AS8" s="40"/>
      <c r="BR8" s="372"/>
    </row>
    <row r="9" spans="1:77" x14ac:dyDescent="0.25">
      <c r="A9" t="s">
        <v>1008</v>
      </c>
      <c r="I9" t="s">
        <v>6040</v>
      </c>
      <c r="L9" s="375" t="s">
        <v>6041</v>
      </c>
      <c r="O9" s="369" t="s">
        <v>6042</v>
      </c>
      <c r="Z9" t="s">
        <v>200</v>
      </c>
      <c r="AA9" t="s">
        <v>200</v>
      </c>
      <c r="AC9" s="370" t="s">
        <v>6043</v>
      </c>
      <c r="AD9" t="s">
        <v>380</v>
      </c>
      <c r="AH9" s="23" t="s">
        <v>3722</v>
      </c>
      <c r="AI9" s="11"/>
      <c r="AJ9" s="12"/>
      <c r="AK9" s="367">
        <f>AJ9*AK8</f>
        <v>0</v>
      </c>
      <c r="AL9" s="11"/>
      <c r="AM9" s="12">
        <f>AJ9</f>
        <v>0</v>
      </c>
      <c r="AN9" s="1941">
        <f>AM9*AN8</f>
        <v>0</v>
      </c>
      <c r="AO9" s="1941"/>
      <c r="AP9" s="367">
        <f>AN9-AK9</f>
        <v>0</v>
      </c>
      <c r="AQ9" s="5" t="e">
        <f>AP9/AK9</f>
        <v>#DIV/0!</v>
      </c>
      <c r="AR9" s="5"/>
      <c r="AS9" s="40"/>
      <c r="BQ9" s="371"/>
      <c r="BR9" s="372"/>
    </row>
    <row r="10" spans="1:77" x14ac:dyDescent="0.25">
      <c r="A10" t="s">
        <v>990</v>
      </c>
      <c r="I10" t="s">
        <v>6044</v>
      </c>
      <c r="L10" s="375" t="s">
        <v>6045</v>
      </c>
      <c r="O10" s="369" t="s">
        <v>6046</v>
      </c>
      <c r="Z10" t="s">
        <v>6047</v>
      </c>
      <c r="AA10" t="s">
        <v>6047</v>
      </c>
      <c r="AC10" s="370" t="s">
        <v>6048</v>
      </c>
      <c r="AD10" t="s">
        <v>380</v>
      </c>
      <c r="AH10" s="23" t="s">
        <v>6049</v>
      </c>
      <c r="AI10" s="30"/>
      <c r="AJ10" s="30"/>
      <c r="AK10" s="367">
        <f>AK9+AK8</f>
        <v>0</v>
      </c>
      <c r="AL10" s="30"/>
      <c r="AM10" s="30"/>
      <c r="AN10" s="1941">
        <f>AN9+AN8</f>
        <v>0</v>
      </c>
      <c r="AO10" s="1941"/>
      <c r="AP10" s="367">
        <f>AN10-AK10</f>
        <v>0</v>
      </c>
      <c r="AQ10" s="5" t="e">
        <f>AP10/AK10</f>
        <v>#DIV/0!</v>
      </c>
      <c r="AR10" s="5"/>
      <c r="AS10" s="40"/>
      <c r="BR10" s="372"/>
    </row>
    <row r="11" spans="1:77" x14ac:dyDescent="0.25">
      <c r="A11" t="s">
        <v>189</v>
      </c>
      <c r="I11" t="s">
        <v>6050</v>
      </c>
      <c r="L11" s="375" t="s">
        <v>6051</v>
      </c>
      <c r="O11" s="369" t="s">
        <v>6052</v>
      </c>
      <c r="Z11" t="s">
        <v>209</v>
      </c>
      <c r="AA11" t="s">
        <v>209</v>
      </c>
      <c r="AC11" s="370" t="s">
        <v>6053</v>
      </c>
      <c r="AD11" t="s">
        <v>380</v>
      </c>
      <c r="AH11" s="23" t="s">
        <v>6054</v>
      </c>
      <c r="AI11" s="13"/>
      <c r="AJ11" s="16"/>
      <c r="AK11" s="47">
        <f>-0.1*AK10</f>
        <v>0</v>
      </c>
      <c r="AL11" s="46"/>
      <c r="AM11" s="48">
        <f>AJ11</f>
        <v>0</v>
      </c>
      <c r="AN11" s="1940">
        <f>-0.1*AN10</f>
        <v>0</v>
      </c>
      <c r="AO11" s="1940"/>
      <c r="AP11" s="367">
        <f>AN11-AK11</f>
        <v>0</v>
      </c>
      <c r="AQ11" s="5" t="e">
        <f>AP11/AK11</f>
        <v>#DIV/0!</v>
      </c>
      <c r="AR11" s="5"/>
      <c r="AS11" s="40"/>
      <c r="BR11" s="372"/>
    </row>
    <row r="12" spans="1:77" ht="15.75" thickBot="1" x14ac:dyDescent="0.3">
      <c r="A12" t="s">
        <v>198</v>
      </c>
      <c r="I12" t="s">
        <v>6055</v>
      </c>
      <c r="L12" s="375" t="s">
        <v>6056</v>
      </c>
      <c r="O12" s="369" t="s">
        <v>6057</v>
      </c>
      <c r="Z12" t="s">
        <v>212</v>
      </c>
      <c r="AA12" t="s">
        <v>212</v>
      </c>
      <c r="AC12" s="370" t="s">
        <v>6058</v>
      </c>
      <c r="AD12" t="s">
        <v>380</v>
      </c>
      <c r="AH12" s="31" t="s">
        <v>6059</v>
      </c>
      <c r="AI12" s="32"/>
      <c r="AJ12" s="32"/>
      <c r="AK12" s="366">
        <f>AK10+AK11</f>
        <v>0</v>
      </c>
      <c r="AL12" s="32"/>
      <c r="AM12" s="32"/>
      <c r="AN12" s="1939">
        <f>AN10+AN11</f>
        <v>0</v>
      </c>
      <c r="AO12" s="1939"/>
      <c r="AP12" s="33">
        <f>AN12-AK12</f>
        <v>0</v>
      </c>
      <c r="AQ12" s="34" t="e">
        <f>AP12/AK12</f>
        <v>#DIV/0!</v>
      </c>
      <c r="AR12" s="45"/>
      <c r="AS12" s="43"/>
      <c r="BQ12" s="371"/>
      <c r="BR12" s="372"/>
    </row>
    <row r="13" spans="1:77" x14ac:dyDescent="0.25">
      <c r="A13" t="s">
        <v>194</v>
      </c>
      <c r="C13" s="18"/>
      <c r="I13" t="s">
        <v>6060</v>
      </c>
      <c r="L13" s="375"/>
      <c r="O13" s="369"/>
      <c r="Z13" t="s">
        <v>6061</v>
      </c>
      <c r="AA13" t="s">
        <v>6061</v>
      </c>
      <c r="AC13" s="370" t="s">
        <v>6062</v>
      </c>
      <c r="AD13" t="s">
        <v>380</v>
      </c>
      <c r="AH13" s="24"/>
      <c r="AI13" s="25"/>
      <c r="AJ13" s="25"/>
      <c r="AK13" s="26"/>
      <c r="AL13" s="25"/>
      <c r="AM13" s="25"/>
      <c r="AN13" s="1935"/>
      <c r="AO13" s="1936"/>
      <c r="AP13" s="27"/>
      <c r="AQ13" s="28"/>
      <c r="AR13" s="44"/>
      <c r="AS13" s="42"/>
      <c r="BQ13" s="371"/>
      <c r="BR13" s="372"/>
    </row>
    <row r="14" spans="1:77" x14ac:dyDescent="0.25">
      <c r="A14" t="s">
        <v>4007</v>
      </c>
      <c r="I14" t="s">
        <v>6063</v>
      </c>
      <c r="L14" s="375" t="s">
        <v>6064</v>
      </c>
      <c r="O14" s="369" t="s">
        <v>6065</v>
      </c>
      <c r="Z14" t="s">
        <v>220</v>
      </c>
      <c r="AA14" t="s">
        <v>220</v>
      </c>
      <c r="AC14" s="370" t="s">
        <v>6066</v>
      </c>
      <c r="AD14" t="s">
        <v>380</v>
      </c>
      <c r="AH14" s="15" t="s">
        <v>6067</v>
      </c>
      <c r="AI14" s="13"/>
      <c r="AJ14" s="13"/>
      <c r="AK14" s="367"/>
      <c r="AL14" s="46"/>
      <c r="AM14" s="46"/>
      <c r="AN14" s="1941"/>
      <c r="AO14" s="1941"/>
      <c r="AP14" s="367">
        <f>AN14-AK14</f>
        <v>0</v>
      </c>
      <c r="AQ14" s="5"/>
      <c r="AR14" s="5"/>
      <c r="AS14" s="40"/>
      <c r="BR14" s="372"/>
    </row>
    <row r="15" spans="1:77" x14ac:dyDescent="0.25">
      <c r="A15" t="s">
        <v>4002</v>
      </c>
      <c r="I15" t="s">
        <v>6068</v>
      </c>
      <c r="L15" s="369" t="s">
        <v>6011</v>
      </c>
      <c r="O15" s="369" t="s">
        <v>6069</v>
      </c>
      <c r="Z15" t="s">
        <v>6070</v>
      </c>
      <c r="AA15" t="s">
        <v>6070</v>
      </c>
      <c r="AC15" s="370" t="s">
        <v>6071</v>
      </c>
      <c r="AD15" t="s">
        <v>380</v>
      </c>
      <c r="AH15" s="23" t="s">
        <v>3722</v>
      </c>
      <c r="AI15" s="11"/>
      <c r="AJ15" s="12"/>
      <c r="AK15" s="367">
        <f>AJ15*AK14</f>
        <v>0</v>
      </c>
      <c r="AL15" s="11"/>
      <c r="AM15" s="12">
        <f>AJ15</f>
        <v>0</v>
      </c>
      <c r="AN15" s="1941">
        <f>AM15*AN14</f>
        <v>0</v>
      </c>
      <c r="AO15" s="1941"/>
      <c r="AP15" s="367">
        <f>AN15-AK15</f>
        <v>0</v>
      </c>
      <c r="AQ15" s="5" t="e">
        <f>AP15/AK15</f>
        <v>#DIV/0!</v>
      </c>
      <c r="AR15" s="5"/>
      <c r="AS15" s="40"/>
      <c r="BR15" s="372"/>
    </row>
    <row r="16" spans="1:77" ht="30" x14ac:dyDescent="0.25">
      <c r="A16" t="s">
        <v>6072</v>
      </c>
      <c r="I16" s="363" t="s">
        <v>6073</v>
      </c>
      <c r="O16" s="369" t="s">
        <v>6074</v>
      </c>
      <c r="Z16" t="s">
        <v>6075</v>
      </c>
      <c r="AA16" t="s">
        <v>6075</v>
      </c>
      <c r="AC16" s="370" t="s">
        <v>6076</v>
      </c>
      <c r="AD16" t="s">
        <v>380</v>
      </c>
      <c r="AH16" s="23" t="s">
        <v>6049</v>
      </c>
      <c r="AI16" s="30"/>
      <c r="AJ16" s="30"/>
      <c r="AK16" s="367">
        <f>AK15+AK14</f>
        <v>0</v>
      </c>
      <c r="AL16" s="30"/>
      <c r="AM16" s="30"/>
      <c r="AN16" s="1941">
        <f>AN15+AN14</f>
        <v>0</v>
      </c>
      <c r="AO16" s="1941"/>
      <c r="AP16" s="367">
        <f>AN16-AK16</f>
        <v>0</v>
      </c>
      <c r="AQ16" s="5" t="e">
        <f>AP16/AK16</f>
        <v>#DIV/0!</v>
      </c>
      <c r="AR16" s="5"/>
      <c r="AS16" s="40"/>
      <c r="BR16" s="372"/>
    </row>
    <row r="17" spans="1:70" x14ac:dyDescent="0.25">
      <c r="A17" t="s">
        <v>6077</v>
      </c>
      <c r="I17" t="s">
        <v>6078</v>
      </c>
      <c r="O17" s="369" t="s">
        <v>6079</v>
      </c>
      <c r="Z17" t="s">
        <v>232</v>
      </c>
      <c r="AA17" t="s">
        <v>232</v>
      </c>
      <c r="AC17" s="370" t="s">
        <v>6080</v>
      </c>
      <c r="AD17" t="s">
        <v>380</v>
      </c>
      <c r="AH17" s="23" t="s">
        <v>6054</v>
      </c>
      <c r="AI17" s="13"/>
      <c r="AJ17" s="16"/>
      <c r="AK17" s="47">
        <f>-0.1*AK16</f>
        <v>0</v>
      </c>
      <c r="AL17" s="46"/>
      <c r="AM17" s="48">
        <f>AJ17</f>
        <v>0</v>
      </c>
      <c r="AN17" s="1940">
        <f>-0.1*AN16</f>
        <v>0</v>
      </c>
      <c r="AO17" s="1940"/>
      <c r="AP17" s="367">
        <f>AN17-AK17</f>
        <v>0</v>
      </c>
      <c r="AQ17" s="5" t="e">
        <f>AP17/AK17</f>
        <v>#DIV/0!</v>
      </c>
      <c r="AR17" s="5"/>
      <c r="AS17" s="40"/>
      <c r="BQ17" s="371"/>
      <c r="BR17" s="372"/>
    </row>
    <row r="18" spans="1:70" ht="15.75" thickBot="1" x14ac:dyDescent="0.3">
      <c r="A18" t="s">
        <v>6081</v>
      </c>
      <c r="I18" t="s">
        <v>6082</v>
      </c>
      <c r="O18" s="369" t="s">
        <v>6083</v>
      </c>
      <c r="Z18" t="s">
        <v>234</v>
      </c>
      <c r="AA18" t="s">
        <v>234</v>
      </c>
      <c r="AC18" s="370" t="s">
        <v>6084</v>
      </c>
      <c r="AD18" t="s">
        <v>380</v>
      </c>
      <c r="AH18" s="31" t="s">
        <v>6085</v>
      </c>
      <c r="AI18" s="32"/>
      <c r="AJ18" s="32"/>
      <c r="AK18" s="366">
        <f>AK16+AK17</f>
        <v>0</v>
      </c>
      <c r="AL18" s="32"/>
      <c r="AM18" s="32"/>
      <c r="AN18" s="1939">
        <f>AN16+AN17</f>
        <v>0</v>
      </c>
      <c r="AO18" s="1939"/>
      <c r="AP18" s="33">
        <f>AN18-AK18</f>
        <v>0</v>
      </c>
      <c r="AQ18" s="34" t="e">
        <f>AP18/AK18</f>
        <v>#DIV/0!</v>
      </c>
      <c r="AR18" s="45"/>
      <c r="AS18" s="43"/>
      <c r="BR18" s="372"/>
    </row>
    <row r="19" spans="1:70" x14ac:dyDescent="0.25">
      <c r="A19" t="s">
        <v>4638</v>
      </c>
      <c r="I19" t="s">
        <v>6086</v>
      </c>
      <c r="O19" s="369" t="s">
        <v>6087</v>
      </c>
      <c r="Z19" t="s">
        <v>237</v>
      </c>
      <c r="AA19" t="s">
        <v>237</v>
      </c>
      <c r="AC19" s="370" t="s">
        <v>6088</v>
      </c>
      <c r="AD19" t="s">
        <v>380</v>
      </c>
      <c r="BR19" s="372"/>
    </row>
    <row r="20" spans="1:70" x14ac:dyDescent="0.25">
      <c r="A20" t="s">
        <v>6089</v>
      </c>
      <c r="I20" t="s">
        <v>6090</v>
      </c>
      <c r="O20" s="369" t="s">
        <v>6091</v>
      </c>
      <c r="Z20" t="s">
        <v>240</v>
      </c>
      <c r="AA20" t="s">
        <v>240</v>
      </c>
      <c r="AC20" s="370" t="s">
        <v>6092</v>
      </c>
      <c r="AD20" t="s">
        <v>380</v>
      </c>
      <c r="BR20" s="372"/>
    </row>
    <row r="21" spans="1:70" x14ac:dyDescent="0.25">
      <c r="A21" t="s">
        <v>6093</v>
      </c>
      <c r="I21" t="s">
        <v>3699</v>
      </c>
      <c r="O21" s="369" t="s">
        <v>6094</v>
      </c>
      <c r="Z21" t="s">
        <v>6095</v>
      </c>
      <c r="AA21" t="s">
        <v>6095</v>
      </c>
      <c r="AC21" s="370" t="s">
        <v>6096</v>
      </c>
      <c r="AD21" t="s">
        <v>380</v>
      </c>
      <c r="BQ21" s="371"/>
      <c r="BR21" s="372"/>
    </row>
    <row r="22" spans="1:70" x14ac:dyDescent="0.25">
      <c r="A22" t="s">
        <v>5395</v>
      </c>
      <c r="I22" t="s">
        <v>910</v>
      </c>
      <c r="O22" s="369" t="s">
        <v>6097</v>
      </c>
      <c r="Z22" t="s">
        <v>248</v>
      </c>
      <c r="AA22" t="s">
        <v>248</v>
      </c>
      <c r="AC22" s="370" t="s">
        <v>6098</v>
      </c>
      <c r="AD22" t="s">
        <v>380</v>
      </c>
      <c r="BR22" s="372"/>
    </row>
    <row r="23" spans="1:70" x14ac:dyDescent="0.25">
      <c r="A23" t="s">
        <v>5408</v>
      </c>
      <c r="I23" t="s">
        <v>6099</v>
      </c>
      <c r="O23" s="369" t="s">
        <v>6100</v>
      </c>
      <c r="Z23" t="s">
        <v>6101</v>
      </c>
      <c r="AA23" t="s">
        <v>6101</v>
      </c>
      <c r="AC23" s="370" t="s">
        <v>6102</v>
      </c>
      <c r="AD23" t="s">
        <v>380</v>
      </c>
      <c r="BR23" s="372"/>
    </row>
    <row r="24" spans="1:70" x14ac:dyDescent="0.25">
      <c r="A24" t="s">
        <v>6103</v>
      </c>
      <c r="I24" t="s">
        <v>6104</v>
      </c>
      <c r="O24" s="369" t="s">
        <v>6105</v>
      </c>
      <c r="Z24" t="s">
        <v>6106</v>
      </c>
      <c r="AA24" t="s">
        <v>6106</v>
      </c>
      <c r="AC24" s="370" t="s">
        <v>6107</v>
      </c>
      <c r="AD24" t="s">
        <v>380</v>
      </c>
      <c r="BR24" s="372"/>
    </row>
    <row r="25" spans="1:70" x14ac:dyDescent="0.25">
      <c r="A25" t="s">
        <v>6108</v>
      </c>
      <c r="I25" t="s">
        <v>6109</v>
      </c>
      <c r="O25" s="369" t="s">
        <v>6110</v>
      </c>
      <c r="Z25" t="s">
        <v>255</v>
      </c>
      <c r="AA25" t="s">
        <v>255</v>
      </c>
      <c r="AC25" s="370" t="s">
        <v>6111</v>
      </c>
      <c r="AD25" t="s">
        <v>380</v>
      </c>
      <c r="BQ25" s="371"/>
      <c r="BR25" s="372"/>
    </row>
    <row r="26" spans="1:70" x14ac:dyDescent="0.25">
      <c r="A26" t="s">
        <v>6112</v>
      </c>
      <c r="B26" t="s">
        <v>787</v>
      </c>
      <c r="I26" t="s">
        <v>4546</v>
      </c>
      <c r="O26" s="369" t="s">
        <v>6113</v>
      </c>
      <c r="Z26" t="s">
        <v>259</v>
      </c>
      <c r="AA26" t="s">
        <v>259</v>
      </c>
      <c r="AC26" s="370" t="s">
        <v>6114</v>
      </c>
      <c r="AD26" t="s">
        <v>380</v>
      </c>
      <c r="BR26" s="372"/>
    </row>
    <row r="27" spans="1:70" x14ac:dyDescent="0.25">
      <c r="A27" t="s">
        <v>6115</v>
      </c>
      <c r="B27" t="s">
        <v>788</v>
      </c>
      <c r="I27" t="s">
        <v>6116</v>
      </c>
      <c r="O27" s="369" t="s">
        <v>6117</v>
      </c>
      <c r="Z27" t="s">
        <v>6118</v>
      </c>
      <c r="AA27" t="s">
        <v>6118</v>
      </c>
      <c r="AC27" s="370" t="s">
        <v>6119</v>
      </c>
      <c r="AD27" t="s">
        <v>380</v>
      </c>
      <c r="BR27" s="372"/>
    </row>
    <row r="28" spans="1:70" x14ac:dyDescent="0.25">
      <c r="A28" t="s">
        <v>6120</v>
      </c>
      <c r="B28" t="s">
        <v>789</v>
      </c>
      <c r="I28" t="s">
        <v>6121</v>
      </c>
      <c r="O28" s="369" t="s">
        <v>6122</v>
      </c>
      <c r="Z28" t="s">
        <v>6123</v>
      </c>
      <c r="AA28" t="s">
        <v>6123</v>
      </c>
      <c r="AC28" s="370" t="s">
        <v>6124</v>
      </c>
      <c r="AD28" t="s">
        <v>380</v>
      </c>
      <c r="BR28" s="372"/>
    </row>
    <row r="29" spans="1:70" x14ac:dyDescent="0.25">
      <c r="A29" t="s">
        <v>6125</v>
      </c>
      <c r="B29" t="s">
        <v>790</v>
      </c>
      <c r="I29" t="s">
        <v>6126</v>
      </c>
      <c r="O29" s="369" t="s">
        <v>6127</v>
      </c>
      <c r="Z29" t="s">
        <v>6128</v>
      </c>
      <c r="AA29" t="s">
        <v>6128</v>
      </c>
      <c r="AC29" s="370" t="s">
        <v>6129</v>
      </c>
      <c r="AD29" t="s">
        <v>380</v>
      </c>
      <c r="BQ29" s="371"/>
      <c r="BR29" s="372"/>
    </row>
    <row r="30" spans="1:70" x14ac:dyDescent="0.25">
      <c r="A30" t="s">
        <v>6130</v>
      </c>
      <c r="B30" t="s">
        <v>791</v>
      </c>
      <c r="I30" t="s">
        <v>6131</v>
      </c>
      <c r="O30" s="369" t="s">
        <v>6132</v>
      </c>
      <c r="Z30" t="s">
        <v>6133</v>
      </c>
      <c r="AA30" t="s">
        <v>6133</v>
      </c>
      <c r="AC30" s="370" t="s">
        <v>6134</v>
      </c>
      <c r="AD30" t="s">
        <v>380</v>
      </c>
      <c r="BR30" s="372"/>
    </row>
    <row r="31" spans="1:70" x14ac:dyDescent="0.25">
      <c r="A31" t="s">
        <v>6135</v>
      </c>
      <c r="B31" t="s">
        <v>792</v>
      </c>
      <c r="I31" t="s">
        <v>6136</v>
      </c>
      <c r="O31" s="369" t="s">
        <v>6137</v>
      </c>
      <c r="Z31" t="s">
        <v>1529</v>
      </c>
      <c r="AA31" t="s">
        <v>1529</v>
      </c>
      <c r="AC31" s="370" t="s">
        <v>6138</v>
      </c>
      <c r="AD31" t="s">
        <v>380</v>
      </c>
      <c r="BR31" s="372"/>
    </row>
    <row r="32" spans="1:70" x14ac:dyDescent="0.25">
      <c r="A32" t="s">
        <v>6139</v>
      </c>
      <c r="B32" t="s">
        <v>793</v>
      </c>
      <c r="I32" t="s">
        <v>6140</v>
      </c>
      <c r="O32" s="369" t="s">
        <v>6141</v>
      </c>
      <c r="Z32" t="s">
        <v>265</v>
      </c>
      <c r="AA32" t="s">
        <v>265</v>
      </c>
      <c r="AC32" s="370" t="s">
        <v>6142</v>
      </c>
      <c r="AD32" t="s">
        <v>380</v>
      </c>
      <c r="BR32" s="372"/>
    </row>
    <row r="33" spans="1:70" x14ac:dyDescent="0.25">
      <c r="A33" t="s">
        <v>6143</v>
      </c>
      <c r="B33" t="s">
        <v>794</v>
      </c>
      <c r="I33" t="s">
        <v>6144</v>
      </c>
      <c r="O33" s="369" t="s">
        <v>6145</v>
      </c>
      <c r="Z33" t="s">
        <v>267</v>
      </c>
      <c r="AA33" t="s">
        <v>267</v>
      </c>
      <c r="AC33" s="370" t="s">
        <v>6146</v>
      </c>
      <c r="AD33" t="s">
        <v>380</v>
      </c>
      <c r="BQ33" s="371"/>
      <c r="BR33" s="372"/>
    </row>
    <row r="34" spans="1:70" x14ac:dyDescent="0.25">
      <c r="A34" t="s">
        <v>6147</v>
      </c>
      <c r="B34" t="s">
        <v>795</v>
      </c>
      <c r="I34" t="s">
        <v>6148</v>
      </c>
      <c r="O34" s="369" t="s">
        <v>6149</v>
      </c>
      <c r="Z34" t="s">
        <v>6150</v>
      </c>
      <c r="AA34" t="s">
        <v>6150</v>
      </c>
      <c r="AC34" s="370" t="s">
        <v>6151</v>
      </c>
      <c r="AD34" t="s">
        <v>380</v>
      </c>
      <c r="BR34" s="372"/>
    </row>
    <row r="35" spans="1:70" x14ac:dyDescent="0.25">
      <c r="A35" t="s">
        <v>5854</v>
      </c>
      <c r="B35" t="s">
        <v>796</v>
      </c>
      <c r="I35" t="s">
        <v>6152</v>
      </c>
      <c r="O35" s="369" t="s">
        <v>4153</v>
      </c>
      <c r="Z35" t="s">
        <v>269</v>
      </c>
      <c r="AA35" t="s">
        <v>269</v>
      </c>
      <c r="AC35" s="370" t="s">
        <v>6153</v>
      </c>
      <c r="AD35" t="s">
        <v>380</v>
      </c>
      <c r="BR35" s="372"/>
    </row>
    <row r="36" spans="1:70" x14ac:dyDescent="0.25">
      <c r="A36" t="s">
        <v>5820</v>
      </c>
      <c r="B36" t="s">
        <v>797</v>
      </c>
      <c r="I36" t="s">
        <v>6154</v>
      </c>
      <c r="O36" s="369" t="s">
        <v>6155</v>
      </c>
      <c r="Z36" t="s">
        <v>6156</v>
      </c>
      <c r="AA36" t="s">
        <v>6156</v>
      </c>
      <c r="AC36" s="370" t="s">
        <v>6157</v>
      </c>
      <c r="AD36" t="s">
        <v>380</v>
      </c>
      <c r="BR36" s="372"/>
    </row>
    <row r="37" spans="1:70" x14ac:dyDescent="0.25">
      <c r="A37" t="s">
        <v>5858</v>
      </c>
      <c r="B37" t="s">
        <v>798</v>
      </c>
      <c r="I37" t="s">
        <v>6158</v>
      </c>
      <c r="O37" s="369" t="s">
        <v>6159</v>
      </c>
      <c r="Z37" t="s">
        <v>271</v>
      </c>
      <c r="AA37" t="s">
        <v>271</v>
      </c>
      <c r="AC37" s="370" t="s">
        <v>6160</v>
      </c>
      <c r="AD37" t="s">
        <v>380</v>
      </c>
      <c r="BQ37" s="371"/>
      <c r="BR37" s="372"/>
    </row>
    <row r="38" spans="1:70" x14ac:dyDescent="0.25">
      <c r="A38" t="s">
        <v>6161</v>
      </c>
      <c r="I38" t="s">
        <v>6162</v>
      </c>
      <c r="O38" s="369" t="s">
        <v>6163</v>
      </c>
      <c r="Z38" t="s">
        <v>273</v>
      </c>
      <c r="AA38" t="s">
        <v>273</v>
      </c>
      <c r="AC38" s="370" t="s">
        <v>6164</v>
      </c>
      <c r="AD38" t="s">
        <v>380</v>
      </c>
      <c r="BR38" s="372"/>
    </row>
    <row r="39" spans="1:70" x14ac:dyDescent="0.25">
      <c r="A39" t="s">
        <v>4750</v>
      </c>
      <c r="I39" t="s">
        <v>6165</v>
      </c>
      <c r="O39" s="369" t="s">
        <v>3838</v>
      </c>
      <c r="Z39" t="s">
        <v>275</v>
      </c>
      <c r="AA39" t="s">
        <v>275</v>
      </c>
      <c r="AC39" s="370" t="s">
        <v>6166</v>
      </c>
      <c r="AD39" t="s">
        <v>379</v>
      </c>
      <c r="BR39" s="372"/>
    </row>
    <row r="40" spans="1:70" x14ac:dyDescent="0.25">
      <c r="A40" t="s">
        <v>4738</v>
      </c>
      <c r="I40" t="s">
        <v>6167</v>
      </c>
      <c r="O40" s="369" t="s">
        <v>6168</v>
      </c>
      <c r="Z40" t="s">
        <v>6169</v>
      </c>
      <c r="AA40" t="s">
        <v>6169</v>
      </c>
      <c r="AC40" s="370" t="s">
        <v>6170</v>
      </c>
      <c r="AD40" t="s">
        <v>379</v>
      </c>
      <c r="BR40" s="372"/>
    </row>
    <row r="41" spans="1:70" x14ac:dyDescent="0.25">
      <c r="A41" t="s">
        <v>5469</v>
      </c>
      <c r="I41" t="s">
        <v>6171</v>
      </c>
      <c r="O41" s="369" t="s">
        <v>6172</v>
      </c>
      <c r="Z41" t="s">
        <v>6173</v>
      </c>
      <c r="AA41" t="s">
        <v>6173</v>
      </c>
      <c r="AC41" s="370" t="s">
        <v>6174</v>
      </c>
      <c r="AD41" t="s">
        <v>380</v>
      </c>
      <c r="BQ41" s="371"/>
      <c r="BR41" s="372"/>
    </row>
    <row r="42" spans="1:70" x14ac:dyDescent="0.25">
      <c r="A42" t="s">
        <v>5061</v>
      </c>
      <c r="I42" t="s">
        <v>6175</v>
      </c>
      <c r="O42" s="369" t="s">
        <v>6176</v>
      </c>
      <c r="Z42" t="s">
        <v>282</v>
      </c>
      <c r="AA42" t="s">
        <v>282</v>
      </c>
      <c r="AC42" s="370" t="s">
        <v>6177</v>
      </c>
      <c r="AD42" t="s">
        <v>380</v>
      </c>
      <c r="BR42" s="372"/>
    </row>
    <row r="43" spans="1:70" x14ac:dyDescent="0.25">
      <c r="A43" t="s">
        <v>5690</v>
      </c>
      <c r="I43" t="s">
        <v>6178</v>
      </c>
      <c r="O43" s="369" t="s">
        <v>6179</v>
      </c>
      <c r="Z43" t="s">
        <v>285</v>
      </c>
      <c r="AA43" t="s">
        <v>285</v>
      </c>
      <c r="AC43" s="370" t="s">
        <v>6180</v>
      </c>
      <c r="AD43" t="s">
        <v>380</v>
      </c>
      <c r="BR43" s="372"/>
    </row>
    <row r="44" spans="1:70" ht="30" x14ac:dyDescent="0.25">
      <c r="A44" t="s">
        <v>179</v>
      </c>
      <c r="I44" s="363" t="s">
        <v>6181</v>
      </c>
      <c r="O44" s="369" t="s">
        <v>6182</v>
      </c>
      <c r="Z44" t="s">
        <v>287</v>
      </c>
      <c r="AA44" t="s">
        <v>287</v>
      </c>
      <c r="AC44" s="370" t="s">
        <v>6183</v>
      </c>
      <c r="AD44" t="s">
        <v>380</v>
      </c>
      <c r="BR44" s="372"/>
    </row>
    <row r="45" spans="1:70" x14ac:dyDescent="0.25">
      <c r="A45" t="s">
        <v>3869</v>
      </c>
      <c r="I45" t="s">
        <v>6184</v>
      </c>
      <c r="O45" s="369" t="s">
        <v>6185</v>
      </c>
      <c r="Z45" t="s">
        <v>289</v>
      </c>
      <c r="AA45" t="s">
        <v>289</v>
      </c>
      <c r="AC45" s="370" t="s">
        <v>6186</v>
      </c>
      <c r="AD45" t="s">
        <v>380</v>
      </c>
      <c r="BQ45" s="371"/>
      <c r="BR45" s="372"/>
    </row>
    <row r="46" spans="1:70" x14ac:dyDescent="0.25">
      <c r="A46" t="s">
        <v>3871</v>
      </c>
      <c r="I46" t="s">
        <v>6187</v>
      </c>
      <c r="O46" s="369" t="s">
        <v>6188</v>
      </c>
      <c r="Z46" t="s">
        <v>291</v>
      </c>
      <c r="AA46" t="s">
        <v>291</v>
      </c>
      <c r="AC46" s="370" t="s">
        <v>6189</v>
      </c>
      <c r="AD46" t="s">
        <v>380</v>
      </c>
      <c r="BR46" s="372"/>
    </row>
    <row r="47" spans="1:70" x14ac:dyDescent="0.25">
      <c r="A47" t="s">
        <v>5914</v>
      </c>
      <c r="I47" t="s">
        <v>6190</v>
      </c>
      <c r="O47" s="369" t="s">
        <v>3836</v>
      </c>
      <c r="Z47" t="s">
        <v>293</v>
      </c>
      <c r="AA47" t="s">
        <v>293</v>
      </c>
      <c r="AC47" s="370" t="s">
        <v>6191</v>
      </c>
      <c r="AD47" t="s">
        <v>380</v>
      </c>
      <c r="BR47" s="372"/>
    </row>
    <row r="48" spans="1:70" x14ac:dyDescent="0.25">
      <c r="A48" t="s">
        <v>4712</v>
      </c>
      <c r="I48" t="s">
        <v>6192</v>
      </c>
      <c r="O48" s="369" t="s">
        <v>6193</v>
      </c>
      <c r="Z48" t="s">
        <v>6194</v>
      </c>
      <c r="AA48" t="s">
        <v>6194</v>
      </c>
      <c r="AC48" s="370" t="s">
        <v>6195</v>
      </c>
      <c r="AD48" t="s">
        <v>379</v>
      </c>
      <c r="BR48" s="372"/>
    </row>
    <row r="49" spans="1:70" x14ac:dyDescent="0.25">
      <c r="A49" t="s">
        <v>184</v>
      </c>
      <c r="I49" t="s">
        <v>6196</v>
      </c>
      <c r="O49" s="369" t="s">
        <v>6197</v>
      </c>
      <c r="Z49" t="s">
        <v>295</v>
      </c>
      <c r="AA49" t="s">
        <v>295</v>
      </c>
      <c r="AC49" s="370" t="s">
        <v>6198</v>
      </c>
      <c r="AD49" t="s">
        <v>379</v>
      </c>
      <c r="BQ49" s="371"/>
      <c r="BR49" s="372"/>
    </row>
    <row r="50" spans="1:70" x14ac:dyDescent="0.25">
      <c r="A50" t="s">
        <v>3932</v>
      </c>
      <c r="I50" t="s">
        <v>6199</v>
      </c>
      <c r="O50" s="369" t="s">
        <v>6200</v>
      </c>
      <c r="Z50" t="s">
        <v>6201</v>
      </c>
      <c r="AA50" t="s">
        <v>6201</v>
      </c>
      <c r="AC50" s="370" t="s">
        <v>6202</v>
      </c>
      <c r="AD50" t="s">
        <v>379</v>
      </c>
      <c r="BQ50" s="371"/>
      <c r="BR50" s="372"/>
    </row>
    <row r="51" spans="1:70" x14ac:dyDescent="0.25">
      <c r="A51" t="s">
        <v>3949</v>
      </c>
      <c r="I51" t="s">
        <v>6203</v>
      </c>
      <c r="O51" s="369" t="s">
        <v>6204</v>
      </c>
      <c r="Z51" t="s">
        <v>299</v>
      </c>
      <c r="AA51" t="s">
        <v>299</v>
      </c>
      <c r="AC51" s="370" t="s">
        <v>6205</v>
      </c>
      <c r="AD51" t="s">
        <v>379</v>
      </c>
      <c r="BR51" s="372"/>
    </row>
    <row r="52" spans="1:70" x14ac:dyDescent="0.25">
      <c r="A52" t="s">
        <v>4019</v>
      </c>
      <c r="I52" t="s">
        <v>6206</v>
      </c>
      <c r="O52" s="369" t="s">
        <v>6207</v>
      </c>
      <c r="Z52" t="s">
        <v>305</v>
      </c>
      <c r="AA52" t="s">
        <v>305</v>
      </c>
      <c r="AC52" s="370" t="s">
        <v>6208</v>
      </c>
      <c r="AD52" t="s">
        <v>379</v>
      </c>
      <c r="BR52" s="372"/>
    </row>
    <row r="53" spans="1:70" ht="30" x14ac:dyDescent="0.25">
      <c r="A53" t="s">
        <v>4037</v>
      </c>
      <c r="I53" s="363" t="s">
        <v>6209</v>
      </c>
      <c r="O53" s="369" t="s">
        <v>6210</v>
      </c>
      <c r="Z53" t="s">
        <v>6211</v>
      </c>
      <c r="AA53" t="s">
        <v>6211</v>
      </c>
      <c r="AC53" s="370" t="s">
        <v>6212</v>
      </c>
      <c r="AD53" t="s">
        <v>380</v>
      </c>
      <c r="BQ53" s="371"/>
      <c r="BR53" s="372"/>
    </row>
    <row r="54" spans="1:70" ht="30" x14ac:dyDescent="0.25">
      <c r="A54" t="s">
        <v>4246</v>
      </c>
      <c r="I54" s="363" t="s">
        <v>6213</v>
      </c>
      <c r="O54" s="369" t="s">
        <v>6214</v>
      </c>
      <c r="Z54" t="s">
        <v>6215</v>
      </c>
      <c r="AA54" t="s">
        <v>6215</v>
      </c>
      <c r="AC54" s="370" t="s">
        <v>6216</v>
      </c>
      <c r="AD54" t="s">
        <v>380</v>
      </c>
      <c r="BR54" s="372"/>
    </row>
    <row r="55" spans="1:70" x14ac:dyDescent="0.25">
      <c r="A55" t="s">
        <v>6217</v>
      </c>
      <c r="I55" t="s">
        <v>6218</v>
      </c>
      <c r="O55" s="369" t="s">
        <v>6219</v>
      </c>
      <c r="Z55" t="s">
        <v>309</v>
      </c>
      <c r="AA55" t="s">
        <v>309</v>
      </c>
      <c r="AC55" s="370" t="s">
        <v>6220</v>
      </c>
      <c r="AD55" t="s">
        <v>380</v>
      </c>
      <c r="BR55" s="372"/>
    </row>
    <row r="56" spans="1:70" x14ac:dyDescent="0.25">
      <c r="A56" t="s">
        <v>6221</v>
      </c>
      <c r="I56" t="s">
        <v>6222</v>
      </c>
      <c r="O56" s="369" t="s">
        <v>6223</v>
      </c>
      <c r="Z56" t="s">
        <v>311</v>
      </c>
      <c r="AA56" t="s">
        <v>311</v>
      </c>
      <c r="AC56" s="370" t="s">
        <v>6224</v>
      </c>
      <c r="AD56" t="s">
        <v>380</v>
      </c>
      <c r="BQ56" s="371"/>
      <c r="BR56" s="372"/>
    </row>
    <row r="57" spans="1:70" ht="30" x14ac:dyDescent="0.25">
      <c r="A57" t="s">
        <v>6225</v>
      </c>
      <c r="I57" s="363" t="s">
        <v>6226</v>
      </c>
      <c r="O57" s="369" t="s">
        <v>6227</v>
      </c>
      <c r="Z57" t="s">
        <v>6228</v>
      </c>
      <c r="AA57" t="s">
        <v>6228</v>
      </c>
      <c r="AC57" s="370" t="s">
        <v>6229</v>
      </c>
      <c r="AD57" t="s">
        <v>380</v>
      </c>
      <c r="BR57" s="372"/>
    </row>
    <row r="58" spans="1:70" x14ac:dyDescent="0.25">
      <c r="I58" t="s">
        <v>6230</v>
      </c>
      <c r="O58" s="369" t="s">
        <v>6231</v>
      </c>
      <c r="Z58" t="s">
        <v>313</v>
      </c>
      <c r="AA58" t="s">
        <v>313</v>
      </c>
      <c r="AC58" s="370" t="s">
        <v>6232</v>
      </c>
      <c r="AD58" t="s">
        <v>380</v>
      </c>
      <c r="BQ58" s="371"/>
      <c r="BR58" s="372"/>
    </row>
    <row r="59" spans="1:70" x14ac:dyDescent="0.25">
      <c r="I59" t="s">
        <v>6233</v>
      </c>
      <c r="O59" s="369" t="s">
        <v>3914</v>
      </c>
      <c r="Z59" t="s">
        <v>6234</v>
      </c>
      <c r="AA59" t="s">
        <v>6234</v>
      </c>
      <c r="AC59" s="370" t="s">
        <v>6235</v>
      </c>
      <c r="AD59" t="s">
        <v>380</v>
      </c>
      <c r="BR59" s="372"/>
    </row>
    <row r="60" spans="1:70" ht="30" x14ac:dyDescent="0.25">
      <c r="I60" s="363" t="s">
        <v>6236</v>
      </c>
      <c r="O60" s="369" t="s">
        <v>6237</v>
      </c>
      <c r="Z60" t="s">
        <v>315</v>
      </c>
      <c r="AA60" t="s">
        <v>315</v>
      </c>
      <c r="AC60" s="370" t="s">
        <v>6238</v>
      </c>
      <c r="AD60" t="s">
        <v>380</v>
      </c>
      <c r="BR60" s="372"/>
    </row>
    <row r="61" spans="1:70" x14ac:dyDescent="0.25">
      <c r="I61" t="s">
        <v>6239</v>
      </c>
      <c r="O61" s="369" t="s">
        <v>6240</v>
      </c>
      <c r="Z61" t="s">
        <v>317</v>
      </c>
      <c r="AA61" t="s">
        <v>317</v>
      </c>
      <c r="AC61" s="370" t="s">
        <v>6241</v>
      </c>
      <c r="AD61" t="s">
        <v>380</v>
      </c>
      <c r="BQ61" s="371"/>
      <c r="BR61" s="372"/>
    </row>
    <row r="62" spans="1:70" x14ac:dyDescent="0.25">
      <c r="I62" t="s">
        <v>6242</v>
      </c>
      <c r="O62" s="369" t="s">
        <v>6243</v>
      </c>
      <c r="Z62" t="s">
        <v>6244</v>
      </c>
      <c r="AA62" t="s">
        <v>6244</v>
      </c>
      <c r="AC62" s="370" t="s">
        <v>6245</v>
      </c>
      <c r="AD62" t="s">
        <v>777</v>
      </c>
      <c r="BR62" s="372"/>
    </row>
    <row r="63" spans="1:70" x14ac:dyDescent="0.25">
      <c r="I63" t="s">
        <v>6246</v>
      </c>
      <c r="O63" s="369" t="s">
        <v>6247</v>
      </c>
      <c r="Z63" t="s">
        <v>319</v>
      </c>
      <c r="AA63" t="s">
        <v>319</v>
      </c>
      <c r="AC63" s="370" t="s">
        <v>6248</v>
      </c>
      <c r="AD63" t="s">
        <v>379</v>
      </c>
      <c r="BQ63" s="371"/>
    </row>
    <row r="64" spans="1:70" x14ac:dyDescent="0.25">
      <c r="I64" t="s">
        <v>6249</v>
      </c>
      <c r="O64" s="369" t="s">
        <v>6250</v>
      </c>
      <c r="Z64" t="s">
        <v>6251</v>
      </c>
      <c r="AA64" t="s">
        <v>6251</v>
      </c>
      <c r="AC64" s="370" t="s">
        <v>6252</v>
      </c>
      <c r="AD64" t="s">
        <v>379</v>
      </c>
      <c r="BQ64" s="371"/>
    </row>
    <row r="65" spans="9:70" x14ac:dyDescent="0.25">
      <c r="I65" t="s">
        <v>6253</v>
      </c>
      <c r="O65" s="369" t="s">
        <v>6254</v>
      </c>
      <c r="Z65" t="s">
        <v>6123</v>
      </c>
      <c r="AA65" t="s">
        <v>6123</v>
      </c>
      <c r="AC65" s="370" t="s">
        <v>6255</v>
      </c>
      <c r="AD65" t="s">
        <v>379</v>
      </c>
      <c r="BR65" s="372"/>
    </row>
    <row r="66" spans="9:70" x14ac:dyDescent="0.25">
      <c r="I66" t="s">
        <v>6256</v>
      </c>
      <c r="O66" s="369" t="s">
        <v>6257</v>
      </c>
      <c r="Z66" t="s">
        <v>6128</v>
      </c>
      <c r="AA66" t="s">
        <v>6128</v>
      </c>
      <c r="AC66" s="370" t="s">
        <v>6258</v>
      </c>
      <c r="AD66" t="s">
        <v>379</v>
      </c>
      <c r="BQ66" s="371"/>
      <c r="BR66" s="372"/>
    </row>
    <row r="67" spans="9:70" x14ac:dyDescent="0.25">
      <c r="I67" t="s">
        <v>6259</v>
      </c>
      <c r="O67" s="369" t="s">
        <v>6260</v>
      </c>
      <c r="Z67" t="s">
        <v>6133</v>
      </c>
      <c r="AA67" t="s">
        <v>6133</v>
      </c>
      <c r="AC67" s="370" t="s">
        <v>6261</v>
      </c>
      <c r="AD67" t="s">
        <v>379</v>
      </c>
      <c r="BQ67" s="371"/>
      <c r="BR67" s="372"/>
    </row>
    <row r="68" spans="9:70" x14ac:dyDescent="0.25">
      <c r="I68" t="s">
        <v>6262</v>
      </c>
      <c r="O68" s="369" t="s">
        <v>6263</v>
      </c>
      <c r="Z68" t="s">
        <v>297</v>
      </c>
      <c r="AA68" t="s">
        <v>297</v>
      </c>
      <c r="AC68" s="370" t="s">
        <v>6264</v>
      </c>
      <c r="AD68" t="s">
        <v>379</v>
      </c>
      <c r="BR68" s="372"/>
    </row>
    <row r="69" spans="9:70" ht="30" x14ac:dyDescent="0.25">
      <c r="I69" s="363" t="s">
        <v>6265</v>
      </c>
      <c r="O69" s="369" t="s">
        <v>6266</v>
      </c>
      <c r="AC69" s="370" t="s">
        <v>6267</v>
      </c>
      <c r="AD69" t="s">
        <v>379</v>
      </c>
      <c r="BQ69" s="371"/>
      <c r="BR69" s="372"/>
    </row>
    <row r="70" spans="9:70" ht="30" x14ac:dyDescent="0.25">
      <c r="I70" s="363" t="s">
        <v>6268</v>
      </c>
      <c r="O70" s="369" t="s">
        <v>6269</v>
      </c>
      <c r="AC70" s="370" t="s">
        <v>6270</v>
      </c>
      <c r="AD70" t="s">
        <v>379</v>
      </c>
      <c r="BQ70" s="371"/>
      <c r="BR70" s="372"/>
    </row>
    <row r="71" spans="9:70" ht="30" x14ac:dyDescent="0.25">
      <c r="I71" s="363" t="s">
        <v>6271</v>
      </c>
      <c r="O71" s="369" t="s">
        <v>6272</v>
      </c>
      <c r="AC71" s="370" t="s">
        <v>6273</v>
      </c>
      <c r="AD71" t="s">
        <v>379</v>
      </c>
      <c r="BR71" s="372"/>
    </row>
    <row r="72" spans="9:70" ht="30" x14ac:dyDescent="0.25">
      <c r="I72" s="363" t="s">
        <v>6274</v>
      </c>
      <c r="AC72" s="370" t="s">
        <v>6275</v>
      </c>
      <c r="AD72" t="s">
        <v>379</v>
      </c>
      <c r="BQ72" s="371"/>
      <c r="BR72" s="372"/>
    </row>
    <row r="73" spans="9:70" ht="30" x14ac:dyDescent="0.25">
      <c r="I73" s="363" t="s">
        <v>6276</v>
      </c>
      <c r="AC73" s="370" t="s">
        <v>6277</v>
      </c>
      <c r="AD73" t="s">
        <v>379</v>
      </c>
      <c r="BQ73" s="371"/>
      <c r="BR73" s="372"/>
    </row>
    <row r="74" spans="9:70" ht="30" x14ac:dyDescent="0.25">
      <c r="I74" s="363" t="s">
        <v>6278</v>
      </c>
      <c r="AC74" s="370" t="s">
        <v>6279</v>
      </c>
      <c r="AD74" t="s">
        <v>379</v>
      </c>
      <c r="BR74" s="372"/>
    </row>
    <row r="75" spans="9:70" ht="30" x14ac:dyDescent="0.25">
      <c r="I75" s="363" t="s">
        <v>6280</v>
      </c>
      <c r="AC75" s="370" t="s">
        <v>6281</v>
      </c>
      <c r="AD75" t="s">
        <v>379</v>
      </c>
      <c r="BQ75" s="371"/>
      <c r="BR75" s="372"/>
    </row>
    <row r="76" spans="9:70" ht="30" x14ac:dyDescent="0.25">
      <c r="I76" s="363" t="s">
        <v>6282</v>
      </c>
      <c r="Z76" s="363"/>
      <c r="AA76" s="363"/>
      <c r="AC76" s="370" t="s">
        <v>6283</v>
      </c>
      <c r="AD76" t="s">
        <v>379</v>
      </c>
      <c r="BQ76" s="371"/>
    </row>
    <row r="77" spans="9:70" ht="30" x14ac:dyDescent="0.25">
      <c r="I77" s="363" t="s">
        <v>6284</v>
      </c>
      <c r="AC77" s="370" t="s">
        <v>6285</v>
      </c>
      <c r="AD77" t="s">
        <v>379</v>
      </c>
      <c r="BR77" s="372"/>
    </row>
    <row r="78" spans="9:70" ht="30" x14ac:dyDescent="0.25">
      <c r="I78" s="363" t="s">
        <v>6286</v>
      </c>
      <c r="Z78" s="376"/>
      <c r="AC78" s="370" t="s">
        <v>6287</v>
      </c>
      <c r="AD78" t="s">
        <v>379</v>
      </c>
      <c r="BQ78" s="371"/>
      <c r="BR78" s="372"/>
    </row>
    <row r="79" spans="9:70" ht="30" x14ac:dyDescent="0.25">
      <c r="I79" s="363" t="s">
        <v>6288</v>
      </c>
      <c r="Z79" s="376"/>
      <c r="AA79" s="377"/>
      <c r="AC79" s="370" t="s">
        <v>6289</v>
      </c>
      <c r="AD79" t="s">
        <v>379</v>
      </c>
      <c r="BQ79" s="371"/>
    </row>
    <row r="80" spans="9:70" ht="30" x14ac:dyDescent="0.25">
      <c r="I80" s="363" t="s">
        <v>6290</v>
      </c>
      <c r="Z80" s="376"/>
      <c r="AA80" s="377"/>
      <c r="AC80" s="370" t="s">
        <v>6291</v>
      </c>
      <c r="AD80" t="s">
        <v>380</v>
      </c>
    </row>
    <row r="81" spans="9:70" ht="30" x14ac:dyDescent="0.25">
      <c r="I81" s="363" t="s">
        <v>6292</v>
      </c>
      <c r="Z81" s="376"/>
      <c r="AA81" s="377"/>
      <c r="AC81" s="370" t="s">
        <v>6293</v>
      </c>
      <c r="AD81" t="s">
        <v>379</v>
      </c>
      <c r="BQ81" s="371"/>
    </row>
    <row r="82" spans="9:70" ht="30" x14ac:dyDescent="0.25">
      <c r="I82" s="363" t="s">
        <v>6294</v>
      </c>
      <c r="Z82" s="376"/>
      <c r="AA82" s="377"/>
      <c r="AC82" s="370" t="s">
        <v>6295</v>
      </c>
      <c r="AD82" t="s">
        <v>379</v>
      </c>
      <c r="BQ82" s="371"/>
    </row>
    <row r="83" spans="9:70" ht="30" x14ac:dyDescent="0.25">
      <c r="I83" s="363" t="s">
        <v>6296</v>
      </c>
      <c r="Z83" s="378"/>
      <c r="AA83" s="377"/>
      <c r="AC83" s="370" t="s">
        <v>6297</v>
      </c>
      <c r="AD83" t="s">
        <v>379</v>
      </c>
      <c r="BR83" s="372"/>
    </row>
    <row r="84" spans="9:70" ht="30" x14ac:dyDescent="0.25">
      <c r="I84" s="363" t="s">
        <v>6298</v>
      </c>
      <c r="Z84" s="376"/>
      <c r="AA84" s="376"/>
      <c r="AC84" s="370" t="s">
        <v>6299</v>
      </c>
      <c r="AD84" t="s">
        <v>379</v>
      </c>
      <c r="BQ84" s="371"/>
      <c r="BR84" s="372"/>
    </row>
    <row r="85" spans="9:70" ht="30" x14ac:dyDescent="0.25">
      <c r="I85" s="363" t="s">
        <v>6300</v>
      </c>
      <c r="Z85" s="376"/>
      <c r="AA85" s="376"/>
      <c r="AC85" s="370" t="s">
        <v>6301</v>
      </c>
      <c r="AD85" t="s">
        <v>379</v>
      </c>
      <c r="BQ85" s="371"/>
      <c r="BR85" s="372"/>
    </row>
    <row r="86" spans="9:70" ht="30" x14ac:dyDescent="0.25">
      <c r="I86" s="363" t="s">
        <v>6302</v>
      </c>
      <c r="Z86" s="376"/>
      <c r="AA86" s="376"/>
      <c r="AC86" s="370" t="s">
        <v>6303</v>
      </c>
      <c r="AD86" t="s">
        <v>379</v>
      </c>
      <c r="BR86" s="372"/>
    </row>
    <row r="87" spans="9:70" ht="30" x14ac:dyDescent="0.25">
      <c r="I87" s="363" t="s">
        <v>6304</v>
      </c>
      <c r="Z87" s="376"/>
      <c r="AA87" s="376"/>
      <c r="AC87" s="370" t="s">
        <v>6305</v>
      </c>
      <c r="AD87" t="s">
        <v>379</v>
      </c>
      <c r="BQ87" s="371"/>
      <c r="BR87" s="372"/>
    </row>
    <row r="88" spans="9:70" ht="30" x14ac:dyDescent="0.25">
      <c r="I88" s="363" t="s">
        <v>6306</v>
      </c>
      <c r="Z88" s="376"/>
      <c r="AA88" s="376"/>
      <c r="AC88" s="370" t="s">
        <v>6307</v>
      </c>
      <c r="AD88" t="s">
        <v>380</v>
      </c>
      <c r="BQ88" s="371"/>
      <c r="BR88" s="372"/>
    </row>
    <row r="89" spans="9:70" ht="30" x14ac:dyDescent="0.25">
      <c r="I89" s="363" t="s">
        <v>6308</v>
      </c>
      <c r="AC89" s="370" t="s">
        <v>6309</v>
      </c>
      <c r="AD89" t="s">
        <v>380</v>
      </c>
      <c r="BR89" s="372"/>
    </row>
    <row r="90" spans="9:70" ht="30" x14ac:dyDescent="0.25">
      <c r="I90" s="363" t="s">
        <v>6310</v>
      </c>
      <c r="AC90" s="370" t="s">
        <v>6311</v>
      </c>
      <c r="AD90" t="s">
        <v>380</v>
      </c>
      <c r="BQ90" s="371"/>
      <c r="BR90" s="372"/>
    </row>
    <row r="91" spans="9:70" ht="30" x14ac:dyDescent="0.25">
      <c r="I91" s="363" t="s">
        <v>6312</v>
      </c>
      <c r="AC91" s="370" t="s">
        <v>6313</v>
      </c>
      <c r="AD91" t="s">
        <v>380</v>
      </c>
      <c r="BQ91" s="371"/>
      <c r="BR91" s="372"/>
    </row>
    <row r="92" spans="9:70" ht="30" x14ac:dyDescent="0.25">
      <c r="I92" s="363" t="s">
        <v>6314</v>
      </c>
      <c r="AC92" s="370" t="s">
        <v>6315</v>
      </c>
      <c r="AD92" t="s">
        <v>380</v>
      </c>
      <c r="BR92" s="372"/>
    </row>
    <row r="93" spans="9:70" ht="30" x14ac:dyDescent="0.25">
      <c r="I93" s="363" t="s">
        <v>6316</v>
      </c>
      <c r="AC93" s="370" t="s">
        <v>6317</v>
      </c>
      <c r="AD93" t="s">
        <v>380</v>
      </c>
      <c r="BQ93" s="371"/>
      <c r="BR93" s="372"/>
    </row>
    <row r="94" spans="9:70" ht="30" x14ac:dyDescent="0.25">
      <c r="I94" s="363" t="s">
        <v>6318</v>
      </c>
      <c r="AC94" s="370" t="s">
        <v>6319</v>
      </c>
      <c r="AD94" t="s">
        <v>380</v>
      </c>
      <c r="BQ94" s="371"/>
    </row>
    <row r="95" spans="9:70" x14ac:dyDescent="0.25">
      <c r="I95" t="s">
        <v>4159</v>
      </c>
      <c r="AC95" s="370" t="s">
        <v>6320</v>
      </c>
      <c r="AD95" t="s">
        <v>380</v>
      </c>
    </row>
    <row r="96" spans="9:70" x14ac:dyDescent="0.25">
      <c r="I96" t="s">
        <v>6321</v>
      </c>
      <c r="AC96" s="370" t="s">
        <v>6322</v>
      </c>
      <c r="AD96" t="s">
        <v>380</v>
      </c>
    </row>
    <row r="97" spans="9:30" x14ac:dyDescent="0.25">
      <c r="I97" t="s">
        <v>6323</v>
      </c>
      <c r="AC97" s="370" t="s">
        <v>6324</v>
      </c>
      <c r="AD97" t="s">
        <v>380</v>
      </c>
    </row>
    <row r="98" spans="9:30" x14ac:dyDescent="0.25">
      <c r="I98" t="s">
        <v>6325</v>
      </c>
      <c r="AC98" s="370" t="s">
        <v>6326</v>
      </c>
      <c r="AD98" t="s">
        <v>380</v>
      </c>
    </row>
    <row r="99" spans="9:30" x14ac:dyDescent="0.25">
      <c r="I99" t="s">
        <v>6327</v>
      </c>
      <c r="AC99" s="370" t="s">
        <v>6328</v>
      </c>
      <c r="AD99" t="s">
        <v>379</v>
      </c>
    </row>
    <row r="100" spans="9:30" x14ac:dyDescent="0.25">
      <c r="I100" t="s">
        <v>6329</v>
      </c>
      <c r="AC100" s="370" t="s">
        <v>6330</v>
      </c>
      <c r="AD100" t="s">
        <v>380</v>
      </c>
    </row>
    <row r="101" spans="9:30" x14ac:dyDescent="0.25">
      <c r="I101" t="s">
        <v>6331</v>
      </c>
      <c r="AC101" s="370" t="s">
        <v>6332</v>
      </c>
      <c r="AD101" t="s">
        <v>379</v>
      </c>
    </row>
    <row r="102" spans="9:30" x14ac:dyDescent="0.25">
      <c r="I102" t="s">
        <v>6333</v>
      </c>
      <c r="AC102" t="s">
        <v>6334</v>
      </c>
      <c r="AD102" t="s">
        <v>380</v>
      </c>
    </row>
    <row r="103" spans="9:30" x14ac:dyDescent="0.25">
      <c r="I103" t="s">
        <v>6335</v>
      </c>
      <c r="AC103" t="s">
        <v>6336</v>
      </c>
      <c r="AD103" t="s">
        <v>379</v>
      </c>
    </row>
    <row r="104" spans="9:30" x14ac:dyDescent="0.25">
      <c r="I104" t="s">
        <v>6337</v>
      </c>
    </row>
    <row r="105" spans="9:30" x14ac:dyDescent="0.25">
      <c r="I105" t="s">
        <v>6338</v>
      </c>
    </row>
    <row r="106" spans="9:30" x14ac:dyDescent="0.25">
      <c r="I106" t="s">
        <v>6339</v>
      </c>
    </row>
    <row r="107" spans="9:30" x14ac:dyDescent="0.25">
      <c r="I107" t="s">
        <v>6340</v>
      </c>
    </row>
    <row r="108" spans="9:30" ht="30" x14ac:dyDescent="0.25">
      <c r="I108" s="363" t="s">
        <v>6341</v>
      </c>
    </row>
    <row r="109" spans="9:30" ht="30" x14ac:dyDescent="0.25">
      <c r="I109" s="363" t="s">
        <v>6342</v>
      </c>
    </row>
    <row r="110" spans="9:30" ht="30" x14ac:dyDescent="0.25">
      <c r="I110" s="363" t="s">
        <v>6343</v>
      </c>
    </row>
    <row r="111" spans="9:30" ht="30" x14ac:dyDescent="0.25">
      <c r="I111" s="363" t="s">
        <v>6344</v>
      </c>
    </row>
    <row r="112" spans="9:30" x14ac:dyDescent="0.25">
      <c r="I112" t="s">
        <v>6345</v>
      </c>
    </row>
    <row r="113" spans="9:9" x14ac:dyDescent="0.25">
      <c r="I113" t="s">
        <v>6346</v>
      </c>
    </row>
    <row r="114" spans="9:9" x14ac:dyDescent="0.25">
      <c r="I114" t="s">
        <v>6347</v>
      </c>
    </row>
    <row r="115" spans="9:9" ht="30" x14ac:dyDescent="0.25">
      <c r="I115" s="363" t="s">
        <v>6348</v>
      </c>
    </row>
    <row r="116" spans="9:9" ht="30" x14ac:dyDescent="0.25">
      <c r="I116" s="363" t="s">
        <v>6349</v>
      </c>
    </row>
    <row r="117" spans="9:9" ht="30" x14ac:dyDescent="0.25">
      <c r="I117" s="363" t="s">
        <v>6350</v>
      </c>
    </row>
    <row r="118" spans="9:9" ht="30" x14ac:dyDescent="0.25">
      <c r="I118" s="363" t="s">
        <v>6351</v>
      </c>
    </row>
    <row r="119" spans="9:9" ht="30" x14ac:dyDescent="0.25">
      <c r="I119" s="363" t="s">
        <v>6352</v>
      </c>
    </row>
    <row r="120" spans="9:9" ht="30" x14ac:dyDescent="0.25">
      <c r="I120" s="363" t="s">
        <v>6353</v>
      </c>
    </row>
    <row r="121" spans="9:9" ht="30" x14ac:dyDescent="0.25">
      <c r="I121" s="363" t="s">
        <v>6354</v>
      </c>
    </row>
    <row r="122" spans="9:9" x14ac:dyDescent="0.25">
      <c r="I122" t="s">
        <v>6355</v>
      </c>
    </row>
    <row r="123" spans="9:9" x14ac:dyDescent="0.25">
      <c r="I123" t="s">
        <v>6356</v>
      </c>
    </row>
    <row r="124" spans="9:9" x14ac:dyDescent="0.25">
      <c r="I124" t="s">
        <v>6357</v>
      </c>
    </row>
    <row r="125" spans="9:9" ht="30" x14ac:dyDescent="0.25">
      <c r="I125" s="363" t="s">
        <v>6358</v>
      </c>
    </row>
    <row r="126" spans="9:9" x14ac:dyDescent="0.25">
      <c r="I126" t="s">
        <v>6359</v>
      </c>
    </row>
    <row r="127" spans="9:9" x14ac:dyDescent="0.25">
      <c r="I127" t="s">
        <v>6360</v>
      </c>
    </row>
    <row r="128" spans="9:9" x14ac:dyDescent="0.25">
      <c r="I128" t="s">
        <v>6361</v>
      </c>
    </row>
    <row r="129" spans="9:9" x14ac:dyDescent="0.25">
      <c r="I129" t="s">
        <v>6362</v>
      </c>
    </row>
    <row r="130" spans="9:9" x14ac:dyDescent="0.25">
      <c r="I130" t="s">
        <v>6363</v>
      </c>
    </row>
    <row r="131" spans="9:9" x14ac:dyDescent="0.25">
      <c r="I131" t="s">
        <v>6364</v>
      </c>
    </row>
    <row r="132" spans="9:9" ht="30" x14ac:dyDescent="0.25">
      <c r="I132" s="363" t="s">
        <v>6365</v>
      </c>
    </row>
    <row r="133" spans="9:9" ht="30" x14ac:dyDescent="0.25">
      <c r="I133" s="363" t="s">
        <v>6365</v>
      </c>
    </row>
    <row r="134" spans="9:9" ht="30" x14ac:dyDescent="0.25">
      <c r="I134" s="363" t="s">
        <v>6366</v>
      </c>
    </row>
    <row r="135" spans="9:9" ht="30" x14ac:dyDescent="0.25">
      <c r="I135" s="363" t="s">
        <v>6367</v>
      </c>
    </row>
    <row r="136" spans="9:9" x14ac:dyDescent="0.25">
      <c r="I136" t="s">
        <v>6368</v>
      </c>
    </row>
    <row r="137" spans="9:9" x14ac:dyDescent="0.25">
      <c r="I137" t="s">
        <v>6369</v>
      </c>
    </row>
    <row r="138" spans="9:9" ht="30" x14ac:dyDescent="0.25">
      <c r="I138" s="363" t="s">
        <v>6370</v>
      </c>
    </row>
    <row r="139" spans="9:9" ht="30" x14ac:dyDescent="0.25">
      <c r="I139" s="363" t="s">
        <v>6370</v>
      </c>
    </row>
    <row r="140" spans="9:9" ht="30" x14ac:dyDescent="0.25">
      <c r="I140" s="363" t="s">
        <v>6371</v>
      </c>
    </row>
    <row r="141" spans="9:9" ht="30" x14ac:dyDescent="0.25">
      <c r="I141" s="363" t="s">
        <v>6372</v>
      </c>
    </row>
    <row r="142" spans="9:9" x14ac:dyDescent="0.25">
      <c r="I142" t="s">
        <v>6373</v>
      </c>
    </row>
    <row r="143" spans="9:9" ht="30" x14ac:dyDescent="0.25">
      <c r="I143" s="363" t="s">
        <v>6374</v>
      </c>
    </row>
    <row r="144" spans="9:9" ht="30" x14ac:dyDescent="0.25">
      <c r="I144" s="363" t="s">
        <v>6375</v>
      </c>
    </row>
    <row r="145" spans="9:9" x14ac:dyDescent="0.25">
      <c r="I145" t="s">
        <v>6376</v>
      </c>
    </row>
    <row r="146" spans="9:9" ht="45" x14ac:dyDescent="0.25">
      <c r="I146" s="363" t="s">
        <v>6377</v>
      </c>
    </row>
    <row r="147" spans="9:9" ht="30" x14ac:dyDescent="0.25">
      <c r="I147" s="363" t="s">
        <v>6378</v>
      </c>
    </row>
    <row r="148" spans="9:9" ht="30" x14ac:dyDescent="0.25">
      <c r="I148" s="363" t="s">
        <v>6379</v>
      </c>
    </row>
    <row r="149" spans="9:9" ht="30" x14ac:dyDescent="0.25">
      <c r="I149" s="363" t="s">
        <v>6380</v>
      </c>
    </row>
    <row r="150" spans="9:9" ht="30" x14ac:dyDescent="0.25">
      <c r="I150" s="363" t="s">
        <v>6381</v>
      </c>
    </row>
    <row r="151" spans="9:9" ht="30" x14ac:dyDescent="0.25">
      <c r="I151" s="363" t="s">
        <v>6382</v>
      </c>
    </row>
    <row r="152" spans="9:9" ht="30" x14ac:dyDescent="0.25">
      <c r="I152" s="363" t="s">
        <v>6383</v>
      </c>
    </row>
    <row r="153" spans="9:9" ht="30" x14ac:dyDescent="0.25">
      <c r="I153" s="363" t="s">
        <v>6384</v>
      </c>
    </row>
    <row r="154" spans="9:9" ht="30" x14ac:dyDescent="0.25">
      <c r="I154" s="363" t="s">
        <v>6385</v>
      </c>
    </row>
    <row r="155" spans="9:9" x14ac:dyDescent="0.25">
      <c r="I155" t="s">
        <v>6386</v>
      </c>
    </row>
    <row r="156" spans="9:9" ht="30" x14ac:dyDescent="0.25">
      <c r="I156" s="363" t="s">
        <v>6387</v>
      </c>
    </row>
    <row r="157" spans="9:9" ht="30" x14ac:dyDescent="0.25">
      <c r="I157" s="363" t="s">
        <v>6388</v>
      </c>
    </row>
    <row r="158" spans="9:9" ht="30" x14ac:dyDescent="0.25">
      <c r="I158" s="363" t="s">
        <v>6389</v>
      </c>
    </row>
    <row r="159" spans="9:9" ht="30" x14ac:dyDescent="0.25">
      <c r="I159" s="363" t="s">
        <v>6390</v>
      </c>
    </row>
    <row r="160" spans="9:9" ht="30" x14ac:dyDescent="0.25">
      <c r="I160" s="19" t="s">
        <v>6391</v>
      </c>
    </row>
    <row r="161" spans="9:9" x14ac:dyDescent="0.25">
      <c r="I161" t="s">
        <v>6392</v>
      </c>
    </row>
    <row r="162" spans="9:9" x14ac:dyDescent="0.25">
      <c r="I162" t="s">
        <v>6393</v>
      </c>
    </row>
    <row r="163" spans="9:9" x14ac:dyDescent="0.25">
      <c r="I163" t="s">
        <v>6394</v>
      </c>
    </row>
    <row r="164" spans="9:9" x14ac:dyDescent="0.25">
      <c r="I164" t="s">
        <v>6395</v>
      </c>
    </row>
    <row r="165" spans="9:9" x14ac:dyDescent="0.25">
      <c r="I165" t="s">
        <v>6396</v>
      </c>
    </row>
    <row r="166" spans="9:9" x14ac:dyDescent="0.25">
      <c r="I166" t="s">
        <v>6397</v>
      </c>
    </row>
    <row r="167" spans="9:9" x14ac:dyDescent="0.25">
      <c r="I167" t="s">
        <v>6398</v>
      </c>
    </row>
    <row r="168" spans="9:9" x14ac:dyDescent="0.25">
      <c r="I168" t="s">
        <v>6399</v>
      </c>
    </row>
    <row r="169" spans="9:9" x14ac:dyDescent="0.25">
      <c r="I169" t="s">
        <v>6400</v>
      </c>
    </row>
    <row r="170" spans="9:9" x14ac:dyDescent="0.25">
      <c r="I170" t="s">
        <v>6401</v>
      </c>
    </row>
    <row r="171" spans="9:9" x14ac:dyDescent="0.25">
      <c r="I171" t="s">
        <v>6402</v>
      </c>
    </row>
    <row r="172" spans="9:9" x14ac:dyDescent="0.25">
      <c r="I172" t="s">
        <v>6403</v>
      </c>
    </row>
    <row r="173" spans="9:9" x14ac:dyDescent="0.25">
      <c r="I173" t="s">
        <v>6404</v>
      </c>
    </row>
    <row r="174" spans="9:9" x14ac:dyDescent="0.25">
      <c r="I174" t="s">
        <v>6405</v>
      </c>
    </row>
    <row r="175" spans="9:9" x14ac:dyDescent="0.25">
      <c r="I175" t="s">
        <v>6406</v>
      </c>
    </row>
    <row r="176" spans="9:9" x14ac:dyDescent="0.25">
      <c r="I176" t="s">
        <v>6407</v>
      </c>
    </row>
    <row r="177" spans="9:9" ht="30" x14ac:dyDescent="0.25">
      <c r="I177" s="363" t="s">
        <v>6408</v>
      </c>
    </row>
    <row r="178" spans="9:9" x14ac:dyDescent="0.25">
      <c r="I178" t="s">
        <v>6409</v>
      </c>
    </row>
    <row r="179" spans="9:9" x14ac:dyDescent="0.25">
      <c r="I179" t="s">
        <v>6410</v>
      </c>
    </row>
    <row r="180" spans="9:9" x14ac:dyDescent="0.25">
      <c r="I180" t="s">
        <v>6411</v>
      </c>
    </row>
    <row r="181" spans="9:9" x14ac:dyDescent="0.25">
      <c r="I181" t="s">
        <v>6412</v>
      </c>
    </row>
    <row r="182" spans="9:9" x14ac:dyDescent="0.25">
      <c r="I182" t="s">
        <v>6413</v>
      </c>
    </row>
    <row r="183" spans="9:9" x14ac:dyDescent="0.25">
      <c r="I183" t="s">
        <v>175</v>
      </c>
    </row>
    <row r="184" spans="9:9" x14ac:dyDescent="0.25">
      <c r="I184" t="s">
        <v>6414</v>
      </c>
    </row>
    <row r="185" spans="9:9" x14ac:dyDescent="0.25">
      <c r="I185" t="s">
        <v>185</v>
      </c>
    </row>
    <row r="186" spans="9:9" ht="30" x14ac:dyDescent="0.25">
      <c r="I186" s="363" t="s">
        <v>6415</v>
      </c>
    </row>
    <row r="187" spans="9:9" ht="30" x14ac:dyDescent="0.25">
      <c r="I187" s="363" t="s">
        <v>6416</v>
      </c>
    </row>
    <row r="188" spans="9:9" ht="30" x14ac:dyDescent="0.25">
      <c r="I188" s="363" t="s">
        <v>6417</v>
      </c>
    </row>
    <row r="189" spans="9:9" ht="30" x14ac:dyDescent="0.25">
      <c r="I189" s="363" t="s">
        <v>6418</v>
      </c>
    </row>
    <row r="190" spans="9:9" ht="30" x14ac:dyDescent="0.25">
      <c r="I190" s="363" t="s">
        <v>6419</v>
      </c>
    </row>
    <row r="191" spans="9:9" x14ac:dyDescent="0.25">
      <c r="I191" t="s">
        <v>203</v>
      </c>
    </row>
    <row r="192" spans="9:9" x14ac:dyDescent="0.25">
      <c r="I192" t="s">
        <v>243</v>
      </c>
    </row>
    <row r="193" spans="9:9" x14ac:dyDescent="0.25">
      <c r="I193" t="s">
        <v>4570</v>
      </c>
    </row>
    <row r="194" spans="9:9" x14ac:dyDescent="0.25">
      <c r="I194" t="s">
        <v>251</v>
      </c>
    </row>
    <row r="195" spans="9:9" x14ac:dyDescent="0.25">
      <c r="I195" t="s">
        <v>254</v>
      </c>
    </row>
    <row r="196" spans="9:9" x14ac:dyDescent="0.25">
      <c r="I196" t="s">
        <v>6420</v>
      </c>
    </row>
    <row r="197" spans="9:9" x14ac:dyDescent="0.25">
      <c r="I197" t="s">
        <v>264</v>
      </c>
    </row>
    <row r="198" spans="9:9" ht="14.25" customHeight="1" x14ac:dyDescent="0.25">
      <c r="I198" t="s">
        <v>208</v>
      </c>
    </row>
    <row r="199" spans="9:9" ht="30" x14ac:dyDescent="0.25">
      <c r="I199" s="363" t="s">
        <v>6421</v>
      </c>
    </row>
    <row r="200" spans="9:9" x14ac:dyDescent="0.25">
      <c r="I200" t="s">
        <v>847</v>
      </c>
    </row>
    <row r="201" spans="9:9" ht="45" x14ac:dyDescent="0.25">
      <c r="I201" s="363" t="s">
        <v>6422</v>
      </c>
    </row>
    <row r="202" spans="9:9" x14ac:dyDescent="0.25">
      <c r="I202" t="s">
        <v>3773</v>
      </c>
    </row>
    <row r="203" spans="9:9" x14ac:dyDescent="0.25">
      <c r="I203" t="s">
        <v>3874</v>
      </c>
    </row>
    <row r="204" spans="9:9" x14ac:dyDescent="0.25">
      <c r="I204" t="s">
        <v>3893</v>
      </c>
    </row>
    <row r="205" spans="9:9" x14ac:dyDescent="0.25">
      <c r="I205" t="s">
        <v>4695</v>
      </c>
    </row>
    <row r="206" spans="9:9" x14ac:dyDescent="0.25">
      <c r="I206" t="s">
        <v>6423</v>
      </c>
    </row>
    <row r="207" spans="9:9" x14ac:dyDescent="0.25">
      <c r="I207" t="s">
        <v>6424</v>
      </c>
    </row>
    <row r="208" spans="9:9" x14ac:dyDescent="0.25">
      <c r="I208" t="s">
        <v>3732</v>
      </c>
    </row>
    <row r="209" spans="9:9" x14ac:dyDescent="0.25">
      <c r="I209" t="s">
        <v>6425</v>
      </c>
    </row>
    <row r="210" spans="9:9" x14ac:dyDescent="0.25">
      <c r="I210" s="93" t="s">
        <v>848</v>
      </c>
    </row>
    <row r="211" spans="9:9" ht="45" x14ac:dyDescent="0.25">
      <c r="I211" s="363" t="s">
        <v>6426</v>
      </c>
    </row>
    <row r="212" spans="9:9" ht="45" x14ac:dyDescent="0.25">
      <c r="I212" s="363" t="s">
        <v>6427</v>
      </c>
    </row>
    <row r="213" spans="9:9" ht="30" x14ac:dyDescent="0.25">
      <c r="I213" s="363" t="s">
        <v>6428</v>
      </c>
    </row>
    <row r="214" spans="9:9" x14ac:dyDescent="0.25">
      <c r="I214" t="s">
        <v>6429</v>
      </c>
    </row>
    <row r="215" spans="9:9" x14ac:dyDescent="0.25">
      <c r="I215" s="20"/>
    </row>
    <row r="216" spans="9:9" x14ac:dyDescent="0.25">
      <c r="I216" s="20"/>
    </row>
    <row r="217" spans="9:9" x14ac:dyDescent="0.25">
      <c r="I217" s="375"/>
    </row>
    <row r="218" spans="9:9" x14ac:dyDescent="0.25">
      <c r="I218" s="375"/>
    </row>
    <row r="219" spans="9:9" x14ac:dyDescent="0.25">
      <c r="I219" s="20"/>
    </row>
    <row r="220" spans="9:9" x14ac:dyDescent="0.25">
      <c r="I220" s="20"/>
    </row>
    <row r="221" spans="9:9" x14ac:dyDescent="0.25">
      <c r="I221" s="20"/>
    </row>
    <row r="222" spans="9:9" x14ac:dyDescent="0.25">
      <c r="I222" s="20"/>
    </row>
    <row r="223" spans="9:9" x14ac:dyDescent="0.25">
      <c r="I223" s="375"/>
    </row>
    <row r="224" spans="9:9" x14ac:dyDescent="0.25">
      <c r="I224" s="375"/>
    </row>
    <row r="225" spans="9:9" x14ac:dyDescent="0.25">
      <c r="I225" s="20"/>
    </row>
    <row r="226" spans="9:9" x14ac:dyDescent="0.25">
      <c r="I226" s="375"/>
    </row>
    <row r="227" spans="9:9" x14ac:dyDescent="0.25">
      <c r="I227" s="375"/>
    </row>
    <row r="228" spans="9:9" x14ac:dyDescent="0.25">
      <c r="I228" s="375"/>
    </row>
    <row r="229" spans="9:9" x14ac:dyDescent="0.25">
      <c r="I229" s="375"/>
    </row>
    <row r="230" spans="9:9" x14ac:dyDescent="0.25">
      <c r="I230" s="375"/>
    </row>
    <row r="231" spans="9:9" x14ac:dyDescent="0.25">
      <c r="I231" s="375"/>
    </row>
    <row r="232" spans="9:9" x14ac:dyDescent="0.25">
      <c r="I232" s="375"/>
    </row>
    <row r="233" spans="9:9" x14ac:dyDescent="0.25">
      <c r="I233" s="375"/>
    </row>
    <row r="234" spans="9:9" x14ac:dyDescent="0.25">
      <c r="I234" s="375"/>
    </row>
    <row r="235" spans="9:9" x14ac:dyDescent="0.25">
      <c r="I235" s="375"/>
    </row>
    <row r="236" spans="9:9" x14ac:dyDescent="0.25">
      <c r="I236" s="375"/>
    </row>
    <row r="237" spans="9:9" x14ac:dyDescent="0.25">
      <c r="I237" s="375"/>
    </row>
    <row r="238" spans="9:9" x14ac:dyDescent="0.25">
      <c r="I238" s="375"/>
    </row>
    <row r="239" spans="9:9" x14ac:dyDescent="0.25">
      <c r="I239" s="375"/>
    </row>
    <row r="240" spans="9:9" x14ac:dyDescent="0.25">
      <c r="I240" s="375"/>
    </row>
    <row r="241" spans="9:9" x14ac:dyDescent="0.25">
      <c r="I241" s="375"/>
    </row>
    <row r="242" spans="9:9" x14ac:dyDescent="0.25">
      <c r="I242" s="375"/>
    </row>
    <row r="243" spans="9:9" x14ac:dyDescent="0.25">
      <c r="I243" s="375"/>
    </row>
    <row r="244" spans="9:9" x14ac:dyDescent="0.25">
      <c r="I244" s="375"/>
    </row>
    <row r="298" spans="29:29" x14ac:dyDescent="0.25">
      <c r="AC298" s="379"/>
    </row>
    <row r="299" spans="29:29" x14ac:dyDescent="0.25">
      <c r="AC299" s="379"/>
    </row>
    <row r="303" spans="29:29" x14ac:dyDescent="0.25">
      <c r="AC303" s="379"/>
    </row>
    <row r="304" spans="29:29" x14ac:dyDescent="0.25">
      <c r="AC304" s="379"/>
    </row>
    <row r="306" spans="29:29" x14ac:dyDescent="0.25">
      <c r="AC306" s="379"/>
    </row>
    <row r="307" spans="29:29" x14ac:dyDescent="0.25">
      <c r="AC307" s="380"/>
    </row>
  </sheetData>
  <sheetProtection algorithmName="SHA-512" hashValue="hJQtWRxDsMuZxXcJDB1/czbNVobOYFnl9zjNN+ZWnCQRlX5GYxZW46IPGZDW6nD8jBs34bNc+PiOb4+gbpmmRg==" saltValue="Plxa7Opv/YwlvB02g70QYA==" spinCount="100000" sheet="1" objects="1" scenarios="1"/>
  <sortState xmlns:xlrd2="http://schemas.microsoft.com/office/spreadsheetml/2017/richdata2" ref="I2:I214">
    <sortCondition ref="I1"/>
  </sortState>
  <mergeCells count="18">
    <mergeCell ref="AN14:AO14"/>
    <mergeCell ref="AN15:AO15"/>
    <mergeCell ref="AN16:AO16"/>
    <mergeCell ref="AN17:AO17"/>
    <mergeCell ref="AN18:AO18"/>
    <mergeCell ref="AN13:AO13"/>
    <mergeCell ref="AN2:AO2"/>
    <mergeCell ref="AN1:AO1"/>
    <mergeCell ref="AN12:AO12"/>
    <mergeCell ref="AN11:AO11"/>
    <mergeCell ref="AN10:AO10"/>
    <mergeCell ref="AN9:AO9"/>
    <mergeCell ref="AN8:AO8"/>
    <mergeCell ref="AN6:AO6"/>
    <mergeCell ref="AN5:AO5"/>
    <mergeCell ref="AN4:AO4"/>
    <mergeCell ref="AN3:AO3"/>
    <mergeCell ref="AN7:AO7"/>
  </mergeCells>
  <dataValidations count="1">
    <dataValidation allowBlank="1" showInputMessage="1" showErrorMessage="1" sqref="I67" xr:uid="{00000000-0002-0000-2200-000000000000}"/>
  </dataValidations>
  <pageMargins left="0.7" right="0.7" top="0.75" bottom="0.75" header="0.3" footer="0.3"/>
  <pageSetup orientation="portrait" r:id="rId1"/>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
  <dimension ref="A1:N73"/>
  <sheetViews>
    <sheetView topLeftCell="A40" workbookViewId="0">
      <selection activeCell="H13" sqref="H13"/>
    </sheetView>
  </sheetViews>
  <sheetFormatPr defaultRowHeight="15" x14ac:dyDescent="0.25"/>
  <sheetData>
    <row r="1" spans="1:14" x14ac:dyDescent="0.25">
      <c r="A1" t="s">
        <v>171</v>
      </c>
      <c r="H1" t="s">
        <v>176</v>
      </c>
      <c r="N1" t="str">
        <f>VLOOKUP(H1,A:A,1,0)</f>
        <v>Atikokan Hydro Inc.</v>
      </c>
    </row>
    <row r="2" spans="1:14" x14ac:dyDescent="0.25">
      <c r="A2" t="s">
        <v>176</v>
      </c>
      <c r="H2" t="s">
        <v>181</v>
      </c>
      <c r="N2" t="str">
        <f t="shared" ref="N2:N60" si="0">VLOOKUP(H2,A:A,1,0)</f>
        <v>Bluewater Power Distribution Corporation</v>
      </c>
    </row>
    <row r="3" spans="1:14" x14ac:dyDescent="0.25">
      <c r="A3" t="s">
        <v>181</v>
      </c>
      <c r="H3" t="s">
        <v>6026</v>
      </c>
      <c r="N3" t="str">
        <f t="shared" si="0"/>
        <v>Brant County Power Inc.</v>
      </c>
    </row>
    <row r="4" spans="1:14" x14ac:dyDescent="0.25">
      <c r="A4" t="s">
        <v>6026</v>
      </c>
      <c r="H4" t="s">
        <v>6031</v>
      </c>
      <c r="N4" t="str">
        <f t="shared" si="0"/>
        <v>Brantford Power Inc.</v>
      </c>
    </row>
    <row r="5" spans="1:14" x14ac:dyDescent="0.25">
      <c r="A5" t="s">
        <v>6031</v>
      </c>
      <c r="H5" t="s">
        <v>191</v>
      </c>
      <c r="N5" t="str">
        <f t="shared" si="0"/>
        <v>Burlington Hydro Inc.</v>
      </c>
    </row>
    <row r="6" spans="1:14" x14ac:dyDescent="0.25">
      <c r="A6" t="s">
        <v>191</v>
      </c>
      <c r="H6" t="s">
        <v>6034</v>
      </c>
      <c r="N6" t="str">
        <f t="shared" si="0"/>
        <v>Cambridge and North Dumfries Hydro Inc.</v>
      </c>
    </row>
    <row r="7" spans="1:14" x14ac:dyDescent="0.25">
      <c r="A7" t="s">
        <v>6034</v>
      </c>
      <c r="H7" t="s">
        <v>196</v>
      </c>
      <c r="N7" t="str">
        <f t="shared" si="0"/>
        <v>Canadian Niagara Power Inc.</v>
      </c>
    </row>
    <row r="8" spans="1:14" x14ac:dyDescent="0.25">
      <c r="A8" t="s">
        <v>196</v>
      </c>
      <c r="H8" t="s">
        <v>200</v>
      </c>
      <c r="N8" t="str">
        <f t="shared" si="0"/>
        <v>Centre Wellington Hydro Ltd.</v>
      </c>
    </row>
    <row r="9" spans="1:14" x14ac:dyDescent="0.25">
      <c r="A9" t="s">
        <v>200</v>
      </c>
      <c r="H9" t="s">
        <v>204</v>
      </c>
      <c r="N9" t="str">
        <f t="shared" si="0"/>
        <v>Chapleau Public Utilities Corporation</v>
      </c>
    </row>
    <row r="10" spans="1:14" x14ac:dyDescent="0.25">
      <c r="A10" t="s">
        <v>204</v>
      </c>
      <c r="H10" t="s">
        <v>6047</v>
      </c>
      <c r="N10" t="str">
        <f t="shared" si="0"/>
        <v>Collus PowerStream Corp.</v>
      </c>
    </row>
    <row r="11" spans="1:14" x14ac:dyDescent="0.25">
      <c r="A11" t="s">
        <v>6047</v>
      </c>
      <c r="H11" t="s">
        <v>209</v>
      </c>
      <c r="N11" t="str">
        <f t="shared" si="0"/>
        <v>Cooperative Hydro Embrun Inc.</v>
      </c>
    </row>
    <row r="12" spans="1:14" x14ac:dyDescent="0.25">
      <c r="A12" t="s">
        <v>209</v>
      </c>
      <c r="H12" t="s">
        <v>212</v>
      </c>
      <c r="N12" t="str">
        <f t="shared" si="0"/>
        <v>E.L.K. Energy Inc.</v>
      </c>
    </row>
    <row r="13" spans="1:14" x14ac:dyDescent="0.25">
      <c r="A13" t="s">
        <v>212</v>
      </c>
      <c r="H13" t="s">
        <v>6061</v>
      </c>
      <c r="N13" t="str">
        <f t="shared" si="0"/>
        <v>Enersource Hydro Mississauga Inc.</v>
      </c>
    </row>
    <row r="14" spans="1:14" x14ac:dyDescent="0.25">
      <c r="A14" t="s">
        <v>6061</v>
      </c>
      <c r="H14" t="s">
        <v>220</v>
      </c>
      <c r="N14" t="str">
        <f t="shared" si="0"/>
        <v>Entegrus Powerlines Inc.</v>
      </c>
    </row>
    <row r="15" spans="1:14" x14ac:dyDescent="0.25">
      <c r="A15" t="s">
        <v>220</v>
      </c>
      <c r="H15" t="s">
        <v>6070</v>
      </c>
      <c r="N15" t="str">
        <f t="shared" si="0"/>
        <v>EnWin Utilities Ltd.</v>
      </c>
    </row>
    <row r="16" spans="1:14" x14ac:dyDescent="0.25">
      <c r="A16" t="s">
        <v>6070</v>
      </c>
      <c r="H16" t="s">
        <v>6075</v>
      </c>
      <c r="N16" t="str">
        <f t="shared" si="0"/>
        <v>Erie Thames Powerlines Corporation</v>
      </c>
    </row>
    <row r="17" spans="1:14" x14ac:dyDescent="0.25">
      <c r="A17" t="s">
        <v>6075</v>
      </c>
      <c r="H17" t="s">
        <v>230</v>
      </c>
      <c r="N17" t="str">
        <f t="shared" si="0"/>
        <v>Espanola Regional Hydro Distribution Corporation</v>
      </c>
    </row>
    <row r="18" spans="1:14" x14ac:dyDescent="0.25">
      <c r="A18" t="s">
        <v>230</v>
      </c>
      <c r="H18" t="s">
        <v>232</v>
      </c>
      <c r="N18" t="str">
        <f t="shared" si="0"/>
        <v>Essex Powerlines Corporation</v>
      </c>
    </row>
    <row r="19" spans="1:14" x14ac:dyDescent="0.25">
      <c r="A19" t="s">
        <v>232</v>
      </c>
      <c r="H19" t="s">
        <v>234</v>
      </c>
      <c r="N19" t="str">
        <f t="shared" si="0"/>
        <v>Festival Hydro Inc.</v>
      </c>
    </row>
    <row r="20" spans="1:14" x14ac:dyDescent="0.25">
      <c r="A20" t="s">
        <v>234</v>
      </c>
      <c r="H20" t="s">
        <v>237</v>
      </c>
      <c r="N20" t="str">
        <f t="shared" si="0"/>
        <v>Fort Frances Power Corporation</v>
      </c>
    </row>
    <row r="21" spans="1:14" x14ac:dyDescent="0.25">
      <c r="A21" t="s">
        <v>237</v>
      </c>
      <c r="H21" t="s">
        <v>240</v>
      </c>
      <c r="N21" t="str">
        <f t="shared" si="0"/>
        <v>Greater Sudbury Hydro Inc.</v>
      </c>
    </row>
    <row r="22" spans="1:14" x14ac:dyDescent="0.25">
      <c r="A22" t="s">
        <v>240</v>
      </c>
      <c r="H22" t="s">
        <v>244</v>
      </c>
      <c r="N22" t="str">
        <f t="shared" si="0"/>
        <v>Grimsby Power Incorporated</v>
      </c>
    </row>
    <row r="23" spans="1:14" x14ac:dyDescent="0.25">
      <c r="A23" t="s">
        <v>244</v>
      </c>
      <c r="H23" t="s">
        <v>6095</v>
      </c>
      <c r="N23" t="str">
        <f t="shared" si="0"/>
        <v>Guelph Hydro Electric Systems Inc.</v>
      </c>
    </row>
    <row r="24" spans="1:14" x14ac:dyDescent="0.25">
      <c r="A24" t="s">
        <v>6095</v>
      </c>
      <c r="H24" t="s">
        <v>248</v>
      </c>
      <c r="N24" t="str">
        <f t="shared" si="0"/>
        <v>Halton Hills Hydro Inc.</v>
      </c>
    </row>
    <row r="25" spans="1:14" x14ac:dyDescent="0.25">
      <c r="A25" t="s">
        <v>6430</v>
      </c>
      <c r="H25" t="s">
        <v>255</v>
      </c>
      <c r="N25" t="str">
        <f t="shared" si="0"/>
        <v>Hydro 2000 Inc.</v>
      </c>
    </row>
    <row r="26" spans="1:14" x14ac:dyDescent="0.25">
      <c r="A26" t="s">
        <v>248</v>
      </c>
      <c r="H26" t="s">
        <v>259</v>
      </c>
      <c r="N26" t="str">
        <f t="shared" si="0"/>
        <v>Hydro Hawkesbury Inc.</v>
      </c>
    </row>
    <row r="27" spans="1:14" x14ac:dyDescent="0.25">
      <c r="A27" t="s">
        <v>1842</v>
      </c>
      <c r="H27" t="s">
        <v>6118</v>
      </c>
      <c r="N27" t="str">
        <f t="shared" si="0"/>
        <v>Hydro One Brampton Networks Inc.</v>
      </c>
    </row>
    <row r="28" spans="1:14" x14ac:dyDescent="0.25">
      <c r="A28" t="s">
        <v>6106</v>
      </c>
      <c r="H28" t="s">
        <v>1529</v>
      </c>
      <c r="N28" t="str">
        <f t="shared" si="0"/>
        <v>Hydro One Remote Communities Inc.</v>
      </c>
    </row>
    <row r="29" spans="1:14" x14ac:dyDescent="0.25">
      <c r="A29" t="s">
        <v>255</v>
      </c>
      <c r="H29" t="s">
        <v>265</v>
      </c>
      <c r="N29" t="str">
        <f t="shared" si="0"/>
        <v>Hydro Ottawa Limited</v>
      </c>
    </row>
    <row r="30" spans="1:14" x14ac:dyDescent="0.25">
      <c r="A30" t="s">
        <v>259</v>
      </c>
      <c r="H30" t="s">
        <v>6431</v>
      </c>
      <c r="N30" t="str">
        <f t="shared" si="0"/>
        <v>Innpower Corporation</v>
      </c>
    </row>
    <row r="31" spans="1:14" x14ac:dyDescent="0.25">
      <c r="A31" t="s">
        <v>6118</v>
      </c>
      <c r="H31" t="s">
        <v>6150</v>
      </c>
      <c r="N31" t="str">
        <f t="shared" si="0"/>
        <v>Kenora Hydro Electric Corporation Ltd.</v>
      </c>
    </row>
    <row r="32" spans="1:14" x14ac:dyDescent="0.25">
      <c r="A32" t="s">
        <v>262</v>
      </c>
      <c r="H32" t="s">
        <v>269</v>
      </c>
      <c r="N32" t="str">
        <f t="shared" si="0"/>
        <v>Kingston Hydro Corporation</v>
      </c>
    </row>
    <row r="33" spans="1:14" x14ac:dyDescent="0.25">
      <c r="A33" t="s">
        <v>1529</v>
      </c>
      <c r="H33" t="s">
        <v>6156</v>
      </c>
      <c r="N33" t="str">
        <f t="shared" si="0"/>
        <v>Kitchener-Wilmot Hydro Inc.</v>
      </c>
    </row>
    <row r="34" spans="1:14" x14ac:dyDescent="0.25">
      <c r="A34" t="s">
        <v>265</v>
      </c>
      <c r="H34" t="s">
        <v>271</v>
      </c>
      <c r="N34" t="str">
        <f t="shared" si="0"/>
        <v>Lakefront Utilities Inc.</v>
      </c>
    </row>
    <row r="35" spans="1:14" x14ac:dyDescent="0.25">
      <c r="A35" t="s">
        <v>6431</v>
      </c>
      <c r="H35" t="s">
        <v>273</v>
      </c>
      <c r="N35" t="str">
        <f t="shared" si="0"/>
        <v>Lakeland Power Distribution Ltd.</v>
      </c>
    </row>
    <row r="36" spans="1:14" x14ac:dyDescent="0.25">
      <c r="A36" t="s">
        <v>6150</v>
      </c>
      <c r="H36" t="s">
        <v>275</v>
      </c>
      <c r="N36" t="str">
        <f t="shared" si="0"/>
        <v>London Hydro Inc.</v>
      </c>
    </row>
    <row r="37" spans="1:14" x14ac:dyDescent="0.25">
      <c r="A37" t="s">
        <v>269</v>
      </c>
      <c r="H37" t="s">
        <v>6169</v>
      </c>
      <c r="N37" t="str">
        <f t="shared" si="0"/>
        <v>Midland Power Utility Corporation</v>
      </c>
    </row>
    <row r="38" spans="1:14" x14ac:dyDescent="0.25">
      <c r="A38" t="s">
        <v>6156</v>
      </c>
      <c r="H38" t="s">
        <v>277</v>
      </c>
      <c r="N38" t="str">
        <f t="shared" si="0"/>
        <v>Milton Hydro Distribution Inc.</v>
      </c>
    </row>
    <row r="39" spans="1:14" x14ac:dyDescent="0.25">
      <c r="A39" t="s">
        <v>271</v>
      </c>
      <c r="H39" t="s">
        <v>285</v>
      </c>
      <c r="N39" t="str">
        <f t="shared" si="0"/>
        <v>Niagara-on-the-Lake Hydro Inc.</v>
      </c>
    </row>
    <row r="40" spans="1:14" x14ac:dyDescent="0.25">
      <c r="A40" t="s">
        <v>273</v>
      </c>
      <c r="H40" t="s">
        <v>282</v>
      </c>
      <c r="N40" t="str">
        <f t="shared" si="0"/>
        <v>Niagara Peninsula Energy Inc.</v>
      </c>
    </row>
    <row r="41" spans="1:14" x14ac:dyDescent="0.25">
      <c r="A41" t="s">
        <v>275</v>
      </c>
      <c r="H41" t="s">
        <v>289</v>
      </c>
      <c r="N41" t="str">
        <f t="shared" si="0"/>
        <v>Northern Ontario Wires Inc.</v>
      </c>
    </row>
    <row r="42" spans="1:14" x14ac:dyDescent="0.25">
      <c r="A42" t="s">
        <v>6169</v>
      </c>
      <c r="H42" t="s">
        <v>291</v>
      </c>
      <c r="N42" t="str">
        <f t="shared" si="0"/>
        <v>Oakville Hydro Electricity Distribution Inc.</v>
      </c>
    </row>
    <row r="43" spans="1:14" x14ac:dyDescent="0.25">
      <c r="A43" t="s">
        <v>277</v>
      </c>
      <c r="H43" t="s">
        <v>293</v>
      </c>
      <c r="N43" t="str">
        <f t="shared" si="0"/>
        <v>Orangeville Hydro Limited</v>
      </c>
    </row>
    <row r="44" spans="1:14" x14ac:dyDescent="0.25">
      <c r="A44" t="s">
        <v>279</v>
      </c>
      <c r="H44" t="s">
        <v>6194</v>
      </c>
      <c r="N44" t="str">
        <f t="shared" si="0"/>
        <v>Orillia Power Distribution Corporation</v>
      </c>
    </row>
    <row r="45" spans="1:14" x14ac:dyDescent="0.25">
      <c r="A45" t="s">
        <v>282</v>
      </c>
      <c r="H45" t="s">
        <v>6201</v>
      </c>
      <c r="N45" t="str">
        <f t="shared" si="0"/>
        <v>Peterborough Distribution Incorporated</v>
      </c>
    </row>
    <row r="46" spans="1:14" x14ac:dyDescent="0.25">
      <c r="A46" t="s">
        <v>285</v>
      </c>
      <c r="H46" t="s">
        <v>6432</v>
      </c>
      <c r="N46" t="str">
        <f t="shared" si="0"/>
        <v>PowerStream Inc.</v>
      </c>
    </row>
    <row r="47" spans="1:14" x14ac:dyDescent="0.25">
      <c r="A47" t="s">
        <v>6433</v>
      </c>
      <c r="H47" t="s">
        <v>299</v>
      </c>
      <c r="N47" t="str">
        <f t="shared" si="0"/>
        <v>PUC Distribution Inc.</v>
      </c>
    </row>
    <row r="48" spans="1:14" x14ac:dyDescent="0.25">
      <c r="A48" t="s">
        <v>287</v>
      </c>
      <c r="H48" t="s">
        <v>301</v>
      </c>
      <c r="N48" t="str">
        <f t="shared" si="0"/>
        <v>Renfrew Hydro Inc.</v>
      </c>
    </row>
    <row r="49" spans="1:14" x14ac:dyDescent="0.25">
      <c r="A49" t="s">
        <v>289</v>
      </c>
      <c r="H49" t="s">
        <v>303</v>
      </c>
      <c r="N49" t="str">
        <f t="shared" si="0"/>
        <v>Rideau St. Lawrence Distribution Inc.</v>
      </c>
    </row>
    <row r="50" spans="1:14" x14ac:dyDescent="0.25">
      <c r="A50" t="s">
        <v>291</v>
      </c>
      <c r="H50" t="s">
        <v>305</v>
      </c>
      <c r="N50" t="str">
        <f t="shared" si="0"/>
        <v>Sioux Lookout Hydro Inc.</v>
      </c>
    </row>
    <row r="51" spans="1:14" x14ac:dyDescent="0.25">
      <c r="A51" t="s">
        <v>293</v>
      </c>
      <c r="H51" t="s">
        <v>6215</v>
      </c>
      <c r="N51" t="str">
        <f t="shared" si="0"/>
        <v>Thunder Bay Hydro Electricity Distribution Inc.</v>
      </c>
    </row>
    <row r="52" spans="1:14" x14ac:dyDescent="0.25">
      <c r="A52" t="s">
        <v>6194</v>
      </c>
      <c r="H52" t="s">
        <v>309</v>
      </c>
      <c r="N52" t="str">
        <f t="shared" si="0"/>
        <v>Tillsonburg Hydro Inc.</v>
      </c>
    </row>
    <row r="53" spans="1:14" x14ac:dyDescent="0.25">
      <c r="A53" t="s">
        <v>295</v>
      </c>
      <c r="H53" t="s">
        <v>6228</v>
      </c>
      <c r="N53" t="str">
        <f t="shared" si="0"/>
        <v>Veridian Connections Inc.</v>
      </c>
    </row>
    <row r="54" spans="1:14" x14ac:dyDescent="0.25">
      <c r="A54" t="s">
        <v>297</v>
      </c>
      <c r="H54" t="s">
        <v>313</v>
      </c>
      <c r="N54" t="str">
        <f t="shared" si="0"/>
        <v>Wasaga Distribution Inc.</v>
      </c>
    </row>
    <row r="55" spans="1:14" x14ac:dyDescent="0.25">
      <c r="A55" t="s">
        <v>6201</v>
      </c>
      <c r="H55" t="s">
        <v>6234</v>
      </c>
      <c r="N55" t="str">
        <f t="shared" si="0"/>
        <v>Waterloo North Hydro Inc.</v>
      </c>
    </row>
    <row r="56" spans="1:14" x14ac:dyDescent="0.25">
      <c r="A56" t="s">
        <v>6432</v>
      </c>
      <c r="H56" t="s">
        <v>315</v>
      </c>
      <c r="N56" t="str">
        <f t="shared" si="0"/>
        <v>Welland Hydro-Electric System Corp.</v>
      </c>
    </row>
    <row r="57" spans="1:14" x14ac:dyDescent="0.25">
      <c r="A57" t="s">
        <v>299</v>
      </c>
      <c r="H57" t="s">
        <v>317</v>
      </c>
      <c r="N57" t="str">
        <f t="shared" si="0"/>
        <v>Wellington North Power Inc.</v>
      </c>
    </row>
    <row r="58" spans="1:14" x14ac:dyDescent="0.25">
      <c r="A58" t="s">
        <v>301</v>
      </c>
      <c r="H58" t="s">
        <v>6244</v>
      </c>
      <c r="N58" t="str">
        <f t="shared" si="0"/>
        <v>West Coast Huron Energy Inc.</v>
      </c>
    </row>
    <row r="59" spans="1:14" x14ac:dyDescent="0.25">
      <c r="A59" t="s">
        <v>303</v>
      </c>
      <c r="H59" t="s">
        <v>319</v>
      </c>
      <c r="N59" t="str">
        <f t="shared" si="0"/>
        <v>Westario Power Inc.</v>
      </c>
    </row>
    <row r="60" spans="1:14" x14ac:dyDescent="0.25">
      <c r="A60" t="s">
        <v>305</v>
      </c>
      <c r="H60" t="s">
        <v>6251</v>
      </c>
      <c r="N60" t="str">
        <f t="shared" si="0"/>
        <v>Whitby Hydro Electric Corporation</v>
      </c>
    </row>
    <row r="61" spans="1:14" x14ac:dyDescent="0.25">
      <c r="A61" t="s">
        <v>6211</v>
      </c>
    </row>
    <row r="62" spans="1:14" x14ac:dyDescent="0.25">
      <c r="A62" t="s">
        <v>6215</v>
      </c>
    </row>
    <row r="63" spans="1:14" x14ac:dyDescent="0.25">
      <c r="A63" t="s">
        <v>309</v>
      </c>
    </row>
    <row r="64" spans="1:14" x14ac:dyDescent="0.25">
      <c r="A64" t="s">
        <v>311</v>
      </c>
    </row>
    <row r="65" spans="1:1" x14ac:dyDescent="0.25">
      <c r="A65" t="s">
        <v>6228</v>
      </c>
    </row>
    <row r="66" spans="1:1" x14ac:dyDescent="0.25">
      <c r="A66" t="s">
        <v>313</v>
      </c>
    </row>
    <row r="67" spans="1:1" x14ac:dyDescent="0.25">
      <c r="A67" t="s">
        <v>6234</v>
      </c>
    </row>
    <row r="68" spans="1:1" x14ac:dyDescent="0.25">
      <c r="A68" t="s">
        <v>315</v>
      </c>
    </row>
    <row r="69" spans="1:1" x14ac:dyDescent="0.25">
      <c r="A69" t="s">
        <v>317</v>
      </c>
    </row>
    <row r="70" spans="1:1" x14ac:dyDescent="0.25">
      <c r="A70" t="s">
        <v>6244</v>
      </c>
    </row>
    <row r="71" spans="1:1" x14ac:dyDescent="0.25">
      <c r="A71" t="s">
        <v>319</v>
      </c>
    </row>
    <row r="72" spans="1:1" x14ac:dyDescent="0.25">
      <c r="A72" t="s">
        <v>6251</v>
      </c>
    </row>
    <row r="73" spans="1:1" x14ac:dyDescent="0.25">
      <c r="A73" t="s">
        <v>6434</v>
      </c>
    </row>
  </sheetData>
  <sheetProtection algorithmName="SHA-512" hashValue="u9X4oDQcjGkTXRhoQtQvn9Tx2PKAPYpg0f/YVPv0cxJvyq3iML7SqyNc1GPpncVY9i03GtLZuoKNKUAp3K4RXw==" saltValue="2exNhEyGgoYIhCx5ARyZIg==" spinCount="100000" sheet="1" objects="1" scenarios="1"/>
  <pageMargins left="0.7" right="0.7" top="0.75" bottom="0.75" header="0.3" footer="0.3"/>
  <pageSetup orientation="portrait" r:id="rId1"/>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dimension ref="A1:C69"/>
  <sheetViews>
    <sheetView topLeftCell="A58" workbookViewId="0">
      <selection activeCell="C17" sqref="C17"/>
    </sheetView>
  </sheetViews>
  <sheetFormatPr defaultRowHeight="15" x14ac:dyDescent="0.25"/>
  <cols>
    <col min="1" max="1" width="54.7109375" customWidth="1"/>
    <col min="2" max="2" width="59.28515625" customWidth="1"/>
    <col min="3" max="3" width="54.28515625" customWidth="1"/>
  </cols>
  <sheetData>
    <row r="1" spans="1:3" x14ac:dyDescent="0.25">
      <c r="A1" t="s">
        <v>171</v>
      </c>
      <c r="B1" t="s">
        <v>171</v>
      </c>
      <c r="C1" t="s">
        <v>6435</v>
      </c>
    </row>
    <row r="2" spans="1:3" x14ac:dyDescent="0.25">
      <c r="A2" t="s">
        <v>176</v>
      </c>
      <c r="B2" t="s">
        <v>176</v>
      </c>
      <c r="C2" t="s">
        <v>6435</v>
      </c>
    </row>
    <row r="3" spans="1:3" x14ac:dyDescent="0.25">
      <c r="A3" t="s">
        <v>181</v>
      </c>
      <c r="B3" t="s">
        <v>191</v>
      </c>
      <c r="C3" t="s">
        <v>6435</v>
      </c>
    </row>
    <row r="4" spans="1:3" x14ac:dyDescent="0.25">
      <c r="A4" t="s">
        <v>6026</v>
      </c>
      <c r="B4" t="s">
        <v>181</v>
      </c>
      <c r="C4" t="s">
        <v>6435</v>
      </c>
    </row>
    <row r="5" spans="1:3" x14ac:dyDescent="0.25">
      <c r="A5" t="s">
        <v>6031</v>
      </c>
      <c r="B5" t="s">
        <v>6026</v>
      </c>
      <c r="C5" t="s">
        <v>6435</v>
      </c>
    </row>
    <row r="6" spans="1:3" x14ac:dyDescent="0.25">
      <c r="A6" t="s">
        <v>191</v>
      </c>
      <c r="B6" t="s">
        <v>6031</v>
      </c>
      <c r="C6" t="s">
        <v>6435</v>
      </c>
    </row>
    <row r="7" spans="1:3" x14ac:dyDescent="0.25">
      <c r="A7" t="s">
        <v>6034</v>
      </c>
      <c r="B7" t="s">
        <v>6034</v>
      </c>
      <c r="C7" t="s">
        <v>6435</v>
      </c>
    </row>
    <row r="8" spans="1:3" x14ac:dyDescent="0.25">
      <c r="A8" t="s">
        <v>196</v>
      </c>
      <c r="B8" t="s">
        <v>196</v>
      </c>
      <c r="C8" t="s">
        <v>6435</v>
      </c>
    </row>
    <row r="9" spans="1:3" x14ac:dyDescent="0.25">
      <c r="A9" t="s">
        <v>200</v>
      </c>
      <c r="B9" t="s">
        <v>200</v>
      </c>
      <c r="C9" t="s">
        <v>6435</v>
      </c>
    </row>
    <row r="10" spans="1:3" x14ac:dyDescent="0.25">
      <c r="A10" t="s">
        <v>204</v>
      </c>
      <c r="B10" t="s">
        <v>6047</v>
      </c>
      <c r="C10" t="s">
        <v>6435</v>
      </c>
    </row>
    <row r="11" spans="1:3" x14ac:dyDescent="0.25">
      <c r="A11" t="s">
        <v>6047</v>
      </c>
      <c r="B11" t="s">
        <v>209</v>
      </c>
      <c r="C11" t="s">
        <v>6435</v>
      </c>
    </row>
    <row r="12" spans="1:3" x14ac:dyDescent="0.25">
      <c r="A12" t="s">
        <v>209</v>
      </c>
      <c r="B12" t="s">
        <v>212</v>
      </c>
      <c r="C12" t="s">
        <v>6435</v>
      </c>
    </row>
    <row r="13" spans="1:3" x14ac:dyDescent="0.25">
      <c r="A13" t="s">
        <v>212</v>
      </c>
      <c r="B13" t="s">
        <v>6061</v>
      </c>
      <c r="C13" t="s">
        <v>6435</v>
      </c>
    </row>
    <row r="14" spans="1:3" x14ac:dyDescent="0.25">
      <c r="A14" t="s">
        <v>6061</v>
      </c>
      <c r="B14" t="s">
        <v>220</v>
      </c>
      <c r="C14" t="s">
        <v>6435</v>
      </c>
    </row>
    <row r="15" spans="1:3" x14ac:dyDescent="0.25">
      <c r="A15" t="s">
        <v>220</v>
      </c>
      <c r="B15" t="s">
        <v>6070</v>
      </c>
      <c r="C15" t="s">
        <v>6435</v>
      </c>
    </row>
    <row r="16" spans="1:3" x14ac:dyDescent="0.25">
      <c r="A16" t="s">
        <v>6070</v>
      </c>
      <c r="B16" t="s">
        <v>6075</v>
      </c>
      <c r="C16" t="s">
        <v>6435</v>
      </c>
    </row>
    <row r="17" spans="1:3" x14ac:dyDescent="0.25">
      <c r="A17" t="s">
        <v>6075</v>
      </c>
      <c r="B17" t="s">
        <v>232</v>
      </c>
      <c r="C17" t="s">
        <v>6435</v>
      </c>
    </row>
    <row r="18" spans="1:3" x14ac:dyDescent="0.25">
      <c r="A18" t="s">
        <v>230</v>
      </c>
      <c r="B18" t="s">
        <v>234</v>
      </c>
      <c r="C18" t="s">
        <v>6435</v>
      </c>
    </row>
    <row r="19" spans="1:3" x14ac:dyDescent="0.25">
      <c r="A19" t="s">
        <v>232</v>
      </c>
      <c r="B19" t="s">
        <v>237</v>
      </c>
      <c r="C19" t="s">
        <v>6435</v>
      </c>
    </row>
    <row r="20" spans="1:3" x14ac:dyDescent="0.25">
      <c r="A20" t="s">
        <v>234</v>
      </c>
      <c r="B20" t="s">
        <v>240</v>
      </c>
      <c r="C20" t="s">
        <v>6435</v>
      </c>
    </row>
    <row r="21" spans="1:3" x14ac:dyDescent="0.25">
      <c r="A21" t="s">
        <v>237</v>
      </c>
      <c r="B21" t="s">
        <v>6095</v>
      </c>
      <c r="C21" t="s">
        <v>6435</v>
      </c>
    </row>
    <row r="22" spans="1:3" x14ac:dyDescent="0.25">
      <c r="A22" t="s">
        <v>240</v>
      </c>
      <c r="B22" t="s">
        <v>248</v>
      </c>
      <c r="C22" t="s">
        <v>6435</v>
      </c>
    </row>
    <row r="23" spans="1:3" x14ac:dyDescent="0.25">
      <c r="A23" t="s">
        <v>244</v>
      </c>
      <c r="B23" t="s">
        <v>6101</v>
      </c>
      <c r="C23" t="s">
        <v>6435</v>
      </c>
    </row>
    <row r="24" spans="1:3" x14ac:dyDescent="0.25">
      <c r="A24" t="s">
        <v>6095</v>
      </c>
      <c r="B24" t="s">
        <v>6106</v>
      </c>
      <c r="C24" t="s">
        <v>6435</v>
      </c>
    </row>
    <row r="25" spans="1:3" x14ac:dyDescent="0.25">
      <c r="A25" t="s">
        <v>248</v>
      </c>
      <c r="B25" t="s">
        <v>255</v>
      </c>
      <c r="C25" t="s">
        <v>6435</v>
      </c>
    </row>
    <row r="26" spans="1:3" x14ac:dyDescent="0.25">
      <c r="A26" t="s">
        <v>6101</v>
      </c>
      <c r="B26" t="s">
        <v>259</v>
      </c>
      <c r="C26" t="s">
        <v>6435</v>
      </c>
    </row>
    <row r="27" spans="1:3" x14ac:dyDescent="0.25">
      <c r="A27" t="s">
        <v>6106</v>
      </c>
      <c r="B27" t="s">
        <v>6118</v>
      </c>
      <c r="C27" t="s">
        <v>6435</v>
      </c>
    </row>
    <row r="28" spans="1:3" x14ac:dyDescent="0.25">
      <c r="A28" t="s">
        <v>255</v>
      </c>
      <c r="B28" t="s">
        <v>6123</v>
      </c>
    </row>
    <row r="29" spans="1:3" x14ac:dyDescent="0.25">
      <c r="A29" t="s">
        <v>259</v>
      </c>
      <c r="B29" t="s">
        <v>6128</v>
      </c>
    </row>
    <row r="30" spans="1:3" x14ac:dyDescent="0.25">
      <c r="A30" t="s">
        <v>6118</v>
      </c>
      <c r="B30" t="s">
        <v>6133</v>
      </c>
    </row>
    <row r="31" spans="1:3" x14ac:dyDescent="0.25">
      <c r="A31" t="s">
        <v>1529</v>
      </c>
      <c r="B31" t="s">
        <v>1529</v>
      </c>
      <c r="C31" t="s">
        <v>6435</v>
      </c>
    </row>
    <row r="32" spans="1:3" x14ac:dyDescent="0.25">
      <c r="A32" t="s">
        <v>265</v>
      </c>
      <c r="B32" t="s">
        <v>265</v>
      </c>
      <c r="C32" t="s">
        <v>6435</v>
      </c>
    </row>
    <row r="33" spans="1:3" x14ac:dyDescent="0.25">
      <c r="A33" t="s">
        <v>6431</v>
      </c>
      <c r="B33" t="s">
        <v>267</v>
      </c>
      <c r="C33" t="s">
        <v>6435</v>
      </c>
    </row>
    <row r="34" spans="1:3" x14ac:dyDescent="0.25">
      <c r="A34" t="s">
        <v>6150</v>
      </c>
      <c r="B34" t="s">
        <v>6150</v>
      </c>
      <c r="C34" t="s">
        <v>6435</v>
      </c>
    </row>
    <row r="35" spans="1:3" x14ac:dyDescent="0.25">
      <c r="A35" t="s">
        <v>269</v>
      </c>
      <c r="B35" t="s">
        <v>269</v>
      </c>
      <c r="C35" t="s">
        <v>6435</v>
      </c>
    </row>
    <row r="36" spans="1:3" x14ac:dyDescent="0.25">
      <c r="A36" t="s">
        <v>6156</v>
      </c>
      <c r="B36" t="s">
        <v>6156</v>
      </c>
      <c r="C36" t="s">
        <v>6435</v>
      </c>
    </row>
    <row r="37" spans="1:3" x14ac:dyDescent="0.25">
      <c r="A37" t="s">
        <v>271</v>
      </c>
      <c r="B37" t="s">
        <v>271</v>
      </c>
      <c r="C37" t="s">
        <v>6435</v>
      </c>
    </row>
    <row r="38" spans="1:3" x14ac:dyDescent="0.25">
      <c r="A38" t="s">
        <v>273</v>
      </c>
      <c r="B38" t="s">
        <v>273</v>
      </c>
      <c r="C38" t="s">
        <v>6435</v>
      </c>
    </row>
    <row r="39" spans="1:3" x14ac:dyDescent="0.25">
      <c r="A39" t="s">
        <v>275</v>
      </c>
      <c r="B39" t="s">
        <v>275</v>
      </c>
      <c r="C39" t="s">
        <v>6435</v>
      </c>
    </row>
    <row r="40" spans="1:3" x14ac:dyDescent="0.25">
      <c r="A40" t="s">
        <v>6169</v>
      </c>
      <c r="B40" t="s">
        <v>6169</v>
      </c>
      <c r="C40" t="s">
        <v>6435</v>
      </c>
    </row>
    <row r="41" spans="1:3" x14ac:dyDescent="0.25">
      <c r="A41" t="s">
        <v>277</v>
      </c>
      <c r="B41" t="s">
        <v>6173</v>
      </c>
      <c r="C41" t="s">
        <v>6435</v>
      </c>
    </row>
    <row r="42" spans="1:3" x14ac:dyDescent="0.25">
      <c r="A42" t="s">
        <v>6173</v>
      </c>
      <c r="B42" t="s">
        <v>282</v>
      </c>
      <c r="C42" t="s">
        <v>6435</v>
      </c>
    </row>
    <row r="43" spans="1:3" x14ac:dyDescent="0.25">
      <c r="A43" t="s">
        <v>282</v>
      </c>
      <c r="B43" t="s">
        <v>285</v>
      </c>
      <c r="C43" t="s">
        <v>6435</v>
      </c>
    </row>
    <row r="44" spans="1:3" x14ac:dyDescent="0.25">
      <c r="A44" t="s">
        <v>285</v>
      </c>
      <c r="B44" t="s">
        <v>287</v>
      </c>
      <c r="C44" t="s">
        <v>6435</v>
      </c>
    </row>
    <row r="45" spans="1:3" x14ac:dyDescent="0.25">
      <c r="A45" s="348" t="s">
        <v>287</v>
      </c>
      <c r="B45" t="s">
        <v>289</v>
      </c>
      <c r="C45" t="s">
        <v>6435</v>
      </c>
    </row>
    <row r="46" spans="1:3" x14ac:dyDescent="0.25">
      <c r="A46" t="s">
        <v>289</v>
      </c>
      <c r="B46" t="s">
        <v>291</v>
      </c>
      <c r="C46" t="s">
        <v>6435</v>
      </c>
    </row>
    <row r="47" spans="1:3" x14ac:dyDescent="0.25">
      <c r="A47" t="s">
        <v>291</v>
      </c>
      <c r="B47" t="s">
        <v>293</v>
      </c>
      <c r="C47" t="s">
        <v>6435</v>
      </c>
    </row>
    <row r="48" spans="1:3" x14ac:dyDescent="0.25">
      <c r="A48" t="s">
        <v>293</v>
      </c>
      <c r="B48" t="s">
        <v>6194</v>
      </c>
      <c r="C48" t="s">
        <v>6435</v>
      </c>
    </row>
    <row r="49" spans="1:3" x14ac:dyDescent="0.25">
      <c r="A49" t="s">
        <v>6194</v>
      </c>
      <c r="B49" t="s">
        <v>295</v>
      </c>
      <c r="C49" t="s">
        <v>6435</v>
      </c>
    </row>
    <row r="50" spans="1:3" x14ac:dyDescent="0.25">
      <c r="A50" t="s">
        <v>295</v>
      </c>
      <c r="B50" t="s">
        <v>6201</v>
      </c>
      <c r="C50" t="s">
        <v>6435</v>
      </c>
    </row>
    <row r="51" spans="1:3" x14ac:dyDescent="0.25">
      <c r="A51" s="348" t="s">
        <v>297</v>
      </c>
      <c r="B51" t="s">
        <v>299</v>
      </c>
      <c r="C51" t="s">
        <v>6435</v>
      </c>
    </row>
    <row r="52" spans="1:3" x14ac:dyDescent="0.25">
      <c r="A52" t="s">
        <v>6201</v>
      </c>
      <c r="B52" t="s">
        <v>305</v>
      </c>
      <c r="C52" t="s">
        <v>6435</v>
      </c>
    </row>
    <row r="53" spans="1:3" x14ac:dyDescent="0.25">
      <c r="A53" t="s">
        <v>6432</v>
      </c>
      <c r="B53" t="s">
        <v>6211</v>
      </c>
      <c r="C53" t="s">
        <v>6435</v>
      </c>
    </row>
    <row r="54" spans="1:3" x14ac:dyDescent="0.25">
      <c r="A54" t="s">
        <v>299</v>
      </c>
      <c r="B54" t="s">
        <v>6215</v>
      </c>
      <c r="C54" t="s">
        <v>6435</v>
      </c>
    </row>
    <row r="55" spans="1:3" x14ac:dyDescent="0.25">
      <c r="A55" t="s">
        <v>301</v>
      </c>
      <c r="B55" t="s">
        <v>309</v>
      </c>
      <c r="C55" t="s">
        <v>6435</v>
      </c>
    </row>
    <row r="56" spans="1:3" x14ac:dyDescent="0.25">
      <c r="A56" t="s">
        <v>303</v>
      </c>
      <c r="B56" t="s">
        <v>311</v>
      </c>
      <c r="C56" t="s">
        <v>6435</v>
      </c>
    </row>
    <row r="57" spans="1:3" x14ac:dyDescent="0.25">
      <c r="A57" t="s">
        <v>305</v>
      </c>
      <c r="B57" t="s">
        <v>6228</v>
      </c>
      <c r="C57" t="s">
        <v>6435</v>
      </c>
    </row>
    <row r="58" spans="1:3" x14ac:dyDescent="0.25">
      <c r="A58" t="s">
        <v>6211</v>
      </c>
      <c r="B58" t="s">
        <v>313</v>
      </c>
      <c r="C58" t="s">
        <v>6435</v>
      </c>
    </row>
    <row r="59" spans="1:3" x14ac:dyDescent="0.25">
      <c r="A59" t="s">
        <v>6215</v>
      </c>
      <c r="B59" t="s">
        <v>6234</v>
      </c>
      <c r="C59" t="s">
        <v>6435</v>
      </c>
    </row>
    <row r="60" spans="1:3" x14ac:dyDescent="0.25">
      <c r="A60" t="s">
        <v>309</v>
      </c>
      <c r="B60" t="s">
        <v>315</v>
      </c>
      <c r="C60" t="s">
        <v>6435</v>
      </c>
    </row>
    <row r="61" spans="1:3" x14ac:dyDescent="0.25">
      <c r="A61" t="s">
        <v>311</v>
      </c>
      <c r="B61" t="s">
        <v>317</v>
      </c>
      <c r="C61" t="s">
        <v>6435</v>
      </c>
    </row>
    <row r="62" spans="1:3" x14ac:dyDescent="0.25">
      <c r="A62" t="s">
        <v>6228</v>
      </c>
      <c r="B62" t="s">
        <v>6244</v>
      </c>
      <c r="C62" t="s">
        <v>6435</v>
      </c>
    </row>
    <row r="63" spans="1:3" x14ac:dyDescent="0.25">
      <c r="A63" t="s">
        <v>313</v>
      </c>
      <c r="B63" t="s">
        <v>319</v>
      </c>
      <c r="C63" t="s">
        <v>6435</v>
      </c>
    </row>
    <row r="64" spans="1:3" x14ac:dyDescent="0.25">
      <c r="A64" t="s">
        <v>6234</v>
      </c>
      <c r="B64" t="s">
        <v>6251</v>
      </c>
      <c r="C64" t="s">
        <v>6435</v>
      </c>
    </row>
    <row r="65" spans="1:1" x14ac:dyDescent="0.25">
      <c r="A65" t="s">
        <v>315</v>
      </c>
    </row>
    <row r="66" spans="1:1" x14ac:dyDescent="0.25">
      <c r="A66" t="s">
        <v>317</v>
      </c>
    </row>
    <row r="67" spans="1:1" x14ac:dyDescent="0.25">
      <c r="A67" t="s">
        <v>6244</v>
      </c>
    </row>
    <row r="68" spans="1:1" x14ac:dyDescent="0.25">
      <c r="A68" t="s">
        <v>319</v>
      </c>
    </row>
    <row r="69" spans="1:1" x14ac:dyDescent="0.25">
      <c r="A69" t="s">
        <v>6251</v>
      </c>
    </row>
  </sheetData>
  <sheetProtection algorithmName="SHA-512" hashValue="LiUOC/qDTtEQKEI7saMAoobVHzxgw1BSFCwPk5qBtDRqp+Sy761gzwtB0JuAb0KcdHDay5nAaaXvr25WAlH7kA==" saltValue="PvjQRLB0wZ+GV8syJXgRtw==" spinCount="100000" sheet="1" objects="1" scenarios="1"/>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C35"/>
  <sheetViews>
    <sheetView workbookViewId="0">
      <selection activeCell="H10" sqref="H10"/>
    </sheetView>
  </sheetViews>
  <sheetFormatPr defaultRowHeight="15" x14ac:dyDescent="0.25"/>
  <cols>
    <col min="1" max="1" width="36.7109375" customWidth="1"/>
  </cols>
  <sheetData>
    <row r="1" spans="1:3" x14ac:dyDescent="0.25">
      <c r="A1" t="s">
        <v>92</v>
      </c>
    </row>
    <row r="2" spans="1:3" x14ac:dyDescent="0.25">
      <c r="A2" t="s">
        <v>93</v>
      </c>
      <c r="B2" t="s">
        <v>94</v>
      </c>
    </row>
    <row r="3" spans="1:3" x14ac:dyDescent="0.25">
      <c r="A3" t="s">
        <v>95</v>
      </c>
      <c r="B3" t="s">
        <v>94</v>
      </c>
      <c r="C3" t="s">
        <v>94</v>
      </c>
    </row>
    <row r="4" spans="1:3" x14ac:dyDescent="0.25">
      <c r="A4" t="s">
        <v>96</v>
      </c>
      <c r="B4" t="s">
        <v>94</v>
      </c>
    </row>
    <row r="5" spans="1:3" x14ac:dyDescent="0.25">
      <c r="A5" t="s">
        <v>97</v>
      </c>
    </row>
    <row r="6" spans="1:3" x14ac:dyDescent="0.25">
      <c r="A6" t="s">
        <v>98</v>
      </c>
      <c r="B6" t="s">
        <v>94</v>
      </c>
      <c r="C6" t="s">
        <v>94</v>
      </c>
    </row>
    <row r="7" spans="1:3" x14ac:dyDescent="0.25">
      <c r="A7" t="s">
        <v>99</v>
      </c>
      <c r="B7" t="s">
        <v>94</v>
      </c>
      <c r="C7" t="s">
        <v>94</v>
      </c>
    </row>
    <row r="8" spans="1:3" x14ac:dyDescent="0.25">
      <c r="A8" t="s">
        <v>100</v>
      </c>
      <c r="B8" t="s">
        <v>94</v>
      </c>
      <c r="C8" t="s">
        <v>94</v>
      </c>
    </row>
    <row r="9" spans="1:3" x14ac:dyDescent="0.25">
      <c r="A9" t="s">
        <v>101</v>
      </c>
      <c r="B9" t="s">
        <v>94</v>
      </c>
    </row>
    <row r="10" spans="1:3" x14ac:dyDescent="0.25">
      <c r="A10" t="s">
        <v>102</v>
      </c>
      <c r="B10" t="s">
        <v>94</v>
      </c>
      <c r="C10" t="s">
        <v>94</v>
      </c>
    </row>
    <row r="11" spans="1:3" x14ac:dyDescent="0.25">
      <c r="A11" t="s">
        <v>103</v>
      </c>
      <c r="B11" t="s">
        <v>94</v>
      </c>
    </row>
    <row r="12" spans="1:3" x14ac:dyDescent="0.25">
      <c r="A12" t="s">
        <v>104</v>
      </c>
      <c r="B12" t="s">
        <v>94</v>
      </c>
    </row>
    <row r="13" spans="1:3" x14ac:dyDescent="0.25">
      <c r="A13" t="s">
        <v>105</v>
      </c>
      <c r="B13" t="s">
        <v>94</v>
      </c>
    </row>
    <row r="14" spans="1:3" x14ac:dyDescent="0.25">
      <c r="A14" t="s">
        <v>106</v>
      </c>
      <c r="B14" t="s">
        <v>94</v>
      </c>
      <c r="C14" t="s">
        <v>94</v>
      </c>
    </row>
    <row r="15" spans="1:3" x14ac:dyDescent="0.25">
      <c r="A15" t="s">
        <v>107</v>
      </c>
      <c r="B15" t="s">
        <v>94</v>
      </c>
      <c r="C15" t="s">
        <v>94</v>
      </c>
    </row>
    <row r="16" spans="1:3" x14ac:dyDescent="0.25">
      <c r="A16" t="s">
        <v>108</v>
      </c>
      <c r="B16" t="s">
        <v>94</v>
      </c>
      <c r="C16" t="s">
        <v>94</v>
      </c>
    </row>
    <row r="17" spans="1:3" x14ac:dyDescent="0.25">
      <c r="A17" t="s">
        <v>109</v>
      </c>
      <c r="B17" t="s">
        <v>94</v>
      </c>
      <c r="C17" t="s">
        <v>94</v>
      </c>
    </row>
    <row r="18" spans="1:3" x14ac:dyDescent="0.25">
      <c r="A18" t="s">
        <v>110</v>
      </c>
      <c r="B18" t="s">
        <v>94</v>
      </c>
      <c r="C18" t="s">
        <v>94</v>
      </c>
    </row>
    <row r="19" spans="1:3" x14ac:dyDescent="0.25">
      <c r="A19" t="s">
        <v>111</v>
      </c>
      <c r="B19" t="s">
        <v>94</v>
      </c>
      <c r="C19" t="s">
        <v>94</v>
      </c>
    </row>
    <row r="20" spans="1:3" x14ac:dyDescent="0.25">
      <c r="A20" t="s">
        <v>112</v>
      </c>
      <c r="B20" t="s">
        <v>94</v>
      </c>
      <c r="C20" t="s">
        <v>94</v>
      </c>
    </row>
    <row r="21" spans="1:3" x14ac:dyDescent="0.25">
      <c r="A21" t="s">
        <v>113</v>
      </c>
      <c r="B21" t="s">
        <v>94</v>
      </c>
      <c r="C21" t="s">
        <v>94</v>
      </c>
    </row>
    <row r="22" spans="1:3" x14ac:dyDescent="0.25">
      <c r="A22" t="s">
        <v>114</v>
      </c>
      <c r="B22" t="s">
        <v>94</v>
      </c>
      <c r="C22" t="s">
        <v>94</v>
      </c>
    </row>
    <row r="23" spans="1:3" x14ac:dyDescent="0.25">
      <c r="A23" t="s">
        <v>115</v>
      </c>
      <c r="B23" t="s">
        <v>94</v>
      </c>
      <c r="C23" t="s">
        <v>94</v>
      </c>
    </row>
    <row r="24" spans="1:3" x14ac:dyDescent="0.25">
      <c r="A24" t="s">
        <v>116</v>
      </c>
      <c r="B24" t="s">
        <v>94</v>
      </c>
      <c r="C24" t="s">
        <v>94</v>
      </c>
    </row>
    <row r="25" spans="1:3" x14ac:dyDescent="0.25">
      <c r="A25" t="s">
        <v>117</v>
      </c>
      <c r="B25" t="s">
        <v>94</v>
      </c>
      <c r="C25" t="s">
        <v>94</v>
      </c>
    </row>
    <row r="26" spans="1:3" x14ac:dyDescent="0.25">
      <c r="A26" t="s">
        <v>118</v>
      </c>
      <c r="B26" t="s">
        <v>94</v>
      </c>
      <c r="C26" t="s">
        <v>94</v>
      </c>
    </row>
    <row r="27" spans="1:3" x14ac:dyDescent="0.25">
      <c r="A27" t="s">
        <v>119</v>
      </c>
      <c r="B27" t="s">
        <v>94</v>
      </c>
      <c r="C27" t="s">
        <v>94</v>
      </c>
    </row>
    <row r="28" spans="1:3" x14ac:dyDescent="0.25">
      <c r="A28" t="s">
        <v>120</v>
      </c>
      <c r="B28" t="s">
        <v>94</v>
      </c>
    </row>
    <row r="29" spans="1:3" x14ac:dyDescent="0.25">
      <c r="A29" t="s">
        <v>121</v>
      </c>
      <c r="B29" t="s">
        <v>94</v>
      </c>
    </row>
    <row r="30" spans="1:3" x14ac:dyDescent="0.25">
      <c r="A30" t="s">
        <v>122</v>
      </c>
      <c r="B30" t="s">
        <v>94</v>
      </c>
    </row>
    <row r="31" spans="1:3" x14ac:dyDescent="0.25">
      <c r="A31" t="s">
        <v>123</v>
      </c>
      <c r="B31" t="s">
        <v>94</v>
      </c>
    </row>
    <row r="32" spans="1:3" x14ac:dyDescent="0.25">
      <c r="A32" t="s">
        <v>124</v>
      </c>
      <c r="B32" t="s">
        <v>94</v>
      </c>
    </row>
    <row r="33" spans="1:2" x14ac:dyDescent="0.25">
      <c r="A33" t="s">
        <v>125</v>
      </c>
      <c r="B33" t="s">
        <v>94</v>
      </c>
    </row>
    <row r="34" spans="1:2" x14ac:dyDescent="0.25">
      <c r="A34" t="s">
        <v>126</v>
      </c>
      <c r="B34" t="s">
        <v>94</v>
      </c>
    </row>
    <row r="35" spans="1:2" x14ac:dyDescent="0.25">
      <c r="A35" t="s">
        <v>127</v>
      </c>
      <c r="B35" t="s">
        <v>94</v>
      </c>
    </row>
  </sheetData>
  <sheetProtection algorithmName="SHA-512" hashValue="TanE3QB35GksGuq34lx4qjifGFOz4huRCmX3HArKwIxkpHI/GZtkR0qAW5EmnSyrfW4i7hRfO1K4tXHJrGhJLA==" saltValue="Jj24+/gt1snSOIdHg9m1hg==" spinCount="100000" sheet="1" objects="1" scenarios="1"/>
  <pageMargins left="0.7" right="0.7" top="0.75" bottom="0.75" header="0.3" footer="0.3"/>
  <pageSetup orientation="portrait" r:id="rId1"/>
  <customProperties>
    <customPr name="_pios_id" r:id="rId2"/>
  </customPropertie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48FE-4E52-4D36-A550-01D787415C78}">
  <sheetPr codeName="Sheet40"/>
  <dimension ref="A1:B19"/>
  <sheetViews>
    <sheetView workbookViewId="0">
      <selection activeCell="A10" sqref="A10"/>
    </sheetView>
  </sheetViews>
  <sheetFormatPr defaultRowHeight="15" x14ac:dyDescent="0.25"/>
  <cols>
    <col min="1" max="1" width="36.85546875" bestFit="1" customWidth="1"/>
    <col min="2" max="2" width="32.140625" customWidth="1"/>
  </cols>
  <sheetData>
    <row r="1" spans="1:2" x14ac:dyDescent="0.25">
      <c r="A1" s="831" t="s">
        <v>6474</v>
      </c>
      <c r="B1" s="831" t="s">
        <v>6475</v>
      </c>
    </row>
    <row r="2" spans="1:2" x14ac:dyDescent="0.25">
      <c r="A2" s="376" t="s">
        <v>262</v>
      </c>
      <c r="B2" s="376" t="s">
        <v>6476</v>
      </c>
    </row>
    <row r="3" spans="1:2" x14ac:dyDescent="0.25">
      <c r="A3" s="376" t="s">
        <v>167</v>
      </c>
      <c r="B3" s="376" t="s">
        <v>6477</v>
      </c>
    </row>
    <row r="4" spans="1:2" x14ac:dyDescent="0.25">
      <c r="A4" s="376" t="s">
        <v>214</v>
      </c>
      <c r="B4" s="376" t="s">
        <v>6478</v>
      </c>
    </row>
    <row r="5" spans="1:2" x14ac:dyDescent="0.25">
      <c r="A5" s="376" t="s">
        <v>279</v>
      </c>
      <c r="B5" s="376" t="s">
        <v>6479</v>
      </c>
    </row>
    <row r="6" spans="1:2" x14ac:dyDescent="0.25">
      <c r="A6" s="376" t="s">
        <v>220</v>
      </c>
      <c r="B6" s="376" t="s">
        <v>6480</v>
      </c>
    </row>
    <row r="7" spans="1:2" x14ac:dyDescent="0.25">
      <c r="A7" s="376" t="s">
        <v>227</v>
      </c>
      <c r="B7" s="376" t="s">
        <v>6481</v>
      </c>
    </row>
    <row r="8" spans="1:2" x14ac:dyDescent="0.25">
      <c r="A8" s="376" t="s">
        <v>186</v>
      </c>
      <c r="B8" s="376" t="s">
        <v>6482</v>
      </c>
    </row>
    <row r="9" spans="1:2" x14ac:dyDescent="0.25">
      <c r="A9" s="376" t="s">
        <v>217</v>
      </c>
      <c r="B9" s="376" t="s">
        <v>6483</v>
      </c>
    </row>
    <row r="10" spans="1:2" x14ac:dyDescent="0.25">
      <c r="A10" s="376" t="s">
        <v>287</v>
      </c>
      <c r="B10" s="376" t="s">
        <v>6484</v>
      </c>
    </row>
    <row r="11" spans="1:2" x14ac:dyDescent="0.25">
      <c r="A11" s="376"/>
      <c r="B11" s="376"/>
    </row>
    <row r="12" spans="1:2" x14ac:dyDescent="0.25">
      <c r="A12" s="376"/>
      <c r="B12" s="376"/>
    </row>
    <row r="13" spans="1:2" x14ac:dyDescent="0.25">
      <c r="A13" s="376"/>
      <c r="B13" s="376"/>
    </row>
    <row r="14" spans="1:2" x14ac:dyDescent="0.25">
      <c r="A14" s="376"/>
      <c r="B14" s="376"/>
    </row>
    <row r="15" spans="1:2" x14ac:dyDescent="0.25">
      <c r="A15" s="376"/>
      <c r="B15" s="376"/>
    </row>
    <row r="16" spans="1:2" x14ac:dyDescent="0.25">
      <c r="A16" s="376"/>
      <c r="B16" s="376"/>
    </row>
    <row r="17" spans="1:2" x14ac:dyDescent="0.25">
      <c r="A17" s="376"/>
      <c r="B17" s="376"/>
    </row>
    <row r="18" spans="1:2" x14ac:dyDescent="0.25">
      <c r="A18" s="376"/>
      <c r="B18" s="376"/>
    </row>
    <row r="19" spans="1:2" x14ac:dyDescent="0.25">
      <c r="A19" s="376"/>
      <c r="B19" s="376"/>
    </row>
  </sheetData>
  <sheetProtection algorithmName="SHA-512" hashValue="BfIJQ0kKRf9GmoRguTzMVarAYP6D2ttX9Q/24YTgqIBi6kKDf13fv8BPvef2M0LGwn1BgJtP8B4wlsy5fNjW8A==" saltValue="dZLhCZTgyLpHfOprVP+ynQ==" spinCount="100000" sheet="1" objects="1" scenarios="1"/>
  <pageMargins left="0.7" right="0.7" top="0.75" bottom="0.75" header="0.3" footer="0.3"/>
  <pageSetup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
  <dimension ref="A1:W14642"/>
  <sheetViews>
    <sheetView topLeftCell="A14160" zoomScale="70" zoomScaleNormal="70" workbookViewId="0">
      <selection activeCell="A14162" sqref="A14162:XFD14642"/>
    </sheetView>
  </sheetViews>
  <sheetFormatPr defaultColWidth="9.28515625" defaultRowHeight="18" customHeight="1" x14ac:dyDescent="0.25"/>
  <cols>
    <col min="1" max="1" width="38.7109375" style="400" customWidth="1"/>
    <col min="2" max="2" width="77.85546875" style="400" bestFit="1" customWidth="1"/>
    <col min="3" max="3" width="30.28515625" style="400" customWidth="1"/>
    <col min="4" max="4" width="46" style="400" customWidth="1"/>
    <col min="5" max="6" width="38.7109375" style="400" customWidth="1"/>
    <col min="7" max="7" width="30.28515625" style="400" customWidth="1"/>
    <col min="8" max="8" width="12.5703125" style="400" customWidth="1"/>
    <col min="9" max="10" width="9.28515625" style="400" customWidth="1"/>
    <col min="11" max="11" width="45.7109375" style="400" customWidth="1"/>
    <col min="12" max="18" width="9.28515625" style="400" customWidth="1"/>
    <col min="19" max="19" width="10.28515625" style="479" customWidth="1"/>
    <col min="20" max="20" width="42.42578125" style="479" customWidth="1"/>
    <col min="21" max="29" width="9.28515625" style="400"/>
    <col min="30" max="30" width="56" style="400" bestFit="1" customWidth="1"/>
    <col min="31" max="31" width="57.7109375" style="400" bestFit="1" customWidth="1"/>
    <col min="32" max="16384" width="9.28515625" style="400"/>
  </cols>
  <sheetData>
    <row r="1" spans="1:23" ht="15" x14ac:dyDescent="0.2">
      <c r="A1" s="400" t="s">
        <v>690</v>
      </c>
      <c r="B1" s="400" t="s">
        <v>692</v>
      </c>
      <c r="C1" s="400" t="s">
        <v>694</v>
      </c>
      <c r="D1" s="400" t="s">
        <v>3738</v>
      </c>
      <c r="E1" s="400" t="s">
        <v>698</v>
      </c>
      <c r="F1" s="400" t="s">
        <v>3739</v>
      </c>
      <c r="G1" s="293" t="s">
        <v>3740</v>
      </c>
      <c r="H1" s="400" t="s">
        <v>3741</v>
      </c>
      <c r="I1" s="400" t="s">
        <v>3742</v>
      </c>
      <c r="J1" s="400" t="s">
        <v>3743</v>
      </c>
      <c r="K1" s="400" t="s">
        <v>3744</v>
      </c>
      <c r="L1" s="400" t="s">
        <v>3745</v>
      </c>
      <c r="M1" s="400" t="s">
        <v>3746</v>
      </c>
      <c r="N1" s="400" t="s">
        <v>3747</v>
      </c>
      <c r="O1" s="400" t="s">
        <v>3748</v>
      </c>
      <c r="P1" s="400" t="s">
        <v>3749</v>
      </c>
      <c r="Q1" s="400" t="s">
        <v>3750</v>
      </c>
      <c r="R1" s="400" t="s">
        <v>3751</v>
      </c>
      <c r="S1" s="479" t="s">
        <v>3752</v>
      </c>
      <c r="T1" s="479" t="s">
        <v>968</v>
      </c>
      <c r="U1" s="400" t="s">
        <v>3753</v>
      </c>
      <c r="V1" s="400" t="s">
        <v>843</v>
      </c>
      <c r="W1" s="400" t="s">
        <v>3754</v>
      </c>
    </row>
    <row r="2" spans="1:23" customFormat="1" ht="23.25" x14ac:dyDescent="0.25">
      <c r="A2" t="s">
        <v>291</v>
      </c>
      <c r="C2" t="s">
        <v>3755</v>
      </c>
      <c r="E2" s="1550" t="s">
        <v>291</v>
      </c>
      <c r="F2" s="1550"/>
      <c r="G2" s="1550"/>
      <c r="H2" s="1550"/>
      <c r="I2" t="s">
        <v>94</v>
      </c>
      <c r="J2" t="s">
        <v>5057</v>
      </c>
      <c r="K2" t="s">
        <v>291</v>
      </c>
      <c r="M2">
        <v>9</v>
      </c>
      <c r="V2">
        <v>44</v>
      </c>
    </row>
    <row r="3" spans="1:23" customFormat="1" x14ac:dyDescent="0.25">
      <c r="A3" t="s">
        <v>291</v>
      </c>
      <c r="C3" t="s">
        <v>3757</v>
      </c>
      <c r="E3" s="1551" t="s">
        <v>944</v>
      </c>
      <c r="F3" s="1551"/>
      <c r="G3" s="1551"/>
      <c r="H3" s="1551"/>
      <c r="V3">
        <v>27</v>
      </c>
    </row>
    <row r="4" spans="1:23" customFormat="1" ht="15.75" x14ac:dyDescent="0.25">
      <c r="A4" t="s">
        <v>291</v>
      </c>
      <c r="C4" t="s">
        <v>3758</v>
      </c>
      <c r="E4" s="1543" t="s">
        <v>6511</v>
      </c>
      <c r="F4" s="1543"/>
      <c r="G4" s="1543"/>
      <c r="H4" s="1543"/>
      <c r="S4">
        <v>45658</v>
      </c>
      <c r="V4">
        <v>49</v>
      </c>
    </row>
    <row r="5" spans="1:23" customFormat="1" ht="15" x14ac:dyDescent="0.25">
      <c r="A5" t="s">
        <v>291</v>
      </c>
      <c r="C5" t="s">
        <v>3759</v>
      </c>
      <c r="E5" s="1544" t="s">
        <v>945</v>
      </c>
      <c r="F5" s="1544"/>
      <c r="G5" s="1544"/>
      <c r="H5" s="1544"/>
      <c r="V5">
        <v>52</v>
      </c>
    </row>
    <row r="6" spans="1:23" customFormat="1" ht="15" x14ac:dyDescent="0.25">
      <c r="A6" t="s">
        <v>291</v>
      </c>
      <c r="E6" s="1544" t="s">
        <v>946</v>
      </c>
      <c r="F6" s="1544"/>
      <c r="G6" s="1544"/>
      <c r="H6" s="1544"/>
      <c r="V6">
        <v>53</v>
      </c>
    </row>
    <row r="7" spans="1:23" customFormat="1" ht="15" x14ac:dyDescent="0.25">
      <c r="A7" t="s">
        <v>291</v>
      </c>
      <c r="E7" s="1513" t="s">
        <v>6512</v>
      </c>
      <c r="F7" s="1513"/>
      <c r="G7" s="1513"/>
      <c r="H7" s="1513"/>
      <c r="K7" t="s">
        <v>6512</v>
      </c>
      <c r="V7">
        <v>12</v>
      </c>
    </row>
    <row r="8" spans="1:23" customFormat="1" ht="15" x14ac:dyDescent="0.25">
      <c r="A8" t="s">
        <v>291</v>
      </c>
      <c r="E8" s="1492" t="s">
        <v>170</v>
      </c>
      <c r="F8" s="1516"/>
      <c r="G8" s="1516"/>
      <c r="H8" s="1516"/>
      <c r="K8" t="s">
        <v>947</v>
      </c>
      <c r="V8">
        <v>34</v>
      </c>
    </row>
    <row r="9" spans="1:23" customFormat="1" ht="15" x14ac:dyDescent="0.25">
      <c r="A9" t="s">
        <v>291</v>
      </c>
      <c r="E9" s="1507" t="s">
        <v>5058</v>
      </c>
      <c r="F9" s="1507"/>
      <c r="G9" s="1507"/>
      <c r="H9" s="1507"/>
      <c r="K9" t="s">
        <v>947</v>
      </c>
      <c r="V9">
        <v>733</v>
      </c>
    </row>
    <row r="10" spans="1:23" customFormat="1" ht="15" x14ac:dyDescent="0.25">
      <c r="A10" t="s">
        <v>291</v>
      </c>
      <c r="E10" s="1515" t="s">
        <v>950</v>
      </c>
      <c r="F10" s="1516"/>
      <c r="G10" s="1516"/>
      <c r="H10" s="1516"/>
      <c r="K10" t="s">
        <v>949</v>
      </c>
      <c r="V10">
        <v>11</v>
      </c>
    </row>
    <row r="11" spans="1:23" customFormat="1" ht="15" x14ac:dyDescent="0.25">
      <c r="A11" t="s">
        <v>291</v>
      </c>
      <c r="E11" s="1516" t="s">
        <v>951</v>
      </c>
      <c r="F11" s="1516"/>
      <c r="G11" s="1516"/>
      <c r="H11" s="1516"/>
      <c r="K11" t="s">
        <v>947</v>
      </c>
      <c r="V11">
        <v>280</v>
      </c>
    </row>
    <row r="12" spans="1:23" customFormat="1" ht="14.45" customHeight="1" x14ac:dyDescent="0.25">
      <c r="A12" t="s">
        <v>291</v>
      </c>
      <c r="E12" s="1516" t="s">
        <v>952</v>
      </c>
      <c r="F12" s="1516"/>
      <c r="G12" s="1516"/>
      <c r="H12" s="1516"/>
      <c r="K12" t="s">
        <v>947</v>
      </c>
      <c r="V12">
        <v>411</v>
      </c>
    </row>
    <row r="13" spans="1:23" customFormat="1" ht="15" x14ac:dyDescent="0.25">
      <c r="A13" t="s">
        <v>291</v>
      </c>
      <c r="E13" s="1516" t="s">
        <v>3770</v>
      </c>
      <c r="F13" s="1516"/>
      <c r="G13" s="1516"/>
      <c r="H13" s="1516"/>
      <c r="K13" t="s">
        <v>947</v>
      </c>
      <c r="V13">
        <v>385</v>
      </c>
    </row>
    <row r="14" spans="1:23" customFormat="1" ht="15" x14ac:dyDescent="0.25">
      <c r="A14" t="s">
        <v>291</v>
      </c>
      <c r="E14" s="1516" t="s">
        <v>4988</v>
      </c>
      <c r="F14" s="1516"/>
      <c r="G14" s="1516"/>
      <c r="H14" s="1516"/>
      <c r="K14" t="s">
        <v>947</v>
      </c>
      <c r="V14">
        <v>251</v>
      </c>
    </row>
    <row r="15" spans="1:23" customFormat="1" ht="15" x14ac:dyDescent="0.25">
      <c r="A15" t="s">
        <v>291</v>
      </c>
      <c r="E15" s="1515" t="s">
        <v>956</v>
      </c>
      <c r="F15" s="1516"/>
      <c r="G15" s="1516"/>
      <c r="H15" s="1516"/>
      <c r="K15" t="s">
        <v>955</v>
      </c>
      <c r="V15">
        <v>46</v>
      </c>
    </row>
    <row r="16" spans="1:23" customFormat="1" ht="15" x14ac:dyDescent="0.25">
      <c r="A16" t="s">
        <v>291</v>
      </c>
      <c r="E16" s="1507" t="s">
        <v>3773</v>
      </c>
      <c r="F16" s="1507"/>
      <c r="G16" s="584" t="s">
        <v>777</v>
      </c>
      <c r="H16" s="576">
        <v>34.520000000000003</v>
      </c>
      <c r="K16" t="s">
        <v>947</v>
      </c>
      <c r="L16" t="s">
        <v>690</v>
      </c>
      <c r="P16" t="s">
        <v>957</v>
      </c>
      <c r="V16">
        <v>14</v>
      </c>
    </row>
    <row r="17" spans="1:22" customFormat="1" ht="15" x14ac:dyDescent="0.25">
      <c r="A17" t="s">
        <v>291</v>
      </c>
      <c r="E17" s="1507" t="s">
        <v>960</v>
      </c>
      <c r="F17" s="1507"/>
      <c r="G17" s="584" t="s">
        <v>777</v>
      </c>
      <c r="H17" s="576">
        <v>0.42</v>
      </c>
      <c r="K17" t="s">
        <v>947</v>
      </c>
      <c r="L17" t="s">
        <v>692</v>
      </c>
      <c r="P17" t="s">
        <v>959</v>
      </c>
      <c r="V17">
        <v>64</v>
      </c>
    </row>
    <row r="18" spans="1:22" customFormat="1" ht="15" x14ac:dyDescent="0.25">
      <c r="A18" t="s">
        <v>291</v>
      </c>
      <c r="E18" s="1507" t="s">
        <v>910</v>
      </c>
      <c r="F18" s="1507"/>
      <c r="G18" s="584" t="s">
        <v>845</v>
      </c>
      <c r="H18" s="577">
        <v>4.0000000000000002E-4</v>
      </c>
      <c r="K18" t="s">
        <v>947</v>
      </c>
      <c r="L18" t="s">
        <v>692</v>
      </c>
      <c r="P18" t="s">
        <v>961</v>
      </c>
      <c r="V18">
        <v>24</v>
      </c>
    </row>
    <row r="19" spans="1:22" customFormat="1" ht="15" x14ac:dyDescent="0.25">
      <c r="A19" t="s">
        <v>291</v>
      </c>
      <c r="E19" s="1507" t="s">
        <v>243</v>
      </c>
      <c r="F19" s="1507"/>
      <c r="G19" s="584" t="s">
        <v>845</v>
      </c>
      <c r="H19" s="577">
        <v>1.3100000000000001E-2</v>
      </c>
      <c r="K19" t="s">
        <v>947</v>
      </c>
      <c r="L19" t="s">
        <v>694</v>
      </c>
      <c r="P19" t="s">
        <v>964</v>
      </c>
      <c r="V19">
        <v>47</v>
      </c>
    </row>
    <row r="20" spans="1:22" customFormat="1" ht="15" x14ac:dyDescent="0.25">
      <c r="A20" t="s">
        <v>291</v>
      </c>
      <c r="E20" s="1507" t="s">
        <v>175</v>
      </c>
      <c r="F20" s="1507"/>
      <c r="G20" s="584" t="s">
        <v>845</v>
      </c>
      <c r="H20" s="577">
        <v>7.9000000000000008E-3</v>
      </c>
      <c r="K20" t="s">
        <v>947</v>
      </c>
      <c r="L20" t="s">
        <v>694</v>
      </c>
      <c r="P20" t="s">
        <v>965</v>
      </c>
      <c r="V20">
        <v>74</v>
      </c>
    </row>
    <row r="21" spans="1:22" customFormat="1" ht="15" x14ac:dyDescent="0.25">
      <c r="A21" t="s">
        <v>291</v>
      </c>
      <c r="E21" s="1515" t="s">
        <v>967</v>
      </c>
      <c r="F21" s="1507"/>
      <c r="G21" s="584"/>
      <c r="H21" s="584"/>
      <c r="K21" t="s">
        <v>966</v>
      </c>
      <c r="V21">
        <v>48</v>
      </c>
    </row>
    <row r="22" spans="1:22" customFormat="1" ht="15" x14ac:dyDescent="0.25">
      <c r="A22" t="s">
        <v>291</v>
      </c>
      <c r="E22" s="1507" t="s">
        <v>844</v>
      </c>
      <c r="F22" s="1507"/>
      <c r="G22" s="584" t="s">
        <v>845</v>
      </c>
      <c r="H22" s="577">
        <v>4.1000000000000003E-3</v>
      </c>
      <c r="K22" t="s">
        <v>947</v>
      </c>
      <c r="L22" t="s">
        <v>968</v>
      </c>
      <c r="P22" t="s">
        <v>969</v>
      </c>
      <c r="V22">
        <v>55</v>
      </c>
    </row>
    <row r="23" spans="1:22" customFormat="1" ht="15" x14ac:dyDescent="0.25">
      <c r="A23" t="s">
        <v>291</v>
      </c>
      <c r="E23" s="1507" t="s">
        <v>846</v>
      </c>
      <c r="F23" s="1507"/>
      <c r="G23" s="584" t="s">
        <v>845</v>
      </c>
      <c r="H23" s="577">
        <v>4.0000000000000002E-4</v>
      </c>
      <c r="K23" t="s">
        <v>947</v>
      </c>
      <c r="L23" t="s">
        <v>968</v>
      </c>
      <c r="P23" t="s">
        <v>969</v>
      </c>
      <c r="V23">
        <v>65</v>
      </c>
    </row>
    <row r="24" spans="1:22" customFormat="1" ht="15" x14ac:dyDescent="0.25">
      <c r="A24" t="s">
        <v>291</v>
      </c>
      <c r="E24" s="1507" t="s">
        <v>847</v>
      </c>
      <c r="F24" s="1507"/>
      <c r="G24" s="584" t="s">
        <v>845</v>
      </c>
      <c r="H24" s="577">
        <v>1.5E-3</v>
      </c>
      <c r="K24" t="s">
        <v>947</v>
      </c>
      <c r="L24" t="s">
        <v>968</v>
      </c>
      <c r="P24" t="s">
        <v>970</v>
      </c>
      <c r="V24">
        <v>57</v>
      </c>
    </row>
    <row r="25" spans="1:22" customFormat="1" ht="15" x14ac:dyDescent="0.25">
      <c r="A25" t="s">
        <v>291</v>
      </c>
      <c r="E25" s="1507" t="s">
        <v>848</v>
      </c>
      <c r="F25" s="1507"/>
      <c r="G25" s="584" t="s">
        <v>777</v>
      </c>
      <c r="H25" s="576">
        <v>0.25</v>
      </c>
      <c r="K25" t="s">
        <v>947</v>
      </c>
      <c r="L25" t="s">
        <v>968</v>
      </c>
      <c r="P25" t="s">
        <v>971</v>
      </c>
      <c r="V25">
        <v>63</v>
      </c>
    </row>
    <row r="26" spans="1:22" customFormat="1" x14ac:dyDescent="0.25">
      <c r="A26" t="s">
        <v>291</v>
      </c>
      <c r="E26" s="1492" t="s">
        <v>174</v>
      </c>
      <c r="F26" s="1493"/>
      <c r="G26" s="1493"/>
      <c r="H26" s="1493"/>
      <c r="K26" t="s">
        <v>972</v>
      </c>
      <c r="V26">
        <v>54</v>
      </c>
    </row>
    <row r="27" spans="1:22" customFormat="1" ht="15" x14ac:dyDescent="0.25">
      <c r="A27" t="s">
        <v>291</v>
      </c>
      <c r="E27" s="1516" t="s">
        <v>5059</v>
      </c>
      <c r="F27" s="1516"/>
      <c r="G27" s="1516"/>
      <c r="H27" s="1516"/>
      <c r="K27" t="s">
        <v>972</v>
      </c>
      <c r="V27">
        <v>584</v>
      </c>
    </row>
    <row r="28" spans="1:22" customFormat="1" ht="15" x14ac:dyDescent="0.25">
      <c r="A28" t="s">
        <v>291</v>
      </c>
      <c r="E28" s="1515" t="s">
        <v>950</v>
      </c>
      <c r="F28" s="1516"/>
      <c r="G28" s="1516"/>
      <c r="H28" s="1516"/>
      <c r="K28" t="s">
        <v>974</v>
      </c>
      <c r="V28">
        <v>11</v>
      </c>
    </row>
    <row r="29" spans="1:22" customFormat="1" ht="15" x14ac:dyDescent="0.25">
      <c r="A29" t="s">
        <v>291</v>
      </c>
      <c r="E29" s="1516" t="s">
        <v>951</v>
      </c>
      <c r="F29" s="1516"/>
      <c r="G29" s="1516"/>
      <c r="H29" s="1516"/>
      <c r="K29" t="s">
        <v>972</v>
      </c>
      <c r="V29">
        <v>280</v>
      </c>
    </row>
    <row r="30" spans="1:22" customFormat="1" ht="15" x14ac:dyDescent="0.25">
      <c r="A30" t="s">
        <v>291</v>
      </c>
      <c r="E30" s="1516" t="s">
        <v>952</v>
      </c>
      <c r="F30" s="1516"/>
      <c r="G30" s="1516"/>
      <c r="H30" s="1516"/>
      <c r="K30" t="s">
        <v>972</v>
      </c>
      <c r="V30">
        <v>411</v>
      </c>
    </row>
    <row r="31" spans="1:22" customFormat="1" ht="15" x14ac:dyDescent="0.25">
      <c r="A31" t="s">
        <v>291</v>
      </c>
      <c r="E31" s="1516" t="s">
        <v>953</v>
      </c>
      <c r="F31" s="1516"/>
      <c r="G31" s="1516"/>
      <c r="H31" s="1516"/>
      <c r="K31" t="s">
        <v>972</v>
      </c>
      <c r="V31">
        <v>386</v>
      </c>
    </row>
    <row r="32" spans="1:22" customFormat="1" ht="15" x14ac:dyDescent="0.25">
      <c r="A32" t="s">
        <v>291</v>
      </c>
      <c r="E32" s="1516" t="s">
        <v>4988</v>
      </c>
      <c r="F32" s="1516"/>
      <c r="G32" s="1516"/>
      <c r="H32" s="1516"/>
      <c r="K32" t="s">
        <v>972</v>
      </c>
      <c r="V32">
        <v>251</v>
      </c>
    </row>
    <row r="33" spans="1:22" customFormat="1" ht="15" x14ac:dyDescent="0.25">
      <c r="A33" t="s">
        <v>291</v>
      </c>
      <c r="E33" s="1515" t="s">
        <v>956</v>
      </c>
      <c r="F33" s="1516"/>
      <c r="G33" s="1516"/>
      <c r="H33" s="1516"/>
      <c r="K33" t="s">
        <v>975</v>
      </c>
      <c r="V33">
        <v>46</v>
      </c>
    </row>
    <row r="34" spans="1:22" customFormat="1" ht="15" x14ac:dyDescent="0.25">
      <c r="A34" t="s">
        <v>291</v>
      </c>
      <c r="E34" s="1507" t="s">
        <v>3773</v>
      </c>
      <c r="F34" s="1507"/>
      <c r="G34" s="584" t="s">
        <v>777</v>
      </c>
      <c r="H34" s="576">
        <v>43.48</v>
      </c>
      <c r="K34" t="s">
        <v>972</v>
      </c>
      <c r="L34" t="s">
        <v>690</v>
      </c>
      <c r="P34" t="s">
        <v>976</v>
      </c>
      <c r="V34">
        <v>14</v>
      </c>
    </row>
    <row r="35" spans="1:22" customFormat="1" ht="15" x14ac:dyDescent="0.25">
      <c r="A35" t="s">
        <v>291</v>
      </c>
      <c r="E35" s="1507" t="s">
        <v>960</v>
      </c>
      <c r="F35" s="1507"/>
      <c r="G35" s="584" t="s">
        <v>777</v>
      </c>
      <c r="H35" s="576">
        <v>0.42</v>
      </c>
      <c r="K35" t="s">
        <v>972</v>
      </c>
      <c r="L35" t="s">
        <v>692</v>
      </c>
      <c r="P35" t="s">
        <v>977</v>
      </c>
      <c r="V35">
        <v>64</v>
      </c>
    </row>
    <row r="36" spans="1:22" customFormat="1" ht="15" x14ac:dyDescent="0.25">
      <c r="A36" t="s">
        <v>291</v>
      </c>
      <c r="E36" s="1507" t="s">
        <v>3688</v>
      </c>
      <c r="F36" s="1507"/>
      <c r="G36" s="584" t="s">
        <v>845</v>
      </c>
      <c r="H36" s="577">
        <v>1.9400000000000001E-2</v>
      </c>
      <c r="K36" t="s">
        <v>972</v>
      </c>
      <c r="L36" t="s">
        <v>690</v>
      </c>
      <c r="P36" t="s">
        <v>978</v>
      </c>
      <c r="V36">
        <v>28</v>
      </c>
    </row>
    <row r="37" spans="1:22" customFormat="1" ht="15" x14ac:dyDescent="0.25">
      <c r="A37" t="s">
        <v>291</v>
      </c>
      <c r="E37" s="1507" t="s">
        <v>910</v>
      </c>
      <c r="F37" s="1507"/>
      <c r="G37" s="584" t="s">
        <v>845</v>
      </c>
      <c r="H37" s="577">
        <v>2.9999999999999997E-4</v>
      </c>
      <c r="K37" t="s">
        <v>972</v>
      </c>
      <c r="L37" t="s">
        <v>692</v>
      </c>
      <c r="P37" t="s">
        <v>980</v>
      </c>
      <c r="V37">
        <v>24</v>
      </c>
    </row>
    <row r="38" spans="1:22" customFormat="1" ht="15" x14ac:dyDescent="0.25">
      <c r="A38" t="s">
        <v>291</v>
      </c>
      <c r="E38" s="1507" t="s">
        <v>6513</v>
      </c>
      <c r="F38" s="1507"/>
      <c r="G38" s="584" t="s">
        <v>845</v>
      </c>
      <c r="H38" s="577">
        <v>1E-3</v>
      </c>
      <c r="K38" t="s">
        <v>972</v>
      </c>
      <c r="L38" t="s">
        <v>690</v>
      </c>
      <c r="P38" t="s">
        <v>6514</v>
      </c>
      <c r="T38">
        <v>46022</v>
      </c>
      <c r="V38">
        <v>86</v>
      </c>
    </row>
    <row r="39" spans="1:22" customFormat="1" ht="15" x14ac:dyDescent="0.25">
      <c r="A39" t="s">
        <v>291</v>
      </c>
      <c r="E39" s="1507" t="s">
        <v>243</v>
      </c>
      <c r="F39" s="1507"/>
      <c r="G39" s="584" t="s">
        <v>845</v>
      </c>
      <c r="H39" s="577">
        <v>1.1900000000000001E-2</v>
      </c>
      <c r="K39" t="s">
        <v>972</v>
      </c>
      <c r="L39" t="s">
        <v>694</v>
      </c>
      <c r="P39" t="s">
        <v>983</v>
      </c>
      <c r="V39">
        <v>47</v>
      </c>
    </row>
    <row r="40" spans="1:22" customFormat="1" ht="15" x14ac:dyDescent="0.25">
      <c r="A40" t="s">
        <v>291</v>
      </c>
      <c r="E40" s="1507" t="s">
        <v>175</v>
      </c>
      <c r="F40" s="1507"/>
      <c r="G40" s="584" t="s">
        <v>845</v>
      </c>
      <c r="H40" s="577">
        <v>7.4000000000000003E-3</v>
      </c>
      <c r="K40" t="s">
        <v>972</v>
      </c>
      <c r="L40" t="s">
        <v>694</v>
      </c>
      <c r="P40" t="s">
        <v>984</v>
      </c>
      <c r="V40">
        <v>74</v>
      </c>
    </row>
    <row r="41" spans="1:22" customFormat="1" ht="15" x14ac:dyDescent="0.25">
      <c r="A41" t="s">
        <v>291</v>
      </c>
      <c r="E41" s="1515" t="s">
        <v>967</v>
      </c>
      <c r="F41" s="1507"/>
      <c r="G41" s="584"/>
      <c r="H41" s="584"/>
      <c r="K41" t="s">
        <v>985</v>
      </c>
      <c r="V41">
        <v>48</v>
      </c>
    </row>
    <row r="42" spans="1:22" customFormat="1" ht="15" x14ac:dyDescent="0.25">
      <c r="A42" t="s">
        <v>291</v>
      </c>
      <c r="E42" s="1507" t="s">
        <v>844</v>
      </c>
      <c r="F42" s="1507"/>
      <c r="G42" s="584" t="s">
        <v>845</v>
      </c>
      <c r="H42" s="577">
        <v>4.1000000000000003E-3</v>
      </c>
      <c r="K42" t="s">
        <v>972</v>
      </c>
      <c r="L42" t="s">
        <v>968</v>
      </c>
      <c r="P42" t="s">
        <v>986</v>
      </c>
      <c r="V42">
        <v>55</v>
      </c>
    </row>
    <row r="43" spans="1:22" customFormat="1" ht="15" x14ac:dyDescent="0.25">
      <c r="A43" t="s">
        <v>291</v>
      </c>
      <c r="E43" s="1507" t="s">
        <v>846</v>
      </c>
      <c r="F43" s="1507"/>
      <c r="G43" s="584" t="s">
        <v>845</v>
      </c>
      <c r="H43" s="577">
        <v>4.0000000000000002E-4</v>
      </c>
      <c r="K43" t="s">
        <v>972</v>
      </c>
      <c r="L43" t="s">
        <v>968</v>
      </c>
      <c r="P43" t="s">
        <v>986</v>
      </c>
      <c r="V43">
        <v>65</v>
      </c>
    </row>
    <row r="44" spans="1:22" customFormat="1" ht="15" x14ac:dyDescent="0.25">
      <c r="A44" t="s">
        <v>291</v>
      </c>
      <c r="E44" s="1507" t="s">
        <v>847</v>
      </c>
      <c r="F44" s="1507"/>
      <c r="G44" s="584" t="s">
        <v>845</v>
      </c>
      <c r="H44" s="577">
        <v>1.5E-3</v>
      </c>
      <c r="K44" t="s">
        <v>972</v>
      </c>
      <c r="L44" t="s">
        <v>968</v>
      </c>
      <c r="P44" t="s">
        <v>987</v>
      </c>
      <c r="V44">
        <v>57</v>
      </c>
    </row>
    <row r="45" spans="1:22" customFormat="1" ht="15" x14ac:dyDescent="0.25">
      <c r="A45" t="s">
        <v>291</v>
      </c>
      <c r="E45" s="1507" t="s">
        <v>848</v>
      </c>
      <c r="F45" s="1507"/>
      <c r="G45" s="584" t="s">
        <v>777</v>
      </c>
      <c r="H45" s="576">
        <v>0.25</v>
      </c>
      <c r="K45" t="s">
        <v>972</v>
      </c>
      <c r="L45" t="s">
        <v>968</v>
      </c>
      <c r="P45" t="s">
        <v>988</v>
      </c>
      <c r="V45">
        <v>63</v>
      </c>
    </row>
    <row r="46" spans="1:22" customFormat="1" x14ac:dyDescent="0.25">
      <c r="A46" t="s">
        <v>291</v>
      </c>
      <c r="E46" s="1492" t="s">
        <v>990</v>
      </c>
      <c r="F46" s="1493"/>
      <c r="G46" s="1493"/>
      <c r="H46" s="1493"/>
      <c r="K46" t="s">
        <v>989</v>
      </c>
      <c r="V46">
        <v>51</v>
      </c>
    </row>
    <row r="47" spans="1:22" customFormat="1" ht="15" x14ac:dyDescent="0.25">
      <c r="A47" t="s">
        <v>291</v>
      </c>
      <c r="E47" s="1516" t="s">
        <v>5060</v>
      </c>
      <c r="F47" s="1516"/>
      <c r="G47" s="1516"/>
      <c r="H47" s="1516"/>
      <c r="K47" t="s">
        <v>989</v>
      </c>
      <c r="V47">
        <v>565</v>
      </c>
    </row>
    <row r="48" spans="1:22" customFormat="1" ht="15" x14ac:dyDescent="0.25">
      <c r="A48" t="s">
        <v>291</v>
      </c>
      <c r="E48" s="1515" t="s">
        <v>950</v>
      </c>
      <c r="F48" s="1516"/>
      <c r="G48" s="1516"/>
      <c r="H48" s="1516"/>
      <c r="K48" t="s">
        <v>992</v>
      </c>
      <c r="V48">
        <v>11</v>
      </c>
    </row>
    <row r="49" spans="1:22" customFormat="1" ht="15" x14ac:dyDescent="0.25">
      <c r="A49" t="s">
        <v>291</v>
      </c>
      <c r="E49" s="1516" t="s">
        <v>951</v>
      </c>
      <c r="F49" s="1516"/>
      <c r="G49" s="1516"/>
      <c r="H49" s="1516"/>
      <c r="K49" t="s">
        <v>989</v>
      </c>
      <c r="V49">
        <v>280</v>
      </c>
    </row>
    <row r="50" spans="1:22" customFormat="1" ht="15" x14ac:dyDescent="0.25">
      <c r="A50" t="s">
        <v>291</v>
      </c>
      <c r="E50" s="1516" t="s">
        <v>952</v>
      </c>
      <c r="F50" s="1516"/>
      <c r="G50" s="1516"/>
      <c r="H50" s="1516"/>
      <c r="K50" t="s">
        <v>989</v>
      </c>
      <c r="V50">
        <v>411</v>
      </c>
    </row>
    <row r="51" spans="1:22" customFormat="1" ht="15" x14ac:dyDescent="0.25">
      <c r="A51" t="s">
        <v>291</v>
      </c>
      <c r="E51" s="1516" t="s">
        <v>953</v>
      </c>
      <c r="F51" s="1516"/>
      <c r="G51" s="1516"/>
      <c r="H51" s="1516"/>
      <c r="K51" t="s">
        <v>989</v>
      </c>
      <c r="V51">
        <v>386</v>
      </c>
    </row>
    <row r="52" spans="1:22" customFormat="1" ht="15" x14ac:dyDescent="0.25">
      <c r="A52" t="s">
        <v>291</v>
      </c>
      <c r="E52" s="1516" t="s">
        <v>3771</v>
      </c>
      <c r="F52" s="1516"/>
      <c r="G52" s="1516"/>
      <c r="H52" s="1516"/>
      <c r="K52" t="s">
        <v>989</v>
      </c>
      <c r="V52">
        <v>677</v>
      </c>
    </row>
    <row r="53" spans="1:22" customFormat="1" ht="15" x14ac:dyDescent="0.25">
      <c r="A53" t="s">
        <v>291</v>
      </c>
      <c r="E53" s="1516" t="s">
        <v>3772</v>
      </c>
      <c r="F53" s="1516"/>
      <c r="G53" s="1516"/>
      <c r="H53" s="1516"/>
      <c r="K53" t="s">
        <v>989</v>
      </c>
      <c r="V53">
        <v>693</v>
      </c>
    </row>
    <row r="54" spans="1:22" customFormat="1" ht="15" x14ac:dyDescent="0.25">
      <c r="A54" t="s">
        <v>291</v>
      </c>
      <c r="E54" s="1516" t="s">
        <v>4988</v>
      </c>
      <c r="F54" s="1516"/>
      <c r="G54" s="1516"/>
      <c r="H54" s="1516"/>
      <c r="K54" t="s">
        <v>989</v>
      </c>
      <c r="V54">
        <v>251</v>
      </c>
    </row>
    <row r="55" spans="1:22" customFormat="1" ht="15" x14ac:dyDescent="0.25">
      <c r="A55" t="s">
        <v>291</v>
      </c>
      <c r="E55" s="1515" t="s">
        <v>956</v>
      </c>
      <c r="F55" s="1516"/>
      <c r="G55" s="1516"/>
      <c r="H55" s="1516"/>
      <c r="K55" t="s">
        <v>995</v>
      </c>
      <c r="V55">
        <v>46</v>
      </c>
    </row>
    <row r="56" spans="1:22" customFormat="1" ht="15" x14ac:dyDescent="0.25">
      <c r="A56" t="s">
        <v>291</v>
      </c>
      <c r="E56" s="1507" t="s">
        <v>3773</v>
      </c>
      <c r="F56" s="1507"/>
      <c r="G56" s="584" t="s">
        <v>777</v>
      </c>
      <c r="H56" s="576">
        <v>148.38</v>
      </c>
      <c r="K56" t="s">
        <v>989</v>
      </c>
      <c r="L56" t="s">
        <v>690</v>
      </c>
      <c r="P56" t="s">
        <v>996</v>
      </c>
      <c r="V56">
        <v>14</v>
      </c>
    </row>
    <row r="57" spans="1:22" customFormat="1" ht="15" x14ac:dyDescent="0.25">
      <c r="A57" t="s">
        <v>291</v>
      </c>
      <c r="E57" s="1507" t="s">
        <v>3688</v>
      </c>
      <c r="F57" s="1507"/>
      <c r="G57" s="584" t="s">
        <v>3775</v>
      </c>
      <c r="H57" s="577">
        <v>5.8015999999999996</v>
      </c>
      <c r="K57" t="s">
        <v>989</v>
      </c>
      <c r="L57" t="s">
        <v>690</v>
      </c>
      <c r="P57" t="s">
        <v>997</v>
      </c>
      <c r="V57">
        <v>28</v>
      </c>
    </row>
    <row r="58" spans="1:22" customFormat="1" ht="15" x14ac:dyDescent="0.25">
      <c r="A58" t="s">
        <v>291</v>
      </c>
      <c r="E58" s="1507" t="s">
        <v>910</v>
      </c>
      <c r="F58" s="1507"/>
      <c r="G58" s="584" t="s">
        <v>3775</v>
      </c>
      <c r="H58" s="577">
        <v>0.1313</v>
      </c>
      <c r="K58" t="s">
        <v>989</v>
      </c>
      <c r="L58" t="s">
        <v>692</v>
      </c>
      <c r="P58" t="s">
        <v>998</v>
      </c>
      <c r="V58">
        <v>24</v>
      </c>
    </row>
    <row r="59" spans="1:22" customFormat="1" ht="15" x14ac:dyDescent="0.25">
      <c r="A59" t="s">
        <v>291</v>
      </c>
      <c r="E59" s="1507" t="s">
        <v>6513</v>
      </c>
      <c r="F59" s="1507"/>
      <c r="G59" s="584" t="s">
        <v>3775</v>
      </c>
      <c r="H59" s="577">
        <v>8.7900000000000006E-2</v>
      </c>
      <c r="K59" t="s">
        <v>989</v>
      </c>
      <c r="L59" t="s">
        <v>690</v>
      </c>
      <c r="P59" t="s">
        <v>6515</v>
      </c>
      <c r="T59">
        <v>46022</v>
      </c>
      <c r="V59">
        <v>86</v>
      </c>
    </row>
    <row r="60" spans="1:22" customFormat="1" ht="15" x14ac:dyDescent="0.25">
      <c r="A60" t="s">
        <v>291</v>
      </c>
      <c r="E60" s="1507" t="s">
        <v>251</v>
      </c>
      <c r="F60" s="1507"/>
      <c r="G60" s="584" t="s">
        <v>3775</v>
      </c>
      <c r="H60" s="577">
        <v>4.6512000000000002</v>
      </c>
      <c r="K60" t="s">
        <v>989</v>
      </c>
      <c r="L60" t="s">
        <v>694</v>
      </c>
      <c r="P60" t="s">
        <v>1001</v>
      </c>
      <c r="V60">
        <v>66</v>
      </c>
    </row>
    <row r="61" spans="1:22" customFormat="1" ht="15" x14ac:dyDescent="0.25">
      <c r="A61" t="s">
        <v>291</v>
      </c>
      <c r="E61" s="1507" t="s">
        <v>185</v>
      </c>
      <c r="F61" s="1507"/>
      <c r="G61" s="584" t="s">
        <v>3775</v>
      </c>
      <c r="H61" s="577">
        <v>2.8319999999999999</v>
      </c>
      <c r="K61" t="s">
        <v>989</v>
      </c>
      <c r="L61" t="s">
        <v>694</v>
      </c>
      <c r="P61" t="s">
        <v>1002</v>
      </c>
      <c r="V61">
        <v>93</v>
      </c>
    </row>
    <row r="62" spans="1:22" customFormat="1" ht="15" x14ac:dyDescent="0.25">
      <c r="A62" t="s">
        <v>291</v>
      </c>
      <c r="E62" s="1515" t="s">
        <v>967</v>
      </c>
      <c r="F62" s="1507"/>
      <c r="G62" s="584"/>
      <c r="H62" s="584"/>
      <c r="K62" t="s">
        <v>1003</v>
      </c>
      <c r="V62">
        <v>48</v>
      </c>
    </row>
    <row r="63" spans="1:22" customFormat="1" ht="15" x14ac:dyDescent="0.25">
      <c r="A63" t="s">
        <v>291</v>
      </c>
      <c r="E63" s="1507" t="s">
        <v>844</v>
      </c>
      <c r="F63" s="1507"/>
      <c r="G63" s="584" t="s">
        <v>845</v>
      </c>
      <c r="H63" s="577">
        <v>4.1000000000000003E-3</v>
      </c>
      <c r="K63" t="s">
        <v>989</v>
      </c>
      <c r="L63" t="s">
        <v>968</v>
      </c>
      <c r="P63" t="s">
        <v>1004</v>
      </c>
      <c r="V63">
        <v>55</v>
      </c>
    </row>
    <row r="64" spans="1:22" customFormat="1" ht="15" x14ac:dyDescent="0.25">
      <c r="A64" t="s">
        <v>291</v>
      </c>
      <c r="E64" s="1507" t="s">
        <v>846</v>
      </c>
      <c r="F64" s="1507"/>
      <c r="G64" s="584" t="s">
        <v>845</v>
      </c>
      <c r="H64" s="577">
        <v>4.0000000000000002E-4</v>
      </c>
      <c r="K64" t="s">
        <v>989</v>
      </c>
      <c r="L64" t="s">
        <v>968</v>
      </c>
      <c r="P64" t="s">
        <v>1004</v>
      </c>
      <c r="V64">
        <v>65</v>
      </c>
    </row>
    <row r="65" spans="1:22" customFormat="1" ht="15" x14ac:dyDescent="0.25">
      <c r="A65" t="s">
        <v>291</v>
      </c>
      <c r="E65" s="1507" t="s">
        <v>847</v>
      </c>
      <c r="F65" s="1507"/>
      <c r="G65" s="584" t="s">
        <v>845</v>
      </c>
      <c r="H65" s="577">
        <v>1.5E-3</v>
      </c>
      <c r="K65" t="s">
        <v>989</v>
      </c>
      <c r="L65" t="s">
        <v>968</v>
      </c>
      <c r="P65" t="s">
        <v>1005</v>
      </c>
      <c r="V65">
        <v>57</v>
      </c>
    </row>
    <row r="66" spans="1:22" customFormat="1" ht="15" x14ac:dyDescent="0.25">
      <c r="A66" t="s">
        <v>291</v>
      </c>
      <c r="E66" s="1507" t="s">
        <v>848</v>
      </c>
      <c r="F66" s="1507"/>
      <c r="G66" s="584" t="s">
        <v>777</v>
      </c>
      <c r="H66" s="576">
        <v>0.25</v>
      </c>
      <c r="K66" t="s">
        <v>989</v>
      </c>
      <c r="L66" t="s">
        <v>968</v>
      </c>
      <c r="P66" t="s">
        <v>1006</v>
      </c>
      <c r="V66">
        <v>63</v>
      </c>
    </row>
    <row r="67" spans="1:22" customFormat="1" x14ac:dyDescent="0.25">
      <c r="A67" t="s">
        <v>291</v>
      </c>
      <c r="E67" s="1492" t="s">
        <v>5061</v>
      </c>
      <c r="F67" s="1493"/>
      <c r="G67" s="1493"/>
      <c r="H67" s="1493"/>
      <c r="K67" t="s">
        <v>5062</v>
      </c>
      <c r="V67">
        <v>59</v>
      </c>
    </row>
    <row r="68" spans="1:22" customFormat="1" ht="15" x14ac:dyDescent="0.25">
      <c r="A68" t="s">
        <v>291</v>
      </c>
      <c r="E68" s="1516" t="s">
        <v>5063</v>
      </c>
      <c r="F68" s="1516"/>
      <c r="G68" s="1516"/>
      <c r="H68" s="1516"/>
      <c r="K68" t="s">
        <v>5062</v>
      </c>
      <c r="V68">
        <v>532</v>
      </c>
    </row>
    <row r="69" spans="1:22" customFormat="1" ht="15" x14ac:dyDescent="0.25">
      <c r="A69" t="s">
        <v>291</v>
      </c>
      <c r="E69" s="1515" t="s">
        <v>950</v>
      </c>
      <c r="F69" s="1516"/>
      <c r="G69" s="1516"/>
      <c r="H69" s="1516"/>
      <c r="K69" t="s">
        <v>1010</v>
      </c>
      <c r="V69">
        <v>11</v>
      </c>
    </row>
    <row r="70" spans="1:22" customFormat="1" ht="15" x14ac:dyDescent="0.25">
      <c r="A70" t="s">
        <v>291</v>
      </c>
      <c r="E70" s="1516" t="s">
        <v>951</v>
      </c>
      <c r="F70" s="1516"/>
      <c r="G70" s="1516"/>
      <c r="H70" s="1516"/>
      <c r="K70" t="s">
        <v>5062</v>
      </c>
      <c r="V70">
        <v>280</v>
      </c>
    </row>
    <row r="71" spans="1:22" customFormat="1" ht="15" x14ac:dyDescent="0.25">
      <c r="A71" t="s">
        <v>291</v>
      </c>
      <c r="E71" s="1516" t="s">
        <v>952</v>
      </c>
      <c r="F71" s="1516"/>
      <c r="G71" s="1516"/>
      <c r="H71" s="1516"/>
      <c r="K71" t="s">
        <v>5062</v>
      </c>
      <c r="V71">
        <v>411</v>
      </c>
    </row>
    <row r="72" spans="1:22" customFormat="1" ht="15" x14ac:dyDescent="0.25">
      <c r="A72" t="s">
        <v>291</v>
      </c>
      <c r="E72" s="1516" t="s">
        <v>953</v>
      </c>
      <c r="F72" s="1516"/>
      <c r="G72" s="1516"/>
      <c r="H72" s="1516"/>
      <c r="K72" t="s">
        <v>5062</v>
      </c>
      <c r="V72">
        <v>386</v>
      </c>
    </row>
    <row r="73" spans="1:22" customFormat="1" ht="15" x14ac:dyDescent="0.25">
      <c r="A73" t="s">
        <v>291</v>
      </c>
      <c r="E73" s="1516" t="s">
        <v>3771</v>
      </c>
      <c r="F73" s="1516"/>
      <c r="G73" s="1516"/>
      <c r="H73" s="1516"/>
      <c r="K73" t="s">
        <v>5062</v>
      </c>
      <c r="V73">
        <v>677</v>
      </c>
    </row>
    <row r="74" spans="1:22" customFormat="1" ht="15" x14ac:dyDescent="0.25">
      <c r="A74" t="s">
        <v>291</v>
      </c>
      <c r="E74" s="1516" t="s">
        <v>3772</v>
      </c>
      <c r="F74" s="1516"/>
      <c r="G74" s="1516"/>
      <c r="H74" s="1516"/>
      <c r="K74" t="s">
        <v>5062</v>
      </c>
      <c r="V74">
        <v>693</v>
      </c>
    </row>
    <row r="75" spans="1:22" customFormat="1" ht="15" x14ac:dyDescent="0.25">
      <c r="A75" t="s">
        <v>291</v>
      </c>
      <c r="E75" s="1516" t="s">
        <v>4988</v>
      </c>
      <c r="F75" s="1516"/>
      <c r="G75" s="1516"/>
      <c r="H75" s="1516"/>
      <c r="K75" t="s">
        <v>5062</v>
      </c>
      <c r="V75">
        <v>251</v>
      </c>
    </row>
    <row r="76" spans="1:22" customFormat="1" ht="15" x14ac:dyDescent="0.25">
      <c r="A76" t="s">
        <v>291</v>
      </c>
      <c r="E76" s="1515" t="s">
        <v>956</v>
      </c>
      <c r="F76" s="1516"/>
      <c r="G76" s="1516"/>
      <c r="H76" s="1516"/>
      <c r="K76" t="s">
        <v>1011</v>
      </c>
      <c r="V76">
        <v>46</v>
      </c>
    </row>
    <row r="77" spans="1:22" customFormat="1" ht="15" x14ac:dyDescent="0.25">
      <c r="A77" t="s">
        <v>291</v>
      </c>
      <c r="E77" s="1507" t="s">
        <v>3773</v>
      </c>
      <c r="F77" s="1507"/>
      <c r="G77" s="584" t="s">
        <v>777</v>
      </c>
      <c r="H77" s="576">
        <v>4258.3599999999997</v>
      </c>
      <c r="K77" t="s">
        <v>5062</v>
      </c>
      <c r="L77" t="s">
        <v>690</v>
      </c>
      <c r="P77" t="s">
        <v>5064</v>
      </c>
      <c r="V77">
        <v>14</v>
      </c>
    </row>
    <row r="78" spans="1:22" customFormat="1" ht="15" x14ac:dyDescent="0.25">
      <c r="A78" t="s">
        <v>291</v>
      </c>
      <c r="E78" s="1507" t="s">
        <v>3688</v>
      </c>
      <c r="F78" s="1507"/>
      <c r="G78" s="584" t="s">
        <v>3775</v>
      </c>
      <c r="H78" s="577">
        <v>3.3673999999999999</v>
      </c>
      <c r="K78" t="s">
        <v>5062</v>
      </c>
      <c r="L78" t="s">
        <v>690</v>
      </c>
      <c r="P78" t="s">
        <v>5065</v>
      </c>
      <c r="V78">
        <v>28</v>
      </c>
    </row>
    <row r="79" spans="1:22" customFormat="1" ht="15" x14ac:dyDescent="0.25">
      <c r="A79" t="s">
        <v>291</v>
      </c>
      <c r="E79" s="1507" t="s">
        <v>910</v>
      </c>
      <c r="F79" s="1507"/>
      <c r="G79" s="584" t="s">
        <v>3775</v>
      </c>
      <c r="H79" s="577">
        <v>0.1313</v>
      </c>
      <c r="K79" t="s">
        <v>5062</v>
      </c>
      <c r="L79" t="s">
        <v>692</v>
      </c>
      <c r="P79" t="s">
        <v>5066</v>
      </c>
      <c r="V79">
        <v>24</v>
      </c>
    </row>
    <row r="80" spans="1:22" customFormat="1" ht="15" x14ac:dyDescent="0.25">
      <c r="A80" t="s">
        <v>291</v>
      </c>
      <c r="E80" s="1507" t="s">
        <v>6513</v>
      </c>
      <c r="F80" s="1507"/>
      <c r="G80" s="584" t="s">
        <v>3775</v>
      </c>
      <c r="H80" s="577">
        <v>7.4700000000000003E-2</v>
      </c>
      <c r="K80" t="s">
        <v>5062</v>
      </c>
      <c r="L80" t="s">
        <v>690</v>
      </c>
      <c r="P80" t="s">
        <v>6516</v>
      </c>
      <c r="T80">
        <v>46022</v>
      </c>
      <c r="V80">
        <v>86</v>
      </c>
    </row>
    <row r="81" spans="1:22" customFormat="1" ht="15" x14ac:dyDescent="0.25">
      <c r="A81" t="s">
        <v>291</v>
      </c>
      <c r="E81" s="1507" t="s">
        <v>251</v>
      </c>
      <c r="F81" s="1507"/>
      <c r="G81" s="584" t="s">
        <v>3775</v>
      </c>
      <c r="H81" s="577">
        <v>4.6512000000000002</v>
      </c>
      <c r="K81" t="s">
        <v>5062</v>
      </c>
      <c r="L81" t="s">
        <v>694</v>
      </c>
      <c r="P81" t="s">
        <v>5067</v>
      </c>
      <c r="V81">
        <v>66</v>
      </c>
    </row>
    <row r="82" spans="1:22" customFormat="1" ht="15" x14ac:dyDescent="0.25">
      <c r="A82" t="s">
        <v>291</v>
      </c>
      <c r="E82" s="1507" t="s">
        <v>185</v>
      </c>
      <c r="F82" s="1507"/>
      <c r="G82" s="584" t="s">
        <v>3775</v>
      </c>
      <c r="H82" s="577">
        <v>2.8319999999999999</v>
      </c>
      <c r="K82" t="s">
        <v>5062</v>
      </c>
      <c r="L82" t="s">
        <v>694</v>
      </c>
      <c r="P82" t="s">
        <v>5068</v>
      </c>
      <c r="V82">
        <v>93</v>
      </c>
    </row>
    <row r="83" spans="1:22" customFormat="1" ht="15" x14ac:dyDescent="0.25">
      <c r="A83" t="s">
        <v>291</v>
      </c>
      <c r="E83" s="1515" t="s">
        <v>967</v>
      </c>
      <c r="F83" s="1507"/>
      <c r="G83" s="584"/>
      <c r="H83" s="584"/>
      <c r="K83" t="s">
        <v>1019</v>
      </c>
      <c r="V83">
        <v>48</v>
      </c>
    </row>
    <row r="84" spans="1:22" customFormat="1" ht="15" x14ac:dyDescent="0.25">
      <c r="A84" t="s">
        <v>291</v>
      </c>
      <c r="E84" s="1507" t="s">
        <v>844</v>
      </c>
      <c r="F84" s="1507"/>
      <c r="G84" s="584" t="s">
        <v>845</v>
      </c>
      <c r="H84" s="577">
        <v>4.1000000000000003E-3</v>
      </c>
      <c r="K84" t="s">
        <v>5062</v>
      </c>
      <c r="L84" t="s">
        <v>968</v>
      </c>
      <c r="P84" t="s">
        <v>5069</v>
      </c>
      <c r="V84">
        <v>55</v>
      </c>
    </row>
    <row r="85" spans="1:22" customFormat="1" ht="15" x14ac:dyDescent="0.25">
      <c r="A85" t="s">
        <v>291</v>
      </c>
      <c r="E85" s="1507" t="s">
        <v>846</v>
      </c>
      <c r="F85" s="1507"/>
      <c r="G85" s="584" t="s">
        <v>845</v>
      </c>
      <c r="H85" s="577">
        <v>4.0000000000000002E-4</v>
      </c>
      <c r="K85" t="s">
        <v>5062</v>
      </c>
      <c r="L85" t="s">
        <v>968</v>
      </c>
      <c r="P85" t="s">
        <v>5069</v>
      </c>
      <c r="V85">
        <v>65</v>
      </c>
    </row>
    <row r="86" spans="1:22" customFormat="1" ht="15" x14ac:dyDescent="0.25">
      <c r="A86" t="s">
        <v>291</v>
      </c>
      <c r="E86" s="1507" t="s">
        <v>847</v>
      </c>
      <c r="F86" s="1507"/>
      <c r="G86" s="584" t="s">
        <v>845</v>
      </c>
      <c r="H86" s="577">
        <v>1.5E-3</v>
      </c>
      <c r="K86" t="s">
        <v>5062</v>
      </c>
      <c r="L86" t="s">
        <v>968</v>
      </c>
      <c r="P86" t="s">
        <v>5070</v>
      </c>
      <c r="V86">
        <v>57</v>
      </c>
    </row>
    <row r="87" spans="1:22" customFormat="1" ht="15" x14ac:dyDescent="0.25">
      <c r="A87" t="s">
        <v>291</v>
      </c>
      <c r="E87" s="1507" t="s">
        <v>848</v>
      </c>
      <c r="F87" s="1507"/>
      <c r="G87" s="584" t="s">
        <v>777</v>
      </c>
      <c r="H87" s="576">
        <v>0.25</v>
      </c>
      <c r="K87" t="s">
        <v>5062</v>
      </c>
      <c r="L87" t="s">
        <v>968</v>
      </c>
      <c r="P87" t="s">
        <v>5071</v>
      </c>
      <c r="V87">
        <v>63</v>
      </c>
    </row>
    <row r="88" spans="1:22" customFormat="1" x14ac:dyDescent="0.25">
      <c r="A88" t="s">
        <v>291</v>
      </c>
      <c r="E88" s="1492" t="s">
        <v>194</v>
      </c>
      <c r="F88" s="1493"/>
      <c r="G88" s="1493"/>
      <c r="H88" s="1493"/>
      <c r="K88" t="s">
        <v>1023</v>
      </c>
      <c r="V88">
        <v>47</v>
      </c>
    </row>
    <row r="89" spans="1:22" customFormat="1" ht="15" x14ac:dyDescent="0.25">
      <c r="A89" t="s">
        <v>291</v>
      </c>
      <c r="E89" s="1516" t="s">
        <v>5072</v>
      </c>
      <c r="F89" s="1516"/>
      <c r="G89" s="1516"/>
      <c r="H89" s="1516"/>
      <c r="K89" t="s">
        <v>1023</v>
      </c>
      <c r="V89">
        <v>758</v>
      </c>
    </row>
    <row r="90" spans="1:22" customFormat="1" ht="15" x14ac:dyDescent="0.25">
      <c r="A90" t="s">
        <v>291</v>
      </c>
      <c r="E90" s="1515" t="s">
        <v>950</v>
      </c>
      <c r="F90" s="1516"/>
      <c r="G90" s="1516"/>
      <c r="H90" s="1516"/>
      <c r="K90" t="s">
        <v>1025</v>
      </c>
      <c r="V90">
        <v>11</v>
      </c>
    </row>
    <row r="91" spans="1:22" customFormat="1" ht="15" x14ac:dyDescent="0.25">
      <c r="A91" t="s">
        <v>291</v>
      </c>
      <c r="E91" s="1516" t="s">
        <v>951</v>
      </c>
      <c r="F91" s="1516"/>
      <c r="G91" s="1516"/>
      <c r="H91" s="1516"/>
      <c r="K91" t="s">
        <v>1023</v>
      </c>
      <c r="V91">
        <v>280</v>
      </c>
    </row>
    <row r="92" spans="1:22" customFormat="1" ht="15" x14ac:dyDescent="0.25">
      <c r="A92" t="s">
        <v>291</v>
      </c>
      <c r="E92" s="1516" t="s">
        <v>952</v>
      </c>
      <c r="F92" s="1516"/>
      <c r="G92" s="1516"/>
      <c r="H92" s="1516"/>
      <c r="K92" t="s">
        <v>1023</v>
      </c>
      <c r="V92">
        <v>411</v>
      </c>
    </row>
    <row r="93" spans="1:22" customFormat="1" ht="15" x14ac:dyDescent="0.25">
      <c r="A93" t="s">
        <v>291</v>
      </c>
      <c r="E93" s="1516" t="s">
        <v>953</v>
      </c>
      <c r="F93" s="1516"/>
      <c r="G93" s="1516"/>
      <c r="H93" s="1516"/>
      <c r="K93" t="s">
        <v>1023</v>
      </c>
      <c r="V93">
        <v>386</v>
      </c>
    </row>
    <row r="94" spans="1:22" customFormat="1" ht="15" x14ac:dyDescent="0.25">
      <c r="A94" t="s">
        <v>291</v>
      </c>
      <c r="E94" s="1516" t="s">
        <v>4988</v>
      </c>
      <c r="F94" s="1516"/>
      <c r="G94" s="1516"/>
      <c r="H94" s="1516"/>
      <c r="K94" t="s">
        <v>1023</v>
      </c>
      <c r="V94">
        <v>251</v>
      </c>
    </row>
    <row r="95" spans="1:22" customFormat="1" ht="15" x14ac:dyDescent="0.25">
      <c r="A95" t="s">
        <v>291</v>
      </c>
      <c r="E95" s="1515" t="s">
        <v>956</v>
      </c>
      <c r="F95" s="1516"/>
      <c r="G95" s="1516"/>
      <c r="H95" s="1516"/>
      <c r="K95" t="s">
        <v>1026</v>
      </c>
      <c r="V95">
        <v>46</v>
      </c>
    </row>
    <row r="96" spans="1:22" customFormat="1" ht="15" x14ac:dyDescent="0.25">
      <c r="A96" t="s">
        <v>291</v>
      </c>
      <c r="E96" s="1507" t="s">
        <v>3874</v>
      </c>
      <c r="F96" s="1507"/>
      <c r="G96" s="584" t="s">
        <v>777</v>
      </c>
      <c r="H96" s="576">
        <v>12.29</v>
      </c>
      <c r="K96" t="s">
        <v>1023</v>
      </c>
      <c r="L96" t="s">
        <v>690</v>
      </c>
      <c r="P96" t="s">
        <v>1027</v>
      </c>
      <c r="V96">
        <v>31</v>
      </c>
    </row>
    <row r="97" spans="1:22" customFormat="1" ht="15" x14ac:dyDescent="0.25">
      <c r="A97" t="s">
        <v>291</v>
      </c>
      <c r="E97" s="1507" t="s">
        <v>3688</v>
      </c>
      <c r="F97" s="1507"/>
      <c r="G97" s="584" t="s">
        <v>845</v>
      </c>
      <c r="H97" s="577">
        <v>1.17E-2</v>
      </c>
      <c r="K97" t="s">
        <v>1023</v>
      </c>
      <c r="L97" t="s">
        <v>690</v>
      </c>
      <c r="P97" t="s">
        <v>1029</v>
      </c>
      <c r="V97">
        <v>28</v>
      </c>
    </row>
    <row r="98" spans="1:22" customFormat="1" ht="15" x14ac:dyDescent="0.25">
      <c r="A98" t="s">
        <v>291</v>
      </c>
      <c r="E98" s="1507" t="s">
        <v>910</v>
      </c>
      <c r="F98" s="1507"/>
      <c r="G98" s="584" t="s">
        <v>845</v>
      </c>
      <c r="H98" s="577">
        <v>2.9999999999999997E-4</v>
      </c>
      <c r="K98" t="s">
        <v>1023</v>
      </c>
      <c r="L98" t="s">
        <v>692</v>
      </c>
      <c r="P98" t="s">
        <v>1030</v>
      </c>
      <c r="V98">
        <v>24</v>
      </c>
    </row>
    <row r="99" spans="1:22" customFormat="1" ht="15" x14ac:dyDescent="0.25">
      <c r="A99" t="s">
        <v>291</v>
      </c>
      <c r="E99" s="1507" t="s">
        <v>243</v>
      </c>
      <c r="F99" s="1507"/>
      <c r="G99" s="584" t="s">
        <v>845</v>
      </c>
      <c r="H99" s="577">
        <v>1.1900000000000001E-2</v>
      </c>
      <c r="K99" t="s">
        <v>1023</v>
      </c>
      <c r="L99" t="s">
        <v>694</v>
      </c>
      <c r="P99" t="s">
        <v>1033</v>
      </c>
      <c r="V99">
        <v>47</v>
      </c>
    </row>
    <row r="100" spans="1:22" customFormat="1" ht="15" x14ac:dyDescent="0.25">
      <c r="A100" t="s">
        <v>291</v>
      </c>
      <c r="E100" s="1507" t="s">
        <v>175</v>
      </c>
      <c r="F100" s="1507"/>
      <c r="G100" s="584" t="s">
        <v>845</v>
      </c>
      <c r="H100" s="577">
        <v>7.4000000000000003E-3</v>
      </c>
      <c r="K100" t="s">
        <v>1023</v>
      </c>
      <c r="L100" t="s">
        <v>694</v>
      </c>
      <c r="P100" t="s">
        <v>1034</v>
      </c>
      <c r="V100">
        <v>74</v>
      </c>
    </row>
    <row r="101" spans="1:22" customFormat="1" ht="15" x14ac:dyDescent="0.25">
      <c r="A101" t="s">
        <v>291</v>
      </c>
      <c r="E101" s="1515" t="s">
        <v>967</v>
      </c>
      <c r="F101" s="1507"/>
      <c r="G101" s="584"/>
      <c r="H101" s="584"/>
      <c r="K101" t="s">
        <v>1035</v>
      </c>
      <c r="V101">
        <v>48</v>
      </c>
    </row>
    <row r="102" spans="1:22" customFormat="1" ht="15" x14ac:dyDescent="0.25">
      <c r="A102" t="s">
        <v>291</v>
      </c>
      <c r="E102" s="1507" t="s">
        <v>844</v>
      </c>
      <c r="F102" s="1507"/>
      <c r="G102" s="584" t="s">
        <v>845</v>
      </c>
      <c r="H102" s="577">
        <v>4.1000000000000003E-3</v>
      </c>
      <c r="K102" t="s">
        <v>1023</v>
      </c>
      <c r="L102" t="s">
        <v>968</v>
      </c>
      <c r="P102" t="s">
        <v>1036</v>
      </c>
      <c r="V102">
        <v>55</v>
      </c>
    </row>
    <row r="103" spans="1:22" customFormat="1" ht="15" x14ac:dyDescent="0.25">
      <c r="A103" t="s">
        <v>291</v>
      </c>
      <c r="E103" s="1507" t="s">
        <v>846</v>
      </c>
      <c r="F103" s="1507"/>
      <c r="G103" s="584" t="s">
        <v>845</v>
      </c>
      <c r="H103" s="577">
        <v>4.0000000000000002E-4</v>
      </c>
      <c r="K103" t="s">
        <v>1023</v>
      </c>
      <c r="L103" t="s">
        <v>968</v>
      </c>
      <c r="P103" t="s">
        <v>1036</v>
      </c>
      <c r="V103">
        <v>65</v>
      </c>
    </row>
    <row r="104" spans="1:22" customFormat="1" ht="15" x14ac:dyDescent="0.25">
      <c r="A104" t="s">
        <v>291</v>
      </c>
      <c r="E104" s="1507" t="s">
        <v>847</v>
      </c>
      <c r="F104" s="1507"/>
      <c r="G104" s="584" t="s">
        <v>845</v>
      </c>
      <c r="H104" s="577">
        <v>1.5E-3</v>
      </c>
      <c r="K104" t="s">
        <v>1023</v>
      </c>
      <c r="L104" t="s">
        <v>968</v>
      </c>
      <c r="P104" t="s">
        <v>1037</v>
      </c>
      <c r="V104">
        <v>57</v>
      </c>
    </row>
    <row r="105" spans="1:22" customFormat="1" ht="15" x14ac:dyDescent="0.25">
      <c r="A105" t="s">
        <v>291</v>
      </c>
      <c r="E105" s="1507" t="s">
        <v>848</v>
      </c>
      <c r="F105" s="1507"/>
      <c r="G105" s="584" t="s">
        <v>777</v>
      </c>
      <c r="H105" s="576">
        <v>0.25</v>
      </c>
      <c r="K105" t="s">
        <v>1023</v>
      </c>
      <c r="L105" t="s">
        <v>968</v>
      </c>
      <c r="P105" t="s">
        <v>1038</v>
      </c>
      <c r="V105">
        <v>63</v>
      </c>
    </row>
    <row r="106" spans="1:22" customFormat="1" x14ac:dyDescent="0.25">
      <c r="A106" t="s">
        <v>291</v>
      </c>
      <c r="E106" s="1492" t="s">
        <v>198</v>
      </c>
      <c r="F106" s="1493"/>
      <c r="G106" s="1493"/>
      <c r="H106" s="1493"/>
      <c r="K106" t="s">
        <v>1039</v>
      </c>
      <c r="V106">
        <v>40</v>
      </c>
    </row>
    <row r="107" spans="1:22" customFormat="1" ht="15" x14ac:dyDescent="0.25">
      <c r="A107" t="s">
        <v>291</v>
      </c>
      <c r="E107" s="1516" t="s">
        <v>5073</v>
      </c>
      <c r="F107" s="1516"/>
      <c r="G107" s="1516"/>
      <c r="H107" s="1516"/>
      <c r="K107" t="s">
        <v>1039</v>
      </c>
      <c r="V107">
        <v>253</v>
      </c>
    </row>
    <row r="108" spans="1:22" customFormat="1" ht="15" x14ac:dyDescent="0.25">
      <c r="A108" t="s">
        <v>291</v>
      </c>
      <c r="E108" s="1515" t="s">
        <v>950</v>
      </c>
      <c r="F108" s="1516"/>
      <c r="G108" s="1516"/>
      <c r="H108" s="1516"/>
      <c r="K108" t="s">
        <v>1041</v>
      </c>
      <c r="V108">
        <v>11</v>
      </c>
    </row>
    <row r="109" spans="1:22" customFormat="1" ht="15" x14ac:dyDescent="0.25">
      <c r="A109" t="s">
        <v>291</v>
      </c>
      <c r="E109" s="1516" t="s">
        <v>951</v>
      </c>
      <c r="F109" s="1516"/>
      <c r="G109" s="1516"/>
      <c r="H109" s="1516"/>
      <c r="K109" t="s">
        <v>1039</v>
      </c>
      <c r="V109">
        <v>280</v>
      </c>
    </row>
    <row r="110" spans="1:22" customFormat="1" ht="15" x14ac:dyDescent="0.25">
      <c r="A110" t="s">
        <v>291</v>
      </c>
      <c r="E110" s="1516" t="s">
        <v>952</v>
      </c>
      <c r="F110" s="1516"/>
      <c r="G110" s="1516"/>
      <c r="H110" s="1516"/>
      <c r="K110" t="s">
        <v>1039</v>
      </c>
      <c r="V110">
        <v>411</v>
      </c>
    </row>
    <row r="111" spans="1:22" customFormat="1" ht="15" x14ac:dyDescent="0.25">
      <c r="A111" t="s">
        <v>291</v>
      </c>
      <c r="E111" s="1516" t="s">
        <v>953</v>
      </c>
      <c r="F111" s="1516"/>
      <c r="G111" s="1516"/>
      <c r="H111" s="1516"/>
      <c r="K111" t="s">
        <v>1039</v>
      </c>
      <c r="V111">
        <v>386</v>
      </c>
    </row>
    <row r="112" spans="1:22" customFormat="1" ht="15" x14ac:dyDescent="0.25">
      <c r="A112" t="s">
        <v>291</v>
      </c>
      <c r="E112" s="1516" t="s">
        <v>4988</v>
      </c>
      <c r="F112" s="1516"/>
      <c r="G112" s="1516"/>
      <c r="H112" s="1516"/>
      <c r="K112" t="s">
        <v>1039</v>
      </c>
      <c r="V112">
        <v>251</v>
      </c>
    </row>
    <row r="113" spans="1:22" customFormat="1" ht="15" x14ac:dyDescent="0.25">
      <c r="A113" t="s">
        <v>291</v>
      </c>
      <c r="E113" s="1515" t="s">
        <v>956</v>
      </c>
      <c r="F113" s="1516"/>
      <c r="G113" s="1516"/>
      <c r="H113" s="1516"/>
      <c r="K113" t="s">
        <v>1042</v>
      </c>
      <c r="V113">
        <v>46</v>
      </c>
    </row>
    <row r="114" spans="1:22" customFormat="1" ht="15" x14ac:dyDescent="0.25">
      <c r="A114" t="s">
        <v>291</v>
      </c>
      <c r="E114" s="1507" t="s">
        <v>3874</v>
      </c>
      <c r="F114" s="1507"/>
      <c r="G114" s="584" t="s">
        <v>777</v>
      </c>
      <c r="H114" s="576">
        <v>3.36</v>
      </c>
      <c r="K114" t="s">
        <v>1039</v>
      </c>
      <c r="L114" t="s">
        <v>690</v>
      </c>
      <c r="P114" t="s">
        <v>1043</v>
      </c>
      <c r="V114">
        <v>31</v>
      </c>
    </row>
    <row r="115" spans="1:22" customFormat="1" ht="15" x14ac:dyDescent="0.25">
      <c r="A115" t="s">
        <v>291</v>
      </c>
      <c r="E115" s="1507" t="s">
        <v>3688</v>
      </c>
      <c r="F115" s="1507"/>
      <c r="G115" s="584" t="s">
        <v>3775</v>
      </c>
      <c r="H115" s="577">
        <v>57.085599999999999</v>
      </c>
      <c r="K115" t="s">
        <v>1039</v>
      </c>
      <c r="L115" t="s">
        <v>690</v>
      </c>
      <c r="P115" t="s">
        <v>1044</v>
      </c>
      <c r="V115">
        <v>28</v>
      </c>
    </row>
    <row r="116" spans="1:22" customFormat="1" ht="15" x14ac:dyDescent="0.25">
      <c r="A116" t="s">
        <v>291</v>
      </c>
      <c r="E116" s="1507" t="s">
        <v>910</v>
      </c>
      <c r="F116" s="1507"/>
      <c r="G116" s="584" t="s">
        <v>3775</v>
      </c>
      <c r="H116" s="577">
        <v>2.5499999999999998E-2</v>
      </c>
      <c r="K116" t="s">
        <v>1039</v>
      </c>
      <c r="L116" t="s">
        <v>692</v>
      </c>
      <c r="P116" t="s">
        <v>1045</v>
      </c>
      <c r="V116">
        <v>24</v>
      </c>
    </row>
    <row r="117" spans="1:22" customFormat="1" ht="15" x14ac:dyDescent="0.25">
      <c r="A117" t="s">
        <v>291</v>
      </c>
      <c r="E117" s="1507" t="s">
        <v>243</v>
      </c>
      <c r="F117" s="1507"/>
      <c r="G117" s="584" t="s">
        <v>3775</v>
      </c>
      <c r="H117" s="577">
        <v>0.90329999999999999</v>
      </c>
      <c r="K117" t="s">
        <v>1039</v>
      </c>
      <c r="L117" t="s">
        <v>694</v>
      </c>
      <c r="P117" t="s">
        <v>1047</v>
      </c>
      <c r="V117">
        <v>47</v>
      </c>
    </row>
    <row r="118" spans="1:22" customFormat="1" ht="15" x14ac:dyDescent="0.25">
      <c r="A118" t="s">
        <v>291</v>
      </c>
      <c r="E118" s="1507" t="s">
        <v>175</v>
      </c>
      <c r="F118" s="1507"/>
      <c r="G118" s="584" t="s">
        <v>3775</v>
      </c>
      <c r="H118" s="577">
        <v>0.54979999999999996</v>
      </c>
      <c r="K118" t="s">
        <v>1039</v>
      </c>
      <c r="L118" t="s">
        <v>694</v>
      </c>
      <c r="P118" t="s">
        <v>1048</v>
      </c>
      <c r="V118">
        <v>74</v>
      </c>
    </row>
    <row r="119" spans="1:22" customFormat="1" ht="15" x14ac:dyDescent="0.25">
      <c r="A119" t="s">
        <v>291</v>
      </c>
      <c r="E119" s="1515" t="s">
        <v>967</v>
      </c>
      <c r="F119" s="1507"/>
      <c r="G119" s="584"/>
      <c r="H119" s="584"/>
      <c r="K119" t="s">
        <v>1049</v>
      </c>
      <c r="V119">
        <v>48</v>
      </c>
    </row>
    <row r="120" spans="1:22" customFormat="1" ht="15" x14ac:dyDescent="0.25">
      <c r="A120" t="s">
        <v>291</v>
      </c>
      <c r="E120" s="1507" t="s">
        <v>844</v>
      </c>
      <c r="F120" s="1507"/>
      <c r="G120" s="584" t="s">
        <v>845</v>
      </c>
      <c r="H120" s="577">
        <v>4.1000000000000003E-3</v>
      </c>
      <c r="K120" t="s">
        <v>1039</v>
      </c>
      <c r="L120" t="s">
        <v>968</v>
      </c>
      <c r="P120" t="s">
        <v>1050</v>
      </c>
      <c r="V120">
        <v>55</v>
      </c>
    </row>
    <row r="121" spans="1:22" customFormat="1" ht="15" x14ac:dyDescent="0.25">
      <c r="A121" t="s">
        <v>291</v>
      </c>
      <c r="E121" s="1507" t="s">
        <v>846</v>
      </c>
      <c r="F121" s="1507"/>
      <c r="G121" s="584" t="s">
        <v>845</v>
      </c>
      <c r="H121" s="577">
        <v>4.0000000000000002E-4</v>
      </c>
      <c r="K121" t="s">
        <v>1039</v>
      </c>
      <c r="L121" t="s">
        <v>968</v>
      </c>
      <c r="P121" t="s">
        <v>1050</v>
      </c>
      <c r="V121">
        <v>65</v>
      </c>
    </row>
    <row r="122" spans="1:22" customFormat="1" ht="15" x14ac:dyDescent="0.25">
      <c r="A122" t="s">
        <v>291</v>
      </c>
      <c r="E122" s="1507" t="s">
        <v>847</v>
      </c>
      <c r="F122" s="1507"/>
      <c r="G122" s="584" t="s">
        <v>845</v>
      </c>
      <c r="H122" s="577">
        <v>1.5E-3</v>
      </c>
      <c r="K122" t="s">
        <v>1039</v>
      </c>
      <c r="L122" t="s">
        <v>968</v>
      </c>
      <c r="P122" t="s">
        <v>1051</v>
      </c>
      <c r="V122">
        <v>57</v>
      </c>
    </row>
    <row r="123" spans="1:22" customFormat="1" ht="15" x14ac:dyDescent="0.25">
      <c r="A123" t="s">
        <v>291</v>
      </c>
      <c r="E123" s="1507" t="s">
        <v>848</v>
      </c>
      <c r="F123" s="1507"/>
      <c r="G123" s="584" t="s">
        <v>777</v>
      </c>
      <c r="H123" s="576">
        <v>0.25</v>
      </c>
      <c r="K123" t="s">
        <v>1039</v>
      </c>
      <c r="L123" t="s">
        <v>968</v>
      </c>
      <c r="P123" t="s">
        <v>1052</v>
      </c>
      <c r="V123">
        <v>63</v>
      </c>
    </row>
    <row r="124" spans="1:22" customFormat="1" x14ac:dyDescent="0.25">
      <c r="A124" t="s">
        <v>291</v>
      </c>
      <c r="E124" s="1492" t="s">
        <v>202</v>
      </c>
      <c r="F124" s="1493"/>
      <c r="G124" s="1493"/>
      <c r="H124" s="1493"/>
      <c r="K124" t="s">
        <v>1053</v>
      </c>
      <c r="V124">
        <v>38</v>
      </c>
    </row>
    <row r="125" spans="1:22" customFormat="1" ht="15" x14ac:dyDescent="0.25">
      <c r="A125" t="s">
        <v>291</v>
      </c>
      <c r="E125" s="1516" t="s">
        <v>5074</v>
      </c>
      <c r="F125" s="1516"/>
      <c r="G125" s="1516"/>
      <c r="H125" s="1516"/>
      <c r="K125" t="s">
        <v>1053</v>
      </c>
      <c r="V125">
        <v>499</v>
      </c>
    </row>
    <row r="126" spans="1:22" customFormat="1" ht="15" x14ac:dyDescent="0.25">
      <c r="A126" t="s">
        <v>291</v>
      </c>
      <c r="E126" s="1515" t="s">
        <v>950</v>
      </c>
      <c r="F126" s="1516"/>
      <c r="G126" s="1516"/>
      <c r="H126" s="1516"/>
      <c r="K126" t="s">
        <v>1055</v>
      </c>
      <c r="V126">
        <v>11</v>
      </c>
    </row>
    <row r="127" spans="1:22" customFormat="1" ht="15" x14ac:dyDescent="0.25">
      <c r="A127" t="s">
        <v>291</v>
      </c>
      <c r="E127" s="1516" t="s">
        <v>951</v>
      </c>
      <c r="F127" s="1516"/>
      <c r="G127" s="1516"/>
      <c r="H127" s="1516"/>
      <c r="K127" t="s">
        <v>1053</v>
      </c>
      <c r="V127">
        <v>280</v>
      </c>
    </row>
    <row r="128" spans="1:22" customFormat="1" ht="15" x14ac:dyDescent="0.25">
      <c r="A128" t="s">
        <v>291</v>
      </c>
      <c r="E128" s="1516" t="s">
        <v>952</v>
      </c>
      <c r="F128" s="1516"/>
      <c r="G128" s="1516"/>
      <c r="H128" s="1516"/>
      <c r="K128" t="s">
        <v>1053</v>
      </c>
      <c r="V128">
        <v>411</v>
      </c>
    </row>
    <row r="129" spans="1:22" customFormat="1" ht="15" x14ac:dyDescent="0.25">
      <c r="A129" t="s">
        <v>291</v>
      </c>
      <c r="E129" s="1516" t="s">
        <v>953</v>
      </c>
      <c r="F129" s="1516"/>
      <c r="G129" s="1516"/>
      <c r="H129" s="1516"/>
      <c r="K129" t="s">
        <v>1053</v>
      </c>
      <c r="V129">
        <v>386</v>
      </c>
    </row>
    <row r="130" spans="1:22" customFormat="1" ht="15" x14ac:dyDescent="0.25">
      <c r="A130" t="s">
        <v>291</v>
      </c>
      <c r="E130" s="1516" t="s">
        <v>4988</v>
      </c>
      <c r="F130" s="1516"/>
      <c r="G130" s="1516"/>
      <c r="H130" s="1516"/>
      <c r="K130" t="s">
        <v>1053</v>
      </c>
      <c r="V130">
        <v>251</v>
      </c>
    </row>
    <row r="131" spans="1:22" customFormat="1" ht="15" x14ac:dyDescent="0.25">
      <c r="A131" t="s">
        <v>291</v>
      </c>
      <c r="E131" s="1515" t="s">
        <v>956</v>
      </c>
      <c r="F131" s="1516"/>
      <c r="G131" s="1516"/>
      <c r="H131" s="1516"/>
      <c r="K131" t="s">
        <v>1056</v>
      </c>
      <c r="V131">
        <v>46</v>
      </c>
    </row>
    <row r="132" spans="1:22" customFormat="1" ht="15" x14ac:dyDescent="0.25">
      <c r="A132" t="s">
        <v>291</v>
      </c>
      <c r="E132" s="1507" t="s">
        <v>3874</v>
      </c>
      <c r="F132" s="1507"/>
      <c r="G132" s="584" t="s">
        <v>777</v>
      </c>
      <c r="H132" s="576">
        <v>4.6100000000000003</v>
      </c>
      <c r="K132" t="s">
        <v>1053</v>
      </c>
      <c r="L132" t="s">
        <v>690</v>
      </c>
      <c r="P132" t="s">
        <v>1057</v>
      </c>
      <c r="V132">
        <v>31</v>
      </c>
    </row>
    <row r="133" spans="1:22" customFormat="1" ht="15" x14ac:dyDescent="0.25">
      <c r="A133" t="s">
        <v>291</v>
      </c>
      <c r="E133" s="1507" t="s">
        <v>3688</v>
      </c>
      <c r="F133" s="1507"/>
      <c r="G133" s="584" t="s">
        <v>3775</v>
      </c>
      <c r="H133" s="577">
        <v>28.356200000000001</v>
      </c>
      <c r="K133" t="s">
        <v>1053</v>
      </c>
      <c r="L133" t="s">
        <v>690</v>
      </c>
      <c r="P133" t="s">
        <v>1059</v>
      </c>
      <c r="V133">
        <v>28</v>
      </c>
    </row>
    <row r="134" spans="1:22" customFormat="1" ht="15" x14ac:dyDescent="0.25">
      <c r="A134" t="s">
        <v>291</v>
      </c>
      <c r="E134" s="1507" t="s">
        <v>910</v>
      </c>
      <c r="F134" s="1507"/>
      <c r="G134" s="584" t="s">
        <v>3775</v>
      </c>
      <c r="H134" s="577">
        <v>0.1061</v>
      </c>
      <c r="K134" t="s">
        <v>1053</v>
      </c>
      <c r="L134" t="s">
        <v>692</v>
      </c>
      <c r="P134" t="s">
        <v>1060</v>
      </c>
      <c r="V134">
        <v>24</v>
      </c>
    </row>
    <row r="135" spans="1:22" customFormat="1" ht="15" x14ac:dyDescent="0.25">
      <c r="A135" t="s">
        <v>291</v>
      </c>
      <c r="E135" s="1507" t="s">
        <v>6513</v>
      </c>
      <c r="F135" s="1507"/>
      <c r="G135" s="584" t="s">
        <v>3775</v>
      </c>
      <c r="H135" s="577">
        <v>-2.76E-2</v>
      </c>
      <c r="K135" t="s">
        <v>1053</v>
      </c>
      <c r="L135" t="s">
        <v>690</v>
      </c>
      <c r="P135" t="s">
        <v>6517</v>
      </c>
      <c r="T135">
        <v>46022</v>
      </c>
      <c r="V135">
        <v>86</v>
      </c>
    </row>
    <row r="136" spans="1:22" customFormat="1" ht="15" x14ac:dyDescent="0.25">
      <c r="A136" t="s">
        <v>291</v>
      </c>
      <c r="E136" s="1507" t="s">
        <v>243</v>
      </c>
      <c r="F136" s="1507"/>
      <c r="G136" s="584" t="s">
        <v>3775</v>
      </c>
      <c r="H136" s="577">
        <v>3.7585999999999999</v>
      </c>
      <c r="K136" t="s">
        <v>1053</v>
      </c>
      <c r="L136" t="s">
        <v>694</v>
      </c>
      <c r="P136" t="s">
        <v>1063</v>
      </c>
      <c r="V136">
        <v>47</v>
      </c>
    </row>
    <row r="137" spans="1:22" customFormat="1" ht="15" x14ac:dyDescent="0.25">
      <c r="A137" t="s">
        <v>291</v>
      </c>
      <c r="E137" s="1507" t="s">
        <v>175</v>
      </c>
      <c r="F137" s="1507"/>
      <c r="G137" s="584" t="s">
        <v>3775</v>
      </c>
      <c r="H137" s="577">
        <v>2.2887</v>
      </c>
      <c r="K137" t="s">
        <v>1053</v>
      </c>
      <c r="L137" t="s">
        <v>694</v>
      </c>
      <c r="P137" t="s">
        <v>1064</v>
      </c>
      <c r="V137">
        <v>74</v>
      </c>
    </row>
    <row r="138" spans="1:22" customFormat="1" ht="15" x14ac:dyDescent="0.25">
      <c r="A138" t="s">
        <v>291</v>
      </c>
      <c r="E138" s="1515" t="s">
        <v>967</v>
      </c>
      <c r="F138" s="1507"/>
      <c r="G138" s="584"/>
      <c r="H138" s="584"/>
      <c r="K138" t="s">
        <v>1065</v>
      </c>
      <c r="V138">
        <v>48</v>
      </c>
    </row>
    <row r="139" spans="1:22" customFormat="1" ht="15" x14ac:dyDescent="0.25">
      <c r="A139" t="s">
        <v>291</v>
      </c>
      <c r="E139" s="1507" t="s">
        <v>844</v>
      </c>
      <c r="F139" s="1507"/>
      <c r="G139" s="584" t="s">
        <v>845</v>
      </c>
      <c r="H139" s="577">
        <v>4.1000000000000003E-3</v>
      </c>
      <c r="K139" t="s">
        <v>1053</v>
      </c>
      <c r="L139" t="s">
        <v>968</v>
      </c>
      <c r="P139" t="s">
        <v>1066</v>
      </c>
      <c r="V139">
        <v>55</v>
      </c>
    </row>
    <row r="140" spans="1:22" customFormat="1" ht="15" x14ac:dyDescent="0.25">
      <c r="A140" t="s">
        <v>291</v>
      </c>
      <c r="E140" s="1507" t="s">
        <v>846</v>
      </c>
      <c r="F140" s="1507"/>
      <c r="G140" s="584" t="s">
        <v>845</v>
      </c>
      <c r="H140" s="577">
        <v>4.0000000000000002E-4</v>
      </c>
      <c r="K140" t="s">
        <v>1053</v>
      </c>
      <c r="L140" t="s">
        <v>968</v>
      </c>
      <c r="P140" t="s">
        <v>1066</v>
      </c>
      <c r="V140">
        <v>65</v>
      </c>
    </row>
    <row r="141" spans="1:22" customFormat="1" ht="15" x14ac:dyDescent="0.25">
      <c r="A141" t="s">
        <v>291</v>
      </c>
      <c r="E141" s="1507" t="s">
        <v>847</v>
      </c>
      <c r="F141" s="1507"/>
      <c r="G141" s="584" t="s">
        <v>845</v>
      </c>
      <c r="H141" s="577">
        <v>1.5E-3</v>
      </c>
      <c r="K141" t="s">
        <v>1053</v>
      </c>
      <c r="L141" t="s">
        <v>968</v>
      </c>
      <c r="P141" t="s">
        <v>1067</v>
      </c>
      <c r="V141">
        <v>57</v>
      </c>
    </row>
    <row r="142" spans="1:22" customFormat="1" ht="15" x14ac:dyDescent="0.25">
      <c r="A142" t="s">
        <v>291</v>
      </c>
      <c r="E142" s="1507" t="s">
        <v>848</v>
      </c>
      <c r="F142" s="1507"/>
      <c r="G142" s="584" t="s">
        <v>777</v>
      </c>
      <c r="H142" s="576">
        <v>0.25</v>
      </c>
      <c r="K142" t="s">
        <v>1053</v>
      </c>
      <c r="L142" t="s">
        <v>968</v>
      </c>
      <c r="P142" t="s">
        <v>1068</v>
      </c>
      <c r="V142">
        <v>63</v>
      </c>
    </row>
    <row r="143" spans="1:22" customFormat="1" x14ac:dyDescent="0.25">
      <c r="A143" t="s">
        <v>291</v>
      </c>
      <c r="E143" s="1492" t="s">
        <v>4007</v>
      </c>
      <c r="F143" s="1493"/>
      <c r="G143" s="1493"/>
      <c r="H143" s="1493"/>
      <c r="K143" t="s">
        <v>5075</v>
      </c>
      <c r="V143">
        <v>43</v>
      </c>
    </row>
    <row r="144" spans="1:22" customFormat="1" ht="15" x14ac:dyDescent="0.25">
      <c r="A144" t="s">
        <v>291</v>
      </c>
      <c r="E144" s="1516" t="s">
        <v>5076</v>
      </c>
      <c r="F144" s="1516"/>
      <c r="G144" s="1516"/>
      <c r="H144" s="1516"/>
      <c r="K144" t="s">
        <v>5075</v>
      </c>
      <c r="V144">
        <v>252</v>
      </c>
    </row>
    <row r="145" spans="1:22" customFormat="1" ht="15" x14ac:dyDescent="0.25">
      <c r="A145" t="s">
        <v>291</v>
      </c>
      <c r="E145" s="1515" t="s">
        <v>950</v>
      </c>
      <c r="F145" s="1516"/>
      <c r="G145" s="1516"/>
      <c r="H145" s="1516"/>
      <c r="K145" t="s">
        <v>1071</v>
      </c>
      <c r="V145">
        <v>11</v>
      </c>
    </row>
    <row r="146" spans="1:22" customFormat="1" ht="15" x14ac:dyDescent="0.25">
      <c r="A146" t="s">
        <v>291</v>
      </c>
      <c r="E146" s="1516" t="s">
        <v>951</v>
      </c>
      <c r="F146" s="1516"/>
      <c r="G146" s="1516"/>
      <c r="H146" s="1516"/>
      <c r="K146" t="s">
        <v>5075</v>
      </c>
      <c r="V146">
        <v>280</v>
      </c>
    </row>
    <row r="147" spans="1:22" customFormat="1" ht="15" x14ac:dyDescent="0.25">
      <c r="A147" t="s">
        <v>291</v>
      </c>
      <c r="E147" s="1516" t="s">
        <v>952</v>
      </c>
      <c r="F147" s="1516"/>
      <c r="G147" s="1516"/>
      <c r="H147" s="1516"/>
      <c r="K147" t="s">
        <v>5075</v>
      </c>
      <c r="V147">
        <v>411</v>
      </c>
    </row>
    <row r="148" spans="1:22" customFormat="1" ht="15" x14ac:dyDescent="0.25">
      <c r="A148" t="s">
        <v>291</v>
      </c>
      <c r="E148" s="1516" t="s">
        <v>953</v>
      </c>
      <c r="F148" s="1516"/>
      <c r="G148" s="1516"/>
      <c r="H148" s="1516"/>
      <c r="K148" t="s">
        <v>5075</v>
      </c>
      <c r="V148">
        <v>386</v>
      </c>
    </row>
    <row r="149" spans="1:22" customFormat="1" ht="15" x14ac:dyDescent="0.25">
      <c r="A149" t="s">
        <v>291</v>
      </c>
      <c r="E149" s="1516" t="s">
        <v>4988</v>
      </c>
      <c r="F149" s="1516"/>
      <c r="G149" s="1516"/>
      <c r="H149" s="1516"/>
      <c r="K149" t="s">
        <v>5075</v>
      </c>
      <c r="V149">
        <v>251</v>
      </c>
    </row>
    <row r="150" spans="1:22" customFormat="1" ht="15" x14ac:dyDescent="0.25">
      <c r="A150" t="s">
        <v>291</v>
      </c>
      <c r="E150" s="1515" t="s">
        <v>956</v>
      </c>
      <c r="F150" s="1516"/>
      <c r="G150" s="1516"/>
      <c r="H150" s="1516"/>
      <c r="K150" t="s">
        <v>1075</v>
      </c>
      <c r="V150">
        <v>46</v>
      </c>
    </row>
    <row r="151" spans="1:22" customFormat="1" ht="15" x14ac:dyDescent="0.25">
      <c r="A151" t="s">
        <v>291</v>
      </c>
      <c r="E151" s="1507" t="s">
        <v>3773</v>
      </c>
      <c r="F151" s="1507"/>
      <c r="G151" s="584" t="s">
        <v>777</v>
      </c>
      <c r="H151" s="576">
        <v>6352.97</v>
      </c>
      <c r="K151" t="s">
        <v>5075</v>
      </c>
      <c r="L151" t="s">
        <v>690</v>
      </c>
      <c r="P151" t="s">
        <v>5077</v>
      </c>
      <c r="V151">
        <v>14</v>
      </c>
    </row>
    <row r="152" spans="1:22" customFormat="1" ht="15" x14ac:dyDescent="0.25">
      <c r="A152" t="s">
        <v>291</v>
      </c>
      <c r="E152" s="1507" t="s">
        <v>3688</v>
      </c>
      <c r="F152" s="1507"/>
      <c r="G152" s="584" t="s">
        <v>3775</v>
      </c>
      <c r="H152" s="577">
        <v>3.4698000000000002</v>
      </c>
      <c r="K152" t="s">
        <v>5075</v>
      </c>
      <c r="L152" t="s">
        <v>690</v>
      </c>
      <c r="P152" t="s">
        <v>5078</v>
      </c>
      <c r="V152">
        <v>28</v>
      </c>
    </row>
    <row r="153" spans="1:22" customFormat="1" ht="15" x14ac:dyDescent="0.25">
      <c r="A153" t="s">
        <v>291</v>
      </c>
      <c r="E153" s="1507" t="s">
        <v>910</v>
      </c>
      <c r="F153" s="1507"/>
      <c r="G153" s="584" t="s">
        <v>3775</v>
      </c>
      <c r="H153" s="577">
        <v>0.1313</v>
      </c>
      <c r="K153" t="s">
        <v>5075</v>
      </c>
      <c r="L153" t="s">
        <v>692</v>
      </c>
      <c r="P153" t="s">
        <v>5079</v>
      </c>
      <c r="V153">
        <v>24</v>
      </c>
    </row>
    <row r="154" spans="1:22" customFormat="1" ht="15" x14ac:dyDescent="0.25">
      <c r="A154" t="s">
        <v>291</v>
      </c>
      <c r="E154" s="1507" t="s">
        <v>243</v>
      </c>
      <c r="F154" s="1507"/>
      <c r="G154" s="584" t="s">
        <v>3775</v>
      </c>
      <c r="H154" s="577">
        <v>4.6512000000000002</v>
      </c>
      <c r="K154" t="s">
        <v>5075</v>
      </c>
      <c r="L154" t="s">
        <v>694</v>
      </c>
      <c r="P154" t="s">
        <v>5083</v>
      </c>
      <c r="V154">
        <v>47</v>
      </c>
    </row>
    <row r="155" spans="1:22" customFormat="1" ht="15" x14ac:dyDescent="0.25">
      <c r="A155" t="s">
        <v>291</v>
      </c>
      <c r="E155" s="1507" t="s">
        <v>175</v>
      </c>
      <c r="F155" s="1507"/>
      <c r="G155" s="584" t="s">
        <v>3775</v>
      </c>
      <c r="H155" s="577">
        <v>2.8319999999999999</v>
      </c>
      <c r="K155" t="s">
        <v>5075</v>
      </c>
      <c r="L155" t="s">
        <v>694</v>
      </c>
      <c r="P155" t="s">
        <v>5084</v>
      </c>
      <c r="V155">
        <v>74</v>
      </c>
    </row>
    <row r="156" spans="1:22" customFormat="1" ht="15" x14ac:dyDescent="0.25">
      <c r="A156" t="s">
        <v>291</v>
      </c>
      <c r="E156" s="1515" t="s">
        <v>967</v>
      </c>
      <c r="F156" s="1507"/>
      <c r="G156" s="584"/>
      <c r="H156" s="584"/>
      <c r="K156" t="s">
        <v>3898</v>
      </c>
      <c r="V156">
        <v>48</v>
      </c>
    </row>
    <row r="157" spans="1:22" customFormat="1" ht="15" x14ac:dyDescent="0.25">
      <c r="A157" t="s">
        <v>291</v>
      </c>
      <c r="E157" s="1507" t="s">
        <v>844</v>
      </c>
      <c r="F157" s="1507"/>
      <c r="G157" s="584" t="s">
        <v>845</v>
      </c>
      <c r="H157" s="577">
        <v>4.1000000000000003E-3</v>
      </c>
      <c r="K157" t="s">
        <v>5075</v>
      </c>
      <c r="L157" t="s">
        <v>968</v>
      </c>
      <c r="P157" t="s">
        <v>5085</v>
      </c>
      <c r="V157">
        <v>55</v>
      </c>
    </row>
    <row r="158" spans="1:22" customFormat="1" ht="15" x14ac:dyDescent="0.25">
      <c r="A158" t="s">
        <v>291</v>
      </c>
      <c r="E158" s="1507" t="s">
        <v>846</v>
      </c>
      <c r="F158" s="1507"/>
      <c r="G158" s="584" t="s">
        <v>845</v>
      </c>
      <c r="H158" s="577">
        <v>4.0000000000000002E-4</v>
      </c>
      <c r="K158" t="s">
        <v>5075</v>
      </c>
      <c r="L158" t="s">
        <v>968</v>
      </c>
      <c r="P158" t="s">
        <v>5085</v>
      </c>
      <c r="V158">
        <v>65</v>
      </c>
    </row>
    <row r="159" spans="1:22" customFormat="1" ht="15" x14ac:dyDescent="0.25">
      <c r="A159" t="s">
        <v>291</v>
      </c>
      <c r="E159" s="1507" t="s">
        <v>847</v>
      </c>
      <c r="F159" s="1507"/>
      <c r="G159" s="584" t="s">
        <v>845</v>
      </c>
      <c r="H159" s="577">
        <v>1.5E-3</v>
      </c>
      <c r="K159" t="s">
        <v>5075</v>
      </c>
      <c r="L159" t="s">
        <v>968</v>
      </c>
      <c r="P159" t="s">
        <v>5086</v>
      </c>
      <c r="V159">
        <v>57</v>
      </c>
    </row>
    <row r="160" spans="1:22" customFormat="1" ht="15" x14ac:dyDescent="0.25">
      <c r="A160" t="s">
        <v>291</v>
      </c>
      <c r="E160" s="1507" t="s">
        <v>848</v>
      </c>
      <c r="F160" s="1507"/>
      <c r="G160" s="584" t="s">
        <v>777</v>
      </c>
      <c r="H160" s="576">
        <v>0.25</v>
      </c>
      <c r="K160" t="s">
        <v>5075</v>
      </c>
      <c r="L160" t="s">
        <v>968</v>
      </c>
      <c r="P160" t="s">
        <v>5087</v>
      </c>
      <c r="V160">
        <v>63</v>
      </c>
    </row>
    <row r="161" spans="1:22" customFormat="1" x14ac:dyDescent="0.25">
      <c r="A161" t="s">
        <v>291</v>
      </c>
      <c r="E161" s="1492" t="s">
        <v>207</v>
      </c>
      <c r="F161" s="1493"/>
      <c r="G161" s="1493"/>
      <c r="H161" s="1493"/>
      <c r="K161" t="s">
        <v>3902</v>
      </c>
      <c r="V161">
        <v>31</v>
      </c>
    </row>
    <row r="162" spans="1:22" customFormat="1" ht="15" x14ac:dyDescent="0.25">
      <c r="A162" t="s">
        <v>291</v>
      </c>
      <c r="E162" s="1516" t="s">
        <v>4620</v>
      </c>
      <c r="F162" s="1516"/>
      <c r="G162" s="1516"/>
      <c r="H162" s="1516"/>
      <c r="K162" t="s">
        <v>3902</v>
      </c>
      <c r="V162">
        <v>285</v>
      </c>
    </row>
    <row r="163" spans="1:22" customFormat="1" ht="15" x14ac:dyDescent="0.25">
      <c r="A163" t="s">
        <v>291</v>
      </c>
      <c r="E163" s="1515" t="s">
        <v>950</v>
      </c>
      <c r="F163" s="1516"/>
      <c r="G163" s="1516"/>
      <c r="H163" s="1516"/>
      <c r="K163" t="s">
        <v>3904</v>
      </c>
      <c r="V163">
        <v>11</v>
      </c>
    </row>
    <row r="164" spans="1:22" customFormat="1" ht="15" x14ac:dyDescent="0.25">
      <c r="A164" t="s">
        <v>291</v>
      </c>
      <c r="E164" s="1516" t="s">
        <v>951</v>
      </c>
      <c r="F164" s="1516"/>
      <c r="G164" s="1516"/>
      <c r="H164" s="1516"/>
      <c r="K164" t="s">
        <v>3902</v>
      </c>
      <c r="V164">
        <v>280</v>
      </c>
    </row>
    <row r="165" spans="1:22" customFormat="1" ht="15" x14ac:dyDescent="0.25">
      <c r="A165" t="s">
        <v>291</v>
      </c>
      <c r="E165" s="1516" t="s">
        <v>952</v>
      </c>
      <c r="F165" s="1516"/>
      <c r="G165" s="1516"/>
      <c r="H165" s="1516"/>
      <c r="K165" t="s">
        <v>3902</v>
      </c>
      <c r="V165">
        <v>411</v>
      </c>
    </row>
    <row r="166" spans="1:22" customFormat="1" ht="15" x14ac:dyDescent="0.25">
      <c r="A166" t="s">
        <v>291</v>
      </c>
      <c r="E166" s="1516" t="s">
        <v>1103</v>
      </c>
      <c r="F166" s="1516"/>
      <c r="G166" s="1516"/>
      <c r="H166" s="1516"/>
      <c r="K166" t="s">
        <v>3902</v>
      </c>
      <c r="V166">
        <v>211</v>
      </c>
    </row>
    <row r="167" spans="1:22" customFormat="1" ht="15" x14ac:dyDescent="0.25">
      <c r="A167" t="s">
        <v>291</v>
      </c>
      <c r="E167" s="1516" t="s">
        <v>4988</v>
      </c>
      <c r="F167" s="1516"/>
      <c r="G167" s="1516"/>
      <c r="H167" s="1516"/>
      <c r="K167" t="s">
        <v>3902</v>
      </c>
      <c r="V167">
        <v>251</v>
      </c>
    </row>
    <row r="168" spans="1:22" customFormat="1" ht="15" x14ac:dyDescent="0.25">
      <c r="A168" t="s">
        <v>291</v>
      </c>
      <c r="E168" s="1515" t="s">
        <v>956</v>
      </c>
      <c r="F168" s="1516"/>
      <c r="G168" s="1516"/>
      <c r="H168" s="1516"/>
      <c r="K168" t="s">
        <v>3905</v>
      </c>
      <c r="V168">
        <v>46</v>
      </c>
    </row>
    <row r="169" spans="1:22" customFormat="1" ht="15" x14ac:dyDescent="0.25">
      <c r="A169" t="s">
        <v>291</v>
      </c>
      <c r="E169" s="1507" t="s">
        <v>3773</v>
      </c>
      <c r="F169" s="1507"/>
      <c r="G169" s="584" t="s">
        <v>777</v>
      </c>
      <c r="H169" s="576">
        <v>5</v>
      </c>
      <c r="K169" t="s">
        <v>3902</v>
      </c>
      <c r="L169" t="s">
        <v>690</v>
      </c>
      <c r="P169" t="s">
        <v>3906</v>
      </c>
      <c r="V169">
        <v>14</v>
      </c>
    </row>
    <row r="170" spans="1:22" customFormat="1" ht="18.75" x14ac:dyDescent="0.25">
      <c r="A170" t="s">
        <v>291</v>
      </c>
      <c r="E170" s="685" t="s">
        <v>3825</v>
      </c>
      <c r="F170" s="385"/>
      <c r="G170" s="385"/>
      <c r="H170" s="385"/>
      <c r="K170" t="s">
        <v>5088</v>
      </c>
      <c r="V170">
        <v>10</v>
      </c>
    </row>
    <row r="171" spans="1:22" customFormat="1" ht="15" x14ac:dyDescent="0.25">
      <c r="A171" t="s">
        <v>291</v>
      </c>
      <c r="E171" s="1507" t="s">
        <v>5089</v>
      </c>
      <c r="F171" s="1507"/>
      <c r="G171" s="584" t="s">
        <v>3775</v>
      </c>
      <c r="H171" s="577">
        <v>-0.5</v>
      </c>
      <c r="V171">
        <v>133</v>
      </c>
    </row>
    <row r="172" spans="1:22" customFormat="1" ht="15" x14ac:dyDescent="0.25">
      <c r="A172" t="s">
        <v>291</v>
      </c>
      <c r="E172" s="1507" t="s">
        <v>1079</v>
      </c>
      <c r="F172" s="1507"/>
      <c r="G172" s="584" t="s">
        <v>1118</v>
      </c>
      <c r="H172" s="576">
        <v>-1</v>
      </c>
      <c r="V172">
        <v>87</v>
      </c>
    </row>
    <row r="173" spans="1:22" customFormat="1" ht="36" x14ac:dyDescent="0.25">
      <c r="A173" t="s">
        <v>291</v>
      </c>
      <c r="E173" s="836" t="s">
        <v>3828</v>
      </c>
      <c r="F173" s="385"/>
      <c r="G173" s="385"/>
      <c r="H173" s="385"/>
      <c r="K173" t="s">
        <v>5090</v>
      </c>
      <c r="V173">
        <v>24</v>
      </c>
    </row>
    <row r="174" spans="1:22" customFormat="1" ht="15" x14ac:dyDescent="0.25">
      <c r="A174" t="s">
        <v>291</v>
      </c>
      <c r="E174" s="1516" t="s">
        <v>951</v>
      </c>
      <c r="F174" s="1516"/>
      <c r="G174" s="1516"/>
      <c r="H174" s="1516"/>
      <c r="V174">
        <v>280</v>
      </c>
    </row>
    <row r="175" spans="1:22" customFormat="1" ht="15" x14ac:dyDescent="0.25">
      <c r="A175" t="s">
        <v>291</v>
      </c>
      <c r="E175" s="1516" t="s">
        <v>1081</v>
      </c>
      <c r="F175" s="1516"/>
      <c r="G175" s="1516"/>
      <c r="H175" s="1516"/>
      <c r="V175">
        <v>353</v>
      </c>
    </row>
    <row r="176" spans="1:22" customFormat="1" ht="15" x14ac:dyDescent="0.25">
      <c r="A176" t="s">
        <v>291</v>
      </c>
      <c r="E176" s="1516" t="s">
        <v>4988</v>
      </c>
      <c r="F176" s="1516"/>
      <c r="G176" s="1516"/>
      <c r="H176" s="1516"/>
      <c r="V176">
        <v>251</v>
      </c>
    </row>
    <row r="177" spans="1:22" customFormat="1" ht="15" x14ac:dyDescent="0.25">
      <c r="A177" t="s">
        <v>291</v>
      </c>
      <c r="E177" s="835" t="s">
        <v>3830</v>
      </c>
      <c r="F177" s="320"/>
      <c r="G177" s="320"/>
      <c r="H177" s="320"/>
      <c r="K177" t="s">
        <v>5091</v>
      </c>
      <c r="V177">
        <v>23</v>
      </c>
    </row>
    <row r="178" spans="1:22" customFormat="1" ht="15" x14ac:dyDescent="0.25">
      <c r="A178" t="s">
        <v>291</v>
      </c>
      <c r="E178" s="1517" t="s">
        <v>3833</v>
      </c>
      <c r="F178" s="1517"/>
      <c r="G178" s="584" t="s">
        <v>777</v>
      </c>
      <c r="H178" s="576">
        <v>15</v>
      </c>
      <c r="V178">
        <v>20</v>
      </c>
    </row>
    <row r="179" spans="1:22" customFormat="1" ht="15" x14ac:dyDescent="0.25">
      <c r="A179" t="s">
        <v>291</v>
      </c>
      <c r="E179" s="1517" t="s">
        <v>4054</v>
      </c>
      <c r="F179" s="1517"/>
      <c r="G179" s="584" t="s">
        <v>777</v>
      </c>
      <c r="H179" s="576">
        <v>15</v>
      </c>
      <c r="V179">
        <v>26</v>
      </c>
    </row>
    <row r="180" spans="1:22" customFormat="1" ht="15" x14ac:dyDescent="0.25">
      <c r="A180" t="s">
        <v>291</v>
      </c>
      <c r="E180" s="1517" t="s">
        <v>3834</v>
      </c>
      <c r="F180" s="1517"/>
      <c r="G180" s="584" t="s">
        <v>777</v>
      </c>
      <c r="H180" s="576">
        <v>15</v>
      </c>
      <c r="V180">
        <v>39</v>
      </c>
    </row>
    <row r="181" spans="1:22" customFormat="1" ht="15" x14ac:dyDescent="0.25">
      <c r="A181" t="s">
        <v>291</v>
      </c>
      <c r="E181" s="1517" t="s">
        <v>4056</v>
      </c>
      <c r="F181" s="1517"/>
      <c r="G181" s="584" t="s">
        <v>777</v>
      </c>
      <c r="H181" s="576">
        <v>15</v>
      </c>
      <c r="V181">
        <v>15</v>
      </c>
    </row>
    <row r="182" spans="1:22" customFormat="1" ht="15" x14ac:dyDescent="0.25">
      <c r="A182" t="s">
        <v>291</v>
      </c>
      <c r="E182" s="1517" t="s">
        <v>4058</v>
      </c>
      <c r="F182" s="1517"/>
      <c r="G182" s="584" t="s">
        <v>777</v>
      </c>
      <c r="H182" s="576">
        <v>15</v>
      </c>
      <c r="V182">
        <v>15</v>
      </c>
    </row>
    <row r="183" spans="1:22" customFormat="1" ht="15" x14ac:dyDescent="0.25">
      <c r="A183" t="s">
        <v>291</v>
      </c>
      <c r="E183" s="1517" t="s">
        <v>3835</v>
      </c>
      <c r="F183" s="1517"/>
      <c r="G183" s="584" t="s">
        <v>777</v>
      </c>
      <c r="H183" s="576">
        <v>15</v>
      </c>
      <c r="V183">
        <v>56</v>
      </c>
    </row>
    <row r="184" spans="1:22" customFormat="1" ht="15" x14ac:dyDescent="0.25">
      <c r="A184" t="s">
        <v>291</v>
      </c>
      <c r="E184" s="1517" t="s">
        <v>3836</v>
      </c>
      <c r="F184" s="1517"/>
      <c r="G184" s="584" t="s">
        <v>777</v>
      </c>
      <c r="H184" s="576">
        <v>15</v>
      </c>
      <c r="V184">
        <v>35</v>
      </c>
    </row>
    <row r="185" spans="1:22" customFormat="1" ht="15" x14ac:dyDescent="0.25">
      <c r="A185" t="s">
        <v>291</v>
      </c>
      <c r="E185" s="1517" t="s">
        <v>3837</v>
      </c>
      <c r="F185" s="1517"/>
      <c r="G185" s="584" t="s">
        <v>777</v>
      </c>
      <c r="H185" s="576">
        <v>30</v>
      </c>
      <c r="V185">
        <v>89</v>
      </c>
    </row>
    <row r="186" spans="1:22" customFormat="1" ht="15" x14ac:dyDescent="0.25">
      <c r="A186" t="s">
        <v>291</v>
      </c>
      <c r="E186" s="1517" t="s">
        <v>3838</v>
      </c>
      <c r="F186" s="1517"/>
      <c r="G186" s="584" t="s">
        <v>777</v>
      </c>
      <c r="H186" s="576">
        <v>30</v>
      </c>
      <c r="V186">
        <v>74</v>
      </c>
    </row>
    <row r="187" spans="1:22" customFormat="1" ht="15" x14ac:dyDescent="0.25">
      <c r="A187" t="s">
        <v>291</v>
      </c>
      <c r="E187" s="835" t="s">
        <v>4062</v>
      </c>
      <c r="F187" s="320"/>
      <c r="G187" s="320"/>
      <c r="H187" s="320"/>
      <c r="K187" t="s">
        <v>5092</v>
      </c>
      <c r="V187">
        <v>22</v>
      </c>
    </row>
    <row r="188" spans="1:22" customFormat="1" ht="15" x14ac:dyDescent="0.25">
      <c r="A188" t="s">
        <v>291</v>
      </c>
      <c r="E188" s="1517" t="s">
        <v>5093</v>
      </c>
      <c r="F188" s="1517"/>
      <c r="G188" s="584" t="s">
        <v>1118</v>
      </c>
      <c r="H188" s="576">
        <v>1.5</v>
      </c>
      <c r="V188">
        <v>105</v>
      </c>
    </row>
    <row r="189" spans="1:22" customFormat="1" ht="15" x14ac:dyDescent="0.25">
      <c r="A189" t="s">
        <v>291</v>
      </c>
      <c r="E189" s="1517" t="s">
        <v>3842</v>
      </c>
      <c r="F189" s="1517"/>
      <c r="G189" s="584" t="s">
        <v>777</v>
      </c>
      <c r="H189" s="576">
        <v>65</v>
      </c>
      <c r="V189">
        <v>44</v>
      </c>
    </row>
    <row r="190" spans="1:22" customFormat="1" ht="15" x14ac:dyDescent="0.25">
      <c r="A190" t="s">
        <v>291</v>
      </c>
      <c r="E190" s="1517" t="s">
        <v>3843</v>
      </c>
      <c r="F190" s="1517"/>
      <c r="G190" s="584" t="s">
        <v>777</v>
      </c>
      <c r="H190" s="576">
        <v>185</v>
      </c>
      <c r="V190">
        <v>43</v>
      </c>
    </row>
    <row r="191" spans="1:22" customFormat="1" ht="15" x14ac:dyDescent="0.25">
      <c r="A191" t="s">
        <v>291</v>
      </c>
      <c r="E191" s="1517" t="s">
        <v>3844</v>
      </c>
      <c r="F191" s="1517"/>
      <c r="G191" s="584" t="s">
        <v>777</v>
      </c>
      <c r="H191" s="576">
        <v>185</v>
      </c>
      <c r="V191">
        <v>43</v>
      </c>
    </row>
    <row r="192" spans="1:22" customFormat="1" ht="15" x14ac:dyDescent="0.25">
      <c r="A192" t="s">
        <v>291</v>
      </c>
      <c r="E192" s="1517" t="s">
        <v>3845</v>
      </c>
      <c r="F192" s="1517"/>
      <c r="G192" s="584" t="s">
        <v>777</v>
      </c>
      <c r="H192" s="576">
        <v>415</v>
      </c>
      <c r="V192">
        <v>42</v>
      </c>
    </row>
    <row r="193" spans="1:22" customFormat="1" ht="15" x14ac:dyDescent="0.25">
      <c r="A193" t="s">
        <v>291</v>
      </c>
      <c r="E193" s="835" t="s">
        <v>3846</v>
      </c>
      <c r="F193" s="320"/>
      <c r="G193" s="320"/>
      <c r="H193" s="320"/>
      <c r="V193">
        <v>5</v>
      </c>
    </row>
    <row r="194" spans="1:22" customFormat="1" ht="15" x14ac:dyDescent="0.25">
      <c r="A194" t="s">
        <v>291</v>
      </c>
      <c r="E194" s="1517" t="s">
        <v>3914</v>
      </c>
      <c r="F194" s="1517"/>
      <c r="G194" s="584" t="s">
        <v>777</v>
      </c>
      <c r="H194" s="576">
        <v>30</v>
      </c>
      <c r="V194">
        <v>19</v>
      </c>
    </row>
    <row r="195" spans="1:22" customFormat="1" ht="15" x14ac:dyDescent="0.25">
      <c r="A195" t="s">
        <v>291</v>
      </c>
      <c r="E195" s="1517" t="s">
        <v>5094</v>
      </c>
      <c r="F195" s="1517"/>
      <c r="G195" s="584" t="s">
        <v>777</v>
      </c>
      <c r="H195" s="576">
        <v>30</v>
      </c>
      <c r="V195">
        <v>83</v>
      </c>
    </row>
    <row r="196" spans="1:22" customFormat="1" ht="15" x14ac:dyDescent="0.25">
      <c r="A196" t="s">
        <v>291</v>
      </c>
      <c r="E196" s="1517" t="s">
        <v>5095</v>
      </c>
      <c r="F196" s="1517"/>
      <c r="G196" s="584" t="s">
        <v>777</v>
      </c>
      <c r="H196" s="576">
        <v>165</v>
      </c>
      <c r="V196">
        <v>82</v>
      </c>
    </row>
    <row r="197" spans="1:22" customFormat="1" ht="15" x14ac:dyDescent="0.25">
      <c r="A197" t="s">
        <v>291</v>
      </c>
      <c r="E197" s="1517" t="s">
        <v>3848</v>
      </c>
      <c r="F197" s="1517"/>
      <c r="G197" s="584" t="s">
        <v>777</v>
      </c>
      <c r="H197" s="576">
        <v>500</v>
      </c>
      <c r="V197">
        <v>64</v>
      </c>
    </row>
    <row r="198" spans="1:22" customFormat="1" ht="15" x14ac:dyDescent="0.25">
      <c r="A198" t="s">
        <v>291</v>
      </c>
      <c r="E198" s="1517" t="s">
        <v>4808</v>
      </c>
      <c r="F198" s="1517"/>
      <c r="G198" s="584" t="s">
        <v>777</v>
      </c>
      <c r="H198" s="576">
        <v>300</v>
      </c>
      <c r="V198">
        <v>67</v>
      </c>
    </row>
    <row r="199" spans="1:22" customFormat="1" ht="15" x14ac:dyDescent="0.25">
      <c r="A199" t="s">
        <v>291</v>
      </c>
      <c r="E199" s="1517" t="s">
        <v>5096</v>
      </c>
      <c r="F199" s="1517"/>
      <c r="G199" s="584" t="s">
        <v>777</v>
      </c>
      <c r="H199" s="576">
        <v>39.14</v>
      </c>
      <c r="V199">
        <v>111</v>
      </c>
    </row>
    <row r="200" spans="1:22" customFormat="1" ht="18.75" x14ac:dyDescent="0.25">
      <c r="A200" t="s">
        <v>291</v>
      </c>
      <c r="E200" s="1492" t="s">
        <v>3851</v>
      </c>
      <c r="F200" s="1510"/>
      <c r="G200" s="385"/>
      <c r="H200" s="385"/>
      <c r="K200" t="s">
        <v>5097</v>
      </c>
      <c r="V200">
        <v>38</v>
      </c>
    </row>
    <row r="201" spans="1:22" customFormat="1" ht="15" x14ac:dyDescent="0.25">
      <c r="A201" t="s">
        <v>291</v>
      </c>
      <c r="E201" s="1516" t="s">
        <v>5098</v>
      </c>
      <c r="F201" s="1516"/>
      <c r="G201" s="1516"/>
      <c r="H201" s="1516"/>
      <c r="V201">
        <v>281</v>
      </c>
    </row>
    <row r="202" spans="1:22" customFormat="1" ht="15" x14ac:dyDescent="0.25">
      <c r="A202" t="s">
        <v>291</v>
      </c>
      <c r="E202" s="1516" t="s">
        <v>952</v>
      </c>
      <c r="F202" s="1516"/>
      <c r="G202" s="1516"/>
      <c r="H202" s="1516"/>
      <c r="V202">
        <v>411</v>
      </c>
    </row>
    <row r="203" spans="1:22" customFormat="1" ht="15" x14ac:dyDescent="0.25">
      <c r="A203" t="s">
        <v>291</v>
      </c>
      <c r="E203" s="1516" t="s">
        <v>1103</v>
      </c>
      <c r="F203" s="1516"/>
      <c r="G203" s="1516"/>
      <c r="H203" s="1516"/>
      <c r="V203">
        <v>211</v>
      </c>
    </row>
    <row r="204" spans="1:22" customFormat="1" ht="15" x14ac:dyDescent="0.25">
      <c r="A204" t="s">
        <v>291</v>
      </c>
      <c r="E204" s="1516" t="s">
        <v>4988</v>
      </c>
      <c r="F204" s="1516"/>
      <c r="G204" s="1516"/>
      <c r="H204" s="1516"/>
      <c r="V204">
        <v>251</v>
      </c>
    </row>
    <row r="205" spans="1:22" customFormat="1" ht="15" x14ac:dyDescent="0.25">
      <c r="A205" t="s">
        <v>291</v>
      </c>
      <c r="E205" s="1516" t="s">
        <v>1104</v>
      </c>
      <c r="F205" s="1516"/>
      <c r="G205" s="1516"/>
      <c r="H205" s="1516"/>
      <c r="V205">
        <v>142</v>
      </c>
    </row>
    <row r="206" spans="1:22" customFormat="1" ht="15" x14ac:dyDescent="0.25">
      <c r="A206" t="s">
        <v>291</v>
      </c>
      <c r="E206" s="1507" t="s">
        <v>849</v>
      </c>
      <c r="F206" s="1507"/>
      <c r="G206" s="585" t="s">
        <v>777</v>
      </c>
      <c r="H206" s="349">
        <v>121.23</v>
      </c>
      <c r="V206">
        <v>106</v>
      </c>
    </row>
    <row r="207" spans="1:22" customFormat="1" ht="15" x14ac:dyDescent="0.25">
      <c r="A207" t="s">
        <v>291</v>
      </c>
      <c r="E207" s="1507" t="s">
        <v>850</v>
      </c>
      <c r="F207" s="1507"/>
      <c r="G207" s="319" t="s">
        <v>777</v>
      </c>
      <c r="H207" s="267">
        <v>48.5</v>
      </c>
      <c r="V207">
        <v>34</v>
      </c>
    </row>
    <row r="208" spans="1:22" customFormat="1" ht="15" x14ac:dyDescent="0.25">
      <c r="A208" t="s">
        <v>291</v>
      </c>
      <c r="E208" s="1507" t="s">
        <v>851</v>
      </c>
      <c r="F208" s="1507"/>
      <c r="G208" s="319" t="s">
        <v>852</v>
      </c>
      <c r="H208" s="267">
        <v>1.2</v>
      </c>
      <c r="V208">
        <v>51</v>
      </c>
    </row>
    <row r="209" spans="1:22" customFormat="1" ht="15" x14ac:dyDescent="0.25">
      <c r="A209" t="s">
        <v>291</v>
      </c>
      <c r="E209" s="1507" t="s">
        <v>853</v>
      </c>
      <c r="F209" s="1507"/>
      <c r="G209" s="319" t="s">
        <v>852</v>
      </c>
      <c r="H209" s="267">
        <v>0.71</v>
      </c>
      <c r="V209">
        <v>75</v>
      </c>
    </row>
    <row r="210" spans="1:22" customFormat="1" ht="15" x14ac:dyDescent="0.25">
      <c r="A210" t="s">
        <v>291</v>
      </c>
      <c r="E210" s="1507" t="s">
        <v>854</v>
      </c>
      <c r="F210" s="1507"/>
      <c r="G210" s="319" t="s">
        <v>852</v>
      </c>
      <c r="H210" s="267">
        <v>-0.71</v>
      </c>
      <c r="V210">
        <v>72</v>
      </c>
    </row>
    <row r="211" spans="1:22" customFormat="1" ht="15" x14ac:dyDescent="0.25">
      <c r="A211" t="s">
        <v>291</v>
      </c>
      <c r="E211" s="1507" t="s">
        <v>855</v>
      </c>
      <c r="F211" s="1507"/>
      <c r="G211" s="319"/>
      <c r="H211" s="657"/>
      <c r="V211">
        <v>34</v>
      </c>
    </row>
    <row r="212" spans="1:22" customFormat="1" ht="15" x14ac:dyDescent="0.25">
      <c r="A212" t="s">
        <v>291</v>
      </c>
      <c r="E212" s="1511" t="s">
        <v>1106</v>
      </c>
      <c r="F212" s="1511"/>
      <c r="G212" s="319" t="s">
        <v>777</v>
      </c>
      <c r="H212" s="267">
        <v>0.61</v>
      </c>
      <c r="V212">
        <v>57</v>
      </c>
    </row>
    <row r="213" spans="1:22" customFormat="1" ht="15" x14ac:dyDescent="0.25">
      <c r="A213" t="s">
        <v>291</v>
      </c>
      <c r="E213" s="1511" t="s">
        <v>1107</v>
      </c>
      <c r="F213" s="1511"/>
      <c r="G213" s="319" t="s">
        <v>777</v>
      </c>
      <c r="H213" s="267">
        <v>1.2</v>
      </c>
      <c r="V213">
        <v>60</v>
      </c>
    </row>
    <row r="214" spans="1:22" customFormat="1" ht="15" x14ac:dyDescent="0.25">
      <c r="A214" t="s">
        <v>291</v>
      </c>
      <c r="E214" s="1507" t="s">
        <v>1108</v>
      </c>
      <c r="F214" s="1507"/>
      <c r="G214" s="319"/>
      <c r="H214" s="657"/>
      <c r="V214">
        <v>91</v>
      </c>
    </row>
    <row r="215" spans="1:22" customFormat="1" ht="15" x14ac:dyDescent="0.25">
      <c r="A215" t="s">
        <v>291</v>
      </c>
      <c r="E215" s="1507" t="s">
        <v>1109</v>
      </c>
      <c r="F215" s="1507"/>
      <c r="G215" s="319"/>
      <c r="H215" s="657"/>
      <c r="V215">
        <v>96</v>
      </c>
    </row>
    <row r="216" spans="1:22" customFormat="1" ht="15" x14ac:dyDescent="0.25">
      <c r="A216" t="s">
        <v>291</v>
      </c>
      <c r="E216" s="1507" t="s">
        <v>856</v>
      </c>
      <c r="F216" s="1507"/>
      <c r="G216" s="319"/>
      <c r="H216" s="657"/>
      <c r="V216">
        <v>77</v>
      </c>
    </row>
    <row r="217" spans="1:22" customFormat="1" ht="15" x14ac:dyDescent="0.25">
      <c r="A217" t="s">
        <v>291</v>
      </c>
      <c r="E217" s="1511" t="s">
        <v>1111</v>
      </c>
      <c r="F217" s="1511"/>
      <c r="G217" s="319" t="s">
        <v>777</v>
      </c>
      <c r="H217" s="657" t="s">
        <v>857</v>
      </c>
      <c r="V217">
        <v>18</v>
      </c>
    </row>
    <row r="218" spans="1:22" customFormat="1" ht="15" x14ac:dyDescent="0.25">
      <c r="A218" t="s">
        <v>291</v>
      </c>
      <c r="E218" s="1511" t="s">
        <v>1112</v>
      </c>
      <c r="F218" s="1511"/>
      <c r="G218" s="319" t="s">
        <v>777</v>
      </c>
      <c r="H218" s="267">
        <v>4.8499999999999996</v>
      </c>
      <c r="V218">
        <v>69</v>
      </c>
    </row>
    <row r="219" spans="1:22" customFormat="1" ht="15" x14ac:dyDescent="0.25">
      <c r="A219" t="s">
        <v>291</v>
      </c>
      <c r="E219" s="1507" t="s">
        <v>858</v>
      </c>
      <c r="F219" s="1507"/>
      <c r="G219" s="585" t="s">
        <v>777</v>
      </c>
      <c r="H219" s="349">
        <v>2.42</v>
      </c>
      <c r="V219">
        <v>199</v>
      </c>
    </row>
    <row r="220" spans="1:22" customFormat="1" ht="18.75" x14ac:dyDescent="0.25">
      <c r="A220" t="s">
        <v>291</v>
      </c>
      <c r="E220" s="836" t="s">
        <v>3853</v>
      </c>
      <c r="F220" s="385"/>
      <c r="G220" s="385"/>
      <c r="H220" s="385"/>
      <c r="K220" t="s">
        <v>5099</v>
      </c>
      <c r="V220">
        <v>12</v>
      </c>
    </row>
    <row r="221" spans="1:22" customFormat="1" ht="15" x14ac:dyDescent="0.25">
      <c r="A221" t="s">
        <v>291</v>
      </c>
      <c r="E221" s="1507" t="s">
        <v>1114</v>
      </c>
      <c r="F221" s="1507"/>
      <c r="G221" s="1507"/>
      <c r="H221" s="1507"/>
      <c r="V221">
        <v>203</v>
      </c>
    </row>
    <row r="222" spans="1:22" customFormat="1" ht="15" x14ac:dyDescent="0.25">
      <c r="A222" t="s">
        <v>291</v>
      </c>
      <c r="E222" s="1507" t="s">
        <v>1115</v>
      </c>
      <c r="F222" s="1507"/>
      <c r="G222" s="584"/>
      <c r="H222" s="650">
        <v>1.0376000000000001</v>
      </c>
      <c r="V222">
        <v>57</v>
      </c>
    </row>
    <row r="223" spans="1:22" customFormat="1" ht="15" x14ac:dyDescent="0.25">
      <c r="A223" t="s">
        <v>291</v>
      </c>
      <c r="E223" s="1507" t="s">
        <v>4072</v>
      </c>
      <c r="F223" s="1507"/>
      <c r="G223" s="584"/>
      <c r="H223" s="650">
        <v>1.0145</v>
      </c>
      <c r="V223">
        <v>57</v>
      </c>
    </row>
    <row r="224" spans="1:22" customFormat="1" ht="15" x14ac:dyDescent="0.25">
      <c r="A224" t="s">
        <v>291</v>
      </c>
      <c r="E224" s="1507" t="s">
        <v>1117</v>
      </c>
      <c r="F224" s="1507"/>
      <c r="G224" s="584"/>
      <c r="H224" s="650">
        <v>1.0271999999999999</v>
      </c>
      <c r="V224">
        <v>55</v>
      </c>
    </row>
    <row r="225" spans="1:22" customFormat="1" ht="15" x14ac:dyDescent="0.25">
      <c r="A225" t="s">
        <v>291</v>
      </c>
      <c r="E225" s="1507" t="s">
        <v>4073</v>
      </c>
      <c r="F225" s="1507"/>
      <c r="G225" s="584"/>
      <c r="H225" s="650">
        <v>1.0044999999999999</v>
      </c>
      <c r="J225" t="s">
        <v>5100</v>
      </c>
      <c r="V225">
        <v>55</v>
      </c>
    </row>
    <row r="226" spans="1:22" customFormat="1" ht="23.25" x14ac:dyDescent="0.25">
      <c r="A226" t="s">
        <v>167</v>
      </c>
      <c r="B226" t="s">
        <v>3919</v>
      </c>
      <c r="C226" t="s">
        <v>3755</v>
      </c>
      <c r="E226" s="1550" t="s">
        <v>167</v>
      </c>
      <c r="F226" s="1550"/>
      <c r="G226" s="1550"/>
      <c r="H226" s="1550"/>
      <c r="I226" t="s">
        <v>94</v>
      </c>
      <c r="J226" t="s">
        <v>3920</v>
      </c>
      <c r="K226" t="s">
        <v>167</v>
      </c>
      <c r="M226">
        <v>12</v>
      </c>
      <c r="V226">
        <v>29</v>
      </c>
    </row>
    <row r="227" spans="1:22" customFormat="1" ht="23.25" x14ac:dyDescent="0.25">
      <c r="A227" t="s">
        <v>167</v>
      </c>
      <c r="B227" t="s">
        <v>3919</v>
      </c>
      <c r="C227" t="s">
        <v>3757</v>
      </c>
      <c r="E227" s="1550" t="s">
        <v>173</v>
      </c>
      <c r="F227" s="1550"/>
      <c r="G227" s="1550"/>
      <c r="H227" s="1550"/>
      <c r="V227">
        <v>18</v>
      </c>
    </row>
    <row r="228" spans="1:22" customFormat="1" x14ac:dyDescent="0.25">
      <c r="A228" t="s">
        <v>167</v>
      </c>
      <c r="B228" t="s">
        <v>3919</v>
      </c>
      <c r="C228" t="s">
        <v>3758</v>
      </c>
      <c r="E228" s="1551" t="s">
        <v>944</v>
      </c>
      <c r="F228" s="1551"/>
      <c r="G228" s="1551"/>
      <c r="H228" s="1551"/>
      <c r="V228">
        <v>27</v>
      </c>
    </row>
    <row r="229" spans="1:22" customFormat="1" ht="15.75" x14ac:dyDescent="0.25">
      <c r="A229" t="s">
        <v>167</v>
      </c>
      <c r="B229" t="s">
        <v>3919</v>
      </c>
      <c r="C229" t="s">
        <v>3759</v>
      </c>
      <c r="E229" s="1543" t="s">
        <v>6511</v>
      </c>
      <c r="F229" s="1543"/>
      <c r="G229" s="1543"/>
      <c r="H229" s="1543"/>
      <c r="S229">
        <v>45658</v>
      </c>
      <c r="V229">
        <v>49</v>
      </c>
    </row>
    <row r="230" spans="1:22" customFormat="1" ht="15" x14ac:dyDescent="0.25">
      <c r="A230" t="s">
        <v>167</v>
      </c>
      <c r="B230" t="s">
        <v>3919</v>
      </c>
      <c r="E230" s="1544" t="s">
        <v>3921</v>
      </c>
      <c r="F230" s="1544"/>
      <c r="G230" s="1544"/>
      <c r="H230" s="1544"/>
      <c r="V230">
        <v>53</v>
      </c>
    </row>
    <row r="231" spans="1:22" customFormat="1" ht="15" x14ac:dyDescent="0.25">
      <c r="A231" t="s">
        <v>167</v>
      </c>
      <c r="B231" t="s">
        <v>3919</v>
      </c>
      <c r="E231" s="1544" t="s">
        <v>946</v>
      </c>
      <c r="F231" s="1544"/>
      <c r="G231" s="1544"/>
      <c r="H231" s="1544"/>
      <c r="V231">
        <v>53</v>
      </c>
    </row>
    <row r="232" spans="1:22" customFormat="1" ht="15" x14ac:dyDescent="0.25">
      <c r="A232" t="s">
        <v>167</v>
      </c>
      <c r="B232" t="s">
        <v>3919</v>
      </c>
      <c r="E232" s="1513" t="s">
        <v>6518</v>
      </c>
      <c r="F232" s="1513"/>
      <c r="G232" s="1513"/>
      <c r="H232" s="1513"/>
      <c r="K232" t="s">
        <v>6518</v>
      </c>
      <c r="V232">
        <v>12</v>
      </c>
    </row>
    <row r="233" spans="1:22" customFormat="1" ht="15" x14ac:dyDescent="0.25">
      <c r="A233" t="s">
        <v>167</v>
      </c>
      <c r="B233" t="s">
        <v>3919</v>
      </c>
      <c r="E233" s="1492" t="s">
        <v>170</v>
      </c>
      <c r="F233" s="1516"/>
      <c r="G233" s="1516"/>
      <c r="H233" s="1516"/>
      <c r="K233" t="s">
        <v>947</v>
      </c>
      <c r="V233">
        <v>34</v>
      </c>
    </row>
    <row r="234" spans="1:22" customFormat="1" ht="15" x14ac:dyDescent="0.25">
      <c r="A234" t="s">
        <v>167</v>
      </c>
      <c r="B234" t="s">
        <v>3919</v>
      </c>
      <c r="E234" s="1516" t="s">
        <v>3922</v>
      </c>
      <c r="F234" s="1516"/>
      <c r="G234" s="1516"/>
      <c r="H234" s="1516"/>
      <c r="K234" t="s">
        <v>947</v>
      </c>
      <c r="V234">
        <v>579</v>
      </c>
    </row>
    <row r="235" spans="1:22" customFormat="1" ht="15" x14ac:dyDescent="0.25">
      <c r="A235" t="s">
        <v>167</v>
      </c>
      <c r="B235" t="s">
        <v>3919</v>
      </c>
      <c r="E235" s="1515" t="s">
        <v>950</v>
      </c>
      <c r="F235" s="1516"/>
      <c r="G235" s="1516"/>
      <c r="H235" s="1516"/>
      <c r="K235" t="s">
        <v>949</v>
      </c>
      <c r="V235">
        <v>11</v>
      </c>
    </row>
    <row r="236" spans="1:22" customFormat="1" ht="15" x14ac:dyDescent="0.25">
      <c r="A236" t="s">
        <v>167</v>
      </c>
      <c r="B236" t="s">
        <v>3919</v>
      </c>
      <c r="E236" s="1516" t="s">
        <v>951</v>
      </c>
      <c r="F236" s="1516"/>
      <c r="G236" s="1516"/>
      <c r="H236" s="1516"/>
      <c r="K236" t="s">
        <v>947</v>
      </c>
      <c r="V236">
        <v>280</v>
      </c>
    </row>
    <row r="237" spans="1:22" customFormat="1" ht="15" x14ac:dyDescent="0.25">
      <c r="A237" t="s">
        <v>167</v>
      </c>
      <c r="B237" t="s">
        <v>3919</v>
      </c>
      <c r="E237" s="1516" t="s">
        <v>3923</v>
      </c>
      <c r="F237" s="1516"/>
      <c r="G237" s="1516"/>
      <c r="H237" s="1516"/>
      <c r="K237" t="s">
        <v>947</v>
      </c>
      <c r="V237">
        <v>426</v>
      </c>
    </row>
    <row r="238" spans="1:22" customFormat="1" ht="15" x14ac:dyDescent="0.25">
      <c r="A238" t="s">
        <v>167</v>
      </c>
      <c r="B238" t="s">
        <v>3919</v>
      </c>
      <c r="E238" s="1516" t="s">
        <v>953</v>
      </c>
      <c r="F238" s="1516"/>
      <c r="G238" s="1516"/>
      <c r="H238" s="1516"/>
      <c r="K238" t="s">
        <v>947</v>
      </c>
      <c r="V238">
        <v>386</v>
      </c>
    </row>
    <row r="239" spans="1:22" customFormat="1" ht="15" x14ac:dyDescent="0.25">
      <c r="A239" t="s">
        <v>167</v>
      </c>
      <c r="B239" t="s">
        <v>3919</v>
      </c>
      <c r="E239" s="1516" t="s">
        <v>3762</v>
      </c>
      <c r="F239" s="1516"/>
      <c r="G239" s="1516"/>
      <c r="H239" s="1516"/>
      <c r="K239" t="s">
        <v>947</v>
      </c>
      <c r="V239">
        <v>247</v>
      </c>
    </row>
    <row r="240" spans="1:22" customFormat="1" ht="15" x14ac:dyDescent="0.25">
      <c r="A240" t="s">
        <v>167</v>
      </c>
      <c r="B240" t="s">
        <v>3919</v>
      </c>
      <c r="E240" s="1515" t="s">
        <v>956</v>
      </c>
      <c r="F240" s="1516"/>
      <c r="G240" s="1516"/>
      <c r="H240" s="1516"/>
      <c r="K240" t="s">
        <v>955</v>
      </c>
      <c r="V240">
        <v>46</v>
      </c>
    </row>
    <row r="241" spans="1:22" customFormat="1" ht="15" x14ac:dyDescent="0.25">
      <c r="A241" t="s">
        <v>167</v>
      </c>
      <c r="B241" t="s">
        <v>3919</v>
      </c>
      <c r="E241" s="1507" t="s">
        <v>3773</v>
      </c>
      <c r="F241" s="1507"/>
      <c r="G241" s="584" t="s">
        <v>777</v>
      </c>
      <c r="H241" s="650">
        <v>28.95</v>
      </c>
      <c r="K241" t="s">
        <v>947</v>
      </c>
      <c r="L241" t="s">
        <v>690</v>
      </c>
      <c r="P241" t="s">
        <v>957</v>
      </c>
      <c r="V241">
        <v>14</v>
      </c>
    </row>
    <row r="242" spans="1:22" customFormat="1" ht="15" x14ac:dyDescent="0.25">
      <c r="A242" t="s">
        <v>167</v>
      </c>
      <c r="B242" t="s">
        <v>3919</v>
      </c>
      <c r="E242" s="1507" t="s">
        <v>3924</v>
      </c>
      <c r="F242" s="1507"/>
      <c r="G242" s="584" t="s">
        <v>777</v>
      </c>
      <c r="H242" s="650">
        <v>0.22</v>
      </c>
      <c r="K242" t="s">
        <v>947</v>
      </c>
      <c r="L242" t="s">
        <v>690</v>
      </c>
      <c r="P242" t="s">
        <v>3925</v>
      </c>
      <c r="V242">
        <v>141</v>
      </c>
    </row>
    <row r="243" spans="1:22" customFormat="1" ht="15" x14ac:dyDescent="0.25">
      <c r="A243" t="s">
        <v>167</v>
      </c>
      <c r="B243" t="s">
        <v>3919</v>
      </c>
      <c r="E243" s="1507" t="s">
        <v>3926</v>
      </c>
      <c r="F243" s="1507"/>
      <c r="G243" s="584" t="s">
        <v>777</v>
      </c>
      <c r="H243" s="650">
        <v>0.23</v>
      </c>
      <c r="K243" t="s">
        <v>947</v>
      </c>
      <c r="L243" t="s">
        <v>690</v>
      </c>
      <c r="P243" t="s">
        <v>3927</v>
      </c>
      <c r="V243">
        <v>141</v>
      </c>
    </row>
    <row r="244" spans="1:22" customFormat="1" ht="15" x14ac:dyDescent="0.25">
      <c r="A244" t="s">
        <v>167</v>
      </c>
      <c r="B244" t="s">
        <v>3919</v>
      </c>
      <c r="E244" s="1507" t="s">
        <v>960</v>
      </c>
      <c r="F244" s="1507"/>
      <c r="G244" s="584" t="s">
        <v>777</v>
      </c>
      <c r="H244" s="650">
        <v>0.42</v>
      </c>
      <c r="K244" t="s">
        <v>947</v>
      </c>
      <c r="L244" t="s">
        <v>692</v>
      </c>
      <c r="P244" t="s">
        <v>959</v>
      </c>
      <c r="V244">
        <v>64</v>
      </c>
    </row>
    <row r="245" spans="1:22" customFormat="1" ht="15" x14ac:dyDescent="0.25">
      <c r="A245" t="s">
        <v>167</v>
      </c>
      <c r="B245" t="s">
        <v>3919</v>
      </c>
      <c r="E245" s="1507" t="s">
        <v>910</v>
      </c>
      <c r="F245" s="1507"/>
      <c r="G245" s="584" t="s">
        <v>845</v>
      </c>
      <c r="H245" s="650">
        <v>1E-4</v>
      </c>
      <c r="K245" t="s">
        <v>947</v>
      </c>
      <c r="L245" t="s">
        <v>692</v>
      </c>
      <c r="P245" t="s">
        <v>961</v>
      </c>
      <c r="V245">
        <v>24</v>
      </c>
    </row>
    <row r="246" spans="1:22" customFormat="1" ht="15" x14ac:dyDescent="0.25">
      <c r="A246" t="s">
        <v>167</v>
      </c>
      <c r="B246" t="s">
        <v>3919</v>
      </c>
      <c r="E246" s="1507" t="s">
        <v>6519</v>
      </c>
      <c r="F246" s="1510"/>
      <c r="G246" s="584" t="s">
        <v>845</v>
      </c>
      <c r="H246" s="650">
        <v>2.5000000000000001E-3</v>
      </c>
      <c r="K246" t="s">
        <v>947</v>
      </c>
      <c r="L246" t="s">
        <v>692</v>
      </c>
      <c r="P246" t="s">
        <v>962</v>
      </c>
      <c r="T246">
        <v>46022</v>
      </c>
      <c r="V246">
        <v>142</v>
      </c>
    </row>
    <row r="247" spans="1:22" customFormat="1" ht="15" x14ac:dyDescent="0.25">
      <c r="A247" t="s">
        <v>167</v>
      </c>
      <c r="B247" t="s">
        <v>3919</v>
      </c>
      <c r="E247" s="1507" t="s">
        <v>6520</v>
      </c>
      <c r="F247" s="1510"/>
      <c r="G247" s="584" t="s">
        <v>845</v>
      </c>
      <c r="H247" s="650">
        <v>2.0000000000000001E-4</v>
      </c>
      <c r="K247" t="s">
        <v>947</v>
      </c>
      <c r="L247" t="s">
        <v>692</v>
      </c>
      <c r="P247" t="s">
        <v>963</v>
      </c>
      <c r="T247">
        <v>46022</v>
      </c>
      <c r="V247">
        <v>99</v>
      </c>
    </row>
    <row r="248" spans="1:22" customFormat="1" ht="15" x14ac:dyDescent="0.25">
      <c r="A248" t="s">
        <v>167</v>
      </c>
      <c r="B248" t="s">
        <v>3919</v>
      </c>
      <c r="E248" s="1507" t="s">
        <v>6521</v>
      </c>
      <c r="F248" s="1510"/>
      <c r="G248" s="584" t="s">
        <v>845</v>
      </c>
      <c r="H248" s="650">
        <v>2.0000000000000001E-4</v>
      </c>
      <c r="K248" t="s">
        <v>947</v>
      </c>
      <c r="L248" t="s">
        <v>692</v>
      </c>
      <c r="P248" t="s">
        <v>3764</v>
      </c>
      <c r="T248">
        <v>46022</v>
      </c>
      <c r="V248">
        <v>149</v>
      </c>
    </row>
    <row r="249" spans="1:22" customFormat="1" ht="15" x14ac:dyDescent="0.25">
      <c r="A249" t="s">
        <v>167</v>
      </c>
      <c r="B249" t="s">
        <v>3919</v>
      </c>
      <c r="E249" s="1507" t="s">
        <v>243</v>
      </c>
      <c r="F249" s="1507"/>
      <c r="G249" s="584" t="s">
        <v>845</v>
      </c>
      <c r="H249" s="650">
        <v>1.2800000000000001E-2</v>
      </c>
      <c r="K249" t="s">
        <v>947</v>
      </c>
      <c r="L249" t="s">
        <v>694</v>
      </c>
      <c r="P249" t="s">
        <v>964</v>
      </c>
      <c r="V249">
        <v>47</v>
      </c>
    </row>
    <row r="250" spans="1:22" customFormat="1" ht="15" x14ac:dyDescent="0.25">
      <c r="A250" t="s">
        <v>167</v>
      </c>
      <c r="B250" t="s">
        <v>3919</v>
      </c>
      <c r="E250" s="1507" t="s">
        <v>175</v>
      </c>
      <c r="F250" s="1507"/>
      <c r="G250" s="584" t="s">
        <v>845</v>
      </c>
      <c r="H250" s="650">
        <v>8.6999999999999994E-3</v>
      </c>
      <c r="K250" t="s">
        <v>947</v>
      </c>
      <c r="L250" t="s">
        <v>694</v>
      </c>
      <c r="P250" t="s">
        <v>965</v>
      </c>
      <c r="V250">
        <v>74</v>
      </c>
    </row>
    <row r="251" spans="1:22" customFormat="1" ht="15" x14ac:dyDescent="0.25">
      <c r="A251" t="s">
        <v>167</v>
      </c>
      <c r="B251" t="s">
        <v>3919</v>
      </c>
      <c r="E251" s="1515" t="s">
        <v>967</v>
      </c>
      <c r="F251" s="1507"/>
      <c r="G251" s="584"/>
      <c r="H251" s="584"/>
      <c r="K251" t="s">
        <v>966</v>
      </c>
      <c r="V251">
        <v>48</v>
      </c>
    </row>
    <row r="252" spans="1:22" customFormat="1" ht="15" x14ac:dyDescent="0.25">
      <c r="A252" t="s">
        <v>167</v>
      </c>
      <c r="B252" t="s">
        <v>3919</v>
      </c>
      <c r="E252" s="1507" t="s">
        <v>844</v>
      </c>
      <c r="F252" s="1507"/>
      <c r="G252" s="584" t="s">
        <v>845</v>
      </c>
      <c r="H252" s="650">
        <v>4.1000000000000003E-3</v>
      </c>
      <c r="K252" t="s">
        <v>947</v>
      </c>
      <c r="L252" t="s">
        <v>968</v>
      </c>
      <c r="P252" t="s">
        <v>969</v>
      </c>
      <c r="V252">
        <v>55</v>
      </c>
    </row>
    <row r="253" spans="1:22" customFormat="1" ht="15" x14ac:dyDescent="0.25">
      <c r="A253" t="s">
        <v>167</v>
      </c>
      <c r="B253" t="s">
        <v>3919</v>
      </c>
      <c r="E253" s="1507" t="s">
        <v>846</v>
      </c>
      <c r="F253" s="1507"/>
      <c r="G253" s="584" t="s">
        <v>845</v>
      </c>
      <c r="H253" s="650">
        <v>4.0000000000000002E-4</v>
      </c>
      <c r="K253" t="s">
        <v>947</v>
      </c>
      <c r="L253" t="s">
        <v>968</v>
      </c>
      <c r="P253" t="s">
        <v>969</v>
      </c>
      <c r="V253">
        <v>65</v>
      </c>
    </row>
    <row r="254" spans="1:22" customFormat="1" ht="15" x14ac:dyDescent="0.25">
      <c r="A254" t="s">
        <v>167</v>
      </c>
      <c r="B254" t="s">
        <v>3919</v>
      </c>
      <c r="E254" s="1507" t="s">
        <v>847</v>
      </c>
      <c r="F254" s="1507"/>
      <c r="G254" s="584" t="s">
        <v>845</v>
      </c>
      <c r="H254" s="650">
        <v>1.5E-3</v>
      </c>
      <c r="K254" t="s">
        <v>947</v>
      </c>
      <c r="L254" t="s">
        <v>968</v>
      </c>
      <c r="P254" t="s">
        <v>970</v>
      </c>
      <c r="V254">
        <v>57</v>
      </c>
    </row>
    <row r="255" spans="1:22" customFormat="1" ht="15" x14ac:dyDescent="0.25">
      <c r="A255" t="s">
        <v>167</v>
      </c>
      <c r="B255" t="s">
        <v>3919</v>
      </c>
      <c r="E255" s="1507" t="s">
        <v>848</v>
      </c>
      <c r="F255" s="1507"/>
      <c r="G255" s="584" t="s">
        <v>777</v>
      </c>
      <c r="H255" s="650">
        <v>0.25</v>
      </c>
      <c r="K255" t="s">
        <v>947</v>
      </c>
      <c r="L255" t="s">
        <v>968</v>
      </c>
      <c r="P255" t="s">
        <v>971</v>
      </c>
      <c r="V255">
        <v>63</v>
      </c>
    </row>
    <row r="256" spans="1:22" customFormat="1" x14ac:dyDescent="0.25">
      <c r="A256" t="s">
        <v>167</v>
      </c>
      <c r="B256" t="s">
        <v>3919</v>
      </c>
      <c r="E256" s="1492" t="s">
        <v>174</v>
      </c>
      <c r="F256" s="1493"/>
      <c r="G256" s="1493"/>
      <c r="H256" s="1493"/>
      <c r="K256" t="s">
        <v>972</v>
      </c>
      <c r="V256">
        <v>54</v>
      </c>
    </row>
    <row r="257" spans="1:22" customFormat="1" ht="15" x14ac:dyDescent="0.25">
      <c r="A257" t="s">
        <v>167</v>
      </c>
      <c r="B257" t="s">
        <v>3919</v>
      </c>
      <c r="E257" s="1516" t="s">
        <v>3928</v>
      </c>
      <c r="F257" s="1516"/>
      <c r="G257" s="1516"/>
      <c r="H257" s="1516"/>
      <c r="K257" t="s">
        <v>972</v>
      </c>
      <c r="V257">
        <v>704</v>
      </c>
    </row>
    <row r="258" spans="1:22" customFormat="1" ht="15" x14ac:dyDescent="0.25">
      <c r="A258" t="s">
        <v>167</v>
      </c>
      <c r="B258" t="s">
        <v>3919</v>
      </c>
      <c r="E258" s="1515" t="s">
        <v>950</v>
      </c>
      <c r="F258" s="1516"/>
      <c r="G258" s="1516"/>
      <c r="H258" s="1516"/>
      <c r="K258" t="s">
        <v>974</v>
      </c>
      <c r="V258">
        <v>11</v>
      </c>
    </row>
    <row r="259" spans="1:22" customFormat="1" ht="15" x14ac:dyDescent="0.25">
      <c r="A259" t="s">
        <v>167</v>
      </c>
      <c r="B259" t="s">
        <v>3919</v>
      </c>
      <c r="E259" s="1516" t="s">
        <v>951</v>
      </c>
      <c r="F259" s="1516"/>
      <c r="G259" s="1516"/>
      <c r="H259" s="1516"/>
      <c r="K259" t="s">
        <v>972</v>
      </c>
      <c r="V259">
        <v>280</v>
      </c>
    </row>
    <row r="260" spans="1:22" customFormat="1" ht="15" x14ac:dyDescent="0.25">
      <c r="A260" t="s">
        <v>167</v>
      </c>
      <c r="B260" t="s">
        <v>3919</v>
      </c>
      <c r="E260" s="1516" t="s">
        <v>952</v>
      </c>
      <c r="F260" s="1516"/>
      <c r="G260" s="1516"/>
      <c r="H260" s="1516"/>
      <c r="K260" t="s">
        <v>972</v>
      </c>
      <c r="V260">
        <v>411</v>
      </c>
    </row>
    <row r="261" spans="1:22" customFormat="1" ht="15" x14ac:dyDescent="0.25">
      <c r="A261" t="s">
        <v>167</v>
      </c>
      <c r="B261" t="s">
        <v>3919</v>
      </c>
      <c r="E261" s="1516" t="s">
        <v>953</v>
      </c>
      <c r="F261" s="1516"/>
      <c r="G261" s="1516"/>
      <c r="H261" s="1516"/>
      <c r="K261" t="s">
        <v>972</v>
      </c>
      <c r="V261">
        <v>386</v>
      </c>
    </row>
    <row r="262" spans="1:22" customFormat="1" ht="15" x14ac:dyDescent="0.25">
      <c r="A262" t="s">
        <v>167</v>
      </c>
      <c r="B262" t="s">
        <v>3919</v>
      </c>
      <c r="E262" s="1516" t="s">
        <v>3762</v>
      </c>
      <c r="F262" s="1516"/>
      <c r="G262" s="1516"/>
      <c r="H262" s="1516"/>
      <c r="K262" t="s">
        <v>972</v>
      </c>
      <c r="V262">
        <v>247</v>
      </c>
    </row>
    <row r="263" spans="1:22" customFormat="1" ht="15" x14ac:dyDescent="0.25">
      <c r="A263" t="s">
        <v>167</v>
      </c>
      <c r="B263" t="s">
        <v>3919</v>
      </c>
      <c r="E263" s="1515" t="s">
        <v>956</v>
      </c>
      <c r="F263" s="1516"/>
      <c r="G263" s="1516"/>
      <c r="H263" s="1516"/>
      <c r="K263" t="s">
        <v>975</v>
      </c>
      <c r="V263">
        <v>46</v>
      </c>
    </row>
    <row r="264" spans="1:22" customFormat="1" ht="15" x14ac:dyDescent="0.25">
      <c r="A264" t="s">
        <v>167</v>
      </c>
      <c r="B264" t="s">
        <v>3919</v>
      </c>
      <c r="E264" s="1507" t="s">
        <v>3773</v>
      </c>
      <c r="F264" s="1507"/>
      <c r="G264" s="584" t="s">
        <v>777</v>
      </c>
      <c r="H264" s="650">
        <v>30.57</v>
      </c>
      <c r="K264" t="s">
        <v>972</v>
      </c>
      <c r="L264" t="s">
        <v>690</v>
      </c>
      <c r="P264" t="s">
        <v>976</v>
      </c>
      <c r="V264">
        <v>14</v>
      </c>
    </row>
    <row r="265" spans="1:22" customFormat="1" ht="15" x14ac:dyDescent="0.25">
      <c r="A265" t="s">
        <v>167</v>
      </c>
      <c r="B265" t="s">
        <v>3919</v>
      </c>
      <c r="E265" s="1507" t="s">
        <v>3924</v>
      </c>
      <c r="F265" s="1507"/>
      <c r="G265" s="584" t="s">
        <v>777</v>
      </c>
      <c r="H265" s="650">
        <v>0.24</v>
      </c>
      <c r="K265" t="s">
        <v>972</v>
      </c>
      <c r="L265" t="s">
        <v>690</v>
      </c>
      <c r="P265" t="s">
        <v>3929</v>
      </c>
      <c r="V265">
        <v>141</v>
      </c>
    </row>
    <row r="266" spans="1:22" customFormat="1" ht="15" x14ac:dyDescent="0.25">
      <c r="A266" t="s">
        <v>167</v>
      </c>
      <c r="B266" t="s">
        <v>3919</v>
      </c>
      <c r="E266" s="1507" t="s">
        <v>3926</v>
      </c>
      <c r="F266" s="1507"/>
      <c r="G266" s="584" t="s">
        <v>777</v>
      </c>
      <c r="H266" s="650">
        <v>0.24</v>
      </c>
      <c r="K266" t="s">
        <v>972</v>
      </c>
      <c r="L266" t="s">
        <v>690</v>
      </c>
      <c r="P266" t="s">
        <v>3930</v>
      </c>
      <c r="V266">
        <v>141</v>
      </c>
    </row>
    <row r="267" spans="1:22" customFormat="1" ht="15" x14ac:dyDescent="0.25">
      <c r="A267" t="s">
        <v>167</v>
      </c>
      <c r="B267" t="s">
        <v>3919</v>
      </c>
      <c r="E267" s="1507" t="s">
        <v>960</v>
      </c>
      <c r="F267" s="1507"/>
      <c r="G267" s="584" t="s">
        <v>777</v>
      </c>
      <c r="H267" s="650">
        <v>0.42</v>
      </c>
      <c r="K267" t="s">
        <v>972</v>
      </c>
      <c r="L267" t="s">
        <v>692</v>
      </c>
      <c r="P267" t="s">
        <v>977</v>
      </c>
      <c r="V267">
        <v>64</v>
      </c>
    </row>
    <row r="268" spans="1:22" customFormat="1" ht="15" x14ac:dyDescent="0.25">
      <c r="A268" t="s">
        <v>167</v>
      </c>
      <c r="B268" t="s">
        <v>3919</v>
      </c>
      <c r="E268" s="1507" t="s">
        <v>3688</v>
      </c>
      <c r="F268" s="1507"/>
      <c r="G268" s="584" t="s">
        <v>845</v>
      </c>
      <c r="H268" s="650">
        <v>2.0199999999999999E-2</v>
      </c>
      <c r="K268" t="s">
        <v>972</v>
      </c>
      <c r="L268" t="s">
        <v>690</v>
      </c>
      <c r="P268" t="s">
        <v>978</v>
      </c>
      <c r="V268">
        <v>28</v>
      </c>
    </row>
    <row r="269" spans="1:22" customFormat="1" ht="15" x14ac:dyDescent="0.25">
      <c r="A269" t="s">
        <v>167</v>
      </c>
      <c r="B269" t="s">
        <v>3919</v>
      </c>
      <c r="E269" s="1507" t="s">
        <v>910</v>
      </c>
      <c r="F269" s="1507"/>
      <c r="G269" s="584" t="s">
        <v>845</v>
      </c>
      <c r="H269" s="650">
        <v>1E-4</v>
      </c>
      <c r="K269" t="s">
        <v>972</v>
      </c>
      <c r="L269" t="s">
        <v>692</v>
      </c>
      <c r="P269" t="s">
        <v>980</v>
      </c>
      <c r="V269">
        <v>24</v>
      </c>
    </row>
    <row r="270" spans="1:22" customFormat="1" ht="15" x14ac:dyDescent="0.25">
      <c r="A270" t="s">
        <v>167</v>
      </c>
      <c r="B270" t="s">
        <v>3919</v>
      </c>
      <c r="E270" s="1507" t="s">
        <v>6519</v>
      </c>
      <c r="F270" s="1510"/>
      <c r="G270" s="584" t="s">
        <v>845</v>
      </c>
      <c r="H270" s="650">
        <v>2.5000000000000001E-3</v>
      </c>
      <c r="K270" t="s">
        <v>972</v>
      </c>
      <c r="L270" t="s">
        <v>692</v>
      </c>
      <c r="P270" t="s">
        <v>981</v>
      </c>
      <c r="T270">
        <v>46022</v>
      </c>
      <c r="V270">
        <v>142</v>
      </c>
    </row>
    <row r="271" spans="1:22" customFormat="1" ht="15" x14ac:dyDescent="0.25">
      <c r="A271" t="s">
        <v>167</v>
      </c>
      <c r="B271" t="s">
        <v>3919</v>
      </c>
      <c r="E271" s="1507" t="s">
        <v>6520</v>
      </c>
      <c r="F271" s="1510"/>
      <c r="G271" s="584" t="s">
        <v>845</v>
      </c>
      <c r="H271" s="650">
        <v>2.9999999999999997E-4</v>
      </c>
      <c r="K271" t="s">
        <v>972</v>
      </c>
      <c r="L271" t="s">
        <v>692</v>
      </c>
      <c r="P271" t="s">
        <v>982</v>
      </c>
      <c r="T271">
        <v>46022</v>
      </c>
      <c r="V271">
        <v>99</v>
      </c>
    </row>
    <row r="272" spans="1:22" customFormat="1" ht="15" x14ac:dyDescent="0.25">
      <c r="A272" t="s">
        <v>167</v>
      </c>
      <c r="B272" t="s">
        <v>3919</v>
      </c>
      <c r="E272" s="1507" t="s">
        <v>6521</v>
      </c>
      <c r="F272" s="1510"/>
      <c r="G272" s="584" t="s">
        <v>845</v>
      </c>
      <c r="H272" s="650">
        <v>2.0000000000000001E-4</v>
      </c>
      <c r="K272" t="s">
        <v>972</v>
      </c>
      <c r="L272" t="s">
        <v>692</v>
      </c>
      <c r="P272" t="s">
        <v>3766</v>
      </c>
      <c r="T272">
        <v>46022</v>
      </c>
      <c r="V272">
        <v>149</v>
      </c>
    </row>
    <row r="273" spans="1:22" customFormat="1" ht="15" x14ac:dyDescent="0.25">
      <c r="A273" t="s">
        <v>167</v>
      </c>
      <c r="B273" t="s">
        <v>3919</v>
      </c>
      <c r="E273" s="1507" t="s">
        <v>3924</v>
      </c>
      <c r="F273" s="1507"/>
      <c r="G273" s="584" t="s">
        <v>845</v>
      </c>
      <c r="H273" s="650">
        <v>2.0000000000000001E-4</v>
      </c>
      <c r="K273" t="s">
        <v>972</v>
      </c>
      <c r="L273" t="s">
        <v>690</v>
      </c>
      <c r="P273" t="s">
        <v>6522</v>
      </c>
      <c r="V273">
        <v>141</v>
      </c>
    </row>
    <row r="274" spans="1:22" customFormat="1" ht="15" x14ac:dyDescent="0.25">
      <c r="A274" t="s">
        <v>167</v>
      </c>
      <c r="B274" t="s">
        <v>3919</v>
      </c>
      <c r="E274" s="1507" t="s">
        <v>3926</v>
      </c>
      <c r="F274" s="1507"/>
      <c r="G274" s="584" t="s">
        <v>845</v>
      </c>
      <c r="H274" s="650">
        <v>2.0000000000000001E-4</v>
      </c>
      <c r="K274" t="s">
        <v>972</v>
      </c>
      <c r="L274" t="s">
        <v>690</v>
      </c>
      <c r="P274" t="s">
        <v>6523</v>
      </c>
      <c r="V274">
        <v>141</v>
      </c>
    </row>
    <row r="275" spans="1:22" customFormat="1" ht="15" x14ac:dyDescent="0.25">
      <c r="A275" t="s">
        <v>167</v>
      </c>
      <c r="B275" t="s">
        <v>3919</v>
      </c>
      <c r="E275" s="1507" t="s">
        <v>6524</v>
      </c>
      <c r="F275" s="1507"/>
      <c r="G275" s="584" t="s">
        <v>845</v>
      </c>
      <c r="H275" s="650">
        <v>1.2999999999999999E-3</v>
      </c>
      <c r="K275" t="s">
        <v>972</v>
      </c>
      <c r="L275" t="s">
        <v>690</v>
      </c>
      <c r="P275" t="s">
        <v>3931</v>
      </c>
      <c r="T275">
        <v>46022</v>
      </c>
      <c r="V275">
        <v>150</v>
      </c>
    </row>
    <row r="276" spans="1:22" customFormat="1" ht="15" x14ac:dyDescent="0.25">
      <c r="A276" t="s">
        <v>167</v>
      </c>
      <c r="B276" t="s">
        <v>3919</v>
      </c>
      <c r="E276" s="1507" t="s">
        <v>243</v>
      </c>
      <c r="F276" s="1507"/>
      <c r="G276" s="584" t="s">
        <v>845</v>
      </c>
      <c r="H276" s="650">
        <v>1.1299999999999999E-2</v>
      </c>
      <c r="K276" t="s">
        <v>972</v>
      </c>
      <c r="L276" t="s">
        <v>694</v>
      </c>
      <c r="P276" t="s">
        <v>983</v>
      </c>
      <c r="V276">
        <v>47</v>
      </c>
    </row>
    <row r="277" spans="1:22" customFormat="1" ht="15" x14ac:dyDescent="0.25">
      <c r="A277" t="s">
        <v>167</v>
      </c>
      <c r="B277" t="s">
        <v>3919</v>
      </c>
      <c r="E277" s="1507" t="s">
        <v>175</v>
      </c>
      <c r="F277" s="1507"/>
      <c r="G277" s="584" t="s">
        <v>845</v>
      </c>
      <c r="H277" s="650">
        <v>7.1999999999999998E-3</v>
      </c>
      <c r="K277" t="s">
        <v>972</v>
      </c>
      <c r="L277" t="s">
        <v>694</v>
      </c>
      <c r="P277" t="s">
        <v>984</v>
      </c>
      <c r="V277">
        <v>74</v>
      </c>
    </row>
    <row r="278" spans="1:22" customFormat="1" ht="15" x14ac:dyDescent="0.25">
      <c r="A278" t="s">
        <v>167</v>
      </c>
      <c r="B278" t="s">
        <v>3919</v>
      </c>
      <c r="E278" s="1515" t="s">
        <v>967</v>
      </c>
      <c r="F278" s="1507"/>
      <c r="G278" s="584"/>
      <c r="H278" s="584"/>
      <c r="K278" t="s">
        <v>985</v>
      </c>
      <c r="V278">
        <v>48</v>
      </c>
    </row>
    <row r="279" spans="1:22" customFormat="1" ht="15" x14ac:dyDescent="0.25">
      <c r="A279" t="s">
        <v>167</v>
      </c>
      <c r="B279" t="s">
        <v>3919</v>
      </c>
      <c r="E279" s="1507" t="s">
        <v>844</v>
      </c>
      <c r="F279" s="1507"/>
      <c r="G279" s="584" t="s">
        <v>845</v>
      </c>
      <c r="H279" s="650">
        <v>4.1000000000000003E-3</v>
      </c>
      <c r="K279" t="s">
        <v>972</v>
      </c>
      <c r="L279" t="s">
        <v>968</v>
      </c>
      <c r="P279" t="s">
        <v>986</v>
      </c>
      <c r="V279">
        <v>55</v>
      </c>
    </row>
    <row r="280" spans="1:22" customFormat="1" ht="15" x14ac:dyDescent="0.25">
      <c r="A280" t="s">
        <v>167</v>
      </c>
      <c r="B280" t="s">
        <v>3919</v>
      </c>
      <c r="E280" s="1507" t="s">
        <v>846</v>
      </c>
      <c r="F280" s="1507"/>
      <c r="G280" s="584" t="s">
        <v>845</v>
      </c>
      <c r="H280" s="650">
        <v>4.0000000000000002E-4</v>
      </c>
      <c r="K280" t="s">
        <v>972</v>
      </c>
      <c r="L280" t="s">
        <v>968</v>
      </c>
      <c r="P280" t="s">
        <v>986</v>
      </c>
      <c r="V280">
        <v>65</v>
      </c>
    </row>
    <row r="281" spans="1:22" customFormat="1" ht="15" x14ac:dyDescent="0.25">
      <c r="A281" t="s">
        <v>167</v>
      </c>
      <c r="B281" t="s">
        <v>3919</v>
      </c>
      <c r="E281" s="1507" t="s">
        <v>847</v>
      </c>
      <c r="F281" s="1507"/>
      <c r="G281" s="584" t="s">
        <v>845</v>
      </c>
      <c r="H281" s="650">
        <v>1.5E-3</v>
      </c>
      <c r="K281" t="s">
        <v>972</v>
      </c>
      <c r="L281" t="s">
        <v>968</v>
      </c>
      <c r="P281" t="s">
        <v>987</v>
      </c>
      <c r="V281">
        <v>57</v>
      </c>
    </row>
    <row r="282" spans="1:22" customFormat="1" ht="15" x14ac:dyDescent="0.25">
      <c r="A282" t="s">
        <v>167</v>
      </c>
      <c r="B282" t="s">
        <v>3919</v>
      </c>
      <c r="E282" s="1507" t="s">
        <v>848</v>
      </c>
      <c r="F282" s="1507"/>
      <c r="G282" s="584" t="s">
        <v>777</v>
      </c>
      <c r="H282" s="650">
        <v>0.25</v>
      </c>
      <c r="K282" t="s">
        <v>972</v>
      </c>
      <c r="L282" t="s">
        <v>968</v>
      </c>
      <c r="P282" t="s">
        <v>988</v>
      </c>
      <c r="V282">
        <v>63</v>
      </c>
    </row>
    <row r="283" spans="1:22" customFormat="1" x14ac:dyDescent="0.25">
      <c r="A283" t="s">
        <v>167</v>
      </c>
      <c r="B283" t="s">
        <v>3919</v>
      </c>
      <c r="E283" s="1492" t="s">
        <v>3932</v>
      </c>
      <c r="F283" s="1493"/>
      <c r="G283" s="1493"/>
      <c r="H283" s="1493"/>
      <c r="K283" t="s">
        <v>3933</v>
      </c>
      <c r="V283">
        <v>51</v>
      </c>
    </row>
    <row r="284" spans="1:22" customFormat="1" ht="15" x14ac:dyDescent="0.25">
      <c r="A284" t="s">
        <v>167</v>
      </c>
      <c r="B284" t="s">
        <v>3919</v>
      </c>
      <c r="E284" s="1516" t="s">
        <v>3934</v>
      </c>
      <c r="F284" s="1516"/>
      <c r="G284" s="1516"/>
      <c r="H284" s="1516"/>
      <c r="K284" t="s">
        <v>3933</v>
      </c>
      <c r="V284">
        <v>373</v>
      </c>
    </row>
    <row r="285" spans="1:22" customFormat="1" ht="15" x14ac:dyDescent="0.25">
      <c r="A285" t="s">
        <v>167</v>
      </c>
      <c r="B285" t="s">
        <v>3919</v>
      </c>
      <c r="E285" s="1515" t="s">
        <v>950</v>
      </c>
      <c r="F285" s="1516"/>
      <c r="G285" s="1516"/>
      <c r="H285" s="1516"/>
      <c r="K285" t="s">
        <v>992</v>
      </c>
      <c r="V285">
        <v>11</v>
      </c>
    </row>
    <row r="286" spans="1:22" customFormat="1" ht="15" x14ac:dyDescent="0.25">
      <c r="A286" t="s">
        <v>167</v>
      </c>
      <c r="B286" t="s">
        <v>3919</v>
      </c>
      <c r="E286" s="1516" t="s">
        <v>951</v>
      </c>
      <c r="F286" s="1516"/>
      <c r="G286" s="1516"/>
      <c r="H286" s="1516"/>
      <c r="K286" t="s">
        <v>3933</v>
      </c>
      <c r="V286">
        <v>280</v>
      </c>
    </row>
    <row r="287" spans="1:22" customFormat="1" ht="15" x14ac:dyDescent="0.25">
      <c r="A287" t="s">
        <v>167</v>
      </c>
      <c r="B287" t="s">
        <v>3919</v>
      </c>
      <c r="E287" s="1516" t="s">
        <v>952</v>
      </c>
      <c r="F287" s="1516"/>
      <c r="G287" s="1516"/>
      <c r="H287" s="1516"/>
      <c r="K287" t="s">
        <v>3933</v>
      </c>
      <c r="V287">
        <v>411</v>
      </c>
    </row>
    <row r="288" spans="1:22" customFormat="1" ht="15" x14ac:dyDescent="0.25">
      <c r="A288" t="s">
        <v>167</v>
      </c>
      <c r="B288" t="s">
        <v>3919</v>
      </c>
      <c r="E288" s="1516" t="s">
        <v>953</v>
      </c>
      <c r="F288" s="1516"/>
      <c r="G288" s="1516"/>
      <c r="H288" s="1516"/>
      <c r="K288" t="s">
        <v>3933</v>
      </c>
      <c r="V288">
        <v>386</v>
      </c>
    </row>
    <row r="289" spans="1:22" customFormat="1" ht="15" x14ac:dyDescent="0.25">
      <c r="A289" t="s">
        <v>167</v>
      </c>
      <c r="B289" t="s">
        <v>3919</v>
      </c>
      <c r="E289" s="1516" t="s">
        <v>3771</v>
      </c>
      <c r="F289" s="1516"/>
      <c r="G289" s="1516"/>
      <c r="H289" s="1516"/>
      <c r="K289" t="s">
        <v>3933</v>
      </c>
      <c r="V289">
        <v>677</v>
      </c>
    </row>
    <row r="290" spans="1:22" customFormat="1" ht="15" x14ac:dyDescent="0.25">
      <c r="A290" t="s">
        <v>167</v>
      </c>
      <c r="B290" t="s">
        <v>3919</v>
      </c>
      <c r="E290" s="1516" t="s">
        <v>994</v>
      </c>
      <c r="F290" s="1516"/>
      <c r="G290" s="1516"/>
      <c r="H290" s="1516"/>
      <c r="K290" t="s">
        <v>3933</v>
      </c>
      <c r="V290">
        <v>725</v>
      </c>
    </row>
    <row r="291" spans="1:22" customFormat="1" ht="15" x14ac:dyDescent="0.25">
      <c r="A291" t="s">
        <v>167</v>
      </c>
      <c r="B291" t="s">
        <v>3919</v>
      </c>
      <c r="E291" s="1516" t="s">
        <v>3762</v>
      </c>
      <c r="F291" s="1516"/>
      <c r="G291" s="1516"/>
      <c r="H291" s="1516"/>
      <c r="K291" t="s">
        <v>3933</v>
      </c>
      <c r="V291">
        <v>247</v>
      </c>
    </row>
    <row r="292" spans="1:22" customFormat="1" ht="15" x14ac:dyDescent="0.25">
      <c r="A292" t="s">
        <v>167</v>
      </c>
      <c r="B292" t="s">
        <v>3919</v>
      </c>
      <c r="E292" s="1515" t="s">
        <v>956</v>
      </c>
      <c r="F292" s="1516"/>
      <c r="G292" s="1516"/>
      <c r="H292" s="1516"/>
      <c r="K292" t="s">
        <v>995</v>
      </c>
      <c r="V292">
        <v>46</v>
      </c>
    </row>
    <row r="293" spans="1:22" customFormat="1" ht="15" x14ac:dyDescent="0.25">
      <c r="A293" t="s">
        <v>167</v>
      </c>
      <c r="B293" t="s">
        <v>3919</v>
      </c>
      <c r="E293" s="1507" t="s">
        <v>3773</v>
      </c>
      <c r="F293" s="1507"/>
      <c r="G293" s="584" t="s">
        <v>777</v>
      </c>
      <c r="H293" s="650">
        <v>152.47999999999999</v>
      </c>
      <c r="K293" t="s">
        <v>3933</v>
      </c>
      <c r="L293" t="s">
        <v>690</v>
      </c>
      <c r="P293" t="s">
        <v>3935</v>
      </c>
      <c r="V293">
        <v>14</v>
      </c>
    </row>
    <row r="294" spans="1:22" customFormat="1" ht="15" x14ac:dyDescent="0.25">
      <c r="A294" t="s">
        <v>167</v>
      </c>
      <c r="B294" t="s">
        <v>3919</v>
      </c>
      <c r="E294" s="1507" t="s">
        <v>3924</v>
      </c>
      <c r="F294" s="1507"/>
      <c r="G294" s="584" t="s">
        <v>777</v>
      </c>
      <c r="H294" s="650">
        <v>1.18</v>
      </c>
      <c r="K294" t="s">
        <v>3933</v>
      </c>
      <c r="L294" t="s">
        <v>690</v>
      </c>
      <c r="P294" t="s">
        <v>3936</v>
      </c>
      <c r="V294">
        <v>141</v>
      </c>
    </row>
    <row r="295" spans="1:22" customFormat="1" ht="15" x14ac:dyDescent="0.25">
      <c r="A295" t="s">
        <v>167</v>
      </c>
      <c r="B295" t="s">
        <v>3919</v>
      </c>
      <c r="E295" s="1507" t="s">
        <v>3926</v>
      </c>
      <c r="F295" s="1507"/>
      <c r="G295" s="584" t="s">
        <v>777</v>
      </c>
      <c r="H295" s="650">
        <v>1.21</v>
      </c>
      <c r="K295" t="s">
        <v>3933</v>
      </c>
      <c r="L295" t="s">
        <v>690</v>
      </c>
      <c r="P295" t="s">
        <v>3937</v>
      </c>
      <c r="V295">
        <v>141</v>
      </c>
    </row>
    <row r="296" spans="1:22" customFormat="1" ht="15" x14ac:dyDescent="0.25">
      <c r="A296" t="s">
        <v>167</v>
      </c>
      <c r="B296" t="s">
        <v>3919</v>
      </c>
      <c r="E296" s="1507" t="s">
        <v>3688</v>
      </c>
      <c r="F296" s="1507"/>
      <c r="G296" s="584" t="s">
        <v>3775</v>
      </c>
      <c r="H296" s="650">
        <v>3.4535</v>
      </c>
      <c r="K296" t="s">
        <v>3933</v>
      </c>
      <c r="L296" t="s">
        <v>690</v>
      </c>
      <c r="P296" t="s">
        <v>3938</v>
      </c>
      <c r="V296">
        <v>28</v>
      </c>
    </row>
    <row r="297" spans="1:22" customFormat="1" ht="15" x14ac:dyDescent="0.25">
      <c r="A297" t="s">
        <v>167</v>
      </c>
      <c r="B297" t="s">
        <v>3919</v>
      </c>
      <c r="E297" s="1507" t="s">
        <v>910</v>
      </c>
      <c r="F297" s="1507"/>
      <c r="G297" s="584" t="s">
        <v>3775</v>
      </c>
      <c r="H297" s="650">
        <v>3.0200000000000001E-2</v>
      </c>
      <c r="K297" t="s">
        <v>3933</v>
      </c>
      <c r="L297" t="s">
        <v>692</v>
      </c>
      <c r="P297" t="s">
        <v>3939</v>
      </c>
      <c r="V297">
        <v>24</v>
      </c>
    </row>
    <row r="298" spans="1:22" customFormat="1" ht="15" x14ac:dyDescent="0.25">
      <c r="A298" t="s">
        <v>167</v>
      </c>
      <c r="B298" t="s">
        <v>3919</v>
      </c>
      <c r="E298" s="1507" t="s">
        <v>6519</v>
      </c>
      <c r="F298" s="1510"/>
      <c r="G298" s="584" t="s">
        <v>845</v>
      </c>
      <c r="H298" s="650">
        <v>2.5000000000000001E-3</v>
      </c>
      <c r="K298" t="s">
        <v>3933</v>
      </c>
      <c r="L298" t="s">
        <v>692</v>
      </c>
      <c r="P298" t="s">
        <v>3940</v>
      </c>
      <c r="T298">
        <v>46022</v>
      </c>
      <c r="V298">
        <v>142</v>
      </c>
    </row>
    <row r="299" spans="1:22" customFormat="1" ht="15" x14ac:dyDescent="0.25">
      <c r="A299" t="s">
        <v>167</v>
      </c>
      <c r="B299" t="s">
        <v>3919</v>
      </c>
      <c r="E299" s="1507" t="s">
        <v>6525</v>
      </c>
      <c r="F299" s="1510"/>
      <c r="G299" s="584" t="s">
        <v>3775</v>
      </c>
      <c r="H299" s="650">
        <v>-0.36890000000000001</v>
      </c>
      <c r="K299" t="s">
        <v>3933</v>
      </c>
      <c r="L299" t="s">
        <v>692</v>
      </c>
      <c r="P299" t="s">
        <v>3942</v>
      </c>
      <c r="T299">
        <v>46022</v>
      </c>
      <c r="V299">
        <v>159</v>
      </c>
    </row>
    <row r="300" spans="1:22" customFormat="1" ht="15" x14ac:dyDescent="0.25">
      <c r="A300" t="s">
        <v>167</v>
      </c>
      <c r="B300" t="s">
        <v>3919</v>
      </c>
      <c r="E300" s="1507" t="s">
        <v>6520</v>
      </c>
      <c r="F300" s="1510"/>
      <c r="G300" s="584" t="s">
        <v>3775</v>
      </c>
      <c r="H300" s="650">
        <v>0.50419999999999998</v>
      </c>
      <c r="K300" t="s">
        <v>3933</v>
      </c>
      <c r="L300" t="s">
        <v>692</v>
      </c>
      <c r="P300" t="s">
        <v>3942</v>
      </c>
      <c r="T300">
        <v>46022</v>
      </c>
      <c r="V300">
        <v>99</v>
      </c>
    </row>
    <row r="301" spans="1:22" customFormat="1" ht="15" x14ac:dyDescent="0.25">
      <c r="A301" t="s">
        <v>167</v>
      </c>
      <c r="B301" t="s">
        <v>3919</v>
      </c>
      <c r="E301" s="1507" t="s">
        <v>6521</v>
      </c>
      <c r="F301" s="1510"/>
      <c r="G301" s="584" t="s">
        <v>3775</v>
      </c>
      <c r="H301" s="650">
        <v>7.6499999999999999E-2</v>
      </c>
      <c r="K301" t="s">
        <v>3933</v>
      </c>
      <c r="L301" t="s">
        <v>692</v>
      </c>
      <c r="P301" t="s">
        <v>3943</v>
      </c>
      <c r="T301">
        <v>46022</v>
      </c>
      <c r="V301">
        <v>149</v>
      </c>
    </row>
    <row r="302" spans="1:22" customFormat="1" ht="15" x14ac:dyDescent="0.25">
      <c r="A302" t="s">
        <v>167</v>
      </c>
      <c r="B302" t="s">
        <v>3919</v>
      </c>
      <c r="E302" s="1507" t="s">
        <v>3924</v>
      </c>
      <c r="F302" s="1507"/>
      <c r="G302" s="584" t="s">
        <v>3775</v>
      </c>
      <c r="H302" s="650">
        <v>2.6800000000000001E-2</v>
      </c>
      <c r="K302" t="s">
        <v>3933</v>
      </c>
      <c r="L302" t="s">
        <v>690</v>
      </c>
      <c r="P302" t="s">
        <v>6526</v>
      </c>
      <c r="V302">
        <v>141</v>
      </c>
    </row>
    <row r="303" spans="1:22" customFormat="1" ht="15" x14ac:dyDescent="0.25">
      <c r="A303" t="s">
        <v>167</v>
      </c>
      <c r="B303" t="s">
        <v>3919</v>
      </c>
      <c r="E303" s="1507" t="s">
        <v>3926</v>
      </c>
      <c r="F303" s="1507"/>
      <c r="G303" s="584" t="s">
        <v>3775</v>
      </c>
      <c r="H303" s="650">
        <v>2.7300000000000001E-2</v>
      </c>
      <c r="K303" t="s">
        <v>3933</v>
      </c>
      <c r="L303" t="s">
        <v>690</v>
      </c>
      <c r="P303" t="s">
        <v>6527</v>
      </c>
      <c r="V303">
        <v>141</v>
      </c>
    </row>
    <row r="304" spans="1:22" customFormat="1" ht="15" x14ac:dyDescent="0.25">
      <c r="A304" t="s">
        <v>167</v>
      </c>
      <c r="B304" t="s">
        <v>3919</v>
      </c>
      <c r="E304" s="1507" t="s">
        <v>6524</v>
      </c>
      <c r="F304" s="1507"/>
      <c r="G304" s="584" t="s">
        <v>3775</v>
      </c>
      <c r="H304" s="650">
        <v>0.1008</v>
      </c>
      <c r="K304" t="s">
        <v>3933</v>
      </c>
      <c r="L304" t="s">
        <v>690</v>
      </c>
      <c r="P304" t="s">
        <v>3941</v>
      </c>
      <c r="T304">
        <v>46022</v>
      </c>
      <c r="V304">
        <v>150</v>
      </c>
    </row>
    <row r="305" spans="1:22" customFormat="1" ht="15" x14ac:dyDescent="0.25">
      <c r="A305" t="s">
        <v>167</v>
      </c>
      <c r="B305" t="s">
        <v>3919</v>
      </c>
      <c r="E305" s="1507" t="s">
        <v>243</v>
      </c>
      <c r="F305" s="1507"/>
      <c r="G305" s="584" t="s">
        <v>3775</v>
      </c>
      <c r="H305" s="650">
        <v>4.4650999999999996</v>
      </c>
      <c r="K305" t="s">
        <v>3933</v>
      </c>
      <c r="L305" t="s">
        <v>694</v>
      </c>
      <c r="P305" t="s">
        <v>3944</v>
      </c>
      <c r="V305">
        <v>47</v>
      </c>
    </row>
    <row r="306" spans="1:22" customFormat="1" ht="15" x14ac:dyDescent="0.25">
      <c r="A306" t="s">
        <v>167</v>
      </c>
      <c r="B306" t="s">
        <v>3919</v>
      </c>
      <c r="E306" s="1507" t="s">
        <v>175</v>
      </c>
      <c r="F306" s="1507"/>
      <c r="G306" s="584" t="s">
        <v>3775</v>
      </c>
      <c r="H306" s="650">
        <v>2.9192999999999998</v>
      </c>
      <c r="K306" t="s">
        <v>3933</v>
      </c>
      <c r="L306" t="s">
        <v>694</v>
      </c>
      <c r="P306" t="s">
        <v>3945</v>
      </c>
      <c r="V306">
        <v>74</v>
      </c>
    </row>
    <row r="307" spans="1:22" customFormat="1" ht="15" x14ac:dyDescent="0.25">
      <c r="A307" t="s">
        <v>167</v>
      </c>
      <c r="B307" t="s">
        <v>3919</v>
      </c>
      <c r="E307" s="1515" t="s">
        <v>967</v>
      </c>
      <c r="F307" s="1507"/>
      <c r="G307" s="584"/>
      <c r="H307" s="584"/>
      <c r="K307" t="s">
        <v>1003</v>
      </c>
      <c r="V307">
        <v>48</v>
      </c>
    </row>
    <row r="308" spans="1:22" customFormat="1" ht="15" x14ac:dyDescent="0.25">
      <c r="A308" t="s">
        <v>167</v>
      </c>
      <c r="B308" t="s">
        <v>3919</v>
      </c>
      <c r="E308" s="1507" t="s">
        <v>844</v>
      </c>
      <c r="F308" s="1507"/>
      <c r="G308" s="584" t="s">
        <v>845</v>
      </c>
      <c r="H308" s="650">
        <v>4.1000000000000003E-3</v>
      </c>
      <c r="K308" t="s">
        <v>3933</v>
      </c>
      <c r="L308" t="s">
        <v>968</v>
      </c>
      <c r="P308" t="s">
        <v>3946</v>
      </c>
      <c r="V308">
        <v>55</v>
      </c>
    </row>
    <row r="309" spans="1:22" customFormat="1" ht="15" x14ac:dyDescent="0.25">
      <c r="A309" t="s">
        <v>167</v>
      </c>
      <c r="B309" t="s">
        <v>3919</v>
      </c>
      <c r="E309" s="1507" t="s">
        <v>846</v>
      </c>
      <c r="F309" s="1507"/>
      <c r="G309" s="584" t="s">
        <v>845</v>
      </c>
      <c r="H309" s="650">
        <v>4.0000000000000002E-4</v>
      </c>
      <c r="K309" t="s">
        <v>3933</v>
      </c>
      <c r="L309" t="s">
        <v>968</v>
      </c>
      <c r="P309" t="s">
        <v>3946</v>
      </c>
      <c r="V309">
        <v>65</v>
      </c>
    </row>
    <row r="310" spans="1:22" customFormat="1" ht="15" x14ac:dyDescent="0.25">
      <c r="A310" t="s">
        <v>167</v>
      </c>
      <c r="B310" t="s">
        <v>3919</v>
      </c>
      <c r="E310" s="1507" t="s">
        <v>847</v>
      </c>
      <c r="F310" s="1507"/>
      <c r="G310" s="584" t="s">
        <v>845</v>
      </c>
      <c r="H310" s="650">
        <v>1.5E-3</v>
      </c>
      <c r="K310" t="s">
        <v>3933</v>
      </c>
      <c r="L310" t="s">
        <v>968</v>
      </c>
      <c r="P310" t="s">
        <v>3947</v>
      </c>
      <c r="V310">
        <v>57</v>
      </c>
    </row>
    <row r="311" spans="1:22" customFormat="1" ht="15" x14ac:dyDescent="0.25">
      <c r="A311" t="s">
        <v>167</v>
      </c>
      <c r="B311" t="s">
        <v>3919</v>
      </c>
      <c r="E311" s="1507" t="s">
        <v>848</v>
      </c>
      <c r="F311" s="1507"/>
      <c r="G311" s="584" t="s">
        <v>777</v>
      </c>
      <c r="H311" s="650">
        <v>0.25</v>
      </c>
      <c r="K311" t="s">
        <v>3933</v>
      </c>
      <c r="L311" t="s">
        <v>968</v>
      </c>
      <c r="P311" t="s">
        <v>3948</v>
      </c>
      <c r="V311">
        <v>63</v>
      </c>
    </row>
    <row r="312" spans="1:22" customFormat="1" x14ac:dyDescent="0.25">
      <c r="A312" t="s">
        <v>167</v>
      </c>
      <c r="B312" t="s">
        <v>3919</v>
      </c>
      <c r="E312" s="1492" t="s">
        <v>3949</v>
      </c>
      <c r="F312" s="1493"/>
      <c r="G312" s="1493"/>
      <c r="H312" s="1493"/>
      <c r="K312" t="s">
        <v>3950</v>
      </c>
      <c r="V312">
        <v>54</v>
      </c>
    </row>
    <row r="313" spans="1:22" customFormat="1" ht="15" x14ac:dyDescent="0.25">
      <c r="A313" t="s">
        <v>167</v>
      </c>
      <c r="B313" t="s">
        <v>3919</v>
      </c>
      <c r="E313" s="1516" t="s">
        <v>3951</v>
      </c>
      <c r="F313" s="1516"/>
      <c r="G313" s="1516"/>
      <c r="H313" s="1516"/>
      <c r="K313" t="s">
        <v>3950</v>
      </c>
      <c r="V313">
        <v>388</v>
      </c>
    </row>
    <row r="314" spans="1:22" customFormat="1" ht="15" x14ac:dyDescent="0.25">
      <c r="A314" t="s">
        <v>167</v>
      </c>
      <c r="B314" t="s">
        <v>3919</v>
      </c>
      <c r="E314" s="1515" t="s">
        <v>950</v>
      </c>
      <c r="F314" s="1516"/>
      <c r="G314" s="1516"/>
      <c r="H314" s="1516"/>
      <c r="K314" t="s">
        <v>1010</v>
      </c>
      <c r="V314">
        <v>11</v>
      </c>
    </row>
    <row r="315" spans="1:22" customFormat="1" ht="15" x14ac:dyDescent="0.25">
      <c r="A315" t="s">
        <v>167</v>
      </c>
      <c r="B315" t="s">
        <v>3919</v>
      </c>
      <c r="E315" s="1516" t="s">
        <v>951</v>
      </c>
      <c r="F315" s="1516"/>
      <c r="G315" s="1516"/>
      <c r="H315" s="1516"/>
      <c r="K315" t="s">
        <v>3950</v>
      </c>
      <c r="V315">
        <v>280</v>
      </c>
    </row>
    <row r="316" spans="1:22" customFormat="1" ht="15" x14ac:dyDescent="0.25">
      <c r="A316" t="s">
        <v>167</v>
      </c>
      <c r="B316" t="s">
        <v>3919</v>
      </c>
      <c r="E316" s="1516" t="s">
        <v>952</v>
      </c>
      <c r="F316" s="1516"/>
      <c r="G316" s="1516"/>
      <c r="H316" s="1516"/>
      <c r="K316" t="s">
        <v>3950</v>
      </c>
      <c r="V316">
        <v>411</v>
      </c>
    </row>
    <row r="317" spans="1:22" customFormat="1" ht="15" x14ac:dyDescent="0.25">
      <c r="A317" t="s">
        <v>167</v>
      </c>
      <c r="B317" t="s">
        <v>3919</v>
      </c>
      <c r="E317" s="1516" t="s">
        <v>953</v>
      </c>
      <c r="F317" s="1516"/>
      <c r="G317" s="1516"/>
      <c r="H317" s="1516"/>
      <c r="K317" t="s">
        <v>3950</v>
      </c>
      <c r="V317">
        <v>386</v>
      </c>
    </row>
    <row r="318" spans="1:22" customFormat="1" ht="15" x14ac:dyDescent="0.25">
      <c r="A318" t="s">
        <v>167</v>
      </c>
      <c r="B318" t="s">
        <v>3919</v>
      </c>
      <c r="E318" s="1516" t="s">
        <v>3771</v>
      </c>
      <c r="F318" s="1516"/>
      <c r="G318" s="1516"/>
      <c r="H318" s="1516"/>
      <c r="K318" t="s">
        <v>3950</v>
      </c>
      <c r="V318">
        <v>677</v>
      </c>
    </row>
    <row r="319" spans="1:22" customFormat="1" ht="15" x14ac:dyDescent="0.25">
      <c r="A319" t="s">
        <v>167</v>
      </c>
      <c r="B319" t="s">
        <v>3919</v>
      </c>
      <c r="E319" s="1516" t="s">
        <v>994</v>
      </c>
      <c r="F319" s="1516"/>
      <c r="G319" s="1516"/>
      <c r="H319" s="1516"/>
      <c r="K319" t="s">
        <v>3950</v>
      </c>
      <c r="V319">
        <v>725</v>
      </c>
    </row>
    <row r="320" spans="1:22" customFormat="1" ht="15" x14ac:dyDescent="0.25">
      <c r="A320" t="s">
        <v>167</v>
      </c>
      <c r="B320" t="s">
        <v>3919</v>
      </c>
      <c r="E320" s="1516" t="s">
        <v>3762</v>
      </c>
      <c r="F320" s="1516"/>
      <c r="G320" s="1516"/>
      <c r="H320" s="1516"/>
      <c r="K320" t="s">
        <v>3950</v>
      </c>
      <c r="V320">
        <v>247</v>
      </c>
    </row>
    <row r="321" spans="1:22" customFormat="1" ht="15" x14ac:dyDescent="0.25">
      <c r="A321" t="s">
        <v>167</v>
      </c>
      <c r="B321" t="s">
        <v>3919</v>
      </c>
      <c r="E321" s="1515" t="s">
        <v>956</v>
      </c>
      <c r="F321" s="1516"/>
      <c r="G321" s="1516"/>
      <c r="H321" s="1516"/>
      <c r="K321" t="s">
        <v>1011</v>
      </c>
      <c r="V321">
        <v>46</v>
      </c>
    </row>
    <row r="322" spans="1:22" customFormat="1" ht="15" x14ac:dyDescent="0.25">
      <c r="A322" t="s">
        <v>167</v>
      </c>
      <c r="B322" t="s">
        <v>3919</v>
      </c>
      <c r="E322" s="1507" t="s">
        <v>3773</v>
      </c>
      <c r="F322" s="1507"/>
      <c r="G322" s="584" t="s">
        <v>777</v>
      </c>
      <c r="H322" s="650">
        <v>1375.76</v>
      </c>
      <c r="K322" t="s">
        <v>3950</v>
      </c>
      <c r="L322" t="s">
        <v>690</v>
      </c>
      <c r="P322" t="s">
        <v>3952</v>
      </c>
      <c r="V322">
        <v>14</v>
      </c>
    </row>
    <row r="323" spans="1:22" customFormat="1" ht="15" x14ac:dyDescent="0.25">
      <c r="A323" t="s">
        <v>167</v>
      </c>
      <c r="B323" t="s">
        <v>3919</v>
      </c>
      <c r="E323" s="1507" t="s">
        <v>3924</v>
      </c>
      <c r="F323" s="1507"/>
      <c r="G323" s="584" t="s">
        <v>777</v>
      </c>
      <c r="H323" s="650">
        <v>10.66</v>
      </c>
      <c r="K323" t="s">
        <v>3950</v>
      </c>
      <c r="L323" t="s">
        <v>690</v>
      </c>
      <c r="P323" t="s">
        <v>3953</v>
      </c>
      <c r="V323">
        <v>141</v>
      </c>
    </row>
    <row r="324" spans="1:22" customFormat="1" ht="15" x14ac:dyDescent="0.25">
      <c r="A324" t="s">
        <v>167</v>
      </c>
      <c r="B324" t="s">
        <v>3919</v>
      </c>
      <c r="E324" s="1507" t="s">
        <v>3926</v>
      </c>
      <c r="F324" s="1507"/>
      <c r="G324" s="584" t="s">
        <v>777</v>
      </c>
      <c r="H324" s="650">
        <v>10.89</v>
      </c>
      <c r="K324" t="s">
        <v>3950</v>
      </c>
      <c r="L324" t="s">
        <v>690</v>
      </c>
      <c r="P324" t="s">
        <v>3954</v>
      </c>
      <c r="V324">
        <v>141</v>
      </c>
    </row>
    <row r="325" spans="1:22" customFormat="1" ht="15" x14ac:dyDescent="0.25">
      <c r="A325" t="s">
        <v>167</v>
      </c>
      <c r="B325" t="s">
        <v>3919</v>
      </c>
      <c r="E325" s="1507" t="s">
        <v>3688</v>
      </c>
      <c r="F325" s="1507"/>
      <c r="G325" s="584" t="s">
        <v>3775</v>
      </c>
      <c r="H325" s="650">
        <v>4.0090000000000003</v>
      </c>
      <c r="K325" t="s">
        <v>3950</v>
      </c>
      <c r="L325" t="s">
        <v>690</v>
      </c>
      <c r="P325" t="s">
        <v>3955</v>
      </c>
      <c r="V325">
        <v>28</v>
      </c>
    </row>
    <row r="326" spans="1:22" customFormat="1" ht="15" x14ac:dyDescent="0.25">
      <c r="A326" t="s">
        <v>167</v>
      </c>
      <c r="B326" t="s">
        <v>3919</v>
      </c>
      <c r="E326" s="1507" t="s">
        <v>910</v>
      </c>
      <c r="F326" s="1507"/>
      <c r="G326" s="584" t="s">
        <v>3775</v>
      </c>
      <c r="H326" s="650">
        <v>3.2500000000000001E-2</v>
      </c>
      <c r="K326" t="s">
        <v>3950</v>
      </c>
      <c r="L326" t="s">
        <v>692</v>
      </c>
      <c r="P326" t="s">
        <v>3956</v>
      </c>
      <c r="V326">
        <v>24</v>
      </c>
    </row>
    <row r="327" spans="1:22" customFormat="1" ht="15" x14ac:dyDescent="0.25">
      <c r="A327" t="s">
        <v>167</v>
      </c>
      <c r="B327" t="s">
        <v>3919</v>
      </c>
      <c r="E327" s="1507" t="s">
        <v>6519</v>
      </c>
      <c r="F327" s="1510"/>
      <c r="G327" s="584" t="s">
        <v>845</v>
      </c>
      <c r="H327" s="650">
        <v>2.5000000000000001E-3</v>
      </c>
      <c r="K327" t="s">
        <v>3950</v>
      </c>
      <c r="L327" t="s">
        <v>692</v>
      </c>
      <c r="P327" t="s">
        <v>3957</v>
      </c>
      <c r="T327">
        <v>46022</v>
      </c>
      <c r="V327">
        <v>142</v>
      </c>
    </row>
    <row r="328" spans="1:22" customFormat="1" ht="15" x14ac:dyDescent="0.25">
      <c r="A328" t="s">
        <v>167</v>
      </c>
      <c r="B328" t="s">
        <v>3919</v>
      </c>
      <c r="E328" s="1507" t="s">
        <v>6525</v>
      </c>
      <c r="F328" s="1510"/>
      <c r="G328" s="584" t="s">
        <v>3775</v>
      </c>
      <c r="H328" s="650">
        <v>-0.435</v>
      </c>
      <c r="K328" t="s">
        <v>3950</v>
      </c>
      <c r="L328" t="s">
        <v>692</v>
      </c>
      <c r="P328" t="s">
        <v>3959</v>
      </c>
      <c r="T328">
        <v>46022</v>
      </c>
      <c r="V328">
        <v>159</v>
      </c>
    </row>
    <row r="329" spans="1:22" customFormat="1" ht="15" x14ac:dyDescent="0.25">
      <c r="A329" t="s">
        <v>167</v>
      </c>
      <c r="B329" t="s">
        <v>3919</v>
      </c>
      <c r="E329" s="1507" t="s">
        <v>6520</v>
      </c>
      <c r="F329" s="1510"/>
      <c r="G329" s="584" t="s">
        <v>3775</v>
      </c>
      <c r="H329" s="650">
        <v>0.61180000000000001</v>
      </c>
      <c r="K329" t="s">
        <v>3950</v>
      </c>
      <c r="L329" t="s">
        <v>692</v>
      </c>
      <c r="P329" t="s">
        <v>3959</v>
      </c>
      <c r="T329">
        <v>46022</v>
      </c>
      <c r="V329">
        <v>99</v>
      </c>
    </row>
    <row r="330" spans="1:22" customFormat="1" ht="15" x14ac:dyDescent="0.25">
      <c r="A330" t="s">
        <v>167</v>
      </c>
      <c r="B330" t="s">
        <v>3919</v>
      </c>
      <c r="E330" s="1507" t="s">
        <v>6521</v>
      </c>
      <c r="F330" s="1510"/>
      <c r="G330" s="584" t="s">
        <v>3775</v>
      </c>
      <c r="H330" s="650">
        <v>5.4199999999999998E-2</v>
      </c>
      <c r="K330" t="s">
        <v>3950</v>
      </c>
      <c r="L330" t="s">
        <v>692</v>
      </c>
      <c r="P330" t="s">
        <v>3960</v>
      </c>
      <c r="T330">
        <v>46022</v>
      </c>
      <c r="V330">
        <v>149</v>
      </c>
    </row>
    <row r="331" spans="1:22" customFormat="1" ht="15" x14ac:dyDescent="0.25">
      <c r="A331" t="s">
        <v>167</v>
      </c>
      <c r="B331" t="s">
        <v>3919</v>
      </c>
      <c r="E331" s="1507" t="s">
        <v>6528</v>
      </c>
      <c r="F331" s="1507"/>
      <c r="G331" s="584" t="s">
        <v>3775</v>
      </c>
      <c r="H331" s="650">
        <v>3.1099999999999999E-2</v>
      </c>
      <c r="K331" t="s">
        <v>3950</v>
      </c>
      <c r="L331" t="s">
        <v>690</v>
      </c>
      <c r="P331" t="s">
        <v>3961</v>
      </c>
      <c r="V331">
        <v>142</v>
      </c>
    </row>
    <row r="332" spans="1:22" customFormat="1" ht="15" x14ac:dyDescent="0.25">
      <c r="A332" t="s">
        <v>167</v>
      </c>
      <c r="B332" t="s">
        <v>3919</v>
      </c>
      <c r="E332" s="1507" t="s">
        <v>6529</v>
      </c>
      <c r="F332" s="1507"/>
      <c r="G332" s="584" t="s">
        <v>3775</v>
      </c>
      <c r="H332" s="650">
        <v>3.1699999999999999E-2</v>
      </c>
      <c r="K332" t="s">
        <v>3950</v>
      </c>
      <c r="L332" t="s">
        <v>690</v>
      </c>
      <c r="P332" t="s">
        <v>6530</v>
      </c>
      <c r="V332">
        <v>142</v>
      </c>
    </row>
    <row r="333" spans="1:22" customFormat="1" ht="15" x14ac:dyDescent="0.25">
      <c r="A333" t="s">
        <v>167</v>
      </c>
      <c r="B333" t="s">
        <v>3919</v>
      </c>
      <c r="E333" s="1507" t="s">
        <v>6531</v>
      </c>
      <c r="F333" s="1507"/>
      <c r="G333" s="584" t="s">
        <v>3775</v>
      </c>
      <c r="H333" s="650">
        <v>7.9500000000000001E-2</v>
      </c>
      <c r="K333" t="s">
        <v>3950</v>
      </c>
      <c r="L333" t="s">
        <v>690</v>
      </c>
      <c r="P333" t="s">
        <v>3958</v>
      </c>
      <c r="T333">
        <v>46022</v>
      </c>
      <c r="V333">
        <v>151</v>
      </c>
    </row>
    <row r="334" spans="1:22" customFormat="1" ht="15" x14ac:dyDescent="0.25">
      <c r="A334" t="s">
        <v>167</v>
      </c>
      <c r="B334" t="s">
        <v>3919</v>
      </c>
      <c r="E334" s="1507" t="s">
        <v>243</v>
      </c>
      <c r="F334" s="1507"/>
      <c r="G334" s="584" t="s">
        <v>3775</v>
      </c>
      <c r="H334" s="650">
        <v>5.0075000000000003</v>
      </c>
      <c r="K334" t="s">
        <v>3950</v>
      </c>
      <c r="L334" t="s">
        <v>694</v>
      </c>
      <c r="P334" t="s">
        <v>3962</v>
      </c>
      <c r="V334">
        <v>47</v>
      </c>
    </row>
    <row r="335" spans="1:22" customFormat="1" ht="15" x14ac:dyDescent="0.25">
      <c r="A335" t="s">
        <v>167</v>
      </c>
      <c r="B335" t="s">
        <v>3919</v>
      </c>
      <c r="E335" s="1507" t="s">
        <v>175</v>
      </c>
      <c r="F335" s="1507"/>
      <c r="G335" s="584" t="s">
        <v>3775</v>
      </c>
      <c r="H335" s="650">
        <v>3.1377000000000002</v>
      </c>
      <c r="K335" t="s">
        <v>3950</v>
      </c>
      <c r="L335" t="s">
        <v>694</v>
      </c>
      <c r="P335" t="s">
        <v>3963</v>
      </c>
      <c r="V335">
        <v>74</v>
      </c>
    </row>
    <row r="336" spans="1:22" customFormat="1" ht="15" x14ac:dyDescent="0.25">
      <c r="A336" t="s">
        <v>167</v>
      </c>
      <c r="B336" t="s">
        <v>3919</v>
      </c>
      <c r="E336" s="1515" t="s">
        <v>967</v>
      </c>
      <c r="F336" s="1507"/>
      <c r="G336" s="584"/>
      <c r="H336" s="584"/>
      <c r="K336" t="s">
        <v>1019</v>
      </c>
      <c r="V336">
        <v>48</v>
      </c>
    </row>
    <row r="337" spans="1:22" customFormat="1" ht="15" x14ac:dyDescent="0.25">
      <c r="A337" t="s">
        <v>167</v>
      </c>
      <c r="B337" t="s">
        <v>3919</v>
      </c>
      <c r="E337" s="1507" t="s">
        <v>844</v>
      </c>
      <c r="F337" s="1507"/>
      <c r="G337" s="584" t="s">
        <v>845</v>
      </c>
      <c r="H337" s="650">
        <v>4.1000000000000003E-3</v>
      </c>
      <c r="K337" t="s">
        <v>3950</v>
      </c>
      <c r="L337" t="s">
        <v>968</v>
      </c>
      <c r="P337" t="s">
        <v>3964</v>
      </c>
      <c r="V337">
        <v>55</v>
      </c>
    </row>
    <row r="338" spans="1:22" customFormat="1" ht="15" x14ac:dyDescent="0.25">
      <c r="A338" t="s">
        <v>167</v>
      </c>
      <c r="B338" t="s">
        <v>3919</v>
      </c>
      <c r="E338" s="1507" t="s">
        <v>846</v>
      </c>
      <c r="F338" s="1507"/>
      <c r="G338" s="584" t="s">
        <v>845</v>
      </c>
      <c r="H338" s="650">
        <v>4.0000000000000002E-4</v>
      </c>
      <c r="K338" t="s">
        <v>3950</v>
      </c>
      <c r="L338" t="s">
        <v>968</v>
      </c>
      <c r="P338" t="s">
        <v>3964</v>
      </c>
      <c r="V338">
        <v>65</v>
      </c>
    </row>
    <row r="339" spans="1:22" customFormat="1" ht="15" x14ac:dyDescent="0.25">
      <c r="A339" t="s">
        <v>167</v>
      </c>
      <c r="B339" t="s">
        <v>3919</v>
      </c>
      <c r="E339" s="1507" t="s">
        <v>847</v>
      </c>
      <c r="F339" s="1507"/>
      <c r="G339" s="584" t="s">
        <v>845</v>
      </c>
      <c r="H339" s="650">
        <v>1.5E-3</v>
      </c>
      <c r="K339" t="s">
        <v>3950</v>
      </c>
      <c r="L339" t="s">
        <v>968</v>
      </c>
      <c r="P339" t="s">
        <v>3965</v>
      </c>
      <c r="V339">
        <v>57</v>
      </c>
    </row>
    <row r="340" spans="1:22" customFormat="1" ht="15" x14ac:dyDescent="0.25">
      <c r="A340" t="s">
        <v>167</v>
      </c>
      <c r="B340" t="s">
        <v>3919</v>
      </c>
      <c r="E340" s="1507" t="s">
        <v>848</v>
      </c>
      <c r="F340" s="1507"/>
      <c r="G340" s="584" t="s">
        <v>777</v>
      </c>
      <c r="H340" s="650">
        <v>0.25</v>
      </c>
      <c r="K340" t="s">
        <v>3950</v>
      </c>
      <c r="L340" t="s">
        <v>968</v>
      </c>
      <c r="P340" t="s">
        <v>3966</v>
      </c>
      <c r="V340">
        <v>63</v>
      </c>
    </row>
    <row r="341" spans="1:22" customFormat="1" x14ac:dyDescent="0.25">
      <c r="A341" t="s">
        <v>167</v>
      </c>
      <c r="B341" t="s">
        <v>3919</v>
      </c>
      <c r="E341" s="1492" t="s">
        <v>189</v>
      </c>
      <c r="F341" s="1493"/>
      <c r="G341" s="1493"/>
      <c r="H341" s="1493"/>
      <c r="K341" t="s">
        <v>3967</v>
      </c>
      <c r="V341">
        <v>32</v>
      </c>
    </row>
    <row r="342" spans="1:22" customFormat="1" ht="15" x14ac:dyDescent="0.25">
      <c r="A342" t="s">
        <v>167</v>
      </c>
      <c r="B342" t="s">
        <v>3919</v>
      </c>
      <c r="E342" s="1516" t="s">
        <v>3968</v>
      </c>
      <c r="F342" s="1516"/>
      <c r="G342" s="1516"/>
      <c r="H342" s="1516"/>
      <c r="K342" t="s">
        <v>3967</v>
      </c>
      <c r="V342">
        <v>387</v>
      </c>
    </row>
    <row r="343" spans="1:22" customFormat="1" ht="15" x14ac:dyDescent="0.25">
      <c r="A343" t="s">
        <v>167</v>
      </c>
      <c r="B343" t="s">
        <v>3919</v>
      </c>
      <c r="E343" s="1515" t="s">
        <v>950</v>
      </c>
      <c r="F343" s="1516"/>
      <c r="G343" s="1516"/>
      <c r="H343" s="1516"/>
      <c r="K343" t="s">
        <v>1025</v>
      </c>
      <c r="V343">
        <v>11</v>
      </c>
    </row>
    <row r="344" spans="1:22" customFormat="1" ht="15" x14ac:dyDescent="0.25">
      <c r="A344" t="s">
        <v>167</v>
      </c>
      <c r="B344" t="s">
        <v>3919</v>
      </c>
      <c r="E344" s="1516" t="s">
        <v>951</v>
      </c>
      <c r="F344" s="1516"/>
      <c r="G344" s="1516"/>
      <c r="H344" s="1516"/>
      <c r="K344" t="s">
        <v>3967</v>
      </c>
      <c r="V344">
        <v>280</v>
      </c>
    </row>
    <row r="345" spans="1:22" customFormat="1" ht="15" x14ac:dyDescent="0.25">
      <c r="A345" t="s">
        <v>167</v>
      </c>
      <c r="B345" t="s">
        <v>3919</v>
      </c>
      <c r="E345" s="1516" t="s">
        <v>952</v>
      </c>
      <c r="F345" s="1516"/>
      <c r="G345" s="1516"/>
      <c r="H345" s="1516"/>
      <c r="K345" t="s">
        <v>3967</v>
      </c>
      <c r="V345">
        <v>411</v>
      </c>
    </row>
    <row r="346" spans="1:22" customFormat="1" ht="15" x14ac:dyDescent="0.25">
      <c r="A346" t="s">
        <v>167</v>
      </c>
      <c r="B346" t="s">
        <v>3919</v>
      </c>
      <c r="E346" s="1516" t="s">
        <v>953</v>
      </c>
      <c r="F346" s="1516"/>
      <c r="G346" s="1516"/>
      <c r="H346" s="1516"/>
      <c r="K346" t="s">
        <v>3967</v>
      </c>
      <c r="V346">
        <v>386</v>
      </c>
    </row>
    <row r="347" spans="1:22" customFormat="1" ht="15" x14ac:dyDescent="0.25">
      <c r="A347" t="s">
        <v>167</v>
      </c>
      <c r="B347" t="s">
        <v>3919</v>
      </c>
      <c r="E347" s="1516" t="s">
        <v>3771</v>
      </c>
      <c r="F347" s="1516"/>
      <c r="G347" s="1516"/>
      <c r="H347" s="1516"/>
      <c r="K347" t="s">
        <v>3967</v>
      </c>
      <c r="V347">
        <v>677</v>
      </c>
    </row>
    <row r="348" spans="1:22" customFormat="1" ht="15" x14ac:dyDescent="0.25">
      <c r="A348" t="s">
        <v>167</v>
      </c>
      <c r="B348" t="s">
        <v>3919</v>
      </c>
      <c r="E348" s="1516" t="s">
        <v>994</v>
      </c>
      <c r="F348" s="1516"/>
      <c r="G348" s="1516"/>
      <c r="H348" s="1516"/>
      <c r="K348" t="s">
        <v>3967</v>
      </c>
      <c r="V348">
        <v>725</v>
      </c>
    </row>
    <row r="349" spans="1:22" customFormat="1" ht="15" x14ac:dyDescent="0.25">
      <c r="A349" t="s">
        <v>167</v>
      </c>
      <c r="B349" t="s">
        <v>3919</v>
      </c>
      <c r="E349" s="1516" t="s">
        <v>3762</v>
      </c>
      <c r="F349" s="1516"/>
      <c r="G349" s="1516"/>
      <c r="H349" s="1516"/>
      <c r="K349" t="s">
        <v>3967</v>
      </c>
      <c r="V349">
        <v>247</v>
      </c>
    </row>
    <row r="350" spans="1:22" customFormat="1" ht="15" x14ac:dyDescent="0.25">
      <c r="A350" t="s">
        <v>167</v>
      </c>
      <c r="B350" t="s">
        <v>3919</v>
      </c>
      <c r="E350" s="1515" t="s">
        <v>956</v>
      </c>
      <c r="F350" s="1516"/>
      <c r="G350" s="1516"/>
      <c r="H350" s="1516"/>
      <c r="K350" t="s">
        <v>1026</v>
      </c>
      <c r="V350">
        <v>46</v>
      </c>
    </row>
    <row r="351" spans="1:22" customFormat="1" ht="15" x14ac:dyDescent="0.25">
      <c r="A351" t="s">
        <v>167</v>
      </c>
      <c r="B351" t="s">
        <v>3919</v>
      </c>
      <c r="E351" s="1507" t="s">
        <v>3773</v>
      </c>
      <c r="F351" s="1507"/>
      <c r="G351" s="584" t="s">
        <v>777</v>
      </c>
      <c r="H351" s="650">
        <v>5724.82</v>
      </c>
      <c r="K351" t="s">
        <v>3967</v>
      </c>
      <c r="L351" t="s">
        <v>690</v>
      </c>
      <c r="P351" t="s">
        <v>3969</v>
      </c>
      <c r="V351">
        <v>14</v>
      </c>
    </row>
    <row r="352" spans="1:22" customFormat="1" ht="15" x14ac:dyDescent="0.25">
      <c r="A352" t="s">
        <v>167</v>
      </c>
      <c r="B352" t="s">
        <v>3919</v>
      </c>
      <c r="E352" s="1507" t="s">
        <v>3924</v>
      </c>
      <c r="F352" s="1507"/>
      <c r="G352" s="584" t="s">
        <v>777</v>
      </c>
      <c r="H352" s="650">
        <v>44.35</v>
      </c>
      <c r="K352" t="s">
        <v>3967</v>
      </c>
      <c r="L352" t="s">
        <v>690</v>
      </c>
      <c r="P352" t="s">
        <v>3970</v>
      </c>
      <c r="V352">
        <v>141</v>
      </c>
    </row>
    <row r="353" spans="1:22" customFormat="1" ht="15" x14ac:dyDescent="0.25">
      <c r="A353" t="s">
        <v>167</v>
      </c>
      <c r="B353" t="s">
        <v>3919</v>
      </c>
      <c r="E353" s="1507" t="s">
        <v>3926</v>
      </c>
      <c r="F353" s="1507"/>
      <c r="G353" s="584" t="s">
        <v>777</v>
      </c>
      <c r="H353" s="650">
        <v>45.33</v>
      </c>
      <c r="K353" t="s">
        <v>3967</v>
      </c>
      <c r="L353" t="s">
        <v>690</v>
      </c>
      <c r="P353" t="s">
        <v>3971</v>
      </c>
      <c r="V353">
        <v>141</v>
      </c>
    </row>
    <row r="354" spans="1:22" customFormat="1" ht="15" x14ac:dyDescent="0.25">
      <c r="A354" t="s">
        <v>167</v>
      </c>
      <c r="B354" t="s">
        <v>3919</v>
      </c>
      <c r="E354" s="1507" t="s">
        <v>3688</v>
      </c>
      <c r="F354" s="1507"/>
      <c r="G354" s="584" t="s">
        <v>3775</v>
      </c>
      <c r="H354" s="650">
        <v>3.0352999999999999</v>
      </c>
      <c r="K354" t="s">
        <v>3967</v>
      </c>
      <c r="L354" t="s">
        <v>690</v>
      </c>
      <c r="P354" t="s">
        <v>3972</v>
      </c>
      <c r="V354">
        <v>28</v>
      </c>
    </row>
    <row r="355" spans="1:22" customFormat="1" ht="15" x14ac:dyDescent="0.25">
      <c r="A355" t="s">
        <v>167</v>
      </c>
      <c r="B355" t="s">
        <v>3919</v>
      </c>
      <c r="E355" s="1507" t="s">
        <v>910</v>
      </c>
      <c r="F355" s="1507"/>
      <c r="G355" s="584" t="s">
        <v>3775</v>
      </c>
      <c r="H355" s="650">
        <v>3.7499999999999999E-2</v>
      </c>
      <c r="K355" t="s">
        <v>3967</v>
      </c>
      <c r="L355" t="s">
        <v>692</v>
      </c>
      <c r="P355" t="s">
        <v>3973</v>
      </c>
      <c r="V355">
        <v>24</v>
      </c>
    </row>
    <row r="356" spans="1:22" customFormat="1" ht="15" x14ac:dyDescent="0.25">
      <c r="A356" t="s">
        <v>167</v>
      </c>
      <c r="B356" t="s">
        <v>3919</v>
      </c>
      <c r="E356" s="1507" t="s">
        <v>6520</v>
      </c>
      <c r="F356" s="1510"/>
      <c r="G356" s="584" t="s">
        <v>3775</v>
      </c>
      <c r="H356" s="650">
        <v>0.2127</v>
      </c>
      <c r="K356" t="s">
        <v>3967</v>
      </c>
      <c r="L356" t="s">
        <v>692</v>
      </c>
      <c r="P356" t="s">
        <v>3975</v>
      </c>
      <c r="T356">
        <v>46022</v>
      </c>
      <c r="V356">
        <v>99</v>
      </c>
    </row>
    <row r="357" spans="1:22" customFormat="1" ht="15" x14ac:dyDescent="0.25">
      <c r="A357" t="s">
        <v>167</v>
      </c>
      <c r="B357" t="s">
        <v>3919</v>
      </c>
      <c r="E357" s="1507" t="s">
        <v>3924</v>
      </c>
      <c r="F357" s="1507"/>
      <c r="G357" s="584" t="s">
        <v>3775</v>
      </c>
      <c r="H357" s="650">
        <v>2.35E-2</v>
      </c>
      <c r="K357" t="s">
        <v>3967</v>
      </c>
      <c r="L357" t="s">
        <v>690</v>
      </c>
      <c r="P357" t="s">
        <v>3976</v>
      </c>
      <c r="V357">
        <v>141</v>
      </c>
    </row>
    <row r="358" spans="1:22" customFormat="1" ht="15" x14ac:dyDescent="0.25">
      <c r="A358" t="s">
        <v>167</v>
      </c>
      <c r="B358" t="s">
        <v>3919</v>
      </c>
      <c r="E358" s="1507" t="s">
        <v>3926</v>
      </c>
      <c r="F358" s="1507"/>
      <c r="G358" s="584" t="s">
        <v>3775</v>
      </c>
      <c r="H358" s="650">
        <v>2.4E-2</v>
      </c>
      <c r="K358" t="s">
        <v>3967</v>
      </c>
      <c r="L358" t="s">
        <v>690</v>
      </c>
      <c r="P358" t="s">
        <v>3977</v>
      </c>
      <c r="V358">
        <v>141</v>
      </c>
    </row>
    <row r="359" spans="1:22" customFormat="1" ht="15" x14ac:dyDescent="0.25">
      <c r="A359" t="s">
        <v>167</v>
      </c>
      <c r="B359" t="s">
        <v>3919</v>
      </c>
      <c r="E359" s="1507" t="s">
        <v>6524</v>
      </c>
      <c r="F359" s="1507"/>
      <c r="G359" s="584" t="s">
        <v>3775</v>
      </c>
      <c r="H359" s="650">
        <v>0.1208</v>
      </c>
      <c r="K359" t="s">
        <v>3967</v>
      </c>
      <c r="L359" t="s">
        <v>690</v>
      </c>
      <c r="P359" t="s">
        <v>3974</v>
      </c>
      <c r="T359">
        <v>46022</v>
      </c>
      <c r="V359">
        <v>150</v>
      </c>
    </row>
    <row r="360" spans="1:22" customFormat="1" ht="15" x14ac:dyDescent="0.25">
      <c r="A360" t="s">
        <v>167</v>
      </c>
      <c r="B360" t="s">
        <v>3919</v>
      </c>
      <c r="E360" s="1507" t="s">
        <v>243</v>
      </c>
      <c r="F360" s="1507"/>
      <c r="G360" s="584" t="s">
        <v>3775</v>
      </c>
      <c r="H360" s="650">
        <v>5.6676000000000002</v>
      </c>
      <c r="K360" t="s">
        <v>3967</v>
      </c>
      <c r="L360" t="s">
        <v>694</v>
      </c>
      <c r="P360" t="s">
        <v>3978</v>
      </c>
      <c r="V360">
        <v>47</v>
      </c>
    </row>
    <row r="361" spans="1:22" customFormat="1" ht="15" x14ac:dyDescent="0.25">
      <c r="A361" t="s">
        <v>167</v>
      </c>
      <c r="B361" t="s">
        <v>3919</v>
      </c>
      <c r="E361" s="1507" t="s">
        <v>175</v>
      </c>
      <c r="F361" s="1507"/>
      <c r="G361" s="584" t="s">
        <v>3775</v>
      </c>
      <c r="H361" s="650">
        <v>3.6267999999999998</v>
      </c>
      <c r="K361" t="s">
        <v>3967</v>
      </c>
      <c r="L361" t="s">
        <v>694</v>
      </c>
      <c r="P361" t="s">
        <v>3979</v>
      </c>
      <c r="V361">
        <v>74</v>
      </c>
    </row>
    <row r="362" spans="1:22" customFormat="1" ht="15" x14ac:dyDescent="0.25">
      <c r="A362" t="s">
        <v>167</v>
      </c>
      <c r="B362" t="s">
        <v>3919</v>
      </c>
      <c r="E362" s="1515" t="s">
        <v>967</v>
      </c>
      <c r="F362" s="1507"/>
      <c r="G362" s="584"/>
      <c r="H362" s="584"/>
      <c r="K362" t="s">
        <v>1035</v>
      </c>
      <c r="V362">
        <v>48</v>
      </c>
    </row>
    <row r="363" spans="1:22" customFormat="1" ht="15" x14ac:dyDescent="0.25">
      <c r="A363" t="s">
        <v>167</v>
      </c>
      <c r="B363" t="s">
        <v>3919</v>
      </c>
      <c r="E363" s="1507" t="s">
        <v>844</v>
      </c>
      <c r="F363" s="1507"/>
      <c r="G363" s="584" t="s">
        <v>845</v>
      </c>
      <c r="H363" s="650">
        <v>4.1000000000000003E-3</v>
      </c>
      <c r="K363" t="s">
        <v>3967</v>
      </c>
      <c r="L363" t="s">
        <v>968</v>
      </c>
      <c r="P363" t="s">
        <v>3980</v>
      </c>
      <c r="V363">
        <v>55</v>
      </c>
    </row>
    <row r="364" spans="1:22" customFormat="1" ht="15" x14ac:dyDescent="0.25">
      <c r="A364" t="s">
        <v>167</v>
      </c>
      <c r="B364" t="s">
        <v>3919</v>
      </c>
      <c r="E364" s="1507" t="s">
        <v>846</v>
      </c>
      <c r="F364" s="1507"/>
      <c r="G364" s="584" t="s">
        <v>845</v>
      </c>
      <c r="H364" s="650">
        <v>4.0000000000000002E-4</v>
      </c>
      <c r="K364" t="s">
        <v>3967</v>
      </c>
      <c r="L364" t="s">
        <v>968</v>
      </c>
      <c r="P364" t="s">
        <v>3980</v>
      </c>
      <c r="V364">
        <v>65</v>
      </c>
    </row>
    <row r="365" spans="1:22" customFormat="1" ht="15" x14ac:dyDescent="0.25">
      <c r="A365" t="s">
        <v>167</v>
      </c>
      <c r="B365" t="s">
        <v>3919</v>
      </c>
      <c r="E365" s="1507" t="s">
        <v>847</v>
      </c>
      <c r="F365" s="1507"/>
      <c r="G365" s="584" t="s">
        <v>845</v>
      </c>
      <c r="H365" s="650">
        <v>1.5E-3</v>
      </c>
      <c r="K365" t="s">
        <v>3967</v>
      </c>
      <c r="L365" t="s">
        <v>968</v>
      </c>
      <c r="P365" t="s">
        <v>3981</v>
      </c>
      <c r="V365">
        <v>57</v>
      </c>
    </row>
    <row r="366" spans="1:22" customFormat="1" ht="15" x14ac:dyDescent="0.25">
      <c r="A366" t="s">
        <v>167</v>
      </c>
      <c r="B366" t="s">
        <v>3919</v>
      </c>
      <c r="E366" s="1507" t="s">
        <v>848</v>
      </c>
      <c r="F366" s="1507"/>
      <c r="G366" s="584" t="s">
        <v>777</v>
      </c>
      <c r="H366" s="650">
        <v>0.25</v>
      </c>
      <c r="K366" t="s">
        <v>3967</v>
      </c>
      <c r="L366" t="s">
        <v>968</v>
      </c>
      <c r="P366" t="s">
        <v>3982</v>
      </c>
      <c r="V366">
        <v>63</v>
      </c>
    </row>
    <row r="367" spans="1:22" customFormat="1" x14ac:dyDescent="0.25">
      <c r="A367" t="s">
        <v>167</v>
      </c>
      <c r="B367" t="s">
        <v>3919</v>
      </c>
      <c r="E367" s="1492" t="s">
        <v>194</v>
      </c>
      <c r="F367" s="1493"/>
      <c r="G367" s="1493"/>
      <c r="H367" s="1493"/>
      <c r="K367" t="s">
        <v>3872</v>
      </c>
      <c r="V367">
        <v>47</v>
      </c>
    </row>
    <row r="368" spans="1:22" customFormat="1" ht="15" x14ac:dyDescent="0.25">
      <c r="A368" t="s">
        <v>167</v>
      </c>
      <c r="B368" t="s">
        <v>3919</v>
      </c>
      <c r="E368" s="1516" t="s">
        <v>3983</v>
      </c>
      <c r="F368" s="1516"/>
      <c r="G368" s="1516"/>
      <c r="H368" s="1516"/>
      <c r="K368" t="s">
        <v>3872</v>
      </c>
      <c r="V368">
        <v>681</v>
      </c>
    </row>
    <row r="369" spans="1:22" customFormat="1" ht="15" x14ac:dyDescent="0.25">
      <c r="A369" t="s">
        <v>167</v>
      </c>
      <c r="B369" t="s">
        <v>3919</v>
      </c>
      <c r="E369" s="1515" t="s">
        <v>950</v>
      </c>
      <c r="F369" s="1516"/>
      <c r="G369" s="1516"/>
      <c r="H369" s="1516"/>
      <c r="K369" t="s">
        <v>1041</v>
      </c>
      <c r="V369">
        <v>11</v>
      </c>
    </row>
    <row r="370" spans="1:22" customFormat="1" ht="15" x14ac:dyDescent="0.25">
      <c r="A370" t="s">
        <v>167</v>
      </c>
      <c r="B370" t="s">
        <v>3919</v>
      </c>
      <c r="E370" s="1516" t="s">
        <v>951</v>
      </c>
      <c r="F370" s="1516"/>
      <c r="G370" s="1516"/>
      <c r="H370" s="1516"/>
      <c r="K370" t="s">
        <v>3872</v>
      </c>
      <c r="V370">
        <v>280</v>
      </c>
    </row>
    <row r="371" spans="1:22" customFormat="1" ht="15" x14ac:dyDescent="0.25">
      <c r="A371" t="s">
        <v>167</v>
      </c>
      <c r="B371" t="s">
        <v>3919</v>
      </c>
      <c r="E371" s="1516" t="s">
        <v>952</v>
      </c>
      <c r="F371" s="1516"/>
      <c r="G371" s="1516"/>
      <c r="H371" s="1516"/>
      <c r="K371" t="s">
        <v>3872</v>
      </c>
      <c r="V371">
        <v>411</v>
      </c>
    </row>
    <row r="372" spans="1:22" customFormat="1" ht="15" x14ac:dyDescent="0.25">
      <c r="A372" t="s">
        <v>167</v>
      </c>
      <c r="B372" t="s">
        <v>3919</v>
      </c>
      <c r="E372" s="1516" t="s">
        <v>953</v>
      </c>
      <c r="F372" s="1516"/>
      <c r="G372" s="1516"/>
      <c r="H372" s="1516"/>
      <c r="K372" t="s">
        <v>3872</v>
      </c>
      <c r="V372">
        <v>386</v>
      </c>
    </row>
    <row r="373" spans="1:22" customFormat="1" ht="15" x14ac:dyDescent="0.25">
      <c r="A373" t="s">
        <v>167</v>
      </c>
      <c r="B373" t="s">
        <v>3919</v>
      </c>
      <c r="E373" s="1516" t="s">
        <v>3762</v>
      </c>
      <c r="F373" s="1516"/>
      <c r="G373" s="1516"/>
      <c r="H373" s="1516"/>
      <c r="K373" t="s">
        <v>3872</v>
      </c>
      <c r="V373">
        <v>247</v>
      </c>
    </row>
    <row r="374" spans="1:22" customFormat="1" ht="15" x14ac:dyDescent="0.25">
      <c r="A374" t="s">
        <v>167</v>
      </c>
      <c r="B374" t="s">
        <v>3919</v>
      </c>
      <c r="E374" s="1515" t="s">
        <v>956</v>
      </c>
      <c r="F374" s="1516"/>
      <c r="G374" s="1516"/>
      <c r="H374" s="1516"/>
      <c r="K374" t="s">
        <v>1042</v>
      </c>
      <c r="V374">
        <v>46</v>
      </c>
    </row>
    <row r="375" spans="1:22" customFormat="1" ht="15" x14ac:dyDescent="0.25">
      <c r="A375" t="s">
        <v>167</v>
      </c>
      <c r="B375" t="s">
        <v>3919</v>
      </c>
      <c r="E375" s="1507" t="s">
        <v>3773</v>
      </c>
      <c r="F375" s="1507"/>
      <c r="G375" s="584" t="s">
        <v>777</v>
      </c>
      <c r="H375" s="650">
        <v>1.31</v>
      </c>
      <c r="K375" t="s">
        <v>3872</v>
      </c>
      <c r="L375" t="s">
        <v>690</v>
      </c>
      <c r="P375" t="s">
        <v>3875</v>
      </c>
      <c r="V375">
        <v>14</v>
      </c>
    </row>
    <row r="376" spans="1:22" customFormat="1" ht="15" x14ac:dyDescent="0.25">
      <c r="A376" t="s">
        <v>167</v>
      </c>
      <c r="B376" t="s">
        <v>3919</v>
      </c>
      <c r="E376" s="1507" t="s">
        <v>3924</v>
      </c>
      <c r="F376" s="1507"/>
      <c r="G376" s="584" t="s">
        <v>777</v>
      </c>
      <c r="H376" s="650">
        <v>0.01</v>
      </c>
      <c r="K376" t="s">
        <v>3872</v>
      </c>
      <c r="L376" t="s">
        <v>690</v>
      </c>
      <c r="P376" t="s">
        <v>3984</v>
      </c>
      <c r="V376">
        <v>141</v>
      </c>
    </row>
    <row r="377" spans="1:22" customFormat="1" ht="15" x14ac:dyDescent="0.25">
      <c r="A377" t="s">
        <v>167</v>
      </c>
      <c r="B377" t="s">
        <v>3919</v>
      </c>
      <c r="E377" s="1507" t="s">
        <v>3926</v>
      </c>
      <c r="F377" s="1507"/>
      <c r="G377" s="584" t="s">
        <v>777</v>
      </c>
      <c r="H377" s="650">
        <v>0.01</v>
      </c>
      <c r="K377" t="s">
        <v>3872</v>
      </c>
      <c r="L377" t="s">
        <v>690</v>
      </c>
      <c r="P377" t="s">
        <v>3985</v>
      </c>
      <c r="V377">
        <v>141</v>
      </c>
    </row>
    <row r="378" spans="1:22" customFormat="1" ht="15" x14ac:dyDescent="0.25">
      <c r="A378" t="s">
        <v>167</v>
      </c>
      <c r="B378" t="s">
        <v>3919</v>
      </c>
      <c r="E378" s="1507" t="s">
        <v>3688</v>
      </c>
      <c r="F378" s="1507"/>
      <c r="G378" s="584" t="s">
        <v>845</v>
      </c>
      <c r="H378" s="650">
        <v>2.4E-2</v>
      </c>
      <c r="K378" t="s">
        <v>3872</v>
      </c>
      <c r="L378" t="s">
        <v>690</v>
      </c>
      <c r="P378" t="s">
        <v>3876</v>
      </c>
      <c r="V378">
        <v>28</v>
      </c>
    </row>
    <row r="379" spans="1:22" customFormat="1" ht="15" x14ac:dyDescent="0.25">
      <c r="A379" t="s">
        <v>167</v>
      </c>
      <c r="B379" t="s">
        <v>3919</v>
      </c>
      <c r="E379" s="1507" t="s">
        <v>910</v>
      </c>
      <c r="F379" s="1507"/>
      <c r="G379" s="584" t="s">
        <v>845</v>
      </c>
      <c r="H379" s="650">
        <v>1E-4</v>
      </c>
      <c r="K379" t="s">
        <v>3872</v>
      </c>
      <c r="L379" t="s">
        <v>692</v>
      </c>
      <c r="P379" t="s">
        <v>3986</v>
      </c>
      <c r="V379">
        <v>24</v>
      </c>
    </row>
    <row r="380" spans="1:22" customFormat="1" ht="15" x14ac:dyDescent="0.25">
      <c r="A380" t="s">
        <v>167</v>
      </c>
      <c r="B380" t="s">
        <v>3919</v>
      </c>
      <c r="E380" s="1507" t="s">
        <v>6519</v>
      </c>
      <c r="F380" s="1510"/>
      <c r="G380" s="584" t="s">
        <v>845</v>
      </c>
      <c r="H380" s="650">
        <v>2.5000000000000001E-3</v>
      </c>
      <c r="K380" t="s">
        <v>3872</v>
      </c>
      <c r="L380" t="s">
        <v>692</v>
      </c>
      <c r="P380" t="s">
        <v>3987</v>
      </c>
      <c r="T380">
        <v>46022</v>
      </c>
      <c r="V380">
        <v>142</v>
      </c>
    </row>
    <row r="381" spans="1:22" customFormat="1" ht="15" x14ac:dyDescent="0.25">
      <c r="A381" t="s">
        <v>167</v>
      </c>
      <c r="B381" t="s">
        <v>3919</v>
      </c>
      <c r="E381" s="1507" t="s">
        <v>6520</v>
      </c>
      <c r="F381" s="1510"/>
      <c r="G381" s="584" t="s">
        <v>845</v>
      </c>
      <c r="H381" s="650">
        <v>4.0000000000000002E-4</v>
      </c>
      <c r="K381" t="s">
        <v>3872</v>
      </c>
      <c r="L381" t="s">
        <v>692</v>
      </c>
      <c r="P381" t="s">
        <v>3990</v>
      </c>
      <c r="T381">
        <v>46022</v>
      </c>
      <c r="V381">
        <v>99</v>
      </c>
    </row>
    <row r="382" spans="1:22" customFormat="1" ht="15" x14ac:dyDescent="0.25">
      <c r="A382" t="s">
        <v>167</v>
      </c>
      <c r="B382" t="s">
        <v>3919</v>
      </c>
      <c r="E382" s="1507" t="s">
        <v>6521</v>
      </c>
      <c r="F382" s="1510"/>
      <c r="G382" s="584" t="s">
        <v>845</v>
      </c>
      <c r="H382" s="650">
        <v>2.0000000000000001E-4</v>
      </c>
      <c r="K382" t="s">
        <v>3872</v>
      </c>
      <c r="L382" t="s">
        <v>692</v>
      </c>
      <c r="P382" t="s">
        <v>3991</v>
      </c>
      <c r="T382">
        <v>46022</v>
      </c>
      <c r="V382">
        <v>149</v>
      </c>
    </row>
    <row r="383" spans="1:22" customFormat="1" ht="15" x14ac:dyDescent="0.25">
      <c r="A383" t="s">
        <v>167</v>
      </c>
      <c r="B383" t="s">
        <v>3919</v>
      </c>
      <c r="E383" s="1507" t="s">
        <v>3988</v>
      </c>
      <c r="F383" s="1507"/>
      <c r="G383" s="584" t="s">
        <v>845</v>
      </c>
      <c r="H383" s="650">
        <v>9.2999999999999992E-3</v>
      </c>
      <c r="K383" t="s">
        <v>3872</v>
      </c>
      <c r="L383" t="s">
        <v>690</v>
      </c>
      <c r="P383" t="s">
        <v>3989</v>
      </c>
      <c r="T383">
        <v>46022</v>
      </c>
      <c r="V383">
        <v>137</v>
      </c>
    </row>
    <row r="384" spans="1:22" customFormat="1" ht="15" x14ac:dyDescent="0.25">
      <c r="A384" t="s">
        <v>167</v>
      </c>
      <c r="B384" t="s">
        <v>3919</v>
      </c>
      <c r="E384" s="1507" t="s">
        <v>3924</v>
      </c>
      <c r="F384" s="1507"/>
      <c r="G384" s="584" t="s">
        <v>845</v>
      </c>
      <c r="H384" s="650">
        <v>2.0000000000000001E-4</v>
      </c>
      <c r="K384" t="s">
        <v>3872</v>
      </c>
      <c r="L384" t="s">
        <v>690</v>
      </c>
      <c r="P384" t="s">
        <v>3992</v>
      </c>
      <c r="V384">
        <v>141</v>
      </c>
    </row>
    <row r="385" spans="1:22" customFormat="1" ht="15" x14ac:dyDescent="0.25">
      <c r="A385" t="s">
        <v>167</v>
      </c>
      <c r="B385" t="s">
        <v>3919</v>
      </c>
      <c r="E385" s="1507" t="s">
        <v>3926</v>
      </c>
      <c r="F385" s="1507"/>
      <c r="G385" s="584" t="s">
        <v>845</v>
      </c>
      <c r="H385" s="650">
        <v>2.0000000000000001E-4</v>
      </c>
      <c r="K385" t="s">
        <v>3872</v>
      </c>
      <c r="L385" t="s">
        <v>690</v>
      </c>
      <c r="P385" t="s">
        <v>3993</v>
      </c>
      <c r="V385">
        <v>141</v>
      </c>
    </row>
    <row r="386" spans="1:22" customFormat="1" ht="15" x14ac:dyDescent="0.25">
      <c r="A386" t="s">
        <v>167</v>
      </c>
      <c r="B386" t="s">
        <v>3919</v>
      </c>
      <c r="E386" s="1507" t="s">
        <v>6524</v>
      </c>
      <c r="F386" s="1507"/>
      <c r="G386" s="584" t="s">
        <v>845</v>
      </c>
      <c r="H386" s="650">
        <v>9.7999999999999997E-3</v>
      </c>
      <c r="K386" t="s">
        <v>3872</v>
      </c>
      <c r="L386" t="s">
        <v>690</v>
      </c>
      <c r="P386" t="s">
        <v>3989</v>
      </c>
      <c r="T386">
        <v>46022</v>
      </c>
      <c r="V386">
        <v>150</v>
      </c>
    </row>
    <row r="387" spans="1:22" customFormat="1" ht="15" x14ac:dyDescent="0.25">
      <c r="A387" t="s">
        <v>167</v>
      </c>
      <c r="B387" t="s">
        <v>3919</v>
      </c>
      <c r="E387" s="1507" t="s">
        <v>243</v>
      </c>
      <c r="F387" s="1507"/>
      <c r="G387" s="584" t="s">
        <v>845</v>
      </c>
      <c r="H387" s="650">
        <v>1.1299999999999999E-2</v>
      </c>
      <c r="K387" t="s">
        <v>3872</v>
      </c>
      <c r="L387" t="s">
        <v>694</v>
      </c>
      <c r="P387" t="s">
        <v>3877</v>
      </c>
      <c r="V387">
        <v>47</v>
      </c>
    </row>
    <row r="388" spans="1:22" customFormat="1" ht="15" x14ac:dyDescent="0.25">
      <c r="A388" t="s">
        <v>167</v>
      </c>
      <c r="B388" t="s">
        <v>3919</v>
      </c>
      <c r="E388" s="1507" t="s">
        <v>175</v>
      </c>
      <c r="F388" s="1507"/>
      <c r="G388" s="584" t="s">
        <v>845</v>
      </c>
      <c r="H388" s="650">
        <v>7.1999999999999998E-3</v>
      </c>
      <c r="K388" t="s">
        <v>3872</v>
      </c>
      <c r="L388" t="s">
        <v>694</v>
      </c>
      <c r="P388" t="s">
        <v>3878</v>
      </c>
      <c r="V388">
        <v>74</v>
      </c>
    </row>
    <row r="389" spans="1:22" customFormat="1" ht="15" x14ac:dyDescent="0.25">
      <c r="A389" t="s">
        <v>167</v>
      </c>
      <c r="B389" t="s">
        <v>3919</v>
      </c>
      <c r="E389" s="1515" t="s">
        <v>967</v>
      </c>
      <c r="F389" s="1507"/>
      <c r="G389" s="584"/>
      <c r="H389" s="584"/>
      <c r="K389" t="s">
        <v>1049</v>
      </c>
      <c r="V389">
        <v>48</v>
      </c>
    </row>
    <row r="390" spans="1:22" customFormat="1" ht="15" x14ac:dyDescent="0.25">
      <c r="A390" t="s">
        <v>167</v>
      </c>
      <c r="B390" t="s">
        <v>3919</v>
      </c>
      <c r="E390" s="1507" t="s">
        <v>844</v>
      </c>
      <c r="F390" s="1507"/>
      <c r="G390" s="584" t="s">
        <v>845</v>
      </c>
      <c r="H390" s="650">
        <v>4.1000000000000003E-3</v>
      </c>
      <c r="K390" t="s">
        <v>3872</v>
      </c>
      <c r="L390" t="s">
        <v>968</v>
      </c>
      <c r="P390" t="s">
        <v>3879</v>
      </c>
      <c r="V390">
        <v>55</v>
      </c>
    </row>
    <row r="391" spans="1:22" customFormat="1" ht="15" x14ac:dyDescent="0.25">
      <c r="A391" t="s">
        <v>167</v>
      </c>
      <c r="B391" t="s">
        <v>3919</v>
      </c>
      <c r="E391" s="1507" t="s">
        <v>846</v>
      </c>
      <c r="F391" s="1507"/>
      <c r="G391" s="584" t="s">
        <v>845</v>
      </c>
      <c r="H391" s="650">
        <v>4.0000000000000002E-4</v>
      </c>
      <c r="K391" t="s">
        <v>3872</v>
      </c>
      <c r="L391" t="s">
        <v>968</v>
      </c>
      <c r="P391" t="s">
        <v>3879</v>
      </c>
      <c r="V391">
        <v>65</v>
      </c>
    </row>
    <row r="392" spans="1:22" customFormat="1" ht="15" x14ac:dyDescent="0.25">
      <c r="A392" t="s">
        <v>167</v>
      </c>
      <c r="B392" t="s">
        <v>3919</v>
      </c>
      <c r="E392" s="1507" t="s">
        <v>847</v>
      </c>
      <c r="F392" s="1507"/>
      <c r="G392" s="584" t="s">
        <v>845</v>
      </c>
      <c r="H392" s="650">
        <v>1.5E-3</v>
      </c>
      <c r="K392" t="s">
        <v>3872</v>
      </c>
      <c r="L392" t="s">
        <v>968</v>
      </c>
      <c r="P392" t="s">
        <v>3880</v>
      </c>
      <c r="V392">
        <v>57</v>
      </c>
    </row>
    <row r="393" spans="1:22" customFormat="1" ht="15" x14ac:dyDescent="0.25">
      <c r="A393" t="s">
        <v>167</v>
      </c>
      <c r="B393" t="s">
        <v>3919</v>
      </c>
      <c r="E393" s="1507" t="s">
        <v>848</v>
      </c>
      <c r="F393" s="1507"/>
      <c r="G393" s="584" t="s">
        <v>777</v>
      </c>
      <c r="H393" s="650">
        <v>0.25</v>
      </c>
      <c r="K393" t="s">
        <v>3872</v>
      </c>
      <c r="L393" t="s">
        <v>968</v>
      </c>
      <c r="P393" t="s">
        <v>3881</v>
      </c>
      <c r="V393">
        <v>63</v>
      </c>
    </row>
    <row r="394" spans="1:22" customFormat="1" x14ac:dyDescent="0.25">
      <c r="A394" t="s">
        <v>167</v>
      </c>
      <c r="B394" t="s">
        <v>3919</v>
      </c>
      <c r="E394" s="1492" t="s">
        <v>202</v>
      </c>
      <c r="F394" s="1493"/>
      <c r="G394" s="1493"/>
      <c r="H394" s="1493"/>
      <c r="K394" t="s">
        <v>1053</v>
      </c>
      <c r="V394">
        <v>38</v>
      </c>
    </row>
    <row r="395" spans="1:22" customFormat="1" ht="15" x14ac:dyDescent="0.25">
      <c r="A395" t="s">
        <v>167</v>
      </c>
      <c r="B395" t="s">
        <v>3919</v>
      </c>
      <c r="E395" s="1516" t="s">
        <v>3994</v>
      </c>
      <c r="F395" s="1516"/>
      <c r="G395" s="1516"/>
      <c r="H395" s="1516"/>
      <c r="K395" t="s">
        <v>1053</v>
      </c>
      <c r="V395">
        <v>542</v>
      </c>
    </row>
    <row r="396" spans="1:22" customFormat="1" ht="15" x14ac:dyDescent="0.25">
      <c r="A396" t="s">
        <v>167</v>
      </c>
      <c r="B396" t="s">
        <v>3919</v>
      </c>
      <c r="E396" s="1515" t="s">
        <v>950</v>
      </c>
      <c r="F396" s="1516"/>
      <c r="G396" s="1516"/>
      <c r="H396" s="1516"/>
      <c r="K396" t="s">
        <v>1055</v>
      </c>
      <c r="V396">
        <v>11</v>
      </c>
    </row>
    <row r="397" spans="1:22" customFormat="1" ht="15" x14ac:dyDescent="0.25">
      <c r="A397" t="s">
        <v>167</v>
      </c>
      <c r="B397" t="s">
        <v>3919</v>
      </c>
      <c r="E397" s="1516" t="s">
        <v>951</v>
      </c>
      <c r="F397" s="1516"/>
      <c r="G397" s="1516"/>
      <c r="H397" s="1516"/>
      <c r="K397" t="s">
        <v>1053</v>
      </c>
      <c r="V397">
        <v>280</v>
      </c>
    </row>
    <row r="398" spans="1:22" customFormat="1" ht="15" x14ac:dyDescent="0.25">
      <c r="A398" t="s">
        <v>167</v>
      </c>
      <c r="B398" t="s">
        <v>3919</v>
      </c>
      <c r="E398" s="1516" t="s">
        <v>952</v>
      </c>
      <c r="F398" s="1516"/>
      <c r="G398" s="1516"/>
      <c r="H398" s="1516"/>
      <c r="K398" t="s">
        <v>1053</v>
      </c>
      <c r="V398">
        <v>411</v>
      </c>
    </row>
    <row r="399" spans="1:22" customFormat="1" ht="15" x14ac:dyDescent="0.25">
      <c r="A399" t="s">
        <v>167</v>
      </c>
      <c r="B399" t="s">
        <v>3919</v>
      </c>
      <c r="E399" s="1516" t="s">
        <v>953</v>
      </c>
      <c r="F399" s="1516"/>
      <c r="G399" s="1516"/>
      <c r="H399" s="1516"/>
      <c r="K399" t="s">
        <v>1053</v>
      </c>
      <c r="V399">
        <v>386</v>
      </c>
    </row>
    <row r="400" spans="1:22" customFormat="1" ht="15" x14ac:dyDescent="0.25">
      <c r="A400" t="s">
        <v>167</v>
      </c>
      <c r="B400" t="s">
        <v>3919</v>
      </c>
      <c r="E400" s="1516" t="s">
        <v>3762</v>
      </c>
      <c r="F400" s="1516"/>
      <c r="G400" s="1516"/>
      <c r="H400" s="1516"/>
      <c r="K400" t="s">
        <v>1053</v>
      </c>
      <c r="V400">
        <v>247</v>
      </c>
    </row>
    <row r="401" spans="1:22" customFormat="1" ht="15" x14ac:dyDescent="0.25">
      <c r="A401" t="s">
        <v>167</v>
      </c>
      <c r="B401" t="s">
        <v>3919</v>
      </c>
      <c r="E401" s="1515" t="s">
        <v>956</v>
      </c>
      <c r="F401" s="1516"/>
      <c r="G401" s="1516"/>
      <c r="H401" s="1516"/>
      <c r="K401" t="s">
        <v>1056</v>
      </c>
      <c r="V401">
        <v>46</v>
      </c>
    </row>
    <row r="402" spans="1:22" customFormat="1" ht="15" x14ac:dyDescent="0.25">
      <c r="A402" t="s">
        <v>167</v>
      </c>
      <c r="B402" t="s">
        <v>3919</v>
      </c>
      <c r="E402" s="1547" t="s">
        <v>3874</v>
      </c>
      <c r="F402" s="1507"/>
      <c r="G402" s="584" t="s">
        <v>777</v>
      </c>
      <c r="H402" s="650">
        <v>2.81</v>
      </c>
      <c r="K402" t="s">
        <v>1053</v>
      </c>
      <c r="L402" t="s">
        <v>690</v>
      </c>
      <c r="P402" t="s">
        <v>1057</v>
      </c>
      <c r="V402">
        <v>31</v>
      </c>
    </row>
    <row r="403" spans="1:22" customFormat="1" ht="15" x14ac:dyDescent="0.25">
      <c r="A403" t="s">
        <v>167</v>
      </c>
      <c r="B403" t="s">
        <v>3919</v>
      </c>
      <c r="E403" s="1547" t="s">
        <v>3924</v>
      </c>
      <c r="F403" s="1507"/>
      <c r="G403" s="584" t="s">
        <v>777</v>
      </c>
      <c r="H403" s="650">
        <v>0.02</v>
      </c>
      <c r="K403" t="s">
        <v>1053</v>
      </c>
      <c r="L403" t="s">
        <v>690</v>
      </c>
      <c r="P403" t="s">
        <v>3995</v>
      </c>
      <c r="V403">
        <v>141</v>
      </c>
    </row>
    <row r="404" spans="1:22" customFormat="1" ht="15" x14ac:dyDescent="0.25">
      <c r="A404" t="s">
        <v>167</v>
      </c>
      <c r="B404" t="s">
        <v>3919</v>
      </c>
      <c r="E404" s="1507" t="s">
        <v>3926</v>
      </c>
      <c r="F404" s="1507"/>
      <c r="G404" s="584" t="s">
        <v>777</v>
      </c>
      <c r="H404" s="650">
        <v>0.02</v>
      </c>
      <c r="K404" t="s">
        <v>1053</v>
      </c>
      <c r="L404" t="s">
        <v>690</v>
      </c>
      <c r="P404" t="s">
        <v>3996</v>
      </c>
      <c r="V404">
        <v>141</v>
      </c>
    </row>
    <row r="405" spans="1:22" customFormat="1" ht="15" x14ac:dyDescent="0.25">
      <c r="A405" t="s">
        <v>167</v>
      </c>
      <c r="B405" t="s">
        <v>3919</v>
      </c>
      <c r="E405" s="1547" t="s">
        <v>3688</v>
      </c>
      <c r="F405" s="1507"/>
      <c r="G405" s="584" t="s">
        <v>3775</v>
      </c>
      <c r="H405" s="650">
        <v>14.0379</v>
      </c>
      <c r="K405" t="s">
        <v>1053</v>
      </c>
      <c r="L405" t="s">
        <v>690</v>
      </c>
      <c r="P405" t="s">
        <v>1059</v>
      </c>
      <c r="V405">
        <v>28</v>
      </c>
    </row>
    <row r="406" spans="1:22" customFormat="1" ht="15" x14ac:dyDescent="0.25">
      <c r="A406" t="s">
        <v>167</v>
      </c>
      <c r="B406" t="s">
        <v>3919</v>
      </c>
      <c r="E406" s="1547" t="s">
        <v>910</v>
      </c>
      <c r="F406" s="1507"/>
      <c r="G406" s="584" t="s">
        <v>3775</v>
      </c>
      <c r="H406" s="650">
        <v>2.5100000000000001E-2</v>
      </c>
      <c r="K406" t="s">
        <v>1053</v>
      </c>
      <c r="L406" t="s">
        <v>692</v>
      </c>
      <c r="P406" t="s">
        <v>1060</v>
      </c>
      <c r="V406">
        <v>24</v>
      </c>
    </row>
    <row r="407" spans="1:22" customFormat="1" ht="15" x14ac:dyDescent="0.25">
      <c r="A407" t="s">
        <v>167</v>
      </c>
      <c r="B407" t="s">
        <v>3919</v>
      </c>
      <c r="E407" s="1547" t="s">
        <v>6519</v>
      </c>
      <c r="F407" s="1510"/>
      <c r="G407" s="584" t="s">
        <v>845</v>
      </c>
      <c r="H407" s="650">
        <v>2.5000000000000001E-3</v>
      </c>
      <c r="K407" t="s">
        <v>1053</v>
      </c>
      <c r="L407" t="s">
        <v>692</v>
      </c>
      <c r="P407" t="s">
        <v>1061</v>
      </c>
      <c r="T407">
        <v>46022</v>
      </c>
      <c r="V407">
        <v>142</v>
      </c>
    </row>
    <row r="408" spans="1:22" customFormat="1" ht="15" x14ac:dyDescent="0.25">
      <c r="A408" t="s">
        <v>167</v>
      </c>
      <c r="B408" t="s">
        <v>3919</v>
      </c>
      <c r="E408" s="1547" t="s">
        <v>6520</v>
      </c>
      <c r="F408" s="1510"/>
      <c r="G408" s="584" t="s">
        <v>3775</v>
      </c>
      <c r="H408" s="650">
        <v>0.1371</v>
      </c>
      <c r="K408" t="s">
        <v>1053</v>
      </c>
      <c r="L408" t="s">
        <v>692</v>
      </c>
      <c r="P408" t="s">
        <v>1062</v>
      </c>
      <c r="T408">
        <v>46022</v>
      </c>
      <c r="V408">
        <v>99</v>
      </c>
    </row>
    <row r="409" spans="1:22" customFormat="1" ht="15" x14ac:dyDescent="0.25">
      <c r="A409" t="s">
        <v>167</v>
      </c>
      <c r="B409" t="s">
        <v>3919</v>
      </c>
      <c r="E409" s="1547" t="s">
        <v>6521</v>
      </c>
      <c r="F409" s="1510"/>
      <c r="G409" s="584" t="s">
        <v>3775</v>
      </c>
      <c r="H409" s="650">
        <v>7.7899999999999997E-2</v>
      </c>
      <c r="K409" t="s">
        <v>1053</v>
      </c>
      <c r="L409" t="s">
        <v>692</v>
      </c>
      <c r="P409" t="s">
        <v>3997</v>
      </c>
      <c r="T409">
        <v>46022</v>
      </c>
      <c r="V409">
        <v>149</v>
      </c>
    </row>
    <row r="410" spans="1:22" customFormat="1" ht="15" x14ac:dyDescent="0.25">
      <c r="A410" t="s">
        <v>167</v>
      </c>
      <c r="B410" t="s">
        <v>3919</v>
      </c>
      <c r="E410" s="1547" t="s">
        <v>3998</v>
      </c>
      <c r="F410" s="1507"/>
      <c r="G410" s="584" t="s">
        <v>3775</v>
      </c>
      <c r="H410" s="650">
        <v>4.992</v>
      </c>
      <c r="K410" t="s">
        <v>1053</v>
      </c>
      <c r="L410" t="s">
        <v>690</v>
      </c>
      <c r="P410" t="s">
        <v>3999</v>
      </c>
      <c r="T410">
        <v>46387</v>
      </c>
      <c r="V410">
        <v>137</v>
      </c>
    </row>
    <row r="411" spans="1:22" customFormat="1" ht="15" x14ac:dyDescent="0.25">
      <c r="A411" t="s">
        <v>167</v>
      </c>
      <c r="B411" t="s">
        <v>3919</v>
      </c>
      <c r="E411" s="1507" t="s">
        <v>3924</v>
      </c>
      <c r="F411" s="1507"/>
      <c r="G411" s="584" t="s">
        <v>3775</v>
      </c>
      <c r="H411" s="650">
        <v>0.1087</v>
      </c>
      <c r="K411" t="s">
        <v>1053</v>
      </c>
      <c r="L411" t="s">
        <v>690</v>
      </c>
      <c r="P411" t="s">
        <v>6532</v>
      </c>
      <c r="V411">
        <v>141</v>
      </c>
    </row>
    <row r="412" spans="1:22" customFormat="1" ht="15" x14ac:dyDescent="0.25">
      <c r="A412" t="s">
        <v>167</v>
      </c>
      <c r="B412" t="s">
        <v>3919</v>
      </c>
      <c r="E412" s="1507" t="s">
        <v>3926</v>
      </c>
      <c r="F412" s="1507"/>
      <c r="G412" s="584" t="s">
        <v>3775</v>
      </c>
      <c r="H412" s="650">
        <v>0.11119999999999999</v>
      </c>
      <c r="K412" t="s">
        <v>1053</v>
      </c>
      <c r="L412" t="s">
        <v>690</v>
      </c>
      <c r="P412" t="s">
        <v>4000</v>
      </c>
      <c r="V412">
        <v>141</v>
      </c>
    </row>
    <row r="413" spans="1:22" customFormat="1" ht="15" x14ac:dyDescent="0.25">
      <c r="A413" t="s">
        <v>167</v>
      </c>
      <c r="B413" t="s">
        <v>3919</v>
      </c>
      <c r="E413" s="1507" t="s">
        <v>4001</v>
      </c>
      <c r="F413" s="1507"/>
      <c r="G413" s="584" t="s">
        <v>3775</v>
      </c>
      <c r="H413" s="650">
        <v>2.5428000000000002</v>
      </c>
      <c r="K413" t="s">
        <v>1053</v>
      </c>
      <c r="L413" t="s">
        <v>690</v>
      </c>
      <c r="P413" t="s">
        <v>3999</v>
      </c>
      <c r="T413">
        <v>46387</v>
      </c>
      <c r="V413">
        <v>149</v>
      </c>
    </row>
    <row r="414" spans="1:22" customFormat="1" ht="15" x14ac:dyDescent="0.25">
      <c r="A414" t="s">
        <v>167</v>
      </c>
      <c r="B414" t="s">
        <v>3919</v>
      </c>
      <c r="E414" s="1507" t="s">
        <v>6524</v>
      </c>
      <c r="F414" s="1507"/>
      <c r="G414" s="584" t="s">
        <v>3775</v>
      </c>
      <c r="H414" s="650">
        <v>8.8191000000000006</v>
      </c>
      <c r="K414" t="s">
        <v>1053</v>
      </c>
      <c r="L414" t="s">
        <v>690</v>
      </c>
      <c r="P414" t="s">
        <v>3999</v>
      </c>
      <c r="T414">
        <v>46022</v>
      </c>
      <c r="V414">
        <v>150</v>
      </c>
    </row>
    <row r="415" spans="1:22" customFormat="1" ht="15" x14ac:dyDescent="0.25">
      <c r="A415" t="s">
        <v>167</v>
      </c>
      <c r="B415" t="s">
        <v>3919</v>
      </c>
      <c r="E415" s="1507" t="s">
        <v>243</v>
      </c>
      <c r="F415" s="1507"/>
      <c r="G415" s="584" t="s">
        <v>3775</v>
      </c>
      <c r="H415" s="650">
        <v>3.7178</v>
      </c>
      <c r="K415" t="s">
        <v>1053</v>
      </c>
      <c r="L415" t="s">
        <v>694</v>
      </c>
      <c r="P415" t="s">
        <v>1063</v>
      </c>
      <c r="V415">
        <v>47</v>
      </c>
    </row>
    <row r="416" spans="1:22" customFormat="1" ht="15" x14ac:dyDescent="0.25">
      <c r="A416" t="s">
        <v>167</v>
      </c>
      <c r="B416" t="s">
        <v>3919</v>
      </c>
      <c r="E416" s="1507" t="s">
        <v>175</v>
      </c>
      <c r="F416" s="1507"/>
      <c r="G416" s="584" t="s">
        <v>3775</v>
      </c>
      <c r="H416" s="650">
        <v>2.4302000000000001</v>
      </c>
      <c r="K416" t="s">
        <v>1053</v>
      </c>
      <c r="L416" t="s">
        <v>694</v>
      </c>
      <c r="P416" t="s">
        <v>1064</v>
      </c>
      <c r="V416">
        <v>74</v>
      </c>
    </row>
    <row r="417" spans="1:22" customFormat="1" ht="15" x14ac:dyDescent="0.25">
      <c r="A417" t="s">
        <v>167</v>
      </c>
      <c r="B417" t="s">
        <v>3919</v>
      </c>
      <c r="E417" s="1515" t="s">
        <v>967</v>
      </c>
      <c r="F417" s="1507"/>
      <c r="G417" s="584"/>
      <c r="H417" s="584"/>
      <c r="K417" t="s">
        <v>1065</v>
      </c>
      <c r="V417">
        <v>48</v>
      </c>
    </row>
    <row r="418" spans="1:22" customFormat="1" ht="15" x14ac:dyDescent="0.25">
      <c r="A418" t="s">
        <v>167</v>
      </c>
      <c r="B418" t="s">
        <v>3919</v>
      </c>
      <c r="E418" s="1507" t="s">
        <v>844</v>
      </c>
      <c r="F418" s="1507"/>
      <c r="G418" s="584" t="s">
        <v>845</v>
      </c>
      <c r="H418" s="650">
        <v>4.1000000000000003E-3</v>
      </c>
      <c r="K418" t="s">
        <v>1053</v>
      </c>
      <c r="L418" t="s">
        <v>968</v>
      </c>
      <c r="P418" t="s">
        <v>1066</v>
      </c>
      <c r="V418">
        <v>55</v>
      </c>
    </row>
    <row r="419" spans="1:22" customFormat="1" ht="15" x14ac:dyDescent="0.25">
      <c r="A419" t="s">
        <v>167</v>
      </c>
      <c r="B419" t="s">
        <v>3919</v>
      </c>
      <c r="E419" s="1507" t="s">
        <v>846</v>
      </c>
      <c r="F419" s="1507"/>
      <c r="G419" s="584" t="s">
        <v>845</v>
      </c>
      <c r="H419" s="650">
        <v>4.0000000000000002E-4</v>
      </c>
      <c r="K419" t="s">
        <v>1053</v>
      </c>
      <c r="L419" t="s">
        <v>968</v>
      </c>
      <c r="P419" t="s">
        <v>1066</v>
      </c>
      <c r="V419">
        <v>65</v>
      </c>
    </row>
    <row r="420" spans="1:22" customFormat="1" ht="15" x14ac:dyDescent="0.25">
      <c r="A420" t="s">
        <v>167</v>
      </c>
      <c r="B420" t="s">
        <v>3919</v>
      </c>
      <c r="E420" s="1507" t="s">
        <v>847</v>
      </c>
      <c r="F420" s="1507"/>
      <c r="G420" s="584" t="s">
        <v>845</v>
      </c>
      <c r="H420" s="650">
        <v>1.5E-3</v>
      </c>
      <c r="K420" t="s">
        <v>1053</v>
      </c>
      <c r="L420" t="s">
        <v>968</v>
      </c>
      <c r="P420" t="s">
        <v>1067</v>
      </c>
      <c r="V420">
        <v>57</v>
      </c>
    </row>
    <row r="421" spans="1:22" customFormat="1" ht="15" x14ac:dyDescent="0.25">
      <c r="A421" t="s">
        <v>167</v>
      </c>
      <c r="B421" t="s">
        <v>3919</v>
      </c>
      <c r="E421" s="1507" t="s">
        <v>848</v>
      </c>
      <c r="F421" s="1507"/>
      <c r="G421" s="584" t="s">
        <v>777</v>
      </c>
      <c r="H421" s="650">
        <v>0.25</v>
      </c>
      <c r="K421" t="s">
        <v>1053</v>
      </c>
      <c r="L421" t="s">
        <v>968</v>
      </c>
      <c r="P421" t="s">
        <v>1068</v>
      </c>
      <c r="V421">
        <v>63</v>
      </c>
    </row>
    <row r="422" spans="1:22" customFormat="1" x14ac:dyDescent="0.25">
      <c r="A422" t="s">
        <v>167</v>
      </c>
      <c r="B422" t="s">
        <v>3919</v>
      </c>
      <c r="E422" s="1492" t="s">
        <v>4002</v>
      </c>
      <c r="F422" s="1493"/>
      <c r="G422" s="1493"/>
      <c r="H422" s="1493"/>
      <c r="K422" t="s">
        <v>4003</v>
      </c>
      <c r="V422">
        <v>36</v>
      </c>
    </row>
    <row r="423" spans="1:22" customFormat="1" ht="15" x14ac:dyDescent="0.25">
      <c r="A423" t="s">
        <v>167</v>
      </c>
      <c r="B423" t="s">
        <v>3919</v>
      </c>
      <c r="E423" s="1516" t="s">
        <v>4004</v>
      </c>
      <c r="F423" s="1516"/>
      <c r="G423" s="1516"/>
      <c r="H423" s="1516"/>
      <c r="K423" t="s">
        <v>4003</v>
      </c>
      <c r="V423">
        <v>219</v>
      </c>
    </row>
    <row r="424" spans="1:22" customFormat="1" ht="15" x14ac:dyDescent="0.25">
      <c r="A424" t="s">
        <v>167</v>
      </c>
      <c r="B424" t="s">
        <v>3919</v>
      </c>
      <c r="E424" s="1515" t="s">
        <v>950</v>
      </c>
      <c r="F424" s="1516"/>
      <c r="G424" s="1516"/>
      <c r="H424" s="1516"/>
      <c r="K424" t="s">
        <v>1071</v>
      </c>
      <c r="V424">
        <v>11</v>
      </c>
    </row>
    <row r="425" spans="1:22" customFormat="1" ht="15" x14ac:dyDescent="0.25">
      <c r="A425" t="s">
        <v>167</v>
      </c>
      <c r="B425" t="s">
        <v>3919</v>
      </c>
      <c r="E425" s="1516" t="s">
        <v>951</v>
      </c>
      <c r="F425" s="1516"/>
      <c r="G425" s="1516"/>
      <c r="H425" s="1516"/>
      <c r="K425" t="s">
        <v>4003</v>
      </c>
      <c r="V425">
        <v>280</v>
      </c>
    </row>
    <row r="426" spans="1:22" customFormat="1" ht="15" x14ac:dyDescent="0.25">
      <c r="A426" t="s">
        <v>167</v>
      </c>
      <c r="B426" t="s">
        <v>3919</v>
      </c>
      <c r="E426" s="1516" t="s">
        <v>952</v>
      </c>
      <c r="F426" s="1516"/>
      <c r="G426" s="1516"/>
      <c r="H426" s="1516"/>
      <c r="K426" t="s">
        <v>4003</v>
      </c>
      <c r="V426">
        <v>411</v>
      </c>
    </row>
    <row r="427" spans="1:22" customFormat="1" ht="15" x14ac:dyDescent="0.25">
      <c r="A427" t="s">
        <v>167</v>
      </c>
      <c r="B427" t="s">
        <v>3919</v>
      </c>
      <c r="E427" s="1516" t="s">
        <v>953</v>
      </c>
      <c r="F427" s="1516"/>
      <c r="G427" s="1516"/>
      <c r="H427" s="1516"/>
      <c r="K427" t="s">
        <v>4003</v>
      </c>
      <c r="V427">
        <v>386</v>
      </c>
    </row>
    <row r="428" spans="1:22" customFormat="1" ht="15" x14ac:dyDescent="0.25">
      <c r="A428" t="s">
        <v>167</v>
      </c>
      <c r="B428" t="s">
        <v>3919</v>
      </c>
      <c r="E428" s="1516" t="s">
        <v>3762</v>
      </c>
      <c r="F428" s="1516"/>
      <c r="G428" s="1516"/>
      <c r="H428" s="1516"/>
      <c r="K428" t="s">
        <v>4003</v>
      </c>
      <c r="V428">
        <v>247</v>
      </c>
    </row>
    <row r="429" spans="1:22" customFormat="1" ht="15" x14ac:dyDescent="0.25">
      <c r="A429" t="s">
        <v>167</v>
      </c>
      <c r="B429" t="s">
        <v>3919</v>
      </c>
      <c r="E429" s="1515" t="s">
        <v>4005</v>
      </c>
      <c r="F429" s="1516"/>
      <c r="G429" s="1516"/>
      <c r="H429" s="1516"/>
      <c r="K429" t="s">
        <v>1075</v>
      </c>
      <c r="V429">
        <v>77</v>
      </c>
    </row>
    <row r="430" spans="1:22" customFormat="1" ht="15" x14ac:dyDescent="0.25">
      <c r="A430" t="s">
        <v>167</v>
      </c>
      <c r="B430" t="s">
        <v>3919</v>
      </c>
      <c r="E430" s="1507" t="s">
        <v>3688</v>
      </c>
      <c r="F430" s="1507"/>
      <c r="G430" s="584" t="s">
        <v>3775</v>
      </c>
      <c r="H430" s="650">
        <v>2.0413999999999999</v>
      </c>
      <c r="K430" t="s">
        <v>4003</v>
      </c>
      <c r="L430" t="s">
        <v>690</v>
      </c>
      <c r="P430" t="s">
        <v>4006</v>
      </c>
      <c r="V430">
        <v>28</v>
      </c>
    </row>
    <row r="431" spans="1:22" customFormat="1" x14ac:dyDescent="0.25">
      <c r="A431" t="s">
        <v>167</v>
      </c>
      <c r="B431" t="s">
        <v>3919</v>
      </c>
      <c r="E431" s="1492" t="s">
        <v>4007</v>
      </c>
      <c r="F431" s="1493"/>
      <c r="G431" s="1493"/>
      <c r="H431" s="1493"/>
      <c r="K431" t="s">
        <v>4008</v>
      </c>
      <c r="V431">
        <v>43</v>
      </c>
    </row>
    <row r="432" spans="1:22" customFormat="1" ht="15" x14ac:dyDescent="0.25">
      <c r="A432" t="s">
        <v>167</v>
      </c>
      <c r="B432" t="s">
        <v>3919</v>
      </c>
      <c r="E432" s="1516" t="s">
        <v>4009</v>
      </c>
      <c r="F432" s="1516"/>
      <c r="G432" s="1516"/>
      <c r="H432" s="1516"/>
      <c r="K432" t="s">
        <v>4008</v>
      </c>
      <c r="V432">
        <v>317</v>
      </c>
    </row>
    <row r="433" spans="1:22" customFormat="1" ht="15" x14ac:dyDescent="0.25">
      <c r="A433" t="s">
        <v>167</v>
      </c>
      <c r="B433" t="s">
        <v>3919</v>
      </c>
      <c r="E433" s="1515" t="s">
        <v>950</v>
      </c>
      <c r="F433" s="1516"/>
      <c r="G433" s="1516"/>
      <c r="H433" s="1516"/>
      <c r="K433" t="s">
        <v>3904</v>
      </c>
      <c r="V433">
        <v>11</v>
      </c>
    </row>
    <row r="434" spans="1:22" customFormat="1" ht="15" x14ac:dyDescent="0.25">
      <c r="A434" t="s">
        <v>167</v>
      </c>
      <c r="B434" t="s">
        <v>3919</v>
      </c>
      <c r="E434" s="1516" t="s">
        <v>951</v>
      </c>
      <c r="F434" s="1516"/>
      <c r="G434" s="1516"/>
      <c r="H434" s="1516"/>
      <c r="K434" t="s">
        <v>4008</v>
      </c>
      <c r="V434">
        <v>280</v>
      </c>
    </row>
    <row r="435" spans="1:22" customFormat="1" ht="15" x14ac:dyDescent="0.25">
      <c r="A435" t="s">
        <v>167</v>
      </c>
      <c r="B435" t="s">
        <v>3919</v>
      </c>
      <c r="E435" s="1516" t="s">
        <v>952</v>
      </c>
      <c r="F435" s="1516"/>
      <c r="G435" s="1516"/>
      <c r="H435" s="1516"/>
      <c r="K435" t="s">
        <v>4008</v>
      </c>
      <c r="V435">
        <v>411</v>
      </c>
    </row>
    <row r="436" spans="1:22" customFormat="1" ht="15" x14ac:dyDescent="0.25">
      <c r="A436" t="s">
        <v>167</v>
      </c>
      <c r="B436" t="s">
        <v>3919</v>
      </c>
      <c r="E436" s="1516" t="s">
        <v>953</v>
      </c>
      <c r="F436" s="1516"/>
      <c r="G436" s="1516"/>
      <c r="H436" s="1516"/>
      <c r="K436" t="s">
        <v>4008</v>
      </c>
      <c r="V436">
        <v>386</v>
      </c>
    </row>
    <row r="437" spans="1:22" customFormat="1" ht="15" x14ac:dyDescent="0.25">
      <c r="A437" t="s">
        <v>167</v>
      </c>
      <c r="B437" t="s">
        <v>3919</v>
      </c>
      <c r="E437" s="1516" t="s">
        <v>3762</v>
      </c>
      <c r="F437" s="1516"/>
      <c r="G437" s="1516"/>
      <c r="H437" s="1516"/>
      <c r="K437" t="s">
        <v>4008</v>
      </c>
      <c r="V437">
        <v>247</v>
      </c>
    </row>
    <row r="438" spans="1:22" customFormat="1" ht="15" x14ac:dyDescent="0.25">
      <c r="A438" t="s">
        <v>167</v>
      </c>
      <c r="B438" t="s">
        <v>3919</v>
      </c>
      <c r="E438" s="1515" t="s">
        <v>956</v>
      </c>
      <c r="F438" s="1516"/>
      <c r="G438" s="1516"/>
      <c r="H438" s="1516"/>
      <c r="K438" t="s">
        <v>3905</v>
      </c>
      <c r="V438">
        <v>46</v>
      </c>
    </row>
    <row r="439" spans="1:22" customFormat="1" ht="15" x14ac:dyDescent="0.25">
      <c r="A439" t="s">
        <v>167</v>
      </c>
      <c r="B439" t="s">
        <v>3919</v>
      </c>
      <c r="E439" s="1507" t="s">
        <v>3773</v>
      </c>
      <c r="F439" s="1507"/>
      <c r="G439" s="584" t="s">
        <v>777</v>
      </c>
      <c r="H439" s="650">
        <v>5060.78</v>
      </c>
      <c r="K439" t="s">
        <v>4008</v>
      </c>
      <c r="L439" t="s">
        <v>690</v>
      </c>
      <c r="P439" t="s">
        <v>4010</v>
      </c>
      <c r="V439">
        <v>14</v>
      </c>
    </row>
    <row r="440" spans="1:22" customFormat="1" ht="15" x14ac:dyDescent="0.25">
      <c r="A440" t="s">
        <v>167</v>
      </c>
      <c r="B440" t="s">
        <v>3919</v>
      </c>
      <c r="E440" s="1507" t="s">
        <v>3924</v>
      </c>
      <c r="F440" s="1507"/>
      <c r="G440" s="584" t="s">
        <v>777</v>
      </c>
      <c r="H440" s="650">
        <v>39.200000000000003</v>
      </c>
      <c r="K440" t="s">
        <v>4008</v>
      </c>
      <c r="L440" t="s">
        <v>690</v>
      </c>
      <c r="P440" t="s">
        <v>4011</v>
      </c>
      <c r="V440">
        <v>141</v>
      </c>
    </row>
    <row r="441" spans="1:22" customFormat="1" ht="15" x14ac:dyDescent="0.25">
      <c r="A441" t="s">
        <v>167</v>
      </c>
      <c r="B441" t="s">
        <v>3919</v>
      </c>
      <c r="E441" s="1507" t="s">
        <v>3926</v>
      </c>
      <c r="F441" s="1507"/>
      <c r="G441" s="584" t="s">
        <v>777</v>
      </c>
      <c r="H441" s="650">
        <v>40.07</v>
      </c>
      <c r="K441" t="s">
        <v>4008</v>
      </c>
      <c r="L441" t="s">
        <v>690</v>
      </c>
      <c r="P441" t="s">
        <v>4012</v>
      </c>
      <c r="V441">
        <v>141</v>
      </c>
    </row>
    <row r="442" spans="1:22" customFormat="1" ht="15" x14ac:dyDescent="0.25">
      <c r="A442" t="s">
        <v>167</v>
      </c>
      <c r="B442" t="s">
        <v>3919</v>
      </c>
      <c r="E442" s="1507" t="s">
        <v>243</v>
      </c>
      <c r="F442" s="1507"/>
      <c r="G442" s="584" t="s">
        <v>3775</v>
      </c>
      <c r="H442" s="650">
        <v>5.0075000000000003</v>
      </c>
      <c r="K442" t="s">
        <v>4008</v>
      </c>
      <c r="L442" t="s">
        <v>694</v>
      </c>
      <c r="P442" t="s">
        <v>4013</v>
      </c>
      <c r="V442">
        <v>47</v>
      </c>
    </row>
    <row r="443" spans="1:22" customFormat="1" ht="15" x14ac:dyDescent="0.25">
      <c r="A443" t="s">
        <v>167</v>
      </c>
      <c r="B443" t="s">
        <v>3919</v>
      </c>
      <c r="E443" s="1507" t="s">
        <v>175</v>
      </c>
      <c r="F443" s="1507"/>
      <c r="G443" s="584" t="s">
        <v>3775</v>
      </c>
      <c r="H443" s="650">
        <v>3.1377000000000002</v>
      </c>
      <c r="K443" t="s">
        <v>4008</v>
      </c>
      <c r="L443" t="s">
        <v>694</v>
      </c>
      <c r="P443" t="s">
        <v>4014</v>
      </c>
      <c r="V443">
        <v>74</v>
      </c>
    </row>
    <row r="444" spans="1:22" customFormat="1" ht="15" x14ac:dyDescent="0.25">
      <c r="A444" t="s">
        <v>167</v>
      </c>
      <c r="B444" t="s">
        <v>3919</v>
      </c>
      <c r="E444" s="1621" t="s">
        <v>967</v>
      </c>
      <c r="F444" s="1507"/>
      <c r="G444" s="584"/>
      <c r="H444" s="584"/>
      <c r="K444" t="s">
        <v>4015</v>
      </c>
      <c r="V444">
        <v>48</v>
      </c>
    </row>
    <row r="445" spans="1:22" customFormat="1" ht="15" x14ac:dyDescent="0.25">
      <c r="A445" t="s">
        <v>167</v>
      </c>
      <c r="B445" t="s">
        <v>3919</v>
      </c>
      <c r="E445" s="1507" t="s">
        <v>844</v>
      </c>
      <c r="F445" s="1507"/>
      <c r="G445" s="584" t="s">
        <v>845</v>
      </c>
      <c r="H445" s="650">
        <v>4.1000000000000003E-3</v>
      </c>
      <c r="K445" t="s">
        <v>4008</v>
      </c>
      <c r="L445" t="s">
        <v>968</v>
      </c>
      <c r="P445" t="s">
        <v>4016</v>
      </c>
      <c r="V445">
        <v>55</v>
      </c>
    </row>
    <row r="446" spans="1:22" customFormat="1" ht="15" x14ac:dyDescent="0.25">
      <c r="A446" t="s">
        <v>167</v>
      </c>
      <c r="B446" t="s">
        <v>3919</v>
      </c>
      <c r="E446" s="1507" t="s">
        <v>846</v>
      </c>
      <c r="F446" s="1507"/>
      <c r="G446" s="584" t="s">
        <v>845</v>
      </c>
      <c r="H446" s="650">
        <v>4.0000000000000002E-4</v>
      </c>
      <c r="K446" t="s">
        <v>4008</v>
      </c>
      <c r="L446" t="s">
        <v>968</v>
      </c>
      <c r="P446" t="s">
        <v>4016</v>
      </c>
      <c r="V446">
        <v>65</v>
      </c>
    </row>
    <row r="447" spans="1:22" customFormat="1" ht="15" x14ac:dyDescent="0.25">
      <c r="A447" t="s">
        <v>167</v>
      </c>
      <c r="B447" t="s">
        <v>3919</v>
      </c>
      <c r="E447" s="1547" t="s">
        <v>847</v>
      </c>
      <c r="F447" s="1507"/>
      <c r="G447" s="584" t="s">
        <v>845</v>
      </c>
      <c r="H447" s="650">
        <v>1.5E-3</v>
      </c>
      <c r="K447" t="s">
        <v>4008</v>
      </c>
      <c r="L447" t="s">
        <v>968</v>
      </c>
      <c r="P447" t="s">
        <v>4017</v>
      </c>
      <c r="V447">
        <v>57</v>
      </c>
    </row>
    <row r="448" spans="1:22" customFormat="1" ht="15" x14ac:dyDescent="0.25">
      <c r="A448" t="s">
        <v>167</v>
      </c>
      <c r="B448" t="s">
        <v>3919</v>
      </c>
      <c r="E448" s="1547" t="s">
        <v>848</v>
      </c>
      <c r="F448" s="1507"/>
      <c r="G448" s="584" t="s">
        <v>777</v>
      </c>
      <c r="H448" s="650">
        <v>0.25</v>
      </c>
      <c r="K448" t="s">
        <v>4008</v>
      </c>
      <c r="L448" t="s">
        <v>968</v>
      </c>
      <c r="P448" t="s">
        <v>4018</v>
      </c>
      <c r="V448">
        <v>63</v>
      </c>
    </row>
    <row r="449" spans="1:22" customFormat="1" x14ac:dyDescent="0.25">
      <c r="A449" t="s">
        <v>167</v>
      </c>
      <c r="B449" t="s">
        <v>3919</v>
      </c>
      <c r="E449" s="1492" t="s">
        <v>4019</v>
      </c>
      <c r="F449" s="1493"/>
      <c r="G449" s="1493"/>
      <c r="H449" s="1493"/>
      <c r="K449" t="s">
        <v>4020</v>
      </c>
      <c r="V449">
        <v>52</v>
      </c>
    </row>
    <row r="450" spans="1:22" customFormat="1" ht="15" x14ac:dyDescent="0.25">
      <c r="A450" t="s">
        <v>167</v>
      </c>
      <c r="B450" t="s">
        <v>3919</v>
      </c>
      <c r="E450" s="1516" t="s">
        <v>4021</v>
      </c>
      <c r="F450" s="1516"/>
      <c r="G450" s="1516"/>
      <c r="H450" s="1516"/>
      <c r="K450" t="s">
        <v>4020</v>
      </c>
      <c r="V450">
        <v>317</v>
      </c>
    </row>
    <row r="451" spans="1:22" customFormat="1" ht="15" x14ac:dyDescent="0.25">
      <c r="A451" t="s">
        <v>167</v>
      </c>
      <c r="B451" t="s">
        <v>3919</v>
      </c>
      <c r="E451" s="1515" t="s">
        <v>950</v>
      </c>
      <c r="F451" s="1516"/>
      <c r="G451" s="1516"/>
      <c r="H451" s="1516"/>
      <c r="K451" t="s">
        <v>4022</v>
      </c>
      <c r="V451">
        <v>11</v>
      </c>
    </row>
    <row r="452" spans="1:22" customFormat="1" ht="15" x14ac:dyDescent="0.25">
      <c r="A452" t="s">
        <v>167</v>
      </c>
      <c r="B452" t="s">
        <v>3919</v>
      </c>
      <c r="E452" s="1516" t="s">
        <v>951</v>
      </c>
      <c r="F452" s="1516"/>
      <c r="G452" s="1516"/>
      <c r="H452" s="1516"/>
      <c r="K452" t="s">
        <v>4020</v>
      </c>
      <c r="V452">
        <v>280</v>
      </c>
    </row>
    <row r="453" spans="1:22" customFormat="1" ht="15" x14ac:dyDescent="0.25">
      <c r="A453" t="s">
        <v>167</v>
      </c>
      <c r="B453" t="s">
        <v>3919</v>
      </c>
      <c r="E453" s="1516" t="s">
        <v>952</v>
      </c>
      <c r="F453" s="1516"/>
      <c r="G453" s="1516"/>
      <c r="H453" s="1516"/>
      <c r="K453" t="s">
        <v>4020</v>
      </c>
      <c r="V453">
        <v>411</v>
      </c>
    </row>
    <row r="454" spans="1:22" customFormat="1" ht="15" x14ac:dyDescent="0.25">
      <c r="A454" t="s">
        <v>167</v>
      </c>
      <c r="B454" t="s">
        <v>3919</v>
      </c>
      <c r="E454" s="1516" t="s">
        <v>953</v>
      </c>
      <c r="F454" s="1516"/>
      <c r="G454" s="1516"/>
      <c r="H454" s="1516"/>
      <c r="K454" t="s">
        <v>4020</v>
      </c>
      <c r="V454">
        <v>386</v>
      </c>
    </row>
    <row r="455" spans="1:22" customFormat="1" ht="15" x14ac:dyDescent="0.25">
      <c r="A455" t="s">
        <v>167</v>
      </c>
      <c r="B455" t="s">
        <v>3919</v>
      </c>
      <c r="E455" s="1516" t="s">
        <v>3762</v>
      </c>
      <c r="F455" s="1516"/>
      <c r="G455" s="1516"/>
      <c r="H455" s="1516"/>
      <c r="K455" t="s">
        <v>4020</v>
      </c>
      <c r="V455">
        <v>247</v>
      </c>
    </row>
    <row r="456" spans="1:22" customFormat="1" ht="15" x14ac:dyDescent="0.25">
      <c r="A456" t="s">
        <v>167</v>
      </c>
      <c r="B456" t="s">
        <v>3919</v>
      </c>
      <c r="E456" s="1515" t="s">
        <v>956</v>
      </c>
      <c r="F456" s="1516"/>
      <c r="G456" s="1516"/>
      <c r="H456" s="1516"/>
      <c r="K456" t="s">
        <v>4023</v>
      </c>
      <c r="V456">
        <v>46</v>
      </c>
    </row>
    <row r="457" spans="1:22" customFormat="1" ht="15" x14ac:dyDescent="0.25">
      <c r="A457" t="s">
        <v>167</v>
      </c>
      <c r="B457" t="s">
        <v>3919</v>
      </c>
      <c r="E457" s="1507" t="s">
        <v>3773</v>
      </c>
      <c r="F457" s="1507"/>
      <c r="G457" s="584" t="s">
        <v>777</v>
      </c>
      <c r="H457" s="650">
        <v>126.48</v>
      </c>
      <c r="K457" t="s">
        <v>4020</v>
      </c>
      <c r="L457" t="s">
        <v>690</v>
      </c>
      <c r="P457" t="s">
        <v>4024</v>
      </c>
      <c r="V457">
        <v>14</v>
      </c>
    </row>
    <row r="458" spans="1:22" customFormat="1" ht="15" x14ac:dyDescent="0.25">
      <c r="A458" t="s">
        <v>167</v>
      </c>
      <c r="B458" t="s">
        <v>3919</v>
      </c>
      <c r="E458" s="1507" t="s">
        <v>6528</v>
      </c>
      <c r="F458" s="1507"/>
      <c r="G458" s="584" t="s">
        <v>777</v>
      </c>
      <c r="H458" s="650">
        <v>0.98</v>
      </c>
      <c r="K458" t="s">
        <v>4020</v>
      </c>
      <c r="L458" t="s">
        <v>690</v>
      </c>
      <c r="P458" t="s">
        <v>4025</v>
      </c>
      <c r="V458">
        <v>142</v>
      </c>
    </row>
    <row r="459" spans="1:22" customFormat="1" ht="15" x14ac:dyDescent="0.25">
      <c r="A459" t="s">
        <v>167</v>
      </c>
      <c r="B459" t="s">
        <v>3919</v>
      </c>
      <c r="E459" s="1507" t="s">
        <v>6529</v>
      </c>
      <c r="F459" s="1507"/>
      <c r="G459" s="584" t="s">
        <v>777</v>
      </c>
      <c r="H459" s="650">
        <v>1</v>
      </c>
      <c r="K459" t="s">
        <v>4020</v>
      </c>
      <c r="L459" t="s">
        <v>690</v>
      </c>
      <c r="P459" t="s">
        <v>4026</v>
      </c>
      <c r="V459">
        <v>142</v>
      </c>
    </row>
    <row r="460" spans="1:22" customFormat="1" ht="15" x14ac:dyDescent="0.25">
      <c r="A460" t="s">
        <v>167</v>
      </c>
      <c r="B460" t="s">
        <v>3919</v>
      </c>
      <c r="E460" s="1507" t="s">
        <v>910</v>
      </c>
      <c r="F460" s="1507"/>
      <c r="G460" s="584" t="s">
        <v>845</v>
      </c>
      <c r="H460" s="650">
        <v>1E-4</v>
      </c>
      <c r="K460" t="s">
        <v>4020</v>
      </c>
      <c r="L460" t="s">
        <v>692</v>
      </c>
      <c r="P460" t="s">
        <v>4027</v>
      </c>
      <c r="V460">
        <v>24</v>
      </c>
    </row>
    <row r="461" spans="1:22" customFormat="1" ht="15" x14ac:dyDescent="0.25">
      <c r="A461" t="s">
        <v>167</v>
      </c>
      <c r="B461" t="s">
        <v>3919</v>
      </c>
      <c r="E461" s="1507" t="s">
        <v>6519</v>
      </c>
      <c r="F461" s="1510"/>
      <c r="G461" s="584" t="s">
        <v>845</v>
      </c>
      <c r="H461" s="650">
        <v>2.5000000000000001E-3</v>
      </c>
      <c r="K461" t="s">
        <v>4020</v>
      </c>
      <c r="L461" t="s">
        <v>692</v>
      </c>
      <c r="P461" t="s">
        <v>4028</v>
      </c>
      <c r="T461">
        <v>46022</v>
      </c>
      <c r="V461">
        <v>142</v>
      </c>
    </row>
    <row r="462" spans="1:22" customFormat="1" ht="15" x14ac:dyDescent="0.25">
      <c r="A462" t="s">
        <v>167</v>
      </c>
      <c r="B462" t="s">
        <v>3919</v>
      </c>
      <c r="E462" s="1507" t="s">
        <v>6520</v>
      </c>
      <c r="F462" s="1510"/>
      <c r="G462" s="584" t="s">
        <v>845</v>
      </c>
      <c r="H462" s="650">
        <v>4.0000000000000002E-4</v>
      </c>
      <c r="K462" t="s">
        <v>4020</v>
      </c>
      <c r="L462" t="s">
        <v>692</v>
      </c>
      <c r="P462" t="s">
        <v>4029</v>
      </c>
      <c r="T462">
        <v>46022</v>
      </c>
      <c r="V462">
        <v>99</v>
      </c>
    </row>
    <row r="463" spans="1:22" customFormat="1" ht="15" x14ac:dyDescent="0.25">
      <c r="A463" t="s">
        <v>167</v>
      </c>
      <c r="B463" t="s">
        <v>3919</v>
      </c>
      <c r="E463" s="1507" t="s">
        <v>6521</v>
      </c>
      <c r="F463" s="1510"/>
      <c r="G463" s="584" t="s">
        <v>845</v>
      </c>
      <c r="H463" s="650">
        <v>2.0000000000000001E-4</v>
      </c>
      <c r="K463" t="s">
        <v>4020</v>
      </c>
      <c r="L463" t="s">
        <v>692</v>
      </c>
      <c r="P463" t="s">
        <v>4030</v>
      </c>
      <c r="T463">
        <v>46022</v>
      </c>
      <c r="V463">
        <v>149</v>
      </c>
    </row>
    <row r="464" spans="1:22" customFormat="1" ht="15" x14ac:dyDescent="0.25">
      <c r="A464" t="s">
        <v>167</v>
      </c>
      <c r="B464" t="s">
        <v>3919</v>
      </c>
      <c r="E464" s="1507" t="s">
        <v>243</v>
      </c>
      <c r="F464" s="1507"/>
      <c r="G464" s="584" t="s">
        <v>845</v>
      </c>
      <c r="H464" s="650">
        <v>1.1299999999999999E-2</v>
      </c>
      <c r="K464" t="s">
        <v>4020</v>
      </c>
      <c r="L464" t="s">
        <v>694</v>
      </c>
      <c r="P464" t="s">
        <v>4031</v>
      </c>
      <c r="V464">
        <v>47</v>
      </c>
    </row>
    <row r="465" spans="1:22" customFormat="1" ht="15" x14ac:dyDescent="0.25">
      <c r="A465" t="s">
        <v>167</v>
      </c>
      <c r="B465" t="s">
        <v>3919</v>
      </c>
      <c r="E465" s="1507" t="s">
        <v>175</v>
      </c>
      <c r="F465" s="1507"/>
      <c r="G465" s="584" t="s">
        <v>845</v>
      </c>
      <c r="H465" s="650">
        <v>7.1999999999999998E-3</v>
      </c>
      <c r="K465" t="s">
        <v>4020</v>
      </c>
      <c r="L465" t="s">
        <v>694</v>
      </c>
      <c r="P465" t="s">
        <v>4032</v>
      </c>
      <c r="V465">
        <v>74</v>
      </c>
    </row>
    <row r="466" spans="1:22" customFormat="1" ht="15" x14ac:dyDescent="0.25">
      <c r="A466" t="s">
        <v>167</v>
      </c>
      <c r="B466" t="s">
        <v>3919</v>
      </c>
      <c r="E466" s="1515" t="s">
        <v>967</v>
      </c>
      <c r="F466" s="1507"/>
      <c r="G466" s="584"/>
      <c r="H466" s="584"/>
      <c r="K466" t="s">
        <v>4033</v>
      </c>
      <c r="V466">
        <v>48</v>
      </c>
    </row>
    <row r="467" spans="1:22" customFormat="1" ht="15" x14ac:dyDescent="0.25">
      <c r="A467" t="s">
        <v>167</v>
      </c>
      <c r="B467" t="s">
        <v>3919</v>
      </c>
      <c r="E467" s="1507" t="s">
        <v>844</v>
      </c>
      <c r="F467" s="1507"/>
      <c r="G467" s="584" t="s">
        <v>845</v>
      </c>
      <c r="H467" s="650">
        <v>4.1000000000000003E-3</v>
      </c>
      <c r="K467" t="s">
        <v>4020</v>
      </c>
      <c r="L467" t="s">
        <v>968</v>
      </c>
      <c r="P467" t="s">
        <v>4034</v>
      </c>
      <c r="V467">
        <v>55</v>
      </c>
    </row>
    <row r="468" spans="1:22" customFormat="1" ht="15" x14ac:dyDescent="0.25">
      <c r="A468" t="s">
        <v>167</v>
      </c>
      <c r="B468" t="s">
        <v>3919</v>
      </c>
      <c r="E468" s="1507" t="s">
        <v>846</v>
      </c>
      <c r="F468" s="1507"/>
      <c r="G468" s="584" t="s">
        <v>845</v>
      </c>
      <c r="H468" s="650">
        <v>4.0000000000000002E-4</v>
      </c>
      <c r="K468" t="s">
        <v>4020</v>
      </c>
      <c r="L468" t="s">
        <v>968</v>
      </c>
      <c r="P468" t="s">
        <v>4034</v>
      </c>
      <c r="V468">
        <v>65</v>
      </c>
    </row>
    <row r="469" spans="1:22" customFormat="1" ht="15" x14ac:dyDescent="0.25">
      <c r="A469" t="s">
        <v>167</v>
      </c>
      <c r="B469" t="s">
        <v>3919</v>
      </c>
      <c r="E469" s="1507" t="s">
        <v>847</v>
      </c>
      <c r="F469" s="1507"/>
      <c r="G469" s="584" t="s">
        <v>845</v>
      </c>
      <c r="H469" s="650">
        <v>1.5E-3</v>
      </c>
      <c r="K469" t="s">
        <v>4020</v>
      </c>
      <c r="L469" t="s">
        <v>968</v>
      </c>
      <c r="P469" t="s">
        <v>4035</v>
      </c>
      <c r="V469">
        <v>57</v>
      </c>
    </row>
    <row r="470" spans="1:22" customFormat="1" ht="15" x14ac:dyDescent="0.25">
      <c r="A470" t="s">
        <v>167</v>
      </c>
      <c r="B470" t="s">
        <v>3919</v>
      </c>
      <c r="E470" s="1507" t="s">
        <v>848</v>
      </c>
      <c r="F470" s="1507"/>
      <c r="G470" s="584" t="s">
        <v>777</v>
      </c>
      <c r="H470" s="650">
        <v>0.25</v>
      </c>
      <c r="K470" t="s">
        <v>4020</v>
      </c>
      <c r="L470" t="s">
        <v>968</v>
      </c>
      <c r="P470" t="s">
        <v>4036</v>
      </c>
      <c r="V470">
        <v>63</v>
      </c>
    </row>
    <row r="471" spans="1:22" customFormat="1" x14ac:dyDescent="0.25">
      <c r="A471" t="s">
        <v>167</v>
      </c>
      <c r="B471" t="s">
        <v>3919</v>
      </c>
      <c r="E471" s="1492" t="s">
        <v>4037</v>
      </c>
      <c r="F471" s="1493"/>
      <c r="G471" s="1493"/>
      <c r="H471" s="1493"/>
      <c r="K471" t="s">
        <v>4038</v>
      </c>
      <c r="V471">
        <v>40</v>
      </c>
    </row>
    <row r="472" spans="1:22" customFormat="1" ht="15" x14ac:dyDescent="0.25">
      <c r="A472" t="s">
        <v>167</v>
      </c>
      <c r="B472" t="s">
        <v>3919</v>
      </c>
      <c r="E472" s="1516" t="s">
        <v>4039</v>
      </c>
      <c r="F472" s="1516"/>
      <c r="G472" s="1516"/>
      <c r="H472" s="1516"/>
      <c r="K472" t="s">
        <v>4038</v>
      </c>
      <c r="V472">
        <v>327</v>
      </c>
    </row>
    <row r="473" spans="1:22" customFormat="1" ht="15" x14ac:dyDescent="0.25">
      <c r="A473" t="s">
        <v>167</v>
      </c>
      <c r="B473" t="s">
        <v>3919</v>
      </c>
      <c r="E473" s="1515" t="s">
        <v>950</v>
      </c>
      <c r="F473" s="1516"/>
      <c r="G473" s="1516"/>
      <c r="H473" s="1516"/>
      <c r="K473" t="s">
        <v>4040</v>
      </c>
      <c r="V473">
        <v>11</v>
      </c>
    </row>
    <row r="474" spans="1:22" customFormat="1" ht="15" x14ac:dyDescent="0.25">
      <c r="A474" t="s">
        <v>167</v>
      </c>
      <c r="B474" t="s">
        <v>3919</v>
      </c>
      <c r="E474" s="1516" t="s">
        <v>951</v>
      </c>
      <c r="F474" s="1516"/>
      <c r="G474" s="1516"/>
      <c r="H474" s="1516"/>
      <c r="K474" t="s">
        <v>4038</v>
      </c>
      <c r="V474">
        <v>280</v>
      </c>
    </row>
    <row r="475" spans="1:22" customFormat="1" ht="15" x14ac:dyDescent="0.25">
      <c r="A475" t="s">
        <v>167</v>
      </c>
      <c r="B475" t="s">
        <v>3919</v>
      </c>
      <c r="E475" s="1516" t="s">
        <v>952</v>
      </c>
      <c r="F475" s="1516"/>
      <c r="G475" s="1516"/>
      <c r="H475" s="1516"/>
      <c r="K475" t="s">
        <v>4038</v>
      </c>
      <c r="V475">
        <v>411</v>
      </c>
    </row>
    <row r="476" spans="1:22" customFormat="1" ht="15" x14ac:dyDescent="0.25">
      <c r="A476" t="s">
        <v>167</v>
      </c>
      <c r="B476" t="s">
        <v>3919</v>
      </c>
      <c r="E476" s="1516" t="s">
        <v>953</v>
      </c>
      <c r="F476" s="1516"/>
      <c r="G476" s="1516"/>
      <c r="H476" s="1516"/>
      <c r="K476" t="s">
        <v>4038</v>
      </c>
      <c r="V476">
        <v>386</v>
      </c>
    </row>
    <row r="477" spans="1:22" customFormat="1" ht="15" x14ac:dyDescent="0.25">
      <c r="A477" t="s">
        <v>167</v>
      </c>
      <c r="B477" t="s">
        <v>3919</v>
      </c>
      <c r="E477" s="1516" t="s">
        <v>3762</v>
      </c>
      <c r="F477" s="1516"/>
      <c r="G477" s="1516"/>
      <c r="H477" s="1516"/>
      <c r="K477" t="s">
        <v>4038</v>
      </c>
      <c r="V477">
        <v>247</v>
      </c>
    </row>
    <row r="478" spans="1:22" customFormat="1" ht="15" x14ac:dyDescent="0.25">
      <c r="A478" t="s">
        <v>167</v>
      </c>
      <c r="B478" t="s">
        <v>3919</v>
      </c>
      <c r="E478" s="1515" t="s">
        <v>956</v>
      </c>
      <c r="F478" s="1516"/>
      <c r="G478" s="1516"/>
      <c r="H478" s="1516"/>
      <c r="K478" t="s">
        <v>4041</v>
      </c>
      <c r="V478">
        <v>46</v>
      </c>
    </row>
    <row r="479" spans="1:22" customFormat="1" ht="15" x14ac:dyDescent="0.25">
      <c r="A479" t="s">
        <v>167</v>
      </c>
      <c r="B479" t="s">
        <v>3919</v>
      </c>
      <c r="E479" s="1507" t="s">
        <v>3773</v>
      </c>
      <c r="F479" s="1507"/>
      <c r="G479" s="584" t="s">
        <v>777</v>
      </c>
      <c r="H479" s="650">
        <v>76.75</v>
      </c>
      <c r="K479" t="s">
        <v>4038</v>
      </c>
      <c r="L479" t="s">
        <v>690</v>
      </c>
      <c r="P479" t="s">
        <v>4042</v>
      </c>
      <c r="V479">
        <v>14</v>
      </c>
    </row>
    <row r="480" spans="1:22" customFormat="1" x14ac:dyDescent="0.25">
      <c r="A480" t="s">
        <v>167</v>
      </c>
      <c r="B480" t="s">
        <v>3919</v>
      </c>
      <c r="E480" s="1492" t="s">
        <v>207</v>
      </c>
      <c r="F480" s="1493"/>
      <c r="G480" s="1493"/>
      <c r="H480" s="1493"/>
      <c r="K480" t="s">
        <v>4043</v>
      </c>
      <c r="V480">
        <v>31</v>
      </c>
    </row>
    <row r="481" spans="1:22" customFormat="1" ht="15" x14ac:dyDescent="0.25">
      <c r="A481" t="s">
        <v>167</v>
      </c>
      <c r="B481" t="s">
        <v>3919</v>
      </c>
      <c r="E481" s="1516" t="s">
        <v>4044</v>
      </c>
      <c r="F481" s="1516"/>
      <c r="G481" s="1516"/>
      <c r="H481" s="1516"/>
      <c r="K481" t="s">
        <v>4043</v>
      </c>
      <c r="V481">
        <v>285</v>
      </c>
    </row>
    <row r="482" spans="1:22" customFormat="1" ht="15" x14ac:dyDescent="0.25">
      <c r="A482" t="s">
        <v>167</v>
      </c>
      <c r="B482" t="s">
        <v>3919</v>
      </c>
      <c r="E482" s="1515" t="s">
        <v>950</v>
      </c>
      <c r="F482" s="1516"/>
      <c r="G482" s="1516"/>
      <c r="H482" s="1516"/>
      <c r="K482" t="s">
        <v>4045</v>
      </c>
      <c r="V482">
        <v>11</v>
      </c>
    </row>
    <row r="483" spans="1:22" customFormat="1" ht="15" x14ac:dyDescent="0.25">
      <c r="A483" t="s">
        <v>167</v>
      </c>
      <c r="B483" t="s">
        <v>3919</v>
      </c>
      <c r="E483" s="1516" t="s">
        <v>951</v>
      </c>
      <c r="F483" s="1516"/>
      <c r="G483" s="1516"/>
      <c r="H483" s="1516"/>
      <c r="K483" t="s">
        <v>4043</v>
      </c>
      <c r="V483">
        <v>280</v>
      </c>
    </row>
    <row r="484" spans="1:22" customFormat="1" ht="15" x14ac:dyDescent="0.25">
      <c r="A484" t="s">
        <v>167</v>
      </c>
      <c r="B484" t="s">
        <v>3919</v>
      </c>
      <c r="E484" s="1516" t="s">
        <v>952</v>
      </c>
      <c r="F484" s="1516"/>
      <c r="G484" s="1516"/>
      <c r="H484" s="1516"/>
      <c r="K484" t="s">
        <v>4043</v>
      </c>
      <c r="V484">
        <v>411</v>
      </c>
    </row>
    <row r="485" spans="1:22" customFormat="1" ht="15" x14ac:dyDescent="0.25">
      <c r="A485" t="s">
        <v>167</v>
      </c>
      <c r="B485" t="s">
        <v>3919</v>
      </c>
      <c r="E485" s="1516" t="s">
        <v>953</v>
      </c>
      <c r="F485" s="1516"/>
      <c r="G485" s="1516"/>
      <c r="H485" s="1516"/>
      <c r="K485" t="s">
        <v>4043</v>
      </c>
      <c r="V485">
        <v>386</v>
      </c>
    </row>
    <row r="486" spans="1:22" customFormat="1" ht="15" x14ac:dyDescent="0.25">
      <c r="A486" t="s">
        <v>167</v>
      </c>
      <c r="B486" t="s">
        <v>3919</v>
      </c>
      <c r="E486" s="1516" t="s">
        <v>3762</v>
      </c>
      <c r="F486" s="1516"/>
      <c r="G486" s="1516"/>
      <c r="H486" s="1516"/>
      <c r="K486" t="s">
        <v>4043</v>
      </c>
      <c r="V486">
        <v>247</v>
      </c>
    </row>
    <row r="487" spans="1:22" customFormat="1" ht="15" x14ac:dyDescent="0.25">
      <c r="A487" t="s">
        <v>167</v>
      </c>
      <c r="B487" t="s">
        <v>3919</v>
      </c>
      <c r="E487" s="1515" t="s">
        <v>956</v>
      </c>
      <c r="F487" s="1516"/>
      <c r="G487" s="1516"/>
      <c r="H487" s="1516"/>
      <c r="K487" t="s">
        <v>4046</v>
      </c>
      <c r="V487">
        <v>46</v>
      </c>
    </row>
    <row r="488" spans="1:22" customFormat="1" ht="15" x14ac:dyDescent="0.25">
      <c r="A488" t="s">
        <v>167</v>
      </c>
      <c r="B488" t="s">
        <v>3919</v>
      </c>
      <c r="E488" s="1507" t="s">
        <v>3773</v>
      </c>
      <c r="F488" s="1507"/>
      <c r="G488" s="584" t="s">
        <v>777</v>
      </c>
      <c r="H488" s="650">
        <v>5</v>
      </c>
      <c r="K488" t="s">
        <v>4043</v>
      </c>
      <c r="L488" t="s">
        <v>690</v>
      </c>
      <c r="P488" t="s">
        <v>4047</v>
      </c>
      <c r="V488">
        <v>14</v>
      </c>
    </row>
    <row r="489" spans="1:22" customFormat="1" x14ac:dyDescent="0.25">
      <c r="A489" t="s">
        <v>167</v>
      </c>
      <c r="B489" t="s">
        <v>3919</v>
      </c>
      <c r="E489" s="685" t="s">
        <v>3825</v>
      </c>
      <c r="F489" s="838"/>
      <c r="G489" s="585"/>
      <c r="H489" s="585"/>
      <c r="K489" t="s">
        <v>4048</v>
      </c>
      <c r="V489">
        <v>10</v>
      </c>
    </row>
    <row r="490" spans="1:22" customFormat="1" ht="15" x14ac:dyDescent="0.25">
      <c r="A490" t="s">
        <v>167</v>
      </c>
      <c r="B490" t="s">
        <v>3919</v>
      </c>
      <c r="E490" s="1545" t="s">
        <v>1078</v>
      </c>
      <c r="F490" s="1507"/>
      <c r="G490" s="584"/>
      <c r="H490" s="650"/>
      <c r="V490">
        <v>68</v>
      </c>
    </row>
    <row r="491" spans="1:22" customFormat="1" ht="15" x14ac:dyDescent="0.25">
      <c r="A491" t="s">
        <v>167</v>
      </c>
      <c r="B491" t="s">
        <v>3919</v>
      </c>
      <c r="E491" s="1545" t="s">
        <v>4049</v>
      </c>
      <c r="F491" s="1507"/>
      <c r="G491" s="584" t="s">
        <v>845</v>
      </c>
      <c r="H491" s="650">
        <v>-3.2000000000000002E-3</v>
      </c>
      <c r="V491">
        <v>52</v>
      </c>
    </row>
    <row r="492" spans="1:22" customFormat="1" ht="15" x14ac:dyDescent="0.25">
      <c r="A492" t="s">
        <v>167</v>
      </c>
      <c r="B492" t="s">
        <v>3919</v>
      </c>
      <c r="E492" s="1545" t="s">
        <v>4050</v>
      </c>
      <c r="F492" s="1507"/>
      <c r="G492" s="584" t="s">
        <v>3775</v>
      </c>
      <c r="H492" s="650">
        <v>-0.68400000000000005</v>
      </c>
      <c r="V492">
        <v>49</v>
      </c>
    </row>
    <row r="493" spans="1:22" customFormat="1" ht="15" x14ac:dyDescent="0.25">
      <c r="A493" t="s">
        <v>167</v>
      </c>
      <c r="B493" t="s">
        <v>3919</v>
      </c>
      <c r="E493" s="1545" t="s">
        <v>4051</v>
      </c>
      <c r="F493" s="1507"/>
      <c r="G493" s="584" t="s">
        <v>3775</v>
      </c>
      <c r="H493" s="650">
        <v>-0.85150000000000003</v>
      </c>
      <c r="V493">
        <v>52</v>
      </c>
    </row>
    <row r="494" spans="1:22" customFormat="1" ht="15" x14ac:dyDescent="0.25">
      <c r="A494" t="s">
        <v>167</v>
      </c>
      <c r="B494" t="s">
        <v>3919</v>
      </c>
      <c r="E494" s="1545" t="s">
        <v>3827</v>
      </c>
      <c r="F494" s="1507"/>
      <c r="G494" s="584" t="s">
        <v>1118</v>
      </c>
      <c r="H494" s="650">
        <v>-1</v>
      </c>
      <c r="V494">
        <v>89</v>
      </c>
    </row>
    <row r="495" spans="1:22" customFormat="1" ht="36" x14ac:dyDescent="0.25">
      <c r="A495" t="s">
        <v>167</v>
      </c>
      <c r="B495" t="s">
        <v>3919</v>
      </c>
      <c r="E495" s="685" t="s">
        <v>3828</v>
      </c>
      <c r="F495" s="1"/>
      <c r="G495" s="268"/>
      <c r="H495" s="268"/>
      <c r="K495" t="s">
        <v>4052</v>
      </c>
      <c r="V495">
        <v>24</v>
      </c>
    </row>
    <row r="496" spans="1:22" customFormat="1" ht="15" x14ac:dyDescent="0.25">
      <c r="A496" t="s">
        <v>167</v>
      </c>
      <c r="B496" t="s">
        <v>3919</v>
      </c>
      <c r="E496" s="1719" t="s">
        <v>950</v>
      </c>
      <c r="F496" s="1516"/>
      <c r="G496" s="1516"/>
      <c r="H496" s="1516"/>
      <c r="V496">
        <v>11</v>
      </c>
    </row>
    <row r="497" spans="1:22" customFormat="1" ht="15" x14ac:dyDescent="0.25">
      <c r="A497" t="s">
        <v>167</v>
      </c>
      <c r="B497" t="s">
        <v>3919</v>
      </c>
      <c r="E497" s="1516" t="s">
        <v>951</v>
      </c>
      <c r="F497" s="1516"/>
      <c r="G497" s="1516"/>
      <c r="H497" s="1516"/>
      <c r="V497">
        <v>280</v>
      </c>
    </row>
    <row r="498" spans="1:22" customFormat="1" ht="15" x14ac:dyDescent="0.25">
      <c r="A498" t="s">
        <v>167</v>
      </c>
      <c r="B498" t="s">
        <v>3919</v>
      </c>
      <c r="E498" s="1516" t="s">
        <v>1081</v>
      </c>
      <c r="F498" s="1516"/>
      <c r="G498" s="1516"/>
      <c r="H498" s="1516"/>
      <c r="V498">
        <v>353</v>
      </c>
    </row>
    <row r="499" spans="1:22" customFormat="1" ht="15" x14ac:dyDescent="0.25">
      <c r="A499" t="s">
        <v>167</v>
      </c>
      <c r="B499" t="s">
        <v>3919</v>
      </c>
      <c r="E499" s="1516" t="s">
        <v>3762</v>
      </c>
      <c r="F499" s="1516"/>
      <c r="G499" s="1516"/>
      <c r="H499" s="1516"/>
      <c r="V499">
        <v>247</v>
      </c>
    </row>
    <row r="500" spans="1:22" customFormat="1" ht="15" x14ac:dyDescent="0.25">
      <c r="A500" t="s">
        <v>167</v>
      </c>
      <c r="B500" t="s">
        <v>3919</v>
      </c>
      <c r="E500" s="686" t="s">
        <v>3830</v>
      </c>
      <c r="F500" s="1"/>
      <c r="G500" s="268"/>
      <c r="H500" s="268"/>
      <c r="K500" t="s">
        <v>4053</v>
      </c>
      <c r="V500">
        <v>23</v>
      </c>
    </row>
    <row r="501" spans="1:22" customFormat="1" ht="15" x14ac:dyDescent="0.25">
      <c r="A501" t="s">
        <v>167</v>
      </c>
      <c r="B501" t="s">
        <v>3919</v>
      </c>
      <c r="E501" s="1668" t="s">
        <v>3832</v>
      </c>
      <c r="F501" s="1517"/>
      <c r="G501" s="584" t="s">
        <v>777</v>
      </c>
      <c r="H501" s="650">
        <v>15</v>
      </c>
      <c r="V501">
        <v>19</v>
      </c>
    </row>
    <row r="502" spans="1:22" customFormat="1" ht="15" x14ac:dyDescent="0.25">
      <c r="A502" t="s">
        <v>167</v>
      </c>
      <c r="B502" t="s">
        <v>3919</v>
      </c>
      <c r="E502" s="1517" t="s">
        <v>4054</v>
      </c>
      <c r="F502" s="1517"/>
      <c r="G502" s="584" t="s">
        <v>777</v>
      </c>
      <c r="H502" s="650">
        <v>15</v>
      </c>
      <c r="V502">
        <v>26</v>
      </c>
    </row>
    <row r="503" spans="1:22" customFormat="1" ht="15" x14ac:dyDescent="0.25">
      <c r="A503" t="s">
        <v>167</v>
      </c>
      <c r="B503" t="s">
        <v>3919</v>
      </c>
      <c r="E503" s="1509" t="s">
        <v>3834</v>
      </c>
      <c r="F503" s="1517"/>
      <c r="G503" s="584" t="s">
        <v>777</v>
      </c>
      <c r="H503" s="650">
        <v>15</v>
      </c>
      <c r="V503">
        <v>39</v>
      </c>
    </row>
    <row r="504" spans="1:22" customFormat="1" ht="15" x14ac:dyDescent="0.25">
      <c r="A504" t="s">
        <v>167</v>
      </c>
      <c r="B504" t="s">
        <v>3919</v>
      </c>
      <c r="E504" s="1509" t="s">
        <v>4055</v>
      </c>
      <c r="F504" s="1517"/>
      <c r="G504" s="584" t="s">
        <v>777</v>
      </c>
      <c r="H504" s="650">
        <v>15</v>
      </c>
      <c r="V504">
        <v>37</v>
      </c>
    </row>
    <row r="505" spans="1:22" customFormat="1" ht="15" x14ac:dyDescent="0.25">
      <c r="A505" t="s">
        <v>167</v>
      </c>
      <c r="B505" t="s">
        <v>3919</v>
      </c>
      <c r="E505" s="1509" t="s">
        <v>4056</v>
      </c>
      <c r="F505" s="1517"/>
      <c r="G505" s="584" t="s">
        <v>777</v>
      </c>
      <c r="H505" s="650">
        <v>15</v>
      </c>
      <c r="V505">
        <v>15</v>
      </c>
    </row>
    <row r="506" spans="1:22" customFormat="1" ht="15" x14ac:dyDescent="0.25">
      <c r="A506" t="s">
        <v>167</v>
      </c>
      <c r="B506" t="s">
        <v>3919</v>
      </c>
      <c r="E506" s="1509" t="s">
        <v>4057</v>
      </c>
      <c r="F506" s="1517"/>
      <c r="G506" s="584" t="s">
        <v>777</v>
      </c>
      <c r="H506" s="650">
        <v>15</v>
      </c>
      <c r="V506">
        <v>17</v>
      </c>
    </row>
    <row r="507" spans="1:22" customFormat="1" ht="15" x14ac:dyDescent="0.25">
      <c r="A507" t="s">
        <v>167</v>
      </c>
      <c r="B507" t="s">
        <v>3919</v>
      </c>
      <c r="E507" s="1509" t="s">
        <v>4058</v>
      </c>
      <c r="F507" s="1517"/>
      <c r="G507" s="584" t="s">
        <v>777</v>
      </c>
      <c r="H507" s="650">
        <v>15</v>
      </c>
      <c r="V507">
        <v>15</v>
      </c>
    </row>
    <row r="508" spans="1:22" customFormat="1" ht="15" x14ac:dyDescent="0.25">
      <c r="A508" t="s">
        <v>167</v>
      </c>
      <c r="B508" t="s">
        <v>3919</v>
      </c>
      <c r="E508" s="1509" t="s">
        <v>3835</v>
      </c>
      <c r="F508" s="1517"/>
      <c r="G508" s="584" t="s">
        <v>777</v>
      </c>
      <c r="H508" s="650">
        <v>15</v>
      </c>
      <c r="V508">
        <v>56</v>
      </c>
    </row>
    <row r="509" spans="1:22" customFormat="1" ht="15" x14ac:dyDescent="0.25">
      <c r="A509" t="s">
        <v>167</v>
      </c>
      <c r="B509" t="s">
        <v>3919</v>
      </c>
      <c r="E509" s="1509" t="s">
        <v>3836</v>
      </c>
      <c r="F509" s="1517"/>
      <c r="G509" s="584" t="s">
        <v>777</v>
      </c>
      <c r="H509" s="650">
        <v>15</v>
      </c>
      <c r="V509">
        <v>35</v>
      </c>
    </row>
    <row r="510" spans="1:22" customFormat="1" ht="15" x14ac:dyDescent="0.25">
      <c r="A510" t="s">
        <v>167</v>
      </c>
      <c r="B510" t="s">
        <v>3919</v>
      </c>
      <c r="E510" s="1509" t="s">
        <v>4059</v>
      </c>
      <c r="F510" s="1517"/>
      <c r="G510" s="584" t="s">
        <v>777</v>
      </c>
      <c r="H510" s="650">
        <v>15</v>
      </c>
      <c r="V510">
        <v>19</v>
      </c>
    </row>
    <row r="511" spans="1:22" customFormat="1" ht="15" x14ac:dyDescent="0.25">
      <c r="A511" t="s">
        <v>167</v>
      </c>
      <c r="B511" t="s">
        <v>3919</v>
      </c>
      <c r="E511" s="1509" t="s">
        <v>3837</v>
      </c>
      <c r="F511" s="1517"/>
      <c r="G511" s="584" t="s">
        <v>777</v>
      </c>
      <c r="H511" s="650">
        <v>30</v>
      </c>
      <c r="V511">
        <v>89</v>
      </c>
    </row>
    <row r="512" spans="1:22" customFormat="1" ht="15" x14ac:dyDescent="0.25">
      <c r="A512" t="s">
        <v>167</v>
      </c>
      <c r="B512" t="s">
        <v>3919</v>
      </c>
      <c r="E512" s="1509" t="s">
        <v>3914</v>
      </c>
      <c r="F512" s="1517"/>
      <c r="G512" s="584" t="s">
        <v>777</v>
      </c>
      <c r="H512" s="650">
        <v>30</v>
      </c>
      <c r="V512">
        <v>19</v>
      </c>
    </row>
    <row r="513" spans="1:22" customFormat="1" ht="15" x14ac:dyDescent="0.25">
      <c r="A513" t="s">
        <v>167</v>
      </c>
      <c r="B513" t="s">
        <v>3919</v>
      </c>
      <c r="E513" s="1509" t="s">
        <v>4060</v>
      </c>
      <c r="F513" s="1517"/>
      <c r="G513" s="584" t="s">
        <v>777</v>
      </c>
      <c r="H513" s="650">
        <v>125</v>
      </c>
      <c r="V513">
        <v>37</v>
      </c>
    </row>
    <row r="514" spans="1:22" customFormat="1" ht="15" x14ac:dyDescent="0.25">
      <c r="A514" t="s">
        <v>167</v>
      </c>
      <c r="B514" t="s">
        <v>3919</v>
      </c>
      <c r="E514" s="1509" t="s">
        <v>4061</v>
      </c>
      <c r="F514" s="1517"/>
      <c r="G514" s="584" t="s">
        <v>777</v>
      </c>
      <c r="H514" s="650">
        <v>25</v>
      </c>
      <c r="V514">
        <v>55</v>
      </c>
    </row>
    <row r="515" spans="1:22" customFormat="1" ht="15" x14ac:dyDescent="0.25">
      <c r="A515" t="s">
        <v>167</v>
      </c>
      <c r="B515" t="s">
        <v>3919</v>
      </c>
      <c r="E515" s="686" t="s">
        <v>4062</v>
      </c>
      <c r="F515" s="1"/>
      <c r="G515" s="268"/>
      <c r="H515" s="268"/>
      <c r="K515" t="s">
        <v>4063</v>
      </c>
      <c r="V515">
        <v>22</v>
      </c>
    </row>
    <row r="516" spans="1:22" customFormat="1" ht="15" x14ac:dyDescent="0.25">
      <c r="A516" t="s">
        <v>167</v>
      </c>
      <c r="B516" t="s">
        <v>3919</v>
      </c>
      <c r="E516" s="1509" t="s">
        <v>4064</v>
      </c>
      <c r="F516" s="1517"/>
      <c r="G516" s="584" t="s">
        <v>1118</v>
      </c>
      <c r="H516" s="650">
        <v>1.5</v>
      </c>
      <c r="V516">
        <v>99</v>
      </c>
    </row>
    <row r="517" spans="1:22" customFormat="1" ht="15" x14ac:dyDescent="0.25">
      <c r="A517" t="s">
        <v>167</v>
      </c>
      <c r="B517" t="s">
        <v>3919</v>
      </c>
      <c r="E517" s="1509" t="s">
        <v>3842</v>
      </c>
      <c r="F517" s="1517"/>
      <c r="G517" s="584" t="s">
        <v>777</v>
      </c>
      <c r="H517" s="650">
        <v>65</v>
      </c>
      <c r="V517">
        <v>44</v>
      </c>
    </row>
    <row r="518" spans="1:22" customFormat="1" ht="15" x14ac:dyDescent="0.25">
      <c r="A518" t="s">
        <v>167</v>
      </c>
      <c r="B518" t="s">
        <v>3919</v>
      </c>
      <c r="E518" s="1509" t="s">
        <v>3843</v>
      </c>
      <c r="F518" s="1517"/>
      <c r="G518" s="584" t="s">
        <v>777</v>
      </c>
      <c r="H518" s="650">
        <v>185</v>
      </c>
      <c r="V518">
        <v>43</v>
      </c>
    </row>
    <row r="519" spans="1:22" customFormat="1" ht="15" x14ac:dyDescent="0.25">
      <c r="A519" t="s">
        <v>167</v>
      </c>
      <c r="B519" t="s">
        <v>3919</v>
      </c>
      <c r="E519" s="1509" t="s">
        <v>3844</v>
      </c>
      <c r="F519" s="1517"/>
      <c r="G519" s="584" t="s">
        <v>777</v>
      </c>
      <c r="H519" s="650">
        <v>185</v>
      </c>
      <c r="V519">
        <v>43</v>
      </c>
    </row>
    <row r="520" spans="1:22" customFormat="1" ht="15" x14ac:dyDescent="0.25">
      <c r="A520" t="s">
        <v>167</v>
      </c>
      <c r="B520" t="s">
        <v>3919</v>
      </c>
      <c r="E520" s="1509" t="s">
        <v>3845</v>
      </c>
      <c r="F520" s="1517"/>
      <c r="G520" s="584" t="s">
        <v>777</v>
      </c>
      <c r="H520" s="650">
        <v>415</v>
      </c>
      <c r="V520">
        <v>42</v>
      </c>
    </row>
    <row r="521" spans="1:22" customFormat="1" ht="15" x14ac:dyDescent="0.25">
      <c r="A521" t="s">
        <v>167</v>
      </c>
      <c r="B521" t="s">
        <v>3919</v>
      </c>
      <c r="E521" s="1509" t="s">
        <v>4065</v>
      </c>
      <c r="F521" s="1517"/>
      <c r="G521" s="584" t="s">
        <v>777</v>
      </c>
      <c r="H521" s="650">
        <v>60</v>
      </c>
      <c r="V521">
        <v>50</v>
      </c>
    </row>
    <row r="522" spans="1:22" customFormat="1" ht="15" x14ac:dyDescent="0.25">
      <c r="A522" t="s">
        <v>167</v>
      </c>
      <c r="B522" t="s">
        <v>3919</v>
      </c>
      <c r="E522" s="1509" t="s">
        <v>4066</v>
      </c>
      <c r="F522" s="1517"/>
      <c r="G522" s="584" t="s">
        <v>777</v>
      </c>
      <c r="H522" s="650">
        <v>155</v>
      </c>
      <c r="V522">
        <v>49</v>
      </c>
    </row>
    <row r="523" spans="1:22" customFormat="1" ht="15" x14ac:dyDescent="0.25">
      <c r="A523" t="s">
        <v>167</v>
      </c>
      <c r="B523" t="s">
        <v>3919</v>
      </c>
      <c r="E523" s="686" t="s">
        <v>3846</v>
      </c>
      <c r="F523" s="1"/>
      <c r="G523" s="268"/>
      <c r="H523" s="268"/>
      <c r="V523">
        <v>5</v>
      </c>
    </row>
    <row r="524" spans="1:22" customFormat="1" ht="15" x14ac:dyDescent="0.25">
      <c r="A524" t="s">
        <v>167</v>
      </c>
      <c r="B524" t="s">
        <v>3919</v>
      </c>
      <c r="E524" s="1548" t="s">
        <v>4067</v>
      </c>
      <c r="F524" s="1517"/>
      <c r="G524" s="584" t="s">
        <v>777</v>
      </c>
      <c r="H524" s="650">
        <v>120</v>
      </c>
      <c r="V524">
        <v>65</v>
      </c>
    </row>
    <row r="525" spans="1:22" customFormat="1" ht="15" x14ac:dyDescent="0.25">
      <c r="A525" t="s">
        <v>167</v>
      </c>
      <c r="B525" t="s">
        <v>3919</v>
      </c>
      <c r="E525" s="1548" t="s">
        <v>4068</v>
      </c>
      <c r="F525" s="1517"/>
      <c r="G525" s="584" t="s">
        <v>777</v>
      </c>
      <c r="H525" s="650">
        <v>155</v>
      </c>
      <c r="V525">
        <v>64</v>
      </c>
    </row>
    <row r="526" spans="1:22" customFormat="1" ht="15" x14ac:dyDescent="0.25">
      <c r="A526" t="s">
        <v>167</v>
      </c>
      <c r="B526" t="s">
        <v>3919</v>
      </c>
      <c r="E526" s="1509" t="s">
        <v>4069</v>
      </c>
      <c r="F526" s="1517"/>
      <c r="G526" s="584" t="s">
        <v>777</v>
      </c>
      <c r="H526" s="650">
        <v>39.14</v>
      </c>
      <c r="V526">
        <v>106</v>
      </c>
    </row>
    <row r="527" spans="1:22" customFormat="1" ht="36" x14ac:dyDescent="0.25">
      <c r="A527" t="s">
        <v>167</v>
      </c>
      <c r="B527" t="s">
        <v>3919</v>
      </c>
      <c r="E527" s="685" t="s">
        <v>3851</v>
      </c>
      <c r="F527" s="1"/>
      <c r="G527" s="268"/>
      <c r="H527" s="268"/>
      <c r="K527" t="s">
        <v>4070</v>
      </c>
      <c r="V527">
        <v>38</v>
      </c>
    </row>
    <row r="528" spans="1:22" customFormat="1" ht="15" x14ac:dyDescent="0.25">
      <c r="A528" t="s">
        <v>167</v>
      </c>
      <c r="B528" t="s">
        <v>3919</v>
      </c>
      <c r="E528" s="1516" t="s">
        <v>951</v>
      </c>
      <c r="F528" s="1516"/>
      <c r="G528" s="1516"/>
      <c r="H528" s="1516"/>
      <c r="V528">
        <v>280</v>
      </c>
    </row>
    <row r="529" spans="1:22" customFormat="1" ht="15" x14ac:dyDescent="0.25">
      <c r="A529" t="s">
        <v>167</v>
      </c>
      <c r="B529" t="s">
        <v>3919</v>
      </c>
      <c r="E529" s="1516" t="s">
        <v>952</v>
      </c>
      <c r="F529" s="1516"/>
      <c r="G529" s="1516"/>
      <c r="H529" s="1516"/>
      <c r="V529">
        <v>411</v>
      </c>
    </row>
    <row r="530" spans="1:22" customFormat="1" ht="15" x14ac:dyDescent="0.25">
      <c r="A530" t="s">
        <v>167</v>
      </c>
      <c r="B530" t="s">
        <v>3919</v>
      </c>
      <c r="E530" s="1516" t="s">
        <v>1103</v>
      </c>
      <c r="F530" s="1516"/>
      <c r="G530" s="1516"/>
      <c r="H530" s="1516"/>
      <c r="V530">
        <v>211</v>
      </c>
    </row>
    <row r="531" spans="1:22" customFormat="1" ht="15" x14ac:dyDescent="0.25">
      <c r="A531" t="s">
        <v>167</v>
      </c>
      <c r="B531" t="s">
        <v>3919</v>
      </c>
      <c r="E531" s="1516" t="s">
        <v>3762</v>
      </c>
      <c r="F531" s="1516"/>
      <c r="G531" s="1516"/>
      <c r="H531" s="1516"/>
      <c r="V531">
        <v>247</v>
      </c>
    </row>
    <row r="532" spans="1:22" customFormat="1" ht="15" x14ac:dyDescent="0.25">
      <c r="A532" t="s">
        <v>167</v>
      </c>
      <c r="B532" t="s">
        <v>3919</v>
      </c>
      <c r="E532" s="1516" t="s">
        <v>1104</v>
      </c>
      <c r="F532" s="1516"/>
      <c r="G532" s="1516"/>
      <c r="H532" s="1516"/>
      <c r="V532">
        <v>142</v>
      </c>
    </row>
    <row r="533" spans="1:22" customFormat="1" ht="15" x14ac:dyDescent="0.25">
      <c r="A533" t="s">
        <v>167</v>
      </c>
      <c r="B533" t="s">
        <v>3919</v>
      </c>
      <c r="E533" s="1507" t="s">
        <v>849</v>
      </c>
      <c r="F533" s="1507"/>
      <c r="G533" s="268" t="s">
        <v>777</v>
      </c>
      <c r="H533" s="651">
        <v>121.23</v>
      </c>
      <c r="V533">
        <v>106</v>
      </c>
    </row>
    <row r="534" spans="1:22" customFormat="1" ht="15" x14ac:dyDescent="0.25">
      <c r="A534" t="s">
        <v>167</v>
      </c>
      <c r="B534" t="s">
        <v>3919</v>
      </c>
      <c r="E534" s="1545" t="s">
        <v>850</v>
      </c>
      <c r="F534" s="1507"/>
      <c r="G534" s="268" t="s">
        <v>777</v>
      </c>
      <c r="H534" s="651">
        <v>48.5</v>
      </c>
      <c r="V534">
        <v>34</v>
      </c>
    </row>
    <row r="535" spans="1:22" customFormat="1" ht="15" x14ac:dyDescent="0.25">
      <c r="A535" t="s">
        <v>167</v>
      </c>
      <c r="B535" t="s">
        <v>3919</v>
      </c>
      <c r="E535" s="1545" t="s">
        <v>851</v>
      </c>
      <c r="F535" s="1507"/>
      <c r="G535" s="268" t="s">
        <v>852</v>
      </c>
      <c r="H535" s="651">
        <v>1.2</v>
      </c>
      <c r="V535">
        <v>51</v>
      </c>
    </row>
    <row r="536" spans="1:22" customFormat="1" ht="15" x14ac:dyDescent="0.25">
      <c r="A536" t="s">
        <v>167</v>
      </c>
      <c r="B536" t="s">
        <v>3919</v>
      </c>
      <c r="E536" s="1545" t="s">
        <v>853</v>
      </c>
      <c r="F536" s="1507"/>
      <c r="G536" s="268" t="s">
        <v>852</v>
      </c>
      <c r="H536" s="651">
        <v>0.71</v>
      </c>
      <c r="V536">
        <v>75</v>
      </c>
    </row>
    <row r="537" spans="1:22" customFormat="1" ht="15" x14ac:dyDescent="0.25">
      <c r="A537" t="s">
        <v>167</v>
      </c>
      <c r="B537" t="s">
        <v>3919</v>
      </c>
      <c r="E537" s="1545" t="s">
        <v>854</v>
      </c>
      <c r="F537" s="1507"/>
      <c r="G537" s="268" t="s">
        <v>852</v>
      </c>
      <c r="H537" s="650">
        <v>-0.71</v>
      </c>
      <c r="V537">
        <v>72</v>
      </c>
    </row>
    <row r="538" spans="1:22" customFormat="1" ht="15" x14ac:dyDescent="0.25">
      <c r="A538" t="s">
        <v>167</v>
      </c>
      <c r="B538" t="s">
        <v>3919</v>
      </c>
      <c r="E538" s="1545" t="s">
        <v>855</v>
      </c>
      <c r="F538" s="1507"/>
      <c r="G538" s="268"/>
      <c r="H538" s="650"/>
      <c r="V538">
        <v>34</v>
      </c>
    </row>
    <row r="539" spans="1:22" customFormat="1" ht="15" x14ac:dyDescent="0.25">
      <c r="A539" t="s">
        <v>167</v>
      </c>
      <c r="B539" t="s">
        <v>3919</v>
      </c>
      <c r="E539" s="1546" t="s">
        <v>1106</v>
      </c>
      <c r="F539" s="1511"/>
      <c r="G539" s="268" t="s">
        <v>777</v>
      </c>
      <c r="H539" s="651">
        <v>0.61</v>
      </c>
      <c r="V539">
        <v>57</v>
      </c>
    </row>
    <row r="540" spans="1:22" customFormat="1" ht="15" x14ac:dyDescent="0.25">
      <c r="A540" t="s">
        <v>167</v>
      </c>
      <c r="B540" t="s">
        <v>3919</v>
      </c>
      <c r="E540" s="1546" t="s">
        <v>1107</v>
      </c>
      <c r="F540" s="1511"/>
      <c r="G540" s="268" t="s">
        <v>777</v>
      </c>
      <c r="H540" s="650">
        <v>1.2</v>
      </c>
      <c r="V540">
        <v>60</v>
      </c>
    </row>
    <row r="541" spans="1:22" customFormat="1" ht="15" x14ac:dyDescent="0.25">
      <c r="A541" t="s">
        <v>167</v>
      </c>
      <c r="B541" t="s">
        <v>3919</v>
      </c>
      <c r="E541" s="1545" t="s">
        <v>1108</v>
      </c>
      <c r="F541" s="1507"/>
      <c r="G541" s="268"/>
      <c r="H541" s="268"/>
      <c r="V541">
        <v>91</v>
      </c>
    </row>
    <row r="542" spans="1:22" customFormat="1" ht="15" x14ac:dyDescent="0.25">
      <c r="A542" t="s">
        <v>167</v>
      </c>
      <c r="B542" t="s">
        <v>3919</v>
      </c>
      <c r="E542" s="1545" t="s">
        <v>1109</v>
      </c>
      <c r="F542" s="1507"/>
      <c r="G542" s="268"/>
      <c r="H542" s="268"/>
      <c r="V542">
        <v>96</v>
      </c>
    </row>
    <row r="543" spans="1:22" customFormat="1" ht="15" x14ac:dyDescent="0.25">
      <c r="A543" t="s">
        <v>167</v>
      </c>
      <c r="B543" t="s">
        <v>3919</v>
      </c>
      <c r="E543" s="1545" t="s">
        <v>856</v>
      </c>
      <c r="F543" s="1507"/>
      <c r="G543" s="268"/>
      <c r="H543" s="268"/>
      <c r="V543">
        <v>77</v>
      </c>
    </row>
    <row r="544" spans="1:22" customFormat="1" ht="15" x14ac:dyDescent="0.25">
      <c r="A544" t="s">
        <v>167</v>
      </c>
      <c r="B544" t="s">
        <v>3919</v>
      </c>
      <c r="E544" s="1546" t="s">
        <v>1111</v>
      </c>
      <c r="F544" s="1511"/>
      <c r="G544" s="268" t="s">
        <v>777</v>
      </c>
      <c r="H544" s="650" t="s">
        <v>857</v>
      </c>
      <c r="V544">
        <v>18</v>
      </c>
    </row>
    <row r="545" spans="1:22" customFormat="1" ht="15" x14ac:dyDescent="0.25">
      <c r="A545" t="s">
        <v>167</v>
      </c>
      <c r="B545" t="s">
        <v>3919</v>
      </c>
      <c r="E545" s="1546" t="s">
        <v>1112</v>
      </c>
      <c r="F545" s="1511"/>
      <c r="G545" s="268" t="s">
        <v>777</v>
      </c>
      <c r="H545" s="650">
        <v>4.8499999999999996</v>
      </c>
      <c r="V545">
        <v>69</v>
      </c>
    </row>
    <row r="546" spans="1:22" customFormat="1" ht="15" x14ac:dyDescent="0.25">
      <c r="A546" t="s">
        <v>167</v>
      </c>
      <c r="B546" t="s">
        <v>3919</v>
      </c>
      <c r="E546" s="1545" t="s">
        <v>858</v>
      </c>
      <c r="F546" s="1545"/>
      <c r="G546" s="268" t="s">
        <v>777</v>
      </c>
      <c r="H546" s="650">
        <v>2.42</v>
      </c>
      <c r="V546">
        <v>199</v>
      </c>
    </row>
    <row r="547" spans="1:22" customFormat="1" x14ac:dyDescent="0.25">
      <c r="A547" t="s">
        <v>167</v>
      </c>
      <c r="B547" t="s">
        <v>3919</v>
      </c>
      <c r="E547" s="685" t="s">
        <v>3853</v>
      </c>
      <c r="F547" s="1"/>
      <c r="G547" s="268"/>
      <c r="H547" s="268"/>
      <c r="K547" t="s">
        <v>4071</v>
      </c>
      <c r="V547">
        <v>12</v>
      </c>
    </row>
    <row r="548" spans="1:22" customFormat="1" ht="15" x14ac:dyDescent="0.25">
      <c r="A548" t="s">
        <v>167</v>
      </c>
      <c r="B548" t="s">
        <v>3919</v>
      </c>
      <c r="E548" s="1507" t="s">
        <v>1114</v>
      </c>
      <c r="F548" s="1507"/>
      <c r="G548" s="1507"/>
      <c r="H548" s="1507"/>
      <c r="V548">
        <v>203</v>
      </c>
    </row>
    <row r="549" spans="1:22" customFormat="1" ht="15" x14ac:dyDescent="0.25">
      <c r="A549" t="s">
        <v>167</v>
      </c>
      <c r="B549" t="s">
        <v>3919</v>
      </c>
      <c r="E549" s="1524" t="s">
        <v>1115</v>
      </c>
      <c r="F549" s="1507"/>
      <c r="G549" s="584"/>
      <c r="H549" s="650">
        <v>1.0341</v>
      </c>
      <c r="V549">
        <v>57</v>
      </c>
    </row>
    <row r="550" spans="1:22" customFormat="1" ht="15" x14ac:dyDescent="0.25">
      <c r="A550" t="s">
        <v>167</v>
      </c>
      <c r="B550" t="s">
        <v>3919</v>
      </c>
      <c r="E550" s="1524" t="s">
        <v>4072</v>
      </c>
      <c r="F550" s="1507"/>
      <c r="G550" s="584"/>
      <c r="H550" s="650">
        <v>1.0145</v>
      </c>
      <c r="V550">
        <v>57</v>
      </c>
    </row>
    <row r="551" spans="1:22" customFormat="1" ht="15" x14ac:dyDescent="0.25">
      <c r="A551" t="s">
        <v>167</v>
      </c>
      <c r="B551" t="s">
        <v>3919</v>
      </c>
      <c r="E551" s="1524" t="s">
        <v>1117</v>
      </c>
      <c r="F551" s="1507"/>
      <c r="G551" s="584"/>
      <c r="H551" s="650">
        <v>1.0239</v>
      </c>
      <c r="V551">
        <v>55</v>
      </c>
    </row>
    <row r="552" spans="1:22" customFormat="1" ht="15" x14ac:dyDescent="0.25">
      <c r="A552" t="s">
        <v>167</v>
      </c>
      <c r="B552" t="s">
        <v>3919</v>
      </c>
      <c r="E552" s="1524" t="s">
        <v>4073</v>
      </c>
      <c r="F552" s="1507"/>
      <c r="G552" s="584"/>
      <c r="H552" s="650">
        <v>1.0044999999999999</v>
      </c>
      <c r="J552" t="s">
        <v>4074</v>
      </c>
      <c r="V552">
        <v>55</v>
      </c>
    </row>
    <row r="553" spans="1:22" customFormat="1" ht="23.25" x14ac:dyDescent="0.25">
      <c r="A553" t="s">
        <v>167</v>
      </c>
      <c r="B553" t="s">
        <v>4075</v>
      </c>
      <c r="C553" t="s">
        <v>3755</v>
      </c>
      <c r="E553" s="1550" t="s">
        <v>167</v>
      </c>
      <c r="F553" s="1550"/>
      <c r="G553" s="1550"/>
      <c r="H553" s="1550"/>
      <c r="I553" t="s">
        <v>94</v>
      </c>
      <c r="J553" t="s">
        <v>4076</v>
      </c>
      <c r="K553" t="s">
        <v>167</v>
      </c>
      <c r="M553">
        <v>9</v>
      </c>
      <c r="V553">
        <v>29</v>
      </c>
    </row>
    <row r="554" spans="1:22" customFormat="1" ht="23.25" x14ac:dyDescent="0.25">
      <c r="A554" t="s">
        <v>167</v>
      </c>
      <c r="B554" t="s">
        <v>4075</v>
      </c>
      <c r="C554" t="s">
        <v>3757</v>
      </c>
      <c r="E554" s="1667" t="s">
        <v>178</v>
      </c>
      <c r="F554" s="1667"/>
      <c r="G554" s="1667"/>
      <c r="H554" s="1667"/>
      <c r="V554">
        <v>20</v>
      </c>
    </row>
    <row r="555" spans="1:22" customFormat="1" x14ac:dyDescent="0.25">
      <c r="A555" t="s">
        <v>167</v>
      </c>
      <c r="B555" t="s">
        <v>4075</v>
      </c>
      <c r="C555" t="s">
        <v>3758</v>
      </c>
      <c r="E555" s="1551" t="s">
        <v>944</v>
      </c>
      <c r="F555" s="1551"/>
      <c r="G555" s="1551"/>
      <c r="H555" s="1551"/>
      <c r="V555">
        <v>27</v>
      </c>
    </row>
    <row r="556" spans="1:22" customFormat="1" ht="15.75" x14ac:dyDescent="0.25">
      <c r="A556" t="s">
        <v>167</v>
      </c>
      <c r="B556" t="s">
        <v>4075</v>
      </c>
      <c r="C556" t="s">
        <v>3759</v>
      </c>
      <c r="E556" s="1543" t="s">
        <v>6511</v>
      </c>
      <c r="F556" s="1543"/>
      <c r="G556" s="1543"/>
      <c r="H556" s="1543"/>
      <c r="S556">
        <v>45658</v>
      </c>
      <c r="V556">
        <v>49</v>
      </c>
    </row>
    <row r="557" spans="1:22" customFormat="1" ht="15" x14ac:dyDescent="0.25">
      <c r="A557" t="s">
        <v>167</v>
      </c>
      <c r="B557" t="s">
        <v>4075</v>
      </c>
      <c r="E557" s="1544" t="s">
        <v>3921</v>
      </c>
      <c r="F557" s="1544"/>
      <c r="G557" s="1544"/>
      <c r="H557" s="1544"/>
      <c r="V557">
        <v>53</v>
      </c>
    </row>
    <row r="558" spans="1:22" customFormat="1" ht="15" x14ac:dyDescent="0.25">
      <c r="A558" t="s">
        <v>167</v>
      </c>
      <c r="B558" t="s">
        <v>4075</v>
      </c>
      <c r="E558" s="1544" t="s">
        <v>946</v>
      </c>
      <c r="F558" s="1544"/>
      <c r="G558" s="1544"/>
      <c r="H558" s="1544"/>
      <c r="V558">
        <v>53</v>
      </c>
    </row>
    <row r="559" spans="1:22" customFormat="1" ht="15" x14ac:dyDescent="0.25">
      <c r="A559" t="s">
        <v>167</v>
      </c>
      <c r="B559" t="s">
        <v>4075</v>
      </c>
      <c r="E559" s="1513" t="s">
        <v>6518</v>
      </c>
      <c r="F559" s="1513"/>
      <c r="G559" s="1513"/>
      <c r="H559" s="1513"/>
      <c r="K559" t="s">
        <v>6518</v>
      </c>
      <c r="V559">
        <v>12</v>
      </c>
    </row>
    <row r="560" spans="1:22" customFormat="1" ht="15" x14ac:dyDescent="0.25">
      <c r="A560" t="s">
        <v>167</v>
      </c>
      <c r="B560" t="s">
        <v>4075</v>
      </c>
      <c r="E560" s="1492" t="s">
        <v>170</v>
      </c>
      <c r="F560" s="1549"/>
      <c r="G560" s="1516"/>
      <c r="H560" s="1516"/>
      <c r="K560" t="s">
        <v>947</v>
      </c>
      <c r="V560">
        <v>34</v>
      </c>
    </row>
    <row r="561" spans="1:22" customFormat="1" ht="15" x14ac:dyDescent="0.25">
      <c r="A561" t="s">
        <v>167</v>
      </c>
      <c r="B561" t="s">
        <v>4075</v>
      </c>
      <c r="E561" s="1516" t="s">
        <v>4077</v>
      </c>
      <c r="F561" s="1516"/>
      <c r="G561" s="1516"/>
      <c r="H561" s="1516"/>
      <c r="K561" t="s">
        <v>947</v>
      </c>
      <c r="V561">
        <v>515</v>
      </c>
    </row>
    <row r="562" spans="1:22" customFormat="1" ht="15" x14ac:dyDescent="0.25">
      <c r="A562" t="s">
        <v>167</v>
      </c>
      <c r="B562" t="s">
        <v>4075</v>
      </c>
      <c r="E562" s="1515" t="s">
        <v>950</v>
      </c>
      <c r="F562" s="1549"/>
      <c r="G562" s="1516"/>
      <c r="H562" s="1516"/>
      <c r="K562" t="s">
        <v>949</v>
      </c>
      <c r="V562">
        <v>11</v>
      </c>
    </row>
    <row r="563" spans="1:22" customFormat="1" ht="15" x14ac:dyDescent="0.25">
      <c r="A563" t="s">
        <v>167</v>
      </c>
      <c r="B563" t="s">
        <v>4075</v>
      </c>
      <c r="E563" s="1516" t="s">
        <v>951</v>
      </c>
      <c r="F563" s="1516"/>
      <c r="G563" s="1516"/>
      <c r="H563" s="1516"/>
      <c r="K563" t="s">
        <v>947</v>
      </c>
      <c r="V563">
        <v>280</v>
      </c>
    </row>
    <row r="564" spans="1:22" customFormat="1" ht="15" x14ac:dyDescent="0.25">
      <c r="A564" t="s">
        <v>167</v>
      </c>
      <c r="B564" t="s">
        <v>4075</v>
      </c>
      <c r="E564" s="1516" t="s">
        <v>3923</v>
      </c>
      <c r="F564" s="1516"/>
      <c r="G564" s="1516"/>
      <c r="H564" s="1516"/>
      <c r="K564" t="s">
        <v>947</v>
      </c>
      <c r="V564">
        <v>426</v>
      </c>
    </row>
    <row r="565" spans="1:22" customFormat="1" ht="15" x14ac:dyDescent="0.25">
      <c r="A565" t="s">
        <v>167</v>
      </c>
      <c r="B565" t="s">
        <v>4075</v>
      </c>
      <c r="E565" s="1516" t="s">
        <v>953</v>
      </c>
      <c r="F565" s="1516"/>
      <c r="G565" s="1516"/>
      <c r="H565" s="1516"/>
      <c r="K565" t="s">
        <v>947</v>
      </c>
      <c r="V565">
        <v>386</v>
      </c>
    </row>
    <row r="566" spans="1:22" customFormat="1" ht="15" x14ac:dyDescent="0.25">
      <c r="A566" t="s">
        <v>167</v>
      </c>
      <c r="B566" t="s">
        <v>4075</v>
      </c>
      <c r="E566" s="1516" t="s">
        <v>3762</v>
      </c>
      <c r="F566" s="1516"/>
      <c r="G566" s="1516"/>
      <c r="H566" s="1516"/>
      <c r="K566" t="s">
        <v>947</v>
      </c>
      <c r="V566">
        <v>247</v>
      </c>
    </row>
    <row r="567" spans="1:22" customFormat="1" ht="15" x14ac:dyDescent="0.25">
      <c r="A567" t="s">
        <v>167</v>
      </c>
      <c r="B567" t="s">
        <v>4075</v>
      </c>
      <c r="E567" s="1515" t="s">
        <v>956</v>
      </c>
      <c r="F567" s="1549"/>
      <c r="G567" s="1516"/>
      <c r="H567" s="1516"/>
      <c r="K567" t="s">
        <v>955</v>
      </c>
      <c r="V567">
        <v>46</v>
      </c>
    </row>
    <row r="568" spans="1:22" customFormat="1" ht="15" x14ac:dyDescent="0.25">
      <c r="A568" t="s">
        <v>167</v>
      </c>
      <c r="B568" t="s">
        <v>4075</v>
      </c>
      <c r="E568" s="1526" t="s">
        <v>3773</v>
      </c>
      <c r="F568" s="1507"/>
      <c r="G568" s="393" t="s">
        <v>777</v>
      </c>
      <c r="H568" s="650">
        <v>28.88</v>
      </c>
      <c r="K568" t="s">
        <v>947</v>
      </c>
      <c r="L568" t="s">
        <v>690</v>
      </c>
      <c r="P568" t="s">
        <v>957</v>
      </c>
      <c r="V568">
        <v>14</v>
      </c>
    </row>
    <row r="569" spans="1:22" customFormat="1" ht="15" x14ac:dyDescent="0.25">
      <c r="A569" t="s">
        <v>167</v>
      </c>
      <c r="B569" t="s">
        <v>4075</v>
      </c>
      <c r="E569" s="1526" t="s">
        <v>4078</v>
      </c>
      <c r="F569" s="1507"/>
      <c r="G569" s="393" t="s">
        <v>777</v>
      </c>
      <c r="H569" s="650">
        <v>0.03</v>
      </c>
      <c r="K569" t="s">
        <v>947</v>
      </c>
      <c r="L569" t="s">
        <v>690</v>
      </c>
      <c r="P569" t="s">
        <v>4079</v>
      </c>
      <c r="V569">
        <v>141</v>
      </c>
    </row>
    <row r="570" spans="1:22" customFormat="1" ht="15" x14ac:dyDescent="0.25">
      <c r="A570" t="s">
        <v>167</v>
      </c>
      <c r="B570" t="s">
        <v>4075</v>
      </c>
      <c r="E570" s="1507" t="s">
        <v>4080</v>
      </c>
      <c r="F570" s="1507"/>
      <c r="G570" s="393" t="s">
        <v>777</v>
      </c>
      <c r="H570" s="650">
        <v>0.12</v>
      </c>
      <c r="K570" t="s">
        <v>947</v>
      </c>
      <c r="L570" t="s">
        <v>690</v>
      </c>
      <c r="P570" t="s">
        <v>4081</v>
      </c>
      <c r="V570">
        <v>159</v>
      </c>
    </row>
    <row r="571" spans="1:22" customFormat="1" ht="15" x14ac:dyDescent="0.25">
      <c r="A571" t="s">
        <v>167</v>
      </c>
      <c r="B571" t="s">
        <v>4075</v>
      </c>
      <c r="E571" s="1507" t="s">
        <v>4082</v>
      </c>
      <c r="F571" s="1507"/>
      <c r="G571" s="393" t="s">
        <v>777</v>
      </c>
      <c r="H571" s="650">
        <v>0.16</v>
      </c>
      <c r="K571" t="s">
        <v>947</v>
      </c>
      <c r="L571" t="s">
        <v>690</v>
      </c>
      <c r="P571" t="s">
        <v>4083</v>
      </c>
      <c r="V571">
        <v>140</v>
      </c>
    </row>
    <row r="572" spans="1:22" customFormat="1" ht="15" x14ac:dyDescent="0.25">
      <c r="A572" t="s">
        <v>167</v>
      </c>
      <c r="B572" t="s">
        <v>4075</v>
      </c>
      <c r="E572" s="1526" t="s">
        <v>4084</v>
      </c>
      <c r="F572" s="1507"/>
      <c r="G572" s="393" t="s">
        <v>777</v>
      </c>
      <c r="H572" s="650">
        <v>0.6</v>
      </c>
      <c r="K572" t="s">
        <v>947</v>
      </c>
      <c r="L572" t="s">
        <v>690</v>
      </c>
      <c r="P572" t="s">
        <v>4085</v>
      </c>
      <c r="V572">
        <v>140</v>
      </c>
    </row>
    <row r="573" spans="1:22" customFormat="1" ht="15" x14ac:dyDescent="0.25">
      <c r="A573" t="s">
        <v>167</v>
      </c>
      <c r="B573" t="s">
        <v>4075</v>
      </c>
      <c r="E573" s="1526" t="s">
        <v>960</v>
      </c>
      <c r="F573" s="1507"/>
      <c r="G573" s="393" t="s">
        <v>777</v>
      </c>
      <c r="H573" s="650">
        <v>0.42</v>
      </c>
      <c r="K573" t="s">
        <v>947</v>
      </c>
      <c r="L573" t="s">
        <v>692</v>
      </c>
      <c r="P573" t="s">
        <v>959</v>
      </c>
      <c r="V573">
        <v>64</v>
      </c>
    </row>
    <row r="574" spans="1:22" customFormat="1" ht="15" x14ac:dyDescent="0.25">
      <c r="A574" t="s">
        <v>167</v>
      </c>
      <c r="B574" t="s">
        <v>4075</v>
      </c>
      <c r="E574" s="1526" t="s">
        <v>4086</v>
      </c>
      <c r="F574" s="1507"/>
      <c r="G574" s="393" t="s">
        <v>845</v>
      </c>
      <c r="H574" s="650">
        <v>6.9999999999999999E-4</v>
      </c>
      <c r="K574" t="s">
        <v>947</v>
      </c>
      <c r="L574" t="s">
        <v>692</v>
      </c>
      <c r="P574" t="s">
        <v>961</v>
      </c>
      <c r="V574">
        <v>25</v>
      </c>
    </row>
    <row r="575" spans="1:22" customFormat="1" ht="15" x14ac:dyDescent="0.25">
      <c r="A575" t="s">
        <v>167</v>
      </c>
      <c r="B575" t="s">
        <v>4075</v>
      </c>
      <c r="E575" s="1526" t="s">
        <v>6519</v>
      </c>
      <c r="F575" s="1510"/>
      <c r="G575" s="393" t="s">
        <v>845</v>
      </c>
      <c r="H575" s="650">
        <v>3.0999999999999999E-3</v>
      </c>
      <c r="K575" t="s">
        <v>947</v>
      </c>
      <c r="L575" t="s">
        <v>692</v>
      </c>
      <c r="P575" t="s">
        <v>962</v>
      </c>
      <c r="T575">
        <v>46022</v>
      </c>
      <c r="V575">
        <v>142</v>
      </c>
    </row>
    <row r="576" spans="1:22" customFormat="1" ht="15" x14ac:dyDescent="0.25">
      <c r="A576" t="s">
        <v>167</v>
      </c>
      <c r="B576" t="s">
        <v>4075</v>
      </c>
      <c r="E576" s="1526" t="s">
        <v>6520</v>
      </c>
      <c r="F576" s="1510"/>
      <c r="G576" s="393" t="s">
        <v>845</v>
      </c>
      <c r="H576" s="650">
        <v>8.0000000000000004E-4</v>
      </c>
      <c r="K576" t="s">
        <v>947</v>
      </c>
      <c r="L576" t="s">
        <v>692</v>
      </c>
      <c r="P576" t="s">
        <v>963</v>
      </c>
      <c r="T576">
        <v>46022</v>
      </c>
      <c r="V576">
        <v>99</v>
      </c>
    </row>
    <row r="577" spans="1:22" customFormat="1" ht="15" x14ac:dyDescent="0.25">
      <c r="A577" t="s">
        <v>167</v>
      </c>
      <c r="B577" t="s">
        <v>4075</v>
      </c>
      <c r="E577" s="1526" t="s">
        <v>6521</v>
      </c>
      <c r="F577" s="1510"/>
      <c r="G577" s="393" t="s">
        <v>845</v>
      </c>
      <c r="H577" s="650">
        <v>2.0000000000000001E-4</v>
      </c>
      <c r="K577" t="s">
        <v>947</v>
      </c>
      <c r="L577" t="s">
        <v>692</v>
      </c>
      <c r="P577" t="s">
        <v>3764</v>
      </c>
      <c r="T577">
        <v>46022</v>
      </c>
      <c r="V577">
        <v>149</v>
      </c>
    </row>
    <row r="578" spans="1:22" customFormat="1" ht="15" x14ac:dyDescent="0.25">
      <c r="A578" t="s">
        <v>167</v>
      </c>
      <c r="B578" t="s">
        <v>4075</v>
      </c>
      <c r="E578" s="1526" t="s">
        <v>243</v>
      </c>
      <c r="F578" s="1507"/>
      <c r="G578" s="393" t="s">
        <v>845</v>
      </c>
      <c r="H578" s="650">
        <v>1.32E-2</v>
      </c>
      <c r="K578" t="s">
        <v>947</v>
      </c>
      <c r="L578" t="s">
        <v>694</v>
      </c>
      <c r="P578" t="s">
        <v>964</v>
      </c>
      <c r="V578">
        <v>47</v>
      </c>
    </row>
    <row r="579" spans="1:22" customFormat="1" ht="15" x14ac:dyDescent="0.25">
      <c r="A579" t="s">
        <v>167</v>
      </c>
      <c r="B579" t="s">
        <v>4075</v>
      </c>
      <c r="E579" s="1526" t="s">
        <v>175</v>
      </c>
      <c r="F579" s="1507"/>
      <c r="G579" s="393" t="s">
        <v>845</v>
      </c>
      <c r="H579" s="650">
        <v>0.01</v>
      </c>
      <c r="K579" t="s">
        <v>947</v>
      </c>
      <c r="L579" t="s">
        <v>694</v>
      </c>
      <c r="P579" t="s">
        <v>965</v>
      </c>
      <c r="V579">
        <v>74</v>
      </c>
    </row>
    <row r="580" spans="1:22" customFormat="1" ht="15" x14ac:dyDescent="0.25">
      <c r="A580" t="s">
        <v>167</v>
      </c>
      <c r="B580" t="s">
        <v>4075</v>
      </c>
      <c r="E580" s="1515" t="s">
        <v>967</v>
      </c>
      <c r="F580" s="1507"/>
      <c r="G580" s="584"/>
      <c r="H580" s="584"/>
      <c r="K580" t="s">
        <v>966</v>
      </c>
      <c r="V580">
        <v>48</v>
      </c>
    </row>
    <row r="581" spans="1:22" customFormat="1" ht="15" x14ac:dyDescent="0.25">
      <c r="A581" t="s">
        <v>167</v>
      </c>
      <c r="B581" t="s">
        <v>4075</v>
      </c>
      <c r="E581" s="1507" t="s">
        <v>844</v>
      </c>
      <c r="F581" s="1507"/>
      <c r="G581" s="584" t="s">
        <v>845</v>
      </c>
      <c r="H581" s="650">
        <v>4.1000000000000003E-3</v>
      </c>
      <c r="K581" t="s">
        <v>947</v>
      </c>
      <c r="L581" t="s">
        <v>968</v>
      </c>
      <c r="P581" t="s">
        <v>969</v>
      </c>
      <c r="V581">
        <v>55</v>
      </c>
    </row>
    <row r="582" spans="1:22" customFormat="1" ht="15" x14ac:dyDescent="0.25">
      <c r="A582" t="s">
        <v>167</v>
      </c>
      <c r="B582" t="s">
        <v>4075</v>
      </c>
      <c r="E582" s="1526" t="s">
        <v>846</v>
      </c>
      <c r="F582" s="1507"/>
      <c r="G582" s="584" t="s">
        <v>845</v>
      </c>
      <c r="H582" s="650">
        <v>4.0000000000000002E-4</v>
      </c>
      <c r="K582" t="s">
        <v>947</v>
      </c>
      <c r="L582" t="s">
        <v>968</v>
      </c>
      <c r="P582" t="s">
        <v>969</v>
      </c>
      <c r="V582">
        <v>65</v>
      </c>
    </row>
    <row r="583" spans="1:22" customFormat="1" ht="15" x14ac:dyDescent="0.25">
      <c r="A583" t="s">
        <v>167</v>
      </c>
      <c r="B583" t="s">
        <v>4075</v>
      </c>
      <c r="E583" s="1507" t="s">
        <v>847</v>
      </c>
      <c r="F583" s="1507"/>
      <c r="G583" s="584" t="s">
        <v>845</v>
      </c>
      <c r="H583" s="650">
        <v>1.5E-3</v>
      </c>
      <c r="K583" t="s">
        <v>947</v>
      </c>
      <c r="L583" t="s">
        <v>968</v>
      </c>
      <c r="P583" t="s">
        <v>970</v>
      </c>
      <c r="V583">
        <v>57</v>
      </c>
    </row>
    <row r="584" spans="1:22" customFormat="1" ht="15" x14ac:dyDescent="0.25">
      <c r="A584" t="s">
        <v>167</v>
      </c>
      <c r="B584" t="s">
        <v>4075</v>
      </c>
      <c r="E584" s="1507" t="s">
        <v>848</v>
      </c>
      <c r="F584" s="1507"/>
      <c r="G584" s="584" t="s">
        <v>777</v>
      </c>
      <c r="H584" s="650">
        <v>0.25</v>
      </c>
      <c r="K584" t="s">
        <v>947</v>
      </c>
      <c r="L584" t="s">
        <v>968</v>
      </c>
      <c r="P584" t="s">
        <v>971</v>
      </c>
      <c r="V584">
        <v>63</v>
      </c>
    </row>
    <row r="585" spans="1:22" customFormat="1" x14ac:dyDescent="0.25">
      <c r="A585" t="s">
        <v>167</v>
      </c>
      <c r="B585" t="s">
        <v>4075</v>
      </c>
      <c r="E585" s="1492" t="s">
        <v>174</v>
      </c>
      <c r="F585" s="1492"/>
      <c r="G585" s="1493"/>
      <c r="H585" s="1493"/>
      <c r="K585" t="s">
        <v>972</v>
      </c>
      <c r="V585">
        <v>54</v>
      </c>
    </row>
    <row r="586" spans="1:22" customFormat="1" ht="15" x14ac:dyDescent="0.25">
      <c r="A586" t="s">
        <v>167</v>
      </c>
      <c r="B586" t="s">
        <v>4075</v>
      </c>
      <c r="E586" s="1516" t="s">
        <v>4087</v>
      </c>
      <c r="F586" s="1516"/>
      <c r="G586" s="1516"/>
      <c r="H586" s="1516"/>
      <c r="K586" t="s">
        <v>972</v>
      </c>
      <c r="V586">
        <v>293</v>
      </c>
    </row>
    <row r="587" spans="1:22" customFormat="1" ht="15" x14ac:dyDescent="0.25">
      <c r="A587" t="s">
        <v>167</v>
      </c>
      <c r="B587" t="s">
        <v>4075</v>
      </c>
      <c r="E587" s="1515" t="s">
        <v>950</v>
      </c>
      <c r="F587" s="1549"/>
      <c r="G587" s="1516"/>
      <c r="H587" s="1516"/>
      <c r="K587" t="s">
        <v>974</v>
      </c>
      <c r="V587">
        <v>11</v>
      </c>
    </row>
    <row r="588" spans="1:22" customFormat="1" ht="15" x14ac:dyDescent="0.25">
      <c r="A588" t="s">
        <v>167</v>
      </c>
      <c r="B588" t="s">
        <v>4075</v>
      </c>
      <c r="E588" s="1516" t="s">
        <v>951</v>
      </c>
      <c r="F588" s="1516"/>
      <c r="G588" s="1516"/>
      <c r="H588" s="1516"/>
      <c r="K588" t="s">
        <v>972</v>
      </c>
      <c r="V588">
        <v>280</v>
      </c>
    </row>
    <row r="589" spans="1:22" customFormat="1" ht="15" x14ac:dyDescent="0.25">
      <c r="A589" t="s">
        <v>167</v>
      </c>
      <c r="B589" t="s">
        <v>4075</v>
      </c>
      <c r="E589" s="1516" t="s">
        <v>952</v>
      </c>
      <c r="F589" s="1516"/>
      <c r="G589" s="1516"/>
      <c r="H589" s="1516"/>
      <c r="K589" t="s">
        <v>972</v>
      </c>
      <c r="V589">
        <v>411</v>
      </c>
    </row>
    <row r="590" spans="1:22" customFormat="1" ht="15" x14ac:dyDescent="0.25">
      <c r="A590" t="s">
        <v>167</v>
      </c>
      <c r="B590" t="s">
        <v>4075</v>
      </c>
      <c r="E590" s="1516" t="s">
        <v>953</v>
      </c>
      <c r="F590" s="1516"/>
      <c r="G590" s="1516"/>
      <c r="H590" s="1516"/>
      <c r="K590" t="s">
        <v>972</v>
      </c>
      <c r="V590">
        <v>386</v>
      </c>
    </row>
    <row r="591" spans="1:22" customFormat="1" ht="15" x14ac:dyDescent="0.25">
      <c r="A591" t="s">
        <v>167</v>
      </c>
      <c r="B591" t="s">
        <v>4075</v>
      </c>
      <c r="E591" s="1516" t="s">
        <v>3762</v>
      </c>
      <c r="F591" s="1516"/>
      <c r="G591" s="1516"/>
      <c r="H591" s="1516"/>
      <c r="K591" t="s">
        <v>972</v>
      </c>
      <c r="V591">
        <v>247</v>
      </c>
    </row>
    <row r="592" spans="1:22" customFormat="1" ht="15" x14ac:dyDescent="0.25">
      <c r="A592" t="s">
        <v>167</v>
      </c>
      <c r="B592" t="s">
        <v>4075</v>
      </c>
      <c r="E592" s="1515" t="s">
        <v>956</v>
      </c>
      <c r="F592" s="1549"/>
      <c r="G592" s="1516"/>
      <c r="H592" s="1516"/>
      <c r="K592" t="s">
        <v>975</v>
      </c>
      <c r="V592">
        <v>46</v>
      </c>
    </row>
    <row r="593" spans="1:22" customFormat="1" ht="15" x14ac:dyDescent="0.25">
      <c r="A593" t="s">
        <v>167</v>
      </c>
      <c r="B593" t="s">
        <v>4075</v>
      </c>
      <c r="E593" s="1526" t="s">
        <v>3773</v>
      </c>
      <c r="F593" s="1507"/>
      <c r="G593" s="393" t="s">
        <v>777</v>
      </c>
      <c r="H593" s="650">
        <v>53.04</v>
      </c>
      <c r="K593" t="s">
        <v>972</v>
      </c>
      <c r="L593" t="s">
        <v>690</v>
      </c>
      <c r="P593" t="s">
        <v>976</v>
      </c>
      <c r="V593">
        <v>14</v>
      </c>
    </row>
    <row r="594" spans="1:22" customFormat="1" ht="15" x14ac:dyDescent="0.25">
      <c r="A594" t="s">
        <v>167</v>
      </c>
      <c r="B594" t="s">
        <v>4075</v>
      </c>
      <c r="E594" s="1526" t="s">
        <v>4078</v>
      </c>
      <c r="F594" s="1507"/>
      <c r="G594" s="393" t="s">
        <v>777</v>
      </c>
      <c r="H594" s="650">
        <v>0.05</v>
      </c>
      <c r="K594" t="s">
        <v>972</v>
      </c>
      <c r="L594" t="s">
        <v>690</v>
      </c>
      <c r="P594" t="s">
        <v>4088</v>
      </c>
      <c r="V594">
        <v>141</v>
      </c>
    </row>
    <row r="595" spans="1:22" customFormat="1" ht="15" x14ac:dyDescent="0.25">
      <c r="A595" t="s">
        <v>167</v>
      </c>
      <c r="B595" t="s">
        <v>4075</v>
      </c>
      <c r="E595" s="1507" t="s">
        <v>4080</v>
      </c>
      <c r="F595" s="1507"/>
      <c r="G595" s="393" t="s">
        <v>777</v>
      </c>
      <c r="H595" s="650">
        <v>0.21</v>
      </c>
      <c r="K595" t="s">
        <v>972</v>
      </c>
      <c r="L595" t="s">
        <v>690</v>
      </c>
      <c r="P595" t="s">
        <v>4089</v>
      </c>
      <c r="V595">
        <v>159</v>
      </c>
    </row>
    <row r="596" spans="1:22" customFormat="1" ht="15" x14ac:dyDescent="0.25">
      <c r="A596" t="s">
        <v>167</v>
      </c>
      <c r="B596" t="s">
        <v>4075</v>
      </c>
      <c r="E596" s="1507" t="s">
        <v>4082</v>
      </c>
      <c r="F596" s="1507"/>
      <c r="G596" s="393" t="s">
        <v>777</v>
      </c>
      <c r="H596" s="650">
        <v>0.28999999999999998</v>
      </c>
      <c r="K596" t="s">
        <v>972</v>
      </c>
      <c r="L596" t="s">
        <v>690</v>
      </c>
      <c r="P596" t="s">
        <v>4090</v>
      </c>
      <c r="V596">
        <v>140</v>
      </c>
    </row>
    <row r="597" spans="1:22" customFormat="1" ht="15" x14ac:dyDescent="0.25">
      <c r="A597" t="s">
        <v>167</v>
      </c>
      <c r="B597" t="s">
        <v>4075</v>
      </c>
      <c r="E597" s="1526" t="s">
        <v>4084</v>
      </c>
      <c r="F597" s="1507"/>
      <c r="G597" s="393" t="s">
        <v>777</v>
      </c>
      <c r="H597" s="650">
        <v>1.1000000000000001</v>
      </c>
      <c r="K597" t="s">
        <v>972</v>
      </c>
      <c r="L597" t="s">
        <v>690</v>
      </c>
      <c r="P597" t="s">
        <v>4091</v>
      </c>
      <c r="V597">
        <v>140</v>
      </c>
    </row>
    <row r="598" spans="1:22" customFormat="1" ht="15" x14ac:dyDescent="0.25">
      <c r="A598" t="s">
        <v>167</v>
      </c>
      <c r="B598" t="s">
        <v>4075</v>
      </c>
      <c r="E598" s="1526" t="s">
        <v>960</v>
      </c>
      <c r="F598" s="1507"/>
      <c r="G598" s="393" t="s">
        <v>777</v>
      </c>
      <c r="H598" s="650">
        <v>0.42</v>
      </c>
      <c r="K598" t="s">
        <v>972</v>
      </c>
      <c r="L598" t="s">
        <v>692</v>
      </c>
      <c r="P598" t="s">
        <v>977</v>
      </c>
      <c r="V598">
        <v>64</v>
      </c>
    </row>
    <row r="599" spans="1:22" customFormat="1" ht="15" x14ac:dyDescent="0.25">
      <c r="A599" t="s">
        <v>167</v>
      </c>
      <c r="B599" t="s">
        <v>4075</v>
      </c>
      <c r="E599" s="1526" t="s">
        <v>3688</v>
      </c>
      <c r="F599" s="1507"/>
      <c r="G599" s="393" t="s">
        <v>845</v>
      </c>
      <c r="H599" s="650">
        <v>1.55E-2</v>
      </c>
      <c r="K599" t="s">
        <v>972</v>
      </c>
      <c r="L599" t="s">
        <v>690</v>
      </c>
      <c r="P599" t="s">
        <v>978</v>
      </c>
      <c r="V599">
        <v>28</v>
      </c>
    </row>
    <row r="600" spans="1:22" customFormat="1" ht="15" x14ac:dyDescent="0.25">
      <c r="A600" t="s">
        <v>167</v>
      </c>
      <c r="B600" t="s">
        <v>4075</v>
      </c>
      <c r="E600" s="1526" t="s">
        <v>4086</v>
      </c>
      <c r="F600" s="1507"/>
      <c r="G600" s="393" t="s">
        <v>845</v>
      </c>
      <c r="H600" s="650">
        <v>5.9999999999999995E-4</v>
      </c>
      <c r="K600" t="s">
        <v>972</v>
      </c>
      <c r="L600" t="s">
        <v>692</v>
      </c>
      <c r="P600" t="s">
        <v>980</v>
      </c>
      <c r="V600">
        <v>25</v>
      </c>
    </row>
    <row r="601" spans="1:22" customFormat="1" ht="15" x14ac:dyDescent="0.25">
      <c r="A601" t="s">
        <v>167</v>
      </c>
      <c r="B601" t="s">
        <v>4075</v>
      </c>
      <c r="E601" s="1526" t="s">
        <v>6519</v>
      </c>
      <c r="F601" s="1510"/>
      <c r="G601" s="393" t="s">
        <v>845</v>
      </c>
      <c r="H601" s="650">
        <v>3.0999999999999999E-3</v>
      </c>
      <c r="K601" t="s">
        <v>972</v>
      </c>
      <c r="L601" t="s">
        <v>692</v>
      </c>
      <c r="P601" t="s">
        <v>981</v>
      </c>
      <c r="T601">
        <v>46022</v>
      </c>
      <c r="V601">
        <v>142</v>
      </c>
    </row>
    <row r="602" spans="1:22" customFormat="1" ht="15" x14ac:dyDescent="0.25">
      <c r="A602" t="s">
        <v>167</v>
      </c>
      <c r="B602" t="s">
        <v>4075</v>
      </c>
      <c r="E602" s="1526" t="s">
        <v>6520</v>
      </c>
      <c r="F602" s="1510"/>
      <c r="G602" s="393" t="s">
        <v>845</v>
      </c>
      <c r="H602" s="650">
        <v>1E-3</v>
      </c>
      <c r="K602" t="s">
        <v>972</v>
      </c>
      <c r="L602" t="s">
        <v>692</v>
      </c>
      <c r="P602" t="s">
        <v>982</v>
      </c>
      <c r="T602">
        <v>46022</v>
      </c>
      <c r="V602">
        <v>99</v>
      </c>
    </row>
    <row r="603" spans="1:22" customFormat="1" ht="15" x14ac:dyDescent="0.25">
      <c r="A603" t="s">
        <v>167</v>
      </c>
      <c r="B603" t="s">
        <v>4075</v>
      </c>
      <c r="E603" s="1526" t="s">
        <v>6521</v>
      </c>
      <c r="F603" s="1510"/>
      <c r="G603" s="393" t="s">
        <v>845</v>
      </c>
      <c r="H603" s="650">
        <v>2.0000000000000001E-4</v>
      </c>
      <c r="K603" t="s">
        <v>972</v>
      </c>
      <c r="L603" t="s">
        <v>692</v>
      </c>
      <c r="P603" t="s">
        <v>3766</v>
      </c>
      <c r="T603">
        <v>46022</v>
      </c>
      <c r="V603">
        <v>149</v>
      </c>
    </row>
    <row r="604" spans="1:22" customFormat="1" ht="15" x14ac:dyDescent="0.25">
      <c r="A604" t="s">
        <v>167</v>
      </c>
      <c r="B604" t="s">
        <v>4075</v>
      </c>
      <c r="E604" s="1507" t="s">
        <v>4080</v>
      </c>
      <c r="F604" s="1507"/>
      <c r="G604" s="393" t="s">
        <v>845</v>
      </c>
      <c r="H604" s="650">
        <v>1E-4</v>
      </c>
      <c r="K604" t="s">
        <v>972</v>
      </c>
      <c r="L604" t="s">
        <v>690</v>
      </c>
      <c r="P604" t="s">
        <v>6533</v>
      </c>
      <c r="V604">
        <v>159</v>
      </c>
    </row>
    <row r="605" spans="1:22" customFormat="1" ht="15" x14ac:dyDescent="0.25">
      <c r="A605" t="s">
        <v>167</v>
      </c>
      <c r="B605" t="s">
        <v>4075</v>
      </c>
      <c r="E605" s="1507" t="s">
        <v>4082</v>
      </c>
      <c r="F605" s="1507"/>
      <c r="G605" s="393" t="s">
        <v>845</v>
      </c>
      <c r="H605" s="650">
        <v>1E-4</v>
      </c>
      <c r="K605" t="s">
        <v>972</v>
      </c>
      <c r="L605" t="s">
        <v>690</v>
      </c>
      <c r="P605" t="s">
        <v>4092</v>
      </c>
      <c r="V605">
        <v>140</v>
      </c>
    </row>
    <row r="606" spans="1:22" customFormat="1" ht="15" x14ac:dyDescent="0.25">
      <c r="A606" t="s">
        <v>167</v>
      </c>
      <c r="B606" t="s">
        <v>4075</v>
      </c>
      <c r="E606" s="1526" t="s">
        <v>4084</v>
      </c>
      <c r="F606" s="1507"/>
      <c r="G606" s="393" t="s">
        <v>845</v>
      </c>
      <c r="H606" s="650">
        <v>2.9999999999999997E-4</v>
      </c>
      <c r="K606" t="s">
        <v>972</v>
      </c>
      <c r="L606" t="s">
        <v>690</v>
      </c>
      <c r="P606" t="s">
        <v>4093</v>
      </c>
      <c r="V606">
        <v>140</v>
      </c>
    </row>
    <row r="607" spans="1:22" customFormat="1" ht="15" x14ac:dyDescent="0.25">
      <c r="A607" t="s">
        <v>167</v>
      </c>
      <c r="B607" t="s">
        <v>4075</v>
      </c>
      <c r="E607" s="1526" t="s">
        <v>243</v>
      </c>
      <c r="F607" s="1507"/>
      <c r="G607" s="393" t="s">
        <v>845</v>
      </c>
      <c r="H607" s="650">
        <v>1.23E-2</v>
      </c>
      <c r="K607" t="s">
        <v>972</v>
      </c>
      <c r="L607" t="s">
        <v>694</v>
      </c>
      <c r="P607" t="s">
        <v>983</v>
      </c>
      <c r="V607">
        <v>47</v>
      </c>
    </row>
    <row r="608" spans="1:22" customFormat="1" ht="15" x14ac:dyDescent="0.25">
      <c r="A608" t="s">
        <v>167</v>
      </c>
      <c r="B608" t="s">
        <v>4075</v>
      </c>
      <c r="E608" s="1526" t="s">
        <v>175</v>
      </c>
      <c r="F608" s="1507"/>
      <c r="G608" s="393" t="s">
        <v>845</v>
      </c>
      <c r="H608" s="650">
        <v>8.8000000000000005E-3</v>
      </c>
      <c r="K608" t="s">
        <v>972</v>
      </c>
      <c r="L608" t="s">
        <v>694</v>
      </c>
      <c r="P608" t="s">
        <v>984</v>
      </c>
      <c r="V608">
        <v>74</v>
      </c>
    </row>
    <row r="609" spans="1:22" customFormat="1" ht="15" x14ac:dyDescent="0.25">
      <c r="A609" t="s">
        <v>167</v>
      </c>
      <c r="B609" t="s">
        <v>4075</v>
      </c>
      <c r="E609" s="1515" t="s">
        <v>967</v>
      </c>
      <c r="F609" s="1507"/>
      <c r="G609" s="584"/>
      <c r="H609" s="584"/>
      <c r="K609" t="s">
        <v>985</v>
      </c>
      <c r="V609">
        <v>48</v>
      </c>
    </row>
    <row r="610" spans="1:22" customFormat="1" ht="15" x14ac:dyDescent="0.25">
      <c r="A610" t="s">
        <v>167</v>
      </c>
      <c r="B610" t="s">
        <v>4075</v>
      </c>
      <c r="E610" s="1507" t="s">
        <v>844</v>
      </c>
      <c r="F610" s="1507"/>
      <c r="G610" s="584" t="s">
        <v>845</v>
      </c>
      <c r="H610" s="650">
        <v>4.1000000000000003E-3</v>
      </c>
      <c r="K610" t="s">
        <v>972</v>
      </c>
      <c r="L610" t="s">
        <v>968</v>
      </c>
      <c r="P610" t="s">
        <v>986</v>
      </c>
      <c r="V610">
        <v>55</v>
      </c>
    </row>
    <row r="611" spans="1:22" customFormat="1" ht="15" x14ac:dyDescent="0.25">
      <c r="A611" t="s">
        <v>167</v>
      </c>
      <c r="B611" t="s">
        <v>4075</v>
      </c>
      <c r="E611" s="1526" t="s">
        <v>846</v>
      </c>
      <c r="F611" s="1507"/>
      <c r="G611" s="584" t="s">
        <v>845</v>
      </c>
      <c r="H611" s="650">
        <v>4.0000000000000002E-4</v>
      </c>
      <c r="K611" t="s">
        <v>972</v>
      </c>
      <c r="L611" t="s">
        <v>968</v>
      </c>
      <c r="P611" t="s">
        <v>986</v>
      </c>
      <c r="V611">
        <v>65</v>
      </c>
    </row>
    <row r="612" spans="1:22" customFormat="1" ht="15" x14ac:dyDescent="0.25">
      <c r="A612" t="s">
        <v>167</v>
      </c>
      <c r="B612" t="s">
        <v>4075</v>
      </c>
      <c r="E612" s="1507" t="s">
        <v>847</v>
      </c>
      <c r="F612" s="1507"/>
      <c r="G612" s="584" t="s">
        <v>845</v>
      </c>
      <c r="H612" s="650">
        <v>1.5E-3</v>
      </c>
      <c r="K612" t="s">
        <v>972</v>
      </c>
      <c r="L612" t="s">
        <v>968</v>
      </c>
      <c r="P612" t="s">
        <v>987</v>
      </c>
      <c r="V612">
        <v>57</v>
      </c>
    </row>
    <row r="613" spans="1:22" customFormat="1" ht="15" x14ac:dyDescent="0.25">
      <c r="A613" t="s">
        <v>167</v>
      </c>
      <c r="B613" t="s">
        <v>4075</v>
      </c>
      <c r="E613" s="1507" t="s">
        <v>848</v>
      </c>
      <c r="F613" s="1507"/>
      <c r="G613" s="584" t="s">
        <v>777</v>
      </c>
      <c r="H613" s="650">
        <v>0.25</v>
      </c>
      <c r="K613" t="s">
        <v>972</v>
      </c>
      <c r="L613" t="s">
        <v>968</v>
      </c>
      <c r="P613" t="s">
        <v>988</v>
      </c>
      <c r="V613">
        <v>63</v>
      </c>
    </row>
    <row r="614" spans="1:22" customFormat="1" x14ac:dyDescent="0.25">
      <c r="A614" t="s">
        <v>167</v>
      </c>
      <c r="B614" t="s">
        <v>4075</v>
      </c>
      <c r="E614" s="1492" t="s">
        <v>179</v>
      </c>
      <c r="F614" s="1492"/>
      <c r="G614" s="1493"/>
      <c r="H614" s="1493"/>
      <c r="K614" t="s">
        <v>3859</v>
      </c>
      <c r="V614">
        <v>51</v>
      </c>
    </row>
    <row r="615" spans="1:22" customFormat="1" ht="15" x14ac:dyDescent="0.25">
      <c r="A615" t="s">
        <v>167</v>
      </c>
      <c r="B615" t="s">
        <v>4075</v>
      </c>
      <c r="E615" s="1516" t="s">
        <v>4094</v>
      </c>
      <c r="F615" s="1516"/>
      <c r="G615" s="1516"/>
      <c r="H615" s="1516"/>
      <c r="K615" t="s">
        <v>3859</v>
      </c>
      <c r="V615">
        <v>344</v>
      </c>
    </row>
    <row r="616" spans="1:22" customFormat="1" ht="15" x14ac:dyDescent="0.25">
      <c r="A616" t="s">
        <v>167</v>
      </c>
      <c r="B616" t="s">
        <v>4075</v>
      </c>
      <c r="E616" s="1515" t="s">
        <v>950</v>
      </c>
      <c r="F616" s="1549"/>
      <c r="G616" s="1516"/>
      <c r="H616" s="1516"/>
      <c r="K616" t="s">
        <v>992</v>
      </c>
      <c r="V616">
        <v>11</v>
      </c>
    </row>
    <row r="617" spans="1:22" customFormat="1" ht="15" x14ac:dyDescent="0.25">
      <c r="A617" t="s">
        <v>167</v>
      </c>
      <c r="B617" t="s">
        <v>4075</v>
      </c>
      <c r="E617" s="1516" t="s">
        <v>951</v>
      </c>
      <c r="F617" s="1516"/>
      <c r="G617" s="1516"/>
      <c r="H617" s="1516"/>
      <c r="K617" t="s">
        <v>3859</v>
      </c>
      <c r="V617">
        <v>280</v>
      </c>
    </row>
    <row r="618" spans="1:22" customFormat="1" ht="15" x14ac:dyDescent="0.25">
      <c r="A618" t="s">
        <v>167</v>
      </c>
      <c r="B618" t="s">
        <v>4075</v>
      </c>
      <c r="E618" s="1516" t="s">
        <v>952</v>
      </c>
      <c r="F618" s="1516"/>
      <c r="G618" s="1516"/>
      <c r="H618" s="1516"/>
      <c r="K618" t="s">
        <v>3859</v>
      </c>
      <c r="V618">
        <v>411</v>
      </c>
    </row>
    <row r="619" spans="1:22" customFormat="1" ht="15" x14ac:dyDescent="0.25">
      <c r="A619" t="s">
        <v>167</v>
      </c>
      <c r="B619" t="s">
        <v>4075</v>
      </c>
      <c r="E619" s="1516" t="s">
        <v>953</v>
      </c>
      <c r="F619" s="1516"/>
      <c r="G619" s="1516"/>
      <c r="H619" s="1516"/>
      <c r="K619" t="s">
        <v>3859</v>
      </c>
      <c r="V619">
        <v>386</v>
      </c>
    </row>
    <row r="620" spans="1:22" customFormat="1" ht="15" x14ac:dyDescent="0.25">
      <c r="A620" t="s">
        <v>167</v>
      </c>
      <c r="B620" t="s">
        <v>4075</v>
      </c>
      <c r="E620" s="1516" t="s">
        <v>3762</v>
      </c>
      <c r="F620" s="1516"/>
      <c r="G620" s="1516"/>
      <c r="H620" s="1516"/>
      <c r="K620" t="s">
        <v>3859</v>
      </c>
      <c r="V620">
        <v>247</v>
      </c>
    </row>
    <row r="621" spans="1:22" customFormat="1" ht="15" x14ac:dyDescent="0.25">
      <c r="A621" t="s">
        <v>167</v>
      </c>
      <c r="B621" t="s">
        <v>4075</v>
      </c>
      <c r="E621" s="1516" t="s">
        <v>4095</v>
      </c>
      <c r="F621" s="1516"/>
      <c r="G621" s="1516"/>
      <c r="H621" s="1516"/>
      <c r="K621" t="s">
        <v>3859</v>
      </c>
      <c r="V621">
        <v>92</v>
      </c>
    </row>
    <row r="622" spans="1:22" customFormat="1" ht="15" x14ac:dyDescent="0.25">
      <c r="A622" t="s">
        <v>167</v>
      </c>
      <c r="B622" t="s">
        <v>4075</v>
      </c>
      <c r="E622" s="1515" t="s">
        <v>956</v>
      </c>
      <c r="F622" s="1549"/>
      <c r="G622" s="1516"/>
      <c r="H622" s="1516"/>
      <c r="K622" t="s">
        <v>995</v>
      </c>
      <c r="V622">
        <v>46</v>
      </c>
    </row>
    <row r="623" spans="1:22" customFormat="1" ht="15" x14ac:dyDescent="0.25">
      <c r="A623" t="s">
        <v>167</v>
      </c>
      <c r="B623" t="s">
        <v>4075</v>
      </c>
      <c r="E623" s="1526" t="s">
        <v>3773</v>
      </c>
      <c r="F623" s="1507"/>
      <c r="G623" s="393" t="s">
        <v>777</v>
      </c>
      <c r="H623" s="650">
        <v>93.42</v>
      </c>
      <c r="K623" t="s">
        <v>3859</v>
      </c>
      <c r="L623" t="s">
        <v>690</v>
      </c>
      <c r="P623" t="s">
        <v>3862</v>
      </c>
      <c r="V623">
        <v>14</v>
      </c>
    </row>
    <row r="624" spans="1:22" customFormat="1" ht="15" x14ac:dyDescent="0.25">
      <c r="A624" t="s">
        <v>167</v>
      </c>
      <c r="B624" t="s">
        <v>4075</v>
      </c>
      <c r="E624" s="1526" t="s">
        <v>4078</v>
      </c>
      <c r="F624" s="1507"/>
      <c r="G624" s="393" t="s">
        <v>777</v>
      </c>
      <c r="H624" s="650">
        <v>0.09</v>
      </c>
      <c r="K624" t="s">
        <v>3859</v>
      </c>
      <c r="L624" t="s">
        <v>690</v>
      </c>
      <c r="P624" t="s">
        <v>4096</v>
      </c>
      <c r="V624">
        <v>141</v>
      </c>
    </row>
    <row r="625" spans="1:22" customFormat="1" ht="15" x14ac:dyDescent="0.25">
      <c r="A625" t="s">
        <v>167</v>
      </c>
      <c r="B625" t="s">
        <v>4075</v>
      </c>
      <c r="E625" s="1526" t="s">
        <v>4080</v>
      </c>
      <c r="F625" s="1507"/>
      <c r="G625" s="393" t="s">
        <v>777</v>
      </c>
      <c r="H625" s="650">
        <v>0.38</v>
      </c>
      <c r="K625" t="s">
        <v>3859</v>
      </c>
      <c r="L625" t="s">
        <v>690</v>
      </c>
      <c r="P625" t="s">
        <v>4097</v>
      </c>
      <c r="V625">
        <v>159</v>
      </c>
    </row>
    <row r="626" spans="1:22" customFormat="1" ht="15" x14ac:dyDescent="0.25">
      <c r="A626" t="s">
        <v>167</v>
      </c>
      <c r="B626" t="s">
        <v>4075</v>
      </c>
      <c r="E626" s="1507" t="s">
        <v>4082</v>
      </c>
      <c r="F626" s="1507"/>
      <c r="G626" s="393" t="s">
        <v>777</v>
      </c>
      <c r="H626" s="650">
        <v>0.51</v>
      </c>
      <c r="K626" t="s">
        <v>3859</v>
      </c>
      <c r="L626" t="s">
        <v>690</v>
      </c>
      <c r="P626" t="s">
        <v>4098</v>
      </c>
      <c r="V626">
        <v>140</v>
      </c>
    </row>
    <row r="627" spans="1:22" customFormat="1" ht="15" x14ac:dyDescent="0.25">
      <c r="A627" t="s">
        <v>167</v>
      </c>
      <c r="B627" t="s">
        <v>4075</v>
      </c>
      <c r="E627" s="1526" t="s">
        <v>4084</v>
      </c>
      <c r="F627" s="1507"/>
      <c r="G627" s="393" t="s">
        <v>777</v>
      </c>
      <c r="H627" s="650">
        <v>1.93</v>
      </c>
      <c r="K627" t="s">
        <v>3859</v>
      </c>
      <c r="L627" t="s">
        <v>690</v>
      </c>
      <c r="P627" t="s">
        <v>4099</v>
      </c>
      <c r="V627">
        <v>140</v>
      </c>
    </row>
    <row r="628" spans="1:22" customFormat="1" ht="15" x14ac:dyDescent="0.25">
      <c r="A628" t="s">
        <v>167</v>
      </c>
      <c r="B628" t="s">
        <v>4075</v>
      </c>
      <c r="E628" s="1526" t="s">
        <v>3688</v>
      </c>
      <c r="F628" s="1507"/>
      <c r="G628" s="393" t="s">
        <v>3775</v>
      </c>
      <c r="H628" s="650">
        <v>5.6223000000000001</v>
      </c>
      <c r="K628" t="s">
        <v>3859</v>
      </c>
      <c r="L628" t="s">
        <v>690</v>
      </c>
      <c r="P628" t="s">
        <v>3863</v>
      </c>
      <c r="V628">
        <v>28</v>
      </c>
    </row>
    <row r="629" spans="1:22" customFormat="1" ht="15" x14ac:dyDescent="0.25">
      <c r="A629" t="s">
        <v>167</v>
      </c>
      <c r="B629" t="s">
        <v>4075</v>
      </c>
      <c r="E629" s="1526" t="s">
        <v>4086</v>
      </c>
      <c r="F629" s="1507"/>
      <c r="G629" s="393" t="s">
        <v>3775</v>
      </c>
      <c r="H629" s="650">
        <v>0.23269999999999999</v>
      </c>
      <c r="K629" t="s">
        <v>3859</v>
      </c>
      <c r="L629" t="s">
        <v>692</v>
      </c>
      <c r="P629" t="s">
        <v>4100</v>
      </c>
      <c r="V629">
        <v>25</v>
      </c>
    </row>
    <row r="630" spans="1:22" customFormat="1" ht="15" x14ac:dyDescent="0.25">
      <c r="A630" t="s">
        <v>167</v>
      </c>
      <c r="B630" t="s">
        <v>4075</v>
      </c>
      <c r="E630" s="1526" t="s">
        <v>6519</v>
      </c>
      <c r="F630" s="1510"/>
      <c r="G630" s="393" t="s">
        <v>845</v>
      </c>
      <c r="H630" s="650">
        <v>3.0999999999999999E-3</v>
      </c>
      <c r="K630" t="s">
        <v>3859</v>
      </c>
      <c r="L630" t="s">
        <v>692</v>
      </c>
      <c r="P630" t="s">
        <v>4101</v>
      </c>
      <c r="T630">
        <v>46022</v>
      </c>
      <c r="V630">
        <v>142</v>
      </c>
    </row>
    <row r="631" spans="1:22" customFormat="1" ht="15" x14ac:dyDescent="0.25">
      <c r="A631" t="s">
        <v>167</v>
      </c>
      <c r="B631" t="s">
        <v>4075</v>
      </c>
      <c r="E631" s="1526" t="s">
        <v>6520</v>
      </c>
      <c r="F631" s="1510"/>
      <c r="G631" s="393" t="s">
        <v>3775</v>
      </c>
      <c r="H631" s="650">
        <v>0.36020000000000002</v>
      </c>
      <c r="K631" t="s">
        <v>3859</v>
      </c>
      <c r="L631" t="s">
        <v>692</v>
      </c>
      <c r="P631" t="s">
        <v>4103</v>
      </c>
      <c r="T631">
        <v>46022</v>
      </c>
      <c r="V631">
        <v>99</v>
      </c>
    </row>
    <row r="632" spans="1:22" customFormat="1" ht="15" x14ac:dyDescent="0.25">
      <c r="A632" t="s">
        <v>167</v>
      </c>
      <c r="B632" t="s">
        <v>4075</v>
      </c>
      <c r="E632" s="1526" t="s">
        <v>6521</v>
      </c>
      <c r="F632" s="1510"/>
      <c r="G632" s="393" t="s">
        <v>3775</v>
      </c>
      <c r="H632" s="650">
        <v>8.4000000000000005E-2</v>
      </c>
      <c r="K632" t="s">
        <v>3859</v>
      </c>
      <c r="L632" t="s">
        <v>692</v>
      </c>
      <c r="P632" t="s">
        <v>4104</v>
      </c>
      <c r="T632">
        <v>46022</v>
      </c>
      <c r="V632">
        <v>149</v>
      </c>
    </row>
    <row r="633" spans="1:22" customFormat="1" ht="15" x14ac:dyDescent="0.25">
      <c r="A633" t="s">
        <v>167</v>
      </c>
      <c r="B633" t="s">
        <v>4075</v>
      </c>
      <c r="E633" s="1526" t="s">
        <v>4078</v>
      </c>
      <c r="F633" s="1507"/>
      <c r="G633" s="393" t="s">
        <v>3775</v>
      </c>
      <c r="H633" s="650">
        <v>5.4000000000000003E-3</v>
      </c>
      <c r="K633" t="s">
        <v>3859</v>
      </c>
      <c r="L633" t="s">
        <v>690</v>
      </c>
      <c r="P633" t="s">
        <v>6534</v>
      </c>
      <c r="V633">
        <v>141</v>
      </c>
    </row>
    <row r="634" spans="1:22" customFormat="1" ht="15" x14ac:dyDescent="0.25">
      <c r="A634" t="s">
        <v>167</v>
      </c>
      <c r="B634" t="s">
        <v>4075</v>
      </c>
      <c r="E634" s="1507" t="s">
        <v>4080</v>
      </c>
      <c r="F634" s="1507"/>
      <c r="G634" s="393" t="s">
        <v>3775</v>
      </c>
      <c r="H634" s="650">
        <v>2.2599999999999999E-2</v>
      </c>
      <c r="K634" t="s">
        <v>3859</v>
      </c>
      <c r="L634" t="s">
        <v>690</v>
      </c>
      <c r="P634" t="s">
        <v>6535</v>
      </c>
      <c r="V634">
        <v>159</v>
      </c>
    </row>
    <row r="635" spans="1:22" customFormat="1" ht="15" x14ac:dyDescent="0.25">
      <c r="A635" t="s">
        <v>167</v>
      </c>
      <c r="B635" t="s">
        <v>4075</v>
      </c>
      <c r="E635" s="1507" t="s">
        <v>4082</v>
      </c>
      <c r="F635" s="1507"/>
      <c r="G635" s="393" t="s">
        <v>3775</v>
      </c>
      <c r="H635" s="650">
        <v>3.0800000000000001E-2</v>
      </c>
      <c r="K635" t="s">
        <v>3859</v>
      </c>
      <c r="L635" t="s">
        <v>690</v>
      </c>
      <c r="P635" t="s">
        <v>6536</v>
      </c>
      <c r="V635">
        <v>140</v>
      </c>
    </row>
    <row r="636" spans="1:22" customFormat="1" ht="15" x14ac:dyDescent="0.25">
      <c r="A636" t="s">
        <v>167</v>
      </c>
      <c r="B636" t="s">
        <v>4075</v>
      </c>
      <c r="E636" s="1526" t="s">
        <v>4084</v>
      </c>
      <c r="F636" s="1507"/>
      <c r="G636" s="393" t="s">
        <v>3775</v>
      </c>
      <c r="H636" s="650">
        <v>0.1163</v>
      </c>
      <c r="K636" t="s">
        <v>3859</v>
      </c>
      <c r="L636" t="s">
        <v>690</v>
      </c>
      <c r="P636" t="s">
        <v>4105</v>
      </c>
      <c r="V636">
        <v>140</v>
      </c>
    </row>
    <row r="637" spans="1:22" customFormat="1" ht="15" x14ac:dyDescent="0.25">
      <c r="A637" t="s">
        <v>167</v>
      </c>
      <c r="B637" t="s">
        <v>4075</v>
      </c>
      <c r="E637" s="1526" t="s">
        <v>6524</v>
      </c>
      <c r="F637" s="1507"/>
      <c r="G637" s="393" t="s">
        <v>3775</v>
      </c>
      <c r="H637" s="650">
        <v>0.28029999999999999</v>
      </c>
      <c r="K637" t="s">
        <v>3859</v>
      </c>
      <c r="L637" t="s">
        <v>690</v>
      </c>
      <c r="P637" t="s">
        <v>4102</v>
      </c>
      <c r="T637">
        <v>46022</v>
      </c>
      <c r="V637">
        <v>150</v>
      </c>
    </row>
    <row r="638" spans="1:22" customFormat="1" ht="15" x14ac:dyDescent="0.25">
      <c r="A638" t="s">
        <v>167</v>
      </c>
      <c r="B638" t="s">
        <v>4075</v>
      </c>
      <c r="E638" s="1526" t="s">
        <v>243</v>
      </c>
      <c r="F638" s="1507"/>
      <c r="G638" s="393" t="s">
        <v>3775</v>
      </c>
      <c r="H638" s="650">
        <v>4.7321999999999997</v>
      </c>
      <c r="K638" t="s">
        <v>3859</v>
      </c>
      <c r="L638" t="s">
        <v>694</v>
      </c>
      <c r="P638" t="s">
        <v>3864</v>
      </c>
      <c r="V638">
        <v>47</v>
      </c>
    </row>
    <row r="639" spans="1:22" customFormat="1" ht="15" x14ac:dyDescent="0.25">
      <c r="A639" t="s">
        <v>167</v>
      </c>
      <c r="B639" t="s">
        <v>4075</v>
      </c>
      <c r="E639" s="1526" t="s">
        <v>175</v>
      </c>
      <c r="F639" s="1507"/>
      <c r="G639" s="393" t="s">
        <v>3775</v>
      </c>
      <c r="H639" s="650">
        <v>3.5455000000000001</v>
      </c>
      <c r="K639" t="s">
        <v>3859</v>
      </c>
      <c r="L639" t="s">
        <v>694</v>
      </c>
      <c r="P639" t="s">
        <v>3865</v>
      </c>
      <c r="V639">
        <v>74</v>
      </c>
    </row>
    <row r="640" spans="1:22" customFormat="1" ht="15" x14ac:dyDescent="0.25">
      <c r="A640" t="s">
        <v>167</v>
      </c>
      <c r="B640" t="s">
        <v>4075</v>
      </c>
      <c r="E640" s="1515" t="s">
        <v>967</v>
      </c>
      <c r="F640" s="1507"/>
      <c r="G640" s="584"/>
      <c r="H640" s="584"/>
      <c r="K640" t="s">
        <v>1003</v>
      </c>
      <c r="V640">
        <v>48</v>
      </c>
    </row>
    <row r="641" spans="1:22" customFormat="1" ht="15" x14ac:dyDescent="0.25">
      <c r="A641" t="s">
        <v>167</v>
      </c>
      <c r="B641" t="s">
        <v>4075</v>
      </c>
      <c r="E641" s="1507" t="s">
        <v>844</v>
      </c>
      <c r="F641" s="1507"/>
      <c r="G641" s="584" t="s">
        <v>845</v>
      </c>
      <c r="H641" s="650">
        <v>4.1000000000000003E-3</v>
      </c>
      <c r="K641" t="s">
        <v>3859</v>
      </c>
      <c r="L641" t="s">
        <v>968</v>
      </c>
      <c r="P641" t="s">
        <v>3866</v>
      </c>
      <c r="V641">
        <v>55</v>
      </c>
    </row>
    <row r="642" spans="1:22" customFormat="1" ht="15" x14ac:dyDescent="0.25">
      <c r="A642" t="s">
        <v>167</v>
      </c>
      <c r="B642" t="s">
        <v>4075</v>
      </c>
      <c r="E642" s="1526" t="s">
        <v>846</v>
      </c>
      <c r="F642" s="1507"/>
      <c r="G642" s="584" t="s">
        <v>845</v>
      </c>
      <c r="H642" s="650">
        <v>4.0000000000000002E-4</v>
      </c>
      <c r="K642" t="s">
        <v>3859</v>
      </c>
      <c r="L642" t="s">
        <v>968</v>
      </c>
      <c r="P642" t="s">
        <v>3866</v>
      </c>
      <c r="V642">
        <v>65</v>
      </c>
    </row>
    <row r="643" spans="1:22" customFormat="1" ht="15" x14ac:dyDescent="0.25">
      <c r="A643" t="s">
        <v>167</v>
      </c>
      <c r="B643" t="s">
        <v>4075</v>
      </c>
      <c r="E643" s="1507" t="s">
        <v>847</v>
      </c>
      <c r="F643" s="1507"/>
      <c r="G643" s="584" t="s">
        <v>845</v>
      </c>
      <c r="H643" s="650">
        <v>1.5E-3</v>
      </c>
      <c r="K643" t="s">
        <v>3859</v>
      </c>
      <c r="L643" t="s">
        <v>968</v>
      </c>
      <c r="P643" t="s">
        <v>3867</v>
      </c>
      <c r="V643">
        <v>57</v>
      </c>
    </row>
    <row r="644" spans="1:22" customFormat="1" ht="15" x14ac:dyDescent="0.25">
      <c r="A644" t="s">
        <v>167</v>
      </c>
      <c r="B644" t="s">
        <v>4075</v>
      </c>
      <c r="E644" s="1507" t="s">
        <v>848</v>
      </c>
      <c r="F644" s="1507"/>
      <c r="G644" s="584" t="s">
        <v>777</v>
      </c>
      <c r="H644" s="650">
        <v>0.25</v>
      </c>
      <c r="K644" t="s">
        <v>3859</v>
      </c>
      <c r="L644" t="s">
        <v>968</v>
      </c>
      <c r="P644" t="s">
        <v>3868</v>
      </c>
      <c r="V644">
        <v>63</v>
      </c>
    </row>
    <row r="645" spans="1:22" customFormat="1" x14ac:dyDescent="0.25">
      <c r="A645" t="s">
        <v>167</v>
      </c>
      <c r="B645" t="s">
        <v>4075</v>
      </c>
      <c r="E645" s="1492" t="s">
        <v>184</v>
      </c>
      <c r="F645" s="1492"/>
      <c r="G645" s="1493"/>
      <c r="H645" s="1493"/>
      <c r="K645" t="s">
        <v>4106</v>
      </c>
      <c r="V645">
        <v>54</v>
      </c>
    </row>
    <row r="646" spans="1:22" customFormat="1" ht="15" x14ac:dyDescent="0.25">
      <c r="A646" t="s">
        <v>167</v>
      </c>
      <c r="B646" t="s">
        <v>4075</v>
      </c>
      <c r="E646" s="1516" t="s">
        <v>4107</v>
      </c>
      <c r="F646" s="1516"/>
      <c r="G646" s="1516"/>
      <c r="H646" s="1516"/>
      <c r="K646" t="s">
        <v>4106</v>
      </c>
      <c r="V646">
        <v>359</v>
      </c>
    </row>
    <row r="647" spans="1:22" customFormat="1" ht="15" x14ac:dyDescent="0.25">
      <c r="A647" t="s">
        <v>167</v>
      </c>
      <c r="B647" t="s">
        <v>4075</v>
      </c>
      <c r="E647" s="1515" t="s">
        <v>950</v>
      </c>
      <c r="F647" s="1549"/>
      <c r="G647" s="1516"/>
      <c r="H647" s="1516"/>
      <c r="K647" t="s">
        <v>1010</v>
      </c>
      <c r="V647">
        <v>11</v>
      </c>
    </row>
    <row r="648" spans="1:22" customFormat="1" ht="15" x14ac:dyDescent="0.25">
      <c r="A648" t="s">
        <v>167</v>
      </c>
      <c r="B648" t="s">
        <v>4075</v>
      </c>
      <c r="E648" s="1516" t="s">
        <v>951</v>
      </c>
      <c r="F648" s="1516"/>
      <c r="G648" s="1516"/>
      <c r="H648" s="1516"/>
      <c r="K648" t="s">
        <v>4106</v>
      </c>
      <c r="V648">
        <v>280</v>
      </c>
    </row>
    <row r="649" spans="1:22" customFormat="1" ht="15" x14ac:dyDescent="0.25">
      <c r="A649" t="s">
        <v>167</v>
      </c>
      <c r="B649" t="s">
        <v>4075</v>
      </c>
      <c r="E649" s="1516" t="s">
        <v>952</v>
      </c>
      <c r="F649" s="1516"/>
      <c r="G649" s="1516"/>
      <c r="H649" s="1516"/>
      <c r="K649" t="s">
        <v>4106</v>
      </c>
      <c r="V649">
        <v>411</v>
      </c>
    </row>
    <row r="650" spans="1:22" customFormat="1" ht="15" x14ac:dyDescent="0.25">
      <c r="A650" t="s">
        <v>167</v>
      </c>
      <c r="B650" t="s">
        <v>4075</v>
      </c>
      <c r="E650" s="1516" t="s">
        <v>953</v>
      </c>
      <c r="F650" s="1516"/>
      <c r="G650" s="1516"/>
      <c r="H650" s="1516"/>
      <c r="K650" t="s">
        <v>4106</v>
      </c>
      <c r="V650">
        <v>386</v>
      </c>
    </row>
    <row r="651" spans="1:22" customFormat="1" ht="15" x14ac:dyDescent="0.25">
      <c r="A651" t="s">
        <v>167</v>
      </c>
      <c r="B651" t="s">
        <v>4075</v>
      </c>
      <c r="E651" s="1516" t="s">
        <v>3771</v>
      </c>
      <c r="F651" s="1516"/>
      <c r="G651" s="1516"/>
      <c r="H651" s="1516"/>
      <c r="K651" t="s">
        <v>4106</v>
      </c>
      <c r="V651">
        <v>677</v>
      </c>
    </row>
    <row r="652" spans="1:22" customFormat="1" ht="15" x14ac:dyDescent="0.25">
      <c r="A652" t="s">
        <v>167</v>
      </c>
      <c r="B652" t="s">
        <v>4075</v>
      </c>
      <c r="E652" s="1516" t="s">
        <v>994</v>
      </c>
      <c r="F652" s="1516"/>
      <c r="G652" s="1516"/>
      <c r="H652" s="1516"/>
      <c r="K652" t="s">
        <v>4106</v>
      </c>
      <c r="V652">
        <v>725</v>
      </c>
    </row>
    <row r="653" spans="1:22" customFormat="1" ht="15" x14ac:dyDescent="0.25">
      <c r="A653" t="s">
        <v>167</v>
      </c>
      <c r="B653" t="s">
        <v>4075</v>
      </c>
      <c r="E653" s="1516" t="s">
        <v>3762</v>
      </c>
      <c r="F653" s="1516"/>
      <c r="G653" s="1516"/>
      <c r="H653" s="1516"/>
      <c r="K653" t="s">
        <v>4106</v>
      </c>
      <c r="V653">
        <v>247</v>
      </c>
    </row>
    <row r="654" spans="1:22" customFormat="1" ht="15" x14ac:dyDescent="0.25">
      <c r="A654" t="s">
        <v>167</v>
      </c>
      <c r="B654" t="s">
        <v>4075</v>
      </c>
      <c r="E654" s="1516" t="s">
        <v>4095</v>
      </c>
      <c r="F654" s="1516"/>
      <c r="G654" s="1516"/>
      <c r="H654" s="1516"/>
      <c r="K654" t="s">
        <v>4106</v>
      </c>
      <c r="V654">
        <v>92</v>
      </c>
    </row>
    <row r="655" spans="1:22" customFormat="1" ht="15" x14ac:dyDescent="0.25">
      <c r="A655" t="s">
        <v>167</v>
      </c>
      <c r="B655" t="s">
        <v>4075</v>
      </c>
      <c r="E655" s="1515" t="s">
        <v>956</v>
      </c>
      <c r="F655" s="1549"/>
      <c r="G655" s="1516"/>
      <c r="H655" s="1516"/>
      <c r="K655" t="s">
        <v>1011</v>
      </c>
      <c r="V655">
        <v>46</v>
      </c>
    </row>
    <row r="656" spans="1:22" customFormat="1" ht="15" x14ac:dyDescent="0.25">
      <c r="A656" t="s">
        <v>167</v>
      </c>
      <c r="B656" t="s">
        <v>4075</v>
      </c>
      <c r="E656" s="1526" t="s">
        <v>3773</v>
      </c>
      <c r="F656" s="1507"/>
      <c r="G656" s="393" t="s">
        <v>777</v>
      </c>
      <c r="H656" s="650">
        <v>2127.4</v>
      </c>
      <c r="K656" t="s">
        <v>4106</v>
      </c>
      <c r="L656" t="s">
        <v>690</v>
      </c>
      <c r="P656" t="s">
        <v>4108</v>
      </c>
      <c r="V656">
        <v>14</v>
      </c>
    </row>
    <row r="657" spans="1:22" customFormat="1" ht="15" x14ac:dyDescent="0.25">
      <c r="A657" t="s">
        <v>167</v>
      </c>
      <c r="B657" t="s">
        <v>4075</v>
      </c>
      <c r="E657" s="1526" t="s">
        <v>4078</v>
      </c>
      <c r="F657" s="1507"/>
      <c r="G657" s="393" t="s">
        <v>777</v>
      </c>
      <c r="H657" s="650">
        <v>2.0499999999999998</v>
      </c>
      <c r="K657" t="s">
        <v>4106</v>
      </c>
      <c r="L657" t="s">
        <v>690</v>
      </c>
      <c r="P657" t="s">
        <v>4109</v>
      </c>
      <c r="V657">
        <v>141</v>
      </c>
    </row>
    <row r="658" spans="1:22" customFormat="1" ht="15" x14ac:dyDescent="0.25">
      <c r="A658" t="s">
        <v>167</v>
      </c>
      <c r="B658" t="s">
        <v>4075</v>
      </c>
      <c r="E658" s="1507" t="s">
        <v>4080</v>
      </c>
      <c r="F658" s="1507"/>
      <c r="G658" s="393" t="s">
        <v>777</v>
      </c>
      <c r="H658" s="650">
        <v>8.5399999999999991</v>
      </c>
      <c r="K658" t="s">
        <v>4106</v>
      </c>
      <c r="L658" t="s">
        <v>690</v>
      </c>
      <c r="P658" t="s">
        <v>4110</v>
      </c>
      <c r="V658">
        <v>159</v>
      </c>
    </row>
    <row r="659" spans="1:22" customFormat="1" ht="15" x14ac:dyDescent="0.25">
      <c r="A659" t="s">
        <v>167</v>
      </c>
      <c r="B659" t="s">
        <v>4075</v>
      </c>
      <c r="E659" s="1507" t="s">
        <v>4082</v>
      </c>
      <c r="F659" s="1507"/>
      <c r="G659" s="393" t="s">
        <v>777</v>
      </c>
      <c r="H659" s="650">
        <v>11.65</v>
      </c>
      <c r="K659" t="s">
        <v>4106</v>
      </c>
      <c r="L659" t="s">
        <v>690</v>
      </c>
      <c r="P659" t="s">
        <v>4111</v>
      </c>
      <c r="V659">
        <v>140</v>
      </c>
    </row>
    <row r="660" spans="1:22" customFormat="1" ht="15" x14ac:dyDescent="0.25">
      <c r="A660" t="s">
        <v>167</v>
      </c>
      <c r="B660" t="s">
        <v>4075</v>
      </c>
      <c r="E660" s="1526" t="s">
        <v>4084</v>
      </c>
      <c r="F660" s="1507"/>
      <c r="G660" s="393" t="s">
        <v>777</v>
      </c>
      <c r="H660" s="650">
        <v>44</v>
      </c>
      <c r="K660" t="s">
        <v>4106</v>
      </c>
      <c r="L660" t="s">
        <v>690</v>
      </c>
      <c r="P660" t="s">
        <v>4112</v>
      </c>
      <c r="V660">
        <v>140</v>
      </c>
    </row>
    <row r="661" spans="1:22" customFormat="1" ht="15" x14ac:dyDescent="0.25">
      <c r="A661" t="s">
        <v>167</v>
      </c>
      <c r="B661" t="s">
        <v>4075</v>
      </c>
      <c r="E661" s="1526" t="s">
        <v>3688</v>
      </c>
      <c r="F661" s="1507"/>
      <c r="G661" s="393" t="s">
        <v>3775</v>
      </c>
      <c r="H661" s="650">
        <v>2.8929999999999998</v>
      </c>
      <c r="K661" t="s">
        <v>4106</v>
      </c>
      <c r="L661" t="s">
        <v>690</v>
      </c>
      <c r="P661" t="s">
        <v>4113</v>
      </c>
      <c r="V661">
        <v>28</v>
      </c>
    </row>
    <row r="662" spans="1:22" customFormat="1" ht="15" x14ac:dyDescent="0.25">
      <c r="A662" t="s">
        <v>167</v>
      </c>
      <c r="B662" t="s">
        <v>4075</v>
      </c>
      <c r="E662" s="1526" t="s">
        <v>4086</v>
      </c>
      <c r="F662" s="1507"/>
      <c r="G662" s="393" t="s">
        <v>3775</v>
      </c>
      <c r="H662" s="650">
        <v>0.22770000000000001</v>
      </c>
      <c r="K662" t="s">
        <v>4106</v>
      </c>
      <c r="L662" t="s">
        <v>692</v>
      </c>
      <c r="P662" t="s">
        <v>4114</v>
      </c>
      <c r="V662">
        <v>25</v>
      </c>
    </row>
    <row r="663" spans="1:22" customFormat="1" ht="15" x14ac:dyDescent="0.25">
      <c r="A663" t="s">
        <v>167</v>
      </c>
      <c r="B663" t="s">
        <v>4075</v>
      </c>
      <c r="E663" s="1526" t="s">
        <v>6519</v>
      </c>
      <c r="F663" s="1510"/>
      <c r="G663" s="393" t="s">
        <v>845</v>
      </c>
      <c r="H663" s="650">
        <v>3.0999999999999999E-3</v>
      </c>
      <c r="K663" t="s">
        <v>4106</v>
      </c>
      <c r="L663" t="s">
        <v>692</v>
      </c>
      <c r="P663" t="s">
        <v>4115</v>
      </c>
      <c r="T663">
        <v>46022</v>
      </c>
      <c r="V663">
        <v>142</v>
      </c>
    </row>
    <row r="664" spans="1:22" customFormat="1" ht="15" x14ac:dyDescent="0.25">
      <c r="A664" t="s">
        <v>167</v>
      </c>
      <c r="B664" t="s">
        <v>4075</v>
      </c>
      <c r="E664" s="1526" t="s">
        <v>6525</v>
      </c>
      <c r="F664" s="1510"/>
      <c r="G664" s="393" t="s">
        <v>3775</v>
      </c>
      <c r="H664" s="650">
        <v>-0.3579</v>
      </c>
      <c r="K664" t="s">
        <v>4106</v>
      </c>
      <c r="L664" t="s">
        <v>692</v>
      </c>
      <c r="P664" t="s">
        <v>4117</v>
      </c>
      <c r="T664">
        <v>46022</v>
      </c>
      <c r="V664">
        <v>159</v>
      </c>
    </row>
    <row r="665" spans="1:22" customFormat="1" ht="15" x14ac:dyDescent="0.25">
      <c r="A665" t="s">
        <v>167</v>
      </c>
      <c r="B665" t="s">
        <v>4075</v>
      </c>
      <c r="E665" s="1526" t="s">
        <v>6520</v>
      </c>
      <c r="F665" s="1510"/>
      <c r="G665" s="393" t="s">
        <v>3775</v>
      </c>
      <c r="H665" s="650">
        <v>0.81440000000000001</v>
      </c>
      <c r="K665" t="s">
        <v>4106</v>
      </c>
      <c r="L665" t="s">
        <v>692</v>
      </c>
      <c r="P665" t="s">
        <v>4117</v>
      </c>
      <c r="T665">
        <v>46022</v>
      </c>
      <c r="V665">
        <v>99</v>
      </c>
    </row>
    <row r="666" spans="1:22" customFormat="1" ht="15" x14ac:dyDescent="0.25">
      <c r="A666" t="s">
        <v>167</v>
      </c>
      <c r="B666" t="s">
        <v>4075</v>
      </c>
      <c r="E666" s="1526" t="s">
        <v>6521</v>
      </c>
      <c r="F666" s="1510"/>
      <c r="G666" s="393" t="s">
        <v>3775</v>
      </c>
      <c r="H666" s="650">
        <v>8.8999999999999996E-2</v>
      </c>
      <c r="K666" t="s">
        <v>4106</v>
      </c>
      <c r="L666" t="s">
        <v>692</v>
      </c>
      <c r="P666" t="s">
        <v>4118</v>
      </c>
      <c r="T666">
        <v>46022</v>
      </c>
      <c r="V666">
        <v>149</v>
      </c>
    </row>
    <row r="667" spans="1:22" customFormat="1" ht="15" x14ac:dyDescent="0.25">
      <c r="A667" t="s">
        <v>167</v>
      </c>
      <c r="B667" t="s">
        <v>4075</v>
      </c>
      <c r="E667" s="1526" t="s">
        <v>4078</v>
      </c>
      <c r="F667" s="1507"/>
      <c r="G667" s="393" t="s">
        <v>3775</v>
      </c>
      <c r="H667" s="650">
        <v>2.8E-3</v>
      </c>
      <c r="K667" t="s">
        <v>4106</v>
      </c>
      <c r="L667" t="s">
        <v>690</v>
      </c>
      <c r="P667" t="s">
        <v>6537</v>
      </c>
      <c r="V667">
        <v>141</v>
      </c>
    </row>
    <row r="668" spans="1:22" customFormat="1" ht="15" x14ac:dyDescent="0.25">
      <c r="A668" t="s">
        <v>167</v>
      </c>
      <c r="B668" t="s">
        <v>4075</v>
      </c>
      <c r="E668" s="1507" t="s">
        <v>4080</v>
      </c>
      <c r="F668" s="1507"/>
      <c r="G668" s="393" t="s">
        <v>3775</v>
      </c>
      <c r="H668" s="650">
        <v>1.1599999999999999E-2</v>
      </c>
      <c r="K668" t="s">
        <v>4106</v>
      </c>
      <c r="L668" t="s">
        <v>690</v>
      </c>
      <c r="P668" t="s">
        <v>6538</v>
      </c>
      <c r="V668">
        <v>159</v>
      </c>
    </row>
    <row r="669" spans="1:22" customFormat="1" ht="15" x14ac:dyDescent="0.25">
      <c r="A669" t="s">
        <v>167</v>
      </c>
      <c r="B669" t="s">
        <v>4075</v>
      </c>
      <c r="E669" s="1507" t="s">
        <v>4082</v>
      </c>
      <c r="F669" s="1507"/>
      <c r="G669" s="393" t="s">
        <v>3775</v>
      </c>
      <c r="H669" s="650">
        <v>1.5800000000000002E-2</v>
      </c>
      <c r="K669" t="s">
        <v>4106</v>
      </c>
      <c r="L669" t="s">
        <v>690</v>
      </c>
      <c r="P669" t="s">
        <v>6539</v>
      </c>
      <c r="V669">
        <v>140</v>
      </c>
    </row>
    <row r="670" spans="1:22" customFormat="1" ht="15" x14ac:dyDescent="0.25">
      <c r="A670" t="s">
        <v>167</v>
      </c>
      <c r="B670" t="s">
        <v>4075</v>
      </c>
      <c r="E670" s="1526" t="s">
        <v>4084</v>
      </c>
      <c r="F670" s="1507"/>
      <c r="G670" s="393" t="s">
        <v>3775</v>
      </c>
      <c r="H670" s="650">
        <v>5.9799999999999999E-2</v>
      </c>
      <c r="K670" t="s">
        <v>4106</v>
      </c>
      <c r="L670" t="s">
        <v>690</v>
      </c>
      <c r="P670" t="s">
        <v>6540</v>
      </c>
      <c r="V670">
        <v>140</v>
      </c>
    </row>
    <row r="671" spans="1:22" customFormat="1" ht="15" x14ac:dyDescent="0.25">
      <c r="A671" t="s">
        <v>167</v>
      </c>
      <c r="B671" t="s">
        <v>4075</v>
      </c>
      <c r="E671" s="1526" t="s">
        <v>6524</v>
      </c>
      <c r="F671" s="1507"/>
      <c r="G671" s="393" t="s">
        <v>3775</v>
      </c>
      <c r="H671" s="650">
        <v>0.15260000000000001</v>
      </c>
      <c r="K671" t="s">
        <v>4106</v>
      </c>
      <c r="L671" t="s">
        <v>690</v>
      </c>
      <c r="P671" t="s">
        <v>4116</v>
      </c>
      <c r="T671">
        <v>46022</v>
      </c>
      <c r="V671">
        <v>150</v>
      </c>
    </row>
    <row r="672" spans="1:22" customFormat="1" ht="15" x14ac:dyDescent="0.25">
      <c r="A672" t="s">
        <v>167</v>
      </c>
      <c r="B672" t="s">
        <v>4075</v>
      </c>
      <c r="E672" s="1526" t="s">
        <v>4119</v>
      </c>
      <c r="F672" s="1507"/>
      <c r="G672" s="393" t="s">
        <v>3775</v>
      </c>
      <c r="H672" s="650">
        <v>4.5782999999999996</v>
      </c>
      <c r="K672" t="s">
        <v>4106</v>
      </c>
      <c r="L672" t="s">
        <v>694</v>
      </c>
      <c r="P672" t="s">
        <v>4120</v>
      </c>
      <c r="V672">
        <v>48</v>
      </c>
    </row>
    <row r="673" spans="1:22" customFormat="1" ht="15" x14ac:dyDescent="0.25">
      <c r="A673" t="s">
        <v>167</v>
      </c>
      <c r="B673" t="s">
        <v>4075</v>
      </c>
      <c r="E673" s="1526" t="s">
        <v>4121</v>
      </c>
      <c r="F673" s="1507"/>
      <c r="G673" s="393" t="s">
        <v>3775</v>
      </c>
      <c r="H673" s="650">
        <v>3.4695999999999998</v>
      </c>
      <c r="K673" t="s">
        <v>4106</v>
      </c>
      <c r="L673" t="s">
        <v>694</v>
      </c>
      <c r="P673" t="s">
        <v>4122</v>
      </c>
      <c r="V673">
        <v>75</v>
      </c>
    </row>
    <row r="674" spans="1:22" customFormat="1" ht="15" x14ac:dyDescent="0.25">
      <c r="A674" t="s">
        <v>167</v>
      </c>
      <c r="B674" t="s">
        <v>4075</v>
      </c>
      <c r="E674" s="1515" t="s">
        <v>967</v>
      </c>
      <c r="F674" s="1507"/>
      <c r="G674" s="584"/>
      <c r="H674" s="584"/>
      <c r="K674" t="s">
        <v>1019</v>
      </c>
      <c r="V674">
        <v>48</v>
      </c>
    </row>
    <row r="675" spans="1:22" customFormat="1" ht="15" x14ac:dyDescent="0.25">
      <c r="A675" t="s">
        <v>167</v>
      </c>
      <c r="B675" t="s">
        <v>4075</v>
      </c>
      <c r="E675" s="1507" t="s">
        <v>844</v>
      </c>
      <c r="F675" s="1507"/>
      <c r="G675" s="584" t="s">
        <v>845</v>
      </c>
      <c r="H675" s="650">
        <v>4.1000000000000003E-3</v>
      </c>
      <c r="K675" t="s">
        <v>4106</v>
      </c>
      <c r="L675" t="s">
        <v>968</v>
      </c>
      <c r="P675" t="s">
        <v>4123</v>
      </c>
      <c r="V675">
        <v>55</v>
      </c>
    </row>
    <row r="676" spans="1:22" customFormat="1" ht="15" x14ac:dyDescent="0.25">
      <c r="A676" t="s">
        <v>167</v>
      </c>
      <c r="B676" t="s">
        <v>4075</v>
      </c>
      <c r="E676" s="1526" t="s">
        <v>846</v>
      </c>
      <c r="F676" s="1507"/>
      <c r="G676" s="584" t="s">
        <v>845</v>
      </c>
      <c r="H676" s="650">
        <v>4.0000000000000002E-4</v>
      </c>
      <c r="K676" t="s">
        <v>4106</v>
      </c>
      <c r="L676" t="s">
        <v>968</v>
      </c>
      <c r="P676" t="s">
        <v>4123</v>
      </c>
      <c r="V676">
        <v>65</v>
      </c>
    </row>
    <row r="677" spans="1:22" customFormat="1" ht="15" x14ac:dyDescent="0.25">
      <c r="A677" t="s">
        <v>167</v>
      </c>
      <c r="B677" t="s">
        <v>4075</v>
      </c>
      <c r="E677" s="1507" t="s">
        <v>847</v>
      </c>
      <c r="F677" s="1507"/>
      <c r="G677" s="584" t="s">
        <v>845</v>
      </c>
      <c r="H677" s="650">
        <v>1.5E-3</v>
      </c>
      <c r="K677" t="s">
        <v>4106</v>
      </c>
      <c r="L677" t="s">
        <v>968</v>
      </c>
      <c r="P677" t="s">
        <v>4124</v>
      </c>
      <c r="V677">
        <v>57</v>
      </c>
    </row>
    <row r="678" spans="1:22" customFormat="1" ht="15" x14ac:dyDescent="0.25">
      <c r="A678" t="s">
        <v>167</v>
      </c>
      <c r="B678" t="s">
        <v>4075</v>
      </c>
      <c r="E678" s="1507" t="s">
        <v>848</v>
      </c>
      <c r="F678" s="1507"/>
      <c r="G678" s="584" t="s">
        <v>777</v>
      </c>
      <c r="H678" s="650">
        <v>0.25</v>
      </c>
      <c r="K678" t="s">
        <v>4106</v>
      </c>
      <c r="L678" t="s">
        <v>968</v>
      </c>
      <c r="P678" t="s">
        <v>4125</v>
      </c>
      <c r="V678">
        <v>63</v>
      </c>
    </row>
    <row r="679" spans="1:22" customFormat="1" x14ac:dyDescent="0.25">
      <c r="A679" t="s">
        <v>167</v>
      </c>
      <c r="B679" t="s">
        <v>4075</v>
      </c>
      <c r="E679" s="1492" t="s">
        <v>189</v>
      </c>
      <c r="F679" s="1492"/>
      <c r="G679" s="1493"/>
      <c r="H679" s="1493"/>
      <c r="K679" t="s">
        <v>3967</v>
      </c>
      <c r="V679">
        <v>32</v>
      </c>
    </row>
    <row r="680" spans="1:22" customFormat="1" ht="15" x14ac:dyDescent="0.25">
      <c r="A680" t="s">
        <v>167</v>
      </c>
      <c r="B680" t="s">
        <v>4075</v>
      </c>
      <c r="E680" s="1516" t="s">
        <v>4126</v>
      </c>
      <c r="F680" s="1516"/>
      <c r="G680" s="1516"/>
      <c r="H680" s="1516"/>
      <c r="K680" t="s">
        <v>3967</v>
      </c>
      <c r="V680">
        <v>323</v>
      </c>
    </row>
    <row r="681" spans="1:22" customFormat="1" ht="15" x14ac:dyDescent="0.25">
      <c r="A681" t="s">
        <v>167</v>
      </c>
      <c r="B681" t="s">
        <v>4075</v>
      </c>
      <c r="E681" s="1515" t="s">
        <v>950</v>
      </c>
      <c r="F681" s="1549"/>
      <c r="G681" s="1516"/>
      <c r="H681" s="1516"/>
      <c r="K681" t="s">
        <v>1025</v>
      </c>
      <c r="V681">
        <v>11</v>
      </c>
    </row>
    <row r="682" spans="1:22" customFormat="1" ht="15" x14ac:dyDescent="0.25">
      <c r="A682" t="s">
        <v>167</v>
      </c>
      <c r="B682" t="s">
        <v>4075</v>
      </c>
      <c r="E682" s="1516" t="s">
        <v>951</v>
      </c>
      <c r="F682" s="1516"/>
      <c r="G682" s="1516"/>
      <c r="H682" s="1516"/>
      <c r="K682" t="s">
        <v>3967</v>
      </c>
      <c r="V682">
        <v>280</v>
      </c>
    </row>
    <row r="683" spans="1:22" customFormat="1" ht="15" x14ac:dyDescent="0.25">
      <c r="A683" t="s">
        <v>167</v>
      </c>
      <c r="B683" t="s">
        <v>4075</v>
      </c>
      <c r="E683" s="1516" t="s">
        <v>952</v>
      </c>
      <c r="F683" s="1516"/>
      <c r="G683" s="1516"/>
      <c r="H683" s="1516"/>
      <c r="K683" t="s">
        <v>3967</v>
      </c>
      <c r="V683">
        <v>411</v>
      </c>
    </row>
    <row r="684" spans="1:22" customFormat="1" ht="15" x14ac:dyDescent="0.25">
      <c r="A684" t="s">
        <v>167</v>
      </c>
      <c r="B684" t="s">
        <v>4075</v>
      </c>
      <c r="E684" s="1516" t="s">
        <v>953</v>
      </c>
      <c r="F684" s="1516"/>
      <c r="G684" s="1516"/>
      <c r="H684" s="1516"/>
      <c r="K684" t="s">
        <v>3967</v>
      </c>
      <c r="V684">
        <v>386</v>
      </c>
    </row>
    <row r="685" spans="1:22" customFormat="1" ht="15" x14ac:dyDescent="0.25">
      <c r="A685" t="s">
        <v>167</v>
      </c>
      <c r="B685" t="s">
        <v>4075</v>
      </c>
      <c r="E685" s="1516" t="s">
        <v>3771</v>
      </c>
      <c r="F685" s="1516"/>
      <c r="G685" s="1516"/>
      <c r="H685" s="1516"/>
      <c r="K685" t="s">
        <v>3967</v>
      </c>
      <c r="V685">
        <v>677</v>
      </c>
    </row>
    <row r="686" spans="1:22" customFormat="1" ht="15" x14ac:dyDescent="0.25">
      <c r="A686" t="s">
        <v>167</v>
      </c>
      <c r="B686" t="s">
        <v>4075</v>
      </c>
      <c r="E686" s="1516" t="s">
        <v>994</v>
      </c>
      <c r="F686" s="1516"/>
      <c r="G686" s="1516"/>
      <c r="H686" s="1516"/>
      <c r="K686" t="s">
        <v>3967</v>
      </c>
      <c r="V686">
        <v>725</v>
      </c>
    </row>
    <row r="687" spans="1:22" customFormat="1" ht="15" x14ac:dyDescent="0.25">
      <c r="A687" t="s">
        <v>167</v>
      </c>
      <c r="B687" t="s">
        <v>4075</v>
      </c>
      <c r="E687" s="1516" t="s">
        <v>3762</v>
      </c>
      <c r="F687" s="1516"/>
      <c r="G687" s="1516"/>
      <c r="H687" s="1516"/>
      <c r="K687" t="s">
        <v>3967</v>
      </c>
      <c r="V687">
        <v>247</v>
      </c>
    </row>
    <row r="688" spans="1:22" customFormat="1" ht="15" x14ac:dyDescent="0.25">
      <c r="A688" t="s">
        <v>167</v>
      </c>
      <c r="B688" t="s">
        <v>4075</v>
      </c>
      <c r="E688" s="1516" t="s">
        <v>4095</v>
      </c>
      <c r="F688" s="1516"/>
      <c r="G688" s="1516"/>
      <c r="H688" s="1516"/>
      <c r="K688" t="s">
        <v>3967</v>
      </c>
      <c r="V688">
        <v>92</v>
      </c>
    </row>
    <row r="689" spans="1:22" customFormat="1" ht="15" x14ac:dyDescent="0.25">
      <c r="A689" t="s">
        <v>167</v>
      </c>
      <c r="B689" t="s">
        <v>4075</v>
      </c>
      <c r="E689" s="1515" t="s">
        <v>956</v>
      </c>
      <c r="F689" s="1549"/>
      <c r="G689" s="1516"/>
      <c r="H689" s="1516"/>
      <c r="K689" t="s">
        <v>1026</v>
      </c>
      <c r="V689">
        <v>46</v>
      </c>
    </row>
    <row r="690" spans="1:22" customFormat="1" ht="15" x14ac:dyDescent="0.25">
      <c r="A690" t="s">
        <v>167</v>
      </c>
      <c r="B690" t="s">
        <v>4075</v>
      </c>
      <c r="E690" s="1526" t="s">
        <v>3773</v>
      </c>
      <c r="F690" s="1507"/>
      <c r="G690" s="393" t="s">
        <v>777</v>
      </c>
      <c r="H690" s="650">
        <v>16773.78</v>
      </c>
      <c r="K690" t="s">
        <v>3967</v>
      </c>
      <c r="L690" t="s">
        <v>690</v>
      </c>
      <c r="P690" t="s">
        <v>3969</v>
      </c>
      <c r="V690">
        <v>14</v>
      </c>
    </row>
    <row r="691" spans="1:22" customFormat="1" ht="15" x14ac:dyDescent="0.25">
      <c r="A691" t="s">
        <v>167</v>
      </c>
      <c r="B691" t="s">
        <v>4075</v>
      </c>
      <c r="E691" s="1526" t="s">
        <v>4078</v>
      </c>
      <c r="F691" s="1507"/>
      <c r="G691" s="393" t="s">
        <v>777</v>
      </c>
      <c r="H691" s="650">
        <v>16.18</v>
      </c>
      <c r="K691" t="s">
        <v>3967</v>
      </c>
      <c r="L691" t="s">
        <v>690</v>
      </c>
      <c r="P691" t="s">
        <v>4127</v>
      </c>
      <c r="V691">
        <v>141</v>
      </c>
    </row>
    <row r="692" spans="1:22" customFormat="1" ht="15" x14ac:dyDescent="0.25">
      <c r="A692" t="s">
        <v>167</v>
      </c>
      <c r="B692" t="s">
        <v>4075</v>
      </c>
      <c r="E692" s="1507" t="s">
        <v>4080</v>
      </c>
      <c r="F692" s="1507"/>
      <c r="G692" s="393" t="s">
        <v>777</v>
      </c>
      <c r="H692" s="650">
        <v>67.349999999999994</v>
      </c>
      <c r="K692" t="s">
        <v>3967</v>
      </c>
      <c r="L692" t="s">
        <v>690</v>
      </c>
      <c r="P692" t="s">
        <v>4128</v>
      </c>
      <c r="V692">
        <v>159</v>
      </c>
    </row>
    <row r="693" spans="1:22" customFormat="1" ht="15" x14ac:dyDescent="0.25">
      <c r="A693" t="s">
        <v>167</v>
      </c>
      <c r="B693" t="s">
        <v>4075</v>
      </c>
      <c r="E693" s="1507" t="s">
        <v>4082</v>
      </c>
      <c r="F693" s="1507"/>
      <c r="G693" s="393" t="s">
        <v>777</v>
      </c>
      <c r="H693" s="650">
        <v>91.89</v>
      </c>
      <c r="K693" t="s">
        <v>3967</v>
      </c>
      <c r="L693" t="s">
        <v>690</v>
      </c>
      <c r="P693" t="s">
        <v>4129</v>
      </c>
      <c r="V693">
        <v>140</v>
      </c>
    </row>
    <row r="694" spans="1:22" customFormat="1" ht="15" x14ac:dyDescent="0.25">
      <c r="A694" t="s">
        <v>167</v>
      </c>
      <c r="B694" t="s">
        <v>4075</v>
      </c>
      <c r="E694" s="1526" t="s">
        <v>4084</v>
      </c>
      <c r="F694" s="1507"/>
      <c r="G694" s="393" t="s">
        <v>777</v>
      </c>
      <c r="H694" s="650">
        <v>346.9</v>
      </c>
      <c r="K694" t="s">
        <v>3967</v>
      </c>
      <c r="L694" t="s">
        <v>690</v>
      </c>
      <c r="P694" t="s">
        <v>4130</v>
      </c>
      <c r="V694">
        <v>140</v>
      </c>
    </row>
    <row r="695" spans="1:22" customFormat="1" ht="15" x14ac:dyDescent="0.25">
      <c r="A695" t="s">
        <v>167</v>
      </c>
      <c r="B695" t="s">
        <v>4075</v>
      </c>
      <c r="E695" s="1526" t="s">
        <v>3688</v>
      </c>
      <c r="F695" s="1507"/>
      <c r="G695" s="393" t="s">
        <v>3775</v>
      </c>
      <c r="H695" s="650">
        <v>3.5908000000000002</v>
      </c>
      <c r="K695" t="s">
        <v>3967</v>
      </c>
      <c r="L695" t="s">
        <v>690</v>
      </c>
      <c r="P695" t="s">
        <v>3972</v>
      </c>
      <c r="V695">
        <v>28</v>
      </c>
    </row>
    <row r="696" spans="1:22" customFormat="1" ht="15" x14ac:dyDescent="0.25">
      <c r="A696" t="s">
        <v>167</v>
      </c>
      <c r="B696" t="s">
        <v>4075</v>
      </c>
      <c r="E696" s="1526" t="s">
        <v>4086</v>
      </c>
      <c r="F696" s="1507"/>
      <c r="G696" s="393" t="s">
        <v>3775</v>
      </c>
      <c r="H696" s="650">
        <v>0.2432</v>
      </c>
      <c r="K696" t="s">
        <v>3967</v>
      </c>
      <c r="L696" t="s">
        <v>692</v>
      </c>
      <c r="P696" t="s">
        <v>3973</v>
      </c>
      <c r="V696">
        <v>25</v>
      </c>
    </row>
    <row r="697" spans="1:22" customFormat="1" ht="15" x14ac:dyDescent="0.25">
      <c r="A697" t="s">
        <v>167</v>
      </c>
      <c r="B697" t="s">
        <v>4075</v>
      </c>
      <c r="E697" s="1526" t="s">
        <v>6520</v>
      </c>
      <c r="F697" s="1510"/>
      <c r="G697" s="393" t="s">
        <v>3775</v>
      </c>
      <c r="H697" s="650">
        <v>0.60629999999999995</v>
      </c>
      <c r="K697" t="s">
        <v>3967</v>
      </c>
      <c r="L697" t="s">
        <v>692</v>
      </c>
      <c r="P697" t="s">
        <v>3975</v>
      </c>
      <c r="T697">
        <v>46022</v>
      </c>
      <c r="V697">
        <v>99</v>
      </c>
    </row>
    <row r="698" spans="1:22" customFormat="1" ht="15" x14ac:dyDescent="0.25">
      <c r="A698" t="s">
        <v>167</v>
      </c>
      <c r="B698" t="s">
        <v>4075</v>
      </c>
      <c r="E698" s="1526" t="s">
        <v>4078</v>
      </c>
      <c r="F698" s="1507"/>
      <c r="G698" s="393" t="s">
        <v>3775</v>
      </c>
      <c r="H698" s="650">
        <v>3.5000000000000001E-3</v>
      </c>
      <c r="K698" t="s">
        <v>3967</v>
      </c>
      <c r="L698" t="s">
        <v>690</v>
      </c>
      <c r="P698" t="s">
        <v>6541</v>
      </c>
      <c r="V698">
        <v>141</v>
      </c>
    </row>
    <row r="699" spans="1:22" customFormat="1" ht="15" x14ac:dyDescent="0.25">
      <c r="A699" t="s">
        <v>167</v>
      </c>
      <c r="B699" t="s">
        <v>4075</v>
      </c>
      <c r="E699" s="1507" t="s">
        <v>4080</v>
      </c>
      <c r="F699" s="1507"/>
      <c r="G699" s="393" t="s">
        <v>3775</v>
      </c>
      <c r="H699" s="650">
        <v>1.44E-2</v>
      </c>
      <c r="K699" t="s">
        <v>3967</v>
      </c>
      <c r="L699" t="s">
        <v>690</v>
      </c>
      <c r="P699" t="s">
        <v>6542</v>
      </c>
      <c r="V699">
        <v>159</v>
      </c>
    </row>
    <row r="700" spans="1:22" customFormat="1" ht="15" x14ac:dyDescent="0.25">
      <c r="A700" t="s">
        <v>167</v>
      </c>
      <c r="B700" t="s">
        <v>4075</v>
      </c>
      <c r="E700" s="1507" t="s">
        <v>4082</v>
      </c>
      <c r="F700" s="1507"/>
      <c r="G700" s="393" t="s">
        <v>3775</v>
      </c>
      <c r="H700" s="650">
        <v>1.9699999999999999E-2</v>
      </c>
      <c r="K700" t="s">
        <v>3967</v>
      </c>
      <c r="L700" t="s">
        <v>690</v>
      </c>
      <c r="P700" t="s">
        <v>6543</v>
      </c>
      <c r="V700">
        <v>140</v>
      </c>
    </row>
    <row r="701" spans="1:22" customFormat="1" ht="15" x14ac:dyDescent="0.25">
      <c r="A701" t="s">
        <v>167</v>
      </c>
      <c r="B701" t="s">
        <v>4075</v>
      </c>
      <c r="E701" s="1526" t="s">
        <v>4084</v>
      </c>
      <c r="F701" s="1507"/>
      <c r="G701" s="393" t="s">
        <v>3775</v>
      </c>
      <c r="H701" s="650">
        <v>7.4300000000000005E-2</v>
      </c>
      <c r="K701" t="s">
        <v>3967</v>
      </c>
      <c r="L701" t="s">
        <v>690</v>
      </c>
      <c r="P701" t="s">
        <v>6544</v>
      </c>
      <c r="V701">
        <v>140</v>
      </c>
    </row>
    <row r="702" spans="1:22" customFormat="1" ht="15" x14ac:dyDescent="0.25">
      <c r="A702" t="s">
        <v>167</v>
      </c>
      <c r="B702" t="s">
        <v>4075</v>
      </c>
      <c r="E702" s="1526" t="s">
        <v>6524</v>
      </c>
      <c r="F702" s="1507"/>
      <c r="G702" s="393" t="s">
        <v>3775</v>
      </c>
      <c r="H702" s="650">
        <v>9.8299999999999998E-2</v>
      </c>
      <c r="K702" t="s">
        <v>3967</v>
      </c>
      <c r="L702" t="s">
        <v>690</v>
      </c>
      <c r="P702" t="s">
        <v>3974</v>
      </c>
      <c r="T702">
        <v>46022</v>
      </c>
      <c r="V702">
        <v>150</v>
      </c>
    </row>
    <row r="703" spans="1:22" customFormat="1" ht="15" x14ac:dyDescent="0.25">
      <c r="A703" t="s">
        <v>167</v>
      </c>
      <c r="B703" t="s">
        <v>4075</v>
      </c>
      <c r="E703" s="1526" t="s">
        <v>4131</v>
      </c>
      <c r="F703" s="1507"/>
      <c r="G703" s="393" t="s">
        <v>3775</v>
      </c>
      <c r="H703" s="650">
        <v>4.8856999999999999</v>
      </c>
      <c r="K703" t="s">
        <v>3967</v>
      </c>
      <c r="L703" t="s">
        <v>694</v>
      </c>
      <c r="P703" t="s">
        <v>3978</v>
      </c>
      <c r="V703">
        <v>66</v>
      </c>
    </row>
    <row r="704" spans="1:22" customFormat="1" ht="15" x14ac:dyDescent="0.25">
      <c r="A704" t="s">
        <v>167</v>
      </c>
      <c r="B704" t="s">
        <v>4075</v>
      </c>
      <c r="E704" s="1526" t="s">
        <v>4132</v>
      </c>
      <c r="F704" s="1507"/>
      <c r="G704" s="393" t="s">
        <v>3775</v>
      </c>
      <c r="H704" s="650">
        <v>3.7058</v>
      </c>
      <c r="K704" t="s">
        <v>3967</v>
      </c>
      <c r="L704" t="s">
        <v>694</v>
      </c>
      <c r="P704" t="s">
        <v>3979</v>
      </c>
      <c r="V704">
        <v>94</v>
      </c>
    </row>
    <row r="705" spans="1:22" customFormat="1" ht="15" x14ac:dyDescent="0.25">
      <c r="A705" t="s">
        <v>167</v>
      </c>
      <c r="B705" t="s">
        <v>4075</v>
      </c>
      <c r="E705" s="1515" t="s">
        <v>967</v>
      </c>
      <c r="F705" s="1507"/>
      <c r="G705" s="584"/>
      <c r="H705" s="584"/>
      <c r="K705" t="s">
        <v>1035</v>
      </c>
      <c r="V705">
        <v>48</v>
      </c>
    </row>
    <row r="706" spans="1:22" customFormat="1" ht="15" x14ac:dyDescent="0.25">
      <c r="A706" t="s">
        <v>167</v>
      </c>
      <c r="B706" t="s">
        <v>4075</v>
      </c>
      <c r="E706" s="1507" t="s">
        <v>844</v>
      </c>
      <c r="F706" s="1507"/>
      <c r="G706" s="584" t="s">
        <v>845</v>
      </c>
      <c r="H706" s="650">
        <v>4.1000000000000003E-3</v>
      </c>
      <c r="K706" t="s">
        <v>3967</v>
      </c>
      <c r="L706" t="s">
        <v>968</v>
      </c>
      <c r="P706" t="s">
        <v>3980</v>
      </c>
      <c r="V706">
        <v>55</v>
      </c>
    </row>
    <row r="707" spans="1:22" customFormat="1" ht="15" x14ac:dyDescent="0.25">
      <c r="A707" t="s">
        <v>167</v>
      </c>
      <c r="B707" t="s">
        <v>4075</v>
      </c>
      <c r="E707" s="1526" t="s">
        <v>846</v>
      </c>
      <c r="F707" s="1507"/>
      <c r="G707" s="584" t="s">
        <v>845</v>
      </c>
      <c r="H707" s="650">
        <v>4.0000000000000002E-4</v>
      </c>
      <c r="K707" t="s">
        <v>3967</v>
      </c>
      <c r="L707" t="s">
        <v>968</v>
      </c>
      <c r="P707" t="s">
        <v>3980</v>
      </c>
      <c r="V707">
        <v>65</v>
      </c>
    </row>
    <row r="708" spans="1:22" customFormat="1" ht="15" x14ac:dyDescent="0.25">
      <c r="A708" t="s">
        <v>167</v>
      </c>
      <c r="B708" t="s">
        <v>4075</v>
      </c>
      <c r="E708" s="1507" t="s">
        <v>847</v>
      </c>
      <c r="F708" s="1507"/>
      <c r="G708" s="584" t="s">
        <v>845</v>
      </c>
      <c r="H708" s="650">
        <v>1.5E-3</v>
      </c>
      <c r="K708" t="s">
        <v>3967</v>
      </c>
      <c r="L708" t="s">
        <v>968</v>
      </c>
      <c r="P708" t="s">
        <v>3981</v>
      </c>
      <c r="V708">
        <v>57</v>
      </c>
    </row>
    <row r="709" spans="1:22" customFormat="1" ht="15" x14ac:dyDescent="0.25">
      <c r="A709" t="s">
        <v>167</v>
      </c>
      <c r="B709" t="s">
        <v>4075</v>
      </c>
      <c r="E709" s="1507" t="s">
        <v>848</v>
      </c>
      <c r="F709" s="1507"/>
      <c r="G709" s="584" t="s">
        <v>777</v>
      </c>
      <c r="H709" s="650">
        <v>0.25</v>
      </c>
      <c r="K709" t="s">
        <v>3967</v>
      </c>
      <c r="L709" t="s">
        <v>968</v>
      </c>
      <c r="P709" t="s">
        <v>3982</v>
      </c>
      <c r="V709">
        <v>63</v>
      </c>
    </row>
    <row r="710" spans="1:22" customFormat="1" x14ac:dyDescent="0.25">
      <c r="A710" t="s">
        <v>167</v>
      </c>
      <c r="B710" t="s">
        <v>4075</v>
      </c>
      <c r="E710" s="1492" t="s">
        <v>194</v>
      </c>
      <c r="F710" s="1492"/>
      <c r="G710" s="1493"/>
      <c r="H710" s="1493"/>
      <c r="K710" t="s">
        <v>3872</v>
      </c>
      <c r="V710">
        <v>47</v>
      </c>
    </row>
    <row r="711" spans="1:22" customFormat="1" ht="15" x14ac:dyDescent="0.25">
      <c r="A711" t="s">
        <v>167</v>
      </c>
      <c r="B711" t="s">
        <v>4075</v>
      </c>
      <c r="E711" s="1516" t="s">
        <v>4133</v>
      </c>
      <c r="F711" s="1516"/>
      <c r="G711" s="1516"/>
      <c r="H711" s="1516"/>
      <c r="K711" t="s">
        <v>3872</v>
      </c>
      <c r="V711">
        <v>760</v>
      </c>
    </row>
    <row r="712" spans="1:22" customFormat="1" ht="15" x14ac:dyDescent="0.25">
      <c r="A712" t="s">
        <v>167</v>
      </c>
      <c r="B712" t="s">
        <v>4075</v>
      </c>
      <c r="E712" s="1515" t="s">
        <v>950</v>
      </c>
      <c r="F712" s="1549"/>
      <c r="G712" s="1516"/>
      <c r="H712" s="1516"/>
      <c r="K712" t="s">
        <v>1041</v>
      </c>
      <c r="V712">
        <v>11</v>
      </c>
    </row>
    <row r="713" spans="1:22" customFormat="1" ht="15" x14ac:dyDescent="0.25">
      <c r="A713" t="s">
        <v>167</v>
      </c>
      <c r="B713" t="s">
        <v>4075</v>
      </c>
      <c r="E713" s="1516" t="s">
        <v>951</v>
      </c>
      <c r="F713" s="1516"/>
      <c r="G713" s="1516"/>
      <c r="H713" s="1516"/>
      <c r="K713" t="s">
        <v>3872</v>
      </c>
      <c r="V713">
        <v>280</v>
      </c>
    </row>
    <row r="714" spans="1:22" customFormat="1" ht="15" x14ac:dyDescent="0.25">
      <c r="A714" t="s">
        <v>167</v>
      </c>
      <c r="B714" t="s">
        <v>4075</v>
      </c>
      <c r="E714" s="1516" t="s">
        <v>952</v>
      </c>
      <c r="F714" s="1516"/>
      <c r="G714" s="1516"/>
      <c r="H714" s="1516"/>
      <c r="K714" t="s">
        <v>3872</v>
      </c>
      <c r="V714">
        <v>411</v>
      </c>
    </row>
    <row r="715" spans="1:22" customFormat="1" ht="15" x14ac:dyDescent="0.25">
      <c r="A715" t="s">
        <v>167</v>
      </c>
      <c r="B715" t="s">
        <v>4075</v>
      </c>
      <c r="E715" s="1516" t="s">
        <v>953</v>
      </c>
      <c r="F715" s="1516"/>
      <c r="G715" s="1516"/>
      <c r="H715" s="1516"/>
      <c r="K715" t="s">
        <v>3872</v>
      </c>
      <c r="V715">
        <v>386</v>
      </c>
    </row>
    <row r="716" spans="1:22" customFormat="1" ht="15" x14ac:dyDescent="0.25">
      <c r="A716" t="s">
        <v>167</v>
      </c>
      <c r="B716" t="s">
        <v>4075</v>
      </c>
      <c r="E716" s="1516" t="s">
        <v>3762</v>
      </c>
      <c r="F716" s="1516"/>
      <c r="G716" s="1516"/>
      <c r="H716" s="1516"/>
      <c r="K716" t="s">
        <v>3872</v>
      </c>
      <c r="V716">
        <v>247</v>
      </c>
    </row>
    <row r="717" spans="1:22" customFormat="1" ht="15" x14ac:dyDescent="0.25">
      <c r="A717" t="s">
        <v>167</v>
      </c>
      <c r="B717" t="s">
        <v>4075</v>
      </c>
      <c r="E717" s="1515" t="s">
        <v>956</v>
      </c>
      <c r="F717" s="1549"/>
      <c r="G717" s="1516"/>
      <c r="H717" s="1516"/>
      <c r="K717" t="s">
        <v>1042</v>
      </c>
      <c r="V717">
        <v>46</v>
      </c>
    </row>
    <row r="718" spans="1:22" customFormat="1" ht="15" x14ac:dyDescent="0.25">
      <c r="A718" t="s">
        <v>167</v>
      </c>
      <c r="B718" t="s">
        <v>4075</v>
      </c>
      <c r="E718" s="1526" t="s">
        <v>3874</v>
      </c>
      <c r="F718" s="1507"/>
      <c r="G718" s="393" t="s">
        <v>777</v>
      </c>
      <c r="H718" s="650">
        <v>10.96</v>
      </c>
      <c r="K718" t="s">
        <v>3872</v>
      </c>
      <c r="L718" t="s">
        <v>690</v>
      </c>
      <c r="P718" t="s">
        <v>3875</v>
      </c>
      <c r="V718">
        <v>31</v>
      </c>
    </row>
    <row r="719" spans="1:22" customFormat="1" ht="15" x14ac:dyDescent="0.25">
      <c r="A719" t="s">
        <v>167</v>
      </c>
      <c r="B719" t="s">
        <v>4075</v>
      </c>
      <c r="E719" s="1526" t="s">
        <v>4078</v>
      </c>
      <c r="F719" s="1507"/>
      <c r="G719" s="393" t="s">
        <v>777</v>
      </c>
      <c r="H719" s="650">
        <v>0.01</v>
      </c>
      <c r="K719" t="s">
        <v>3872</v>
      </c>
      <c r="L719" t="s">
        <v>690</v>
      </c>
      <c r="P719" t="s">
        <v>4134</v>
      </c>
      <c r="V719">
        <v>141</v>
      </c>
    </row>
    <row r="720" spans="1:22" customFormat="1" ht="15" x14ac:dyDescent="0.25">
      <c r="A720" t="s">
        <v>167</v>
      </c>
      <c r="B720" t="s">
        <v>4075</v>
      </c>
      <c r="E720" s="1507" t="s">
        <v>4080</v>
      </c>
      <c r="F720" s="1507"/>
      <c r="G720" s="393" t="s">
        <v>777</v>
      </c>
      <c r="H720" s="650">
        <v>0.04</v>
      </c>
      <c r="K720" t="s">
        <v>3872</v>
      </c>
      <c r="L720" t="s">
        <v>690</v>
      </c>
      <c r="P720" t="s">
        <v>4135</v>
      </c>
      <c r="V720">
        <v>159</v>
      </c>
    </row>
    <row r="721" spans="1:22" customFormat="1" ht="15" x14ac:dyDescent="0.25">
      <c r="A721" t="s">
        <v>167</v>
      </c>
      <c r="B721" t="s">
        <v>4075</v>
      </c>
      <c r="E721" s="1507" t="s">
        <v>4082</v>
      </c>
      <c r="F721" s="1507"/>
      <c r="G721" s="393" t="s">
        <v>777</v>
      </c>
      <c r="H721" s="650">
        <v>0.06</v>
      </c>
      <c r="K721" t="s">
        <v>3872</v>
      </c>
      <c r="L721" t="s">
        <v>690</v>
      </c>
      <c r="P721" t="s">
        <v>4136</v>
      </c>
      <c r="V721">
        <v>140</v>
      </c>
    </row>
    <row r="722" spans="1:22" customFormat="1" ht="15" x14ac:dyDescent="0.25">
      <c r="A722" t="s">
        <v>167</v>
      </c>
      <c r="B722" t="s">
        <v>4075</v>
      </c>
      <c r="E722" s="1526" t="s">
        <v>4084</v>
      </c>
      <c r="F722" s="1507"/>
      <c r="G722" s="393" t="s">
        <v>777</v>
      </c>
      <c r="H722" s="650">
        <v>0.23</v>
      </c>
      <c r="K722" t="s">
        <v>3872</v>
      </c>
      <c r="L722" t="s">
        <v>690</v>
      </c>
      <c r="P722" t="s">
        <v>4137</v>
      </c>
      <c r="V722">
        <v>140</v>
      </c>
    </row>
    <row r="723" spans="1:22" customFormat="1" ht="15" x14ac:dyDescent="0.25">
      <c r="A723" t="s">
        <v>167</v>
      </c>
      <c r="B723" t="s">
        <v>4075</v>
      </c>
      <c r="E723" s="1526" t="s">
        <v>3688</v>
      </c>
      <c r="F723" s="1507"/>
      <c r="G723" s="393" t="s">
        <v>845</v>
      </c>
      <c r="H723" s="650">
        <v>1.9800000000000002E-2</v>
      </c>
      <c r="K723" t="s">
        <v>3872</v>
      </c>
      <c r="L723" t="s">
        <v>690</v>
      </c>
      <c r="P723" t="s">
        <v>3876</v>
      </c>
      <c r="V723">
        <v>28</v>
      </c>
    </row>
    <row r="724" spans="1:22" customFormat="1" ht="15" x14ac:dyDescent="0.25">
      <c r="A724" t="s">
        <v>167</v>
      </c>
      <c r="B724" t="s">
        <v>4075</v>
      </c>
      <c r="E724" s="1526" t="s">
        <v>4086</v>
      </c>
      <c r="F724" s="1507"/>
      <c r="G724" s="393" t="s">
        <v>845</v>
      </c>
      <c r="H724" s="650">
        <v>5.9999999999999995E-4</v>
      </c>
      <c r="K724" t="s">
        <v>3872</v>
      </c>
      <c r="L724" t="s">
        <v>692</v>
      </c>
      <c r="P724" t="s">
        <v>3986</v>
      </c>
      <c r="V724">
        <v>25</v>
      </c>
    </row>
    <row r="725" spans="1:22" customFormat="1" ht="15" x14ac:dyDescent="0.25">
      <c r="A725" t="s">
        <v>167</v>
      </c>
      <c r="B725" t="s">
        <v>4075</v>
      </c>
      <c r="E725" s="1526" t="s">
        <v>6519</v>
      </c>
      <c r="F725" s="1510"/>
      <c r="G725" s="393" t="s">
        <v>845</v>
      </c>
      <c r="H725" s="650">
        <v>3.0999999999999999E-3</v>
      </c>
      <c r="K725" t="s">
        <v>3872</v>
      </c>
      <c r="L725" t="s">
        <v>692</v>
      </c>
      <c r="P725" t="s">
        <v>3987</v>
      </c>
      <c r="T725">
        <v>46022</v>
      </c>
      <c r="V725">
        <v>142</v>
      </c>
    </row>
    <row r="726" spans="1:22" customFormat="1" ht="15" x14ac:dyDescent="0.25">
      <c r="A726" t="s">
        <v>167</v>
      </c>
      <c r="B726" t="s">
        <v>4075</v>
      </c>
      <c r="E726" s="1526" t="s">
        <v>6520</v>
      </c>
      <c r="F726" s="1510"/>
      <c r="G726" s="393" t="s">
        <v>845</v>
      </c>
      <c r="H726" s="650">
        <v>1E-3</v>
      </c>
      <c r="K726" t="s">
        <v>3872</v>
      </c>
      <c r="L726" t="s">
        <v>692</v>
      </c>
      <c r="P726" t="s">
        <v>3990</v>
      </c>
      <c r="T726">
        <v>46022</v>
      </c>
      <c r="V726">
        <v>99</v>
      </c>
    </row>
    <row r="727" spans="1:22" customFormat="1" ht="15" x14ac:dyDescent="0.25">
      <c r="A727" t="s">
        <v>167</v>
      </c>
      <c r="B727" t="s">
        <v>4075</v>
      </c>
      <c r="E727" s="1526" t="s">
        <v>6521</v>
      </c>
      <c r="F727" s="1510"/>
      <c r="G727" s="393" t="s">
        <v>845</v>
      </c>
      <c r="H727" s="650">
        <v>2.0000000000000001E-4</v>
      </c>
      <c r="K727" t="s">
        <v>3872</v>
      </c>
      <c r="L727" t="s">
        <v>692</v>
      </c>
      <c r="P727" t="s">
        <v>3991</v>
      </c>
      <c r="T727">
        <v>46022</v>
      </c>
      <c r="V727">
        <v>149</v>
      </c>
    </row>
    <row r="728" spans="1:22" customFormat="1" ht="15" x14ac:dyDescent="0.25">
      <c r="A728" t="s">
        <v>167</v>
      </c>
      <c r="B728" t="s">
        <v>4075</v>
      </c>
      <c r="E728" s="1507" t="s">
        <v>4080</v>
      </c>
      <c r="F728" s="1507"/>
      <c r="G728" s="393" t="s">
        <v>845</v>
      </c>
      <c r="H728" s="650">
        <v>1E-4</v>
      </c>
      <c r="K728" t="s">
        <v>3872</v>
      </c>
      <c r="L728" t="s">
        <v>690</v>
      </c>
      <c r="P728" t="s">
        <v>6545</v>
      </c>
      <c r="V728">
        <v>159</v>
      </c>
    </row>
    <row r="729" spans="1:22" customFormat="1" ht="15" x14ac:dyDescent="0.25">
      <c r="A729" t="s">
        <v>167</v>
      </c>
      <c r="B729" t="s">
        <v>4075</v>
      </c>
      <c r="E729" s="1507" t="s">
        <v>4082</v>
      </c>
      <c r="F729" s="1507"/>
      <c r="G729" s="393" t="s">
        <v>845</v>
      </c>
      <c r="H729" s="650">
        <v>1E-4</v>
      </c>
      <c r="K729" t="s">
        <v>3872</v>
      </c>
      <c r="L729" t="s">
        <v>690</v>
      </c>
      <c r="P729" t="s">
        <v>6546</v>
      </c>
      <c r="V729">
        <v>140</v>
      </c>
    </row>
    <row r="730" spans="1:22" customFormat="1" ht="15" x14ac:dyDescent="0.25">
      <c r="A730" t="s">
        <v>167</v>
      </c>
      <c r="B730" t="s">
        <v>4075</v>
      </c>
      <c r="E730" s="1526" t="s">
        <v>4084</v>
      </c>
      <c r="F730" s="1507"/>
      <c r="G730" s="393" t="s">
        <v>845</v>
      </c>
      <c r="H730" s="650">
        <v>4.0000000000000002E-4</v>
      </c>
      <c r="K730" t="s">
        <v>3872</v>
      </c>
      <c r="L730" t="s">
        <v>690</v>
      </c>
      <c r="P730" t="s">
        <v>6547</v>
      </c>
      <c r="V730">
        <v>140</v>
      </c>
    </row>
    <row r="731" spans="1:22" customFormat="1" ht="15" x14ac:dyDescent="0.25">
      <c r="A731" t="s">
        <v>167</v>
      </c>
      <c r="B731" t="s">
        <v>4075</v>
      </c>
      <c r="E731" s="1526" t="s">
        <v>6524</v>
      </c>
      <c r="F731" s="1507"/>
      <c r="G731" s="393" t="s">
        <v>845</v>
      </c>
      <c r="H731" s="650">
        <v>2.3999999999999998E-3</v>
      </c>
      <c r="K731" t="s">
        <v>3872</v>
      </c>
      <c r="L731" t="s">
        <v>690</v>
      </c>
      <c r="P731" t="s">
        <v>3989</v>
      </c>
      <c r="T731">
        <v>46022</v>
      </c>
      <c r="V731">
        <v>150</v>
      </c>
    </row>
    <row r="732" spans="1:22" customFormat="1" ht="15" x14ac:dyDescent="0.25">
      <c r="A732" t="s">
        <v>167</v>
      </c>
      <c r="B732" t="s">
        <v>4075</v>
      </c>
      <c r="E732" s="1526" t="s">
        <v>243</v>
      </c>
      <c r="F732" s="1507"/>
      <c r="G732" s="393" t="s">
        <v>845</v>
      </c>
      <c r="H732" s="650">
        <v>1.23E-2</v>
      </c>
      <c r="K732" t="s">
        <v>3872</v>
      </c>
      <c r="L732" t="s">
        <v>694</v>
      </c>
      <c r="P732" t="s">
        <v>3877</v>
      </c>
      <c r="V732">
        <v>47</v>
      </c>
    </row>
    <row r="733" spans="1:22" customFormat="1" ht="15" x14ac:dyDescent="0.25">
      <c r="A733" t="s">
        <v>167</v>
      </c>
      <c r="B733" t="s">
        <v>4075</v>
      </c>
      <c r="E733" s="1526" t="s">
        <v>175</v>
      </c>
      <c r="F733" s="1507"/>
      <c r="G733" s="393" t="s">
        <v>845</v>
      </c>
      <c r="H733" s="650">
        <v>8.8000000000000005E-3</v>
      </c>
      <c r="K733" t="s">
        <v>3872</v>
      </c>
      <c r="L733" t="s">
        <v>694</v>
      </c>
      <c r="P733" t="s">
        <v>3878</v>
      </c>
      <c r="V733">
        <v>74</v>
      </c>
    </row>
    <row r="734" spans="1:22" customFormat="1" ht="15" x14ac:dyDescent="0.25">
      <c r="A734" t="s">
        <v>167</v>
      </c>
      <c r="B734" t="s">
        <v>4075</v>
      </c>
      <c r="E734" s="1515" t="s">
        <v>967</v>
      </c>
      <c r="F734" s="1507"/>
      <c r="G734" s="584"/>
      <c r="H734" s="584"/>
      <c r="K734" t="s">
        <v>1049</v>
      </c>
      <c r="V734">
        <v>48</v>
      </c>
    </row>
    <row r="735" spans="1:22" customFormat="1" ht="15" x14ac:dyDescent="0.25">
      <c r="A735" t="s">
        <v>167</v>
      </c>
      <c r="B735" t="s">
        <v>4075</v>
      </c>
      <c r="E735" s="1507" t="s">
        <v>844</v>
      </c>
      <c r="F735" s="1507"/>
      <c r="G735" s="584" t="s">
        <v>845</v>
      </c>
      <c r="H735" s="650">
        <v>4.1000000000000003E-3</v>
      </c>
      <c r="K735" t="s">
        <v>3872</v>
      </c>
      <c r="L735" t="s">
        <v>968</v>
      </c>
      <c r="P735" t="s">
        <v>3879</v>
      </c>
      <c r="V735">
        <v>55</v>
      </c>
    </row>
    <row r="736" spans="1:22" customFormat="1" ht="15" x14ac:dyDescent="0.25">
      <c r="A736" t="s">
        <v>167</v>
      </c>
      <c r="B736" t="s">
        <v>4075</v>
      </c>
      <c r="E736" s="1526" t="s">
        <v>846</v>
      </c>
      <c r="F736" s="1507"/>
      <c r="G736" s="584" t="s">
        <v>845</v>
      </c>
      <c r="H736" s="650">
        <v>4.0000000000000002E-4</v>
      </c>
      <c r="K736" t="s">
        <v>3872</v>
      </c>
      <c r="L736" t="s">
        <v>968</v>
      </c>
      <c r="P736" t="s">
        <v>3879</v>
      </c>
      <c r="V736">
        <v>65</v>
      </c>
    </row>
    <row r="737" spans="1:22" customFormat="1" ht="15" x14ac:dyDescent="0.25">
      <c r="A737" t="s">
        <v>167</v>
      </c>
      <c r="B737" t="s">
        <v>4075</v>
      </c>
      <c r="E737" s="1507" t="s">
        <v>847</v>
      </c>
      <c r="F737" s="1507"/>
      <c r="G737" s="584" t="s">
        <v>845</v>
      </c>
      <c r="H737" s="650">
        <v>1.5E-3</v>
      </c>
      <c r="K737" t="s">
        <v>3872</v>
      </c>
      <c r="L737" t="s">
        <v>968</v>
      </c>
      <c r="P737" t="s">
        <v>3880</v>
      </c>
      <c r="V737">
        <v>57</v>
      </c>
    </row>
    <row r="738" spans="1:22" customFormat="1" ht="15" x14ac:dyDescent="0.25">
      <c r="A738" t="s">
        <v>167</v>
      </c>
      <c r="B738" t="s">
        <v>4075</v>
      </c>
      <c r="E738" s="1507" t="s">
        <v>848</v>
      </c>
      <c r="F738" s="1507"/>
      <c r="G738" s="584" t="s">
        <v>777</v>
      </c>
      <c r="H738" s="650">
        <v>0.25</v>
      </c>
      <c r="K738" t="s">
        <v>3872</v>
      </c>
      <c r="L738" t="s">
        <v>968</v>
      </c>
      <c r="P738" t="s">
        <v>3881</v>
      </c>
      <c r="V738">
        <v>63</v>
      </c>
    </row>
    <row r="739" spans="1:22" customFormat="1" x14ac:dyDescent="0.25">
      <c r="A739" t="s">
        <v>167</v>
      </c>
      <c r="B739" t="s">
        <v>4075</v>
      </c>
      <c r="E739" s="1492" t="s">
        <v>202</v>
      </c>
      <c r="F739" s="1492"/>
      <c r="G739" s="1493"/>
      <c r="H739" s="1493"/>
      <c r="K739" t="s">
        <v>1053</v>
      </c>
      <c r="V739">
        <v>38</v>
      </c>
    </row>
    <row r="740" spans="1:22" customFormat="1" ht="15" x14ac:dyDescent="0.25">
      <c r="A740" t="s">
        <v>167</v>
      </c>
      <c r="B740" t="s">
        <v>4075</v>
      </c>
      <c r="E740" s="1516" t="s">
        <v>4138</v>
      </c>
      <c r="F740" s="1516"/>
      <c r="G740" s="1516"/>
      <c r="H740" s="1516"/>
      <c r="K740" t="s">
        <v>1053</v>
      </c>
      <c r="V740">
        <v>395</v>
      </c>
    </row>
    <row r="741" spans="1:22" customFormat="1" ht="15" x14ac:dyDescent="0.25">
      <c r="A741" t="s">
        <v>167</v>
      </c>
      <c r="B741" t="s">
        <v>4075</v>
      </c>
      <c r="E741" s="1515" t="s">
        <v>950</v>
      </c>
      <c r="F741" s="1549"/>
      <c r="G741" s="1516"/>
      <c r="H741" s="1516"/>
      <c r="K741" t="s">
        <v>1055</v>
      </c>
      <c r="V741">
        <v>11</v>
      </c>
    </row>
    <row r="742" spans="1:22" customFormat="1" ht="15" x14ac:dyDescent="0.25">
      <c r="A742" t="s">
        <v>167</v>
      </c>
      <c r="B742" t="s">
        <v>4075</v>
      </c>
      <c r="E742" s="1516" t="s">
        <v>951</v>
      </c>
      <c r="F742" s="1516"/>
      <c r="G742" s="1516"/>
      <c r="H742" s="1516"/>
      <c r="K742" t="s">
        <v>1053</v>
      </c>
      <c r="V742">
        <v>280</v>
      </c>
    </row>
    <row r="743" spans="1:22" customFormat="1" ht="15" x14ac:dyDescent="0.25">
      <c r="A743" t="s">
        <v>167</v>
      </c>
      <c r="B743" t="s">
        <v>4075</v>
      </c>
      <c r="E743" s="1516" t="s">
        <v>952</v>
      </c>
      <c r="F743" s="1516"/>
      <c r="G743" s="1516"/>
      <c r="H743" s="1516"/>
      <c r="K743" t="s">
        <v>1053</v>
      </c>
      <c r="V743">
        <v>411</v>
      </c>
    </row>
    <row r="744" spans="1:22" customFormat="1" ht="15" x14ac:dyDescent="0.25">
      <c r="A744" t="s">
        <v>167</v>
      </c>
      <c r="B744" t="s">
        <v>4075</v>
      </c>
      <c r="E744" s="1516" t="s">
        <v>953</v>
      </c>
      <c r="F744" s="1516"/>
      <c r="G744" s="1516"/>
      <c r="H744" s="1516"/>
      <c r="K744" t="s">
        <v>1053</v>
      </c>
      <c r="V744">
        <v>386</v>
      </c>
    </row>
    <row r="745" spans="1:22" customFormat="1" ht="15" x14ac:dyDescent="0.25">
      <c r="A745" t="s">
        <v>167</v>
      </c>
      <c r="B745" t="s">
        <v>4075</v>
      </c>
      <c r="E745" s="1516" t="s">
        <v>3762</v>
      </c>
      <c r="F745" s="1516"/>
      <c r="G745" s="1516"/>
      <c r="H745" s="1516"/>
      <c r="K745" t="s">
        <v>1053</v>
      </c>
      <c r="V745">
        <v>247</v>
      </c>
    </row>
    <row r="746" spans="1:22" customFormat="1" ht="15" x14ac:dyDescent="0.25">
      <c r="A746" t="s">
        <v>167</v>
      </c>
      <c r="B746" t="s">
        <v>4075</v>
      </c>
      <c r="E746" s="1515" t="s">
        <v>956</v>
      </c>
      <c r="F746" s="1549"/>
      <c r="G746" s="1516"/>
      <c r="H746" s="1516"/>
      <c r="K746" t="s">
        <v>1056</v>
      </c>
      <c r="V746">
        <v>46</v>
      </c>
    </row>
    <row r="747" spans="1:22" customFormat="1" ht="15" x14ac:dyDescent="0.25">
      <c r="A747" t="s">
        <v>167</v>
      </c>
      <c r="B747" t="s">
        <v>4075</v>
      </c>
      <c r="E747" s="1526" t="s">
        <v>4139</v>
      </c>
      <c r="F747" s="1507"/>
      <c r="G747" s="393" t="s">
        <v>777</v>
      </c>
      <c r="H747" s="650">
        <v>1.85</v>
      </c>
      <c r="K747" t="s">
        <v>1053</v>
      </c>
      <c r="L747" t="s">
        <v>690</v>
      </c>
      <c r="P747" t="s">
        <v>1057</v>
      </c>
      <c r="V747">
        <v>30</v>
      </c>
    </row>
    <row r="748" spans="1:22" customFormat="1" ht="15" x14ac:dyDescent="0.25">
      <c r="A748" t="s">
        <v>167</v>
      </c>
      <c r="B748" t="s">
        <v>4075</v>
      </c>
      <c r="E748" s="1507" t="s">
        <v>4080</v>
      </c>
      <c r="F748" s="1507"/>
      <c r="G748" s="393" t="s">
        <v>777</v>
      </c>
      <c r="H748" s="650">
        <v>0.01</v>
      </c>
      <c r="K748" t="s">
        <v>1053</v>
      </c>
      <c r="L748" t="s">
        <v>690</v>
      </c>
      <c r="P748" t="s">
        <v>4140</v>
      </c>
      <c r="V748">
        <v>159</v>
      </c>
    </row>
    <row r="749" spans="1:22" customFormat="1" ht="15" x14ac:dyDescent="0.25">
      <c r="A749" t="s">
        <v>167</v>
      </c>
      <c r="B749" t="s">
        <v>4075</v>
      </c>
      <c r="E749" s="1507" t="s">
        <v>4082</v>
      </c>
      <c r="F749" s="1507"/>
      <c r="G749" s="393" t="s">
        <v>777</v>
      </c>
      <c r="H749" s="650">
        <v>0.01</v>
      </c>
      <c r="K749" t="s">
        <v>1053</v>
      </c>
      <c r="L749" t="s">
        <v>690</v>
      </c>
      <c r="P749" t="s">
        <v>4141</v>
      </c>
      <c r="V749">
        <v>140</v>
      </c>
    </row>
    <row r="750" spans="1:22" customFormat="1" ht="15" x14ac:dyDescent="0.25">
      <c r="A750" t="s">
        <v>167</v>
      </c>
      <c r="B750" t="s">
        <v>4075</v>
      </c>
      <c r="E750" s="1526" t="s">
        <v>4084</v>
      </c>
      <c r="F750" s="1507"/>
      <c r="G750" s="393" t="s">
        <v>777</v>
      </c>
      <c r="H750" s="650">
        <v>0.04</v>
      </c>
      <c r="K750" t="s">
        <v>1053</v>
      </c>
      <c r="L750" t="s">
        <v>690</v>
      </c>
      <c r="P750" t="s">
        <v>4142</v>
      </c>
      <c r="V750">
        <v>140</v>
      </c>
    </row>
    <row r="751" spans="1:22" customFormat="1" ht="15" x14ac:dyDescent="0.25">
      <c r="A751" t="s">
        <v>167</v>
      </c>
      <c r="B751" t="s">
        <v>4075</v>
      </c>
      <c r="E751" s="1526" t="s">
        <v>3688</v>
      </c>
      <c r="F751" s="1507"/>
      <c r="G751" s="393" t="s">
        <v>3775</v>
      </c>
      <c r="H751" s="650">
        <v>14.0473</v>
      </c>
      <c r="K751" t="s">
        <v>1053</v>
      </c>
      <c r="L751" t="s">
        <v>690</v>
      </c>
      <c r="P751" t="s">
        <v>1059</v>
      </c>
      <c r="V751">
        <v>28</v>
      </c>
    </row>
    <row r="752" spans="1:22" customFormat="1" ht="15" x14ac:dyDescent="0.25">
      <c r="A752" t="s">
        <v>167</v>
      </c>
      <c r="B752" t="s">
        <v>4075</v>
      </c>
      <c r="E752" s="1526" t="s">
        <v>4086</v>
      </c>
      <c r="F752" s="1507"/>
      <c r="G752" s="393" t="s">
        <v>3775</v>
      </c>
      <c r="H752" s="650">
        <v>0.16830000000000001</v>
      </c>
      <c r="K752" t="s">
        <v>1053</v>
      </c>
      <c r="L752" t="s">
        <v>692</v>
      </c>
      <c r="P752" t="s">
        <v>1060</v>
      </c>
      <c r="V752">
        <v>25</v>
      </c>
    </row>
    <row r="753" spans="1:22" customFormat="1" ht="15" x14ac:dyDescent="0.25">
      <c r="A753" t="s">
        <v>167</v>
      </c>
      <c r="B753" t="s">
        <v>4075</v>
      </c>
      <c r="E753" s="1526" t="s">
        <v>6519</v>
      </c>
      <c r="F753" s="1510"/>
      <c r="G753" s="393" t="s">
        <v>845</v>
      </c>
      <c r="H753" s="650">
        <v>3.0999999999999999E-3</v>
      </c>
      <c r="K753" t="s">
        <v>1053</v>
      </c>
      <c r="L753" t="s">
        <v>692</v>
      </c>
      <c r="P753" t="s">
        <v>1061</v>
      </c>
      <c r="T753">
        <v>46022</v>
      </c>
      <c r="V753">
        <v>142</v>
      </c>
    </row>
    <row r="754" spans="1:22" customFormat="1" ht="15" x14ac:dyDescent="0.25">
      <c r="A754" t="s">
        <v>167</v>
      </c>
      <c r="B754" t="s">
        <v>4075</v>
      </c>
      <c r="E754" s="1526" t="s">
        <v>6520</v>
      </c>
      <c r="F754" s="1510"/>
      <c r="G754" s="393" t="s">
        <v>3775</v>
      </c>
      <c r="H754" s="650">
        <v>0.40820000000000001</v>
      </c>
      <c r="K754" t="s">
        <v>1053</v>
      </c>
      <c r="L754" t="s">
        <v>692</v>
      </c>
      <c r="P754" t="s">
        <v>1062</v>
      </c>
      <c r="T754">
        <v>46022</v>
      </c>
      <c r="V754">
        <v>99</v>
      </c>
    </row>
    <row r="755" spans="1:22" customFormat="1" ht="15" x14ac:dyDescent="0.25">
      <c r="A755" t="s">
        <v>167</v>
      </c>
      <c r="B755" t="s">
        <v>4075</v>
      </c>
      <c r="E755" s="1526" t="s">
        <v>6521</v>
      </c>
      <c r="F755" s="1510"/>
      <c r="G755" s="393" t="s">
        <v>3775</v>
      </c>
      <c r="H755" s="650">
        <v>9.2899999999999996E-2</v>
      </c>
      <c r="K755" t="s">
        <v>1053</v>
      </c>
      <c r="L755" t="s">
        <v>692</v>
      </c>
      <c r="P755" t="s">
        <v>3997</v>
      </c>
      <c r="T755">
        <v>46022</v>
      </c>
      <c r="V755">
        <v>149</v>
      </c>
    </row>
    <row r="756" spans="1:22" customFormat="1" ht="15" x14ac:dyDescent="0.25">
      <c r="A756" t="s">
        <v>167</v>
      </c>
      <c r="B756" t="s">
        <v>4075</v>
      </c>
      <c r="E756" s="1526" t="s">
        <v>4078</v>
      </c>
      <c r="F756" s="1507"/>
      <c r="G756" s="393" t="s">
        <v>3775</v>
      </c>
      <c r="H756" s="650">
        <v>1.3599999999999999E-2</v>
      </c>
      <c r="K756" t="s">
        <v>1053</v>
      </c>
      <c r="L756" t="s">
        <v>690</v>
      </c>
      <c r="P756" t="s">
        <v>6548</v>
      </c>
      <c r="V756">
        <v>141</v>
      </c>
    </row>
    <row r="757" spans="1:22" customFormat="1" ht="15" x14ac:dyDescent="0.25">
      <c r="A757" t="s">
        <v>167</v>
      </c>
      <c r="B757" t="s">
        <v>4075</v>
      </c>
      <c r="E757" s="1507" t="s">
        <v>4080</v>
      </c>
      <c r="F757" s="1507"/>
      <c r="G757" s="393" t="s">
        <v>3775</v>
      </c>
      <c r="H757" s="650">
        <v>5.6399999999999999E-2</v>
      </c>
      <c r="K757" t="s">
        <v>1053</v>
      </c>
      <c r="L757" t="s">
        <v>690</v>
      </c>
      <c r="P757" t="s">
        <v>6549</v>
      </c>
      <c r="V757">
        <v>159</v>
      </c>
    </row>
    <row r="758" spans="1:22" customFormat="1" ht="15" x14ac:dyDescent="0.25">
      <c r="A758" t="s">
        <v>167</v>
      </c>
      <c r="B758" t="s">
        <v>4075</v>
      </c>
      <c r="E758" s="1507" t="s">
        <v>4082</v>
      </c>
      <c r="F758" s="1507"/>
      <c r="G758" s="393" t="s">
        <v>3775</v>
      </c>
      <c r="H758" s="650">
        <v>7.6999999999999999E-2</v>
      </c>
      <c r="K758" t="s">
        <v>1053</v>
      </c>
      <c r="L758" t="s">
        <v>690</v>
      </c>
      <c r="P758" t="s">
        <v>6550</v>
      </c>
      <c r="V758">
        <v>140</v>
      </c>
    </row>
    <row r="759" spans="1:22" customFormat="1" ht="15" x14ac:dyDescent="0.25">
      <c r="A759" t="s">
        <v>167</v>
      </c>
      <c r="B759" t="s">
        <v>4075</v>
      </c>
      <c r="E759" s="1526" t="s">
        <v>4084</v>
      </c>
      <c r="F759" s="1507"/>
      <c r="G759" s="393" t="s">
        <v>3775</v>
      </c>
      <c r="H759" s="650">
        <v>0.29049999999999998</v>
      </c>
      <c r="K759" t="s">
        <v>1053</v>
      </c>
      <c r="L759" t="s">
        <v>690</v>
      </c>
      <c r="P759" t="s">
        <v>6551</v>
      </c>
      <c r="V759">
        <v>140</v>
      </c>
    </row>
    <row r="760" spans="1:22" customFormat="1" ht="15" x14ac:dyDescent="0.25">
      <c r="A760" t="s">
        <v>167</v>
      </c>
      <c r="B760" t="s">
        <v>4075</v>
      </c>
      <c r="E760" s="1526" t="s">
        <v>6524</v>
      </c>
      <c r="F760" s="1507"/>
      <c r="G760" s="393" t="s">
        <v>3775</v>
      </c>
      <c r="H760" s="650">
        <v>-10.6127</v>
      </c>
      <c r="K760" t="s">
        <v>1053</v>
      </c>
      <c r="L760" t="s">
        <v>690</v>
      </c>
      <c r="P760" t="s">
        <v>3999</v>
      </c>
      <c r="T760">
        <v>46022</v>
      </c>
      <c r="V760">
        <v>150</v>
      </c>
    </row>
    <row r="761" spans="1:22" customFormat="1" ht="15" x14ac:dyDescent="0.25">
      <c r="A761" t="s">
        <v>167</v>
      </c>
      <c r="B761" t="s">
        <v>4075</v>
      </c>
      <c r="E761" s="1526" t="s">
        <v>243</v>
      </c>
      <c r="F761" s="1507"/>
      <c r="G761" s="393" t="s">
        <v>3775</v>
      </c>
      <c r="H761" s="650">
        <v>3.2770999999999999</v>
      </c>
      <c r="K761" t="s">
        <v>1053</v>
      </c>
      <c r="L761" t="s">
        <v>694</v>
      </c>
      <c r="P761" t="s">
        <v>1063</v>
      </c>
      <c r="V761">
        <v>47</v>
      </c>
    </row>
    <row r="762" spans="1:22" customFormat="1" ht="15" x14ac:dyDescent="0.25">
      <c r="A762" t="s">
        <v>167</v>
      </c>
      <c r="B762" t="s">
        <v>4075</v>
      </c>
      <c r="E762" s="1526" t="s">
        <v>175</v>
      </c>
      <c r="F762" s="1507"/>
      <c r="G762" s="393" t="s">
        <v>3775</v>
      </c>
      <c r="H762" s="650">
        <v>2.5640000000000001</v>
      </c>
      <c r="K762" t="s">
        <v>1053</v>
      </c>
      <c r="L762" t="s">
        <v>694</v>
      </c>
      <c r="P762" t="s">
        <v>1064</v>
      </c>
      <c r="V762">
        <v>74</v>
      </c>
    </row>
    <row r="763" spans="1:22" customFormat="1" ht="15" x14ac:dyDescent="0.25">
      <c r="A763" t="s">
        <v>167</v>
      </c>
      <c r="B763" t="s">
        <v>4075</v>
      </c>
      <c r="E763" s="1515" t="s">
        <v>967</v>
      </c>
      <c r="F763" s="1507"/>
      <c r="G763" s="584"/>
      <c r="H763" s="584"/>
      <c r="K763" t="s">
        <v>1065</v>
      </c>
      <c r="V763">
        <v>48</v>
      </c>
    </row>
    <row r="764" spans="1:22" customFormat="1" ht="15" x14ac:dyDescent="0.25">
      <c r="A764" t="s">
        <v>167</v>
      </c>
      <c r="B764" t="s">
        <v>4075</v>
      </c>
      <c r="E764" s="1507" t="s">
        <v>844</v>
      </c>
      <c r="F764" s="1507"/>
      <c r="G764" s="584" t="s">
        <v>845</v>
      </c>
      <c r="H764" s="650">
        <v>4.1000000000000003E-3</v>
      </c>
      <c r="K764" t="s">
        <v>1053</v>
      </c>
      <c r="L764" t="s">
        <v>968</v>
      </c>
      <c r="P764" t="s">
        <v>1066</v>
      </c>
      <c r="V764">
        <v>55</v>
      </c>
    </row>
    <row r="765" spans="1:22" customFormat="1" ht="15" x14ac:dyDescent="0.25">
      <c r="A765" t="s">
        <v>167</v>
      </c>
      <c r="B765" t="s">
        <v>4075</v>
      </c>
      <c r="E765" s="1526" t="s">
        <v>846</v>
      </c>
      <c r="F765" s="1507"/>
      <c r="G765" s="584" t="s">
        <v>845</v>
      </c>
      <c r="H765" s="650">
        <v>4.0000000000000002E-4</v>
      </c>
      <c r="K765" t="s">
        <v>1053</v>
      </c>
      <c r="L765" t="s">
        <v>968</v>
      </c>
      <c r="P765" t="s">
        <v>1066</v>
      </c>
      <c r="V765">
        <v>65</v>
      </c>
    </row>
    <row r="766" spans="1:22" customFormat="1" ht="15" x14ac:dyDescent="0.25">
      <c r="A766" t="s">
        <v>167</v>
      </c>
      <c r="B766" t="s">
        <v>4075</v>
      </c>
      <c r="E766" s="1507" t="s">
        <v>847</v>
      </c>
      <c r="F766" s="1507"/>
      <c r="G766" s="584" t="s">
        <v>845</v>
      </c>
      <c r="H766" s="650">
        <v>1.5E-3</v>
      </c>
      <c r="K766" t="s">
        <v>1053</v>
      </c>
      <c r="L766" t="s">
        <v>968</v>
      </c>
      <c r="P766" t="s">
        <v>1067</v>
      </c>
      <c r="V766">
        <v>57</v>
      </c>
    </row>
    <row r="767" spans="1:22" customFormat="1" ht="15" x14ac:dyDescent="0.25">
      <c r="A767" t="s">
        <v>167</v>
      </c>
      <c r="B767" t="s">
        <v>4075</v>
      </c>
      <c r="E767" s="1507" t="s">
        <v>848</v>
      </c>
      <c r="F767" s="1507"/>
      <c r="G767" s="584" t="s">
        <v>777</v>
      </c>
      <c r="H767" s="650">
        <v>0.25</v>
      </c>
      <c r="K767" t="s">
        <v>1053</v>
      </c>
      <c r="L767" t="s">
        <v>968</v>
      </c>
      <c r="P767" t="s">
        <v>1068</v>
      </c>
      <c r="V767">
        <v>63</v>
      </c>
    </row>
    <row r="768" spans="1:22" customFormat="1" x14ac:dyDescent="0.25">
      <c r="A768" t="s">
        <v>167</v>
      </c>
      <c r="B768" t="s">
        <v>4075</v>
      </c>
      <c r="E768" s="1492" t="s">
        <v>4002</v>
      </c>
      <c r="F768" s="1492"/>
      <c r="G768" s="1493"/>
      <c r="H768" s="1493"/>
      <c r="K768" t="s">
        <v>4003</v>
      </c>
      <c r="V768">
        <v>36</v>
      </c>
    </row>
    <row r="769" spans="1:22" customFormat="1" ht="15" x14ac:dyDescent="0.25">
      <c r="A769" t="s">
        <v>167</v>
      </c>
      <c r="B769" t="s">
        <v>4075</v>
      </c>
      <c r="E769" s="1516" t="s">
        <v>4143</v>
      </c>
      <c r="F769" s="1516"/>
      <c r="G769" s="1516"/>
      <c r="H769" s="1516"/>
      <c r="K769" t="s">
        <v>4003</v>
      </c>
      <c r="V769">
        <v>253</v>
      </c>
    </row>
    <row r="770" spans="1:22" customFormat="1" ht="15" x14ac:dyDescent="0.25">
      <c r="A770" t="s">
        <v>167</v>
      </c>
      <c r="B770" t="s">
        <v>4075</v>
      </c>
      <c r="E770" s="1515" t="s">
        <v>950</v>
      </c>
      <c r="F770" s="1549"/>
      <c r="G770" s="1516"/>
      <c r="H770" s="1516"/>
      <c r="K770" t="s">
        <v>1071</v>
      </c>
      <c r="V770">
        <v>11</v>
      </c>
    </row>
    <row r="771" spans="1:22" customFormat="1" ht="15" x14ac:dyDescent="0.25">
      <c r="A771" t="s">
        <v>167</v>
      </c>
      <c r="B771" t="s">
        <v>4075</v>
      </c>
      <c r="E771" s="1516" t="s">
        <v>951</v>
      </c>
      <c r="F771" s="1516"/>
      <c r="G771" s="1516"/>
      <c r="H771" s="1516"/>
      <c r="K771" t="s">
        <v>4003</v>
      </c>
      <c r="V771">
        <v>280</v>
      </c>
    </row>
    <row r="772" spans="1:22" customFormat="1" ht="15" x14ac:dyDescent="0.25">
      <c r="A772" t="s">
        <v>167</v>
      </c>
      <c r="B772" t="s">
        <v>4075</v>
      </c>
      <c r="E772" s="1516" t="s">
        <v>952</v>
      </c>
      <c r="F772" s="1516"/>
      <c r="G772" s="1516"/>
      <c r="H772" s="1516"/>
      <c r="K772" t="s">
        <v>4003</v>
      </c>
      <c r="V772">
        <v>411</v>
      </c>
    </row>
    <row r="773" spans="1:22" customFormat="1" ht="15" x14ac:dyDescent="0.25">
      <c r="A773" t="s">
        <v>167</v>
      </c>
      <c r="B773" t="s">
        <v>4075</v>
      </c>
      <c r="E773" s="1516" t="s">
        <v>1103</v>
      </c>
      <c r="F773" s="1516"/>
      <c r="G773" s="1516"/>
      <c r="H773" s="1516"/>
      <c r="K773" t="s">
        <v>4003</v>
      </c>
      <c r="V773">
        <v>211</v>
      </c>
    </row>
    <row r="774" spans="1:22" customFormat="1" ht="15" x14ac:dyDescent="0.25">
      <c r="A774" t="s">
        <v>167</v>
      </c>
      <c r="B774" t="s">
        <v>4075</v>
      </c>
      <c r="E774" s="1516" t="s">
        <v>954</v>
      </c>
      <c r="F774" s="1516"/>
      <c r="G774" s="1516"/>
      <c r="H774" s="1516"/>
      <c r="K774" t="s">
        <v>4003</v>
      </c>
      <c r="V774">
        <v>246</v>
      </c>
    </row>
    <row r="775" spans="1:22" customFormat="1" ht="15" x14ac:dyDescent="0.25">
      <c r="A775" t="s">
        <v>167</v>
      </c>
      <c r="B775" t="s">
        <v>4075</v>
      </c>
      <c r="E775" s="1515" t="s">
        <v>4144</v>
      </c>
      <c r="F775" s="1549"/>
      <c r="G775" s="1516"/>
      <c r="H775" s="1516"/>
      <c r="K775" t="s">
        <v>1075</v>
      </c>
      <c r="V775">
        <v>47</v>
      </c>
    </row>
    <row r="776" spans="1:22" customFormat="1" ht="15" x14ac:dyDescent="0.25">
      <c r="A776" t="s">
        <v>167</v>
      </c>
      <c r="B776" t="s">
        <v>4075</v>
      </c>
      <c r="E776" s="1507" t="s">
        <v>4145</v>
      </c>
      <c r="F776" s="1507"/>
      <c r="G776" s="1507"/>
      <c r="H776" s="1507"/>
      <c r="K776" t="s">
        <v>4003</v>
      </c>
      <c r="V776">
        <v>414</v>
      </c>
    </row>
    <row r="777" spans="1:22" customFormat="1" ht="15" x14ac:dyDescent="0.25">
      <c r="A777" t="s">
        <v>167</v>
      </c>
      <c r="B777" t="s">
        <v>4075</v>
      </c>
      <c r="E777" s="1507" t="s">
        <v>4146</v>
      </c>
      <c r="F777" s="1507"/>
      <c r="G777" s="393" t="s">
        <v>3775</v>
      </c>
      <c r="H777" s="650">
        <v>5.6223000000000001</v>
      </c>
      <c r="K777" t="s">
        <v>4003</v>
      </c>
      <c r="L777" t="s">
        <v>690</v>
      </c>
      <c r="P777" t="s">
        <v>4147</v>
      </c>
      <c r="V777">
        <v>323</v>
      </c>
    </row>
    <row r="778" spans="1:22" customFormat="1" ht="15" x14ac:dyDescent="0.25">
      <c r="A778" t="s">
        <v>167</v>
      </c>
      <c r="B778" t="s">
        <v>4075</v>
      </c>
      <c r="E778" s="1507" t="s">
        <v>4148</v>
      </c>
      <c r="F778" s="1507"/>
      <c r="G778" s="393" t="s">
        <v>3775</v>
      </c>
      <c r="H778" s="650">
        <v>2.839</v>
      </c>
      <c r="K778" t="s">
        <v>4003</v>
      </c>
      <c r="L778" t="s">
        <v>690</v>
      </c>
      <c r="P778" t="s">
        <v>4147</v>
      </c>
      <c r="V778">
        <v>326</v>
      </c>
    </row>
    <row r="779" spans="1:22" customFormat="1" ht="15" x14ac:dyDescent="0.25">
      <c r="A779" t="s">
        <v>167</v>
      </c>
      <c r="B779" t="s">
        <v>4075</v>
      </c>
      <c r="E779" s="1507" t="s">
        <v>4149</v>
      </c>
      <c r="F779" s="1507"/>
      <c r="G779" s="393" t="s">
        <v>3775</v>
      </c>
      <c r="H779" s="650">
        <v>3.5908000000000002</v>
      </c>
      <c r="K779" t="s">
        <v>4003</v>
      </c>
      <c r="L779" t="s">
        <v>690</v>
      </c>
      <c r="P779" t="s">
        <v>4147</v>
      </c>
      <c r="V779">
        <v>304</v>
      </c>
    </row>
    <row r="780" spans="1:22" customFormat="1" x14ac:dyDescent="0.25">
      <c r="A780" t="s">
        <v>167</v>
      </c>
      <c r="B780" t="s">
        <v>4075</v>
      </c>
      <c r="E780" s="1492" t="s">
        <v>207</v>
      </c>
      <c r="F780" s="1492"/>
      <c r="G780" s="1493"/>
      <c r="H780" s="1493"/>
      <c r="K780" t="s">
        <v>3902</v>
      </c>
      <c r="V780">
        <v>31</v>
      </c>
    </row>
    <row r="781" spans="1:22" customFormat="1" ht="15" x14ac:dyDescent="0.25">
      <c r="A781" t="s">
        <v>167</v>
      </c>
      <c r="B781" t="s">
        <v>4075</v>
      </c>
      <c r="E781" s="1516" t="s">
        <v>4150</v>
      </c>
      <c r="F781" s="1516"/>
      <c r="G781" s="1516"/>
      <c r="H781" s="1516"/>
      <c r="K781" t="s">
        <v>3902</v>
      </c>
      <c r="V781">
        <v>286</v>
      </c>
    </row>
    <row r="782" spans="1:22" customFormat="1" ht="15" x14ac:dyDescent="0.25">
      <c r="A782" t="s">
        <v>167</v>
      </c>
      <c r="B782" t="s">
        <v>4075</v>
      </c>
      <c r="E782" s="1515" t="s">
        <v>950</v>
      </c>
      <c r="F782" s="1549"/>
      <c r="G782" s="1516"/>
      <c r="H782" s="1516"/>
      <c r="K782" t="s">
        <v>3904</v>
      </c>
      <c r="V782">
        <v>11</v>
      </c>
    </row>
    <row r="783" spans="1:22" customFormat="1" ht="15" x14ac:dyDescent="0.25">
      <c r="A783" t="s">
        <v>167</v>
      </c>
      <c r="B783" t="s">
        <v>4075</v>
      </c>
      <c r="E783" s="1516" t="s">
        <v>951</v>
      </c>
      <c r="F783" s="1516"/>
      <c r="G783" s="1516"/>
      <c r="H783" s="1516"/>
      <c r="K783" t="s">
        <v>3902</v>
      </c>
      <c r="V783">
        <v>280</v>
      </c>
    </row>
    <row r="784" spans="1:22" customFormat="1" ht="15" x14ac:dyDescent="0.25">
      <c r="A784" t="s">
        <v>167</v>
      </c>
      <c r="B784" t="s">
        <v>4075</v>
      </c>
      <c r="E784" s="1516" t="s">
        <v>952</v>
      </c>
      <c r="F784" s="1516"/>
      <c r="G784" s="1516"/>
      <c r="H784" s="1516"/>
      <c r="K784" t="s">
        <v>3902</v>
      </c>
      <c r="V784">
        <v>411</v>
      </c>
    </row>
    <row r="785" spans="1:22" customFormat="1" ht="15" x14ac:dyDescent="0.25">
      <c r="A785" t="s">
        <v>167</v>
      </c>
      <c r="B785" t="s">
        <v>4075</v>
      </c>
      <c r="E785" s="1516" t="s">
        <v>953</v>
      </c>
      <c r="F785" s="1516"/>
      <c r="G785" s="1516"/>
      <c r="H785" s="1516"/>
      <c r="K785" t="s">
        <v>3902</v>
      </c>
      <c r="V785">
        <v>386</v>
      </c>
    </row>
    <row r="786" spans="1:22" customFormat="1" ht="15" x14ac:dyDescent="0.25">
      <c r="A786" t="s">
        <v>167</v>
      </c>
      <c r="B786" t="s">
        <v>4075</v>
      </c>
      <c r="E786" s="1516" t="s">
        <v>3762</v>
      </c>
      <c r="F786" s="1516"/>
      <c r="G786" s="1516"/>
      <c r="H786" s="1516"/>
      <c r="K786" t="s">
        <v>3902</v>
      </c>
      <c r="V786">
        <v>247</v>
      </c>
    </row>
    <row r="787" spans="1:22" customFormat="1" ht="15" x14ac:dyDescent="0.25">
      <c r="A787" t="s">
        <v>167</v>
      </c>
      <c r="B787" t="s">
        <v>4075</v>
      </c>
      <c r="E787" s="1515" t="s">
        <v>956</v>
      </c>
      <c r="F787" s="1549"/>
      <c r="G787" s="1516"/>
      <c r="H787" s="1516"/>
      <c r="K787" t="s">
        <v>3905</v>
      </c>
      <c r="V787">
        <v>46</v>
      </c>
    </row>
    <row r="788" spans="1:22" customFormat="1" ht="15" x14ac:dyDescent="0.25">
      <c r="A788" t="s">
        <v>167</v>
      </c>
      <c r="B788" t="s">
        <v>4075</v>
      </c>
      <c r="E788" s="1507" t="s">
        <v>3773</v>
      </c>
      <c r="F788" s="1507"/>
      <c r="G788" s="584" t="s">
        <v>777</v>
      </c>
      <c r="H788" s="650">
        <v>5</v>
      </c>
      <c r="K788" t="s">
        <v>3902</v>
      </c>
      <c r="L788" t="s">
        <v>690</v>
      </c>
      <c r="P788" t="s">
        <v>3906</v>
      </c>
      <c r="V788">
        <v>14</v>
      </c>
    </row>
    <row r="789" spans="1:22" customFormat="1" ht="23.25" x14ac:dyDescent="0.25">
      <c r="A789" t="s">
        <v>167</v>
      </c>
      <c r="B789" t="s">
        <v>4075</v>
      </c>
      <c r="E789" s="685" t="s">
        <v>3825</v>
      </c>
      <c r="F789" s="687"/>
      <c r="G789" s="688"/>
      <c r="H789" s="475"/>
      <c r="K789" t="s">
        <v>4048</v>
      </c>
      <c r="V789">
        <v>10</v>
      </c>
    </row>
    <row r="790" spans="1:22" customFormat="1" ht="15" x14ac:dyDescent="0.25">
      <c r="A790" t="s">
        <v>167</v>
      </c>
      <c r="B790" t="s">
        <v>4075</v>
      </c>
      <c r="E790" s="1545" t="s">
        <v>1078</v>
      </c>
      <c r="F790" s="1507"/>
      <c r="G790" s="624" t="s">
        <v>3775</v>
      </c>
      <c r="H790" s="650">
        <v>-0.4</v>
      </c>
      <c r="V790">
        <v>68</v>
      </c>
    </row>
    <row r="791" spans="1:22" customFormat="1" ht="15" x14ac:dyDescent="0.25">
      <c r="A791" t="s">
        <v>167</v>
      </c>
      <c r="B791" t="s">
        <v>4075</v>
      </c>
      <c r="E791" s="1545" t="s">
        <v>3827</v>
      </c>
      <c r="F791" s="1507"/>
      <c r="G791" s="624" t="s">
        <v>1118</v>
      </c>
      <c r="H791" s="650">
        <v>-1</v>
      </c>
      <c r="V791">
        <v>89</v>
      </c>
    </row>
    <row r="792" spans="1:22" customFormat="1" ht="36" x14ac:dyDescent="0.25">
      <c r="A792" t="s">
        <v>167</v>
      </c>
      <c r="B792" t="s">
        <v>4075</v>
      </c>
      <c r="E792" s="685" t="s">
        <v>3828</v>
      </c>
      <c r="F792" s="689"/>
      <c r="G792" s="688"/>
      <c r="H792" s="475"/>
      <c r="K792" t="s">
        <v>4052</v>
      </c>
      <c r="V792">
        <v>24</v>
      </c>
    </row>
    <row r="793" spans="1:22" customFormat="1" ht="15" x14ac:dyDescent="0.25">
      <c r="A793" t="s">
        <v>167</v>
      </c>
      <c r="B793" t="s">
        <v>4075</v>
      </c>
      <c r="E793" s="1719" t="s">
        <v>950</v>
      </c>
      <c r="F793" s="1719"/>
      <c r="G793" s="1516"/>
      <c r="H793" s="1516"/>
      <c r="V793">
        <v>11</v>
      </c>
    </row>
    <row r="794" spans="1:22" customFormat="1" ht="15" x14ac:dyDescent="0.25">
      <c r="A794" t="s">
        <v>167</v>
      </c>
      <c r="B794" t="s">
        <v>4075</v>
      </c>
      <c r="E794" s="1516" t="s">
        <v>951</v>
      </c>
      <c r="F794" s="1516"/>
      <c r="G794" s="1516"/>
      <c r="H794" s="1516"/>
      <c r="V794">
        <v>280</v>
      </c>
    </row>
    <row r="795" spans="1:22" customFormat="1" ht="15" x14ac:dyDescent="0.25">
      <c r="A795" t="s">
        <v>167</v>
      </c>
      <c r="B795" t="s">
        <v>4075</v>
      </c>
      <c r="E795" s="1516" t="s">
        <v>1081</v>
      </c>
      <c r="F795" s="1516"/>
      <c r="G795" s="1516"/>
      <c r="H795" s="1516"/>
      <c r="V795">
        <v>353</v>
      </c>
    </row>
    <row r="796" spans="1:22" customFormat="1" ht="15" x14ac:dyDescent="0.25">
      <c r="A796" t="s">
        <v>167</v>
      </c>
      <c r="B796" t="s">
        <v>4075</v>
      </c>
      <c r="E796" s="1563" t="s">
        <v>954</v>
      </c>
      <c r="F796" s="1563"/>
      <c r="G796" s="1563"/>
      <c r="H796" s="1563"/>
      <c r="V796">
        <v>246</v>
      </c>
    </row>
    <row r="797" spans="1:22" customFormat="1" ht="15" x14ac:dyDescent="0.25">
      <c r="A797" t="s">
        <v>167</v>
      </c>
      <c r="B797" t="s">
        <v>4075</v>
      </c>
      <c r="E797" s="686" t="s">
        <v>3830</v>
      </c>
      <c r="F797" s="690"/>
      <c r="G797" s="691"/>
      <c r="H797" s="692"/>
      <c r="K797" t="s">
        <v>4053</v>
      </c>
      <c r="V797">
        <v>23</v>
      </c>
    </row>
    <row r="798" spans="1:22" customFormat="1" ht="15" x14ac:dyDescent="0.25">
      <c r="A798" t="s">
        <v>167</v>
      </c>
      <c r="B798" t="s">
        <v>4075</v>
      </c>
      <c r="E798" s="1517" t="s">
        <v>3832</v>
      </c>
      <c r="F798" s="1517"/>
      <c r="G798" s="584" t="s">
        <v>777</v>
      </c>
      <c r="H798" s="650">
        <v>15</v>
      </c>
      <c r="V798">
        <v>19</v>
      </c>
    </row>
    <row r="799" spans="1:22" customFormat="1" ht="15" x14ac:dyDescent="0.25">
      <c r="A799" t="s">
        <v>167</v>
      </c>
      <c r="B799" t="s">
        <v>4075</v>
      </c>
      <c r="E799" s="1517" t="s">
        <v>4055</v>
      </c>
      <c r="F799" s="1517"/>
      <c r="G799" s="584" t="s">
        <v>777</v>
      </c>
      <c r="H799" s="650">
        <v>15</v>
      </c>
      <c r="V799">
        <v>37</v>
      </c>
    </row>
    <row r="800" spans="1:22" customFormat="1" ht="15" x14ac:dyDescent="0.25">
      <c r="A800" t="s">
        <v>167</v>
      </c>
      <c r="B800" t="s">
        <v>4075</v>
      </c>
      <c r="E800" s="1517" t="s">
        <v>3835</v>
      </c>
      <c r="F800" s="1517"/>
      <c r="G800" s="584" t="s">
        <v>777</v>
      </c>
      <c r="H800" s="650">
        <v>15</v>
      </c>
      <c r="V800">
        <v>56</v>
      </c>
    </row>
    <row r="801" spans="1:22" customFormat="1" ht="15" x14ac:dyDescent="0.25">
      <c r="A801" t="s">
        <v>167</v>
      </c>
      <c r="B801" t="s">
        <v>4075</v>
      </c>
      <c r="E801" s="1517" t="s">
        <v>4151</v>
      </c>
      <c r="F801" s="1517"/>
      <c r="G801" s="584" t="s">
        <v>777</v>
      </c>
      <c r="H801" s="650">
        <v>25</v>
      </c>
      <c r="V801">
        <v>74</v>
      </c>
    </row>
    <row r="802" spans="1:22" customFormat="1" ht="15" x14ac:dyDescent="0.25">
      <c r="A802" t="s">
        <v>167</v>
      </c>
      <c r="B802" t="s">
        <v>4075</v>
      </c>
      <c r="E802" s="1517" t="s">
        <v>4057</v>
      </c>
      <c r="F802" s="1517"/>
      <c r="G802" s="584" t="s">
        <v>777</v>
      </c>
      <c r="H802" s="650">
        <v>15</v>
      </c>
      <c r="V802">
        <v>17</v>
      </c>
    </row>
    <row r="803" spans="1:22" customFormat="1" ht="15" x14ac:dyDescent="0.25">
      <c r="A803" t="s">
        <v>167</v>
      </c>
      <c r="B803" t="s">
        <v>4075</v>
      </c>
      <c r="E803" s="1517" t="s">
        <v>3836</v>
      </c>
      <c r="F803" s="1517"/>
      <c r="G803" s="584" t="s">
        <v>777</v>
      </c>
      <c r="H803" s="650">
        <v>12.5</v>
      </c>
      <c r="V803">
        <v>35</v>
      </c>
    </row>
    <row r="804" spans="1:22" customFormat="1" ht="15" x14ac:dyDescent="0.25">
      <c r="A804" t="s">
        <v>167</v>
      </c>
      <c r="B804" t="s">
        <v>4075</v>
      </c>
      <c r="E804" s="1517" t="s">
        <v>3837</v>
      </c>
      <c r="F804" s="1517"/>
      <c r="G804" s="584" t="s">
        <v>777</v>
      </c>
      <c r="H804" s="650">
        <v>30</v>
      </c>
      <c r="V804">
        <v>89</v>
      </c>
    </row>
    <row r="805" spans="1:22" customFormat="1" ht="15" x14ac:dyDescent="0.25">
      <c r="A805" t="s">
        <v>167</v>
      </c>
      <c r="B805" t="s">
        <v>4075</v>
      </c>
      <c r="E805" s="1517" t="s">
        <v>4152</v>
      </c>
      <c r="F805" s="1517"/>
      <c r="G805" s="584" t="s">
        <v>777</v>
      </c>
      <c r="H805" s="650">
        <v>20</v>
      </c>
      <c r="V805">
        <v>103</v>
      </c>
    </row>
    <row r="806" spans="1:22" customFormat="1" ht="15" x14ac:dyDescent="0.25">
      <c r="A806" t="s">
        <v>167</v>
      </c>
      <c r="B806" t="s">
        <v>4075</v>
      </c>
      <c r="E806" s="1517" t="s">
        <v>3838</v>
      </c>
      <c r="F806" s="1517"/>
      <c r="G806" s="584" t="s">
        <v>777</v>
      </c>
      <c r="H806" s="650">
        <v>10</v>
      </c>
      <c r="V806">
        <v>74</v>
      </c>
    </row>
    <row r="807" spans="1:22" customFormat="1" ht="15" x14ac:dyDescent="0.25">
      <c r="A807" t="s">
        <v>167</v>
      </c>
      <c r="B807" t="s">
        <v>4075</v>
      </c>
      <c r="E807" s="1517" t="s">
        <v>3914</v>
      </c>
      <c r="F807" s="1517"/>
      <c r="G807" s="584" t="s">
        <v>777</v>
      </c>
      <c r="H807" s="650">
        <v>30</v>
      </c>
      <c r="V807">
        <v>19</v>
      </c>
    </row>
    <row r="808" spans="1:22" customFormat="1" ht="15" x14ac:dyDescent="0.25">
      <c r="A808" t="s">
        <v>167</v>
      </c>
      <c r="B808" t="s">
        <v>4075</v>
      </c>
      <c r="E808" s="1517" t="s">
        <v>4153</v>
      </c>
      <c r="F808" s="1517"/>
      <c r="G808" s="584" t="s">
        <v>777</v>
      </c>
      <c r="H808" s="650">
        <v>40</v>
      </c>
      <c r="V808">
        <v>29</v>
      </c>
    </row>
    <row r="809" spans="1:22" customFormat="1" ht="15" x14ac:dyDescent="0.25">
      <c r="A809" t="s">
        <v>167</v>
      </c>
      <c r="B809" t="s">
        <v>4075</v>
      </c>
      <c r="E809" s="686" t="s">
        <v>4062</v>
      </c>
      <c r="F809" s="690"/>
      <c r="G809" s="691"/>
      <c r="H809" s="692"/>
      <c r="K809" t="s">
        <v>4063</v>
      </c>
      <c r="V809">
        <v>22</v>
      </c>
    </row>
    <row r="810" spans="1:22" customFormat="1" ht="15" x14ac:dyDescent="0.25">
      <c r="A810" t="s">
        <v>167</v>
      </c>
      <c r="B810" t="s">
        <v>4075</v>
      </c>
      <c r="E810" s="1517" t="s">
        <v>4064</v>
      </c>
      <c r="F810" s="1517"/>
      <c r="G810" s="584" t="s">
        <v>1118</v>
      </c>
      <c r="H810" s="650">
        <v>1.5</v>
      </c>
      <c r="V810">
        <v>99</v>
      </c>
    </row>
    <row r="811" spans="1:22" customFormat="1" ht="15" x14ac:dyDescent="0.25">
      <c r="A811" t="s">
        <v>167</v>
      </c>
      <c r="B811" t="s">
        <v>4075</v>
      </c>
      <c r="E811" s="1517" t="s">
        <v>3842</v>
      </c>
      <c r="F811" s="1517"/>
      <c r="G811" s="584" t="s">
        <v>777</v>
      </c>
      <c r="H811" s="650">
        <v>20</v>
      </c>
      <c r="V811">
        <v>44</v>
      </c>
    </row>
    <row r="812" spans="1:22" customFormat="1" ht="15" x14ac:dyDescent="0.25">
      <c r="A812" t="s">
        <v>167</v>
      </c>
      <c r="B812" t="s">
        <v>4075</v>
      </c>
      <c r="E812" s="1517" t="s">
        <v>3844</v>
      </c>
      <c r="F812" s="1517"/>
      <c r="G812" s="584" t="s">
        <v>777</v>
      </c>
      <c r="H812" s="650">
        <v>185</v>
      </c>
      <c r="V812">
        <v>43</v>
      </c>
    </row>
    <row r="813" spans="1:22" customFormat="1" ht="15" x14ac:dyDescent="0.25">
      <c r="A813" t="s">
        <v>167</v>
      </c>
      <c r="B813" t="s">
        <v>4075</v>
      </c>
      <c r="E813" s="1517" t="s">
        <v>3845</v>
      </c>
      <c r="F813" s="1517"/>
      <c r="G813" s="584" t="s">
        <v>777</v>
      </c>
      <c r="H813" s="650">
        <v>415</v>
      </c>
      <c r="V813">
        <v>42</v>
      </c>
    </row>
    <row r="814" spans="1:22" customFormat="1" ht="15" x14ac:dyDescent="0.25">
      <c r="A814" t="s">
        <v>167</v>
      </c>
      <c r="B814" t="s">
        <v>4075</v>
      </c>
      <c r="E814" s="686" t="s">
        <v>3846</v>
      </c>
      <c r="F814" s="690"/>
      <c r="G814" s="691"/>
      <c r="H814" s="692"/>
      <c r="V814">
        <v>5</v>
      </c>
    </row>
    <row r="815" spans="1:22" customFormat="1" ht="15" x14ac:dyDescent="0.25">
      <c r="A815" t="s">
        <v>167</v>
      </c>
      <c r="B815" t="s">
        <v>4075</v>
      </c>
      <c r="E815" s="1509" t="s">
        <v>4154</v>
      </c>
      <c r="F815" s="1517"/>
      <c r="G815" s="693" t="s">
        <v>777</v>
      </c>
      <c r="H815" s="650">
        <v>400</v>
      </c>
      <c r="V815">
        <v>64</v>
      </c>
    </row>
    <row r="816" spans="1:22" customFormat="1" ht="15" x14ac:dyDescent="0.25">
      <c r="A816" t="s">
        <v>167</v>
      </c>
      <c r="B816" t="s">
        <v>4075</v>
      </c>
      <c r="E816" s="1509" t="s">
        <v>4069</v>
      </c>
      <c r="F816" s="1517"/>
      <c r="G816" s="694" t="s">
        <v>777</v>
      </c>
      <c r="H816" s="650">
        <v>39.14</v>
      </c>
      <c r="V816">
        <v>106</v>
      </c>
    </row>
    <row r="817" spans="1:22" customFormat="1" ht="36" x14ac:dyDescent="0.25">
      <c r="A817" t="s">
        <v>167</v>
      </c>
      <c r="B817" t="s">
        <v>4075</v>
      </c>
      <c r="E817" s="685" t="s">
        <v>3851</v>
      </c>
      <c r="F817" s="689"/>
      <c r="G817" s="688"/>
      <c r="H817" s="475"/>
      <c r="K817" t="s">
        <v>4070</v>
      </c>
      <c r="V817">
        <v>38</v>
      </c>
    </row>
    <row r="818" spans="1:22" customFormat="1" ht="15" x14ac:dyDescent="0.25">
      <c r="A818" t="s">
        <v>167</v>
      </c>
      <c r="B818" t="s">
        <v>4075</v>
      </c>
      <c r="E818" s="1516" t="s">
        <v>951</v>
      </c>
      <c r="F818" s="1516"/>
      <c r="G818" s="1516"/>
      <c r="H818" s="1516"/>
      <c r="V818">
        <v>280</v>
      </c>
    </row>
    <row r="819" spans="1:22" customFormat="1" ht="15" x14ac:dyDescent="0.25">
      <c r="A819" t="s">
        <v>167</v>
      </c>
      <c r="B819" t="s">
        <v>4075</v>
      </c>
      <c r="E819" s="1516" t="s">
        <v>952</v>
      </c>
      <c r="F819" s="1516"/>
      <c r="G819" s="1516"/>
      <c r="H819" s="1516"/>
      <c r="V819">
        <v>411</v>
      </c>
    </row>
    <row r="820" spans="1:22" customFormat="1" ht="15" x14ac:dyDescent="0.25">
      <c r="A820" t="s">
        <v>167</v>
      </c>
      <c r="B820" t="s">
        <v>4075</v>
      </c>
      <c r="E820" s="1516" t="s">
        <v>1103</v>
      </c>
      <c r="F820" s="1516"/>
      <c r="G820" s="1516"/>
      <c r="H820" s="1516"/>
      <c r="V820">
        <v>211</v>
      </c>
    </row>
    <row r="821" spans="1:22" customFormat="1" ht="15" x14ac:dyDescent="0.25">
      <c r="A821" t="s">
        <v>167</v>
      </c>
      <c r="B821" t="s">
        <v>4075</v>
      </c>
      <c r="E821" s="1516" t="s">
        <v>3762</v>
      </c>
      <c r="F821" s="1516"/>
      <c r="G821" s="1516"/>
      <c r="H821" s="1516"/>
      <c r="V821">
        <v>247</v>
      </c>
    </row>
    <row r="822" spans="1:22" customFormat="1" ht="15" x14ac:dyDescent="0.25">
      <c r="A822" t="s">
        <v>167</v>
      </c>
      <c r="B822" t="s">
        <v>4075</v>
      </c>
      <c r="E822" s="1516" t="s">
        <v>1104</v>
      </c>
      <c r="F822" s="1516"/>
      <c r="G822" s="1516"/>
      <c r="H822" s="1516"/>
      <c r="V822">
        <v>142</v>
      </c>
    </row>
    <row r="823" spans="1:22" customFormat="1" ht="15" x14ac:dyDescent="0.25">
      <c r="A823" t="s">
        <v>167</v>
      </c>
      <c r="B823" t="s">
        <v>4075</v>
      </c>
      <c r="E823" s="1507" t="s">
        <v>849</v>
      </c>
      <c r="F823" s="1507"/>
      <c r="G823" s="637" t="s">
        <v>777</v>
      </c>
      <c r="H823" s="650">
        <v>121.23</v>
      </c>
      <c r="V823">
        <v>106</v>
      </c>
    </row>
    <row r="824" spans="1:22" customFormat="1" ht="15" x14ac:dyDescent="0.25">
      <c r="A824" t="s">
        <v>167</v>
      </c>
      <c r="B824" t="s">
        <v>4075</v>
      </c>
      <c r="E824" s="1545" t="s">
        <v>850</v>
      </c>
      <c r="F824" s="1507"/>
      <c r="G824" s="637" t="s">
        <v>777</v>
      </c>
      <c r="H824" s="650">
        <v>48.5</v>
      </c>
      <c r="V824">
        <v>34</v>
      </c>
    </row>
    <row r="825" spans="1:22" customFormat="1" ht="15" x14ac:dyDescent="0.25">
      <c r="A825" t="s">
        <v>167</v>
      </c>
      <c r="B825" t="s">
        <v>4075</v>
      </c>
      <c r="E825" s="1545" t="s">
        <v>851</v>
      </c>
      <c r="F825" s="1507"/>
      <c r="G825" s="637" t="s">
        <v>852</v>
      </c>
      <c r="H825" s="650">
        <v>1.2</v>
      </c>
      <c r="V825">
        <v>51</v>
      </c>
    </row>
    <row r="826" spans="1:22" customFormat="1" ht="15" x14ac:dyDescent="0.25">
      <c r="A826" t="s">
        <v>167</v>
      </c>
      <c r="B826" t="s">
        <v>4075</v>
      </c>
      <c r="E826" s="1545" t="s">
        <v>853</v>
      </c>
      <c r="F826" s="1507"/>
      <c r="G826" s="637" t="s">
        <v>852</v>
      </c>
      <c r="H826" s="650">
        <v>0.71</v>
      </c>
      <c r="V826">
        <v>75</v>
      </c>
    </row>
    <row r="827" spans="1:22" customFormat="1" ht="15" x14ac:dyDescent="0.25">
      <c r="A827" t="s">
        <v>167</v>
      </c>
      <c r="B827" t="s">
        <v>4075</v>
      </c>
      <c r="E827" s="1545" t="s">
        <v>854</v>
      </c>
      <c r="F827" s="1507"/>
      <c r="G827" s="637" t="s">
        <v>852</v>
      </c>
      <c r="H827" s="650">
        <v>-0.71</v>
      </c>
      <c r="V827">
        <v>72</v>
      </c>
    </row>
    <row r="828" spans="1:22" customFormat="1" ht="15" x14ac:dyDescent="0.25">
      <c r="A828" t="s">
        <v>167</v>
      </c>
      <c r="B828" t="s">
        <v>4075</v>
      </c>
      <c r="E828" s="1545" t="s">
        <v>855</v>
      </c>
      <c r="F828" s="1507"/>
      <c r="G828" s="696"/>
      <c r="H828" s="650"/>
      <c r="V828">
        <v>34</v>
      </c>
    </row>
    <row r="829" spans="1:22" customFormat="1" ht="15" x14ac:dyDescent="0.25">
      <c r="A829" t="s">
        <v>167</v>
      </c>
      <c r="B829" t="s">
        <v>4075</v>
      </c>
      <c r="E829" s="1546" t="s">
        <v>1106</v>
      </c>
      <c r="F829" s="1511"/>
      <c r="G829" s="637" t="s">
        <v>777</v>
      </c>
      <c r="H829" s="650">
        <v>0.61</v>
      </c>
      <c r="V829">
        <v>57</v>
      </c>
    </row>
    <row r="830" spans="1:22" customFormat="1" ht="15" x14ac:dyDescent="0.25">
      <c r="A830" t="s">
        <v>167</v>
      </c>
      <c r="B830" t="s">
        <v>4075</v>
      </c>
      <c r="E830" s="1546" t="s">
        <v>1107</v>
      </c>
      <c r="F830" s="1511"/>
      <c r="G830" s="637" t="s">
        <v>777</v>
      </c>
      <c r="H830" s="650">
        <v>1.2</v>
      </c>
      <c r="V830">
        <v>60</v>
      </c>
    </row>
    <row r="831" spans="1:22" customFormat="1" ht="15" x14ac:dyDescent="0.25">
      <c r="A831" t="s">
        <v>167</v>
      </c>
      <c r="B831" t="s">
        <v>4075</v>
      </c>
      <c r="E831" s="1545" t="s">
        <v>1108</v>
      </c>
      <c r="F831" s="1507"/>
      <c r="G831" s="696"/>
      <c r="H831" s="697"/>
      <c r="V831">
        <v>91</v>
      </c>
    </row>
    <row r="832" spans="1:22" customFormat="1" ht="15" x14ac:dyDescent="0.25">
      <c r="A832" t="s">
        <v>167</v>
      </c>
      <c r="B832" t="s">
        <v>4075</v>
      </c>
      <c r="E832" s="1545" t="s">
        <v>1109</v>
      </c>
      <c r="F832" s="1507"/>
      <c r="G832" s="696"/>
      <c r="H832" s="697"/>
      <c r="V832">
        <v>96</v>
      </c>
    </row>
    <row r="833" spans="1:22" customFormat="1" ht="15" x14ac:dyDescent="0.25">
      <c r="A833" t="s">
        <v>167</v>
      </c>
      <c r="B833" t="s">
        <v>4075</v>
      </c>
      <c r="E833" s="1545" t="s">
        <v>856</v>
      </c>
      <c r="F833" s="1507"/>
      <c r="G833" s="696"/>
      <c r="H833" s="697"/>
      <c r="V833">
        <v>77</v>
      </c>
    </row>
    <row r="834" spans="1:22" customFormat="1" ht="15" x14ac:dyDescent="0.25">
      <c r="A834" t="s">
        <v>167</v>
      </c>
      <c r="B834" t="s">
        <v>4075</v>
      </c>
      <c r="E834" s="1546" t="s">
        <v>1111</v>
      </c>
      <c r="F834" s="1511"/>
      <c r="G834" s="637" t="s">
        <v>777</v>
      </c>
      <c r="H834" s="695" t="s">
        <v>857</v>
      </c>
      <c r="V834">
        <v>18</v>
      </c>
    </row>
    <row r="835" spans="1:22" customFormat="1" ht="15" x14ac:dyDescent="0.25">
      <c r="A835" t="s">
        <v>167</v>
      </c>
      <c r="B835" t="s">
        <v>4075</v>
      </c>
      <c r="E835" s="1546" t="s">
        <v>1112</v>
      </c>
      <c r="F835" s="1511"/>
      <c r="G835" s="637" t="s">
        <v>777</v>
      </c>
      <c r="H835" s="695">
        <v>4.8499999999999996</v>
      </c>
      <c r="V835">
        <v>69</v>
      </c>
    </row>
    <row r="836" spans="1:22" customFormat="1" ht="15" x14ac:dyDescent="0.25">
      <c r="A836" t="s">
        <v>167</v>
      </c>
      <c r="B836" t="s">
        <v>4075</v>
      </c>
      <c r="E836" s="1545" t="s">
        <v>858</v>
      </c>
      <c r="F836" s="1545"/>
      <c r="G836" s="637" t="s">
        <v>777</v>
      </c>
      <c r="H836" s="695">
        <v>2.42</v>
      </c>
      <c r="V836">
        <v>199</v>
      </c>
    </row>
    <row r="837" spans="1:22" customFormat="1" ht="23.25" x14ac:dyDescent="0.25">
      <c r="A837" t="s">
        <v>167</v>
      </c>
      <c r="B837" t="s">
        <v>4075</v>
      </c>
      <c r="E837" s="685" t="s">
        <v>3853</v>
      </c>
      <c r="F837" s="687"/>
      <c r="G837" s="688"/>
      <c r="H837" s="475"/>
      <c r="K837" t="s">
        <v>4071</v>
      </c>
      <c r="V837">
        <v>12</v>
      </c>
    </row>
    <row r="838" spans="1:22" customFormat="1" ht="15" x14ac:dyDescent="0.25">
      <c r="A838" t="s">
        <v>167</v>
      </c>
      <c r="B838" t="s">
        <v>4075</v>
      </c>
      <c r="E838" s="1507" t="s">
        <v>1114</v>
      </c>
      <c r="F838" s="1507"/>
      <c r="G838" s="1507"/>
      <c r="H838" s="1507"/>
      <c r="V838">
        <v>203</v>
      </c>
    </row>
    <row r="839" spans="1:22" customFormat="1" ht="15" x14ac:dyDescent="0.25">
      <c r="A839" t="s">
        <v>167</v>
      </c>
      <c r="B839" t="s">
        <v>4075</v>
      </c>
      <c r="E839" s="1524" t="s">
        <v>1115</v>
      </c>
      <c r="F839" s="1507"/>
      <c r="G839" s="360"/>
      <c r="H839" s="650">
        <v>1.036</v>
      </c>
      <c r="V839">
        <v>57</v>
      </c>
    </row>
    <row r="840" spans="1:22" customFormat="1" ht="15" x14ac:dyDescent="0.25">
      <c r="A840" t="s">
        <v>167</v>
      </c>
      <c r="B840" t="s">
        <v>4075</v>
      </c>
      <c r="E840" s="1524" t="s">
        <v>4072</v>
      </c>
      <c r="F840" s="1507"/>
      <c r="G840" s="360"/>
      <c r="H840" s="616">
        <v>1.0145</v>
      </c>
      <c r="V840">
        <v>57</v>
      </c>
    </row>
    <row r="841" spans="1:22" customFormat="1" ht="15" x14ac:dyDescent="0.25">
      <c r="A841" t="s">
        <v>167</v>
      </c>
      <c r="B841" t="s">
        <v>4075</v>
      </c>
      <c r="E841" s="1524" t="s">
        <v>1117</v>
      </c>
      <c r="F841" s="1507"/>
      <c r="G841" s="360"/>
      <c r="H841" s="616">
        <v>1.0256000000000001</v>
      </c>
      <c r="V841">
        <v>55</v>
      </c>
    </row>
    <row r="842" spans="1:22" customFormat="1" ht="15" x14ac:dyDescent="0.25">
      <c r="A842" t="s">
        <v>167</v>
      </c>
      <c r="B842" t="s">
        <v>4075</v>
      </c>
      <c r="E842" s="1524" t="s">
        <v>4073</v>
      </c>
      <c r="F842" s="1507"/>
      <c r="G842" s="637"/>
      <c r="H842" s="695">
        <v>1.0044999999999999</v>
      </c>
      <c r="J842" t="s">
        <v>4155</v>
      </c>
      <c r="V842">
        <v>55</v>
      </c>
    </row>
    <row r="843" spans="1:22" customFormat="1" ht="23.25" x14ac:dyDescent="0.25">
      <c r="A843" t="s">
        <v>167</v>
      </c>
      <c r="B843" t="s">
        <v>4156</v>
      </c>
      <c r="C843" t="s">
        <v>3755</v>
      </c>
      <c r="E843" s="1540" t="s">
        <v>167</v>
      </c>
      <c r="F843" s="1540"/>
      <c r="G843" s="1540"/>
      <c r="H843" s="1540"/>
      <c r="I843" t="s">
        <v>94</v>
      </c>
      <c r="J843" t="s">
        <v>4157</v>
      </c>
      <c r="K843" t="s">
        <v>167</v>
      </c>
      <c r="M843">
        <v>10</v>
      </c>
      <c r="V843">
        <v>29</v>
      </c>
    </row>
    <row r="844" spans="1:22" customFormat="1" ht="23.25" x14ac:dyDescent="0.25">
      <c r="A844" t="s">
        <v>167</v>
      </c>
      <c r="B844" t="s">
        <v>4156</v>
      </c>
      <c r="C844" t="s">
        <v>3757</v>
      </c>
      <c r="E844" s="1541" t="s">
        <v>193</v>
      </c>
      <c r="F844" s="1541"/>
      <c r="G844" s="1541"/>
      <c r="H844" s="1541"/>
      <c r="V844">
        <v>16</v>
      </c>
    </row>
    <row r="845" spans="1:22" customFormat="1" x14ac:dyDescent="0.25">
      <c r="A845" t="s">
        <v>167</v>
      </c>
      <c r="B845" t="s">
        <v>4156</v>
      </c>
      <c r="C845" t="s">
        <v>3758</v>
      </c>
      <c r="E845" s="1542" t="s">
        <v>944</v>
      </c>
      <c r="F845" s="1542"/>
      <c r="G845" s="1542"/>
      <c r="H845" s="1542"/>
      <c r="V845">
        <v>27</v>
      </c>
    </row>
    <row r="846" spans="1:22" customFormat="1" ht="15.75" x14ac:dyDescent="0.25">
      <c r="A846" t="s">
        <v>167</v>
      </c>
      <c r="B846" t="s">
        <v>4156</v>
      </c>
      <c r="C846" t="s">
        <v>3759</v>
      </c>
      <c r="E846" s="1543" t="s">
        <v>6511</v>
      </c>
      <c r="F846" s="1543"/>
      <c r="G846" s="1543"/>
      <c r="H846" s="1543"/>
      <c r="S846">
        <v>45658</v>
      </c>
      <c r="V846">
        <v>49</v>
      </c>
    </row>
    <row r="847" spans="1:22" customFormat="1" ht="15" x14ac:dyDescent="0.25">
      <c r="A847" t="s">
        <v>167</v>
      </c>
      <c r="B847" t="s">
        <v>4156</v>
      </c>
      <c r="E847" s="1544" t="s">
        <v>3921</v>
      </c>
      <c r="F847" s="1544"/>
      <c r="G847" s="1544"/>
      <c r="H847" s="1544"/>
      <c r="V847">
        <v>53</v>
      </c>
    </row>
    <row r="848" spans="1:22" customFormat="1" ht="15" x14ac:dyDescent="0.25">
      <c r="A848" t="s">
        <v>167</v>
      </c>
      <c r="B848" t="s">
        <v>4156</v>
      </c>
      <c r="E848" s="1544" t="s">
        <v>946</v>
      </c>
      <c r="F848" s="1544"/>
      <c r="G848" s="1544"/>
      <c r="H848" s="1544"/>
      <c r="V848">
        <v>53</v>
      </c>
    </row>
    <row r="849" spans="1:22" customFormat="1" ht="15" x14ac:dyDescent="0.25">
      <c r="A849" t="s">
        <v>167</v>
      </c>
      <c r="B849" t="s">
        <v>4156</v>
      </c>
      <c r="E849" s="1513" t="s">
        <v>6518</v>
      </c>
      <c r="F849" s="1513"/>
      <c r="G849" s="1513"/>
      <c r="H849" s="1513"/>
      <c r="K849" t="s">
        <v>6518</v>
      </c>
      <c r="V849">
        <v>12</v>
      </c>
    </row>
    <row r="850" spans="1:22" customFormat="1" ht="15" x14ac:dyDescent="0.25">
      <c r="A850" t="s">
        <v>167</v>
      </c>
      <c r="B850" t="s">
        <v>4156</v>
      </c>
      <c r="E850" s="1527" t="s">
        <v>170</v>
      </c>
      <c r="F850" s="1516"/>
      <c r="G850" s="1516"/>
      <c r="H850" s="1516"/>
      <c r="K850" t="s">
        <v>947</v>
      </c>
      <c r="V850">
        <v>34</v>
      </c>
    </row>
    <row r="851" spans="1:22" customFormat="1" ht="15" x14ac:dyDescent="0.25">
      <c r="A851" t="s">
        <v>167</v>
      </c>
      <c r="B851" t="s">
        <v>4156</v>
      </c>
      <c r="E851" s="1516" t="s">
        <v>4158</v>
      </c>
      <c r="F851" s="1516"/>
      <c r="G851" s="1516"/>
      <c r="H851" s="1516"/>
      <c r="K851" t="s">
        <v>947</v>
      </c>
      <c r="V851">
        <v>618</v>
      </c>
    </row>
    <row r="852" spans="1:22" customFormat="1" ht="15" x14ac:dyDescent="0.25">
      <c r="A852" t="s">
        <v>167</v>
      </c>
      <c r="B852" t="s">
        <v>4156</v>
      </c>
      <c r="E852" s="1515" t="s">
        <v>950</v>
      </c>
      <c r="F852" s="1516"/>
      <c r="G852" s="1516"/>
      <c r="H852" s="1516"/>
      <c r="K852" t="s">
        <v>949</v>
      </c>
      <c r="V852">
        <v>11</v>
      </c>
    </row>
    <row r="853" spans="1:22" customFormat="1" ht="15" x14ac:dyDescent="0.25">
      <c r="A853" t="s">
        <v>167</v>
      </c>
      <c r="B853" t="s">
        <v>4156</v>
      </c>
      <c r="E853" s="1516" t="s">
        <v>951</v>
      </c>
      <c r="F853" s="1516"/>
      <c r="G853" s="1516"/>
      <c r="H853" s="1516"/>
      <c r="K853" t="s">
        <v>947</v>
      </c>
      <c r="V853">
        <v>280</v>
      </c>
    </row>
    <row r="854" spans="1:22" customFormat="1" ht="15" x14ac:dyDescent="0.25">
      <c r="A854" t="s">
        <v>167</v>
      </c>
      <c r="B854" t="s">
        <v>4156</v>
      </c>
      <c r="E854" s="1516" t="s">
        <v>952</v>
      </c>
      <c r="F854" s="1516"/>
      <c r="G854" s="1516"/>
      <c r="H854" s="1516"/>
      <c r="K854" t="s">
        <v>947</v>
      </c>
      <c r="V854">
        <v>411</v>
      </c>
    </row>
    <row r="855" spans="1:22" customFormat="1" ht="15" x14ac:dyDescent="0.25">
      <c r="A855" t="s">
        <v>167</v>
      </c>
      <c r="B855" t="s">
        <v>4156</v>
      </c>
      <c r="E855" s="1516" t="s">
        <v>3761</v>
      </c>
      <c r="F855" s="1516"/>
      <c r="G855" s="1516"/>
      <c r="H855" s="1516"/>
      <c r="K855" t="s">
        <v>947</v>
      </c>
      <c r="V855">
        <v>387</v>
      </c>
    </row>
    <row r="856" spans="1:22" customFormat="1" ht="15" x14ac:dyDescent="0.25">
      <c r="A856" t="s">
        <v>167</v>
      </c>
      <c r="B856" t="s">
        <v>4156</v>
      </c>
      <c r="E856" s="1516" t="s">
        <v>954</v>
      </c>
      <c r="F856" s="1516"/>
      <c r="G856" s="1516"/>
      <c r="H856" s="1516"/>
      <c r="K856" t="s">
        <v>947</v>
      </c>
      <c r="V856">
        <v>246</v>
      </c>
    </row>
    <row r="857" spans="1:22" customFormat="1" ht="15" x14ac:dyDescent="0.25">
      <c r="A857" t="s">
        <v>167</v>
      </c>
      <c r="B857" t="s">
        <v>4156</v>
      </c>
      <c r="E857" s="1515" t="s">
        <v>956</v>
      </c>
      <c r="F857" s="1516"/>
      <c r="G857" s="1516"/>
      <c r="H857" s="1516"/>
      <c r="K857" t="s">
        <v>955</v>
      </c>
      <c r="V857">
        <v>46</v>
      </c>
    </row>
    <row r="858" spans="1:22" customFormat="1" ht="15" x14ac:dyDescent="0.25">
      <c r="A858" t="s">
        <v>167</v>
      </c>
      <c r="B858" t="s">
        <v>4156</v>
      </c>
      <c r="E858" s="1526" t="s">
        <v>3773</v>
      </c>
      <c r="F858" s="1507"/>
      <c r="G858" s="393" t="s">
        <v>777</v>
      </c>
      <c r="H858" s="650">
        <v>34.81</v>
      </c>
      <c r="K858" t="s">
        <v>947</v>
      </c>
      <c r="L858" t="s">
        <v>690</v>
      </c>
      <c r="P858" t="s">
        <v>957</v>
      </c>
      <c r="V858">
        <v>14</v>
      </c>
    </row>
    <row r="859" spans="1:22" customFormat="1" ht="15" x14ac:dyDescent="0.25">
      <c r="A859" t="s">
        <v>167</v>
      </c>
      <c r="B859" t="s">
        <v>4156</v>
      </c>
      <c r="E859" s="1526" t="s">
        <v>4159</v>
      </c>
      <c r="F859" s="1507"/>
      <c r="G859" s="393" t="s">
        <v>777</v>
      </c>
      <c r="H859" s="650">
        <v>-0.18</v>
      </c>
      <c r="K859" t="s">
        <v>947</v>
      </c>
      <c r="L859" t="s">
        <v>690</v>
      </c>
      <c r="P859" t="s">
        <v>4160</v>
      </c>
      <c r="T859">
        <v>45747</v>
      </c>
      <c r="V859">
        <v>93</v>
      </c>
    </row>
    <row r="860" spans="1:22" customFormat="1" ht="15" x14ac:dyDescent="0.25">
      <c r="A860" t="s">
        <v>167</v>
      </c>
      <c r="B860" t="s">
        <v>4156</v>
      </c>
      <c r="E860" s="1526" t="s">
        <v>960</v>
      </c>
      <c r="F860" s="1507"/>
      <c r="G860" s="393" t="s">
        <v>777</v>
      </c>
      <c r="H860" s="698">
        <v>0.42</v>
      </c>
      <c r="K860" t="s">
        <v>947</v>
      </c>
      <c r="L860" t="s">
        <v>692</v>
      </c>
      <c r="P860" t="s">
        <v>959</v>
      </c>
      <c r="V860">
        <v>64</v>
      </c>
    </row>
    <row r="861" spans="1:22" customFormat="1" ht="15" x14ac:dyDescent="0.25">
      <c r="A861" t="s">
        <v>167</v>
      </c>
      <c r="B861" t="s">
        <v>4156</v>
      </c>
      <c r="E861" s="1526" t="s">
        <v>910</v>
      </c>
      <c r="F861" s="1507"/>
      <c r="G861" s="393" t="s">
        <v>845</v>
      </c>
      <c r="H861" s="698">
        <v>1E-4</v>
      </c>
      <c r="K861" t="s">
        <v>947</v>
      </c>
      <c r="L861" t="s">
        <v>692</v>
      </c>
      <c r="P861" t="s">
        <v>961</v>
      </c>
      <c r="V861">
        <v>24</v>
      </c>
    </row>
    <row r="862" spans="1:22" customFormat="1" ht="15" x14ac:dyDescent="0.25">
      <c r="A862" t="s">
        <v>167</v>
      </c>
      <c r="B862" t="s">
        <v>4156</v>
      </c>
      <c r="E862" s="1526" t="s">
        <v>6519</v>
      </c>
      <c r="F862" s="1510"/>
      <c r="G862" s="393" t="s">
        <v>845</v>
      </c>
      <c r="H862" s="698">
        <v>8.0000000000000002E-3</v>
      </c>
      <c r="K862" t="s">
        <v>947</v>
      </c>
      <c r="L862" t="s">
        <v>692</v>
      </c>
      <c r="P862" t="s">
        <v>962</v>
      </c>
      <c r="T862">
        <v>46022</v>
      </c>
      <c r="V862">
        <v>142</v>
      </c>
    </row>
    <row r="863" spans="1:22" customFormat="1" ht="15" x14ac:dyDescent="0.25">
      <c r="A863" t="s">
        <v>167</v>
      </c>
      <c r="B863" t="s">
        <v>4156</v>
      </c>
      <c r="E863" s="1526" t="s">
        <v>6520</v>
      </c>
      <c r="F863" s="1510"/>
      <c r="G863" s="393" t="s">
        <v>845</v>
      </c>
      <c r="H863" s="698">
        <v>-1.1000000000000001E-3</v>
      </c>
      <c r="K863" t="s">
        <v>947</v>
      </c>
      <c r="L863" t="s">
        <v>692</v>
      </c>
      <c r="P863" t="s">
        <v>963</v>
      </c>
      <c r="T863">
        <v>46022</v>
      </c>
      <c r="V863">
        <v>99</v>
      </c>
    </row>
    <row r="864" spans="1:22" customFormat="1" ht="15" x14ac:dyDescent="0.25">
      <c r="A864" t="s">
        <v>167</v>
      </c>
      <c r="B864" t="s">
        <v>4156</v>
      </c>
      <c r="E864" s="1526" t="s">
        <v>6521</v>
      </c>
      <c r="F864" s="1510"/>
      <c r="G864" s="393" t="s">
        <v>845</v>
      </c>
      <c r="H864" s="698">
        <v>5.9999999999999995E-4</v>
      </c>
      <c r="K864" t="s">
        <v>947</v>
      </c>
      <c r="L864" t="s">
        <v>692</v>
      </c>
      <c r="P864" t="s">
        <v>3764</v>
      </c>
      <c r="T864">
        <v>46022</v>
      </c>
      <c r="V864">
        <v>149</v>
      </c>
    </row>
    <row r="865" spans="1:22" customFormat="1" ht="15" x14ac:dyDescent="0.25">
      <c r="A865" t="s">
        <v>167</v>
      </c>
      <c r="B865" t="s">
        <v>4156</v>
      </c>
      <c r="E865" s="1526" t="s">
        <v>243</v>
      </c>
      <c r="F865" s="1507"/>
      <c r="G865" s="393" t="s">
        <v>845</v>
      </c>
      <c r="H865" s="650">
        <v>1.1599999999999999E-2</v>
      </c>
      <c r="K865" t="s">
        <v>947</v>
      </c>
      <c r="L865" t="s">
        <v>694</v>
      </c>
      <c r="P865" t="s">
        <v>964</v>
      </c>
      <c r="V865">
        <v>47</v>
      </c>
    </row>
    <row r="866" spans="1:22" customFormat="1" ht="15" x14ac:dyDescent="0.25">
      <c r="A866" t="s">
        <v>167</v>
      </c>
      <c r="B866" t="s">
        <v>4156</v>
      </c>
      <c r="E866" s="1526" t="s">
        <v>175</v>
      </c>
      <c r="F866" s="1507"/>
      <c r="G866" s="393" t="s">
        <v>845</v>
      </c>
      <c r="H866" s="650">
        <v>8.3999999999999995E-3</v>
      </c>
      <c r="K866" t="s">
        <v>947</v>
      </c>
      <c r="L866" t="s">
        <v>694</v>
      </c>
      <c r="P866" t="s">
        <v>965</v>
      </c>
      <c r="V866">
        <v>74</v>
      </c>
    </row>
    <row r="867" spans="1:22" customFormat="1" ht="15" x14ac:dyDescent="0.25">
      <c r="A867" t="s">
        <v>167</v>
      </c>
      <c r="B867" t="s">
        <v>4156</v>
      </c>
      <c r="E867" s="1515" t="s">
        <v>967</v>
      </c>
      <c r="F867" s="1507"/>
      <c r="G867" s="1507"/>
      <c r="H867" s="1507"/>
      <c r="K867" t="s">
        <v>966</v>
      </c>
      <c r="V867">
        <v>48</v>
      </c>
    </row>
    <row r="868" spans="1:22" customFormat="1" ht="15" x14ac:dyDescent="0.25">
      <c r="A868" t="s">
        <v>167</v>
      </c>
      <c r="B868" t="s">
        <v>4156</v>
      </c>
      <c r="E868" s="1526" t="s">
        <v>844</v>
      </c>
      <c r="F868" s="1507"/>
      <c r="G868" s="393" t="s">
        <v>845</v>
      </c>
      <c r="H868" s="650">
        <v>4.1000000000000003E-3</v>
      </c>
      <c r="K868" t="s">
        <v>947</v>
      </c>
      <c r="L868" t="s">
        <v>968</v>
      </c>
      <c r="P868" t="s">
        <v>969</v>
      </c>
      <c r="V868">
        <v>55</v>
      </c>
    </row>
    <row r="869" spans="1:22" customFormat="1" ht="15" x14ac:dyDescent="0.25">
      <c r="A869" t="s">
        <v>167</v>
      </c>
      <c r="B869" t="s">
        <v>4156</v>
      </c>
      <c r="E869" s="1526" t="s">
        <v>846</v>
      </c>
      <c r="F869" s="1507"/>
      <c r="G869" s="393" t="s">
        <v>845</v>
      </c>
      <c r="H869" s="698">
        <v>4.0000000000000002E-4</v>
      </c>
      <c r="K869" t="s">
        <v>947</v>
      </c>
      <c r="L869" t="s">
        <v>968</v>
      </c>
      <c r="P869" t="s">
        <v>969</v>
      </c>
      <c r="V869">
        <v>65</v>
      </c>
    </row>
    <row r="870" spans="1:22" customFormat="1" ht="15" x14ac:dyDescent="0.25">
      <c r="A870" t="s">
        <v>167</v>
      </c>
      <c r="B870" t="s">
        <v>4156</v>
      </c>
      <c r="E870" s="1526" t="s">
        <v>847</v>
      </c>
      <c r="F870" s="1507"/>
      <c r="G870" s="393" t="s">
        <v>845</v>
      </c>
      <c r="H870" s="698">
        <v>1.5E-3</v>
      </c>
      <c r="K870" t="s">
        <v>947</v>
      </c>
      <c r="L870" t="s">
        <v>968</v>
      </c>
      <c r="P870" t="s">
        <v>970</v>
      </c>
      <c r="V870">
        <v>57</v>
      </c>
    </row>
    <row r="871" spans="1:22" customFormat="1" ht="15" x14ac:dyDescent="0.25">
      <c r="A871" t="s">
        <v>167</v>
      </c>
      <c r="B871" t="s">
        <v>4156</v>
      </c>
      <c r="E871" s="1526" t="s">
        <v>848</v>
      </c>
      <c r="F871" s="1507"/>
      <c r="G871" s="393" t="s">
        <v>777</v>
      </c>
      <c r="H871" s="698">
        <v>0.25</v>
      </c>
      <c r="K871" t="s">
        <v>947</v>
      </c>
      <c r="L871" t="s">
        <v>968</v>
      </c>
      <c r="P871" t="s">
        <v>971</v>
      </c>
      <c r="V871">
        <v>63</v>
      </c>
    </row>
    <row r="872" spans="1:22" customFormat="1" x14ac:dyDescent="0.25">
      <c r="A872" t="s">
        <v>167</v>
      </c>
      <c r="B872" t="s">
        <v>4156</v>
      </c>
      <c r="E872" s="1527" t="s">
        <v>174</v>
      </c>
      <c r="F872" s="1493"/>
      <c r="G872" s="1493"/>
      <c r="H872" s="1493"/>
      <c r="K872" t="s">
        <v>972</v>
      </c>
      <c r="V872">
        <v>54</v>
      </c>
    </row>
    <row r="873" spans="1:22" customFormat="1" ht="15" x14ac:dyDescent="0.25">
      <c r="A873" t="s">
        <v>167</v>
      </c>
      <c r="B873" t="s">
        <v>4156</v>
      </c>
      <c r="E873" s="1516" t="s">
        <v>4161</v>
      </c>
      <c r="F873" s="1516"/>
      <c r="G873" s="1516"/>
      <c r="H873" s="1516"/>
      <c r="K873" t="s">
        <v>972</v>
      </c>
      <c r="V873">
        <v>331</v>
      </c>
    </row>
    <row r="874" spans="1:22" customFormat="1" ht="15" x14ac:dyDescent="0.25">
      <c r="A874" t="s">
        <v>167</v>
      </c>
      <c r="B874" t="s">
        <v>4156</v>
      </c>
      <c r="E874" s="1515" t="s">
        <v>950</v>
      </c>
      <c r="F874" s="1516"/>
      <c r="G874" s="1516"/>
      <c r="H874" s="1516"/>
      <c r="K874" t="s">
        <v>974</v>
      </c>
      <c r="V874">
        <v>11</v>
      </c>
    </row>
    <row r="875" spans="1:22" customFormat="1" ht="15" x14ac:dyDescent="0.25">
      <c r="A875" t="s">
        <v>167</v>
      </c>
      <c r="B875" t="s">
        <v>4156</v>
      </c>
      <c r="E875" s="1516" t="s">
        <v>951</v>
      </c>
      <c r="F875" s="1516"/>
      <c r="G875" s="1516"/>
      <c r="H875" s="1516"/>
      <c r="K875" t="s">
        <v>972</v>
      </c>
      <c r="V875">
        <v>280</v>
      </c>
    </row>
    <row r="876" spans="1:22" customFormat="1" ht="15" x14ac:dyDescent="0.25">
      <c r="A876" t="s">
        <v>167</v>
      </c>
      <c r="B876" t="s">
        <v>4156</v>
      </c>
      <c r="E876" s="1516" t="s">
        <v>952</v>
      </c>
      <c r="F876" s="1516"/>
      <c r="G876" s="1516"/>
      <c r="H876" s="1516"/>
      <c r="K876" t="s">
        <v>972</v>
      </c>
      <c r="V876">
        <v>411</v>
      </c>
    </row>
    <row r="877" spans="1:22" customFormat="1" ht="15" x14ac:dyDescent="0.25">
      <c r="A877" t="s">
        <v>167</v>
      </c>
      <c r="B877" t="s">
        <v>4156</v>
      </c>
      <c r="E877" s="1516" t="s">
        <v>3761</v>
      </c>
      <c r="F877" s="1516"/>
      <c r="G877" s="1516"/>
      <c r="H877" s="1516"/>
      <c r="K877" t="s">
        <v>972</v>
      </c>
      <c r="V877">
        <v>387</v>
      </c>
    </row>
    <row r="878" spans="1:22" customFormat="1" ht="15" x14ac:dyDescent="0.25">
      <c r="A878" t="s">
        <v>167</v>
      </c>
      <c r="B878" t="s">
        <v>4156</v>
      </c>
      <c r="E878" s="1516" t="s">
        <v>954</v>
      </c>
      <c r="F878" s="1516"/>
      <c r="G878" s="1516"/>
      <c r="H878" s="1516"/>
      <c r="K878" t="s">
        <v>972</v>
      </c>
      <c r="V878">
        <v>246</v>
      </c>
    </row>
    <row r="879" spans="1:22" customFormat="1" ht="15" x14ac:dyDescent="0.25">
      <c r="A879" t="s">
        <v>167</v>
      </c>
      <c r="B879" t="s">
        <v>4156</v>
      </c>
      <c r="E879" s="1515" t="s">
        <v>956</v>
      </c>
      <c r="F879" s="1516"/>
      <c r="G879" s="1516"/>
      <c r="H879" s="1516"/>
      <c r="K879" t="s">
        <v>975</v>
      </c>
      <c r="V879">
        <v>46</v>
      </c>
    </row>
    <row r="880" spans="1:22" customFormat="1" ht="15" x14ac:dyDescent="0.25">
      <c r="A880" t="s">
        <v>167</v>
      </c>
      <c r="B880" t="s">
        <v>4156</v>
      </c>
      <c r="E880" s="1526" t="s">
        <v>3773</v>
      </c>
      <c r="F880" s="1507"/>
      <c r="G880" s="393" t="s">
        <v>777</v>
      </c>
      <c r="H880" s="650">
        <v>20.2</v>
      </c>
      <c r="K880" t="s">
        <v>972</v>
      </c>
      <c r="L880" t="s">
        <v>690</v>
      </c>
      <c r="P880" t="s">
        <v>976</v>
      </c>
      <c r="V880">
        <v>14</v>
      </c>
    </row>
    <row r="881" spans="1:22" customFormat="1" ht="15" x14ac:dyDescent="0.25">
      <c r="A881" t="s">
        <v>167</v>
      </c>
      <c r="B881" t="s">
        <v>4156</v>
      </c>
      <c r="E881" s="1526" t="s">
        <v>4159</v>
      </c>
      <c r="F881" s="1507"/>
      <c r="G881" s="850" t="s">
        <v>777</v>
      </c>
      <c r="H881" s="650">
        <v>-0.5</v>
      </c>
      <c r="K881" t="s">
        <v>972</v>
      </c>
      <c r="L881" t="s">
        <v>690</v>
      </c>
      <c r="P881" t="s">
        <v>4162</v>
      </c>
      <c r="T881">
        <v>45747</v>
      </c>
      <c r="V881">
        <v>93</v>
      </c>
    </row>
    <row r="882" spans="1:22" customFormat="1" ht="15" x14ac:dyDescent="0.25">
      <c r="A882" t="s">
        <v>167</v>
      </c>
      <c r="B882" t="s">
        <v>4156</v>
      </c>
      <c r="E882" s="1526" t="s">
        <v>960</v>
      </c>
      <c r="F882" s="1507"/>
      <c r="G882" s="393" t="s">
        <v>777</v>
      </c>
      <c r="H882" s="698">
        <v>0.42</v>
      </c>
      <c r="K882" t="s">
        <v>972</v>
      </c>
      <c r="L882" t="s">
        <v>692</v>
      </c>
      <c r="P882" t="s">
        <v>977</v>
      </c>
      <c r="V882">
        <v>64</v>
      </c>
    </row>
    <row r="883" spans="1:22" customFormat="1" ht="15" x14ac:dyDescent="0.25">
      <c r="A883" t="s">
        <v>167</v>
      </c>
      <c r="B883" t="s">
        <v>4156</v>
      </c>
      <c r="E883" s="1526" t="s">
        <v>3688</v>
      </c>
      <c r="F883" s="1507"/>
      <c r="G883" s="393" t="s">
        <v>845</v>
      </c>
      <c r="H883" s="650">
        <v>1.6799999999999999E-2</v>
      </c>
      <c r="K883" t="s">
        <v>972</v>
      </c>
      <c r="L883" t="s">
        <v>690</v>
      </c>
      <c r="P883" t="s">
        <v>978</v>
      </c>
      <c r="V883">
        <v>28</v>
      </c>
    </row>
    <row r="884" spans="1:22" customFormat="1" ht="15" x14ac:dyDescent="0.25">
      <c r="A884" t="s">
        <v>167</v>
      </c>
      <c r="B884" t="s">
        <v>4156</v>
      </c>
      <c r="E884" s="1526" t="s">
        <v>910</v>
      </c>
      <c r="F884" s="1507"/>
      <c r="G884" s="393" t="s">
        <v>845</v>
      </c>
      <c r="H884" s="650">
        <v>1E-4</v>
      </c>
      <c r="K884" t="s">
        <v>972</v>
      </c>
      <c r="L884" t="s">
        <v>692</v>
      </c>
      <c r="P884" t="s">
        <v>980</v>
      </c>
      <c r="V884">
        <v>24</v>
      </c>
    </row>
    <row r="885" spans="1:22" customFormat="1" ht="15" x14ac:dyDescent="0.25">
      <c r="A885" t="s">
        <v>167</v>
      </c>
      <c r="B885" t="s">
        <v>4156</v>
      </c>
      <c r="E885" s="1526" t="s">
        <v>6519</v>
      </c>
      <c r="F885" s="1510"/>
      <c r="G885" s="393" t="s">
        <v>845</v>
      </c>
      <c r="H885" s="650">
        <v>8.0000000000000002E-3</v>
      </c>
      <c r="K885" t="s">
        <v>972</v>
      </c>
      <c r="L885" t="s">
        <v>692</v>
      </c>
      <c r="P885" t="s">
        <v>981</v>
      </c>
      <c r="T885">
        <v>46022</v>
      </c>
      <c r="V885">
        <v>142</v>
      </c>
    </row>
    <row r="886" spans="1:22" customFormat="1" ht="15" x14ac:dyDescent="0.25">
      <c r="A886" t="s">
        <v>167</v>
      </c>
      <c r="B886" t="s">
        <v>4156</v>
      </c>
      <c r="E886" s="1526" t="s">
        <v>6520</v>
      </c>
      <c r="F886" s="1510"/>
      <c r="G886" s="393" t="s">
        <v>845</v>
      </c>
      <c r="H886" s="650">
        <v>-8.9999999999999998E-4</v>
      </c>
      <c r="K886" t="s">
        <v>972</v>
      </c>
      <c r="L886" t="s">
        <v>692</v>
      </c>
      <c r="P886" t="s">
        <v>982</v>
      </c>
      <c r="T886">
        <v>46022</v>
      </c>
      <c r="V886">
        <v>99</v>
      </c>
    </row>
    <row r="887" spans="1:22" customFormat="1" ht="15" x14ac:dyDescent="0.25">
      <c r="A887" t="s">
        <v>167</v>
      </c>
      <c r="B887" t="s">
        <v>4156</v>
      </c>
      <c r="E887" s="1526" t="s">
        <v>6521</v>
      </c>
      <c r="F887" s="1510"/>
      <c r="G887" s="393" t="s">
        <v>845</v>
      </c>
      <c r="H887" s="650">
        <v>5.9999999999999995E-4</v>
      </c>
      <c r="K887" t="s">
        <v>972</v>
      </c>
      <c r="L887" t="s">
        <v>692</v>
      </c>
      <c r="P887" t="s">
        <v>3766</v>
      </c>
      <c r="T887">
        <v>46022</v>
      </c>
      <c r="V887">
        <v>149</v>
      </c>
    </row>
    <row r="888" spans="1:22" customFormat="1" ht="15" x14ac:dyDescent="0.25">
      <c r="A888" t="s">
        <v>167</v>
      </c>
      <c r="B888" t="s">
        <v>4156</v>
      </c>
      <c r="E888" s="1526" t="s">
        <v>6531</v>
      </c>
      <c r="F888" s="1507"/>
      <c r="G888" s="393" t="s">
        <v>845</v>
      </c>
      <c r="H888" s="650">
        <v>5.0000000000000001E-4</v>
      </c>
      <c r="K888" t="s">
        <v>972</v>
      </c>
      <c r="L888" t="s">
        <v>690</v>
      </c>
      <c r="P888" t="s">
        <v>3931</v>
      </c>
      <c r="T888">
        <v>46022</v>
      </c>
      <c r="V888">
        <v>151</v>
      </c>
    </row>
    <row r="889" spans="1:22" customFormat="1" ht="15" x14ac:dyDescent="0.25">
      <c r="A889" t="s">
        <v>167</v>
      </c>
      <c r="B889" t="s">
        <v>4156</v>
      </c>
      <c r="E889" s="1526" t="s">
        <v>243</v>
      </c>
      <c r="F889" s="1507"/>
      <c r="G889" s="393" t="s">
        <v>845</v>
      </c>
      <c r="H889" s="650">
        <v>1.06E-2</v>
      </c>
      <c r="K889" t="s">
        <v>972</v>
      </c>
      <c r="L889" t="s">
        <v>694</v>
      </c>
      <c r="P889" t="s">
        <v>983</v>
      </c>
      <c r="V889">
        <v>47</v>
      </c>
    </row>
    <row r="890" spans="1:22" customFormat="1" ht="15" x14ac:dyDescent="0.25">
      <c r="A890" t="s">
        <v>167</v>
      </c>
      <c r="B890" t="s">
        <v>4156</v>
      </c>
      <c r="E890" s="1526" t="s">
        <v>175</v>
      </c>
      <c r="F890" s="1507"/>
      <c r="G890" s="393" t="s">
        <v>845</v>
      </c>
      <c r="H890" s="650">
        <v>7.4999999999999997E-3</v>
      </c>
      <c r="K890" t="s">
        <v>972</v>
      </c>
      <c r="L890" t="s">
        <v>694</v>
      </c>
      <c r="P890" t="s">
        <v>984</v>
      </c>
      <c r="V890">
        <v>74</v>
      </c>
    </row>
    <row r="891" spans="1:22" customFormat="1" ht="15" x14ac:dyDescent="0.25">
      <c r="A891" t="s">
        <v>167</v>
      </c>
      <c r="B891" t="s">
        <v>4156</v>
      </c>
      <c r="E891" s="1515" t="s">
        <v>967</v>
      </c>
      <c r="F891" s="1507"/>
      <c r="G891" s="1507"/>
      <c r="H891" s="1507"/>
      <c r="K891" t="s">
        <v>985</v>
      </c>
      <c r="V891">
        <v>48</v>
      </c>
    </row>
    <row r="892" spans="1:22" customFormat="1" ht="15" x14ac:dyDescent="0.25">
      <c r="A892" t="s">
        <v>167</v>
      </c>
      <c r="B892" t="s">
        <v>4156</v>
      </c>
      <c r="E892" s="1526" t="s">
        <v>844</v>
      </c>
      <c r="F892" s="1507"/>
      <c r="G892" s="393" t="s">
        <v>845</v>
      </c>
      <c r="H892" s="650">
        <v>4.1000000000000003E-3</v>
      </c>
      <c r="K892" t="s">
        <v>972</v>
      </c>
      <c r="L892" t="s">
        <v>968</v>
      </c>
      <c r="P892" t="s">
        <v>986</v>
      </c>
      <c r="V892">
        <v>55</v>
      </c>
    </row>
    <row r="893" spans="1:22" customFormat="1" ht="15" x14ac:dyDescent="0.25">
      <c r="A893" t="s">
        <v>167</v>
      </c>
      <c r="B893" t="s">
        <v>4156</v>
      </c>
      <c r="E893" s="1526" t="s">
        <v>846</v>
      </c>
      <c r="F893" s="1507"/>
      <c r="G893" s="393" t="s">
        <v>845</v>
      </c>
      <c r="H893" s="698">
        <v>4.0000000000000002E-4</v>
      </c>
      <c r="K893" t="s">
        <v>972</v>
      </c>
      <c r="L893" t="s">
        <v>968</v>
      </c>
      <c r="P893" t="s">
        <v>986</v>
      </c>
      <c r="V893">
        <v>65</v>
      </c>
    </row>
    <row r="894" spans="1:22" customFormat="1" ht="15" x14ac:dyDescent="0.25">
      <c r="A894" t="s">
        <v>167</v>
      </c>
      <c r="B894" t="s">
        <v>4156</v>
      </c>
      <c r="E894" s="1526" t="s">
        <v>847</v>
      </c>
      <c r="F894" s="1507"/>
      <c r="G894" s="393" t="s">
        <v>845</v>
      </c>
      <c r="H894" s="698">
        <v>1.5E-3</v>
      </c>
      <c r="K894" t="s">
        <v>972</v>
      </c>
      <c r="L894" t="s">
        <v>968</v>
      </c>
      <c r="P894" t="s">
        <v>987</v>
      </c>
      <c r="V894">
        <v>57</v>
      </c>
    </row>
    <row r="895" spans="1:22" customFormat="1" ht="15" x14ac:dyDescent="0.25">
      <c r="A895" t="s">
        <v>167</v>
      </c>
      <c r="B895" t="s">
        <v>4156</v>
      </c>
      <c r="E895" s="1526" t="s">
        <v>848</v>
      </c>
      <c r="F895" s="1507"/>
      <c r="G895" s="393" t="s">
        <v>777</v>
      </c>
      <c r="H895" s="698">
        <v>0.25</v>
      </c>
      <c r="K895" t="s">
        <v>972</v>
      </c>
      <c r="L895" t="s">
        <v>968</v>
      </c>
      <c r="P895" t="s">
        <v>988</v>
      </c>
      <c r="V895">
        <v>63</v>
      </c>
    </row>
    <row r="896" spans="1:22" customFormat="1" x14ac:dyDescent="0.25">
      <c r="A896" t="s">
        <v>167</v>
      </c>
      <c r="B896" t="s">
        <v>4156</v>
      </c>
      <c r="E896" s="1527" t="s">
        <v>990</v>
      </c>
      <c r="F896" s="1493"/>
      <c r="G896" s="1493"/>
      <c r="H896" s="1493"/>
      <c r="K896" t="s">
        <v>989</v>
      </c>
      <c r="V896">
        <v>51</v>
      </c>
    </row>
    <row r="897" spans="1:22" customFormat="1" ht="15" x14ac:dyDescent="0.25">
      <c r="A897" t="s">
        <v>167</v>
      </c>
      <c r="B897" t="s">
        <v>4156</v>
      </c>
      <c r="E897" s="1516" t="s">
        <v>4163</v>
      </c>
      <c r="F897" s="1516"/>
      <c r="G897" s="1516"/>
      <c r="H897" s="1516"/>
      <c r="K897" t="s">
        <v>989</v>
      </c>
      <c r="V897">
        <v>656</v>
      </c>
    </row>
    <row r="898" spans="1:22" customFormat="1" ht="15" x14ac:dyDescent="0.25">
      <c r="A898" t="s">
        <v>167</v>
      </c>
      <c r="B898" t="s">
        <v>4156</v>
      </c>
      <c r="E898" s="1515" t="s">
        <v>950</v>
      </c>
      <c r="F898" s="1516"/>
      <c r="G898" s="1516"/>
      <c r="H898" s="1516"/>
      <c r="K898" t="s">
        <v>992</v>
      </c>
      <c r="V898">
        <v>11</v>
      </c>
    </row>
    <row r="899" spans="1:22" customFormat="1" ht="15" x14ac:dyDescent="0.25">
      <c r="A899" t="s">
        <v>167</v>
      </c>
      <c r="B899" t="s">
        <v>4156</v>
      </c>
      <c r="E899" s="1516" t="s">
        <v>951</v>
      </c>
      <c r="F899" s="1516"/>
      <c r="G899" s="1516"/>
      <c r="H899" s="1516"/>
      <c r="K899" t="s">
        <v>989</v>
      </c>
      <c r="V899">
        <v>280</v>
      </c>
    </row>
    <row r="900" spans="1:22" customFormat="1" ht="15" x14ac:dyDescent="0.25">
      <c r="A900" t="s">
        <v>167</v>
      </c>
      <c r="B900" t="s">
        <v>4156</v>
      </c>
      <c r="E900" s="1516" t="s">
        <v>952</v>
      </c>
      <c r="F900" s="1516"/>
      <c r="G900" s="1516"/>
      <c r="H900" s="1516"/>
      <c r="K900" t="s">
        <v>989</v>
      </c>
      <c r="V900">
        <v>411</v>
      </c>
    </row>
    <row r="901" spans="1:22" customFormat="1" ht="15" x14ac:dyDescent="0.25">
      <c r="A901" t="s">
        <v>167</v>
      </c>
      <c r="B901" t="s">
        <v>4156</v>
      </c>
      <c r="E901" s="1516" t="s">
        <v>3761</v>
      </c>
      <c r="F901" s="1516"/>
      <c r="G901" s="1516"/>
      <c r="H901" s="1516"/>
      <c r="K901" t="s">
        <v>989</v>
      </c>
      <c r="V901">
        <v>387</v>
      </c>
    </row>
    <row r="902" spans="1:22" customFormat="1" ht="15" x14ac:dyDescent="0.25">
      <c r="A902" t="s">
        <v>167</v>
      </c>
      <c r="B902" t="s">
        <v>4156</v>
      </c>
      <c r="E902" s="1516" t="s">
        <v>3771</v>
      </c>
      <c r="F902" s="1516"/>
      <c r="G902" s="1516"/>
      <c r="H902" s="1516"/>
      <c r="K902" t="s">
        <v>989</v>
      </c>
      <c r="V902">
        <v>677</v>
      </c>
    </row>
    <row r="903" spans="1:22" customFormat="1" ht="15" x14ac:dyDescent="0.25">
      <c r="A903" t="s">
        <v>167</v>
      </c>
      <c r="B903" t="s">
        <v>4156</v>
      </c>
      <c r="E903" s="1516" t="s">
        <v>994</v>
      </c>
      <c r="F903" s="1516"/>
      <c r="G903" s="1516"/>
      <c r="H903" s="1516"/>
      <c r="K903" t="s">
        <v>989</v>
      </c>
      <c r="V903">
        <v>725</v>
      </c>
    </row>
    <row r="904" spans="1:22" customFormat="1" ht="15" x14ac:dyDescent="0.25">
      <c r="A904" t="s">
        <v>167</v>
      </c>
      <c r="B904" t="s">
        <v>4156</v>
      </c>
      <c r="E904" s="1516" t="s">
        <v>954</v>
      </c>
      <c r="F904" s="1516"/>
      <c r="G904" s="1516"/>
      <c r="H904" s="1516"/>
      <c r="K904" t="s">
        <v>989</v>
      </c>
      <c r="V904">
        <v>246</v>
      </c>
    </row>
    <row r="905" spans="1:22" customFormat="1" ht="15" x14ac:dyDescent="0.25">
      <c r="A905" t="s">
        <v>167</v>
      </c>
      <c r="B905" t="s">
        <v>4156</v>
      </c>
      <c r="E905" s="1515" t="s">
        <v>956</v>
      </c>
      <c r="F905" s="1516"/>
      <c r="G905" s="1516"/>
      <c r="H905" s="1516"/>
      <c r="K905" t="s">
        <v>995</v>
      </c>
      <c r="V905">
        <v>46</v>
      </c>
    </row>
    <row r="906" spans="1:22" customFormat="1" ht="15" x14ac:dyDescent="0.25">
      <c r="A906" t="s">
        <v>167</v>
      </c>
      <c r="B906" t="s">
        <v>4156</v>
      </c>
      <c r="E906" s="1526" t="s">
        <v>3773</v>
      </c>
      <c r="F906" s="1507"/>
      <c r="G906" s="393" t="s">
        <v>777</v>
      </c>
      <c r="H906" s="650">
        <v>218.82</v>
      </c>
      <c r="K906" t="s">
        <v>989</v>
      </c>
      <c r="L906" t="s">
        <v>690</v>
      </c>
      <c r="P906" t="s">
        <v>996</v>
      </c>
      <c r="V906">
        <v>14</v>
      </c>
    </row>
    <row r="907" spans="1:22" customFormat="1" ht="15" x14ac:dyDescent="0.25">
      <c r="A907" t="s">
        <v>167</v>
      </c>
      <c r="B907" t="s">
        <v>4156</v>
      </c>
      <c r="E907" s="1526" t="s">
        <v>4159</v>
      </c>
      <c r="F907" s="1507"/>
      <c r="G907" s="850" t="s">
        <v>777</v>
      </c>
      <c r="H907" s="650">
        <v>-3.8</v>
      </c>
      <c r="K907" t="s">
        <v>989</v>
      </c>
      <c r="L907" t="s">
        <v>690</v>
      </c>
      <c r="P907" t="s">
        <v>4164</v>
      </c>
      <c r="T907">
        <v>45747</v>
      </c>
      <c r="V907">
        <v>93</v>
      </c>
    </row>
    <row r="908" spans="1:22" customFormat="1" ht="15" x14ac:dyDescent="0.25">
      <c r="A908" t="s">
        <v>167</v>
      </c>
      <c r="B908" t="s">
        <v>4156</v>
      </c>
      <c r="E908" s="1526" t="s">
        <v>3688</v>
      </c>
      <c r="F908" s="1507"/>
      <c r="G908" s="393" t="s">
        <v>3775</v>
      </c>
      <c r="H908" s="650">
        <v>3.3340000000000001</v>
      </c>
      <c r="K908" t="s">
        <v>989</v>
      </c>
      <c r="L908" t="s">
        <v>690</v>
      </c>
      <c r="P908" t="s">
        <v>997</v>
      </c>
      <c r="V908">
        <v>28</v>
      </c>
    </row>
    <row r="909" spans="1:22" customFormat="1" ht="15" x14ac:dyDescent="0.25">
      <c r="A909" t="s">
        <v>167</v>
      </c>
      <c r="B909" t="s">
        <v>4156</v>
      </c>
      <c r="E909" s="1526" t="s">
        <v>910</v>
      </c>
      <c r="F909" s="1526"/>
      <c r="G909" s="393" t="s">
        <v>3775</v>
      </c>
      <c r="H909" s="698">
        <v>2.5700000000000001E-2</v>
      </c>
      <c r="K909" t="s">
        <v>989</v>
      </c>
      <c r="L909" t="s">
        <v>692</v>
      </c>
      <c r="P909" t="s">
        <v>998</v>
      </c>
      <c r="V909">
        <v>24</v>
      </c>
    </row>
    <row r="910" spans="1:22" customFormat="1" ht="15" x14ac:dyDescent="0.25">
      <c r="A910" t="s">
        <v>167</v>
      </c>
      <c r="B910" t="s">
        <v>4156</v>
      </c>
      <c r="E910" s="1526" t="s">
        <v>6519</v>
      </c>
      <c r="F910" s="1510"/>
      <c r="G910" s="393" t="s">
        <v>845</v>
      </c>
      <c r="H910" s="698">
        <v>8.0000000000000002E-3</v>
      </c>
      <c r="K910" t="s">
        <v>989</v>
      </c>
      <c r="L910" t="s">
        <v>692</v>
      </c>
      <c r="P910" t="s">
        <v>999</v>
      </c>
      <c r="T910">
        <v>46022</v>
      </c>
      <c r="V910">
        <v>142</v>
      </c>
    </row>
    <row r="911" spans="1:22" customFormat="1" ht="15" x14ac:dyDescent="0.25">
      <c r="A911" t="s">
        <v>167</v>
      </c>
      <c r="B911" t="s">
        <v>4156</v>
      </c>
      <c r="E911" s="1526" t="s">
        <v>6525</v>
      </c>
      <c r="F911" s="1510"/>
      <c r="G911" s="393" t="s">
        <v>3775</v>
      </c>
      <c r="H911" s="698">
        <v>-0.55469999999999997</v>
      </c>
      <c r="K911" t="s">
        <v>989</v>
      </c>
      <c r="L911" t="s">
        <v>692</v>
      </c>
      <c r="P911" t="s">
        <v>1000</v>
      </c>
      <c r="T911">
        <v>46022</v>
      </c>
      <c r="V911">
        <v>159</v>
      </c>
    </row>
    <row r="912" spans="1:22" customFormat="1" ht="15" x14ac:dyDescent="0.25">
      <c r="A912" t="s">
        <v>167</v>
      </c>
      <c r="B912" t="s">
        <v>4156</v>
      </c>
      <c r="E912" s="1526" t="s">
        <v>6520</v>
      </c>
      <c r="F912" s="1510"/>
      <c r="G912" s="393" t="s">
        <v>3775</v>
      </c>
      <c r="H912" s="698">
        <v>0.222</v>
      </c>
      <c r="K912" t="s">
        <v>989</v>
      </c>
      <c r="L912" t="s">
        <v>692</v>
      </c>
      <c r="P912" t="s">
        <v>1000</v>
      </c>
      <c r="T912">
        <v>46022</v>
      </c>
      <c r="V912">
        <v>99</v>
      </c>
    </row>
    <row r="913" spans="1:22" customFormat="1" ht="15" x14ac:dyDescent="0.25">
      <c r="A913" t="s">
        <v>167</v>
      </c>
      <c r="B913" t="s">
        <v>4156</v>
      </c>
      <c r="E913" s="1526" t="s">
        <v>6521</v>
      </c>
      <c r="F913" s="1510"/>
      <c r="G913" s="393" t="s">
        <v>3775</v>
      </c>
      <c r="H913" s="698">
        <v>0.21870000000000001</v>
      </c>
      <c r="K913" t="s">
        <v>989</v>
      </c>
      <c r="L913" t="s">
        <v>692</v>
      </c>
      <c r="P913" t="s">
        <v>4166</v>
      </c>
      <c r="T913">
        <v>46022</v>
      </c>
      <c r="V913">
        <v>149</v>
      </c>
    </row>
    <row r="914" spans="1:22" customFormat="1" ht="15" x14ac:dyDescent="0.25">
      <c r="A914" t="s">
        <v>167</v>
      </c>
      <c r="B914" t="s">
        <v>4156</v>
      </c>
      <c r="E914" s="1526" t="s">
        <v>6531</v>
      </c>
      <c r="F914" s="1507"/>
      <c r="G914" s="393" t="s">
        <v>3775</v>
      </c>
      <c r="H914" s="698">
        <v>0.16669999999999999</v>
      </c>
      <c r="K914" t="s">
        <v>989</v>
      </c>
      <c r="L914" t="s">
        <v>690</v>
      </c>
      <c r="P914" t="s">
        <v>4165</v>
      </c>
      <c r="T914">
        <v>46022</v>
      </c>
      <c r="V914">
        <v>151</v>
      </c>
    </row>
    <row r="915" spans="1:22" customFormat="1" ht="15" x14ac:dyDescent="0.25">
      <c r="A915" t="s">
        <v>167</v>
      </c>
      <c r="B915" t="s">
        <v>4156</v>
      </c>
      <c r="E915" s="1526" t="s">
        <v>243</v>
      </c>
      <c r="F915" s="1507"/>
      <c r="G915" s="393" t="s">
        <v>3775</v>
      </c>
      <c r="H915" s="650">
        <v>4.4870000000000001</v>
      </c>
      <c r="K915" t="s">
        <v>989</v>
      </c>
      <c r="L915" t="s">
        <v>694</v>
      </c>
      <c r="P915" t="s">
        <v>1001</v>
      </c>
      <c r="V915">
        <v>47</v>
      </c>
    </row>
    <row r="916" spans="1:22" customFormat="1" ht="15" x14ac:dyDescent="0.25">
      <c r="A916" t="s">
        <v>167</v>
      </c>
      <c r="B916" t="s">
        <v>4156</v>
      </c>
      <c r="E916" s="1526" t="s">
        <v>251</v>
      </c>
      <c r="F916" s="1507"/>
      <c r="G916" s="393" t="s">
        <v>3775</v>
      </c>
      <c r="H916" s="650">
        <v>4.6542000000000003</v>
      </c>
      <c r="K916" t="s">
        <v>989</v>
      </c>
      <c r="L916" t="s">
        <v>694</v>
      </c>
      <c r="P916" t="s">
        <v>1001</v>
      </c>
      <c r="V916">
        <v>66</v>
      </c>
    </row>
    <row r="917" spans="1:22" customFormat="1" ht="15" x14ac:dyDescent="0.25">
      <c r="A917" t="s">
        <v>167</v>
      </c>
      <c r="B917" t="s">
        <v>4156</v>
      </c>
      <c r="E917" s="1526" t="s">
        <v>175</v>
      </c>
      <c r="F917" s="1507"/>
      <c r="G917" s="393" t="s">
        <v>3775</v>
      </c>
      <c r="H917" s="650">
        <v>3.1013000000000002</v>
      </c>
      <c r="K917" t="s">
        <v>989</v>
      </c>
      <c r="L917" t="s">
        <v>694</v>
      </c>
      <c r="P917" t="s">
        <v>1002</v>
      </c>
      <c r="V917">
        <v>74</v>
      </c>
    </row>
    <row r="918" spans="1:22" customFormat="1" ht="15" x14ac:dyDescent="0.25">
      <c r="A918" t="s">
        <v>167</v>
      </c>
      <c r="B918" t="s">
        <v>4156</v>
      </c>
      <c r="E918" s="1526" t="s">
        <v>185</v>
      </c>
      <c r="F918" s="1507"/>
      <c r="G918" s="393" t="s">
        <v>3775</v>
      </c>
      <c r="H918" s="650">
        <v>3.2178</v>
      </c>
      <c r="K918" t="s">
        <v>989</v>
      </c>
      <c r="L918" t="s">
        <v>694</v>
      </c>
      <c r="P918" t="s">
        <v>1002</v>
      </c>
      <c r="V918">
        <v>93</v>
      </c>
    </row>
    <row r="919" spans="1:22" customFormat="1" ht="15" x14ac:dyDescent="0.25">
      <c r="A919" t="s">
        <v>167</v>
      </c>
      <c r="B919" t="s">
        <v>4156</v>
      </c>
      <c r="E919" s="1515" t="s">
        <v>967</v>
      </c>
      <c r="F919" s="1507"/>
      <c r="G919" s="1507"/>
      <c r="H919" s="1507"/>
      <c r="K919" t="s">
        <v>1003</v>
      </c>
      <c r="V919">
        <v>48</v>
      </c>
    </row>
    <row r="920" spans="1:22" customFormat="1" ht="15" x14ac:dyDescent="0.25">
      <c r="A920" t="s">
        <v>167</v>
      </c>
      <c r="B920" t="s">
        <v>4156</v>
      </c>
      <c r="E920" s="1526" t="s">
        <v>844</v>
      </c>
      <c r="F920" s="1507"/>
      <c r="G920" s="393" t="s">
        <v>845</v>
      </c>
      <c r="H920" s="650">
        <v>4.1000000000000003E-3</v>
      </c>
      <c r="K920" t="s">
        <v>989</v>
      </c>
      <c r="L920" t="s">
        <v>968</v>
      </c>
      <c r="P920" t="s">
        <v>1004</v>
      </c>
      <c r="V920">
        <v>55</v>
      </c>
    </row>
    <row r="921" spans="1:22" customFormat="1" ht="15" x14ac:dyDescent="0.25">
      <c r="A921" t="s">
        <v>167</v>
      </c>
      <c r="B921" t="s">
        <v>4156</v>
      </c>
      <c r="E921" s="1526" t="s">
        <v>846</v>
      </c>
      <c r="F921" s="1507"/>
      <c r="G921" s="393" t="s">
        <v>845</v>
      </c>
      <c r="H921" s="698">
        <v>4.0000000000000002E-4</v>
      </c>
      <c r="K921" t="s">
        <v>989</v>
      </c>
      <c r="L921" t="s">
        <v>968</v>
      </c>
      <c r="P921" t="s">
        <v>1004</v>
      </c>
      <c r="V921">
        <v>65</v>
      </c>
    </row>
    <row r="922" spans="1:22" customFormat="1" ht="15" x14ac:dyDescent="0.25">
      <c r="A922" t="s">
        <v>167</v>
      </c>
      <c r="B922" t="s">
        <v>4156</v>
      </c>
      <c r="E922" s="1526" t="s">
        <v>847</v>
      </c>
      <c r="F922" s="1507"/>
      <c r="G922" s="393" t="s">
        <v>845</v>
      </c>
      <c r="H922" s="698">
        <v>1.5E-3</v>
      </c>
      <c r="K922" t="s">
        <v>989</v>
      </c>
      <c r="L922" t="s">
        <v>968</v>
      </c>
      <c r="P922" t="s">
        <v>1005</v>
      </c>
      <c r="V922">
        <v>57</v>
      </c>
    </row>
    <row r="923" spans="1:22" customFormat="1" ht="15" x14ac:dyDescent="0.25">
      <c r="A923" t="s">
        <v>167</v>
      </c>
      <c r="B923" t="s">
        <v>4156</v>
      </c>
      <c r="E923" s="1526" t="s">
        <v>848</v>
      </c>
      <c r="F923" s="1507"/>
      <c r="G923" s="393" t="s">
        <v>777</v>
      </c>
      <c r="H923" s="698">
        <v>0.25</v>
      </c>
      <c r="K923" t="s">
        <v>989</v>
      </c>
      <c r="L923" t="s">
        <v>968</v>
      </c>
      <c r="P923" t="s">
        <v>1006</v>
      </c>
      <c r="V923">
        <v>63</v>
      </c>
    </row>
    <row r="924" spans="1:22" customFormat="1" x14ac:dyDescent="0.25">
      <c r="A924" t="s">
        <v>167</v>
      </c>
      <c r="B924" t="s">
        <v>4156</v>
      </c>
      <c r="E924" s="1527" t="s">
        <v>1008</v>
      </c>
      <c r="F924" s="1493"/>
      <c r="G924" s="1493"/>
      <c r="H924" s="1493"/>
      <c r="K924" t="s">
        <v>1007</v>
      </c>
      <c r="V924">
        <v>56</v>
      </c>
    </row>
    <row r="925" spans="1:22" customFormat="1" ht="15" x14ac:dyDescent="0.25">
      <c r="A925" t="s">
        <v>167</v>
      </c>
      <c r="B925" t="s">
        <v>4156</v>
      </c>
      <c r="E925" s="1516" t="s">
        <v>4167</v>
      </c>
      <c r="F925" s="1516"/>
      <c r="G925" s="1516"/>
      <c r="H925" s="1516"/>
      <c r="K925" t="s">
        <v>1007</v>
      </c>
      <c r="V925">
        <v>358</v>
      </c>
    </row>
    <row r="926" spans="1:22" customFormat="1" ht="15" x14ac:dyDescent="0.25">
      <c r="A926" t="s">
        <v>167</v>
      </c>
      <c r="B926" t="s">
        <v>4156</v>
      </c>
      <c r="E926" s="1515" t="s">
        <v>950</v>
      </c>
      <c r="F926" s="1516"/>
      <c r="G926" s="1516"/>
      <c r="H926" s="1516"/>
      <c r="K926" t="s">
        <v>1010</v>
      </c>
      <c r="V926">
        <v>11</v>
      </c>
    </row>
    <row r="927" spans="1:22" customFormat="1" ht="15" x14ac:dyDescent="0.25">
      <c r="A927" t="s">
        <v>167</v>
      </c>
      <c r="B927" t="s">
        <v>4156</v>
      </c>
      <c r="E927" s="1516" t="s">
        <v>951</v>
      </c>
      <c r="F927" s="1516"/>
      <c r="G927" s="1516"/>
      <c r="H927" s="1516"/>
      <c r="K927" t="s">
        <v>1007</v>
      </c>
      <c r="V927">
        <v>280</v>
      </c>
    </row>
    <row r="928" spans="1:22" customFormat="1" ht="15" x14ac:dyDescent="0.25">
      <c r="A928" t="s">
        <v>167</v>
      </c>
      <c r="B928" t="s">
        <v>4156</v>
      </c>
      <c r="E928" s="1516" t="s">
        <v>952</v>
      </c>
      <c r="F928" s="1516"/>
      <c r="G928" s="1516"/>
      <c r="H928" s="1516"/>
      <c r="K928" t="s">
        <v>1007</v>
      </c>
      <c r="V928">
        <v>411</v>
      </c>
    </row>
    <row r="929" spans="1:22" customFormat="1" ht="15" x14ac:dyDescent="0.25">
      <c r="A929" t="s">
        <v>167</v>
      </c>
      <c r="B929" t="s">
        <v>4156</v>
      </c>
      <c r="E929" s="1516" t="s">
        <v>3761</v>
      </c>
      <c r="F929" s="1516"/>
      <c r="G929" s="1516"/>
      <c r="H929" s="1516"/>
      <c r="K929" t="s">
        <v>1007</v>
      </c>
      <c r="V929">
        <v>387</v>
      </c>
    </row>
    <row r="930" spans="1:22" customFormat="1" ht="15" x14ac:dyDescent="0.25">
      <c r="A930" t="s">
        <v>167</v>
      </c>
      <c r="B930" t="s">
        <v>4156</v>
      </c>
      <c r="E930" s="1516" t="s">
        <v>3771</v>
      </c>
      <c r="F930" s="1516"/>
      <c r="G930" s="1516"/>
      <c r="H930" s="1516"/>
      <c r="K930" t="s">
        <v>1007</v>
      </c>
      <c r="V930">
        <v>677</v>
      </c>
    </row>
    <row r="931" spans="1:22" customFormat="1" ht="15" x14ac:dyDescent="0.25">
      <c r="A931" t="s">
        <v>167</v>
      </c>
      <c r="B931" t="s">
        <v>4156</v>
      </c>
      <c r="E931" s="1516" t="s">
        <v>994</v>
      </c>
      <c r="F931" s="1516"/>
      <c r="G931" s="1516"/>
      <c r="H931" s="1516"/>
      <c r="K931" t="s">
        <v>1007</v>
      </c>
      <c r="V931">
        <v>725</v>
      </c>
    </row>
    <row r="932" spans="1:22" customFormat="1" ht="15" x14ac:dyDescent="0.25">
      <c r="A932" t="s">
        <v>167</v>
      </c>
      <c r="B932" t="s">
        <v>4156</v>
      </c>
      <c r="E932" s="1516" t="s">
        <v>954</v>
      </c>
      <c r="F932" s="1516"/>
      <c r="G932" s="1516"/>
      <c r="H932" s="1516"/>
      <c r="K932" t="s">
        <v>1007</v>
      </c>
      <c r="V932">
        <v>246</v>
      </c>
    </row>
    <row r="933" spans="1:22" customFormat="1" ht="15" x14ac:dyDescent="0.25">
      <c r="A933" t="s">
        <v>167</v>
      </c>
      <c r="B933" t="s">
        <v>4156</v>
      </c>
      <c r="E933" s="1515" t="s">
        <v>956</v>
      </c>
      <c r="F933" s="1516"/>
      <c r="G933" s="1516"/>
      <c r="H933" s="1516"/>
      <c r="K933" t="s">
        <v>1011</v>
      </c>
      <c r="V933">
        <v>46</v>
      </c>
    </row>
    <row r="934" spans="1:22" customFormat="1" ht="15" x14ac:dyDescent="0.25">
      <c r="A934" t="s">
        <v>167</v>
      </c>
      <c r="B934" t="s">
        <v>4156</v>
      </c>
      <c r="E934" s="1526" t="s">
        <v>3773</v>
      </c>
      <c r="F934" s="1507"/>
      <c r="G934" s="393" t="s">
        <v>777</v>
      </c>
      <c r="H934" s="650">
        <v>692.18</v>
      </c>
      <c r="K934" t="s">
        <v>1007</v>
      </c>
      <c r="L934" t="s">
        <v>690</v>
      </c>
      <c r="P934" t="s">
        <v>1012</v>
      </c>
      <c r="V934">
        <v>14</v>
      </c>
    </row>
    <row r="935" spans="1:22" customFormat="1" ht="15" x14ac:dyDescent="0.25">
      <c r="A935" t="s">
        <v>167</v>
      </c>
      <c r="B935" t="s">
        <v>4156</v>
      </c>
      <c r="E935" s="1526" t="s">
        <v>4159</v>
      </c>
      <c r="F935" s="1507"/>
      <c r="G935" s="850" t="s">
        <v>777</v>
      </c>
      <c r="H935" s="650">
        <v>-46.33</v>
      </c>
      <c r="K935" t="s">
        <v>1007</v>
      </c>
      <c r="L935" t="s">
        <v>690</v>
      </c>
      <c r="P935" t="s">
        <v>4168</v>
      </c>
      <c r="T935">
        <v>45747</v>
      </c>
      <c r="V935">
        <v>93</v>
      </c>
    </row>
    <row r="936" spans="1:22" customFormat="1" ht="15" x14ac:dyDescent="0.25">
      <c r="A936" t="s">
        <v>167</v>
      </c>
      <c r="B936" t="s">
        <v>4156</v>
      </c>
      <c r="E936" s="1526" t="s">
        <v>3688</v>
      </c>
      <c r="F936" s="1507"/>
      <c r="G936" s="393" t="s">
        <v>3775</v>
      </c>
      <c r="H936" s="650">
        <v>3.7008999999999999</v>
      </c>
      <c r="K936" t="s">
        <v>1007</v>
      </c>
      <c r="L936" t="s">
        <v>690</v>
      </c>
      <c r="P936" t="s">
        <v>1013</v>
      </c>
      <c r="V936">
        <v>28</v>
      </c>
    </row>
    <row r="937" spans="1:22" customFormat="1" ht="15" x14ac:dyDescent="0.25">
      <c r="A937" t="s">
        <v>167</v>
      </c>
      <c r="B937" t="s">
        <v>4156</v>
      </c>
      <c r="E937" s="1526" t="s">
        <v>910</v>
      </c>
      <c r="F937" s="1507"/>
      <c r="G937" s="393" t="s">
        <v>3775</v>
      </c>
      <c r="H937" s="650">
        <v>2.63E-2</v>
      </c>
      <c r="K937" t="s">
        <v>1007</v>
      </c>
      <c r="L937" t="s">
        <v>692</v>
      </c>
      <c r="P937" t="s">
        <v>1014</v>
      </c>
      <c r="V937">
        <v>24</v>
      </c>
    </row>
    <row r="938" spans="1:22" customFormat="1" ht="15" x14ac:dyDescent="0.25">
      <c r="A938" t="s">
        <v>167</v>
      </c>
      <c r="B938" t="s">
        <v>4156</v>
      </c>
      <c r="E938" s="1526" t="s">
        <v>6519</v>
      </c>
      <c r="F938" s="1510"/>
      <c r="G938" s="393" t="s">
        <v>845</v>
      </c>
      <c r="H938" s="650">
        <v>8.0000000000000002E-3</v>
      </c>
      <c r="K938" t="s">
        <v>1007</v>
      </c>
      <c r="L938" t="s">
        <v>692</v>
      </c>
      <c r="P938" t="s">
        <v>1015</v>
      </c>
      <c r="T938">
        <v>46022</v>
      </c>
      <c r="V938">
        <v>142</v>
      </c>
    </row>
    <row r="939" spans="1:22" customFormat="1" ht="15" x14ac:dyDescent="0.25">
      <c r="A939" t="s">
        <v>167</v>
      </c>
      <c r="B939" t="s">
        <v>4156</v>
      </c>
      <c r="E939" s="1526" t="s">
        <v>6520</v>
      </c>
      <c r="F939" s="1510"/>
      <c r="G939" s="393" t="s">
        <v>3775</v>
      </c>
      <c r="H939" s="650">
        <v>-0.4249</v>
      </c>
      <c r="K939" t="s">
        <v>1007</v>
      </c>
      <c r="L939" t="s">
        <v>692</v>
      </c>
      <c r="P939" t="s">
        <v>1016</v>
      </c>
      <c r="T939">
        <v>46022</v>
      </c>
      <c r="V939">
        <v>99</v>
      </c>
    </row>
    <row r="940" spans="1:22" customFormat="1" ht="15" x14ac:dyDescent="0.25">
      <c r="A940" t="s">
        <v>167</v>
      </c>
      <c r="B940" t="s">
        <v>4156</v>
      </c>
      <c r="E940" s="1526" t="s">
        <v>6521</v>
      </c>
      <c r="F940" s="1510"/>
      <c r="G940" s="393" t="s">
        <v>3775</v>
      </c>
      <c r="H940" s="650">
        <v>0.32650000000000001</v>
      </c>
      <c r="K940" t="s">
        <v>1007</v>
      </c>
      <c r="L940" t="s">
        <v>692</v>
      </c>
      <c r="P940" t="s">
        <v>4170</v>
      </c>
      <c r="T940">
        <v>46022</v>
      </c>
      <c r="V940">
        <v>149</v>
      </c>
    </row>
    <row r="941" spans="1:22" customFormat="1" ht="15" x14ac:dyDescent="0.25">
      <c r="A941" t="s">
        <v>167</v>
      </c>
      <c r="B941" t="s">
        <v>4156</v>
      </c>
      <c r="E941" s="1526" t="s">
        <v>6531</v>
      </c>
      <c r="F941" s="1507"/>
      <c r="G941" s="393" t="s">
        <v>3775</v>
      </c>
      <c r="H941" s="650">
        <v>0.19969999999999999</v>
      </c>
      <c r="K941" t="s">
        <v>1007</v>
      </c>
      <c r="L941" t="s">
        <v>690</v>
      </c>
      <c r="P941" t="s">
        <v>4169</v>
      </c>
      <c r="T941">
        <v>46022</v>
      </c>
      <c r="V941">
        <v>151</v>
      </c>
    </row>
    <row r="942" spans="1:22" customFormat="1" ht="15" x14ac:dyDescent="0.25">
      <c r="A942" t="s">
        <v>167</v>
      </c>
      <c r="B942" t="s">
        <v>4156</v>
      </c>
      <c r="E942" s="1526" t="s">
        <v>251</v>
      </c>
      <c r="F942" s="1507"/>
      <c r="G942" s="393" t="s">
        <v>3775</v>
      </c>
      <c r="H942" s="650">
        <v>4.6542000000000003</v>
      </c>
      <c r="K942" t="s">
        <v>1007</v>
      </c>
      <c r="L942" t="s">
        <v>694</v>
      </c>
      <c r="P942" t="s">
        <v>1017</v>
      </c>
      <c r="V942">
        <v>66</v>
      </c>
    </row>
    <row r="943" spans="1:22" customFormat="1" ht="15" x14ac:dyDescent="0.25">
      <c r="A943" t="s">
        <v>167</v>
      </c>
      <c r="B943" t="s">
        <v>4156</v>
      </c>
      <c r="E943" s="1526" t="s">
        <v>185</v>
      </c>
      <c r="F943" s="1507"/>
      <c r="G943" s="393" t="s">
        <v>3775</v>
      </c>
      <c r="H943" s="650">
        <v>3.2178</v>
      </c>
      <c r="K943" t="s">
        <v>1007</v>
      </c>
      <c r="L943" t="s">
        <v>694</v>
      </c>
      <c r="P943" t="s">
        <v>1018</v>
      </c>
      <c r="V943">
        <v>93</v>
      </c>
    </row>
    <row r="944" spans="1:22" customFormat="1" ht="15" x14ac:dyDescent="0.25">
      <c r="A944" t="s">
        <v>167</v>
      </c>
      <c r="B944" t="s">
        <v>4156</v>
      </c>
      <c r="E944" s="1515" t="s">
        <v>967</v>
      </c>
      <c r="F944" s="1507"/>
      <c r="G944" s="1507"/>
      <c r="H944" s="1507"/>
      <c r="K944" t="s">
        <v>1019</v>
      </c>
      <c r="V944">
        <v>48</v>
      </c>
    </row>
    <row r="945" spans="1:22" customFormat="1" ht="15" x14ac:dyDescent="0.25">
      <c r="A945" t="s">
        <v>167</v>
      </c>
      <c r="B945" t="s">
        <v>4156</v>
      </c>
      <c r="E945" s="1526" t="s">
        <v>844</v>
      </c>
      <c r="F945" s="1507"/>
      <c r="G945" s="393" t="s">
        <v>845</v>
      </c>
      <c r="H945" s="650">
        <v>4.1000000000000003E-3</v>
      </c>
      <c r="K945" t="s">
        <v>1007</v>
      </c>
      <c r="L945" t="s">
        <v>968</v>
      </c>
      <c r="P945" t="s">
        <v>1020</v>
      </c>
      <c r="V945">
        <v>55</v>
      </c>
    </row>
    <row r="946" spans="1:22" customFormat="1" ht="15" x14ac:dyDescent="0.25">
      <c r="A946" t="s">
        <v>167</v>
      </c>
      <c r="B946" t="s">
        <v>4156</v>
      </c>
      <c r="E946" s="1526" t="s">
        <v>846</v>
      </c>
      <c r="F946" s="1507"/>
      <c r="G946" s="393" t="s">
        <v>845</v>
      </c>
      <c r="H946" s="698">
        <v>4.0000000000000002E-4</v>
      </c>
      <c r="K946" t="s">
        <v>1007</v>
      </c>
      <c r="L946" t="s">
        <v>968</v>
      </c>
      <c r="P946" t="s">
        <v>1020</v>
      </c>
      <c r="V946">
        <v>65</v>
      </c>
    </row>
    <row r="947" spans="1:22" customFormat="1" ht="15" x14ac:dyDescent="0.25">
      <c r="A947" t="s">
        <v>167</v>
      </c>
      <c r="B947" t="s">
        <v>4156</v>
      </c>
      <c r="E947" s="1526" t="s">
        <v>847</v>
      </c>
      <c r="F947" s="1507"/>
      <c r="G947" s="393" t="s">
        <v>845</v>
      </c>
      <c r="H947" s="698">
        <v>1.5E-3</v>
      </c>
      <c r="K947" t="s">
        <v>1007</v>
      </c>
      <c r="L947" t="s">
        <v>968</v>
      </c>
      <c r="P947" t="s">
        <v>1021</v>
      </c>
      <c r="V947">
        <v>57</v>
      </c>
    </row>
    <row r="948" spans="1:22" customFormat="1" ht="15" x14ac:dyDescent="0.25">
      <c r="A948" t="s">
        <v>167</v>
      </c>
      <c r="B948" t="s">
        <v>4156</v>
      </c>
      <c r="E948" s="1526" t="s">
        <v>848</v>
      </c>
      <c r="F948" s="1507"/>
      <c r="G948" s="393" t="s">
        <v>777</v>
      </c>
      <c r="H948" s="698">
        <v>0.25</v>
      </c>
      <c r="K948" t="s">
        <v>1007</v>
      </c>
      <c r="L948" t="s">
        <v>968</v>
      </c>
      <c r="P948" t="s">
        <v>1022</v>
      </c>
      <c r="V948">
        <v>63</v>
      </c>
    </row>
    <row r="949" spans="1:22" customFormat="1" x14ac:dyDescent="0.25">
      <c r="A949" t="s">
        <v>167</v>
      </c>
      <c r="B949" t="s">
        <v>4156</v>
      </c>
      <c r="E949" s="1527" t="s">
        <v>189</v>
      </c>
      <c r="F949" s="1493"/>
      <c r="G949" s="1493"/>
      <c r="H949" s="1493"/>
      <c r="K949" t="s">
        <v>3967</v>
      </c>
      <c r="V949">
        <v>32</v>
      </c>
    </row>
    <row r="950" spans="1:22" customFormat="1" ht="15" x14ac:dyDescent="0.25">
      <c r="A950" t="s">
        <v>167</v>
      </c>
      <c r="B950" t="s">
        <v>4156</v>
      </c>
      <c r="E950" s="1516" t="s">
        <v>4171</v>
      </c>
      <c r="F950" s="1516"/>
      <c r="G950" s="1516"/>
      <c r="H950" s="1516"/>
      <c r="K950" t="s">
        <v>3967</v>
      </c>
      <c r="V950">
        <v>323</v>
      </c>
    </row>
    <row r="951" spans="1:22" customFormat="1" ht="15" x14ac:dyDescent="0.25">
      <c r="A951" t="s">
        <v>167</v>
      </c>
      <c r="B951" t="s">
        <v>4156</v>
      </c>
      <c r="E951" s="1515" t="s">
        <v>950</v>
      </c>
      <c r="F951" s="1516"/>
      <c r="G951" s="1516"/>
      <c r="H951" s="1516"/>
      <c r="K951" t="s">
        <v>1025</v>
      </c>
      <c r="V951">
        <v>11</v>
      </c>
    </row>
    <row r="952" spans="1:22" customFormat="1" ht="15" x14ac:dyDescent="0.25">
      <c r="A952" t="s">
        <v>167</v>
      </c>
      <c r="B952" t="s">
        <v>4156</v>
      </c>
      <c r="E952" s="1516" t="s">
        <v>951</v>
      </c>
      <c r="F952" s="1516"/>
      <c r="G952" s="1516"/>
      <c r="H952" s="1516"/>
      <c r="K952" t="s">
        <v>3967</v>
      </c>
      <c r="V952">
        <v>280</v>
      </c>
    </row>
    <row r="953" spans="1:22" customFormat="1" ht="15" x14ac:dyDescent="0.25">
      <c r="A953" t="s">
        <v>167</v>
      </c>
      <c r="B953" t="s">
        <v>4156</v>
      </c>
      <c r="E953" s="1516" t="s">
        <v>952</v>
      </c>
      <c r="F953" s="1516"/>
      <c r="G953" s="1516"/>
      <c r="H953" s="1516"/>
      <c r="K953" t="s">
        <v>3967</v>
      </c>
      <c r="V953">
        <v>411</v>
      </c>
    </row>
    <row r="954" spans="1:22" customFormat="1" ht="15" x14ac:dyDescent="0.25">
      <c r="A954" t="s">
        <v>167</v>
      </c>
      <c r="B954" t="s">
        <v>4156</v>
      </c>
      <c r="E954" s="1516" t="s">
        <v>3761</v>
      </c>
      <c r="F954" s="1516"/>
      <c r="G954" s="1516"/>
      <c r="H954" s="1516"/>
      <c r="K954" t="s">
        <v>3967</v>
      </c>
      <c r="V954">
        <v>387</v>
      </c>
    </row>
    <row r="955" spans="1:22" customFormat="1" ht="15" x14ac:dyDescent="0.25">
      <c r="A955" t="s">
        <v>167</v>
      </c>
      <c r="B955" t="s">
        <v>4156</v>
      </c>
      <c r="E955" s="1516" t="s">
        <v>3771</v>
      </c>
      <c r="F955" s="1516"/>
      <c r="G955" s="1516"/>
      <c r="H955" s="1516"/>
      <c r="K955" t="s">
        <v>3967</v>
      </c>
      <c r="V955">
        <v>677</v>
      </c>
    </row>
    <row r="956" spans="1:22" customFormat="1" ht="15" x14ac:dyDescent="0.25">
      <c r="A956" t="s">
        <v>167</v>
      </c>
      <c r="B956" t="s">
        <v>4156</v>
      </c>
      <c r="E956" s="1516" t="s">
        <v>994</v>
      </c>
      <c r="F956" s="1516"/>
      <c r="G956" s="1516"/>
      <c r="H956" s="1516"/>
      <c r="K956" t="s">
        <v>3967</v>
      </c>
      <c r="V956">
        <v>725</v>
      </c>
    </row>
    <row r="957" spans="1:22" customFormat="1" ht="15" x14ac:dyDescent="0.25">
      <c r="A957" t="s">
        <v>167</v>
      </c>
      <c r="B957" t="s">
        <v>4156</v>
      </c>
      <c r="E957" s="1516" t="s">
        <v>954</v>
      </c>
      <c r="F957" s="1516"/>
      <c r="G957" s="1516"/>
      <c r="H957" s="1516"/>
      <c r="K957" t="s">
        <v>3967</v>
      </c>
      <c r="V957">
        <v>246</v>
      </c>
    </row>
    <row r="958" spans="1:22" customFormat="1" ht="15" x14ac:dyDescent="0.25">
      <c r="A958" t="s">
        <v>167</v>
      </c>
      <c r="B958" t="s">
        <v>4156</v>
      </c>
      <c r="E958" s="1515" t="s">
        <v>956</v>
      </c>
      <c r="F958" s="1516"/>
      <c r="G958" s="1516"/>
      <c r="H958" s="1516"/>
      <c r="K958" t="s">
        <v>1026</v>
      </c>
      <c r="V958">
        <v>46</v>
      </c>
    </row>
    <row r="959" spans="1:22" customFormat="1" ht="15" x14ac:dyDescent="0.25">
      <c r="A959" t="s">
        <v>167</v>
      </c>
      <c r="B959" t="s">
        <v>4156</v>
      </c>
      <c r="E959" s="1526" t="s">
        <v>3773</v>
      </c>
      <c r="F959" s="1507"/>
      <c r="G959" s="393" t="s">
        <v>777</v>
      </c>
      <c r="H959" s="650">
        <v>1330.63</v>
      </c>
      <c r="K959" t="s">
        <v>3967</v>
      </c>
      <c r="L959" t="s">
        <v>690</v>
      </c>
      <c r="P959" t="s">
        <v>3969</v>
      </c>
      <c r="V959">
        <v>14</v>
      </c>
    </row>
    <row r="960" spans="1:22" customFormat="1" ht="15" x14ac:dyDescent="0.25">
      <c r="A960" t="s">
        <v>167</v>
      </c>
      <c r="B960" t="s">
        <v>4156</v>
      </c>
      <c r="E960" s="1526" t="s">
        <v>4159</v>
      </c>
      <c r="F960" s="1507"/>
      <c r="G960" s="393" t="s">
        <v>777</v>
      </c>
      <c r="H960" s="650">
        <v>-151.18</v>
      </c>
      <c r="K960" t="s">
        <v>3967</v>
      </c>
      <c r="L960" t="s">
        <v>690</v>
      </c>
      <c r="P960" t="s">
        <v>4172</v>
      </c>
      <c r="T960">
        <v>45747</v>
      </c>
      <c r="V960">
        <v>93</v>
      </c>
    </row>
    <row r="961" spans="1:22" customFormat="1" ht="15" x14ac:dyDescent="0.25">
      <c r="A961" t="s">
        <v>167</v>
      </c>
      <c r="B961" t="s">
        <v>4156</v>
      </c>
      <c r="E961" s="1526" t="s">
        <v>3688</v>
      </c>
      <c r="F961" s="1507"/>
      <c r="G961" s="393" t="s">
        <v>3775</v>
      </c>
      <c r="H961" s="650">
        <v>3.3250000000000002</v>
      </c>
      <c r="K961" t="s">
        <v>3967</v>
      </c>
      <c r="L961" t="s">
        <v>690</v>
      </c>
      <c r="P961" t="s">
        <v>3972</v>
      </c>
      <c r="V961">
        <v>28</v>
      </c>
    </row>
    <row r="962" spans="1:22" customFormat="1" ht="15" x14ac:dyDescent="0.25">
      <c r="A962" t="s">
        <v>167</v>
      </c>
      <c r="B962" t="s">
        <v>4156</v>
      </c>
      <c r="E962" s="1526" t="s">
        <v>910</v>
      </c>
      <c r="F962" s="1507"/>
      <c r="G962" s="393" t="s">
        <v>3775</v>
      </c>
      <c r="H962" s="650">
        <v>3.1699999999999999E-2</v>
      </c>
      <c r="K962" t="s">
        <v>3967</v>
      </c>
      <c r="L962" t="s">
        <v>692</v>
      </c>
      <c r="P962" t="s">
        <v>3973</v>
      </c>
      <c r="V962">
        <v>24</v>
      </c>
    </row>
    <row r="963" spans="1:22" customFormat="1" ht="15" x14ac:dyDescent="0.25">
      <c r="A963" t="s">
        <v>167</v>
      </c>
      <c r="B963" t="s">
        <v>4156</v>
      </c>
      <c r="E963" s="1526" t="s">
        <v>6520</v>
      </c>
      <c r="F963" s="1510"/>
      <c r="G963" s="393" t="s">
        <v>3775</v>
      </c>
      <c r="H963" s="650">
        <v>-0.46079999999999999</v>
      </c>
      <c r="K963" t="s">
        <v>3967</v>
      </c>
      <c r="L963" t="s">
        <v>692</v>
      </c>
      <c r="P963" t="s">
        <v>3975</v>
      </c>
      <c r="T963">
        <v>46022</v>
      </c>
      <c r="V963">
        <v>99</v>
      </c>
    </row>
    <row r="964" spans="1:22" customFormat="1" ht="15" x14ac:dyDescent="0.25">
      <c r="A964" t="s">
        <v>167</v>
      </c>
      <c r="B964" t="s">
        <v>4156</v>
      </c>
      <c r="E964" s="1526" t="s">
        <v>6531</v>
      </c>
      <c r="F964" s="1507"/>
      <c r="G964" s="393" t="s">
        <v>3775</v>
      </c>
      <c r="H964" s="650">
        <v>0.84119999999999995</v>
      </c>
      <c r="K964" t="s">
        <v>3967</v>
      </c>
      <c r="L964" t="s">
        <v>690</v>
      </c>
      <c r="P964" t="s">
        <v>3974</v>
      </c>
      <c r="T964">
        <v>46022</v>
      </c>
      <c r="V964">
        <v>151</v>
      </c>
    </row>
    <row r="965" spans="1:22" customFormat="1" ht="15" x14ac:dyDescent="0.25">
      <c r="A965" t="s">
        <v>167</v>
      </c>
      <c r="B965" t="s">
        <v>4156</v>
      </c>
      <c r="E965" s="1526" t="s">
        <v>251</v>
      </c>
      <c r="F965" s="1507"/>
      <c r="G965" s="393" t="s">
        <v>3775</v>
      </c>
      <c r="H965" s="650">
        <v>5.6204000000000001</v>
      </c>
      <c r="K965" t="s">
        <v>3967</v>
      </c>
      <c r="L965" t="s">
        <v>694</v>
      </c>
      <c r="P965" t="s">
        <v>3978</v>
      </c>
      <c r="V965">
        <v>66</v>
      </c>
    </row>
    <row r="966" spans="1:22" customFormat="1" ht="15" x14ac:dyDescent="0.25">
      <c r="A966" t="s">
        <v>167</v>
      </c>
      <c r="B966" t="s">
        <v>4156</v>
      </c>
      <c r="E966" s="1526" t="s">
        <v>185</v>
      </c>
      <c r="F966" s="1507"/>
      <c r="G966" s="393" t="s">
        <v>3775</v>
      </c>
      <c r="H966" s="650">
        <v>3.8852000000000002</v>
      </c>
      <c r="K966" t="s">
        <v>3967</v>
      </c>
      <c r="L966" t="s">
        <v>694</v>
      </c>
      <c r="P966" t="s">
        <v>3979</v>
      </c>
      <c r="V966">
        <v>93</v>
      </c>
    </row>
    <row r="967" spans="1:22" customFormat="1" ht="15" x14ac:dyDescent="0.25">
      <c r="A967" t="s">
        <v>167</v>
      </c>
      <c r="B967" t="s">
        <v>4156</v>
      </c>
      <c r="E967" s="1515" t="s">
        <v>967</v>
      </c>
      <c r="F967" s="1507"/>
      <c r="G967" s="1507"/>
      <c r="H967" s="1507"/>
      <c r="K967" t="s">
        <v>1035</v>
      </c>
      <c r="V967">
        <v>48</v>
      </c>
    </row>
    <row r="968" spans="1:22" customFormat="1" ht="15" x14ac:dyDescent="0.25">
      <c r="A968" t="s">
        <v>167</v>
      </c>
      <c r="B968" t="s">
        <v>4156</v>
      </c>
      <c r="E968" s="1526" t="s">
        <v>844</v>
      </c>
      <c r="F968" s="1507"/>
      <c r="G968" s="393" t="s">
        <v>845</v>
      </c>
      <c r="H968" s="650">
        <v>4.1000000000000003E-3</v>
      </c>
      <c r="K968" t="s">
        <v>3967</v>
      </c>
      <c r="L968" t="s">
        <v>968</v>
      </c>
      <c r="P968" t="s">
        <v>3980</v>
      </c>
      <c r="V968">
        <v>55</v>
      </c>
    </row>
    <row r="969" spans="1:22" customFormat="1" ht="15" x14ac:dyDescent="0.25">
      <c r="A969" t="s">
        <v>167</v>
      </c>
      <c r="B969" t="s">
        <v>4156</v>
      </c>
      <c r="E969" s="1526" t="s">
        <v>846</v>
      </c>
      <c r="F969" s="1507"/>
      <c r="G969" s="393" t="s">
        <v>845</v>
      </c>
      <c r="H969" s="698">
        <v>4.0000000000000002E-4</v>
      </c>
      <c r="K969" t="s">
        <v>3967</v>
      </c>
      <c r="L969" t="s">
        <v>968</v>
      </c>
      <c r="P969" t="s">
        <v>3980</v>
      </c>
      <c r="V969">
        <v>65</v>
      </c>
    </row>
    <row r="970" spans="1:22" customFormat="1" ht="15" x14ac:dyDescent="0.25">
      <c r="A970" t="s">
        <v>167</v>
      </c>
      <c r="B970" t="s">
        <v>4156</v>
      </c>
      <c r="E970" s="1526" t="s">
        <v>847</v>
      </c>
      <c r="F970" s="1507"/>
      <c r="G970" s="393" t="s">
        <v>845</v>
      </c>
      <c r="H970" s="698">
        <v>1.5E-3</v>
      </c>
      <c r="K970" t="s">
        <v>3967</v>
      </c>
      <c r="L970" t="s">
        <v>968</v>
      </c>
      <c r="P970" t="s">
        <v>3981</v>
      </c>
      <c r="V970">
        <v>57</v>
      </c>
    </row>
    <row r="971" spans="1:22" customFormat="1" ht="15" x14ac:dyDescent="0.25">
      <c r="A971" t="s">
        <v>167</v>
      </c>
      <c r="B971" t="s">
        <v>4156</v>
      </c>
      <c r="E971" s="1526" t="s">
        <v>848</v>
      </c>
      <c r="F971" s="1507"/>
      <c r="G971" s="393" t="s">
        <v>777</v>
      </c>
      <c r="H971" s="698">
        <v>0.25</v>
      </c>
      <c r="K971" t="s">
        <v>3967</v>
      </c>
      <c r="L971" t="s">
        <v>968</v>
      </c>
      <c r="P971" t="s">
        <v>3982</v>
      </c>
      <c r="V971">
        <v>63</v>
      </c>
    </row>
    <row r="972" spans="1:22" customFormat="1" x14ac:dyDescent="0.25">
      <c r="A972" t="s">
        <v>167</v>
      </c>
      <c r="B972" t="s">
        <v>4156</v>
      </c>
      <c r="E972" s="1527" t="s">
        <v>194</v>
      </c>
      <c r="F972" s="1493"/>
      <c r="G972" s="1493"/>
      <c r="H972" s="1493"/>
      <c r="K972" t="s">
        <v>3872</v>
      </c>
      <c r="V972">
        <v>47</v>
      </c>
    </row>
    <row r="973" spans="1:22" customFormat="1" ht="15" x14ac:dyDescent="0.25">
      <c r="A973" t="s">
        <v>167</v>
      </c>
      <c r="B973" t="s">
        <v>4156</v>
      </c>
      <c r="E973" s="1516" t="s">
        <v>4173</v>
      </c>
      <c r="F973" s="1516"/>
      <c r="G973" s="1516"/>
      <c r="H973" s="1516"/>
      <c r="K973" t="s">
        <v>3872</v>
      </c>
      <c r="V973">
        <v>607</v>
      </c>
    </row>
    <row r="974" spans="1:22" customFormat="1" ht="15" x14ac:dyDescent="0.25">
      <c r="A974" t="s">
        <v>167</v>
      </c>
      <c r="B974" t="s">
        <v>4156</v>
      </c>
      <c r="E974" s="1515" t="s">
        <v>950</v>
      </c>
      <c r="F974" s="1516"/>
      <c r="G974" s="1516"/>
      <c r="H974" s="1516"/>
      <c r="K974" t="s">
        <v>1041</v>
      </c>
      <c r="V974">
        <v>11</v>
      </c>
    </row>
    <row r="975" spans="1:22" customFormat="1" ht="15" x14ac:dyDescent="0.25">
      <c r="A975" t="s">
        <v>167</v>
      </c>
      <c r="B975" t="s">
        <v>4156</v>
      </c>
      <c r="E975" s="1516" t="s">
        <v>951</v>
      </c>
      <c r="F975" s="1516"/>
      <c r="G975" s="1516"/>
      <c r="H975" s="1516"/>
      <c r="K975" t="s">
        <v>3872</v>
      </c>
      <c r="V975">
        <v>280</v>
      </c>
    </row>
    <row r="976" spans="1:22" customFormat="1" ht="15" x14ac:dyDescent="0.25">
      <c r="A976" t="s">
        <v>167</v>
      </c>
      <c r="B976" t="s">
        <v>4156</v>
      </c>
      <c r="E976" s="1516" t="s">
        <v>952</v>
      </c>
      <c r="F976" s="1516"/>
      <c r="G976" s="1516"/>
      <c r="H976" s="1516"/>
      <c r="K976" t="s">
        <v>3872</v>
      </c>
      <c r="V976">
        <v>411</v>
      </c>
    </row>
    <row r="977" spans="1:22" customFormat="1" ht="15" x14ac:dyDescent="0.25">
      <c r="A977" t="s">
        <v>167</v>
      </c>
      <c r="B977" t="s">
        <v>4156</v>
      </c>
      <c r="E977" s="1516" t="s">
        <v>3761</v>
      </c>
      <c r="F977" s="1516"/>
      <c r="G977" s="1516"/>
      <c r="H977" s="1516"/>
      <c r="K977" t="s">
        <v>3872</v>
      </c>
      <c r="V977">
        <v>387</v>
      </c>
    </row>
    <row r="978" spans="1:22" customFormat="1" ht="15" x14ac:dyDescent="0.25">
      <c r="A978" t="s">
        <v>167</v>
      </c>
      <c r="B978" t="s">
        <v>4156</v>
      </c>
      <c r="E978" s="1516" t="s">
        <v>954</v>
      </c>
      <c r="F978" s="1516"/>
      <c r="G978" s="1516"/>
      <c r="H978" s="1516"/>
      <c r="K978" t="s">
        <v>3872</v>
      </c>
      <c r="V978">
        <v>246</v>
      </c>
    </row>
    <row r="979" spans="1:22" customFormat="1" ht="15" x14ac:dyDescent="0.25">
      <c r="A979" t="s">
        <v>167</v>
      </c>
      <c r="B979" t="s">
        <v>4156</v>
      </c>
      <c r="E979" s="1515" t="s">
        <v>956</v>
      </c>
      <c r="F979" s="1516"/>
      <c r="G979" s="1516"/>
      <c r="H979" s="1516"/>
      <c r="K979" t="s">
        <v>1042</v>
      </c>
      <c r="V979">
        <v>46</v>
      </c>
    </row>
    <row r="980" spans="1:22" customFormat="1" ht="15" x14ac:dyDescent="0.25">
      <c r="A980" t="s">
        <v>167</v>
      </c>
      <c r="B980" t="s">
        <v>4156</v>
      </c>
      <c r="E980" s="1526" t="s">
        <v>3874</v>
      </c>
      <c r="F980" s="1507"/>
      <c r="G980" s="393" t="s">
        <v>777</v>
      </c>
      <c r="H980" s="650">
        <v>5.91</v>
      </c>
      <c r="K980" t="s">
        <v>3872</v>
      </c>
      <c r="L980" t="s">
        <v>690</v>
      </c>
      <c r="P980" t="s">
        <v>3875</v>
      </c>
      <c r="V980">
        <v>31</v>
      </c>
    </row>
    <row r="981" spans="1:22" customFormat="1" ht="15" x14ac:dyDescent="0.25">
      <c r="A981" t="s">
        <v>167</v>
      </c>
      <c r="B981" t="s">
        <v>4156</v>
      </c>
      <c r="E981" s="1526" t="s">
        <v>4159</v>
      </c>
      <c r="F981" s="1507"/>
      <c r="G981" s="393" t="s">
        <v>777</v>
      </c>
      <c r="H981" s="650">
        <v>-0.05</v>
      </c>
      <c r="K981" t="s">
        <v>3872</v>
      </c>
      <c r="L981" t="s">
        <v>690</v>
      </c>
      <c r="P981" t="s">
        <v>4174</v>
      </c>
      <c r="T981">
        <v>45747</v>
      </c>
      <c r="V981">
        <v>93</v>
      </c>
    </row>
    <row r="982" spans="1:22" customFormat="1" ht="15" x14ac:dyDescent="0.25">
      <c r="A982" t="s">
        <v>167</v>
      </c>
      <c r="B982" t="s">
        <v>4156</v>
      </c>
      <c r="E982" s="1526" t="s">
        <v>3688</v>
      </c>
      <c r="F982" s="1507"/>
      <c r="G982" s="393" t="s">
        <v>845</v>
      </c>
      <c r="H982" s="650">
        <v>2.69E-2</v>
      </c>
      <c r="K982" t="s">
        <v>3872</v>
      </c>
      <c r="L982" t="s">
        <v>690</v>
      </c>
      <c r="P982" t="s">
        <v>3876</v>
      </c>
      <c r="V982">
        <v>28</v>
      </c>
    </row>
    <row r="983" spans="1:22" customFormat="1" ht="15" x14ac:dyDescent="0.25">
      <c r="A983" t="s">
        <v>167</v>
      </c>
      <c r="B983" t="s">
        <v>4156</v>
      </c>
      <c r="E983" s="1526" t="s">
        <v>910</v>
      </c>
      <c r="F983" s="1507"/>
      <c r="G983" s="393" t="s">
        <v>845</v>
      </c>
      <c r="H983" s="650">
        <v>1E-4</v>
      </c>
      <c r="K983" t="s">
        <v>3872</v>
      </c>
      <c r="L983" t="s">
        <v>692</v>
      </c>
      <c r="P983" t="s">
        <v>3986</v>
      </c>
      <c r="V983">
        <v>24</v>
      </c>
    </row>
    <row r="984" spans="1:22" customFormat="1" ht="15" x14ac:dyDescent="0.25">
      <c r="A984" t="s">
        <v>167</v>
      </c>
      <c r="B984" t="s">
        <v>4156</v>
      </c>
      <c r="E984" s="1526" t="s">
        <v>6519</v>
      </c>
      <c r="F984" s="1510"/>
      <c r="G984" s="393" t="s">
        <v>845</v>
      </c>
      <c r="H984" s="650">
        <v>7.9000000000000008E-3</v>
      </c>
      <c r="K984" t="s">
        <v>3872</v>
      </c>
      <c r="L984" t="s">
        <v>692</v>
      </c>
      <c r="P984" t="s">
        <v>3987</v>
      </c>
      <c r="T984">
        <v>46022</v>
      </c>
      <c r="V984">
        <v>142</v>
      </c>
    </row>
    <row r="985" spans="1:22" customFormat="1" ht="15" x14ac:dyDescent="0.25">
      <c r="A985" t="s">
        <v>167</v>
      </c>
      <c r="B985" t="s">
        <v>4156</v>
      </c>
      <c r="E985" s="1526" t="s">
        <v>6520</v>
      </c>
      <c r="F985" s="1510"/>
      <c r="G985" s="393" t="s">
        <v>845</v>
      </c>
      <c r="H985" s="650">
        <v>-8.9999999999999998E-4</v>
      </c>
      <c r="K985" t="s">
        <v>3872</v>
      </c>
      <c r="L985" t="s">
        <v>692</v>
      </c>
      <c r="P985" t="s">
        <v>3990</v>
      </c>
      <c r="T985">
        <v>46022</v>
      </c>
      <c r="V985">
        <v>99</v>
      </c>
    </row>
    <row r="986" spans="1:22" customFormat="1" ht="15" x14ac:dyDescent="0.25">
      <c r="A986" t="s">
        <v>167</v>
      </c>
      <c r="B986" t="s">
        <v>4156</v>
      </c>
      <c r="E986" s="1526" t="s">
        <v>6521</v>
      </c>
      <c r="F986" s="1510"/>
      <c r="G986" s="393" t="s">
        <v>845</v>
      </c>
      <c r="H986" s="650">
        <v>5.9999999999999995E-4</v>
      </c>
      <c r="K986" t="s">
        <v>3872</v>
      </c>
      <c r="L986" t="s">
        <v>692</v>
      </c>
      <c r="P986" t="s">
        <v>3991</v>
      </c>
      <c r="T986">
        <v>46022</v>
      </c>
      <c r="V986">
        <v>149</v>
      </c>
    </row>
    <row r="987" spans="1:22" customFormat="1" ht="15" x14ac:dyDescent="0.25">
      <c r="A987" t="s">
        <v>167</v>
      </c>
      <c r="B987" t="s">
        <v>4156</v>
      </c>
      <c r="E987" s="1526" t="s">
        <v>243</v>
      </c>
      <c r="F987" s="1507"/>
      <c r="G987" s="393" t="s">
        <v>845</v>
      </c>
      <c r="H987" s="650">
        <v>1.06E-2</v>
      </c>
      <c r="K987" t="s">
        <v>3872</v>
      </c>
      <c r="L987" t="s">
        <v>694</v>
      </c>
      <c r="P987" t="s">
        <v>3877</v>
      </c>
      <c r="V987">
        <v>47</v>
      </c>
    </row>
    <row r="988" spans="1:22" customFormat="1" ht="15" x14ac:dyDescent="0.25">
      <c r="A988" t="s">
        <v>167</v>
      </c>
      <c r="B988" t="s">
        <v>4156</v>
      </c>
      <c r="E988" s="1526" t="s">
        <v>175</v>
      </c>
      <c r="F988" s="1507"/>
      <c r="G988" s="393" t="s">
        <v>845</v>
      </c>
      <c r="H988" s="650">
        <v>7.4999999999999997E-3</v>
      </c>
      <c r="K988" t="s">
        <v>3872</v>
      </c>
      <c r="L988" t="s">
        <v>694</v>
      </c>
      <c r="P988" t="s">
        <v>3878</v>
      </c>
      <c r="V988">
        <v>74</v>
      </c>
    </row>
    <row r="989" spans="1:22" customFormat="1" ht="15" x14ac:dyDescent="0.25">
      <c r="A989" t="s">
        <v>167</v>
      </c>
      <c r="B989" t="s">
        <v>4156</v>
      </c>
      <c r="E989" s="1515" t="s">
        <v>967</v>
      </c>
      <c r="F989" s="1507"/>
      <c r="G989" s="1507"/>
      <c r="H989" s="1507"/>
      <c r="K989" t="s">
        <v>1049</v>
      </c>
      <c r="V989">
        <v>48</v>
      </c>
    </row>
    <row r="990" spans="1:22" customFormat="1" ht="15" x14ac:dyDescent="0.25">
      <c r="A990" t="s">
        <v>167</v>
      </c>
      <c r="B990" t="s">
        <v>4156</v>
      </c>
      <c r="E990" s="1526" t="s">
        <v>844</v>
      </c>
      <c r="F990" s="1507"/>
      <c r="G990" s="393" t="s">
        <v>845</v>
      </c>
      <c r="H990" s="650">
        <v>4.1000000000000003E-3</v>
      </c>
      <c r="K990" t="s">
        <v>3872</v>
      </c>
      <c r="L990" t="s">
        <v>968</v>
      </c>
      <c r="P990" t="s">
        <v>3879</v>
      </c>
      <c r="V990">
        <v>55</v>
      </c>
    </row>
    <row r="991" spans="1:22" customFormat="1" ht="15" x14ac:dyDescent="0.25">
      <c r="A991" t="s">
        <v>167</v>
      </c>
      <c r="B991" t="s">
        <v>4156</v>
      </c>
      <c r="E991" s="1526" t="s">
        <v>846</v>
      </c>
      <c r="F991" s="1507"/>
      <c r="G991" s="393" t="s">
        <v>845</v>
      </c>
      <c r="H991" s="698">
        <v>4.0000000000000002E-4</v>
      </c>
      <c r="K991" t="s">
        <v>3872</v>
      </c>
      <c r="L991" t="s">
        <v>968</v>
      </c>
      <c r="P991" t="s">
        <v>3879</v>
      </c>
      <c r="V991">
        <v>65</v>
      </c>
    </row>
    <row r="992" spans="1:22" customFormat="1" ht="15" x14ac:dyDescent="0.25">
      <c r="A992" t="s">
        <v>167</v>
      </c>
      <c r="B992" t="s">
        <v>4156</v>
      </c>
      <c r="E992" s="1526" t="s">
        <v>847</v>
      </c>
      <c r="F992" s="1507"/>
      <c r="G992" s="393" t="s">
        <v>845</v>
      </c>
      <c r="H992" s="698">
        <v>1.5E-3</v>
      </c>
      <c r="K992" t="s">
        <v>3872</v>
      </c>
      <c r="L992" t="s">
        <v>968</v>
      </c>
      <c r="P992" t="s">
        <v>3880</v>
      </c>
      <c r="V992">
        <v>57</v>
      </c>
    </row>
    <row r="993" spans="1:22" customFormat="1" ht="15" x14ac:dyDescent="0.25">
      <c r="A993" t="s">
        <v>167</v>
      </c>
      <c r="B993" t="s">
        <v>4156</v>
      </c>
      <c r="E993" s="1526" t="s">
        <v>848</v>
      </c>
      <c r="F993" s="1507"/>
      <c r="G993" s="393" t="s">
        <v>777</v>
      </c>
      <c r="H993" s="698">
        <v>0.25</v>
      </c>
      <c r="K993" t="s">
        <v>3872</v>
      </c>
      <c r="L993" t="s">
        <v>968</v>
      </c>
      <c r="P993" t="s">
        <v>3881</v>
      </c>
      <c r="V993">
        <v>63</v>
      </c>
    </row>
    <row r="994" spans="1:22" customFormat="1" x14ac:dyDescent="0.25">
      <c r="A994" t="s">
        <v>167</v>
      </c>
      <c r="B994" t="s">
        <v>4156</v>
      </c>
      <c r="E994" s="1527" t="s">
        <v>4002</v>
      </c>
      <c r="F994" s="1493"/>
      <c r="G994" s="1493"/>
      <c r="H994" s="1493"/>
      <c r="K994" t="s">
        <v>4175</v>
      </c>
      <c r="V994">
        <v>36</v>
      </c>
    </row>
    <row r="995" spans="1:22" customFormat="1" ht="15" x14ac:dyDescent="0.25">
      <c r="A995" t="s">
        <v>167</v>
      </c>
      <c r="B995" t="s">
        <v>4156</v>
      </c>
      <c r="E995" s="1516" t="s">
        <v>4176</v>
      </c>
      <c r="F995" s="1516"/>
      <c r="G995" s="1516"/>
      <c r="H995" s="1516"/>
      <c r="K995" t="s">
        <v>4175</v>
      </c>
      <c r="V995">
        <v>220</v>
      </c>
    </row>
    <row r="996" spans="1:22" customFormat="1" ht="15" x14ac:dyDescent="0.25">
      <c r="A996" t="s">
        <v>167</v>
      </c>
      <c r="B996" t="s">
        <v>4156</v>
      </c>
      <c r="E996" s="1515" t="s">
        <v>950</v>
      </c>
      <c r="F996" s="1516"/>
      <c r="G996" s="1516"/>
      <c r="H996" s="1516"/>
      <c r="K996" t="s">
        <v>1055</v>
      </c>
      <c r="V996">
        <v>11</v>
      </c>
    </row>
    <row r="997" spans="1:22" customFormat="1" ht="15" x14ac:dyDescent="0.25">
      <c r="A997" t="s">
        <v>167</v>
      </c>
      <c r="B997" t="s">
        <v>4156</v>
      </c>
      <c r="E997" s="1516" t="s">
        <v>951</v>
      </c>
      <c r="F997" s="1516"/>
      <c r="G997" s="1516"/>
      <c r="H997" s="1516"/>
      <c r="K997" t="s">
        <v>4175</v>
      </c>
      <c r="V997">
        <v>280</v>
      </c>
    </row>
    <row r="998" spans="1:22" customFormat="1" ht="15" x14ac:dyDescent="0.25">
      <c r="A998" t="s">
        <v>167</v>
      </c>
      <c r="B998" t="s">
        <v>4156</v>
      </c>
      <c r="E998" s="1516" t="s">
        <v>952</v>
      </c>
      <c r="F998" s="1516"/>
      <c r="G998" s="1516"/>
      <c r="H998" s="1516"/>
      <c r="K998" t="s">
        <v>4175</v>
      </c>
      <c r="V998">
        <v>411</v>
      </c>
    </row>
    <row r="999" spans="1:22" customFormat="1" ht="15" x14ac:dyDescent="0.25">
      <c r="A999" t="s">
        <v>167</v>
      </c>
      <c r="B999" t="s">
        <v>4156</v>
      </c>
      <c r="E999" s="1516" t="s">
        <v>1103</v>
      </c>
      <c r="F999" s="1516"/>
      <c r="G999" s="1516"/>
      <c r="H999" s="1516"/>
      <c r="K999" t="s">
        <v>4175</v>
      </c>
      <c r="V999">
        <v>211</v>
      </c>
    </row>
    <row r="1000" spans="1:22" customFormat="1" ht="15" x14ac:dyDescent="0.25">
      <c r="A1000" t="s">
        <v>167</v>
      </c>
      <c r="B1000" t="s">
        <v>4156</v>
      </c>
      <c r="E1000" s="1516" t="s">
        <v>954</v>
      </c>
      <c r="F1000" s="1516"/>
      <c r="G1000" s="1516"/>
      <c r="H1000" s="1516"/>
      <c r="K1000" t="s">
        <v>4175</v>
      </c>
      <c r="V1000">
        <v>246</v>
      </c>
    </row>
    <row r="1001" spans="1:22" customFormat="1" ht="15" x14ac:dyDescent="0.25">
      <c r="A1001" t="s">
        <v>167</v>
      </c>
      <c r="B1001" t="s">
        <v>4156</v>
      </c>
      <c r="E1001" s="1515" t="s">
        <v>4177</v>
      </c>
      <c r="F1001" s="1516"/>
      <c r="G1001" s="1516"/>
      <c r="H1001" s="1516"/>
      <c r="K1001" t="s">
        <v>1056</v>
      </c>
      <c r="V1001">
        <v>56</v>
      </c>
    </row>
    <row r="1002" spans="1:22" customFormat="1" ht="15" x14ac:dyDescent="0.25">
      <c r="A1002" t="s">
        <v>167</v>
      </c>
      <c r="B1002" t="s">
        <v>4156</v>
      </c>
      <c r="E1002" s="1556" t="s">
        <v>4178</v>
      </c>
      <c r="F1002" s="1507"/>
      <c r="G1002" s="1507"/>
      <c r="H1002" s="1507"/>
      <c r="K1002" t="s">
        <v>4175</v>
      </c>
      <c r="V1002">
        <v>318</v>
      </c>
    </row>
    <row r="1003" spans="1:22" customFormat="1" x14ac:dyDescent="0.25">
      <c r="A1003" t="s">
        <v>167</v>
      </c>
      <c r="B1003" t="s">
        <v>4156</v>
      </c>
      <c r="E1003" s="1527" t="s">
        <v>198</v>
      </c>
      <c r="F1003" s="1493"/>
      <c r="G1003" s="1493"/>
      <c r="H1003" s="1493"/>
      <c r="K1003" t="s">
        <v>4179</v>
      </c>
      <c r="V1003">
        <v>40</v>
      </c>
    </row>
    <row r="1004" spans="1:22" customFormat="1" ht="15" x14ac:dyDescent="0.25">
      <c r="A1004" t="s">
        <v>167</v>
      </c>
      <c r="B1004" t="s">
        <v>4156</v>
      </c>
      <c r="E1004" s="1516" t="s">
        <v>4180</v>
      </c>
      <c r="F1004" s="1516"/>
      <c r="G1004" s="1516"/>
      <c r="H1004" s="1516"/>
      <c r="K1004" t="s">
        <v>4179</v>
      </c>
      <c r="V1004">
        <v>255</v>
      </c>
    </row>
    <row r="1005" spans="1:22" customFormat="1" ht="15" x14ac:dyDescent="0.25">
      <c r="A1005" t="s">
        <v>167</v>
      </c>
      <c r="B1005" t="s">
        <v>4156</v>
      </c>
      <c r="E1005" s="1515" t="s">
        <v>950</v>
      </c>
      <c r="F1005" s="1516"/>
      <c r="G1005" s="1516"/>
      <c r="H1005" s="1516"/>
      <c r="K1005" t="s">
        <v>1071</v>
      </c>
      <c r="V1005">
        <v>11</v>
      </c>
    </row>
    <row r="1006" spans="1:22" customFormat="1" ht="15" x14ac:dyDescent="0.25">
      <c r="A1006" t="s">
        <v>167</v>
      </c>
      <c r="B1006" t="s">
        <v>4156</v>
      </c>
      <c r="E1006" s="1516" t="s">
        <v>951</v>
      </c>
      <c r="F1006" s="1516"/>
      <c r="G1006" s="1516"/>
      <c r="H1006" s="1516"/>
      <c r="K1006" t="s">
        <v>4179</v>
      </c>
      <c r="V1006">
        <v>280</v>
      </c>
    </row>
    <row r="1007" spans="1:22" customFormat="1" ht="15" x14ac:dyDescent="0.25">
      <c r="A1007" t="s">
        <v>167</v>
      </c>
      <c r="B1007" t="s">
        <v>4156</v>
      </c>
      <c r="E1007" s="1516" t="s">
        <v>952</v>
      </c>
      <c r="F1007" s="1516"/>
      <c r="G1007" s="1516"/>
      <c r="H1007" s="1516"/>
      <c r="K1007" t="s">
        <v>4179</v>
      </c>
      <c r="V1007">
        <v>411</v>
      </c>
    </row>
    <row r="1008" spans="1:22" customFormat="1" ht="15" x14ac:dyDescent="0.25">
      <c r="A1008" t="s">
        <v>167</v>
      </c>
      <c r="B1008" t="s">
        <v>4156</v>
      </c>
      <c r="E1008" s="1516" t="s">
        <v>3761</v>
      </c>
      <c r="F1008" s="1516"/>
      <c r="G1008" s="1516"/>
      <c r="H1008" s="1516"/>
      <c r="K1008" t="s">
        <v>4179</v>
      </c>
      <c r="V1008">
        <v>387</v>
      </c>
    </row>
    <row r="1009" spans="1:22" customFormat="1" ht="15" x14ac:dyDescent="0.25">
      <c r="A1009" t="s">
        <v>167</v>
      </c>
      <c r="B1009" t="s">
        <v>4156</v>
      </c>
      <c r="E1009" s="1516" t="s">
        <v>954</v>
      </c>
      <c r="F1009" s="1516"/>
      <c r="G1009" s="1516"/>
      <c r="H1009" s="1516"/>
      <c r="K1009" t="s">
        <v>4179</v>
      </c>
      <c r="V1009">
        <v>246</v>
      </c>
    </row>
    <row r="1010" spans="1:22" customFormat="1" ht="15" x14ac:dyDescent="0.25">
      <c r="A1010" t="s">
        <v>167</v>
      </c>
      <c r="B1010" t="s">
        <v>4156</v>
      </c>
      <c r="E1010" s="1515" t="s">
        <v>956</v>
      </c>
      <c r="F1010" s="1516"/>
      <c r="G1010" s="1516"/>
      <c r="H1010" s="1516"/>
      <c r="K1010" t="s">
        <v>1075</v>
      </c>
      <c r="V1010">
        <v>46</v>
      </c>
    </row>
    <row r="1011" spans="1:22" customFormat="1" ht="15" x14ac:dyDescent="0.25">
      <c r="A1011" t="s">
        <v>167</v>
      </c>
      <c r="B1011" t="s">
        <v>4156</v>
      </c>
      <c r="E1011" s="1526" t="s">
        <v>3874</v>
      </c>
      <c r="F1011" s="1507"/>
      <c r="G1011" s="393" t="s">
        <v>777</v>
      </c>
      <c r="H1011" s="650">
        <v>9.14</v>
      </c>
      <c r="K1011" t="s">
        <v>4179</v>
      </c>
      <c r="L1011" t="s">
        <v>690</v>
      </c>
      <c r="P1011" t="s">
        <v>4181</v>
      </c>
      <c r="V1011">
        <v>31</v>
      </c>
    </row>
    <row r="1012" spans="1:22" customFormat="1" ht="15" x14ac:dyDescent="0.25">
      <c r="A1012" t="s">
        <v>167</v>
      </c>
      <c r="B1012" t="s">
        <v>4156</v>
      </c>
      <c r="E1012" s="1526" t="s">
        <v>4159</v>
      </c>
      <c r="F1012" s="1507"/>
      <c r="G1012" s="393" t="s">
        <v>777</v>
      </c>
      <c r="H1012" s="650">
        <v>-0.11</v>
      </c>
      <c r="K1012" t="s">
        <v>4179</v>
      </c>
      <c r="L1012" t="s">
        <v>690</v>
      </c>
      <c r="P1012" t="s">
        <v>4182</v>
      </c>
      <c r="T1012">
        <v>45747</v>
      </c>
      <c r="V1012">
        <v>93</v>
      </c>
    </row>
    <row r="1013" spans="1:22" customFormat="1" ht="15" x14ac:dyDescent="0.25">
      <c r="A1013" t="s">
        <v>167</v>
      </c>
      <c r="B1013" t="s">
        <v>4156</v>
      </c>
      <c r="E1013" s="1526" t="s">
        <v>3688</v>
      </c>
      <c r="F1013" s="1507"/>
      <c r="G1013" s="393" t="s">
        <v>3775</v>
      </c>
      <c r="H1013" s="650">
        <v>10.1143</v>
      </c>
      <c r="K1013" t="s">
        <v>4179</v>
      </c>
      <c r="L1013" t="s">
        <v>690</v>
      </c>
      <c r="P1013" t="s">
        <v>4183</v>
      </c>
      <c r="V1013">
        <v>28</v>
      </c>
    </row>
    <row r="1014" spans="1:22" customFormat="1" ht="15" x14ac:dyDescent="0.25">
      <c r="A1014" t="s">
        <v>167</v>
      </c>
      <c r="B1014" t="s">
        <v>4156</v>
      </c>
      <c r="E1014" s="1526" t="s">
        <v>910</v>
      </c>
      <c r="F1014" s="1507"/>
      <c r="G1014" s="393" t="s">
        <v>3775</v>
      </c>
      <c r="H1014" s="698">
        <v>1.9400000000000001E-2</v>
      </c>
      <c r="K1014" t="s">
        <v>4179</v>
      </c>
      <c r="L1014" t="s">
        <v>692</v>
      </c>
      <c r="P1014" t="s">
        <v>4184</v>
      </c>
      <c r="V1014">
        <v>24</v>
      </c>
    </row>
    <row r="1015" spans="1:22" customFormat="1" ht="15" x14ac:dyDescent="0.25">
      <c r="A1015" t="s">
        <v>167</v>
      </c>
      <c r="B1015" t="s">
        <v>4156</v>
      </c>
      <c r="E1015" s="1526" t="s">
        <v>6521</v>
      </c>
      <c r="F1015" s="1510"/>
      <c r="G1015" s="393" t="s">
        <v>3775</v>
      </c>
      <c r="H1015" s="698">
        <v>0.20660000000000001</v>
      </c>
      <c r="K1015" t="s">
        <v>4179</v>
      </c>
      <c r="L1015" t="s">
        <v>692</v>
      </c>
      <c r="P1015" t="s">
        <v>4185</v>
      </c>
      <c r="T1015">
        <v>46022</v>
      </c>
      <c r="V1015">
        <v>149</v>
      </c>
    </row>
    <row r="1016" spans="1:22" customFormat="1" ht="15" x14ac:dyDescent="0.25">
      <c r="A1016" t="s">
        <v>167</v>
      </c>
      <c r="B1016" t="s">
        <v>4156</v>
      </c>
      <c r="E1016" s="1526" t="s">
        <v>6520</v>
      </c>
      <c r="F1016" s="1510"/>
      <c r="G1016" s="393" t="s">
        <v>3775</v>
      </c>
      <c r="H1016" s="698">
        <v>-0.31569999999999998</v>
      </c>
      <c r="K1016" t="s">
        <v>4179</v>
      </c>
      <c r="L1016" t="s">
        <v>692</v>
      </c>
      <c r="P1016" t="s">
        <v>4186</v>
      </c>
      <c r="T1016">
        <v>46022</v>
      </c>
      <c r="V1016">
        <v>99</v>
      </c>
    </row>
    <row r="1017" spans="1:22" customFormat="1" ht="15" x14ac:dyDescent="0.25">
      <c r="A1017" t="s">
        <v>167</v>
      </c>
      <c r="B1017" t="s">
        <v>4156</v>
      </c>
      <c r="E1017" s="1526" t="s">
        <v>243</v>
      </c>
      <c r="F1017" s="1507"/>
      <c r="G1017" s="393" t="s">
        <v>3775</v>
      </c>
      <c r="H1017" s="650">
        <v>3.4350000000000001</v>
      </c>
      <c r="K1017" t="s">
        <v>4179</v>
      </c>
      <c r="L1017" t="s">
        <v>694</v>
      </c>
      <c r="P1017" t="s">
        <v>4187</v>
      </c>
      <c r="V1017">
        <v>47</v>
      </c>
    </row>
    <row r="1018" spans="1:22" customFormat="1" ht="15" x14ac:dyDescent="0.25">
      <c r="A1018" t="s">
        <v>167</v>
      </c>
      <c r="B1018" t="s">
        <v>4156</v>
      </c>
      <c r="E1018" s="1526" t="s">
        <v>175</v>
      </c>
      <c r="F1018" s="1507"/>
      <c r="G1018" s="393" t="s">
        <v>3775</v>
      </c>
      <c r="H1018" s="650">
        <v>2.3746999999999998</v>
      </c>
      <c r="K1018" t="s">
        <v>4179</v>
      </c>
      <c r="L1018" t="s">
        <v>694</v>
      </c>
      <c r="P1018" t="s">
        <v>4188</v>
      </c>
      <c r="V1018">
        <v>74</v>
      </c>
    </row>
    <row r="1019" spans="1:22" customFormat="1" ht="15" x14ac:dyDescent="0.25">
      <c r="A1019" t="s">
        <v>167</v>
      </c>
      <c r="B1019" t="s">
        <v>4156</v>
      </c>
      <c r="E1019" s="1515" t="s">
        <v>967</v>
      </c>
      <c r="F1019" s="1507"/>
      <c r="G1019" s="1507"/>
      <c r="H1019" s="1507"/>
      <c r="K1019" t="s">
        <v>3898</v>
      </c>
      <c r="V1019">
        <v>48</v>
      </c>
    </row>
    <row r="1020" spans="1:22" customFormat="1" ht="15" x14ac:dyDescent="0.25">
      <c r="A1020" t="s">
        <v>167</v>
      </c>
      <c r="B1020" t="s">
        <v>4156</v>
      </c>
      <c r="E1020" s="1526" t="s">
        <v>844</v>
      </c>
      <c r="F1020" s="1507"/>
      <c r="G1020" s="393" t="s">
        <v>845</v>
      </c>
      <c r="H1020" s="650">
        <v>4.1000000000000003E-3</v>
      </c>
      <c r="K1020" t="s">
        <v>4179</v>
      </c>
      <c r="L1020" t="s">
        <v>968</v>
      </c>
      <c r="P1020" t="s">
        <v>4189</v>
      </c>
      <c r="V1020">
        <v>55</v>
      </c>
    </row>
    <row r="1021" spans="1:22" customFormat="1" ht="15" x14ac:dyDescent="0.25">
      <c r="A1021" t="s">
        <v>167</v>
      </c>
      <c r="B1021" t="s">
        <v>4156</v>
      </c>
      <c r="E1021" s="1526" t="s">
        <v>846</v>
      </c>
      <c r="F1021" s="1507"/>
      <c r="G1021" s="393" t="s">
        <v>845</v>
      </c>
      <c r="H1021" s="698">
        <v>4.0000000000000002E-4</v>
      </c>
      <c r="K1021" t="s">
        <v>4179</v>
      </c>
      <c r="L1021" t="s">
        <v>968</v>
      </c>
      <c r="P1021" t="s">
        <v>4189</v>
      </c>
      <c r="V1021">
        <v>65</v>
      </c>
    </row>
    <row r="1022" spans="1:22" customFormat="1" ht="15" x14ac:dyDescent="0.25">
      <c r="A1022" t="s">
        <v>167</v>
      </c>
      <c r="B1022" t="s">
        <v>4156</v>
      </c>
      <c r="E1022" s="1526" t="s">
        <v>847</v>
      </c>
      <c r="F1022" s="1507"/>
      <c r="G1022" s="393" t="s">
        <v>845</v>
      </c>
      <c r="H1022" s="698">
        <v>1.5E-3</v>
      </c>
      <c r="K1022" t="s">
        <v>4179</v>
      </c>
      <c r="L1022" t="s">
        <v>968</v>
      </c>
      <c r="P1022" t="s">
        <v>4190</v>
      </c>
      <c r="V1022">
        <v>57</v>
      </c>
    </row>
    <row r="1023" spans="1:22" customFormat="1" ht="15" x14ac:dyDescent="0.25">
      <c r="A1023" t="s">
        <v>167</v>
      </c>
      <c r="B1023" t="s">
        <v>4156</v>
      </c>
      <c r="E1023" s="1526" t="s">
        <v>848</v>
      </c>
      <c r="F1023" s="1507"/>
      <c r="G1023" s="393" t="s">
        <v>777</v>
      </c>
      <c r="H1023" s="698">
        <v>0.25</v>
      </c>
      <c r="K1023" t="s">
        <v>4179</v>
      </c>
      <c r="L1023" t="s">
        <v>968</v>
      </c>
      <c r="P1023" t="s">
        <v>4191</v>
      </c>
      <c r="V1023">
        <v>63</v>
      </c>
    </row>
    <row r="1024" spans="1:22" customFormat="1" x14ac:dyDescent="0.25">
      <c r="A1024" t="s">
        <v>167</v>
      </c>
      <c r="B1024" t="s">
        <v>4156</v>
      </c>
      <c r="E1024" s="1527" t="s">
        <v>202</v>
      </c>
      <c r="F1024" s="1493"/>
      <c r="G1024" s="1493"/>
      <c r="H1024" s="1493"/>
      <c r="K1024" t="s">
        <v>4192</v>
      </c>
      <c r="V1024">
        <v>38</v>
      </c>
    </row>
    <row r="1025" spans="1:22" customFormat="1" ht="15" x14ac:dyDescent="0.25">
      <c r="A1025" t="s">
        <v>167</v>
      </c>
      <c r="B1025" t="s">
        <v>4156</v>
      </c>
      <c r="E1025" s="1516" t="s">
        <v>4193</v>
      </c>
      <c r="F1025" s="1516"/>
      <c r="G1025" s="1516"/>
      <c r="H1025" s="1516"/>
      <c r="K1025" t="s">
        <v>4192</v>
      </c>
      <c r="V1025">
        <v>414</v>
      </c>
    </row>
    <row r="1026" spans="1:22" customFormat="1" ht="15" x14ac:dyDescent="0.25">
      <c r="A1026" t="s">
        <v>167</v>
      </c>
      <c r="B1026" t="s">
        <v>4156</v>
      </c>
      <c r="E1026" s="1515" t="s">
        <v>950</v>
      </c>
      <c r="F1026" s="1516"/>
      <c r="G1026" s="1516"/>
      <c r="H1026" s="1516"/>
      <c r="K1026" t="s">
        <v>3904</v>
      </c>
      <c r="V1026">
        <v>11</v>
      </c>
    </row>
    <row r="1027" spans="1:22" customFormat="1" ht="15" x14ac:dyDescent="0.25">
      <c r="A1027" t="s">
        <v>167</v>
      </c>
      <c r="B1027" t="s">
        <v>4156</v>
      </c>
      <c r="E1027" s="1516" t="s">
        <v>951</v>
      </c>
      <c r="F1027" s="1516"/>
      <c r="G1027" s="1516"/>
      <c r="H1027" s="1516"/>
      <c r="K1027" t="s">
        <v>4192</v>
      </c>
      <c r="V1027">
        <v>280</v>
      </c>
    </row>
    <row r="1028" spans="1:22" customFormat="1" ht="15" x14ac:dyDescent="0.25">
      <c r="A1028" t="s">
        <v>167</v>
      </c>
      <c r="B1028" t="s">
        <v>4156</v>
      </c>
      <c r="E1028" s="1516" t="s">
        <v>952</v>
      </c>
      <c r="F1028" s="1516"/>
      <c r="G1028" s="1516"/>
      <c r="H1028" s="1516"/>
      <c r="K1028" t="s">
        <v>4192</v>
      </c>
      <c r="V1028">
        <v>411</v>
      </c>
    </row>
    <row r="1029" spans="1:22" customFormat="1" ht="15" x14ac:dyDescent="0.25">
      <c r="A1029" t="s">
        <v>167</v>
      </c>
      <c r="B1029" t="s">
        <v>4156</v>
      </c>
      <c r="E1029" s="1516" t="s">
        <v>3761</v>
      </c>
      <c r="F1029" s="1516"/>
      <c r="G1029" s="1516"/>
      <c r="H1029" s="1516"/>
      <c r="K1029" t="s">
        <v>4192</v>
      </c>
      <c r="V1029">
        <v>387</v>
      </c>
    </row>
    <row r="1030" spans="1:22" customFormat="1" ht="15" x14ac:dyDescent="0.25">
      <c r="A1030" t="s">
        <v>167</v>
      </c>
      <c r="B1030" t="s">
        <v>4156</v>
      </c>
      <c r="E1030" s="1516" t="s">
        <v>954</v>
      </c>
      <c r="F1030" s="1516"/>
      <c r="G1030" s="1516"/>
      <c r="H1030" s="1516"/>
      <c r="K1030" t="s">
        <v>4192</v>
      </c>
      <c r="V1030">
        <v>246</v>
      </c>
    </row>
    <row r="1031" spans="1:22" customFormat="1" ht="15" x14ac:dyDescent="0.25">
      <c r="A1031" t="s">
        <v>167</v>
      </c>
      <c r="B1031" t="s">
        <v>4156</v>
      </c>
      <c r="E1031" s="1515" t="s">
        <v>956</v>
      </c>
      <c r="F1031" s="1516"/>
      <c r="G1031" s="1516"/>
      <c r="H1031" s="1516"/>
      <c r="K1031" t="s">
        <v>3905</v>
      </c>
      <c r="V1031">
        <v>46</v>
      </c>
    </row>
    <row r="1032" spans="1:22" customFormat="1" ht="15" x14ac:dyDescent="0.25">
      <c r="A1032" t="s">
        <v>167</v>
      </c>
      <c r="B1032" t="s">
        <v>4156</v>
      </c>
      <c r="E1032" s="1526" t="s">
        <v>4139</v>
      </c>
      <c r="F1032" s="1507"/>
      <c r="G1032" s="393" t="s">
        <v>777</v>
      </c>
      <c r="H1032" s="650">
        <v>0.53</v>
      </c>
      <c r="K1032" t="s">
        <v>4192</v>
      </c>
      <c r="L1032" t="s">
        <v>690</v>
      </c>
      <c r="P1032" t="s">
        <v>4194</v>
      </c>
      <c r="V1032">
        <v>30</v>
      </c>
    </row>
    <row r="1033" spans="1:22" customFormat="1" ht="15" x14ac:dyDescent="0.25">
      <c r="A1033" t="s">
        <v>167</v>
      </c>
      <c r="B1033" t="s">
        <v>4156</v>
      </c>
      <c r="E1033" s="1526" t="s">
        <v>4159</v>
      </c>
      <c r="F1033" s="1507"/>
      <c r="G1033" s="393" t="s">
        <v>777</v>
      </c>
      <c r="H1033" s="650">
        <v>-0.01</v>
      </c>
      <c r="K1033" t="s">
        <v>4192</v>
      </c>
      <c r="L1033" t="s">
        <v>690</v>
      </c>
      <c r="P1033" t="s">
        <v>4195</v>
      </c>
      <c r="T1033">
        <v>45747</v>
      </c>
      <c r="V1033">
        <v>93</v>
      </c>
    </row>
    <row r="1034" spans="1:22" customFormat="1" ht="15" x14ac:dyDescent="0.25">
      <c r="A1034" t="s">
        <v>167</v>
      </c>
      <c r="B1034" t="s">
        <v>4156</v>
      </c>
      <c r="E1034" s="1526" t="s">
        <v>3688</v>
      </c>
      <c r="F1034" s="1507"/>
      <c r="G1034" s="393" t="s">
        <v>3775</v>
      </c>
      <c r="H1034" s="650">
        <v>12.4003</v>
      </c>
      <c r="K1034" t="s">
        <v>4192</v>
      </c>
      <c r="L1034" t="s">
        <v>690</v>
      </c>
      <c r="P1034" t="s">
        <v>4196</v>
      </c>
      <c r="V1034">
        <v>28</v>
      </c>
    </row>
    <row r="1035" spans="1:22" customFormat="1" ht="15" x14ac:dyDescent="0.25">
      <c r="A1035" t="s">
        <v>167</v>
      </c>
      <c r="B1035" t="s">
        <v>4156</v>
      </c>
      <c r="E1035" s="1526" t="s">
        <v>910</v>
      </c>
      <c r="F1035" s="1507"/>
      <c r="G1035" s="393" t="s">
        <v>3775</v>
      </c>
      <c r="H1035" s="698">
        <v>2.3300000000000001E-2</v>
      </c>
      <c r="K1035" t="s">
        <v>4192</v>
      </c>
      <c r="L1035" t="s">
        <v>692</v>
      </c>
      <c r="P1035" t="s">
        <v>4197</v>
      </c>
      <c r="V1035">
        <v>24</v>
      </c>
    </row>
    <row r="1036" spans="1:22" customFormat="1" ht="15" x14ac:dyDescent="0.25">
      <c r="A1036" t="s">
        <v>167</v>
      </c>
      <c r="B1036" t="s">
        <v>4156</v>
      </c>
      <c r="E1036" s="1526" t="s">
        <v>6519</v>
      </c>
      <c r="F1036" s="1510"/>
      <c r="G1036" s="393" t="s">
        <v>845</v>
      </c>
      <c r="H1036" s="698">
        <v>8.0000000000000002E-3</v>
      </c>
      <c r="K1036" t="s">
        <v>4192</v>
      </c>
      <c r="L1036" t="s">
        <v>692</v>
      </c>
      <c r="P1036" t="s">
        <v>4198</v>
      </c>
      <c r="T1036">
        <v>46022</v>
      </c>
      <c r="V1036">
        <v>142</v>
      </c>
    </row>
    <row r="1037" spans="1:22" customFormat="1" ht="15" x14ac:dyDescent="0.25">
      <c r="A1037" t="s">
        <v>167</v>
      </c>
      <c r="B1037" t="s">
        <v>4156</v>
      </c>
      <c r="E1037" s="1526" t="s">
        <v>6520</v>
      </c>
      <c r="F1037" s="1510"/>
      <c r="G1037" s="393" t="s">
        <v>3775</v>
      </c>
      <c r="H1037" s="698">
        <v>-0.31929999999999997</v>
      </c>
      <c r="K1037" t="s">
        <v>4192</v>
      </c>
      <c r="L1037" t="s">
        <v>692</v>
      </c>
      <c r="P1037" t="s">
        <v>4199</v>
      </c>
      <c r="T1037">
        <v>46022</v>
      </c>
      <c r="V1037">
        <v>99</v>
      </c>
    </row>
    <row r="1038" spans="1:22" customFormat="1" ht="15" x14ac:dyDescent="0.25">
      <c r="A1038" t="s">
        <v>167</v>
      </c>
      <c r="B1038" t="s">
        <v>4156</v>
      </c>
      <c r="E1038" s="1526" t="s">
        <v>6521</v>
      </c>
      <c r="F1038" s="1510"/>
      <c r="G1038" s="393" t="s">
        <v>3775</v>
      </c>
      <c r="H1038" s="698">
        <v>0.21740000000000001</v>
      </c>
      <c r="K1038" t="s">
        <v>4192</v>
      </c>
      <c r="L1038" t="s">
        <v>692</v>
      </c>
      <c r="P1038" t="s">
        <v>4200</v>
      </c>
      <c r="T1038">
        <v>46022</v>
      </c>
      <c r="V1038">
        <v>149</v>
      </c>
    </row>
    <row r="1039" spans="1:22" customFormat="1" ht="15" x14ac:dyDescent="0.25">
      <c r="A1039" t="s">
        <v>167</v>
      </c>
      <c r="B1039" t="s">
        <v>4156</v>
      </c>
      <c r="E1039" s="1526" t="s">
        <v>6552</v>
      </c>
      <c r="F1039" s="1507"/>
      <c r="G1039" s="393" t="s">
        <v>3775</v>
      </c>
      <c r="H1039" s="698">
        <v>12.8665</v>
      </c>
      <c r="K1039" t="s">
        <v>4192</v>
      </c>
      <c r="L1039" t="s">
        <v>690</v>
      </c>
      <c r="P1039" t="s">
        <v>4201</v>
      </c>
      <c r="T1039">
        <v>46387</v>
      </c>
      <c r="V1039">
        <v>138</v>
      </c>
    </row>
    <row r="1040" spans="1:22" customFormat="1" ht="15" x14ac:dyDescent="0.25">
      <c r="A1040" t="s">
        <v>167</v>
      </c>
      <c r="B1040" t="s">
        <v>4156</v>
      </c>
      <c r="E1040" s="1526" t="s">
        <v>6553</v>
      </c>
      <c r="F1040" s="1507"/>
      <c r="G1040" s="393" t="s">
        <v>3775</v>
      </c>
      <c r="H1040" s="698">
        <v>11.842499999999999</v>
      </c>
      <c r="K1040" t="s">
        <v>4192</v>
      </c>
      <c r="L1040" t="s">
        <v>690</v>
      </c>
      <c r="P1040" t="s">
        <v>4201</v>
      </c>
      <c r="T1040">
        <v>46022</v>
      </c>
      <c r="V1040">
        <v>142</v>
      </c>
    </row>
    <row r="1041" spans="1:22" customFormat="1" ht="15" x14ac:dyDescent="0.25">
      <c r="A1041" t="s">
        <v>167</v>
      </c>
      <c r="B1041" t="s">
        <v>4156</v>
      </c>
      <c r="E1041" s="1526" t="s">
        <v>4202</v>
      </c>
      <c r="F1041" s="1507"/>
      <c r="G1041" s="393" t="s">
        <v>3775</v>
      </c>
      <c r="H1041" s="698">
        <v>6.5536000000000003</v>
      </c>
      <c r="K1041" t="s">
        <v>4192</v>
      </c>
      <c r="L1041" t="s">
        <v>690</v>
      </c>
      <c r="P1041" t="s">
        <v>4201</v>
      </c>
      <c r="T1041">
        <v>46387</v>
      </c>
      <c r="V1041">
        <v>149</v>
      </c>
    </row>
    <row r="1042" spans="1:22" customFormat="1" ht="15" x14ac:dyDescent="0.25">
      <c r="A1042" t="s">
        <v>167</v>
      </c>
      <c r="B1042" t="s">
        <v>4156</v>
      </c>
      <c r="E1042" s="1526" t="s">
        <v>6531</v>
      </c>
      <c r="F1042" s="1507"/>
      <c r="G1042" s="393" t="s">
        <v>3775</v>
      </c>
      <c r="H1042" s="698">
        <v>20.311</v>
      </c>
      <c r="K1042" t="s">
        <v>4192</v>
      </c>
      <c r="L1042" t="s">
        <v>690</v>
      </c>
      <c r="P1042" t="s">
        <v>4201</v>
      </c>
      <c r="T1042">
        <v>46022</v>
      </c>
      <c r="V1042">
        <v>151</v>
      </c>
    </row>
    <row r="1043" spans="1:22" customFormat="1" ht="15" x14ac:dyDescent="0.25">
      <c r="A1043" t="s">
        <v>167</v>
      </c>
      <c r="B1043" t="s">
        <v>4156</v>
      </c>
      <c r="E1043" s="1526" t="s">
        <v>243</v>
      </c>
      <c r="F1043" s="1507"/>
      <c r="G1043" s="393" t="s">
        <v>3775</v>
      </c>
      <c r="H1043" s="650">
        <v>4.1337000000000002</v>
      </c>
      <c r="K1043" t="s">
        <v>4192</v>
      </c>
      <c r="L1043" t="s">
        <v>694</v>
      </c>
      <c r="P1043" t="s">
        <v>4203</v>
      </c>
      <c r="V1043">
        <v>47</v>
      </c>
    </row>
    <row r="1044" spans="1:22" customFormat="1" ht="15" x14ac:dyDescent="0.25">
      <c r="A1044" t="s">
        <v>167</v>
      </c>
      <c r="B1044" t="s">
        <v>4156</v>
      </c>
      <c r="E1044" s="1526" t="s">
        <v>175</v>
      </c>
      <c r="F1044" s="1507"/>
      <c r="G1044" s="393" t="s">
        <v>3775</v>
      </c>
      <c r="H1044" s="650">
        <v>2.8573</v>
      </c>
      <c r="K1044" t="s">
        <v>4192</v>
      </c>
      <c r="L1044" t="s">
        <v>694</v>
      </c>
      <c r="P1044" t="s">
        <v>4204</v>
      </c>
      <c r="V1044">
        <v>74</v>
      </c>
    </row>
    <row r="1045" spans="1:22" customFormat="1" ht="15" x14ac:dyDescent="0.25">
      <c r="A1045" t="s">
        <v>167</v>
      </c>
      <c r="B1045" t="s">
        <v>4156</v>
      </c>
      <c r="E1045" s="1515" t="s">
        <v>967</v>
      </c>
      <c r="F1045" s="1612"/>
      <c r="G1045" s="1612"/>
      <c r="H1045" s="1612"/>
      <c r="K1045" t="s">
        <v>4015</v>
      </c>
      <c r="V1045">
        <v>48</v>
      </c>
    </row>
    <row r="1046" spans="1:22" customFormat="1" ht="15" x14ac:dyDescent="0.25">
      <c r="A1046" t="s">
        <v>167</v>
      </c>
      <c r="B1046" t="s">
        <v>4156</v>
      </c>
      <c r="E1046" s="1526" t="s">
        <v>844</v>
      </c>
      <c r="F1046" s="1507"/>
      <c r="G1046" s="393" t="s">
        <v>845</v>
      </c>
      <c r="H1046" s="650">
        <v>4.1000000000000003E-3</v>
      </c>
      <c r="K1046" t="s">
        <v>4192</v>
      </c>
      <c r="L1046" t="s">
        <v>968</v>
      </c>
      <c r="P1046" t="s">
        <v>4205</v>
      </c>
      <c r="V1046">
        <v>55</v>
      </c>
    </row>
    <row r="1047" spans="1:22" customFormat="1" ht="15" x14ac:dyDescent="0.25">
      <c r="A1047" t="s">
        <v>167</v>
      </c>
      <c r="B1047" t="s">
        <v>4156</v>
      </c>
      <c r="E1047" s="1526" t="s">
        <v>846</v>
      </c>
      <c r="F1047" s="1507"/>
      <c r="G1047" s="393" t="s">
        <v>845</v>
      </c>
      <c r="H1047" s="698">
        <v>4.0000000000000002E-4</v>
      </c>
      <c r="K1047" t="s">
        <v>4192</v>
      </c>
      <c r="L1047" t="s">
        <v>968</v>
      </c>
      <c r="P1047" t="s">
        <v>4205</v>
      </c>
      <c r="V1047">
        <v>65</v>
      </c>
    </row>
    <row r="1048" spans="1:22" customFormat="1" ht="15" x14ac:dyDescent="0.25">
      <c r="A1048" t="s">
        <v>167</v>
      </c>
      <c r="B1048" t="s">
        <v>4156</v>
      </c>
      <c r="E1048" s="1526" t="s">
        <v>847</v>
      </c>
      <c r="F1048" s="1507"/>
      <c r="G1048" s="393" t="s">
        <v>845</v>
      </c>
      <c r="H1048" s="698">
        <v>1.5E-3</v>
      </c>
      <c r="K1048" t="s">
        <v>4192</v>
      </c>
      <c r="L1048" t="s">
        <v>968</v>
      </c>
      <c r="P1048" t="s">
        <v>4206</v>
      </c>
      <c r="V1048">
        <v>57</v>
      </c>
    </row>
    <row r="1049" spans="1:22" customFormat="1" ht="15" x14ac:dyDescent="0.25">
      <c r="A1049" t="s">
        <v>167</v>
      </c>
      <c r="B1049" t="s">
        <v>4156</v>
      </c>
      <c r="E1049" s="1526" t="s">
        <v>848</v>
      </c>
      <c r="F1049" s="1507"/>
      <c r="G1049" s="393" t="s">
        <v>777</v>
      </c>
      <c r="H1049" s="650">
        <v>0.25</v>
      </c>
      <c r="K1049" t="s">
        <v>4192</v>
      </c>
      <c r="L1049" t="s">
        <v>968</v>
      </c>
      <c r="P1049" t="s">
        <v>4207</v>
      </c>
      <c r="V1049">
        <v>63</v>
      </c>
    </row>
    <row r="1050" spans="1:22" customFormat="1" x14ac:dyDescent="0.25">
      <c r="A1050" t="s">
        <v>167</v>
      </c>
      <c r="B1050" t="s">
        <v>4156</v>
      </c>
      <c r="E1050" s="1492" t="s">
        <v>207</v>
      </c>
      <c r="F1050" s="1493"/>
      <c r="G1050" s="1493"/>
      <c r="H1050" s="1493"/>
      <c r="K1050" t="s">
        <v>4208</v>
      </c>
      <c r="V1050">
        <v>31</v>
      </c>
    </row>
    <row r="1051" spans="1:22" customFormat="1" ht="15" x14ac:dyDescent="0.25">
      <c r="A1051" t="s">
        <v>167</v>
      </c>
      <c r="B1051" t="s">
        <v>4156</v>
      </c>
      <c r="E1051" s="1516" t="s">
        <v>4150</v>
      </c>
      <c r="F1051" s="1516"/>
      <c r="G1051" s="1516"/>
      <c r="H1051" s="1516"/>
      <c r="K1051" t="s">
        <v>4208</v>
      </c>
      <c r="V1051">
        <v>286</v>
      </c>
    </row>
    <row r="1052" spans="1:22" customFormat="1" ht="15" x14ac:dyDescent="0.25">
      <c r="A1052" t="s">
        <v>167</v>
      </c>
      <c r="B1052" t="s">
        <v>4156</v>
      </c>
      <c r="E1052" s="1515" t="s">
        <v>950</v>
      </c>
      <c r="F1052" s="1516"/>
      <c r="G1052" s="1516"/>
      <c r="H1052" s="1516"/>
      <c r="K1052" t="s">
        <v>4022</v>
      </c>
      <c r="V1052">
        <v>11</v>
      </c>
    </row>
    <row r="1053" spans="1:22" customFormat="1" ht="15" x14ac:dyDescent="0.25">
      <c r="A1053" t="s">
        <v>167</v>
      </c>
      <c r="B1053" t="s">
        <v>4156</v>
      </c>
      <c r="E1053" s="1516" t="s">
        <v>951</v>
      </c>
      <c r="F1053" s="1516"/>
      <c r="G1053" s="1516"/>
      <c r="H1053" s="1516"/>
      <c r="K1053" t="s">
        <v>4208</v>
      </c>
      <c r="V1053">
        <v>280</v>
      </c>
    </row>
    <row r="1054" spans="1:22" customFormat="1" ht="15" x14ac:dyDescent="0.25">
      <c r="A1054" t="s">
        <v>167</v>
      </c>
      <c r="B1054" t="s">
        <v>4156</v>
      </c>
      <c r="E1054" s="1516" t="s">
        <v>952</v>
      </c>
      <c r="F1054" s="1516"/>
      <c r="G1054" s="1516"/>
      <c r="H1054" s="1516"/>
      <c r="K1054" t="s">
        <v>4208</v>
      </c>
      <c r="V1054">
        <v>411</v>
      </c>
    </row>
    <row r="1055" spans="1:22" customFormat="1" ht="15" x14ac:dyDescent="0.25">
      <c r="A1055" t="s">
        <v>167</v>
      </c>
      <c r="B1055" t="s">
        <v>4156</v>
      </c>
      <c r="E1055" s="1516" t="s">
        <v>1103</v>
      </c>
      <c r="F1055" s="1516"/>
      <c r="G1055" s="1516"/>
      <c r="H1055" s="1516"/>
      <c r="K1055" t="s">
        <v>4208</v>
      </c>
      <c r="V1055">
        <v>211</v>
      </c>
    </row>
    <row r="1056" spans="1:22" customFormat="1" ht="15" x14ac:dyDescent="0.25">
      <c r="A1056" t="s">
        <v>167</v>
      </c>
      <c r="B1056" t="s">
        <v>4156</v>
      </c>
      <c r="E1056" s="1516" t="s">
        <v>4209</v>
      </c>
      <c r="F1056" s="1516"/>
      <c r="G1056" s="1516"/>
      <c r="H1056" s="1516"/>
      <c r="K1056" t="s">
        <v>4208</v>
      </c>
      <c r="V1056">
        <v>247</v>
      </c>
    </row>
    <row r="1057" spans="1:22" customFormat="1" ht="15" x14ac:dyDescent="0.25">
      <c r="A1057" t="s">
        <v>167</v>
      </c>
      <c r="B1057" t="s">
        <v>4156</v>
      </c>
      <c r="E1057" s="1515" t="s">
        <v>4210</v>
      </c>
      <c r="F1057" s="1516"/>
      <c r="G1057" s="1516"/>
      <c r="H1057" s="1516"/>
      <c r="K1057" t="s">
        <v>4023</v>
      </c>
      <c r="V1057">
        <v>47</v>
      </c>
    </row>
    <row r="1058" spans="1:22" customFormat="1" ht="15" x14ac:dyDescent="0.25">
      <c r="A1058" t="s">
        <v>167</v>
      </c>
      <c r="B1058" t="s">
        <v>4156</v>
      </c>
      <c r="E1058" s="1526" t="s">
        <v>3773</v>
      </c>
      <c r="F1058" s="1507"/>
      <c r="G1058" s="393" t="s">
        <v>777</v>
      </c>
      <c r="H1058" s="650">
        <v>5</v>
      </c>
      <c r="K1058" t="s">
        <v>4208</v>
      </c>
      <c r="L1058" t="s">
        <v>690</v>
      </c>
      <c r="P1058" t="s">
        <v>4211</v>
      </c>
      <c r="V1058">
        <v>14</v>
      </c>
    </row>
    <row r="1059" spans="1:22" customFormat="1" ht="18.75" x14ac:dyDescent="0.25">
      <c r="A1059" t="s">
        <v>167</v>
      </c>
      <c r="B1059" t="s">
        <v>4156</v>
      </c>
      <c r="E1059" s="1492" t="s">
        <v>3825</v>
      </c>
      <c r="F1059" s="1528"/>
      <c r="G1059" s="1528"/>
      <c r="H1059" s="1528"/>
      <c r="K1059" t="s">
        <v>4048</v>
      </c>
      <c r="V1059">
        <v>10</v>
      </c>
    </row>
    <row r="1060" spans="1:22" customFormat="1" ht="15" x14ac:dyDescent="0.25">
      <c r="A1060" t="s">
        <v>167</v>
      </c>
      <c r="B1060" t="s">
        <v>4156</v>
      </c>
      <c r="E1060" s="1507" t="s">
        <v>4212</v>
      </c>
      <c r="F1060" s="1507"/>
      <c r="G1060" s="584" t="s">
        <v>3775</v>
      </c>
      <c r="H1060" s="650">
        <v>-0.72</v>
      </c>
      <c r="V1060">
        <v>110</v>
      </c>
    </row>
    <row r="1061" spans="1:22" customFormat="1" ht="15" x14ac:dyDescent="0.25">
      <c r="A1061" t="s">
        <v>167</v>
      </c>
      <c r="B1061" t="s">
        <v>4156</v>
      </c>
      <c r="E1061" s="1507" t="s">
        <v>1079</v>
      </c>
      <c r="F1061" s="1507"/>
      <c r="G1061" s="584" t="s">
        <v>1118</v>
      </c>
      <c r="H1061" s="650">
        <v>-1</v>
      </c>
      <c r="V1061">
        <v>87</v>
      </c>
    </row>
    <row r="1062" spans="1:22" customFormat="1" ht="18.75" x14ac:dyDescent="0.25">
      <c r="A1062" t="s">
        <v>167</v>
      </c>
      <c r="B1062" t="s">
        <v>4156</v>
      </c>
      <c r="E1062" s="1527" t="s">
        <v>3828</v>
      </c>
      <c r="F1062" s="1528"/>
      <c r="G1062" s="1528"/>
      <c r="H1062" s="1528"/>
      <c r="K1062" t="s">
        <v>4052</v>
      </c>
      <c r="V1062">
        <v>24</v>
      </c>
    </row>
    <row r="1063" spans="1:22" customFormat="1" ht="15" x14ac:dyDescent="0.25">
      <c r="A1063" t="s">
        <v>167</v>
      </c>
      <c r="B1063" t="s">
        <v>4156</v>
      </c>
      <c r="E1063" s="1549" t="s">
        <v>950</v>
      </c>
      <c r="F1063" s="1516"/>
      <c r="G1063" s="1516"/>
      <c r="H1063" s="1516"/>
      <c r="V1063">
        <v>11</v>
      </c>
    </row>
    <row r="1064" spans="1:22" customFormat="1" ht="15" x14ac:dyDescent="0.25">
      <c r="A1064" t="s">
        <v>167</v>
      </c>
      <c r="B1064" t="s">
        <v>4156</v>
      </c>
      <c r="E1064" s="1516" t="s">
        <v>951</v>
      </c>
      <c r="F1064" s="1516"/>
      <c r="G1064" s="1516"/>
      <c r="H1064" s="1516"/>
      <c r="V1064">
        <v>280</v>
      </c>
    </row>
    <row r="1065" spans="1:22" customFormat="1" ht="15" x14ac:dyDescent="0.25">
      <c r="A1065" t="s">
        <v>167</v>
      </c>
      <c r="B1065" t="s">
        <v>4156</v>
      </c>
      <c r="E1065" s="1516" t="s">
        <v>1081</v>
      </c>
      <c r="F1065" s="1516"/>
      <c r="G1065" s="1516"/>
      <c r="H1065" s="1516"/>
      <c r="V1065">
        <v>353</v>
      </c>
    </row>
    <row r="1066" spans="1:22" customFormat="1" ht="15" x14ac:dyDescent="0.25">
      <c r="A1066" t="s">
        <v>167</v>
      </c>
      <c r="B1066" t="s">
        <v>4156</v>
      </c>
      <c r="E1066" s="1516" t="s">
        <v>4213</v>
      </c>
      <c r="F1066" s="1510"/>
      <c r="G1066" s="1510"/>
      <c r="H1066" s="1510"/>
      <c r="V1066">
        <v>247</v>
      </c>
    </row>
    <row r="1067" spans="1:22" customFormat="1" ht="15" x14ac:dyDescent="0.25">
      <c r="A1067" t="s">
        <v>167</v>
      </c>
      <c r="B1067" t="s">
        <v>4156</v>
      </c>
      <c r="E1067" s="1515" t="s">
        <v>3830</v>
      </c>
      <c r="F1067" s="1510"/>
      <c r="G1067" s="1510"/>
      <c r="H1067" s="1510"/>
      <c r="K1067" t="s">
        <v>4053</v>
      </c>
      <c r="V1067">
        <v>23</v>
      </c>
    </row>
    <row r="1068" spans="1:22" customFormat="1" ht="15" x14ac:dyDescent="0.25">
      <c r="A1068" t="s">
        <v>167</v>
      </c>
      <c r="B1068" t="s">
        <v>4156</v>
      </c>
      <c r="E1068" s="1517" t="s">
        <v>3832</v>
      </c>
      <c r="F1068" s="1517"/>
      <c r="G1068" s="584" t="s">
        <v>777</v>
      </c>
      <c r="H1068" s="650">
        <v>15</v>
      </c>
      <c r="V1068">
        <v>19</v>
      </c>
    </row>
    <row r="1069" spans="1:22" customFormat="1" ht="15" x14ac:dyDescent="0.25">
      <c r="A1069" t="s">
        <v>167</v>
      </c>
      <c r="B1069" t="s">
        <v>4156</v>
      </c>
      <c r="E1069" s="1517" t="s">
        <v>3836</v>
      </c>
      <c r="F1069" s="1517"/>
      <c r="G1069" s="584" t="s">
        <v>777</v>
      </c>
      <c r="H1069" s="650">
        <v>8.5500000000000007</v>
      </c>
      <c r="V1069">
        <v>35</v>
      </c>
    </row>
    <row r="1070" spans="1:22" customFormat="1" ht="15" x14ac:dyDescent="0.25">
      <c r="A1070" t="s">
        <v>167</v>
      </c>
      <c r="B1070" t="s">
        <v>4156</v>
      </c>
      <c r="E1070" s="1517" t="s">
        <v>4214</v>
      </c>
      <c r="F1070" s="1517"/>
      <c r="G1070" s="584" t="s">
        <v>777</v>
      </c>
      <c r="H1070" s="650">
        <v>8.75</v>
      </c>
      <c r="V1070">
        <v>88</v>
      </c>
    </row>
    <row r="1071" spans="1:22" customFormat="1" ht="15" x14ac:dyDescent="0.25">
      <c r="A1071" t="s">
        <v>167</v>
      </c>
      <c r="B1071" t="s">
        <v>4156</v>
      </c>
      <c r="E1071" s="1517" t="s">
        <v>3838</v>
      </c>
      <c r="F1071" s="1517"/>
      <c r="G1071" s="584" t="s">
        <v>777</v>
      </c>
      <c r="H1071" s="650">
        <v>10</v>
      </c>
      <c r="V1071">
        <v>74</v>
      </c>
    </row>
    <row r="1072" spans="1:22" customFormat="1" ht="15" x14ac:dyDescent="0.25">
      <c r="A1072" t="s">
        <v>167</v>
      </c>
      <c r="B1072" t="s">
        <v>4156</v>
      </c>
      <c r="E1072" s="1517" t="s">
        <v>4215</v>
      </c>
      <c r="F1072" s="1517"/>
      <c r="G1072" s="584" t="s">
        <v>777</v>
      </c>
      <c r="H1072" s="650">
        <v>-10</v>
      </c>
      <c r="L1072" t="s">
        <v>690</v>
      </c>
      <c r="P1072" t="s">
        <v>4216</v>
      </c>
      <c r="V1072">
        <v>40</v>
      </c>
    </row>
    <row r="1073" spans="1:22" customFormat="1" ht="15" x14ac:dyDescent="0.25">
      <c r="A1073" t="s">
        <v>167</v>
      </c>
      <c r="B1073" t="s">
        <v>4156</v>
      </c>
      <c r="E1073" s="1515" t="s">
        <v>4062</v>
      </c>
      <c r="F1073" s="1510"/>
      <c r="G1073" s="1510"/>
      <c r="H1073" s="1510"/>
      <c r="K1073" t="s">
        <v>4063</v>
      </c>
      <c r="V1073">
        <v>22</v>
      </c>
    </row>
    <row r="1074" spans="1:22" customFormat="1" ht="15" x14ac:dyDescent="0.25">
      <c r="A1074" t="s">
        <v>167</v>
      </c>
      <c r="B1074" t="s">
        <v>4156</v>
      </c>
      <c r="E1074" s="1517" t="s">
        <v>4064</v>
      </c>
      <c r="F1074" s="1517"/>
      <c r="G1074" s="584" t="s">
        <v>1118</v>
      </c>
      <c r="H1074" s="650">
        <v>1.5</v>
      </c>
      <c r="V1074">
        <v>99</v>
      </c>
    </row>
    <row r="1075" spans="1:22" customFormat="1" ht="15" x14ac:dyDescent="0.25">
      <c r="A1075" t="s">
        <v>167</v>
      </c>
      <c r="B1075" t="s">
        <v>4156</v>
      </c>
      <c r="E1075" s="1517" t="s">
        <v>3842</v>
      </c>
      <c r="F1075" s="1517"/>
      <c r="G1075" s="584" t="s">
        <v>777</v>
      </c>
      <c r="H1075" s="650">
        <v>20</v>
      </c>
      <c r="V1075">
        <v>44</v>
      </c>
    </row>
    <row r="1076" spans="1:22" customFormat="1" ht="15" x14ac:dyDescent="0.25">
      <c r="A1076" t="s">
        <v>167</v>
      </c>
      <c r="B1076" t="s">
        <v>4156</v>
      </c>
      <c r="E1076" s="1517" t="s">
        <v>3843</v>
      </c>
      <c r="F1076" s="1517"/>
      <c r="G1076" s="584" t="s">
        <v>777</v>
      </c>
      <c r="H1076" s="650">
        <v>50</v>
      </c>
      <c r="V1076">
        <v>43</v>
      </c>
    </row>
    <row r="1077" spans="1:22" customFormat="1" ht="15" x14ac:dyDescent="0.25">
      <c r="A1077" t="s">
        <v>167</v>
      </c>
      <c r="B1077" t="s">
        <v>4156</v>
      </c>
      <c r="E1077" s="1517" t="s">
        <v>3844</v>
      </c>
      <c r="F1077" s="1517"/>
      <c r="G1077" s="584" t="s">
        <v>777</v>
      </c>
      <c r="H1077" s="650">
        <v>50</v>
      </c>
      <c r="V1077">
        <v>43</v>
      </c>
    </row>
    <row r="1078" spans="1:22" customFormat="1" ht="15" x14ac:dyDescent="0.25">
      <c r="A1078" t="s">
        <v>167</v>
      </c>
      <c r="B1078" t="s">
        <v>4156</v>
      </c>
      <c r="E1078" s="1517" t="s">
        <v>3845</v>
      </c>
      <c r="F1078" s="1517"/>
      <c r="G1078" s="584" t="s">
        <v>777</v>
      </c>
      <c r="H1078" s="650">
        <v>95</v>
      </c>
      <c r="V1078">
        <v>42</v>
      </c>
    </row>
    <row r="1079" spans="1:22" customFormat="1" ht="15" x14ac:dyDescent="0.25">
      <c r="A1079" t="s">
        <v>167</v>
      </c>
      <c r="B1079" t="s">
        <v>4156</v>
      </c>
      <c r="E1079" s="1515" t="s">
        <v>3846</v>
      </c>
      <c r="F1079" s="1510"/>
      <c r="G1079" s="1510"/>
      <c r="H1079" s="1510"/>
      <c r="V1079">
        <v>5</v>
      </c>
    </row>
    <row r="1080" spans="1:22" customFormat="1" ht="15" x14ac:dyDescent="0.25">
      <c r="A1080" t="s">
        <v>167</v>
      </c>
      <c r="B1080" t="s">
        <v>4156</v>
      </c>
      <c r="E1080" s="1517" t="s">
        <v>4217</v>
      </c>
      <c r="F1080" s="1517"/>
      <c r="G1080" s="584" t="s">
        <v>777</v>
      </c>
      <c r="H1080" s="650">
        <v>17.5</v>
      </c>
      <c r="V1080">
        <v>39</v>
      </c>
    </row>
    <row r="1081" spans="1:22" customFormat="1" ht="15" x14ac:dyDescent="0.25">
      <c r="A1081" t="s">
        <v>167</v>
      </c>
      <c r="B1081" t="s">
        <v>4156</v>
      </c>
      <c r="E1081" s="1517" t="s">
        <v>3847</v>
      </c>
      <c r="F1081" s="1517"/>
      <c r="G1081" s="584" t="s">
        <v>777</v>
      </c>
      <c r="H1081" s="650">
        <v>95</v>
      </c>
      <c r="V1081">
        <v>34</v>
      </c>
    </row>
    <row r="1082" spans="1:22" customFormat="1" ht="15" x14ac:dyDescent="0.25">
      <c r="A1082" t="s">
        <v>167</v>
      </c>
      <c r="B1082" t="s">
        <v>4156</v>
      </c>
      <c r="E1082" s="1517" t="s">
        <v>4069</v>
      </c>
      <c r="F1082" s="1517"/>
      <c r="G1082" s="584" t="s">
        <v>777</v>
      </c>
      <c r="H1082" s="650">
        <v>39.14</v>
      </c>
      <c r="V1082">
        <v>106</v>
      </c>
    </row>
    <row r="1083" spans="1:22" customFormat="1" ht="15" x14ac:dyDescent="0.25">
      <c r="A1083" t="s">
        <v>167</v>
      </c>
      <c r="B1083" t="s">
        <v>4156</v>
      </c>
      <c r="E1083" s="1517" t="s">
        <v>4218</v>
      </c>
      <c r="F1083" s="1517"/>
      <c r="G1083" s="584" t="s">
        <v>777</v>
      </c>
      <c r="H1083" s="650">
        <v>105</v>
      </c>
      <c r="V1083">
        <v>41</v>
      </c>
    </row>
    <row r="1084" spans="1:22" customFormat="1" ht="15" x14ac:dyDescent="0.25">
      <c r="A1084" t="s">
        <v>167</v>
      </c>
      <c r="B1084" t="s">
        <v>4156</v>
      </c>
      <c r="E1084" s="1517" t="s">
        <v>4219</v>
      </c>
      <c r="F1084" s="1517"/>
      <c r="G1084" s="584" t="s">
        <v>777</v>
      </c>
      <c r="H1084" s="650">
        <v>100</v>
      </c>
      <c r="V1084">
        <v>44</v>
      </c>
    </row>
    <row r="1085" spans="1:22" customFormat="1" ht="18.75" x14ac:dyDescent="0.25">
      <c r="A1085" t="s">
        <v>167</v>
      </c>
      <c r="B1085" t="s">
        <v>4156</v>
      </c>
      <c r="E1085" s="1492" t="s">
        <v>3851</v>
      </c>
      <c r="F1085" s="1528"/>
      <c r="G1085" s="1528"/>
      <c r="H1085" s="1528"/>
      <c r="K1085" t="s">
        <v>4070</v>
      </c>
      <c r="V1085">
        <v>38</v>
      </c>
    </row>
    <row r="1086" spans="1:22" customFormat="1" ht="15" x14ac:dyDescent="0.25">
      <c r="A1086" t="s">
        <v>167</v>
      </c>
      <c r="B1086" t="s">
        <v>4156</v>
      </c>
      <c r="E1086" s="1549" t="s">
        <v>950</v>
      </c>
      <c r="F1086" s="1516"/>
      <c r="G1086" s="1516"/>
      <c r="H1086" s="1516"/>
      <c r="K1086" t="s">
        <v>4022</v>
      </c>
      <c r="V1086">
        <v>11</v>
      </c>
    </row>
    <row r="1087" spans="1:22" customFormat="1" ht="15" x14ac:dyDescent="0.25">
      <c r="A1087" t="s">
        <v>167</v>
      </c>
      <c r="B1087" t="s">
        <v>4156</v>
      </c>
      <c r="E1087" s="1516" t="s">
        <v>951</v>
      </c>
      <c r="F1087" s="1516"/>
      <c r="G1087" s="1516"/>
      <c r="H1087" s="1516"/>
      <c r="V1087">
        <v>280</v>
      </c>
    </row>
    <row r="1088" spans="1:22" customFormat="1" ht="15" x14ac:dyDescent="0.25">
      <c r="A1088" t="s">
        <v>167</v>
      </c>
      <c r="B1088" t="s">
        <v>4156</v>
      </c>
      <c r="E1088" s="1516" t="s">
        <v>952</v>
      </c>
      <c r="F1088" s="1516"/>
      <c r="G1088" s="1516"/>
      <c r="H1088" s="1516"/>
      <c r="V1088">
        <v>411</v>
      </c>
    </row>
    <row r="1089" spans="1:22" customFormat="1" ht="15" x14ac:dyDescent="0.25">
      <c r="A1089" t="s">
        <v>167</v>
      </c>
      <c r="B1089" t="s">
        <v>4156</v>
      </c>
      <c r="E1089" s="1516" t="s">
        <v>1103</v>
      </c>
      <c r="F1089" s="1516"/>
      <c r="G1089" s="1516"/>
      <c r="H1089" s="1516"/>
      <c r="V1089">
        <v>211</v>
      </c>
    </row>
    <row r="1090" spans="1:22" customFormat="1" ht="15" x14ac:dyDescent="0.25">
      <c r="A1090" t="s">
        <v>167</v>
      </c>
      <c r="B1090" t="s">
        <v>4156</v>
      </c>
      <c r="E1090" s="1516" t="s">
        <v>4213</v>
      </c>
      <c r="F1090" s="1516"/>
      <c r="G1090" s="1516"/>
      <c r="H1090" s="1516"/>
      <c r="V1090">
        <v>247</v>
      </c>
    </row>
    <row r="1091" spans="1:22" customFormat="1" ht="15" x14ac:dyDescent="0.25">
      <c r="A1091" t="s">
        <v>167</v>
      </c>
      <c r="B1091" t="s">
        <v>4156</v>
      </c>
      <c r="E1091" s="1507" t="s">
        <v>1104</v>
      </c>
      <c r="F1091" s="1507"/>
      <c r="G1091" s="1573"/>
      <c r="H1091" s="1573"/>
      <c r="V1091">
        <v>142</v>
      </c>
    </row>
    <row r="1092" spans="1:22" customFormat="1" ht="15" x14ac:dyDescent="0.25">
      <c r="A1092" t="s">
        <v>167</v>
      </c>
      <c r="B1092" t="s">
        <v>4156</v>
      </c>
      <c r="E1092" s="1507" t="s">
        <v>849</v>
      </c>
      <c r="F1092" s="1507"/>
      <c r="G1092" s="584" t="s">
        <v>777</v>
      </c>
      <c r="H1092" s="651">
        <v>121.23</v>
      </c>
      <c r="V1092">
        <v>106</v>
      </c>
    </row>
    <row r="1093" spans="1:22" customFormat="1" ht="15" x14ac:dyDescent="0.25">
      <c r="A1093" t="s">
        <v>167</v>
      </c>
      <c r="B1093" t="s">
        <v>4156</v>
      </c>
      <c r="E1093" s="1507" t="s">
        <v>4220</v>
      </c>
      <c r="F1093" s="1507"/>
      <c r="G1093" s="584" t="s">
        <v>777</v>
      </c>
      <c r="H1093" s="650">
        <v>48.5</v>
      </c>
      <c r="V1093">
        <v>34</v>
      </c>
    </row>
    <row r="1094" spans="1:22" customFormat="1" ht="15" x14ac:dyDescent="0.25">
      <c r="A1094" t="s">
        <v>167</v>
      </c>
      <c r="B1094" t="s">
        <v>4156</v>
      </c>
      <c r="E1094" s="1507" t="s">
        <v>4221</v>
      </c>
      <c r="F1094" s="1507"/>
      <c r="G1094" s="584" t="s">
        <v>852</v>
      </c>
      <c r="H1094" s="651">
        <v>1.2</v>
      </c>
      <c r="V1094">
        <v>51</v>
      </c>
    </row>
    <row r="1095" spans="1:22" customFormat="1" ht="15" x14ac:dyDescent="0.25">
      <c r="A1095" t="s">
        <v>167</v>
      </c>
      <c r="B1095" t="s">
        <v>4156</v>
      </c>
      <c r="E1095" s="1507" t="s">
        <v>853</v>
      </c>
      <c r="F1095" s="1507"/>
      <c r="G1095" s="584" t="s">
        <v>852</v>
      </c>
      <c r="H1095" s="651">
        <v>0.71</v>
      </c>
      <c r="V1095">
        <v>75</v>
      </c>
    </row>
    <row r="1096" spans="1:22" customFormat="1" ht="15" x14ac:dyDescent="0.25">
      <c r="A1096" t="s">
        <v>167</v>
      </c>
      <c r="B1096" t="s">
        <v>4156</v>
      </c>
      <c r="E1096" s="1507" t="s">
        <v>854</v>
      </c>
      <c r="F1096" s="1507"/>
      <c r="G1096" s="584" t="s">
        <v>852</v>
      </c>
      <c r="H1096" s="650">
        <v>-0.71</v>
      </c>
      <c r="V1096">
        <v>72</v>
      </c>
    </row>
    <row r="1097" spans="1:22" customFormat="1" ht="15" x14ac:dyDescent="0.25">
      <c r="A1097" t="s">
        <v>167</v>
      </c>
      <c r="B1097" t="s">
        <v>4156</v>
      </c>
      <c r="E1097" s="1511" t="s">
        <v>855</v>
      </c>
      <c r="F1097" s="1511"/>
      <c r="G1097" s="1561"/>
      <c r="H1097" s="1561"/>
      <c r="V1097">
        <v>34</v>
      </c>
    </row>
    <row r="1098" spans="1:22" customFormat="1" ht="15" x14ac:dyDescent="0.25">
      <c r="A1098" t="s">
        <v>167</v>
      </c>
      <c r="B1098" t="s">
        <v>4156</v>
      </c>
      <c r="E1098" s="1511" t="s">
        <v>1106</v>
      </c>
      <c r="F1098" s="1511"/>
      <c r="G1098" s="584" t="s">
        <v>777</v>
      </c>
      <c r="H1098" s="650">
        <v>0.61</v>
      </c>
      <c r="V1098">
        <v>57</v>
      </c>
    </row>
    <row r="1099" spans="1:22" customFormat="1" ht="15" x14ac:dyDescent="0.25">
      <c r="A1099" t="s">
        <v>167</v>
      </c>
      <c r="B1099" t="s">
        <v>4156</v>
      </c>
      <c r="E1099" s="1511" t="s">
        <v>1107</v>
      </c>
      <c r="F1099" s="1511"/>
      <c r="G1099" s="584" t="s">
        <v>777</v>
      </c>
      <c r="H1099" s="650">
        <v>1.2</v>
      </c>
      <c r="V1099">
        <v>60</v>
      </c>
    </row>
    <row r="1100" spans="1:22" customFormat="1" ht="15" x14ac:dyDescent="0.25">
      <c r="A1100" t="s">
        <v>167</v>
      </c>
      <c r="B1100" t="s">
        <v>4156</v>
      </c>
      <c r="E1100" s="1507" t="s">
        <v>4222</v>
      </c>
      <c r="F1100" s="1507"/>
      <c r="G1100" s="583"/>
      <c r="H1100" s="583"/>
      <c r="V1100">
        <v>266</v>
      </c>
    </row>
    <row r="1101" spans="1:22" customFormat="1" ht="15" x14ac:dyDescent="0.25">
      <c r="A1101" t="s">
        <v>167</v>
      </c>
      <c r="B1101" t="s">
        <v>4156</v>
      </c>
      <c r="E1101" s="1511" t="s">
        <v>1111</v>
      </c>
      <c r="F1101" s="1511"/>
      <c r="G1101" s="841"/>
      <c r="H1101" s="699" t="s">
        <v>857</v>
      </c>
      <c r="V1101">
        <v>18</v>
      </c>
    </row>
    <row r="1102" spans="1:22" customFormat="1" ht="15" x14ac:dyDescent="0.25">
      <c r="A1102" t="s">
        <v>167</v>
      </c>
      <c r="B1102" t="s">
        <v>4156</v>
      </c>
      <c r="E1102" s="1511" t="s">
        <v>1112</v>
      </c>
      <c r="F1102" s="1511"/>
      <c r="G1102" s="584" t="s">
        <v>777</v>
      </c>
      <c r="H1102" s="650">
        <v>4.8499999999999996</v>
      </c>
      <c r="V1102">
        <v>69</v>
      </c>
    </row>
    <row r="1103" spans="1:22" customFormat="1" ht="15" x14ac:dyDescent="0.25">
      <c r="A1103" t="s">
        <v>167</v>
      </c>
      <c r="B1103" t="s">
        <v>4156</v>
      </c>
      <c r="E1103" s="1511" t="s">
        <v>858</v>
      </c>
      <c r="F1103" s="1511"/>
      <c r="G1103" s="584" t="s">
        <v>777</v>
      </c>
      <c r="H1103" s="650">
        <v>2.42</v>
      </c>
      <c r="V1103">
        <v>199</v>
      </c>
    </row>
    <row r="1104" spans="1:22" customFormat="1" ht="18.75" x14ac:dyDescent="0.25">
      <c r="A1104" t="s">
        <v>167</v>
      </c>
      <c r="B1104" t="s">
        <v>4156</v>
      </c>
      <c r="E1104" s="1492" t="s">
        <v>3853</v>
      </c>
      <c r="F1104" s="1528"/>
      <c r="G1104" s="1528"/>
      <c r="H1104" s="1528"/>
      <c r="K1104" t="s">
        <v>4071</v>
      </c>
      <c r="V1104">
        <v>12</v>
      </c>
    </row>
    <row r="1105" spans="1:22" customFormat="1" ht="15" x14ac:dyDescent="0.25">
      <c r="A1105" t="s">
        <v>167</v>
      </c>
      <c r="B1105" t="s">
        <v>4156</v>
      </c>
      <c r="E1105" s="1507" t="s">
        <v>1114</v>
      </c>
      <c r="F1105" s="1507"/>
      <c r="G1105" s="1507"/>
      <c r="H1105" s="1507"/>
      <c r="V1105">
        <v>203</v>
      </c>
    </row>
    <row r="1106" spans="1:22" customFormat="1" ht="15" x14ac:dyDescent="0.25">
      <c r="A1106" t="s">
        <v>167</v>
      </c>
      <c r="B1106" t="s">
        <v>4156</v>
      </c>
      <c r="E1106" s="1507" t="s">
        <v>1115</v>
      </c>
      <c r="F1106" s="1507"/>
      <c r="G1106" s="584"/>
      <c r="H1106" s="650">
        <v>1.026</v>
      </c>
      <c r="V1106">
        <v>57</v>
      </c>
    </row>
    <row r="1107" spans="1:22" customFormat="1" ht="15" x14ac:dyDescent="0.25">
      <c r="A1107" t="s">
        <v>167</v>
      </c>
      <c r="B1107" t="s">
        <v>4156</v>
      </c>
      <c r="E1107" s="1507" t="s">
        <v>4072</v>
      </c>
      <c r="F1107" s="1507"/>
      <c r="G1107" s="584"/>
      <c r="H1107" s="650">
        <v>1.0137</v>
      </c>
      <c r="V1107">
        <v>57</v>
      </c>
    </row>
    <row r="1108" spans="1:22" customFormat="1" ht="15" x14ac:dyDescent="0.25">
      <c r="A1108" t="s">
        <v>167</v>
      </c>
      <c r="B1108" t="s">
        <v>4156</v>
      </c>
      <c r="E1108" s="1507" t="s">
        <v>1117</v>
      </c>
      <c r="F1108" s="1507"/>
      <c r="G1108" s="584"/>
      <c r="H1108" s="650">
        <v>1.0157</v>
      </c>
      <c r="V1108">
        <v>55</v>
      </c>
    </row>
    <row r="1109" spans="1:22" customFormat="1" ht="15" x14ac:dyDescent="0.25">
      <c r="A1109" t="s">
        <v>167</v>
      </c>
      <c r="B1109" t="s">
        <v>4156</v>
      </c>
      <c r="E1109" s="1507" t="s">
        <v>4073</v>
      </c>
      <c r="F1109" s="1507"/>
      <c r="G1109" s="584"/>
      <c r="H1109" s="650">
        <v>1.0036</v>
      </c>
      <c r="J1109" t="s">
        <v>4223</v>
      </c>
      <c r="V1109">
        <v>55</v>
      </c>
    </row>
    <row r="1110" spans="1:22" customFormat="1" ht="23.25" x14ac:dyDescent="0.25">
      <c r="A1110" t="s">
        <v>167</v>
      </c>
      <c r="B1110" t="s">
        <v>4224</v>
      </c>
      <c r="C1110" t="s">
        <v>3755</v>
      </c>
      <c r="E1110" s="1550" t="s">
        <v>167</v>
      </c>
      <c r="F1110" s="1550"/>
      <c r="G1110" s="1550"/>
      <c r="H1110" s="1550"/>
      <c r="I1110" t="s">
        <v>94</v>
      </c>
      <c r="J1110" t="s">
        <v>4225</v>
      </c>
      <c r="K1110" t="s">
        <v>167</v>
      </c>
      <c r="M1110">
        <v>10</v>
      </c>
      <c r="V1110">
        <v>29</v>
      </c>
    </row>
    <row r="1111" spans="1:22" customFormat="1" ht="23.25" x14ac:dyDescent="0.25">
      <c r="A1111" t="s">
        <v>167</v>
      </c>
      <c r="B1111" t="s">
        <v>4224</v>
      </c>
      <c r="C1111" t="s">
        <v>3757</v>
      </c>
      <c r="E1111" s="1541" t="s">
        <v>183</v>
      </c>
      <c r="F1111" s="1541"/>
      <c r="G1111" s="1541"/>
      <c r="H1111" s="1541"/>
      <c r="V1111">
        <v>27</v>
      </c>
    </row>
    <row r="1112" spans="1:22" customFormat="1" x14ac:dyDescent="0.25">
      <c r="A1112" t="s">
        <v>167</v>
      </c>
      <c r="B1112" t="s">
        <v>4224</v>
      </c>
      <c r="C1112" t="s">
        <v>3758</v>
      </c>
      <c r="E1112" s="1551" t="s">
        <v>944</v>
      </c>
      <c r="F1112" s="1551"/>
      <c r="G1112" s="1551"/>
      <c r="H1112" s="1551"/>
      <c r="V1112">
        <v>27</v>
      </c>
    </row>
    <row r="1113" spans="1:22" customFormat="1" ht="15.75" x14ac:dyDescent="0.25">
      <c r="A1113" t="s">
        <v>167</v>
      </c>
      <c r="B1113" t="s">
        <v>4224</v>
      </c>
      <c r="C1113" t="s">
        <v>3759</v>
      </c>
      <c r="E1113" s="1543" t="s">
        <v>6511</v>
      </c>
      <c r="F1113" s="1543"/>
      <c r="G1113" s="1543"/>
      <c r="H1113" s="1543"/>
      <c r="S1113">
        <v>45658</v>
      </c>
      <c r="V1113">
        <v>49</v>
      </c>
    </row>
    <row r="1114" spans="1:22" customFormat="1" ht="15" x14ac:dyDescent="0.25">
      <c r="A1114" t="s">
        <v>167</v>
      </c>
      <c r="B1114" t="s">
        <v>4224</v>
      </c>
      <c r="E1114" s="1544" t="s">
        <v>3921</v>
      </c>
      <c r="F1114" s="1544"/>
      <c r="G1114" s="1544"/>
      <c r="H1114" s="1544"/>
      <c r="V1114">
        <v>53</v>
      </c>
    </row>
    <row r="1115" spans="1:22" customFormat="1" ht="15" x14ac:dyDescent="0.25">
      <c r="A1115" t="s">
        <v>167</v>
      </c>
      <c r="B1115" t="s">
        <v>4224</v>
      </c>
      <c r="E1115" s="1544" t="s">
        <v>946</v>
      </c>
      <c r="F1115" s="1544"/>
      <c r="G1115" s="1544"/>
      <c r="H1115" s="1544"/>
      <c r="V1115">
        <v>53</v>
      </c>
    </row>
    <row r="1116" spans="1:22" customFormat="1" ht="15" x14ac:dyDescent="0.25">
      <c r="A1116" t="s">
        <v>167</v>
      </c>
      <c r="B1116" t="s">
        <v>4224</v>
      </c>
      <c r="E1116" s="1513" t="s">
        <v>6518</v>
      </c>
      <c r="F1116" s="1513"/>
      <c r="G1116" s="1513"/>
      <c r="H1116" s="1513"/>
      <c r="K1116" t="s">
        <v>6518</v>
      </c>
      <c r="V1116">
        <v>12</v>
      </c>
    </row>
    <row r="1117" spans="1:22" customFormat="1" ht="15" x14ac:dyDescent="0.25">
      <c r="A1117" t="s">
        <v>167</v>
      </c>
      <c r="B1117" t="s">
        <v>4224</v>
      </c>
      <c r="E1117" s="1527" t="s">
        <v>170</v>
      </c>
      <c r="F1117" s="1720"/>
      <c r="G1117" s="1720"/>
      <c r="H1117" s="1720"/>
      <c r="K1117" t="s">
        <v>947</v>
      </c>
      <c r="V1117">
        <v>34</v>
      </c>
    </row>
    <row r="1118" spans="1:22" customFormat="1" ht="15" x14ac:dyDescent="0.25">
      <c r="A1118" t="s">
        <v>167</v>
      </c>
      <c r="B1118" t="s">
        <v>4224</v>
      </c>
      <c r="E1118" s="1516" t="s">
        <v>4226</v>
      </c>
      <c r="F1118" s="1516"/>
      <c r="G1118" s="1516"/>
      <c r="H1118" s="1516"/>
      <c r="K1118" t="s">
        <v>947</v>
      </c>
      <c r="V1118">
        <v>655</v>
      </c>
    </row>
    <row r="1119" spans="1:22" customFormat="1" ht="15" x14ac:dyDescent="0.25">
      <c r="A1119" t="s">
        <v>167</v>
      </c>
      <c r="B1119" t="s">
        <v>4224</v>
      </c>
      <c r="E1119" s="1515" t="s">
        <v>950</v>
      </c>
      <c r="F1119" s="1549"/>
      <c r="G1119" s="1516"/>
      <c r="H1119" s="1516"/>
      <c r="K1119" t="s">
        <v>949</v>
      </c>
      <c r="V1119">
        <v>11</v>
      </c>
    </row>
    <row r="1120" spans="1:22" customFormat="1" ht="15" x14ac:dyDescent="0.25">
      <c r="A1120" t="s">
        <v>167</v>
      </c>
      <c r="B1120" t="s">
        <v>4224</v>
      </c>
      <c r="E1120" s="1516" t="s">
        <v>951</v>
      </c>
      <c r="F1120" s="1516"/>
      <c r="G1120" s="1516"/>
      <c r="H1120" s="1516"/>
      <c r="K1120" t="s">
        <v>947</v>
      </c>
      <c r="V1120">
        <v>280</v>
      </c>
    </row>
    <row r="1121" spans="1:22" customFormat="1" ht="15" x14ac:dyDescent="0.25">
      <c r="A1121" t="s">
        <v>167</v>
      </c>
      <c r="B1121" t="s">
        <v>4224</v>
      </c>
      <c r="E1121" s="1516" t="s">
        <v>3923</v>
      </c>
      <c r="F1121" s="1516"/>
      <c r="G1121" s="1516"/>
      <c r="H1121" s="1516"/>
      <c r="K1121" t="s">
        <v>947</v>
      </c>
      <c r="V1121">
        <v>426</v>
      </c>
    </row>
    <row r="1122" spans="1:22" customFormat="1" ht="15" x14ac:dyDescent="0.25">
      <c r="A1122" t="s">
        <v>167</v>
      </c>
      <c r="B1122" t="s">
        <v>4224</v>
      </c>
      <c r="E1122" s="1516" t="s">
        <v>953</v>
      </c>
      <c r="F1122" s="1516"/>
      <c r="G1122" s="1516"/>
      <c r="H1122" s="1516"/>
      <c r="K1122" t="s">
        <v>947</v>
      </c>
      <c r="V1122">
        <v>386</v>
      </c>
    </row>
    <row r="1123" spans="1:22" customFormat="1" ht="15" x14ac:dyDescent="0.25">
      <c r="A1123" t="s">
        <v>167</v>
      </c>
      <c r="B1123" t="s">
        <v>4224</v>
      </c>
      <c r="E1123" s="1516" t="s">
        <v>3762</v>
      </c>
      <c r="F1123" s="1516"/>
      <c r="G1123" s="1516"/>
      <c r="H1123" s="1516"/>
      <c r="K1123" t="s">
        <v>947</v>
      </c>
      <c r="V1123">
        <v>247</v>
      </c>
    </row>
    <row r="1124" spans="1:22" customFormat="1" ht="15" x14ac:dyDescent="0.25">
      <c r="A1124" t="s">
        <v>167</v>
      </c>
      <c r="B1124" t="s">
        <v>4224</v>
      </c>
      <c r="E1124" s="1553" t="s">
        <v>4227</v>
      </c>
      <c r="F1124" s="1530"/>
      <c r="G1124" s="1530"/>
      <c r="H1124" s="1530"/>
      <c r="K1124" t="s">
        <v>955</v>
      </c>
      <c r="V1124">
        <v>46</v>
      </c>
    </row>
    <row r="1125" spans="1:22" customFormat="1" ht="15" x14ac:dyDescent="0.25">
      <c r="A1125" t="s">
        <v>167</v>
      </c>
      <c r="B1125" t="s">
        <v>4224</v>
      </c>
      <c r="E1125" s="1507" t="s">
        <v>3773</v>
      </c>
      <c r="F1125" s="1507"/>
      <c r="G1125" s="584" t="s">
        <v>777</v>
      </c>
      <c r="H1125" s="650">
        <v>31.82</v>
      </c>
      <c r="K1125" t="s">
        <v>947</v>
      </c>
      <c r="L1125" t="s">
        <v>690</v>
      </c>
      <c r="P1125" t="s">
        <v>957</v>
      </c>
      <c r="V1125">
        <v>14</v>
      </c>
    </row>
    <row r="1126" spans="1:22" customFormat="1" ht="15" x14ac:dyDescent="0.25">
      <c r="A1126" t="s">
        <v>167</v>
      </c>
      <c r="B1126" t="s">
        <v>4224</v>
      </c>
      <c r="E1126" s="1614" t="s">
        <v>960</v>
      </c>
      <c r="F1126" s="1507"/>
      <c r="G1126" s="586" t="s">
        <v>777</v>
      </c>
      <c r="H1126" s="698">
        <v>0.42</v>
      </c>
      <c r="K1126" t="s">
        <v>947</v>
      </c>
      <c r="L1126" t="s">
        <v>692</v>
      </c>
      <c r="P1126" t="s">
        <v>959</v>
      </c>
      <c r="V1126">
        <v>64</v>
      </c>
    </row>
    <row r="1127" spans="1:22" customFormat="1" ht="15" x14ac:dyDescent="0.25">
      <c r="A1127" t="s">
        <v>167</v>
      </c>
      <c r="B1127" t="s">
        <v>4224</v>
      </c>
      <c r="E1127" s="1507" t="s">
        <v>910</v>
      </c>
      <c r="F1127" s="1507"/>
      <c r="G1127" s="584" t="s">
        <v>845</v>
      </c>
      <c r="H1127" s="698">
        <v>1.2999999999999999E-4</v>
      </c>
      <c r="K1127" t="s">
        <v>947</v>
      </c>
      <c r="L1127" t="s">
        <v>692</v>
      </c>
      <c r="P1127" t="s">
        <v>961</v>
      </c>
      <c r="V1127">
        <v>24</v>
      </c>
    </row>
    <row r="1128" spans="1:22" customFormat="1" ht="15" x14ac:dyDescent="0.25">
      <c r="A1128" t="s">
        <v>167</v>
      </c>
      <c r="B1128" t="s">
        <v>4224</v>
      </c>
      <c r="E1128" s="1507" t="s">
        <v>6519</v>
      </c>
      <c r="F1128" s="1510"/>
      <c r="G1128" s="584" t="s">
        <v>845</v>
      </c>
      <c r="H1128" s="698">
        <v>1.6999999999999999E-3</v>
      </c>
      <c r="K1128" t="s">
        <v>947</v>
      </c>
      <c r="L1128" t="s">
        <v>692</v>
      </c>
      <c r="P1128" t="s">
        <v>962</v>
      </c>
      <c r="T1128">
        <v>46022</v>
      </c>
      <c r="V1128">
        <v>142</v>
      </c>
    </row>
    <row r="1129" spans="1:22" customFormat="1" ht="15" x14ac:dyDescent="0.25">
      <c r="A1129" t="s">
        <v>167</v>
      </c>
      <c r="B1129" t="s">
        <v>4224</v>
      </c>
      <c r="E1129" s="1507" t="s">
        <v>6520</v>
      </c>
      <c r="F1129" s="1510"/>
      <c r="G1129" s="584" t="s">
        <v>845</v>
      </c>
      <c r="H1129" s="698">
        <v>-5.9999999999999995E-4</v>
      </c>
      <c r="K1129" t="s">
        <v>947</v>
      </c>
      <c r="L1129" t="s">
        <v>692</v>
      </c>
      <c r="P1129" t="s">
        <v>963</v>
      </c>
      <c r="T1129">
        <v>46022</v>
      </c>
      <c r="V1129">
        <v>99</v>
      </c>
    </row>
    <row r="1130" spans="1:22" customFormat="1" ht="15" x14ac:dyDescent="0.25">
      <c r="A1130" t="s">
        <v>167</v>
      </c>
      <c r="B1130" t="s">
        <v>4224</v>
      </c>
      <c r="E1130" s="1507" t="s">
        <v>6521</v>
      </c>
      <c r="F1130" s="1510"/>
      <c r="G1130" s="584" t="s">
        <v>845</v>
      </c>
      <c r="H1130" s="698">
        <v>2.0000000000000001E-4</v>
      </c>
      <c r="K1130" t="s">
        <v>947</v>
      </c>
      <c r="L1130" t="s">
        <v>692</v>
      </c>
      <c r="P1130" t="s">
        <v>3764</v>
      </c>
      <c r="T1130">
        <v>46022</v>
      </c>
      <c r="V1130">
        <v>149</v>
      </c>
    </row>
    <row r="1131" spans="1:22" customFormat="1" ht="15" x14ac:dyDescent="0.25">
      <c r="A1131" t="s">
        <v>167</v>
      </c>
      <c r="B1131" t="s">
        <v>4224</v>
      </c>
      <c r="E1131" s="1507" t="s">
        <v>243</v>
      </c>
      <c r="F1131" s="1507"/>
      <c r="G1131" s="584" t="s">
        <v>845</v>
      </c>
      <c r="H1131" s="650">
        <v>1.2699999999999999E-2</v>
      </c>
      <c r="K1131" t="s">
        <v>947</v>
      </c>
      <c r="L1131" t="s">
        <v>694</v>
      </c>
      <c r="P1131" t="s">
        <v>964</v>
      </c>
      <c r="V1131">
        <v>47</v>
      </c>
    </row>
    <row r="1132" spans="1:22" customFormat="1" ht="15" x14ac:dyDescent="0.25">
      <c r="A1132" t="s">
        <v>167</v>
      </c>
      <c r="B1132" t="s">
        <v>4224</v>
      </c>
      <c r="E1132" s="1507" t="s">
        <v>175</v>
      </c>
      <c r="F1132" s="1507"/>
      <c r="G1132" s="584" t="s">
        <v>845</v>
      </c>
      <c r="H1132" s="650">
        <v>9.1000000000000004E-3</v>
      </c>
      <c r="K1132" t="s">
        <v>947</v>
      </c>
      <c r="L1132" t="s">
        <v>694</v>
      </c>
      <c r="P1132" t="s">
        <v>965</v>
      </c>
      <c r="V1132">
        <v>74</v>
      </c>
    </row>
    <row r="1133" spans="1:22" customFormat="1" ht="15" x14ac:dyDescent="0.25">
      <c r="A1133" t="s">
        <v>167</v>
      </c>
      <c r="B1133" t="s">
        <v>4224</v>
      </c>
      <c r="E1133" s="1515" t="s">
        <v>4228</v>
      </c>
      <c r="F1133" s="1507"/>
      <c r="G1133" s="584"/>
      <c r="H1133" s="393"/>
      <c r="K1133" t="s">
        <v>966</v>
      </c>
      <c r="V1133">
        <v>48</v>
      </c>
    </row>
    <row r="1134" spans="1:22" customFormat="1" ht="15" x14ac:dyDescent="0.25">
      <c r="A1134" t="s">
        <v>167</v>
      </c>
      <c r="B1134" t="s">
        <v>4224</v>
      </c>
      <c r="E1134" s="1508" t="s">
        <v>844</v>
      </c>
      <c r="F1134" s="1507"/>
      <c r="G1134" s="620" t="s">
        <v>845</v>
      </c>
      <c r="H1134" s="650">
        <v>4.1000000000000003E-3</v>
      </c>
      <c r="K1134" t="s">
        <v>947</v>
      </c>
      <c r="L1134" t="s">
        <v>968</v>
      </c>
      <c r="P1134" t="s">
        <v>969</v>
      </c>
      <c r="V1134">
        <v>55</v>
      </c>
    </row>
    <row r="1135" spans="1:22" customFormat="1" ht="15" x14ac:dyDescent="0.25">
      <c r="A1135" t="s">
        <v>167</v>
      </c>
      <c r="B1135" t="s">
        <v>4224</v>
      </c>
      <c r="E1135" s="1508" t="s">
        <v>846</v>
      </c>
      <c r="F1135" s="1507"/>
      <c r="G1135" s="620" t="s">
        <v>845</v>
      </c>
      <c r="H1135" s="700">
        <v>4.0000000000000002E-4</v>
      </c>
      <c r="K1135" t="s">
        <v>947</v>
      </c>
      <c r="L1135" t="s">
        <v>968</v>
      </c>
      <c r="P1135" t="s">
        <v>969</v>
      </c>
      <c r="V1135">
        <v>65</v>
      </c>
    </row>
    <row r="1136" spans="1:22" customFormat="1" ht="15" x14ac:dyDescent="0.25">
      <c r="A1136" t="s">
        <v>167</v>
      </c>
      <c r="B1136" t="s">
        <v>4224</v>
      </c>
      <c r="E1136" s="1507" t="s">
        <v>847</v>
      </c>
      <c r="F1136" s="1507"/>
      <c r="G1136" s="584" t="s">
        <v>845</v>
      </c>
      <c r="H1136" s="698">
        <v>1.5E-3</v>
      </c>
      <c r="K1136" t="s">
        <v>947</v>
      </c>
      <c r="L1136" t="s">
        <v>968</v>
      </c>
      <c r="P1136" t="s">
        <v>970</v>
      </c>
      <c r="V1136">
        <v>57</v>
      </c>
    </row>
    <row r="1137" spans="1:22" customFormat="1" ht="15" x14ac:dyDescent="0.25">
      <c r="A1137" t="s">
        <v>167</v>
      </c>
      <c r="B1137" t="s">
        <v>4224</v>
      </c>
      <c r="E1137" s="1508" t="s">
        <v>848</v>
      </c>
      <c r="F1137" s="1507"/>
      <c r="G1137" s="584" t="s">
        <v>777</v>
      </c>
      <c r="H1137" s="650">
        <v>0.25</v>
      </c>
      <c r="K1137" t="s">
        <v>947</v>
      </c>
      <c r="L1137" t="s">
        <v>968</v>
      </c>
      <c r="P1137" t="s">
        <v>971</v>
      </c>
      <c r="V1137">
        <v>63</v>
      </c>
    </row>
    <row r="1138" spans="1:22" customFormat="1" x14ac:dyDescent="0.25">
      <c r="A1138" t="s">
        <v>167</v>
      </c>
      <c r="B1138" t="s">
        <v>4224</v>
      </c>
      <c r="E1138" s="1527" t="s">
        <v>174</v>
      </c>
      <c r="F1138" s="1493"/>
      <c r="G1138" s="1493"/>
      <c r="H1138" s="1493"/>
      <c r="K1138" t="s">
        <v>972</v>
      </c>
      <c r="V1138">
        <v>54</v>
      </c>
    </row>
    <row r="1139" spans="1:22" customFormat="1" ht="15" x14ac:dyDescent="0.25">
      <c r="A1139" t="s">
        <v>167</v>
      </c>
      <c r="B1139" t="s">
        <v>4224</v>
      </c>
      <c r="E1139" s="1516" t="s">
        <v>4229</v>
      </c>
      <c r="F1139" s="1516"/>
      <c r="G1139" s="1516"/>
      <c r="H1139" s="1516"/>
      <c r="K1139" t="s">
        <v>972</v>
      </c>
      <c r="V1139">
        <v>337</v>
      </c>
    </row>
    <row r="1140" spans="1:22" customFormat="1" ht="15" x14ac:dyDescent="0.25">
      <c r="A1140" t="s">
        <v>167</v>
      </c>
      <c r="B1140" t="s">
        <v>4224</v>
      </c>
      <c r="E1140" s="1515" t="s">
        <v>950</v>
      </c>
      <c r="F1140" s="1549"/>
      <c r="G1140" s="1549"/>
      <c r="H1140" s="1516"/>
      <c r="K1140" t="s">
        <v>974</v>
      </c>
      <c r="V1140">
        <v>11</v>
      </c>
    </row>
    <row r="1141" spans="1:22" customFormat="1" ht="15" x14ac:dyDescent="0.25">
      <c r="A1141" t="s">
        <v>167</v>
      </c>
      <c r="B1141" t="s">
        <v>4224</v>
      </c>
      <c r="E1141" s="1516" t="s">
        <v>951</v>
      </c>
      <c r="F1141" s="1516"/>
      <c r="G1141" s="1516"/>
      <c r="H1141" s="1516"/>
      <c r="K1141" t="s">
        <v>972</v>
      </c>
      <c r="V1141">
        <v>280</v>
      </c>
    </row>
    <row r="1142" spans="1:22" customFormat="1" ht="15" x14ac:dyDescent="0.25">
      <c r="A1142" t="s">
        <v>167</v>
      </c>
      <c r="B1142" t="s">
        <v>4224</v>
      </c>
      <c r="E1142" s="1516" t="s">
        <v>952</v>
      </c>
      <c r="F1142" s="1516"/>
      <c r="G1142" s="1516"/>
      <c r="H1142" s="1516"/>
      <c r="K1142" t="s">
        <v>972</v>
      </c>
      <c r="V1142">
        <v>411</v>
      </c>
    </row>
    <row r="1143" spans="1:22" customFormat="1" ht="15" x14ac:dyDescent="0.25">
      <c r="A1143" t="s">
        <v>167</v>
      </c>
      <c r="B1143" t="s">
        <v>4224</v>
      </c>
      <c r="E1143" s="1516" t="s">
        <v>953</v>
      </c>
      <c r="F1143" s="1516"/>
      <c r="G1143" s="1516"/>
      <c r="H1143" s="1516"/>
      <c r="K1143" t="s">
        <v>972</v>
      </c>
      <c r="V1143">
        <v>386</v>
      </c>
    </row>
    <row r="1144" spans="1:22" customFormat="1" ht="15" x14ac:dyDescent="0.25">
      <c r="A1144" t="s">
        <v>167</v>
      </c>
      <c r="B1144" t="s">
        <v>4224</v>
      </c>
      <c r="E1144" s="1516" t="s">
        <v>3762</v>
      </c>
      <c r="F1144" s="1516"/>
      <c r="G1144" s="1516"/>
      <c r="H1144" s="1516"/>
      <c r="K1144" t="s">
        <v>972</v>
      </c>
      <c r="V1144">
        <v>247</v>
      </c>
    </row>
    <row r="1145" spans="1:22" customFormat="1" ht="15" x14ac:dyDescent="0.25">
      <c r="A1145" t="s">
        <v>167</v>
      </c>
      <c r="B1145" t="s">
        <v>4224</v>
      </c>
      <c r="E1145" s="1553" t="s">
        <v>4227</v>
      </c>
      <c r="F1145" s="1530"/>
      <c r="G1145" s="1530"/>
      <c r="H1145" s="1530"/>
      <c r="K1145" t="s">
        <v>975</v>
      </c>
      <c r="V1145">
        <v>46</v>
      </c>
    </row>
    <row r="1146" spans="1:22" customFormat="1" ht="15" x14ac:dyDescent="0.25">
      <c r="A1146" t="s">
        <v>167</v>
      </c>
      <c r="B1146" t="s">
        <v>4224</v>
      </c>
      <c r="E1146" s="1507" t="s">
        <v>3773</v>
      </c>
      <c r="F1146" s="1507"/>
      <c r="G1146" s="584" t="s">
        <v>777</v>
      </c>
      <c r="H1146" s="650">
        <v>50.38</v>
      </c>
      <c r="K1146" t="s">
        <v>972</v>
      </c>
      <c r="L1146" t="s">
        <v>690</v>
      </c>
      <c r="P1146" t="s">
        <v>976</v>
      </c>
      <c r="V1146">
        <v>14</v>
      </c>
    </row>
    <row r="1147" spans="1:22" customFormat="1" ht="15" x14ac:dyDescent="0.25">
      <c r="A1147" t="s">
        <v>167</v>
      </c>
      <c r="B1147" t="s">
        <v>4224</v>
      </c>
      <c r="E1147" s="1614" t="s">
        <v>960</v>
      </c>
      <c r="F1147" s="1507"/>
      <c r="G1147" s="586" t="s">
        <v>777</v>
      </c>
      <c r="H1147" s="698">
        <v>0.42</v>
      </c>
      <c r="K1147" t="s">
        <v>972</v>
      </c>
      <c r="L1147" t="s">
        <v>692</v>
      </c>
      <c r="P1147" t="s">
        <v>977</v>
      </c>
      <c r="V1147">
        <v>64</v>
      </c>
    </row>
    <row r="1148" spans="1:22" customFormat="1" ht="15" x14ac:dyDescent="0.25">
      <c r="A1148" t="s">
        <v>167</v>
      </c>
      <c r="B1148" t="s">
        <v>4224</v>
      </c>
      <c r="E1148" s="1507" t="s">
        <v>3688</v>
      </c>
      <c r="F1148" s="1507"/>
      <c r="G1148" s="584" t="s">
        <v>845</v>
      </c>
      <c r="H1148" s="650">
        <v>1.29E-2</v>
      </c>
      <c r="K1148" t="s">
        <v>972</v>
      </c>
      <c r="L1148" t="s">
        <v>690</v>
      </c>
      <c r="P1148" t="s">
        <v>978</v>
      </c>
      <c r="V1148">
        <v>28</v>
      </c>
    </row>
    <row r="1149" spans="1:22" customFormat="1" ht="15" x14ac:dyDescent="0.25">
      <c r="A1149" t="s">
        <v>167</v>
      </c>
      <c r="B1149" t="s">
        <v>4224</v>
      </c>
      <c r="E1149" s="1507" t="s">
        <v>910</v>
      </c>
      <c r="F1149" s="1507"/>
      <c r="G1149" s="584" t="s">
        <v>845</v>
      </c>
      <c r="H1149" s="698">
        <v>1.2E-4</v>
      </c>
      <c r="K1149" t="s">
        <v>972</v>
      </c>
      <c r="L1149" t="s">
        <v>692</v>
      </c>
      <c r="P1149" t="s">
        <v>980</v>
      </c>
      <c r="V1149">
        <v>24</v>
      </c>
    </row>
    <row r="1150" spans="1:22" customFormat="1" ht="15" x14ac:dyDescent="0.25">
      <c r="A1150" t="s">
        <v>167</v>
      </c>
      <c r="B1150" t="s">
        <v>4224</v>
      </c>
      <c r="E1150" s="1507" t="s">
        <v>6519</v>
      </c>
      <c r="F1150" s="1510"/>
      <c r="G1150" s="584" t="s">
        <v>845</v>
      </c>
      <c r="H1150" s="698">
        <v>1.6999999999999999E-3</v>
      </c>
      <c r="K1150" t="s">
        <v>972</v>
      </c>
      <c r="L1150" t="s">
        <v>692</v>
      </c>
      <c r="P1150" t="s">
        <v>981</v>
      </c>
      <c r="T1150">
        <v>46022</v>
      </c>
      <c r="V1150">
        <v>142</v>
      </c>
    </row>
    <row r="1151" spans="1:22" customFormat="1" ht="15" x14ac:dyDescent="0.25">
      <c r="A1151" t="s">
        <v>167</v>
      </c>
      <c r="B1151" t="s">
        <v>4224</v>
      </c>
      <c r="E1151" s="1507" t="s">
        <v>6520</v>
      </c>
      <c r="F1151" s="1510"/>
      <c r="G1151" s="584" t="s">
        <v>845</v>
      </c>
      <c r="H1151" s="698">
        <v>-4.0000000000000002E-4</v>
      </c>
      <c r="K1151" t="s">
        <v>972</v>
      </c>
      <c r="L1151" t="s">
        <v>692</v>
      </c>
      <c r="P1151" t="s">
        <v>982</v>
      </c>
      <c r="T1151">
        <v>46022</v>
      </c>
      <c r="V1151">
        <v>99</v>
      </c>
    </row>
    <row r="1152" spans="1:22" customFormat="1" ht="15" x14ac:dyDescent="0.25">
      <c r="A1152" t="s">
        <v>167</v>
      </c>
      <c r="B1152" t="s">
        <v>4224</v>
      </c>
      <c r="E1152" s="1507" t="s">
        <v>6521</v>
      </c>
      <c r="F1152" s="1510"/>
      <c r="G1152" s="584" t="s">
        <v>845</v>
      </c>
      <c r="H1152" s="698">
        <v>2.0000000000000001E-4</v>
      </c>
      <c r="K1152" t="s">
        <v>972</v>
      </c>
      <c r="L1152" t="s">
        <v>692</v>
      </c>
      <c r="P1152" t="s">
        <v>3766</v>
      </c>
      <c r="T1152">
        <v>46022</v>
      </c>
      <c r="V1152">
        <v>149</v>
      </c>
    </row>
    <row r="1153" spans="1:22" customFormat="1" ht="15" x14ac:dyDescent="0.25">
      <c r="A1153" t="s">
        <v>167</v>
      </c>
      <c r="B1153" t="s">
        <v>4224</v>
      </c>
      <c r="E1153" s="1507" t="s">
        <v>6531</v>
      </c>
      <c r="F1153" s="1507"/>
      <c r="G1153" s="584" t="s">
        <v>845</v>
      </c>
      <c r="H1153" s="698">
        <v>5.9999999999999995E-4</v>
      </c>
      <c r="K1153" t="s">
        <v>972</v>
      </c>
      <c r="L1153" t="s">
        <v>690</v>
      </c>
      <c r="P1153" t="s">
        <v>3931</v>
      </c>
      <c r="T1153">
        <v>46022</v>
      </c>
      <c r="V1153">
        <v>151</v>
      </c>
    </row>
    <row r="1154" spans="1:22" customFormat="1" ht="15" x14ac:dyDescent="0.25">
      <c r="A1154" t="s">
        <v>167</v>
      </c>
      <c r="B1154" t="s">
        <v>4224</v>
      </c>
      <c r="E1154" s="1507" t="s">
        <v>243</v>
      </c>
      <c r="F1154" s="1507"/>
      <c r="G1154" s="584" t="s">
        <v>845</v>
      </c>
      <c r="H1154" s="650">
        <v>1.11E-2</v>
      </c>
      <c r="K1154" t="s">
        <v>972</v>
      </c>
      <c r="L1154" t="s">
        <v>694</v>
      </c>
      <c r="P1154" t="s">
        <v>983</v>
      </c>
      <c r="V1154">
        <v>47</v>
      </c>
    </row>
    <row r="1155" spans="1:22" customFormat="1" ht="15" x14ac:dyDescent="0.25">
      <c r="A1155" t="s">
        <v>167</v>
      </c>
      <c r="B1155" t="s">
        <v>4224</v>
      </c>
      <c r="E1155" s="1507" t="s">
        <v>175</v>
      </c>
      <c r="F1155" s="1507"/>
      <c r="G1155" s="584" t="s">
        <v>845</v>
      </c>
      <c r="H1155" s="650">
        <v>8.0999999999999996E-3</v>
      </c>
      <c r="K1155" t="s">
        <v>972</v>
      </c>
      <c r="L1155" t="s">
        <v>694</v>
      </c>
      <c r="P1155" t="s">
        <v>984</v>
      </c>
      <c r="V1155">
        <v>74</v>
      </c>
    </row>
    <row r="1156" spans="1:22" customFormat="1" ht="15" x14ac:dyDescent="0.25">
      <c r="A1156" t="s">
        <v>167</v>
      </c>
      <c r="B1156" t="s">
        <v>4224</v>
      </c>
      <c r="E1156" s="1515" t="s">
        <v>4228</v>
      </c>
      <c r="F1156" s="1507"/>
      <c r="G1156" s="584"/>
      <c r="H1156" s="393"/>
      <c r="K1156" t="s">
        <v>985</v>
      </c>
      <c r="V1156">
        <v>48</v>
      </c>
    </row>
    <row r="1157" spans="1:22" customFormat="1" ht="15" x14ac:dyDescent="0.25">
      <c r="A1157" t="s">
        <v>167</v>
      </c>
      <c r="B1157" t="s">
        <v>4224</v>
      </c>
      <c r="E1157" s="1508" t="s">
        <v>844</v>
      </c>
      <c r="F1157" s="1507"/>
      <c r="G1157" s="620" t="s">
        <v>845</v>
      </c>
      <c r="H1157" s="650">
        <v>4.1000000000000003E-3</v>
      </c>
      <c r="K1157" t="s">
        <v>972</v>
      </c>
      <c r="L1157" t="s">
        <v>968</v>
      </c>
      <c r="P1157" t="s">
        <v>986</v>
      </c>
      <c r="V1157">
        <v>55</v>
      </c>
    </row>
    <row r="1158" spans="1:22" customFormat="1" ht="15" x14ac:dyDescent="0.25">
      <c r="A1158" t="s">
        <v>167</v>
      </c>
      <c r="B1158" t="s">
        <v>4224</v>
      </c>
      <c r="E1158" s="1508" t="s">
        <v>846</v>
      </c>
      <c r="F1158" s="1507"/>
      <c r="G1158" s="620" t="s">
        <v>845</v>
      </c>
      <c r="H1158" s="700">
        <v>4.0000000000000002E-4</v>
      </c>
      <c r="K1158" t="s">
        <v>972</v>
      </c>
      <c r="L1158" t="s">
        <v>968</v>
      </c>
      <c r="P1158" t="s">
        <v>986</v>
      </c>
      <c r="V1158">
        <v>65</v>
      </c>
    </row>
    <row r="1159" spans="1:22" customFormat="1" ht="15" x14ac:dyDescent="0.25">
      <c r="A1159" t="s">
        <v>167</v>
      </c>
      <c r="B1159" t="s">
        <v>4224</v>
      </c>
      <c r="E1159" s="1507" t="s">
        <v>847</v>
      </c>
      <c r="F1159" s="1507"/>
      <c r="G1159" s="584" t="s">
        <v>845</v>
      </c>
      <c r="H1159" s="698">
        <v>1.5E-3</v>
      </c>
      <c r="K1159" t="s">
        <v>972</v>
      </c>
      <c r="L1159" t="s">
        <v>968</v>
      </c>
      <c r="P1159" t="s">
        <v>987</v>
      </c>
      <c r="V1159">
        <v>57</v>
      </c>
    </row>
    <row r="1160" spans="1:22" customFormat="1" ht="15" x14ac:dyDescent="0.25">
      <c r="A1160" t="s">
        <v>167</v>
      </c>
      <c r="B1160" t="s">
        <v>4224</v>
      </c>
      <c r="E1160" s="1507" t="s">
        <v>848</v>
      </c>
      <c r="F1160" s="1507"/>
      <c r="G1160" s="584" t="s">
        <v>777</v>
      </c>
      <c r="H1160" s="650">
        <v>0.25</v>
      </c>
      <c r="K1160" t="s">
        <v>972</v>
      </c>
      <c r="L1160" t="s">
        <v>968</v>
      </c>
      <c r="P1160" t="s">
        <v>988</v>
      </c>
      <c r="V1160">
        <v>63</v>
      </c>
    </row>
    <row r="1161" spans="1:22" customFormat="1" x14ac:dyDescent="0.25">
      <c r="A1161" t="s">
        <v>167</v>
      </c>
      <c r="B1161" t="s">
        <v>4224</v>
      </c>
      <c r="E1161" s="1527" t="s">
        <v>3767</v>
      </c>
      <c r="F1161" s="1493"/>
      <c r="G1161" s="1493"/>
      <c r="H1161" s="1493"/>
      <c r="K1161" t="s">
        <v>3768</v>
      </c>
      <c r="V1161">
        <v>53</v>
      </c>
    </row>
    <row r="1162" spans="1:22" customFormat="1" ht="15" x14ac:dyDescent="0.25">
      <c r="A1162" t="s">
        <v>167</v>
      </c>
      <c r="B1162" t="s">
        <v>4224</v>
      </c>
      <c r="E1162" s="1516" t="s">
        <v>4230</v>
      </c>
      <c r="F1162" s="1516"/>
      <c r="G1162" s="1516"/>
      <c r="H1162" s="1516"/>
      <c r="K1162" t="s">
        <v>3768</v>
      </c>
      <c r="V1162">
        <v>388</v>
      </c>
    </row>
    <row r="1163" spans="1:22" customFormat="1" ht="15" x14ac:dyDescent="0.25">
      <c r="A1163" t="s">
        <v>167</v>
      </c>
      <c r="B1163" t="s">
        <v>4224</v>
      </c>
      <c r="E1163" s="1515" t="s">
        <v>950</v>
      </c>
      <c r="F1163" s="1549"/>
      <c r="G1163" s="1516"/>
      <c r="H1163" s="1516"/>
      <c r="K1163" t="s">
        <v>992</v>
      </c>
      <c r="V1163">
        <v>11</v>
      </c>
    </row>
    <row r="1164" spans="1:22" customFormat="1" ht="15" x14ac:dyDescent="0.25">
      <c r="A1164" t="s">
        <v>167</v>
      </c>
      <c r="B1164" t="s">
        <v>4224</v>
      </c>
      <c r="E1164" s="1516" t="s">
        <v>951</v>
      </c>
      <c r="F1164" s="1516"/>
      <c r="G1164" s="1516"/>
      <c r="H1164" s="1516"/>
      <c r="K1164" t="s">
        <v>3768</v>
      </c>
      <c r="V1164">
        <v>280</v>
      </c>
    </row>
    <row r="1165" spans="1:22" customFormat="1" ht="15" x14ac:dyDescent="0.25">
      <c r="A1165" t="s">
        <v>167</v>
      </c>
      <c r="B1165" t="s">
        <v>4224</v>
      </c>
      <c r="E1165" s="1516" t="s">
        <v>952</v>
      </c>
      <c r="F1165" s="1516"/>
      <c r="G1165" s="1516"/>
      <c r="H1165" s="1516"/>
      <c r="K1165" t="s">
        <v>3768</v>
      </c>
      <c r="V1165">
        <v>411</v>
      </c>
    </row>
    <row r="1166" spans="1:22" customFormat="1" ht="15" x14ac:dyDescent="0.25">
      <c r="A1166" t="s">
        <v>167</v>
      </c>
      <c r="B1166" t="s">
        <v>4224</v>
      </c>
      <c r="E1166" s="1516" t="s">
        <v>4231</v>
      </c>
      <c r="F1166" s="1516"/>
      <c r="G1166" s="1516"/>
      <c r="H1166" s="1516"/>
      <c r="K1166" t="s">
        <v>3768</v>
      </c>
      <c r="V1166">
        <v>387</v>
      </c>
    </row>
    <row r="1167" spans="1:22" customFormat="1" ht="15" x14ac:dyDescent="0.25">
      <c r="A1167" t="s">
        <v>167</v>
      </c>
      <c r="B1167" t="s">
        <v>4224</v>
      </c>
      <c r="E1167" s="1516" t="s">
        <v>3771</v>
      </c>
      <c r="F1167" s="1516"/>
      <c r="G1167" s="1516"/>
      <c r="H1167" s="1516"/>
      <c r="K1167" t="s">
        <v>3768</v>
      </c>
      <c r="V1167">
        <v>677</v>
      </c>
    </row>
    <row r="1168" spans="1:22" customFormat="1" ht="15" x14ac:dyDescent="0.25">
      <c r="A1168" t="s">
        <v>167</v>
      </c>
      <c r="B1168" t="s">
        <v>4224</v>
      </c>
      <c r="E1168" s="1516" t="s">
        <v>994</v>
      </c>
      <c r="F1168" s="1516"/>
      <c r="G1168" s="1516"/>
      <c r="H1168" s="1516"/>
      <c r="K1168" t="s">
        <v>3768</v>
      </c>
      <c r="V1168">
        <v>725</v>
      </c>
    </row>
    <row r="1169" spans="1:22" customFormat="1" ht="15" x14ac:dyDescent="0.25">
      <c r="A1169" t="s">
        <v>167</v>
      </c>
      <c r="B1169" t="s">
        <v>4224</v>
      </c>
      <c r="E1169" s="1516" t="s">
        <v>954</v>
      </c>
      <c r="F1169" s="1516"/>
      <c r="G1169" s="1516"/>
      <c r="H1169" s="1516"/>
      <c r="K1169" t="s">
        <v>3768</v>
      </c>
      <c r="V1169">
        <v>246</v>
      </c>
    </row>
    <row r="1170" spans="1:22" customFormat="1" ht="15" x14ac:dyDescent="0.25">
      <c r="A1170" t="s">
        <v>167</v>
      </c>
      <c r="B1170" t="s">
        <v>4224</v>
      </c>
      <c r="E1170" s="1553" t="s">
        <v>4227</v>
      </c>
      <c r="F1170" s="1530"/>
      <c r="G1170" s="1530"/>
      <c r="H1170" s="1530"/>
      <c r="K1170" t="s">
        <v>995</v>
      </c>
      <c r="V1170">
        <v>46</v>
      </c>
    </row>
    <row r="1171" spans="1:22" customFormat="1" ht="15" x14ac:dyDescent="0.25">
      <c r="A1171" t="s">
        <v>167</v>
      </c>
      <c r="B1171" t="s">
        <v>4224</v>
      </c>
      <c r="E1171" s="1507" t="s">
        <v>3773</v>
      </c>
      <c r="F1171" s="1507"/>
      <c r="G1171" s="584" t="s">
        <v>777</v>
      </c>
      <c r="H1171" s="650">
        <v>463.94</v>
      </c>
      <c r="K1171" t="s">
        <v>3768</v>
      </c>
      <c r="L1171" t="s">
        <v>690</v>
      </c>
      <c r="P1171" t="s">
        <v>3774</v>
      </c>
      <c r="V1171">
        <v>14</v>
      </c>
    </row>
    <row r="1172" spans="1:22" customFormat="1" ht="15" x14ac:dyDescent="0.25">
      <c r="A1172" t="s">
        <v>167</v>
      </c>
      <c r="B1172" t="s">
        <v>4224</v>
      </c>
      <c r="E1172" s="1507" t="s">
        <v>3688</v>
      </c>
      <c r="F1172" s="1507"/>
      <c r="G1172" s="584" t="s">
        <v>3775</v>
      </c>
      <c r="H1172" s="650">
        <v>3.1156000000000001</v>
      </c>
      <c r="K1172" t="s">
        <v>3768</v>
      </c>
      <c r="L1172" t="s">
        <v>690</v>
      </c>
      <c r="P1172" t="s">
        <v>3776</v>
      </c>
      <c r="V1172">
        <v>28</v>
      </c>
    </row>
    <row r="1173" spans="1:22" customFormat="1" ht="15" x14ac:dyDescent="0.25">
      <c r="A1173" t="s">
        <v>167</v>
      </c>
      <c r="B1173" t="s">
        <v>4224</v>
      </c>
      <c r="E1173" s="1507" t="s">
        <v>910</v>
      </c>
      <c r="F1173" s="1507"/>
      <c r="G1173" s="584" t="s">
        <v>3775</v>
      </c>
      <c r="H1173" s="698">
        <v>4.6769999999999999E-2</v>
      </c>
      <c r="K1173" t="s">
        <v>3768</v>
      </c>
      <c r="L1173" t="s">
        <v>692</v>
      </c>
      <c r="P1173" t="s">
        <v>3777</v>
      </c>
      <c r="V1173">
        <v>24</v>
      </c>
    </row>
    <row r="1174" spans="1:22" customFormat="1" ht="15" x14ac:dyDescent="0.25">
      <c r="A1174" t="s">
        <v>167</v>
      </c>
      <c r="B1174" t="s">
        <v>4224</v>
      </c>
      <c r="E1174" s="1507" t="s">
        <v>6519</v>
      </c>
      <c r="F1174" s="1510"/>
      <c r="G1174" s="584" t="s">
        <v>845</v>
      </c>
      <c r="H1174" s="698">
        <v>1.6999999999999999E-3</v>
      </c>
      <c r="K1174" t="s">
        <v>3768</v>
      </c>
      <c r="L1174" t="s">
        <v>692</v>
      </c>
      <c r="P1174" t="s">
        <v>4232</v>
      </c>
      <c r="T1174">
        <v>46022</v>
      </c>
      <c r="V1174">
        <v>142</v>
      </c>
    </row>
    <row r="1175" spans="1:22" customFormat="1" ht="15" x14ac:dyDescent="0.25">
      <c r="A1175" t="s">
        <v>167</v>
      </c>
      <c r="B1175" t="s">
        <v>4224</v>
      </c>
      <c r="E1175" s="1507" t="s">
        <v>6525</v>
      </c>
      <c r="F1175" s="1510"/>
      <c r="G1175" s="584" t="s">
        <v>3775</v>
      </c>
      <c r="H1175" s="698">
        <v>-0.53969999999999996</v>
      </c>
      <c r="K1175" t="s">
        <v>3768</v>
      </c>
      <c r="L1175" t="s">
        <v>692</v>
      </c>
      <c r="P1175" t="s">
        <v>3779</v>
      </c>
      <c r="T1175">
        <v>46022</v>
      </c>
      <c r="V1175">
        <v>159</v>
      </c>
    </row>
    <row r="1176" spans="1:22" customFormat="1" ht="15" x14ac:dyDescent="0.25">
      <c r="A1176" t="s">
        <v>167</v>
      </c>
      <c r="B1176" t="s">
        <v>4224</v>
      </c>
      <c r="E1176" s="1507" t="s">
        <v>6520</v>
      </c>
      <c r="F1176" s="1510"/>
      <c r="G1176" s="584" t="s">
        <v>3775</v>
      </c>
      <c r="H1176" s="698">
        <v>0.41410000000000002</v>
      </c>
      <c r="K1176" t="s">
        <v>3768</v>
      </c>
      <c r="L1176" t="s">
        <v>692</v>
      </c>
      <c r="P1176" t="s">
        <v>3779</v>
      </c>
      <c r="T1176">
        <v>46022</v>
      </c>
      <c r="V1176">
        <v>99</v>
      </c>
    </row>
    <row r="1177" spans="1:22" customFormat="1" ht="15" x14ac:dyDescent="0.25">
      <c r="A1177" t="s">
        <v>167</v>
      </c>
      <c r="B1177" t="s">
        <v>4224</v>
      </c>
      <c r="E1177" s="1507" t="s">
        <v>6521</v>
      </c>
      <c r="F1177" s="1510"/>
      <c r="G1177" s="584" t="s">
        <v>3775</v>
      </c>
      <c r="H1177" s="698">
        <v>6.1499999999999999E-2</v>
      </c>
      <c r="K1177" t="s">
        <v>3768</v>
      </c>
      <c r="L1177" t="s">
        <v>692</v>
      </c>
      <c r="P1177" t="s">
        <v>3778</v>
      </c>
      <c r="T1177">
        <v>46022</v>
      </c>
      <c r="V1177">
        <v>149</v>
      </c>
    </row>
    <row r="1178" spans="1:22" customFormat="1" ht="15" x14ac:dyDescent="0.25">
      <c r="A1178" t="s">
        <v>167</v>
      </c>
      <c r="B1178" t="s">
        <v>4224</v>
      </c>
      <c r="E1178" s="1507" t="s">
        <v>6531</v>
      </c>
      <c r="F1178" s="1507"/>
      <c r="G1178" s="584" t="s">
        <v>3775</v>
      </c>
      <c r="H1178" s="698">
        <v>-1.78E-2</v>
      </c>
      <c r="K1178" t="s">
        <v>3768</v>
      </c>
      <c r="L1178" t="s">
        <v>690</v>
      </c>
      <c r="P1178" t="s">
        <v>4233</v>
      </c>
      <c r="T1178">
        <v>46022</v>
      </c>
      <c r="V1178">
        <v>151</v>
      </c>
    </row>
    <row r="1179" spans="1:22" customFormat="1" ht="15" x14ac:dyDescent="0.25">
      <c r="A1179" t="s">
        <v>167</v>
      </c>
      <c r="B1179" t="s">
        <v>4224</v>
      </c>
      <c r="E1179" s="1507" t="s">
        <v>243</v>
      </c>
      <c r="F1179" s="1507"/>
      <c r="G1179" s="584" t="s">
        <v>3775</v>
      </c>
      <c r="H1179" s="650">
        <v>4.4409999999999998</v>
      </c>
      <c r="K1179" t="s">
        <v>3768</v>
      </c>
      <c r="L1179" t="s">
        <v>694</v>
      </c>
      <c r="P1179" t="s">
        <v>3780</v>
      </c>
      <c r="V1179">
        <v>47</v>
      </c>
    </row>
    <row r="1180" spans="1:22" customFormat="1" ht="15" x14ac:dyDescent="0.25">
      <c r="A1180" t="s">
        <v>167</v>
      </c>
      <c r="B1180" t="s">
        <v>4224</v>
      </c>
      <c r="E1180" s="1507" t="s">
        <v>175</v>
      </c>
      <c r="F1180" s="1507"/>
      <c r="G1180" s="584" t="s">
        <v>3775</v>
      </c>
      <c r="H1180" s="650">
        <v>3.2934999999999999</v>
      </c>
      <c r="K1180" t="s">
        <v>3768</v>
      </c>
      <c r="L1180" t="s">
        <v>694</v>
      </c>
      <c r="P1180" t="s">
        <v>3781</v>
      </c>
      <c r="V1180">
        <v>74</v>
      </c>
    </row>
    <row r="1181" spans="1:22" customFormat="1" ht="15" x14ac:dyDescent="0.25">
      <c r="A1181" t="s">
        <v>167</v>
      </c>
      <c r="B1181" t="s">
        <v>4224</v>
      </c>
      <c r="E1181" s="1515" t="s">
        <v>4228</v>
      </c>
      <c r="F1181" s="1507"/>
      <c r="G1181" s="584"/>
      <c r="H1181" s="393"/>
      <c r="K1181" t="s">
        <v>1003</v>
      </c>
      <c r="V1181">
        <v>48</v>
      </c>
    </row>
    <row r="1182" spans="1:22" customFormat="1" ht="15" x14ac:dyDescent="0.25">
      <c r="A1182" t="s">
        <v>167</v>
      </c>
      <c r="B1182" t="s">
        <v>4224</v>
      </c>
      <c r="E1182" s="1508" t="s">
        <v>844</v>
      </c>
      <c r="F1182" s="1507"/>
      <c r="G1182" s="620" t="s">
        <v>845</v>
      </c>
      <c r="H1182" s="650">
        <v>4.1000000000000003E-3</v>
      </c>
      <c r="K1182" t="s">
        <v>3768</v>
      </c>
      <c r="L1182" t="s">
        <v>968</v>
      </c>
      <c r="P1182" t="s">
        <v>3782</v>
      </c>
      <c r="V1182">
        <v>55</v>
      </c>
    </row>
    <row r="1183" spans="1:22" customFormat="1" ht="15" x14ac:dyDescent="0.25">
      <c r="A1183" t="s">
        <v>167</v>
      </c>
      <c r="B1183" t="s">
        <v>4224</v>
      </c>
      <c r="E1183" s="1508" t="s">
        <v>846</v>
      </c>
      <c r="F1183" s="1507"/>
      <c r="G1183" s="620" t="s">
        <v>845</v>
      </c>
      <c r="H1183" s="700">
        <v>4.0000000000000002E-4</v>
      </c>
      <c r="K1183" t="s">
        <v>3768</v>
      </c>
      <c r="L1183" t="s">
        <v>968</v>
      </c>
      <c r="P1183" t="s">
        <v>3782</v>
      </c>
      <c r="V1183">
        <v>65</v>
      </c>
    </row>
    <row r="1184" spans="1:22" customFormat="1" ht="15" x14ac:dyDescent="0.25">
      <c r="A1184" t="s">
        <v>167</v>
      </c>
      <c r="B1184" t="s">
        <v>4224</v>
      </c>
      <c r="E1184" s="1507" t="s">
        <v>847</v>
      </c>
      <c r="F1184" s="1507"/>
      <c r="G1184" s="584" t="s">
        <v>845</v>
      </c>
      <c r="H1184" s="698">
        <v>1.5E-3</v>
      </c>
      <c r="K1184" t="s">
        <v>3768</v>
      </c>
      <c r="L1184" t="s">
        <v>968</v>
      </c>
      <c r="P1184" t="s">
        <v>3783</v>
      </c>
      <c r="V1184">
        <v>57</v>
      </c>
    </row>
    <row r="1185" spans="1:22" customFormat="1" ht="15" x14ac:dyDescent="0.25">
      <c r="A1185" t="s">
        <v>167</v>
      </c>
      <c r="B1185" t="s">
        <v>4224</v>
      </c>
      <c r="E1185" s="1507" t="s">
        <v>848</v>
      </c>
      <c r="F1185" s="1507"/>
      <c r="G1185" s="584" t="s">
        <v>777</v>
      </c>
      <c r="H1185" s="650">
        <v>0.25</v>
      </c>
      <c r="K1185" t="s">
        <v>3768</v>
      </c>
      <c r="L1185" t="s">
        <v>968</v>
      </c>
      <c r="P1185" t="s">
        <v>3784</v>
      </c>
      <c r="V1185">
        <v>63</v>
      </c>
    </row>
    <row r="1186" spans="1:22" customFormat="1" x14ac:dyDescent="0.25">
      <c r="A1186" t="s">
        <v>167</v>
      </c>
      <c r="B1186" t="s">
        <v>4224</v>
      </c>
      <c r="E1186" s="1527" t="s">
        <v>189</v>
      </c>
      <c r="F1186" s="1493"/>
      <c r="G1186" s="1493"/>
      <c r="H1186" s="1493"/>
      <c r="K1186" t="s">
        <v>4234</v>
      </c>
      <c r="V1186">
        <v>32</v>
      </c>
    </row>
    <row r="1187" spans="1:22" customFormat="1" ht="15" x14ac:dyDescent="0.25">
      <c r="A1187" t="s">
        <v>167</v>
      </c>
      <c r="B1187" t="s">
        <v>4224</v>
      </c>
      <c r="E1187" s="1516" t="s">
        <v>4235</v>
      </c>
      <c r="F1187" s="1516"/>
      <c r="G1187" s="1516"/>
      <c r="H1187" s="1516"/>
      <c r="K1187" t="s">
        <v>4234</v>
      </c>
      <c r="V1187">
        <v>352</v>
      </c>
    </row>
    <row r="1188" spans="1:22" customFormat="1" ht="15" x14ac:dyDescent="0.25">
      <c r="A1188" t="s">
        <v>167</v>
      </c>
      <c r="B1188" t="s">
        <v>4224</v>
      </c>
      <c r="E1188" s="1515" t="s">
        <v>950</v>
      </c>
      <c r="F1188" s="1549"/>
      <c r="G1188" s="1516"/>
      <c r="H1188" s="1516"/>
      <c r="K1188" t="s">
        <v>1010</v>
      </c>
      <c r="V1188">
        <v>11</v>
      </c>
    </row>
    <row r="1189" spans="1:22" customFormat="1" ht="15" x14ac:dyDescent="0.25">
      <c r="A1189" t="s">
        <v>167</v>
      </c>
      <c r="B1189" t="s">
        <v>4224</v>
      </c>
      <c r="E1189" s="1516" t="s">
        <v>951</v>
      </c>
      <c r="F1189" s="1516"/>
      <c r="G1189" s="1516"/>
      <c r="H1189" s="1516"/>
      <c r="K1189" t="s">
        <v>4234</v>
      </c>
      <c r="V1189">
        <v>280</v>
      </c>
    </row>
    <row r="1190" spans="1:22" customFormat="1" ht="15" x14ac:dyDescent="0.25">
      <c r="A1190" t="s">
        <v>167</v>
      </c>
      <c r="B1190" t="s">
        <v>4224</v>
      </c>
      <c r="E1190" s="1516" t="s">
        <v>952</v>
      </c>
      <c r="F1190" s="1516"/>
      <c r="G1190" s="1516"/>
      <c r="H1190" s="1516"/>
      <c r="K1190" t="s">
        <v>4234</v>
      </c>
      <c r="V1190">
        <v>411</v>
      </c>
    </row>
    <row r="1191" spans="1:22" customFormat="1" ht="15" x14ac:dyDescent="0.25">
      <c r="A1191" t="s">
        <v>167</v>
      </c>
      <c r="B1191" t="s">
        <v>4224</v>
      </c>
      <c r="E1191" s="1516" t="s">
        <v>4231</v>
      </c>
      <c r="F1191" s="1516"/>
      <c r="G1191" s="1516"/>
      <c r="H1191" s="1516"/>
      <c r="K1191" t="s">
        <v>4234</v>
      </c>
      <c r="V1191">
        <v>387</v>
      </c>
    </row>
    <row r="1192" spans="1:22" customFormat="1" ht="15" x14ac:dyDescent="0.25">
      <c r="A1192" t="s">
        <v>167</v>
      </c>
      <c r="B1192" t="s">
        <v>4224</v>
      </c>
      <c r="E1192" s="1516" t="s">
        <v>3771</v>
      </c>
      <c r="F1192" s="1516"/>
      <c r="G1192" s="1516"/>
      <c r="H1192" s="1516"/>
      <c r="K1192" t="s">
        <v>4234</v>
      </c>
      <c r="V1192">
        <v>677</v>
      </c>
    </row>
    <row r="1193" spans="1:22" customFormat="1" ht="15" x14ac:dyDescent="0.25">
      <c r="A1193" t="s">
        <v>167</v>
      </c>
      <c r="B1193" t="s">
        <v>4224</v>
      </c>
      <c r="E1193" s="1516" t="s">
        <v>994</v>
      </c>
      <c r="F1193" s="1516"/>
      <c r="G1193" s="1516"/>
      <c r="H1193" s="1516"/>
      <c r="K1193" t="s">
        <v>4234</v>
      </c>
      <c r="V1193">
        <v>725</v>
      </c>
    </row>
    <row r="1194" spans="1:22" customFormat="1" ht="15" x14ac:dyDescent="0.25">
      <c r="A1194" t="s">
        <v>167</v>
      </c>
      <c r="B1194" t="s">
        <v>4224</v>
      </c>
      <c r="E1194" s="1516" t="s">
        <v>954</v>
      </c>
      <c r="F1194" s="1516"/>
      <c r="G1194" s="1516"/>
      <c r="H1194" s="1516"/>
      <c r="K1194" t="s">
        <v>4234</v>
      </c>
      <c r="V1194">
        <v>246</v>
      </c>
    </row>
    <row r="1195" spans="1:22" customFormat="1" ht="15" x14ac:dyDescent="0.25">
      <c r="A1195" t="s">
        <v>167</v>
      </c>
      <c r="B1195" t="s">
        <v>4224</v>
      </c>
      <c r="E1195" s="1553" t="s">
        <v>4227</v>
      </c>
      <c r="F1195" s="1530"/>
      <c r="G1195" s="1530"/>
      <c r="H1195" s="1530"/>
      <c r="K1195" t="s">
        <v>1011</v>
      </c>
      <c r="V1195">
        <v>46</v>
      </c>
    </row>
    <row r="1196" spans="1:22" customFormat="1" ht="15" x14ac:dyDescent="0.25">
      <c r="A1196" t="s">
        <v>167</v>
      </c>
      <c r="B1196" t="s">
        <v>4224</v>
      </c>
      <c r="E1196" s="1507" t="s">
        <v>3773</v>
      </c>
      <c r="F1196" s="1507"/>
      <c r="G1196" s="584" t="s">
        <v>777</v>
      </c>
      <c r="H1196" s="650">
        <v>28927.24</v>
      </c>
      <c r="K1196" t="s">
        <v>4234</v>
      </c>
      <c r="L1196" t="s">
        <v>690</v>
      </c>
      <c r="P1196" t="s">
        <v>4236</v>
      </c>
      <c r="V1196">
        <v>14</v>
      </c>
    </row>
    <row r="1197" spans="1:22" customFormat="1" ht="15" x14ac:dyDescent="0.25">
      <c r="A1197" t="s">
        <v>167</v>
      </c>
      <c r="B1197" t="s">
        <v>4224</v>
      </c>
      <c r="E1197" s="1507" t="s">
        <v>3688</v>
      </c>
      <c r="F1197" s="1507"/>
      <c r="G1197" s="584" t="s">
        <v>3775</v>
      </c>
      <c r="H1197" s="650">
        <v>1.7067000000000001</v>
      </c>
      <c r="K1197" t="s">
        <v>4234</v>
      </c>
      <c r="L1197" t="s">
        <v>690</v>
      </c>
      <c r="P1197" t="s">
        <v>4237</v>
      </c>
      <c r="V1197">
        <v>28</v>
      </c>
    </row>
    <row r="1198" spans="1:22" customFormat="1" ht="15" x14ac:dyDescent="0.25">
      <c r="A1198" t="s">
        <v>167</v>
      </c>
      <c r="B1198" t="s">
        <v>4224</v>
      </c>
      <c r="E1198" s="1507" t="s">
        <v>910</v>
      </c>
      <c r="F1198" s="1507"/>
      <c r="G1198" s="584" t="s">
        <v>3775</v>
      </c>
      <c r="H1198" s="698">
        <v>5.3749999999999999E-2</v>
      </c>
      <c r="K1198" t="s">
        <v>4234</v>
      </c>
      <c r="L1198" t="s">
        <v>692</v>
      </c>
      <c r="P1198" t="s">
        <v>4238</v>
      </c>
      <c r="V1198">
        <v>24</v>
      </c>
    </row>
    <row r="1199" spans="1:22" customFormat="1" ht="15" x14ac:dyDescent="0.25">
      <c r="A1199" t="s">
        <v>167</v>
      </c>
      <c r="B1199" t="s">
        <v>4224</v>
      </c>
      <c r="E1199" s="1507" t="s">
        <v>6520</v>
      </c>
      <c r="F1199" s="1510"/>
      <c r="G1199" s="584" t="s">
        <v>3775</v>
      </c>
      <c r="H1199" s="698">
        <v>-0.1489</v>
      </c>
      <c r="K1199" t="s">
        <v>4234</v>
      </c>
      <c r="L1199" t="s">
        <v>692</v>
      </c>
      <c r="P1199" t="s">
        <v>4240</v>
      </c>
      <c r="T1199">
        <v>46022</v>
      </c>
      <c r="V1199">
        <v>99</v>
      </c>
    </row>
    <row r="1200" spans="1:22" customFormat="1" ht="15" x14ac:dyDescent="0.25">
      <c r="A1200" t="s">
        <v>167</v>
      </c>
      <c r="B1200" t="s">
        <v>4224</v>
      </c>
      <c r="E1200" s="1507" t="s">
        <v>6531</v>
      </c>
      <c r="F1200" s="1507"/>
      <c r="G1200" s="584" t="s">
        <v>3775</v>
      </c>
      <c r="H1200" s="698">
        <v>7.1499999999999994E-2</v>
      </c>
      <c r="K1200" t="s">
        <v>4234</v>
      </c>
      <c r="L1200" t="s">
        <v>690</v>
      </c>
      <c r="P1200" t="s">
        <v>4239</v>
      </c>
      <c r="T1200">
        <v>46022</v>
      </c>
      <c r="V1200">
        <v>151</v>
      </c>
    </row>
    <row r="1201" spans="1:22" customFormat="1" ht="15" x14ac:dyDescent="0.25">
      <c r="A1201" t="s">
        <v>167</v>
      </c>
      <c r="B1201" t="s">
        <v>4224</v>
      </c>
      <c r="E1201" s="1507" t="s">
        <v>243</v>
      </c>
      <c r="F1201" s="1507"/>
      <c r="G1201" s="584" t="s">
        <v>3775</v>
      </c>
      <c r="H1201" s="650">
        <v>5.0731000000000002</v>
      </c>
      <c r="K1201" t="s">
        <v>4234</v>
      </c>
      <c r="L1201" t="s">
        <v>694</v>
      </c>
      <c r="P1201" t="s">
        <v>4241</v>
      </c>
      <c r="V1201">
        <v>47</v>
      </c>
    </row>
    <row r="1202" spans="1:22" customFormat="1" ht="15" x14ac:dyDescent="0.25">
      <c r="A1202" t="s">
        <v>167</v>
      </c>
      <c r="B1202" t="s">
        <v>4224</v>
      </c>
      <c r="E1202" s="1507" t="s">
        <v>175</v>
      </c>
      <c r="F1202" s="1507"/>
      <c r="G1202" s="584" t="s">
        <v>3775</v>
      </c>
      <c r="H1202" s="650">
        <v>3.7847</v>
      </c>
      <c r="K1202" t="s">
        <v>4234</v>
      </c>
      <c r="L1202" t="s">
        <v>694</v>
      </c>
      <c r="P1202" t="s">
        <v>4242</v>
      </c>
      <c r="V1202">
        <v>74</v>
      </c>
    </row>
    <row r="1203" spans="1:22" customFormat="1" ht="15" x14ac:dyDescent="0.25">
      <c r="A1203" t="s">
        <v>167</v>
      </c>
      <c r="B1203" t="s">
        <v>4224</v>
      </c>
      <c r="E1203" s="1515" t="s">
        <v>4228</v>
      </c>
      <c r="F1203" s="1507"/>
      <c r="G1203" s="587"/>
      <c r="H1203" s="393"/>
      <c r="K1203" t="s">
        <v>1019</v>
      </c>
      <c r="V1203">
        <v>48</v>
      </c>
    </row>
    <row r="1204" spans="1:22" customFormat="1" ht="15" x14ac:dyDescent="0.25">
      <c r="A1204" t="s">
        <v>167</v>
      </c>
      <c r="B1204" t="s">
        <v>4224</v>
      </c>
      <c r="E1204" s="1508" t="s">
        <v>844</v>
      </c>
      <c r="F1204" s="1507"/>
      <c r="G1204" s="620" t="s">
        <v>845</v>
      </c>
      <c r="H1204" s="650">
        <v>4.1000000000000003E-3</v>
      </c>
      <c r="K1204" t="s">
        <v>4234</v>
      </c>
      <c r="L1204" t="s">
        <v>968</v>
      </c>
      <c r="P1204" t="s">
        <v>4243</v>
      </c>
      <c r="V1204">
        <v>55</v>
      </c>
    </row>
    <row r="1205" spans="1:22" customFormat="1" ht="15" x14ac:dyDescent="0.25">
      <c r="A1205" t="s">
        <v>167</v>
      </c>
      <c r="B1205" t="s">
        <v>4224</v>
      </c>
      <c r="E1205" s="1508" t="s">
        <v>846</v>
      </c>
      <c r="F1205" s="1507"/>
      <c r="G1205" s="620" t="s">
        <v>845</v>
      </c>
      <c r="H1205" s="700">
        <v>4.0000000000000002E-4</v>
      </c>
      <c r="K1205" t="s">
        <v>4234</v>
      </c>
      <c r="L1205" t="s">
        <v>968</v>
      </c>
      <c r="P1205" t="s">
        <v>4243</v>
      </c>
      <c r="V1205">
        <v>65</v>
      </c>
    </row>
    <row r="1206" spans="1:22" customFormat="1" ht="15" x14ac:dyDescent="0.25">
      <c r="A1206" t="s">
        <v>167</v>
      </c>
      <c r="B1206" t="s">
        <v>4224</v>
      </c>
      <c r="E1206" s="1507" t="s">
        <v>847</v>
      </c>
      <c r="F1206" s="1507"/>
      <c r="G1206" s="584" t="s">
        <v>845</v>
      </c>
      <c r="H1206" s="698">
        <v>1.5E-3</v>
      </c>
      <c r="K1206" t="s">
        <v>4234</v>
      </c>
      <c r="L1206" t="s">
        <v>968</v>
      </c>
      <c r="P1206" t="s">
        <v>4244</v>
      </c>
      <c r="V1206">
        <v>57</v>
      </c>
    </row>
    <row r="1207" spans="1:22" customFormat="1" ht="15" x14ac:dyDescent="0.25">
      <c r="A1207" t="s">
        <v>167</v>
      </c>
      <c r="B1207" t="s">
        <v>4224</v>
      </c>
      <c r="E1207" s="1507" t="s">
        <v>848</v>
      </c>
      <c r="F1207" s="1507"/>
      <c r="G1207" s="584" t="s">
        <v>777</v>
      </c>
      <c r="H1207" s="650">
        <v>0.25</v>
      </c>
      <c r="K1207" t="s">
        <v>4234</v>
      </c>
      <c r="L1207" t="s">
        <v>968</v>
      </c>
      <c r="P1207" t="s">
        <v>4245</v>
      </c>
      <c r="V1207">
        <v>63</v>
      </c>
    </row>
    <row r="1208" spans="1:22" customFormat="1" x14ac:dyDescent="0.25">
      <c r="A1208" t="s">
        <v>167</v>
      </c>
      <c r="B1208" t="s">
        <v>4224</v>
      </c>
      <c r="E1208" s="1527" t="s">
        <v>4246</v>
      </c>
      <c r="F1208" s="1493"/>
      <c r="G1208" s="1493"/>
      <c r="H1208" s="1493"/>
      <c r="K1208" t="s">
        <v>4247</v>
      </c>
      <c r="V1208">
        <v>54</v>
      </c>
    </row>
    <row r="1209" spans="1:22" customFormat="1" ht="15" x14ac:dyDescent="0.25">
      <c r="A1209" t="s">
        <v>167</v>
      </c>
      <c r="B1209" t="s">
        <v>4224</v>
      </c>
      <c r="E1209" s="1516" t="s">
        <v>4248</v>
      </c>
      <c r="F1209" s="1516"/>
      <c r="G1209" s="1516"/>
      <c r="H1209" s="1516"/>
      <c r="K1209" t="s">
        <v>4247</v>
      </c>
      <c r="V1209">
        <v>380</v>
      </c>
    </row>
    <row r="1210" spans="1:22" customFormat="1" ht="15" x14ac:dyDescent="0.25">
      <c r="A1210" t="s">
        <v>167</v>
      </c>
      <c r="B1210" t="s">
        <v>4224</v>
      </c>
      <c r="E1210" s="1515" t="s">
        <v>950</v>
      </c>
      <c r="F1210" s="1516"/>
      <c r="G1210" s="1516"/>
      <c r="H1210" s="1516"/>
      <c r="K1210" t="s">
        <v>1025</v>
      </c>
      <c r="V1210">
        <v>11</v>
      </c>
    </row>
    <row r="1211" spans="1:22" customFormat="1" ht="15" x14ac:dyDescent="0.25">
      <c r="A1211" t="s">
        <v>167</v>
      </c>
      <c r="B1211" t="s">
        <v>4224</v>
      </c>
      <c r="E1211" s="1516" t="s">
        <v>951</v>
      </c>
      <c r="F1211" s="1516"/>
      <c r="G1211" s="1516"/>
      <c r="H1211" s="1516"/>
      <c r="K1211" t="s">
        <v>4247</v>
      </c>
      <c r="V1211">
        <v>280</v>
      </c>
    </row>
    <row r="1212" spans="1:22" customFormat="1" ht="15" x14ac:dyDescent="0.25">
      <c r="A1212" t="s">
        <v>167</v>
      </c>
      <c r="B1212" t="s">
        <v>4224</v>
      </c>
      <c r="E1212" s="1516" t="s">
        <v>952</v>
      </c>
      <c r="F1212" s="1516"/>
      <c r="G1212" s="1516"/>
      <c r="H1212" s="1516"/>
      <c r="K1212" t="s">
        <v>4247</v>
      </c>
      <c r="V1212">
        <v>411</v>
      </c>
    </row>
    <row r="1213" spans="1:22" customFormat="1" ht="15" x14ac:dyDescent="0.25">
      <c r="A1213" t="s">
        <v>167</v>
      </c>
      <c r="B1213" t="s">
        <v>4224</v>
      </c>
      <c r="E1213" s="1516" t="s">
        <v>4231</v>
      </c>
      <c r="F1213" s="1516"/>
      <c r="G1213" s="1516"/>
      <c r="H1213" s="1516"/>
      <c r="K1213" t="s">
        <v>4247</v>
      </c>
      <c r="V1213">
        <v>387</v>
      </c>
    </row>
    <row r="1214" spans="1:22" customFormat="1" ht="15" x14ac:dyDescent="0.25">
      <c r="A1214" t="s">
        <v>167</v>
      </c>
      <c r="B1214" t="s">
        <v>4224</v>
      </c>
      <c r="E1214" s="1516" t="s">
        <v>3771</v>
      </c>
      <c r="F1214" s="1516"/>
      <c r="G1214" s="1516"/>
      <c r="H1214" s="1516"/>
      <c r="K1214" t="s">
        <v>4247</v>
      </c>
      <c r="V1214">
        <v>677</v>
      </c>
    </row>
    <row r="1215" spans="1:22" customFormat="1" ht="15" x14ac:dyDescent="0.25">
      <c r="A1215" t="s">
        <v>167</v>
      </c>
      <c r="B1215" t="s">
        <v>4224</v>
      </c>
      <c r="E1215" s="1516" t="s">
        <v>994</v>
      </c>
      <c r="F1215" s="1516"/>
      <c r="G1215" s="1516"/>
      <c r="H1215" s="1516"/>
      <c r="K1215" t="s">
        <v>4247</v>
      </c>
      <c r="V1215">
        <v>725</v>
      </c>
    </row>
    <row r="1216" spans="1:22" customFormat="1" ht="15" x14ac:dyDescent="0.25">
      <c r="A1216" t="s">
        <v>167</v>
      </c>
      <c r="B1216" t="s">
        <v>4224</v>
      </c>
      <c r="E1216" s="1516" t="s">
        <v>954</v>
      </c>
      <c r="F1216" s="1516"/>
      <c r="G1216" s="1516"/>
      <c r="H1216" s="1516"/>
      <c r="K1216" t="s">
        <v>4247</v>
      </c>
      <c r="V1216">
        <v>246</v>
      </c>
    </row>
    <row r="1217" spans="1:22" customFormat="1" ht="15" x14ac:dyDescent="0.25">
      <c r="A1217" t="s">
        <v>167</v>
      </c>
      <c r="B1217" t="s">
        <v>4224</v>
      </c>
      <c r="E1217" s="1553" t="s">
        <v>4227</v>
      </c>
      <c r="F1217" s="1530"/>
      <c r="G1217" s="1530"/>
      <c r="H1217" s="1530"/>
      <c r="K1217" t="s">
        <v>1026</v>
      </c>
      <c r="V1217">
        <v>46</v>
      </c>
    </row>
    <row r="1218" spans="1:22" customFormat="1" ht="15" x14ac:dyDescent="0.25">
      <c r="A1218" t="s">
        <v>167</v>
      </c>
      <c r="B1218" t="s">
        <v>4224</v>
      </c>
      <c r="E1218" s="1507" t="s">
        <v>3773</v>
      </c>
      <c r="F1218" s="1507"/>
      <c r="G1218" s="584" t="s">
        <v>777</v>
      </c>
      <c r="H1218" s="650">
        <v>6857.7</v>
      </c>
      <c r="K1218" t="s">
        <v>4247</v>
      </c>
      <c r="L1218" t="s">
        <v>690</v>
      </c>
      <c r="P1218" t="s">
        <v>4249</v>
      </c>
      <c r="V1218">
        <v>14</v>
      </c>
    </row>
    <row r="1219" spans="1:22" customFormat="1" ht="15" x14ac:dyDescent="0.25">
      <c r="A1219" t="s">
        <v>167</v>
      </c>
      <c r="B1219" t="s">
        <v>4224</v>
      </c>
      <c r="E1219" s="1507" t="s">
        <v>3688</v>
      </c>
      <c r="F1219" s="1507"/>
      <c r="G1219" s="584" t="s">
        <v>3775</v>
      </c>
      <c r="H1219" s="650">
        <v>0.4047</v>
      </c>
      <c r="K1219" t="s">
        <v>4247</v>
      </c>
      <c r="L1219" t="s">
        <v>690</v>
      </c>
      <c r="P1219" t="s">
        <v>4250</v>
      </c>
      <c r="V1219">
        <v>28</v>
      </c>
    </row>
    <row r="1220" spans="1:22" customFormat="1" ht="15" x14ac:dyDescent="0.25">
      <c r="A1220" t="s">
        <v>167</v>
      </c>
      <c r="B1220" t="s">
        <v>4224</v>
      </c>
      <c r="E1220" s="1507" t="s">
        <v>910</v>
      </c>
      <c r="F1220" s="1507"/>
      <c r="G1220" s="584" t="s">
        <v>3775</v>
      </c>
      <c r="H1220" s="698">
        <v>5.3749999999999999E-2</v>
      </c>
      <c r="K1220" t="s">
        <v>4247</v>
      </c>
      <c r="L1220" t="s">
        <v>692</v>
      </c>
      <c r="P1220" t="s">
        <v>4251</v>
      </c>
      <c r="V1220">
        <v>24</v>
      </c>
    </row>
    <row r="1221" spans="1:22" customFormat="1" ht="15" x14ac:dyDescent="0.25">
      <c r="A1221" t="s">
        <v>167</v>
      </c>
      <c r="B1221" t="s">
        <v>4224</v>
      </c>
      <c r="E1221" s="1507" t="s">
        <v>6525</v>
      </c>
      <c r="F1221" s="1510"/>
      <c r="G1221" s="584" t="s">
        <v>3775</v>
      </c>
      <c r="H1221" s="698">
        <v>-0.62549999999999994</v>
      </c>
      <c r="K1221" t="s">
        <v>4247</v>
      </c>
      <c r="L1221" t="s">
        <v>692</v>
      </c>
      <c r="P1221" t="s">
        <v>4253</v>
      </c>
      <c r="T1221">
        <v>46022</v>
      </c>
      <c r="V1221">
        <v>159</v>
      </c>
    </row>
    <row r="1222" spans="1:22" customFormat="1" ht="15" x14ac:dyDescent="0.25">
      <c r="A1222" t="s">
        <v>167</v>
      </c>
      <c r="B1222" t="s">
        <v>4224</v>
      </c>
      <c r="E1222" s="1507" t="s">
        <v>6520</v>
      </c>
      <c r="F1222" s="1510"/>
      <c r="G1222" s="584" t="s">
        <v>3775</v>
      </c>
      <c r="H1222" s="698">
        <v>0.60899999999999999</v>
      </c>
      <c r="K1222" t="s">
        <v>4247</v>
      </c>
      <c r="L1222" t="s">
        <v>692</v>
      </c>
      <c r="P1222" t="s">
        <v>4253</v>
      </c>
      <c r="T1222">
        <v>46022</v>
      </c>
      <c r="V1222">
        <v>99</v>
      </c>
    </row>
    <row r="1223" spans="1:22" customFormat="1" ht="15" x14ac:dyDescent="0.25">
      <c r="A1223" t="s">
        <v>167</v>
      </c>
      <c r="B1223" t="s">
        <v>4224</v>
      </c>
      <c r="E1223" s="1507" t="s">
        <v>6531</v>
      </c>
      <c r="F1223" s="1507"/>
      <c r="G1223" s="584" t="s">
        <v>3775</v>
      </c>
      <c r="H1223" s="698">
        <v>1.89E-2</v>
      </c>
      <c r="K1223" t="s">
        <v>4247</v>
      </c>
      <c r="L1223" t="s">
        <v>690</v>
      </c>
      <c r="P1223" t="s">
        <v>4252</v>
      </c>
      <c r="T1223">
        <v>46022</v>
      </c>
      <c r="V1223">
        <v>151</v>
      </c>
    </row>
    <row r="1224" spans="1:22" customFormat="1" ht="15" x14ac:dyDescent="0.25">
      <c r="A1224" t="s">
        <v>167</v>
      </c>
      <c r="B1224" t="s">
        <v>4224</v>
      </c>
      <c r="E1224" s="1507" t="s">
        <v>243</v>
      </c>
      <c r="F1224" s="1507"/>
      <c r="G1224" s="584" t="s">
        <v>3775</v>
      </c>
      <c r="H1224" s="650">
        <v>5.0731000000000002</v>
      </c>
      <c r="K1224" t="s">
        <v>4247</v>
      </c>
      <c r="L1224" t="s">
        <v>694</v>
      </c>
      <c r="P1224" t="s">
        <v>4254</v>
      </c>
      <c r="V1224">
        <v>47</v>
      </c>
    </row>
    <row r="1225" spans="1:22" customFormat="1" ht="15" x14ac:dyDescent="0.25">
      <c r="A1225" t="s">
        <v>167</v>
      </c>
      <c r="B1225" t="s">
        <v>4224</v>
      </c>
      <c r="E1225" s="1507" t="s">
        <v>175</v>
      </c>
      <c r="F1225" s="1507"/>
      <c r="G1225" s="584" t="s">
        <v>3775</v>
      </c>
      <c r="H1225" s="650">
        <v>3.7847</v>
      </c>
      <c r="K1225" t="s">
        <v>4247</v>
      </c>
      <c r="L1225" t="s">
        <v>694</v>
      </c>
      <c r="P1225" t="s">
        <v>4255</v>
      </c>
      <c r="V1225">
        <v>74</v>
      </c>
    </row>
    <row r="1226" spans="1:22" customFormat="1" ht="15" x14ac:dyDescent="0.25">
      <c r="A1226" t="s">
        <v>167</v>
      </c>
      <c r="B1226" t="s">
        <v>4224</v>
      </c>
      <c r="E1226" s="1515" t="s">
        <v>4228</v>
      </c>
      <c r="F1226" s="1507"/>
      <c r="G1226" s="587"/>
      <c r="H1226" s="393"/>
      <c r="K1226" t="s">
        <v>1035</v>
      </c>
      <c r="V1226">
        <v>48</v>
      </c>
    </row>
    <row r="1227" spans="1:22" customFormat="1" ht="15" x14ac:dyDescent="0.25">
      <c r="A1227" t="s">
        <v>167</v>
      </c>
      <c r="B1227" t="s">
        <v>4224</v>
      </c>
      <c r="E1227" s="1508" t="s">
        <v>844</v>
      </c>
      <c r="F1227" s="1507"/>
      <c r="G1227" s="620" t="s">
        <v>845</v>
      </c>
      <c r="H1227" s="650">
        <v>4.1000000000000003E-3</v>
      </c>
      <c r="K1227" t="s">
        <v>4247</v>
      </c>
      <c r="L1227" t="s">
        <v>968</v>
      </c>
      <c r="P1227" t="s">
        <v>4256</v>
      </c>
      <c r="V1227">
        <v>55</v>
      </c>
    </row>
    <row r="1228" spans="1:22" customFormat="1" ht="15" x14ac:dyDescent="0.25">
      <c r="A1228" t="s">
        <v>167</v>
      </c>
      <c r="B1228" t="s">
        <v>4224</v>
      </c>
      <c r="E1228" s="1508" t="s">
        <v>846</v>
      </c>
      <c r="F1228" s="1507"/>
      <c r="G1228" s="620" t="s">
        <v>845</v>
      </c>
      <c r="H1228" s="700">
        <v>4.0000000000000002E-4</v>
      </c>
      <c r="K1228" t="s">
        <v>4247</v>
      </c>
      <c r="L1228" t="s">
        <v>968</v>
      </c>
      <c r="P1228" t="s">
        <v>4256</v>
      </c>
      <c r="V1228">
        <v>65</v>
      </c>
    </row>
    <row r="1229" spans="1:22" customFormat="1" ht="15" x14ac:dyDescent="0.25">
      <c r="A1229" t="s">
        <v>167</v>
      </c>
      <c r="B1229" t="s">
        <v>4224</v>
      </c>
      <c r="E1229" s="1507" t="s">
        <v>847</v>
      </c>
      <c r="F1229" s="1507"/>
      <c r="G1229" s="584" t="s">
        <v>845</v>
      </c>
      <c r="H1229" s="698">
        <v>1.5E-3</v>
      </c>
      <c r="K1229" t="s">
        <v>4247</v>
      </c>
      <c r="L1229" t="s">
        <v>968</v>
      </c>
      <c r="P1229" t="s">
        <v>4257</v>
      </c>
      <c r="V1229">
        <v>57</v>
      </c>
    </row>
    <row r="1230" spans="1:22" customFormat="1" ht="15" x14ac:dyDescent="0.25">
      <c r="A1230" t="s">
        <v>167</v>
      </c>
      <c r="B1230" t="s">
        <v>4224</v>
      </c>
      <c r="E1230" s="1507" t="s">
        <v>848</v>
      </c>
      <c r="F1230" s="1507"/>
      <c r="G1230" s="584" t="s">
        <v>777</v>
      </c>
      <c r="H1230" s="650">
        <v>0.25</v>
      </c>
      <c r="K1230" t="s">
        <v>4247</v>
      </c>
      <c r="L1230" t="s">
        <v>968</v>
      </c>
      <c r="P1230" t="s">
        <v>4258</v>
      </c>
      <c r="V1230">
        <v>63</v>
      </c>
    </row>
    <row r="1231" spans="1:22" customFormat="1" x14ac:dyDescent="0.25">
      <c r="A1231" t="s">
        <v>167</v>
      </c>
      <c r="B1231" t="s">
        <v>4224</v>
      </c>
      <c r="E1231" s="1527" t="s">
        <v>4002</v>
      </c>
      <c r="F1231" s="1493"/>
      <c r="G1231" s="1493"/>
      <c r="H1231" s="1493"/>
      <c r="K1231" t="s">
        <v>4259</v>
      </c>
      <c r="V1231">
        <v>36</v>
      </c>
    </row>
    <row r="1232" spans="1:22" customFormat="1" ht="15" x14ac:dyDescent="0.25">
      <c r="A1232" t="s">
        <v>167</v>
      </c>
      <c r="B1232" t="s">
        <v>4224</v>
      </c>
      <c r="E1232" s="1516" t="s">
        <v>4176</v>
      </c>
      <c r="F1232" s="1516"/>
      <c r="G1232" s="1516"/>
      <c r="H1232" s="1516"/>
      <c r="K1232" t="s">
        <v>4259</v>
      </c>
      <c r="V1232">
        <v>220</v>
      </c>
    </row>
    <row r="1233" spans="1:22" customFormat="1" ht="15" x14ac:dyDescent="0.25">
      <c r="A1233" t="s">
        <v>167</v>
      </c>
      <c r="B1233" t="s">
        <v>4224</v>
      </c>
      <c r="E1233" s="1515" t="s">
        <v>950</v>
      </c>
      <c r="F1233" s="1549"/>
      <c r="G1233" s="1516"/>
      <c r="H1233" s="1516"/>
      <c r="K1233" t="s">
        <v>1041</v>
      </c>
      <c r="V1233">
        <v>11</v>
      </c>
    </row>
    <row r="1234" spans="1:22" customFormat="1" ht="15" x14ac:dyDescent="0.25">
      <c r="A1234" t="s">
        <v>167</v>
      </c>
      <c r="B1234" t="s">
        <v>4224</v>
      </c>
      <c r="E1234" s="1516" t="s">
        <v>951</v>
      </c>
      <c r="F1234" s="1516"/>
      <c r="G1234" s="1516"/>
      <c r="H1234" s="1516"/>
      <c r="K1234" t="s">
        <v>4259</v>
      </c>
      <c r="V1234">
        <v>280</v>
      </c>
    </row>
    <row r="1235" spans="1:22" customFormat="1" ht="15" x14ac:dyDescent="0.25">
      <c r="A1235" t="s">
        <v>167</v>
      </c>
      <c r="B1235" t="s">
        <v>4224</v>
      </c>
      <c r="E1235" s="1516" t="s">
        <v>952</v>
      </c>
      <c r="F1235" s="1516"/>
      <c r="G1235" s="1516"/>
      <c r="H1235" s="1516"/>
      <c r="K1235" t="s">
        <v>4259</v>
      </c>
      <c r="V1235">
        <v>411</v>
      </c>
    </row>
    <row r="1236" spans="1:22" customFormat="1" ht="15" x14ac:dyDescent="0.25">
      <c r="A1236" t="s">
        <v>167</v>
      </c>
      <c r="B1236" t="s">
        <v>4224</v>
      </c>
      <c r="E1236" s="1516" t="s">
        <v>1103</v>
      </c>
      <c r="F1236" s="1516"/>
      <c r="G1236" s="1516"/>
      <c r="H1236" s="1516"/>
      <c r="K1236" t="s">
        <v>4259</v>
      </c>
      <c r="V1236">
        <v>211</v>
      </c>
    </row>
    <row r="1237" spans="1:22" customFormat="1" ht="15" x14ac:dyDescent="0.25">
      <c r="A1237" t="s">
        <v>167</v>
      </c>
      <c r="B1237" t="s">
        <v>4224</v>
      </c>
      <c r="E1237" s="1516" t="s">
        <v>954</v>
      </c>
      <c r="F1237" s="1516"/>
      <c r="G1237" s="1516"/>
      <c r="H1237" s="1516"/>
      <c r="K1237" t="s">
        <v>4259</v>
      </c>
      <c r="V1237">
        <v>246</v>
      </c>
    </row>
    <row r="1238" spans="1:22" customFormat="1" ht="15" x14ac:dyDescent="0.25">
      <c r="A1238" t="s">
        <v>167</v>
      </c>
      <c r="B1238" t="s">
        <v>4224</v>
      </c>
      <c r="E1238" s="1553" t="s">
        <v>4260</v>
      </c>
      <c r="F1238" s="1530"/>
      <c r="G1238" s="1530"/>
      <c r="H1238" s="1530"/>
      <c r="K1238" t="s">
        <v>1042</v>
      </c>
      <c r="V1238">
        <v>77</v>
      </c>
    </row>
    <row r="1239" spans="1:22" customFormat="1" ht="15" x14ac:dyDescent="0.25">
      <c r="A1239" t="s">
        <v>167</v>
      </c>
      <c r="B1239" t="s">
        <v>4224</v>
      </c>
      <c r="E1239" s="1507" t="s">
        <v>4261</v>
      </c>
      <c r="F1239" s="1507"/>
      <c r="G1239" s="584" t="s">
        <v>3775</v>
      </c>
      <c r="H1239" s="650">
        <v>3.1156312999999995</v>
      </c>
      <c r="K1239" t="s">
        <v>4259</v>
      </c>
      <c r="L1239" t="s">
        <v>690</v>
      </c>
      <c r="P1239" t="s">
        <v>4262</v>
      </c>
      <c r="V1239">
        <v>225</v>
      </c>
    </row>
    <row r="1240" spans="1:22" customFormat="1" ht="15" x14ac:dyDescent="0.25">
      <c r="A1240" t="s">
        <v>167</v>
      </c>
      <c r="B1240" t="s">
        <v>4224</v>
      </c>
      <c r="E1240" s="1507" t="s">
        <v>4263</v>
      </c>
      <c r="F1240" s="1507"/>
      <c r="G1240" s="584" t="s">
        <v>3775</v>
      </c>
      <c r="H1240" s="650">
        <v>1.7067225999999998</v>
      </c>
      <c r="K1240" t="s">
        <v>4259</v>
      </c>
      <c r="L1240" t="s">
        <v>690</v>
      </c>
      <c r="P1240" t="s">
        <v>4262</v>
      </c>
      <c r="V1240">
        <v>229</v>
      </c>
    </row>
    <row r="1241" spans="1:22" customFormat="1" ht="15" x14ac:dyDescent="0.25">
      <c r="A1241" t="s">
        <v>167</v>
      </c>
      <c r="B1241" t="s">
        <v>4224</v>
      </c>
      <c r="E1241" s="1507" t="s">
        <v>4264</v>
      </c>
      <c r="F1241" s="1507"/>
      <c r="G1241" s="584" t="s">
        <v>3775</v>
      </c>
      <c r="H1241" s="650">
        <v>0.40472939999999996</v>
      </c>
      <c r="K1241" t="s">
        <v>4259</v>
      </c>
      <c r="L1241" t="s">
        <v>690</v>
      </c>
      <c r="P1241" t="s">
        <v>4262</v>
      </c>
      <c r="V1241">
        <v>251</v>
      </c>
    </row>
    <row r="1242" spans="1:22" customFormat="1" x14ac:dyDescent="0.25">
      <c r="A1242" t="s">
        <v>167</v>
      </c>
      <c r="B1242" t="s">
        <v>4224</v>
      </c>
      <c r="E1242" s="1527" t="s">
        <v>194</v>
      </c>
      <c r="F1242" s="1493"/>
      <c r="G1242" s="1493"/>
      <c r="H1242" s="1493"/>
      <c r="K1242" t="s">
        <v>4265</v>
      </c>
      <c r="V1242">
        <v>47</v>
      </c>
    </row>
    <row r="1243" spans="1:22" customFormat="1" ht="15" x14ac:dyDescent="0.25">
      <c r="A1243" t="s">
        <v>167</v>
      </c>
      <c r="B1243" t="s">
        <v>4224</v>
      </c>
      <c r="E1243" s="1516" t="s">
        <v>4266</v>
      </c>
      <c r="F1243" s="1516"/>
      <c r="G1243" s="1516"/>
      <c r="H1243" s="1516"/>
      <c r="K1243" t="s">
        <v>4265</v>
      </c>
      <c r="V1243">
        <v>723</v>
      </c>
    </row>
    <row r="1244" spans="1:22" customFormat="1" ht="15" x14ac:dyDescent="0.25">
      <c r="A1244" t="s">
        <v>167</v>
      </c>
      <c r="B1244" t="s">
        <v>4224</v>
      </c>
      <c r="E1244" s="1515" t="s">
        <v>950</v>
      </c>
      <c r="F1244" s="1516"/>
      <c r="G1244" s="1516"/>
      <c r="H1244" s="1516"/>
      <c r="K1244" t="s">
        <v>1055</v>
      </c>
      <c r="V1244">
        <v>11</v>
      </c>
    </row>
    <row r="1245" spans="1:22" customFormat="1" ht="15" x14ac:dyDescent="0.25">
      <c r="A1245" t="s">
        <v>167</v>
      </c>
      <c r="B1245" t="s">
        <v>4224</v>
      </c>
      <c r="E1245" s="1516" t="s">
        <v>951</v>
      </c>
      <c r="F1245" s="1516"/>
      <c r="G1245" s="1516"/>
      <c r="H1245" s="1516"/>
      <c r="K1245" t="s">
        <v>4265</v>
      </c>
      <c r="V1245">
        <v>280</v>
      </c>
    </row>
    <row r="1246" spans="1:22" customFormat="1" ht="15" x14ac:dyDescent="0.25">
      <c r="A1246" t="s">
        <v>167</v>
      </c>
      <c r="B1246" t="s">
        <v>4224</v>
      </c>
      <c r="E1246" s="1516" t="s">
        <v>952</v>
      </c>
      <c r="F1246" s="1516"/>
      <c r="G1246" s="1516"/>
      <c r="H1246" s="1516"/>
      <c r="K1246" t="s">
        <v>4265</v>
      </c>
      <c r="V1246">
        <v>411</v>
      </c>
    </row>
    <row r="1247" spans="1:22" customFormat="1" ht="15" x14ac:dyDescent="0.25">
      <c r="A1247" t="s">
        <v>167</v>
      </c>
      <c r="B1247" t="s">
        <v>4224</v>
      </c>
      <c r="E1247" s="1516" t="s">
        <v>4231</v>
      </c>
      <c r="F1247" s="1516"/>
      <c r="G1247" s="1516"/>
      <c r="H1247" s="1516"/>
      <c r="K1247" t="s">
        <v>4265</v>
      </c>
      <c r="V1247">
        <v>387</v>
      </c>
    </row>
    <row r="1248" spans="1:22" customFormat="1" ht="15" x14ac:dyDescent="0.25">
      <c r="A1248" t="s">
        <v>167</v>
      </c>
      <c r="B1248" t="s">
        <v>4224</v>
      </c>
      <c r="E1248" s="1516" t="s">
        <v>954</v>
      </c>
      <c r="F1248" s="1516"/>
      <c r="G1248" s="1516"/>
      <c r="H1248" s="1516"/>
      <c r="K1248" t="s">
        <v>4265</v>
      </c>
      <c r="V1248">
        <v>246</v>
      </c>
    </row>
    <row r="1249" spans="1:22" customFormat="1" ht="15" x14ac:dyDescent="0.25">
      <c r="A1249" t="s">
        <v>167</v>
      </c>
      <c r="B1249" t="s">
        <v>4224</v>
      </c>
      <c r="E1249" s="1553" t="s">
        <v>4227</v>
      </c>
      <c r="F1249" s="1530"/>
      <c r="G1249" s="1530"/>
      <c r="H1249" s="1530"/>
      <c r="K1249" t="s">
        <v>1056</v>
      </c>
      <c r="V1249">
        <v>46</v>
      </c>
    </row>
    <row r="1250" spans="1:22" customFormat="1" ht="15" x14ac:dyDescent="0.25">
      <c r="A1250" t="s">
        <v>167</v>
      </c>
      <c r="B1250" t="s">
        <v>4224</v>
      </c>
      <c r="E1250" s="1507" t="s">
        <v>3773</v>
      </c>
      <c r="F1250" s="1507"/>
      <c r="G1250" s="584" t="s">
        <v>777</v>
      </c>
      <c r="H1250" s="650">
        <v>10.29</v>
      </c>
      <c r="K1250" t="s">
        <v>4265</v>
      </c>
      <c r="L1250" t="s">
        <v>690</v>
      </c>
      <c r="P1250" t="s">
        <v>4267</v>
      </c>
      <c r="V1250">
        <v>14</v>
      </c>
    </row>
    <row r="1251" spans="1:22" customFormat="1" ht="15" x14ac:dyDescent="0.25">
      <c r="A1251" t="s">
        <v>167</v>
      </c>
      <c r="B1251" t="s">
        <v>4224</v>
      </c>
      <c r="E1251" s="1507" t="s">
        <v>3688</v>
      </c>
      <c r="F1251" s="1507"/>
      <c r="G1251" s="584" t="s">
        <v>845</v>
      </c>
      <c r="H1251" s="650">
        <v>1.6E-2</v>
      </c>
      <c r="K1251" t="s">
        <v>4265</v>
      </c>
      <c r="L1251" t="s">
        <v>690</v>
      </c>
      <c r="P1251" t="s">
        <v>4268</v>
      </c>
      <c r="V1251">
        <v>28</v>
      </c>
    </row>
    <row r="1252" spans="1:22" customFormat="1" ht="15" x14ac:dyDescent="0.25">
      <c r="A1252" t="s">
        <v>167</v>
      </c>
      <c r="B1252" t="s">
        <v>4224</v>
      </c>
      <c r="E1252" s="1507" t="s">
        <v>910</v>
      </c>
      <c r="F1252" s="1507"/>
      <c r="G1252" s="584" t="s">
        <v>845</v>
      </c>
      <c r="H1252" s="698">
        <v>1.2E-4</v>
      </c>
      <c r="K1252" t="s">
        <v>4265</v>
      </c>
      <c r="L1252" t="s">
        <v>692</v>
      </c>
      <c r="P1252" t="s">
        <v>4269</v>
      </c>
      <c r="V1252">
        <v>24</v>
      </c>
    </row>
    <row r="1253" spans="1:22" customFormat="1" ht="15" x14ac:dyDescent="0.25">
      <c r="A1253" t="s">
        <v>167</v>
      </c>
      <c r="B1253" t="s">
        <v>4224</v>
      </c>
      <c r="E1253" s="1507" t="s">
        <v>6519</v>
      </c>
      <c r="F1253" s="1510"/>
      <c r="G1253" s="584" t="s">
        <v>845</v>
      </c>
      <c r="H1253" s="698">
        <v>1.6999999999999999E-3</v>
      </c>
      <c r="K1253" t="s">
        <v>4265</v>
      </c>
      <c r="L1253" t="s">
        <v>692</v>
      </c>
      <c r="P1253" t="s">
        <v>4270</v>
      </c>
      <c r="T1253">
        <v>46022</v>
      </c>
      <c r="V1253">
        <v>142</v>
      </c>
    </row>
    <row r="1254" spans="1:22" customFormat="1" ht="15" x14ac:dyDescent="0.25">
      <c r="A1254" t="s">
        <v>167</v>
      </c>
      <c r="B1254" t="s">
        <v>4224</v>
      </c>
      <c r="E1254" s="1507" t="s">
        <v>6520</v>
      </c>
      <c r="F1254" s="1510"/>
      <c r="G1254" s="584" t="s">
        <v>845</v>
      </c>
      <c r="H1254" s="698">
        <v>-2.9999999999999997E-4</v>
      </c>
      <c r="K1254" t="s">
        <v>4265</v>
      </c>
      <c r="L1254" t="s">
        <v>692</v>
      </c>
      <c r="P1254" t="s">
        <v>4272</v>
      </c>
      <c r="T1254">
        <v>46022</v>
      </c>
      <c r="V1254">
        <v>99</v>
      </c>
    </row>
    <row r="1255" spans="1:22" customFormat="1" ht="15" x14ac:dyDescent="0.25">
      <c r="A1255" t="s">
        <v>167</v>
      </c>
      <c r="B1255" t="s">
        <v>4224</v>
      </c>
      <c r="E1255" s="1507" t="s">
        <v>6521</v>
      </c>
      <c r="F1255" s="1510"/>
      <c r="G1255" s="584" t="s">
        <v>845</v>
      </c>
      <c r="H1255" s="698">
        <v>2.0000000000000001E-4</v>
      </c>
      <c r="K1255" t="s">
        <v>4265</v>
      </c>
      <c r="L1255" t="s">
        <v>692</v>
      </c>
      <c r="P1255" t="s">
        <v>4273</v>
      </c>
      <c r="T1255">
        <v>46022</v>
      </c>
      <c r="V1255">
        <v>149</v>
      </c>
    </row>
    <row r="1256" spans="1:22" customFormat="1" ht="15" x14ac:dyDescent="0.25">
      <c r="A1256" t="s">
        <v>167</v>
      </c>
      <c r="B1256" t="s">
        <v>4224</v>
      </c>
      <c r="E1256" s="1507" t="s">
        <v>6531</v>
      </c>
      <c r="F1256" s="1507"/>
      <c r="G1256" s="584" t="s">
        <v>845</v>
      </c>
      <c r="H1256" s="698">
        <v>5.0000000000000001E-3</v>
      </c>
      <c r="K1256" t="s">
        <v>4265</v>
      </c>
      <c r="L1256" t="s">
        <v>690</v>
      </c>
      <c r="P1256" t="s">
        <v>4271</v>
      </c>
      <c r="T1256">
        <v>46022</v>
      </c>
      <c r="V1256">
        <v>151</v>
      </c>
    </row>
    <row r="1257" spans="1:22" customFormat="1" ht="15" x14ac:dyDescent="0.25">
      <c r="A1257" t="s">
        <v>167</v>
      </c>
      <c r="B1257" t="s">
        <v>4224</v>
      </c>
      <c r="E1257" s="1507" t="s">
        <v>243</v>
      </c>
      <c r="F1257" s="1507"/>
      <c r="G1257" s="584" t="s">
        <v>845</v>
      </c>
      <c r="H1257" s="650">
        <v>1.12E-2</v>
      </c>
      <c r="K1257" t="s">
        <v>4265</v>
      </c>
      <c r="L1257" t="s">
        <v>694</v>
      </c>
      <c r="P1257" t="s">
        <v>4274</v>
      </c>
      <c r="V1257">
        <v>47</v>
      </c>
    </row>
    <row r="1258" spans="1:22" customFormat="1" ht="15" x14ac:dyDescent="0.25">
      <c r="A1258" t="s">
        <v>167</v>
      </c>
      <c r="B1258" t="s">
        <v>4224</v>
      </c>
      <c r="E1258" s="1507" t="s">
        <v>175</v>
      </c>
      <c r="F1258" s="1507"/>
      <c r="G1258" s="584" t="s">
        <v>845</v>
      </c>
      <c r="H1258" s="650">
        <v>8.2000000000000007E-3</v>
      </c>
      <c r="K1258" t="s">
        <v>4265</v>
      </c>
      <c r="L1258" t="s">
        <v>694</v>
      </c>
      <c r="P1258" t="s">
        <v>4275</v>
      </c>
      <c r="V1258">
        <v>74</v>
      </c>
    </row>
    <row r="1259" spans="1:22" customFormat="1" ht="15" x14ac:dyDescent="0.25">
      <c r="A1259" t="s">
        <v>167</v>
      </c>
      <c r="B1259" t="s">
        <v>4224</v>
      </c>
      <c r="E1259" s="1515" t="s">
        <v>4228</v>
      </c>
      <c r="F1259" s="1507"/>
      <c r="G1259" s="587"/>
      <c r="H1259" s="393"/>
      <c r="K1259" t="s">
        <v>1065</v>
      </c>
      <c r="V1259">
        <v>48</v>
      </c>
    </row>
    <row r="1260" spans="1:22" customFormat="1" ht="15" x14ac:dyDescent="0.25">
      <c r="A1260" t="s">
        <v>167</v>
      </c>
      <c r="B1260" t="s">
        <v>4224</v>
      </c>
      <c r="E1260" s="1508" t="s">
        <v>844</v>
      </c>
      <c r="F1260" s="1507"/>
      <c r="G1260" s="620" t="s">
        <v>845</v>
      </c>
      <c r="H1260" s="650">
        <v>4.1000000000000003E-3</v>
      </c>
      <c r="K1260" t="s">
        <v>4265</v>
      </c>
      <c r="L1260" t="s">
        <v>968</v>
      </c>
      <c r="P1260" t="s">
        <v>4276</v>
      </c>
      <c r="V1260">
        <v>55</v>
      </c>
    </row>
    <row r="1261" spans="1:22" customFormat="1" ht="15" x14ac:dyDescent="0.25">
      <c r="A1261" t="s">
        <v>167</v>
      </c>
      <c r="B1261" t="s">
        <v>4224</v>
      </c>
      <c r="E1261" s="1508" t="s">
        <v>846</v>
      </c>
      <c r="F1261" s="1507"/>
      <c r="G1261" s="620" t="s">
        <v>845</v>
      </c>
      <c r="H1261" s="700">
        <v>4.0000000000000002E-4</v>
      </c>
      <c r="K1261" t="s">
        <v>4265</v>
      </c>
      <c r="L1261" t="s">
        <v>968</v>
      </c>
      <c r="P1261" t="s">
        <v>4276</v>
      </c>
      <c r="V1261">
        <v>65</v>
      </c>
    </row>
    <row r="1262" spans="1:22" customFormat="1" ht="15" x14ac:dyDescent="0.25">
      <c r="A1262" t="s">
        <v>167</v>
      </c>
      <c r="B1262" t="s">
        <v>4224</v>
      </c>
      <c r="E1262" s="1507" t="s">
        <v>847</v>
      </c>
      <c r="F1262" s="1507"/>
      <c r="G1262" s="584" t="s">
        <v>845</v>
      </c>
      <c r="H1262" s="698">
        <v>1.5E-3</v>
      </c>
      <c r="K1262" t="s">
        <v>4265</v>
      </c>
      <c r="L1262" t="s">
        <v>968</v>
      </c>
      <c r="P1262" t="s">
        <v>4277</v>
      </c>
      <c r="V1262">
        <v>57</v>
      </c>
    </row>
    <row r="1263" spans="1:22" customFormat="1" ht="15" x14ac:dyDescent="0.25">
      <c r="A1263" t="s">
        <v>167</v>
      </c>
      <c r="B1263" t="s">
        <v>4224</v>
      </c>
      <c r="E1263" s="1507" t="s">
        <v>848</v>
      </c>
      <c r="F1263" s="1507"/>
      <c r="G1263" s="584" t="s">
        <v>777</v>
      </c>
      <c r="H1263" s="650">
        <v>0.25</v>
      </c>
      <c r="K1263" t="s">
        <v>4265</v>
      </c>
      <c r="L1263" t="s">
        <v>968</v>
      </c>
      <c r="P1263" t="s">
        <v>4278</v>
      </c>
      <c r="V1263">
        <v>63</v>
      </c>
    </row>
    <row r="1264" spans="1:22" customFormat="1" x14ac:dyDescent="0.25">
      <c r="A1264" t="s">
        <v>167</v>
      </c>
      <c r="B1264" t="s">
        <v>4224</v>
      </c>
      <c r="E1264" s="1527" t="s">
        <v>198</v>
      </c>
      <c r="F1264" s="1493"/>
      <c r="G1264" s="1493"/>
      <c r="H1264" s="1493"/>
      <c r="K1264" t="s">
        <v>4179</v>
      </c>
      <c r="V1264">
        <v>40</v>
      </c>
    </row>
    <row r="1265" spans="1:22" customFormat="1" ht="15" x14ac:dyDescent="0.25">
      <c r="A1265" t="s">
        <v>167</v>
      </c>
      <c r="B1265" t="s">
        <v>4224</v>
      </c>
      <c r="E1265" s="1516" t="s">
        <v>4279</v>
      </c>
      <c r="F1265" s="1516"/>
      <c r="G1265" s="1516"/>
      <c r="H1265" s="1516"/>
      <c r="K1265" t="s">
        <v>4179</v>
      </c>
      <c r="V1265">
        <v>407</v>
      </c>
    </row>
    <row r="1266" spans="1:22" customFormat="1" ht="15" x14ac:dyDescent="0.25">
      <c r="A1266" t="s">
        <v>167</v>
      </c>
      <c r="B1266" t="s">
        <v>4224</v>
      </c>
      <c r="E1266" s="1515" t="s">
        <v>950</v>
      </c>
      <c r="F1266" s="1549"/>
      <c r="G1266" s="1516"/>
      <c r="H1266" s="1516"/>
      <c r="K1266" t="s">
        <v>1071</v>
      </c>
      <c r="V1266">
        <v>11</v>
      </c>
    </row>
    <row r="1267" spans="1:22" customFormat="1" ht="15" x14ac:dyDescent="0.25">
      <c r="A1267" t="s">
        <v>167</v>
      </c>
      <c r="B1267" t="s">
        <v>4224</v>
      </c>
      <c r="E1267" s="1516" t="s">
        <v>951</v>
      </c>
      <c r="F1267" s="1516"/>
      <c r="G1267" s="1516"/>
      <c r="H1267" s="1516"/>
      <c r="K1267" t="s">
        <v>4179</v>
      </c>
      <c r="V1267">
        <v>280</v>
      </c>
    </row>
    <row r="1268" spans="1:22" customFormat="1" ht="15" x14ac:dyDescent="0.25">
      <c r="A1268" t="s">
        <v>167</v>
      </c>
      <c r="B1268" t="s">
        <v>4224</v>
      </c>
      <c r="E1268" s="1516" t="s">
        <v>952</v>
      </c>
      <c r="F1268" s="1516"/>
      <c r="G1268" s="1516"/>
      <c r="H1268" s="1516"/>
      <c r="K1268" t="s">
        <v>4179</v>
      </c>
      <c r="V1268">
        <v>411</v>
      </c>
    </row>
    <row r="1269" spans="1:22" customFormat="1" ht="15" x14ac:dyDescent="0.25">
      <c r="A1269" t="s">
        <v>167</v>
      </c>
      <c r="B1269" t="s">
        <v>4224</v>
      </c>
      <c r="E1269" s="1516" t="s">
        <v>4231</v>
      </c>
      <c r="F1269" s="1516"/>
      <c r="G1269" s="1516"/>
      <c r="H1269" s="1516"/>
      <c r="K1269" t="s">
        <v>4179</v>
      </c>
      <c r="V1269">
        <v>387</v>
      </c>
    </row>
    <row r="1270" spans="1:22" customFormat="1" ht="15" x14ac:dyDescent="0.25">
      <c r="A1270" t="s">
        <v>167</v>
      </c>
      <c r="B1270" t="s">
        <v>4224</v>
      </c>
      <c r="E1270" s="1516" t="s">
        <v>954</v>
      </c>
      <c r="F1270" s="1516"/>
      <c r="G1270" s="1516"/>
      <c r="H1270" s="1516"/>
      <c r="K1270" t="s">
        <v>4179</v>
      </c>
      <c r="V1270">
        <v>246</v>
      </c>
    </row>
    <row r="1271" spans="1:22" customFormat="1" ht="15" x14ac:dyDescent="0.25">
      <c r="A1271" t="s">
        <v>167</v>
      </c>
      <c r="B1271" t="s">
        <v>4224</v>
      </c>
      <c r="E1271" s="1553" t="s">
        <v>4227</v>
      </c>
      <c r="F1271" s="1530"/>
      <c r="G1271" s="1530"/>
      <c r="H1271" s="1530"/>
      <c r="K1271" t="s">
        <v>1075</v>
      </c>
      <c r="V1271">
        <v>46</v>
      </c>
    </row>
    <row r="1272" spans="1:22" customFormat="1" ht="15" x14ac:dyDescent="0.25">
      <c r="A1272" t="s">
        <v>167</v>
      </c>
      <c r="B1272" t="s">
        <v>4224</v>
      </c>
      <c r="E1272" s="1507" t="s">
        <v>4280</v>
      </c>
      <c r="F1272" s="1507"/>
      <c r="G1272" s="584" t="s">
        <v>777</v>
      </c>
      <c r="H1272" s="650">
        <v>6.71</v>
      </c>
      <c r="K1272" t="s">
        <v>4179</v>
      </c>
      <c r="L1272" t="s">
        <v>690</v>
      </c>
      <c r="P1272" t="s">
        <v>4181</v>
      </c>
      <c r="V1272">
        <v>31</v>
      </c>
    </row>
    <row r="1273" spans="1:22" customFormat="1" ht="15" x14ac:dyDescent="0.25">
      <c r="A1273" t="s">
        <v>167</v>
      </c>
      <c r="B1273" t="s">
        <v>4224</v>
      </c>
      <c r="E1273" s="1507" t="s">
        <v>3688</v>
      </c>
      <c r="F1273" s="1507"/>
      <c r="G1273" s="584" t="s">
        <v>3775</v>
      </c>
      <c r="H1273" s="650">
        <v>18.397600000000001</v>
      </c>
      <c r="K1273" t="s">
        <v>4179</v>
      </c>
      <c r="L1273" t="s">
        <v>690</v>
      </c>
      <c r="P1273" t="s">
        <v>4183</v>
      </c>
      <c r="V1273">
        <v>28</v>
      </c>
    </row>
    <row r="1274" spans="1:22" customFormat="1" ht="15" x14ac:dyDescent="0.25">
      <c r="A1274" t="s">
        <v>167</v>
      </c>
      <c r="B1274" t="s">
        <v>4224</v>
      </c>
      <c r="E1274" s="1507" t="s">
        <v>910</v>
      </c>
      <c r="F1274" s="1507"/>
      <c r="G1274" s="584" t="s">
        <v>3775</v>
      </c>
      <c r="H1274" s="698">
        <v>3.764E-2</v>
      </c>
      <c r="K1274" t="s">
        <v>4179</v>
      </c>
      <c r="L1274" t="s">
        <v>692</v>
      </c>
      <c r="P1274" t="s">
        <v>4184</v>
      </c>
      <c r="V1274">
        <v>24</v>
      </c>
    </row>
    <row r="1275" spans="1:22" customFormat="1" ht="15" x14ac:dyDescent="0.25">
      <c r="A1275" t="s">
        <v>167</v>
      </c>
      <c r="B1275" t="s">
        <v>4224</v>
      </c>
      <c r="E1275" s="1507" t="s">
        <v>6519</v>
      </c>
      <c r="F1275" s="1510"/>
      <c r="G1275" s="584" t="s">
        <v>845</v>
      </c>
      <c r="H1275" s="698">
        <v>1.6999999999999999E-3</v>
      </c>
      <c r="K1275" t="s">
        <v>4179</v>
      </c>
      <c r="L1275" t="s">
        <v>692</v>
      </c>
      <c r="P1275" t="s">
        <v>4281</v>
      </c>
      <c r="T1275">
        <v>46022</v>
      </c>
      <c r="V1275">
        <v>142</v>
      </c>
    </row>
    <row r="1276" spans="1:22" customFormat="1" ht="15" x14ac:dyDescent="0.25">
      <c r="A1276" t="s">
        <v>167</v>
      </c>
      <c r="B1276" t="s">
        <v>4224</v>
      </c>
      <c r="E1276" s="1507" t="s">
        <v>6520</v>
      </c>
      <c r="F1276" s="1510"/>
      <c r="G1276" s="584" t="s">
        <v>3775</v>
      </c>
      <c r="H1276" s="698">
        <v>-0.13850000000000001</v>
      </c>
      <c r="K1276" t="s">
        <v>4179</v>
      </c>
      <c r="L1276" t="s">
        <v>692</v>
      </c>
      <c r="P1276" t="s">
        <v>4186</v>
      </c>
      <c r="T1276">
        <v>46022</v>
      </c>
      <c r="V1276">
        <v>99</v>
      </c>
    </row>
    <row r="1277" spans="1:22" customFormat="1" ht="15" x14ac:dyDescent="0.25">
      <c r="A1277" t="s">
        <v>167</v>
      </c>
      <c r="B1277" t="s">
        <v>4224</v>
      </c>
      <c r="E1277" s="1507" t="s">
        <v>6521</v>
      </c>
      <c r="F1277" s="1510"/>
      <c r="G1277" s="584" t="s">
        <v>3775</v>
      </c>
      <c r="H1277" s="698">
        <v>7.0300000000000001E-2</v>
      </c>
      <c r="K1277" t="s">
        <v>4179</v>
      </c>
      <c r="L1277" t="s">
        <v>692</v>
      </c>
      <c r="P1277" t="s">
        <v>4185</v>
      </c>
      <c r="T1277">
        <v>46022</v>
      </c>
      <c r="V1277">
        <v>149</v>
      </c>
    </row>
    <row r="1278" spans="1:22" customFormat="1" ht="15" x14ac:dyDescent="0.25">
      <c r="A1278" t="s">
        <v>167</v>
      </c>
      <c r="B1278" t="s">
        <v>4224</v>
      </c>
      <c r="E1278" s="1507" t="s">
        <v>243</v>
      </c>
      <c r="F1278" s="1507"/>
      <c r="G1278" s="584" t="s">
        <v>3775</v>
      </c>
      <c r="H1278" s="650">
        <v>3.6901999999999999</v>
      </c>
      <c r="K1278" t="s">
        <v>4179</v>
      </c>
      <c r="L1278" t="s">
        <v>694</v>
      </c>
      <c r="P1278" t="s">
        <v>4187</v>
      </c>
      <c r="V1278">
        <v>47</v>
      </c>
    </row>
    <row r="1279" spans="1:22" customFormat="1" ht="15" x14ac:dyDescent="0.25">
      <c r="A1279" t="s">
        <v>167</v>
      </c>
      <c r="B1279" t="s">
        <v>4224</v>
      </c>
      <c r="E1279" s="1507" t="s">
        <v>175</v>
      </c>
      <c r="F1279" s="1507"/>
      <c r="G1279" s="584" t="s">
        <v>3775</v>
      </c>
      <c r="H1279" s="650">
        <v>2.6501999999999999</v>
      </c>
      <c r="K1279" t="s">
        <v>4179</v>
      </c>
      <c r="L1279" t="s">
        <v>694</v>
      </c>
      <c r="P1279" t="s">
        <v>4188</v>
      </c>
      <c r="V1279">
        <v>74</v>
      </c>
    </row>
    <row r="1280" spans="1:22" customFormat="1" ht="15" x14ac:dyDescent="0.25">
      <c r="A1280" t="s">
        <v>167</v>
      </c>
      <c r="B1280" t="s">
        <v>4224</v>
      </c>
      <c r="E1280" s="1515" t="s">
        <v>4228</v>
      </c>
      <c r="F1280" s="1507"/>
      <c r="G1280" s="587"/>
      <c r="H1280" s="393"/>
      <c r="K1280" t="s">
        <v>3898</v>
      </c>
      <c r="V1280">
        <v>48</v>
      </c>
    </row>
    <row r="1281" spans="1:22" customFormat="1" ht="15" x14ac:dyDescent="0.25">
      <c r="A1281" t="s">
        <v>167</v>
      </c>
      <c r="B1281" t="s">
        <v>4224</v>
      </c>
      <c r="E1281" s="1508" t="s">
        <v>844</v>
      </c>
      <c r="F1281" s="1507"/>
      <c r="G1281" s="620" t="s">
        <v>845</v>
      </c>
      <c r="H1281" s="650">
        <v>4.1000000000000003E-3</v>
      </c>
      <c r="K1281" t="s">
        <v>4179</v>
      </c>
      <c r="L1281" t="s">
        <v>968</v>
      </c>
      <c r="P1281" t="s">
        <v>4189</v>
      </c>
      <c r="V1281">
        <v>55</v>
      </c>
    </row>
    <row r="1282" spans="1:22" customFormat="1" ht="15" x14ac:dyDescent="0.25">
      <c r="A1282" t="s">
        <v>167</v>
      </c>
      <c r="B1282" t="s">
        <v>4224</v>
      </c>
      <c r="E1282" s="1508" t="s">
        <v>846</v>
      </c>
      <c r="F1282" s="1507"/>
      <c r="G1282" s="620" t="s">
        <v>845</v>
      </c>
      <c r="H1282" s="700">
        <v>4.0000000000000002E-4</v>
      </c>
      <c r="K1282" t="s">
        <v>4179</v>
      </c>
      <c r="L1282" t="s">
        <v>968</v>
      </c>
      <c r="P1282" t="s">
        <v>4189</v>
      </c>
      <c r="V1282">
        <v>65</v>
      </c>
    </row>
    <row r="1283" spans="1:22" customFormat="1" ht="15" x14ac:dyDescent="0.25">
      <c r="A1283" t="s">
        <v>167</v>
      </c>
      <c r="B1283" t="s">
        <v>4224</v>
      </c>
      <c r="E1283" s="1507" t="s">
        <v>847</v>
      </c>
      <c r="F1283" s="1507"/>
      <c r="G1283" s="584" t="s">
        <v>845</v>
      </c>
      <c r="H1283" s="698">
        <v>1.5E-3</v>
      </c>
      <c r="K1283" t="s">
        <v>4179</v>
      </c>
      <c r="L1283" t="s">
        <v>968</v>
      </c>
      <c r="P1283" t="s">
        <v>4190</v>
      </c>
      <c r="V1283">
        <v>57</v>
      </c>
    </row>
    <row r="1284" spans="1:22" customFormat="1" ht="15" x14ac:dyDescent="0.25">
      <c r="A1284" t="s">
        <v>167</v>
      </c>
      <c r="B1284" t="s">
        <v>4224</v>
      </c>
      <c r="E1284" s="1507" t="s">
        <v>848</v>
      </c>
      <c r="F1284" s="1507"/>
      <c r="G1284" s="584" t="s">
        <v>777</v>
      </c>
      <c r="H1284" s="650">
        <v>0.25</v>
      </c>
      <c r="K1284" t="s">
        <v>4179</v>
      </c>
      <c r="L1284" t="s">
        <v>968</v>
      </c>
      <c r="P1284" t="s">
        <v>4191</v>
      </c>
      <c r="V1284">
        <v>63</v>
      </c>
    </row>
    <row r="1285" spans="1:22" customFormat="1" x14ac:dyDescent="0.25">
      <c r="A1285" t="s">
        <v>167</v>
      </c>
      <c r="B1285" t="s">
        <v>4224</v>
      </c>
      <c r="E1285" s="1527" t="s">
        <v>202</v>
      </c>
      <c r="F1285" s="1493"/>
      <c r="G1285" s="1493"/>
      <c r="H1285" s="1493"/>
      <c r="K1285" t="s">
        <v>4192</v>
      </c>
      <c r="V1285">
        <v>38</v>
      </c>
    </row>
    <row r="1286" spans="1:22" customFormat="1" ht="15" x14ac:dyDescent="0.25">
      <c r="A1286" t="s">
        <v>167</v>
      </c>
      <c r="B1286" t="s">
        <v>4224</v>
      </c>
      <c r="E1286" s="1516" t="s">
        <v>4282</v>
      </c>
      <c r="F1286" s="1516"/>
      <c r="G1286" s="1516"/>
      <c r="H1286" s="1516"/>
      <c r="K1286" t="s">
        <v>4192</v>
      </c>
      <c r="V1286">
        <v>554</v>
      </c>
    </row>
    <row r="1287" spans="1:22" customFormat="1" ht="15" x14ac:dyDescent="0.25">
      <c r="A1287" t="s">
        <v>167</v>
      </c>
      <c r="B1287" t="s">
        <v>4224</v>
      </c>
      <c r="E1287" s="1515" t="s">
        <v>950</v>
      </c>
      <c r="F1287" s="1549"/>
      <c r="G1287" s="1516"/>
      <c r="H1287" s="1516"/>
      <c r="K1287" t="s">
        <v>3904</v>
      </c>
      <c r="V1287">
        <v>11</v>
      </c>
    </row>
    <row r="1288" spans="1:22" customFormat="1" ht="15" x14ac:dyDescent="0.25">
      <c r="A1288" t="s">
        <v>167</v>
      </c>
      <c r="B1288" t="s">
        <v>4224</v>
      </c>
      <c r="E1288" s="1516" t="s">
        <v>951</v>
      </c>
      <c r="F1288" s="1516"/>
      <c r="G1288" s="1516"/>
      <c r="H1288" s="1516"/>
      <c r="K1288" t="s">
        <v>4192</v>
      </c>
      <c r="V1288">
        <v>280</v>
      </c>
    </row>
    <row r="1289" spans="1:22" customFormat="1" ht="15" x14ac:dyDescent="0.25">
      <c r="A1289" t="s">
        <v>167</v>
      </c>
      <c r="B1289" t="s">
        <v>4224</v>
      </c>
      <c r="E1289" s="1516" t="s">
        <v>952</v>
      </c>
      <c r="F1289" s="1516"/>
      <c r="G1289" s="1516"/>
      <c r="H1289" s="1516"/>
      <c r="K1289" t="s">
        <v>4192</v>
      </c>
      <c r="V1289">
        <v>411</v>
      </c>
    </row>
    <row r="1290" spans="1:22" customFormat="1" ht="15" x14ac:dyDescent="0.25">
      <c r="A1290" t="s">
        <v>167</v>
      </c>
      <c r="B1290" t="s">
        <v>4224</v>
      </c>
      <c r="E1290" s="1516" t="s">
        <v>4231</v>
      </c>
      <c r="F1290" s="1516"/>
      <c r="G1290" s="1516"/>
      <c r="H1290" s="1516"/>
      <c r="K1290" t="s">
        <v>4192</v>
      </c>
      <c r="V1290">
        <v>387</v>
      </c>
    </row>
    <row r="1291" spans="1:22" customFormat="1" ht="15" x14ac:dyDescent="0.25">
      <c r="A1291" t="s">
        <v>167</v>
      </c>
      <c r="B1291" t="s">
        <v>4224</v>
      </c>
      <c r="E1291" s="1516" t="s">
        <v>954</v>
      </c>
      <c r="F1291" s="1516"/>
      <c r="G1291" s="1516"/>
      <c r="H1291" s="1516"/>
      <c r="K1291" t="s">
        <v>4192</v>
      </c>
      <c r="V1291">
        <v>246</v>
      </c>
    </row>
    <row r="1292" spans="1:22" customFormat="1" ht="15" x14ac:dyDescent="0.25">
      <c r="A1292" t="s">
        <v>167</v>
      </c>
      <c r="B1292" t="s">
        <v>4224</v>
      </c>
      <c r="E1292" s="1553" t="s">
        <v>4227</v>
      </c>
      <c r="F1292" s="1530"/>
      <c r="G1292" s="1530"/>
      <c r="H1292" s="1530"/>
      <c r="K1292" t="s">
        <v>3905</v>
      </c>
      <c r="V1292">
        <v>46</v>
      </c>
    </row>
    <row r="1293" spans="1:22" customFormat="1" ht="15" x14ac:dyDescent="0.25">
      <c r="A1293" t="s">
        <v>167</v>
      </c>
      <c r="B1293" t="s">
        <v>4224</v>
      </c>
      <c r="E1293" s="1507" t="s">
        <v>4139</v>
      </c>
      <c r="F1293" s="1507"/>
      <c r="G1293" s="584" t="s">
        <v>777</v>
      </c>
      <c r="H1293" s="650">
        <v>2.3199999999999998</v>
      </c>
      <c r="K1293" t="s">
        <v>4192</v>
      </c>
      <c r="L1293" t="s">
        <v>690</v>
      </c>
      <c r="P1293" t="s">
        <v>4194</v>
      </c>
      <c r="V1293">
        <v>30</v>
      </c>
    </row>
    <row r="1294" spans="1:22" customFormat="1" ht="15" x14ac:dyDescent="0.25">
      <c r="A1294" t="s">
        <v>167</v>
      </c>
      <c r="B1294" t="s">
        <v>4224</v>
      </c>
      <c r="E1294" s="1507" t="s">
        <v>3688</v>
      </c>
      <c r="F1294" s="1507"/>
      <c r="G1294" s="584" t="s">
        <v>3775</v>
      </c>
      <c r="H1294" s="650">
        <v>6.1658999999999997</v>
      </c>
      <c r="K1294" t="s">
        <v>4192</v>
      </c>
      <c r="L1294" t="s">
        <v>690</v>
      </c>
      <c r="P1294" t="s">
        <v>4196</v>
      </c>
      <c r="V1294">
        <v>28</v>
      </c>
    </row>
    <row r="1295" spans="1:22" customFormat="1" ht="15" x14ac:dyDescent="0.25">
      <c r="A1295" t="s">
        <v>167</v>
      </c>
      <c r="B1295" t="s">
        <v>4224</v>
      </c>
      <c r="E1295" s="1507" t="s">
        <v>910</v>
      </c>
      <c r="F1295" s="1507"/>
      <c r="G1295" s="584" t="s">
        <v>3775</v>
      </c>
      <c r="H1295" s="698">
        <v>3.6700000000000003E-2</v>
      </c>
      <c r="K1295" t="s">
        <v>4192</v>
      </c>
      <c r="L1295" t="s">
        <v>692</v>
      </c>
      <c r="P1295" t="s">
        <v>4197</v>
      </c>
      <c r="V1295">
        <v>24</v>
      </c>
    </row>
    <row r="1296" spans="1:22" customFormat="1" ht="15" x14ac:dyDescent="0.25">
      <c r="A1296" t="s">
        <v>167</v>
      </c>
      <c r="B1296" t="s">
        <v>4224</v>
      </c>
      <c r="E1296" s="1507" t="s">
        <v>6519</v>
      </c>
      <c r="F1296" s="1510"/>
      <c r="G1296" s="584" t="s">
        <v>845</v>
      </c>
      <c r="H1296" s="698">
        <v>1.6999999999999999E-3</v>
      </c>
      <c r="K1296" t="s">
        <v>4192</v>
      </c>
      <c r="L1296" t="s">
        <v>692</v>
      </c>
      <c r="P1296" t="s">
        <v>4198</v>
      </c>
      <c r="T1296">
        <v>46022</v>
      </c>
      <c r="V1296">
        <v>142</v>
      </c>
    </row>
    <row r="1297" spans="1:22" customFormat="1" ht="15" x14ac:dyDescent="0.25">
      <c r="A1297" t="s">
        <v>167</v>
      </c>
      <c r="B1297" t="s">
        <v>4224</v>
      </c>
      <c r="E1297" s="1507" t="s">
        <v>6520</v>
      </c>
      <c r="F1297" s="1510"/>
      <c r="G1297" s="584" t="s">
        <v>3775</v>
      </c>
      <c r="H1297" s="698">
        <v>-0.1147</v>
      </c>
      <c r="K1297" t="s">
        <v>4192</v>
      </c>
      <c r="L1297" t="s">
        <v>692</v>
      </c>
      <c r="P1297" t="s">
        <v>4199</v>
      </c>
      <c r="T1297">
        <v>46022</v>
      </c>
      <c r="V1297">
        <v>99</v>
      </c>
    </row>
    <row r="1298" spans="1:22" customFormat="1" ht="15" x14ac:dyDescent="0.25">
      <c r="A1298" t="s">
        <v>167</v>
      </c>
      <c r="B1298" t="s">
        <v>4224</v>
      </c>
      <c r="E1298" s="1507" t="s">
        <v>6521</v>
      </c>
      <c r="F1298" s="1510"/>
      <c r="G1298" s="584" t="s">
        <v>3775</v>
      </c>
      <c r="H1298" s="698">
        <v>6.0100000000000001E-2</v>
      </c>
      <c r="K1298" t="s">
        <v>4192</v>
      </c>
      <c r="L1298" t="s">
        <v>692</v>
      </c>
      <c r="P1298" t="s">
        <v>4200</v>
      </c>
      <c r="T1298">
        <v>46022</v>
      </c>
      <c r="V1298">
        <v>149</v>
      </c>
    </row>
    <row r="1299" spans="1:22" customFormat="1" ht="15" x14ac:dyDescent="0.25">
      <c r="A1299" t="s">
        <v>167</v>
      </c>
      <c r="B1299" t="s">
        <v>4224</v>
      </c>
      <c r="E1299" s="1507" t="s">
        <v>6531</v>
      </c>
      <c r="F1299" s="1507"/>
      <c r="G1299" s="584" t="s">
        <v>3775</v>
      </c>
      <c r="H1299" s="698">
        <v>4.6112000000000002</v>
      </c>
      <c r="K1299" t="s">
        <v>4192</v>
      </c>
      <c r="L1299" t="s">
        <v>690</v>
      </c>
      <c r="P1299" t="s">
        <v>4201</v>
      </c>
      <c r="T1299">
        <v>46022</v>
      </c>
      <c r="V1299">
        <v>151</v>
      </c>
    </row>
    <row r="1300" spans="1:22" customFormat="1" ht="15" x14ac:dyDescent="0.25">
      <c r="A1300" t="s">
        <v>167</v>
      </c>
      <c r="B1300" t="s">
        <v>4224</v>
      </c>
      <c r="E1300" s="1507" t="s">
        <v>243</v>
      </c>
      <c r="F1300" s="1507"/>
      <c r="G1300" s="584" t="s">
        <v>3775</v>
      </c>
      <c r="H1300" s="650">
        <v>3.4958999999999998</v>
      </c>
      <c r="K1300" t="s">
        <v>4192</v>
      </c>
      <c r="L1300" t="s">
        <v>694</v>
      </c>
      <c r="P1300" t="s">
        <v>4203</v>
      </c>
      <c r="V1300">
        <v>47</v>
      </c>
    </row>
    <row r="1301" spans="1:22" customFormat="1" ht="15" x14ac:dyDescent="0.25">
      <c r="A1301" t="s">
        <v>167</v>
      </c>
      <c r="B1301" t="s">
        <v>4224</v>
      </c>
      <c r="E1301" s="1507" t="s">
        <v>175</v>
      </c>
      <c r="F1301" s="1507"/>
      <c r="G1301" s="584" t="s">
        <v>3775</v>
      </c>
      <c r="H1301" s="650">
        <v>2.5838999999999999</v>
      </c>
      <c r="K1301" t="s">
        <v>4192</v>
      </c>
      <c r="L1301" t="s">
        <v>694</v>
      </c>
      <c r="P1301" t="s">
        <v>4204</v>
      </c>
      <c r="V1301">
        <v>74</v>
      </c>
    </row>
    <row r="1302" spans="1:22" customFormat="1" ht="15" x14ac:dyDescent="0.25">
      <c r="A1302" t="s">
        <v>167</v>
      </c>
      <c r="B1302" t="s">
        <v>4224</v>
      </c>
      <c r="E1302" s="1515" t="s">
        <v>4228</v>
      </c>
      <c r="F1302" s="1507"/>
      <c r="G1302" s="587"/>
      <c r="H1302" s="393"/>
      <c r="K1302" t="s">
        <v>4015</v>
      </c>
      <c r="V1302">
        <v>48</v>
      </c>
    </row>
    <row r="1303" spans="1:22" customFormat="1" ht="15" x14ac:dyDescent="0.25">
      <c r="A1303" t="s">
        <v>167</v>
      </c>
      <c r="B1303" t="s">
        <v>4224</v>
      </c>
      <c r="E1303" s="1508" t="s">
        <v>844</v>
      </c>
      <c r="F1303" s="1507"/>
      <c r="G1303" s="620" t="s">
        <v>845</v>
      </c>
      <c r="H1303" s="650">
        <v>4.1000000000000003E-3</v>
      </c>
      <c r="K1303" t="s">
        <v>4192</v>
      </c>
      <c r="L1303" t="s">
        <v>968</v>
      </c>
      <c r="P1303" t="s">
        <v>4205</v>
      </c>
      <c r="V1303">
        <v>55</v>
      </c>
    </row>
    <row r="1304" spans="1:22" customFormat="1" ht="15" x14ac:dyDescent="0.25">
      <c r="A1304" t="s">
        <v>167</v>
      </c>
      <c r="B1304" t="s">
        <v>4224</v>
      </c>
      <c r="E1304" s="1508" t="s">
        <v>846</v>
      </c>
      <c r="F1304" s="1507"/>
      <c r="G1304" s="620" t="s">
        <v>845</v>
      </c>
      <c r="H1304" s="700">
        <v>4.0000000000000002E-4</v>
      </c>
      <c r="K1304" t="s">
        <v>4192</v>
      </c>
      <c r="L1304" t="s">
        <v>968</v>
      </c>
      <c r="P1304" t="s">
        <v>4205</v>
      </c>
      <c r="V1304">
        <v>65</v>
      </c>
    </row>
    <row r="1305" spans="1:22" customFormat="1" ht="15" x14ac:dyDescent="0.25">
      <c r="A1305" t="s">
        <v>167</v>
      </c>
      <c r="B1305" t="s">
        <v>4224</v>
      </c>
      <c r="E1305" s="1507" t="s">
        <v>847</v>
      </c>
      <c r="F1305" s="1507"/>
      <c r="G1305" s="584" t="s">
        <v>845</v>
      </c>
      <c r="H1305" s="698">
        <v>1.5E-3</v>
      </c>
      <c r="K1305" t="s">
        <v>4192</v>
      </c>
      <c r="L1305" t="s">
        <v>968</v>
      </c>
      <c r="P1305" t="s">
        <v>4206</v>
      </c>
      <c r="V1305">
        <v>57</v>
      </c>
    </row>
    <row r="1306" spans="1:22" customFormat="1" ht="15" x14ac:dyDescent="0.25">
      <c r="A1306" t="s">
        <v>167</v>
      </c>
      <c r="B1306" t="s">
        <v>4224</v>
      </c>
      <c r="E1306" s="1507" t="s">
        <v>848</v>
      </c>
      <c r="F1306" s="1507"/>
      <c r="G1306" s="584" t="s">
        <v>777</v>
      </c>
      <c r="H1306" s="698">
        <v>0.25</v>
      </c>
      <c r="K1306" t="s">
        <v>4192</v>
      </c>
      <c r="L1306" t="s">
        <v>968</v>
      </c>
      <c r="P1306" t="s">
        <v>4207</v>
      </c>
      <c r="V1306">
        <v>63</v>
      </c>
    </row>
    <row r="1307" spans="1:22" customFormat="1" x14ac:dyDescent="0.25">
      <c r="A1307" t="s">
        <v>167</v>
      </c>
      <c r="B1307" t="s">
        <v>4224</v>
      </c>
      <c r="E1307" s="1499" t="s">
        <v>207</v>
      </c>
      <c r="F1307" s="1500"/>
      <c r="G1307" s="1500"/>
      <c r="H1307" s="1500"/>
      <c r="K1307" t="s">
        <v>4208</v>
      </c>
      <c r="V1307">
        <v>31</v>
      </c>
    </row>
    <row r="1308" spans="1:22" customFormat="1" ht="15" x14ac:dyDescent="0.25">
      <c r="A1308" t="s">
        <v>167</v>
      </c>
      <c r="B1308" t="s">
        <v>4224</v>
      </c>
      <c r="E1308" s="1516" t="s">
        <v>4150</v>
      </c>
      <c r="F1308" s="1516"/>
      <c r="G1308" s="1516"/>
      <c r="H1308" s="1516"/>
      <c r="K1308" t="s">
        <v>4208</v>
      </c>
      <c r="V1308">
        <v>286</v>
      </c>
    </row>
    <row r="1309" spans="1:22" customFormat="1" ht="15" x14ac:dyDescent="0.25">
      <c r="A1309" t="s">
        <v>167</v>
      </c>
      <c r="B1309" t="s">
        <v>4224</v>
      </c>
      <c r="E1309" s="1515" t="s">
        <v>950</v>
      </c>
      <c r="F1309" s="1549"/>
      <c r="G1309" s="1516"/>
      <c r="H1309" s="1516"/>
      <c r="K1309" t="s">
        <v>4022</v>
      </c>
      <c r="V1309">
        <v>11</v>
      </c>
    </row>
    <row r="1310" spans="1:22" customFormat="1" ht="15" x14ac:dyDescent="0.25">
      <c r="A1310" t="s">
        <v>167</v>
      </c>
      <c r="B1310" t="s">
        <v>4224</v>
      </c>
      <c r="E1310" s="1516" t="s">
        <v>951</v>
      </c>
      <c r="F1310" s="1516"/>
      <c r="G1310" s="1516"/>
      <c r="H1310" s="1516"/>
      <c r="K1310" t="s">
        <v>4208</v>
      </c>
      <c r="V1310">
        <v>280</v>
      </c>
    </row>
    <row r="1311" spans="1:22" customFormat="1" ht="15" x14ac:dyDescent="0.25">
      <c r="A1311" t="s">
        <v>167</v>
      </c>
      <c r="B1311" t="s">
        <v>4224</v>
      </c>
      <c r="E1311" s="1516" t="s">
        <v>952</v>
      </c>
      <c r="F1311" s="1516"/>
      <c r="G1311" s="1516"/>
      <c r="H1311" s="1516"/>
      <c r="K1311" t="s">
        <v>4208</v>
      </c>
      <c r="V1311">
        <v>411</v>
      </c>
    </row>
    <row r="1312" spans="1:22" customFormat="1" ht="15" x14ac:dyDescent="0.25">
      <c r="A1312" t="s">
        <v>167</v>
      </c>
      <c r="B1312" t="s">
        <v>4224</v>
      </c>
      <c r="E1312" s="1516" t="s">
        <v>1103</v>
      </c>
      <c r="F1312" s="1516"/>
      <c r="G1312" s="1516"/>
      <c r="H1312" s="1516"/>
      <c r="K1312" t="s">
        <v>4208</v>
      </c>
      <c r="V1312">
        <v>211</v>
      </c>
    </row>
    <row r="1313" spans="1:22" customFormat="1" ht="15" x14ac:dyDescent="0.25">
      <c r="A1313" t="s">
        <v>167</v>
      </c>
      <c r="B1313" t="s">
        <v>4224</v>
      </c>
      <c r="E1313" s="1516" t="s">
        <v>4209</v>
      </c>
      <c r="F1313" s="1516"/>
      <c r="G1313" s="1516"/>
      <c r="H1313" s="1516"/>
      <c r="K1313" t="s">
        <v>4208</v>
      </c>
      <c r="V1313">
        <v>247</v>
      </c>
    </row>
    <row r="1314" spans="1:22" customFormat="1" ht="15" x14ac:dyDescent="0.25">
      <c r="A1314" t="s">
        <v>167</v>
      </c>
      <c r="B1314" t="s">
        <v>4224</v>
      </c>
      <c r="E1314" s="1553" t="s">
        <v>4144</v>
      </c>
      <c r="F1314" s="1530"/>
      <c r="G1314" s="1530"/>
      <c r="H1314" s="1530"/>
      <c r="K1314" t="s">
        <v>4023</v>
      </c>
      <c r="V1314">
        <v>47</v>
      </c>
    </row>
    <row r="1315" spans="1:22" customFormat="1" ht="15" x14ac:dyDescent="0.25">
      <c r="A1315" t="s">
        <v>167</v>
      </c>
      <c r="B1315" t="s">
        <v>4224</v>
      </c>
      <c r="E1315" s="1507" t="s">
        <v>3773</v>
      </c>
      <c r="F1315" s="1507"/>
      <c r="G1315" s="584" t="s">
        <v>777</v>
      </c>
      <c r="H1315" s="650">
        <v>5</v>
      </c>
      <c r="K1315" t="s">
        <v>4208</v>
      </c>
      <c r="L1315" t="s">
        <v>690</v>
      </c>
      <c r="P1315" t="s">
        <v>4211</v>
      </c>
      <c r="V1315">
        <v>14</v>
      </c>
    </row>
    <row r="1316" spans="1:22" customFormat="1" x14ac:dyDescent="0.25">
      <c r="A1316" t="s">
        <v>167</v>
      </c>
      <c r="B1316" t="s">
        <v>4224</v>
      </c>
      <c r="E1316" s="701" t="s">
        <v>3825</v>
      </c>
      <c r="F1316" s="702"/>
      <c r="G1316" s="702"/>
      <c r="H1316" s="703"/>
      <c r="K1316" t="s">
        <v>4048</v>
      </c>
      <c r="V1316">
        <v>10</v>
      </c>
    </row>
    <row r="1317" spans="1:22" customFormat="1" ht="15" x14ac:dyDescent="0.25">
      <c r="A1317" t="s">
        <v>167</v>
      </c>
      <c r="B1317" t="s">
        <v>4224</v>
      </c>
      <c r="E1317" s="1508" t="s">
        <v>4283</v>
      </c>
      <c r="F1317" s="1507"/>
      <c r="G1317" s="620" t="s">
        <v>3775</v>
      </c>
      <c r="H1317" s="650">
        <v>-0.73</v>
      </c>
      <c r="V1317">
        <v>62</v>
      </c>
    </row>
    <row r="1318" spans="1:22" customFormat="1" ht="15" x14ac:dyDescent="0.25">
      <c r="A1318" t="s">
        <v>167</v>
      </c>
      <c r="B1318" t="s">
        <v>4224</v>
      </c>
      <c r="E1318" s="1508" t="s">
        <v>1079</v>
      </c>
      <c r="F1318" s="1507"/>
      <c r="G1318" s="694" t="s">
        <v>1118</v>
      </c>
      <c r="H1318" s="650">
        <v>-1</v>
      </c>
      <c r="V1318">
        <v>87</v>
      </c>
    </row>
    <row r="1319" spans="1:22" customFormat="1" x14ac:dyDescent="0.25">
      <c r="A1319" t="s">
        <v>167</v>
      </c>
      <c r="B1319" t="s">
        <v>4224</v>
      </c>
      <c r="E1319" s="701" t="s">
        <v>3828</v>
      </c>
      <c r="F1319" s="702"/>
      <c r="G1319" s="268"/>
      <c r="H1319" s="704"/>
      <c r="K1319" t="s">
        <v>4052</v>
      </c>
      <c r="V1319">
        <v>24</v>
      </c>
    </row>
    <row r="1320" spans="1:22" customFormat="1" ht="15" x14ac:dyDescent="0.25">
      <c r="A1320" t="s">
        <v>167</v>
      </c>
      <c r="B1320" t="s">
        <v>4224</v>
      </c>
      <c r="E1320" s="1516" t="s">
        <v>951</v>
      </c>
      <c r="F1320" s="1516"/>
      <c r="G1320" s="1516"/>
      <c r="H1320" s="1516"/>
      <c r="V1320">
        <v>280</v>
      </c>
    </row>
    <row r="1321" spans="1:22" customFormat="1" ht="15" x14ac:dyDescent="0.25">
      <c r="A1321" t="s">
        <v>167</v>
      </c>
      <c r="B1321" t="s">
        <v>4224</v>
      </c>
      <c r="E1321" s="1516" t="s">
        <v>1081</v>
      </c>
      <c r="F1321" s="1516"/>
      <c r="G1321" s="1516"/>
      <c r="H1321" s="1516"/>
      <c r="V1321">
        <v>353</v>
      </c>
    </row>
    <row r="1322" spans="1:22" customFormat="1" ht="15" x14ac:dyDescent="0.25">
      <c r="A1322" t="s">
        <v>167</v>
      </c>
      <c r="B1322" t="s">
        <v>4224</v>
      </c>
      <c r="E1322" s="1516" t="s">
        <v>954</v>
      </c>
      <c r="F1322" s="1516"/>
      <c r="G1322" s="1516"/>
      <c r="H1322" s="1516"/>
      <c r="V1322">
        <v>246</v>
      </c>
    </row>
    <row r="1323" spans="1:22" customFormat="1" ht="15" x14ac:dyDescent="0.25">
      <c r="A1323" t="s">
        <v>167</v>
      </c>
      <c r="B1323" t="s">
        <v>4224</v>
      </c>
      <c r="E1323" s="705" t="s">
        <v>3830</v>
      </c>
      <c r="F1323" s="706"/>
      <c r="G1323" s="706"/>
      <c r="H1323" s="704"/>
      <c r="K1323" t="s">
        <v>4053</v>
      </c>
      <c r="V1323">
        <v>23</v>
      </c>
    </row>
    <row r="1324" spans="1:22" customFormat="1" ht="15" x14ac:dyDescent="0.25">
      <c r="A1324" t="s">
        <v>167</v>
      </c>
      <c r="B1324" t="s">
        <v>4224</v>
      </c>
      <c r="E1324" s="1509" t="s">
        <v>4284</v>
      </c>
      <c r="F1324" s="1517"/>
      <c r="G1324" s="694" t="s">
        <v>777</v>
      </c>
      <c r="H1324" s="650">
        <v>15</v>
      </c>
      <c r="V1324">
        <v>24</v>
      </c>
    </row>
    <row r="1325" spans="1:22" customFormat="1" ht="15" x14ac:dyDescent="0.25">
      <c r="A1325" t="s">
        <v>167</v>
      </c>
      <c r="B1325" t="s">
        <v>4224</v>
      </c>
      <c r="E1325" s="1509" t="s">
        <v>4285</v>
      </c>
      <c r="F1325" s="1517"/>
      <c r="G1325" s="694" t="s">
        <v>777</v>
      </c>
      <c r="H1325" s="650">
        <v>15</v>
      </c>
      <c r="V1325">
        <v>25</v>
      </c>
    </row>
    <row r="1326" spans="1:22" customFormat="1" ht="15" x14ac:dyDescent="0.25">
      <c r="A1326" t="s">
        <v>167</v>
      </c>
      <c r="B1326" t="s">
        <v>4224</v>
      </c>
      <c r="E1326" s="1509" t="s">
        <v>4286</v>
      </c>
      <c r="F1326" s="1517"/>
      <c r="G1326" s="694" t="s">
        <v>777</v>
      </c>
      <c r="H1326" s="650">
        <v>15</v>
      </c>
      <c r="V1326">
        <v>34</v>
      </c>
    </row>
    <row r="1327" spans="1:22" customFormat="1" ht="15" x14ac:dyDescent="0.25">
      <c r="A1327" t="s">
        <v>167</v>
      </c>
      <c r="B1327" t="s">
        <v>4224</v>
      </c>
      <c r="E1327" s="1509" t="s">
        <v>4287</v>
      </c>
      <c r="F1327" s="1517"/>
      <c r="G1327" s="694" t="s">
        <v>777</v>
      </c>
      <c r="H1327" s="650">
        <v>15</v>
      </c>
      <c r="V1327">
        <v>44</v>
      </c>
    </row>
    <row r="1328" spans="1:22" customFormat="1" ht="15" x14ac:dyDescent="0.25">
      <c r="A1328" t="s">
        <v>167</v>
      </c>
      <c r="B1328" t="s">
        <v>4224</v>
      </c>
      <c r="E1328" s="1509" t="s">
        <v>4288</v>
      </c>
      <c r="F1328" s="1517"/>
      <c r="G1328" s="694" t="s">
        <v>777</v>
      </c>
      <c r="H1328" s="650">
        <v>15</v>
      </c>
      <c r="V1328">
        <v>42</v>
      </c>
    </row>
    <row r="1329" spans="1:22" customFormat="1" ht="15" x14ac:dyDescent="0.25">
      <c r="A1329" t="s">
        <v>167</v>
      </c>
      <c r="B1329" t="s">
        <v>4224</v>
      </c>
      <c r="E1329" s="1509" t="s">
        <v>4289</v>
      </c>
      <c r="F1329" s="1517"/>
      <c r="G1329" s="694" t="s">
        <v>777</v>
      </c>
      <c r="H1329" s="650">
        <v>15</v>
      </c>
      <c r="V1329">
        <v>20</v>
      </c>
    </row>
    <row r="1330" spans="1:22" customFormat="1" ht="15" x14ac:dyDescent="0.25">
      <c r="A1330" t="s">
        <v>167</v>
      </c>
      <c r="B1330" t="s">
        <v>4224</v>
      </c>
      <c r="E1330" s="1509" t="s">
        <v>4290</v>
      </c>
      <c r="F1330" s="1517"/>
      <c r="G1330" s="694" t="s">
        <v>777</v>
      </c>
      <c r="H1330" s="650">
        <v>15</v>
      </c>
      <c r="V1330">
        <v>22</v>
      </c>
    </row>
    <row r="1331" spans="1:22" customFormat="1" ht="15" x14ac:dyDescent="0.25">
      <c r="A1331" t="s">
        <v>167</v>
      </c>
      <c r="B1331" t="s">
        <v>4224</v>
      </c>
      <c r="E1331" s="1509" t="s">
        <v>4291</v>
      </c>
      <c r="F1331" s="1517"/>
      <c r="G1331" s="694" t="s">
        <v>777</v>
      </c>
      <c r="H1331" s="650">
        <v>15</v>
      </c>
      <c r="V1331">
        <v>24</v>
      </c>
    </row>
    <row r="1332" spans="1:22" customFormat="1" ht="15" x14ac:dyDescent="0.25">
      <c r="A1332" t="s">
        <v>167</v>
      </c>
      <c r="B1332" t="s">
        <v>4224</v>
      </c>
      <c r="E1332" s="1509" t="s">
        <v>4292</v>
      </c>
      <c r="F1332" s="1517"/>
      <c r="G1332" s="694" t="s">
        <v>777</v>
      </c>
      <c r="H1332" s="650">
        <v>15</v>
      </c>
      <c r="V1332">
        <v>20</v>
      </c>
    </row>
    <row r="1333" spans="1:22" customFormat="1" ht="15" x14ac:dyDescent="0.25">
      <c r="A1333" t="s">
        <v>167</v>
      </c>
      <c r="B1333" t="s">
        <v>4224</v>
      </c>
      <c r="E1333" s="1509" t="s">
        <v>4293</v>
      </c>
      <c r="F1333" s="1517"/>
      <c r="G1333" s="694" t="s">
        <v>777</v>
      </c>
      <c r="H1333" s="650">
        <v>15</v>
      </c>
      <c r="V1333">
        <v>47</v>
      </c>
    </row>
    <row r="1334" spans="1:22" customFormat="1" ht="15" x14ac:dyDescent="0.25">
      <c r="A1334" t="s">
        <v>167</v>
      </c>
      <c r="B1334" t="s">
        <v>4224</v>
      </c>
      <c r="E1334" s="1509" t="s">
        <v>4294</v>
      </c>
      <c r="F1334" s="1517"/>
      <c r="G1334" s="694" t="s">
        <v>777</v>
      </c>
      <c r="H1334" s="650">
        <v>15</v>
      </c>
      <c r="V1334">
        <v>29</v>
      </c>
    </row>
    <row r="1335" spans="1:22" customFormat="1" ht="15" x14ac:dyDescent="0.25">
      <c r="A1335" t="s">
        <v>167</v>
      </c>
      <c r="B1335" t="s">
        <v>4224</v>
      </c>
      <c r="E1335" s="1509" t="s">
        <v>4295</v>
      </c>
      <c r="F1335" s="1517"/>
      <c r="G1335" s="694" t="s">
        <v>777</v>
      </c>
      <c r="H1335" s="650">
        <v>15</v>
      </c>
      <c r="V1335">
        <v>24</v>
      </c>
    </row>
    <row r="1336" spans="1:22" customFormat="1" ht="15" x14ac:dyDescent="0.25">
      <c r="A1336" t="s">
        <v>167</v>
      </c>
      <c r="B1336" t="s">
        <v>4224</v>
      </c>
      <c r="E1336" s="1509" t="s">
        <v>4296</v>
      </c>
      <c r="F1336" s="1517"/>
      <c r="G1336" s="694" t="s">
        <v>777</v>
      </c>
      <c r="H1336" s="650">
        <v>30</v>
      </c>
      <c r="V1336">
        <v>94</v>
      </c>
    </row>
    <row r="1337" spans="1:22" customFormat="1" ht="15" x14ac:dyDescent="0.25">
      <c r="A1337" t="s">
        <v>167</v>
      </c>
      <c r="B1337" t="s">
        <v>4224</v>
      </c>
      <c r="E1337" s="1509" t="s">
        <v>4297</v>
      </c>
      <c r="F1337" s="1517"/>
      <c r="G1337" s="694" t="s">
        <v>777</v>
      </c>
      <c r="H1337" s="650">
        <v>30</v>
      </c>
      <c r="V1337">
        <v>24</v>
      </c>
    </row>
    <row r="1338" spans="1:22" customFormat="1" ht="15" x14ac:dyDescent="0.25">
      <c r="A1338" t="s">
        <v>167</v>
      </c>
      <c r="B1338" t="s">
        <v>4224</v>
      </c>
      <c r="E1338" s="1509" t="s">
        <v>4298</v>
      </c>
      <c r="F1338" s="1517"/>
      <c r="G1338" s="694" t="s">
        <v>777</v>
      </c>
      <c r="H1338" s="650">
        <v>30</v>
      </c>
      <c r="V1338">
        <v>79</v>
      </c>
    </row>
    <row r="1339" spans="1:22" customFormat="1" ht="15" x14ac:dyDescent="0.25">
      <c r="A1339" t="s">
        <v>167</v>
      </c>
      <c r="B1339" t="s">
        <v>4224</v>
      </c>
      <c r="E1339" s="1509" t="s">
        <v>4299</v>
      </c>
      <c r="F1339" s="1517"/>
      <c r="G1339" s="694" t="s">
        <v>777</v>
      </c>
      <c r="H1339" s="650">
        <v>15</v>
      </c>
      <c r="V1339">
        <v>35</v>
      </c>
    </row>
    <row r="1340" spans="1:22" customFormat="1" ht="15" x14ac:dyDescent="0.25">
      <c r="A1340" t="s">
        <v>167</v>
      </c>
      <c r="B1340" t="s">
        <v>4224</v>
      </c>
      <c r="E1340" s="1509" t="s">
        <v>4300</v>
      </c>
      <c r="F1340" s="1517"/>
      <c r="G1340" s="694" t="s">
        <v>777</v>
      </c>
      <c r="H1340" s="650">
        <v>15</v>
      </c>
      <c r="V1340">
        <v>44</v>
      </c>
    </row>
    <row r="1341" spans="1:22" customFormat="1" ht="15" x14ac:dyDescent="0.25">
      <c r="A1341" t="s">
        <v>167</v>
      </c>
      <c r="B1341" t="s">
        <v>4224</v>
      </c>
      <c r="E1341" s="705" t="s">
        <v>4062</v>
      </c>
      <c r="F1341" s="706"/>
      <c r="G1341" s="706"/>
      <c r="H1341" s="704"/>
      <c r="K1341" t="s">
        <v>4063</v>
      </c>
      <c r="V1341">
        <v>22</v>
      </c>
    </row>
    <row r="1342" spans="1:22" customFormat="1" ht="15" x14ac:dyDescent="0.25">
      <c r="A1342" t="s">
        <v>167</v>
      </c>
      <c r="B1342" t="s">
        <v>4224</v>
      </c>
      <c r="E1342" s="1509" t="s">
        <v>4301</v>
      </c>
      <c r="F1342" s="1517"/>
      <c r="G1342" s="694" t="s">
        <v>1118</v>
      </c>
      <c r="H1342" s="650">
        <v>1.5</v>
      </c>
      <c r="V1342">
        <v>108</v>
      </c>
    </row>
    <row r="1343" spans="1:22" customFormat="1" ht="15" x14ac:dyDescent="0.25">
      <c r="A1343" t="s">
        <v>167</v>
      </c>
      <c r="B1343" t="s">
        <v>4224</v>
      </c>
      <c r="E1343" s="1509" t="s">
        <v>4302</v>
      </c>
      <c r="F1343" s="1517"/>
      <c r="G1343" s="694" t="s">
        <v>777</v>
      </c>
      <c r="H1343" s="650">
        <v>65</v>
      </c>
      <c r="V1343">
        <v>49</v>
      </c>
    </row>
    <row r="1344" spans="1:22" customFormat="1" ht="15" x14ac:dyDescent="0.25">
      <c r="A1344" t="s">
        <v>167</v>
      </c>
      <c r="B1344" t="s">
        <v>4224</v>
      </c>
      <c r="E1344" s="1509" t="s">
        <v>4303</v>
      </c>
      <c r="F1344" s="1517"/>
      <c r="G1344" s="694" t="s">
        <v>777</v>
      </c>
      <c r="H1344" s="650">
        <v>185</v>
      </c>
      <c r="V1344">
        <v>48</v>
      </c>
    </row>
    <row r="1345" spans="1:22" customFormat="1" ht="15" x14ac:dyDescent="0.25">
      <c r="A1345" t="s">
        <v>167</v>
      </c>
      <c r="B1345" t="s">
        <v>4224</v>
      </c>
      <c r="E1345" s="1509" t="s">
        <v>4304</v>
      </c>
      <c r="F1345" s="1517"/>
      <c r="G1345" s="694" t="s">
        <v>777</v>
      </c>
      <c r="H1345" s="650">
        <v>185</v>
      </c>
      <c r="V1345">
        <v>48</v>
      </c>
    </row>
    <row r="1346" spans="1:22" customFormat="1" ht="15" x14ac:dyDescent="0.25">
      <c r="A1346" t="s">
        <v>167</v>
      </c>
      <c r="B1346" t="s">
        <v>4224</v>
      </c>
      <c r="E1346" s="1509" t="s">
        <v>4305</v>
      </c>
      <c r="F1346" s="1517"/>
      <c r="G1346" s="694" t="s">
        <v>777</v>
      </c>
      <c r="H1346" s="650">
        <v>415</v>
      </c>
      <c r="V1346">
        <v>47</v>
      </c>
    </row>
    <row r="1347" spans="1:22" customFormat="1" ht="15" x14ac:dyDescent="0.25">
      <c r="A1347" t="s">
        <v>167</v>
      </c>
      <c r="B1347" t="s">
        <v>4224</v>
      </c>
      <c r="E1347" s="705" t="s">
        <v>3846</v>
      </c>
      <c r="F1347" s="706"/>
      <c r="G1347" s="706"/>
      <c r="H1347" s="704"/>
      <c r="V1347">
        <v>5</v>
      </c>
    </row>
    <row r="1348" spans="1:22" customFormat="1" ht="15" x14ac:dyDescent="0.25">
      <c r="A1348" t="s">
        <v>167</v>
      </c>
      <c r="B1348" t="s">
        <v>4224</v>
      </c>
      <c r="E1348" s="1509" t="s">
        <v>4306</v>
      </c>
      <c r="F1348" s="1517"/>
      <c r="G1348" s="694" t="s">
        <v>777</v>
      </c>
      <c r="H1348" s="650">
        <v>30</v>
      </c>
      <c r="V1348">
        <v>44</v>
      </c>
    </row>
    <row r="1349" spans="1:22" customFormat="1" ht="15" x14ac:dyDescent="0.25">
      <c r="A1349" t="s">
        <v>167</v>
      </c>
      <c r="B1349" t="s">
        <v>4224</v>
      </c>
      <c r="E1349" s="1509" t="s">
        <v>4307</v>
      </c>
      <c r="F1349" s="1517"/>
      <c r="G1349" s="694" t="s">
        <v>777</v>
      </c>
      <c r="H1349" s="650">
        <v>165</v>
      </c>
      <c r="V1349">
        <v>39</v>
      </c>
    </row>
    <row r="1350" spans="1:22" customFormat="1" ht="15" x14ac:dyDescent="0.25">
      <c r="A1350" t="s">
        <v>167</v>
      </c>
      <c r="B1350" t="s">
        <v>4224</v>
      </c>
      <c r="E1350" s="1509" t="s">
        <v>4308</v>
      </c>
      <c r="F1350" s="1517"/>
      <c r="G1350" s="694" t="s">
        <v>777</v>
      </c>
      <c r="H1350" s="650">
        <v>500</v>
      </c>
      <c r="V1350">
        <v>71</v>
      </c>
    </row>
    <row r="1351" spans="1:22" customFormat="1" ht="15" x14ac:dyDescent="0.25">
      <c r="A1351" t="s">
        <v>167</v>
      </c>
      <c r="B1351" t="s">
        <v>4224</v>
      </c>
      <c r="E1351" s="1509" t="s">
        <v>4309</v>
      </c>
      <c r="F1351" s="1517"/>
      <c r="G1351" s="694" t="s">
        <v>777</v>
      </c>
      <c r="H1351" s="650">
        <v>300</v>
      </c>
      <c r="V1351">
        <v>74</v>
      </c>
    </row>
    <row r="1352" spans="1:22" customFormat="1" ht="15" x14ac:dyDescent="0.25">
      <c r="A1352" t="s">
        <v>167</v>
      </c>
      <c r="B1352" t="s">
        <v>4224</v>
      </c>
      <c r="E1352" s="1509" t="s">
        <v>4310</v>
      </c>
      <c r="F1352" s="1517"/>
      <c r="G1352" s="694" t="s">
        <v>777</v>
      </c>
      <c r="H1352" s="650">
        <v>1000</v>
      </c>
      <c r="V1352">
        <v>73</v>
      </c>
    </row>
    <row r="1353" spans="1:22" customFormat="1" ht="15" x14ac:dyDescent="0.25">
      <c r="A1353" t="s">
        <v>167</v>
      </c>
      <c r="B1353" t="s">
        <v>4224</v>
      </c>
      <c r="E1353" s="1509" t="s">
        <v>4311</v>
      </c>
      <c r="F1353" s="1517"/>
      <c r="G1353" s="694" t="s">
        <v>777</v>
      </c>
      <c r="H1353" s="650">
        <v>39.14</v>
      </c>
      <c r="V1353">
        <v>117</v>
      </c>
    </row>
    <row r="1354" spans="1:22" customFormat="1" ht="15" x14ac:dyDescent="0.25">
      <c r="A1354" t="s">
        <v>167</v>
      </c>
      <c r="B1354" t="s">
        <v>4224</v>
      </c>
      <c r="E1354" s="1509" t="s">
        <v>4312</v>
      </c>
      <c r="F1354" s="1517"/>
      <c r="G1354" s="694" t="s">
        <v>777</v>
      </c>
      <c r="H1354" s="650">
        <v>150</v>
      </c>
      <c r="V1354">
        <v>34</v>
      </c>
    </row>
    <row r="1355" spans="1:22" customFormat="1" x14ac:dyDescent="0.25">
      <c r="A1355" t="s">
        <v>167</v>
      </c>
      <c r="B1355" t="s">
        <v>4224</v>
      </c>
      <c r="E1355" s="701" t="s">
        <v>3851</v>
      </c>
      <c r="F1355" s="702"/>
      <c r="G1355" s="702"/>
      <c r="H1355" s="703"/>
      <c r="K1355" t="s">
        <v>4070</v>
      </c>
      <c r="V1355">
        <v>38</v>
      </c>
    </row>
    <row r="1356" spans="1:22" customFormat="1" ht="15" x14ac:dyDescent="0.25">
      <c r="A1356" t="s">
        <v>167</v>
      </c>
      <c r="B1356" t="s">
        <v>4224</v>
      </c>
      <c r="E1356" s="1583" t="s">
        <v>951</v>
      </c>
      <c r="F1356" s="1583"/>
      <c r="G1356" s="1583"/>
      <c r="H1356" s="1583"/>
      <c r="V1356">
        <v>280</v>
      </c>
    </row>
    <row r="1357" spans="1:22" customFormat="1" ht="15" x14ac:dyDescent="0.25">
      <c r="A1357" t="s">
        <v>167</v>
      </c>
      <c r="B1357" t="s">
        <v>4224</v>
      </c>
      <c r="E1357" s="1583" t="s">
        <v>952</v>
      </c>
      <c r="F1357" s="1583"/>
      <c r="G1357" s="1583"/>
      <c r="H1357" s="1583"/>
      <c r="V1357">
        <v>411</v>
      </c>
    </row>
    <row r="1358" spans="1:22" customFormat="1" ht="15" x14ac:dyDescent="0.25">
      <c r="A1358" t="s">
        <v>167</v>
      </c>
      <c r="B1358" t="s">
        <v>4224</v>
      </c>
      <c r="E1358" s="1583" t="s">
        <v>1103</v>
      </c>
      <c r="F1358" s="1583"/>
      <c r="G1358" s="1583"/>
      <c r="H1358" s="1583"/>
      <c r="V1358">
        <v>211</v>
      </c>
    </row>
    <row r="1359" spans="1:22" customFormat="1" ht="15" x14ac:dyDescent="0.25">
      <c r="A1359" t="s">
        <v>167</v>
      </c>
      <c r="B1359" t="s">
        <v>4224</v>
      </c>
      <c r="E1359" s="1518" t="s">
        <v>954</v>
      </c>
      <c r="F1359" s="1518"/>
      <c r="G1359" s="1518"/>
      <c r="H1359" s="1518"/>
      <c r="V1359">
        <v>246</v>
      </c>
    </row>
    <row r="1360" spans="1:22" customFormat="1" ht="15" x14ac:dyDescent="0.25">
      <c r="A1360" t="s">
        <v>167</v>
      </c>
      <c r="B1360" t="s">
        <v>4224</v>
      </c>
      <c r="E1360" s="1583" t="s">
        <v>1104</v>
      </c>
      <c r="F1360" s="1583"/>
      <c r="G1360" s="1583"/>
      <c r="H1360" s="1583"/>
      <c r="V1360">
        <v>142</v>
      </c>
    </row>
    <row r="1361" spans="1:22" customFormat="1" ht="15" x14ac:dyDescent="0.25">
      <c r="A1361" t="s">
        <v>167</v>
      </c>
      <c r="B1361" t="s">
        <v>4224</v>
      </c>
      <c r="E1361" s="1508" t="s">
        <v>849</v>
      </c>
      <c r="F1361" s="1507"/>
      <c r="G1361" s="707" t="s">
        <v>777</v>
      </c>
      <c r="H1361" s="657">
        <v>121.23</v>
      </c>
      <c r="V1361">
        <v>106</v>
      </c>
    </row>
    <row r="1362" spans="1:22" customFormat="1" ht="15" x14ac:dyDescent="0.25">
      <c r="A1362" t="s">
        <v>167</v>
      </c>
      <c r="B1362" t="s">
        <v>4224</v>
      </c>
      <c r="E1362" s="1508" t="s">
        <v>850</v>
      </c>
      <c r="F1362" s="1507"/>
      <c r="G1362" s="707" t="s">
        <v>777</v>
      </c>
      <c r="H1362" s="650">
        <v>48.5</v>
      </c>
      <c r="V1362">
        <v>34</v>
      </c>
    </row>
    <row r="1363" spans="1:22" customFormat="1" ht="15" x14ac:dyDescent="0.25">
      <c r="A1363" t="s">
        <v>167</v>
      </c>
      <c r="B1363" t="s">
        <v>4224</v>
      </c>
      <c r="E1363" s="1508" t="s">
        <v>851</v>
      </c>
      <c r="F1363" s="1507"/>
      <c r="G1363" s="707" t="s">
        <v>852</v>
      </c>
      <c r="H1363" s="657">
        <v>1.2</v>
      </c>
      <c r="V1363">
        <v>51</v>
      </c>
    </row>
    <row r="1364" spans="1:22" customFormat="1" ht="15" x14ac:dyDescent="0.25">
      <c r="A1364" t="s">
        <v>167</v>
      </c>
      <c r="B1364" t="s">
        <v>4224</v>
      </c>
      <c r="E1364" s="1508" t="s">
        <v>853</v>
      </c>
      <c r="F1364" s="1507"/>
      <c r="G1364" s="707" t="s">
        <v>852</v>
      </c>
      <c r="H1364" s="650">
        <v>0.71</v>
      </c>
      <c r="V1364">
        <v>75</v>
      </c>
    </row>
    <row r="1365" spans="1:22" customFormat="1" ht="15" x14ac:dyDescent="0.25">
      <c r="A1365" t="s">
        <v>167</v>
      </c>
      <c r="B1365" t="s">
        <v>4224</v>
      </c>
      <c r="E1365" s="1508" t="s">
        <v>854</v>
      </c>
      <c r="F1365" s="1507"/>
      <c r="G1365" s="707" t="s">
        <v>852</v>
      </c>
      <c r="H1365" s="650">
        <v>-0.71</v>
      </c>
      <c r="V1365">
        <v>72</v>
      </c>
    </row>
    <row r="1366" spans="1:22" customFormat="1" ht="15" x14ac:dyDescent="0.25">
      <c r="A1366" t="s">
        <v>167</v>
      </c>
      <c r="B1366" t="s">
        <v>4224</v>
      </c>
      <c r="E1366" s="1508" t="s">
        <v>1105</v>
      </c>
      <c r="F1366" s="1507"/>
      <c r="G1366" s="708"/>
      <c r="H1366" s="657"/>
      <c r="V1366">
        <v>35</v>
      </c>
    </row>
    <row r="1367" spans="1:22" customFormat="1" ht="15" x14ac:dyDescent="0.25">
      <c r="A1367" t="s">
        <v>167</v>
      </c>
      <c r="B1367" t="s">
        <v>4224</v>
      </c>
      <c r="E1367" s="1586" t="s">
        <v>4313</v>
      </c>
      <c r="F1367" s="1511"/>
      <c r="G1367" s="707" t="s">
        <v>777</v>
      </c>
      <c r="H1367" s="650">
        <v>0.61</v>
      </c>
      <c r="V1367">
        <v>62</v>
      </c>
    </row>
    <row r="1368" spans="1:22" customFormat="1" ht="15" x14ac:dyDescent="0.25">
      <c r="A1368" t="s">
        <v>167</v>
      </c>
      <c r="B1368" t="s">
        <v>4224</v>
      </c>
      <c r="E1368" s="1586" t="s">
        <v>4314</v>
      </c>
      <c r="F1368" s="1511"/>
      <c r="G1368" s="707" t="s">
        <v>777</v>
      </c>
      <c r="H1368" s="650">
        <v>1.2</v>
      </c>
      <c r="V1368">
        <v>65</v>
      </c>
    </row>
    <row r="1369" spans="1:22" customFormat="1" ht="15" x14ac:dyDescent="0.25">
      <c r="A1369" t="s">
        <v>167</v>
      </c>
      <c r="B1369" t="s">
        <v>4224</v>
      </c>
      <c r="E1369" s="1508" t="s">
        <v>1108</v>
      </c>
      <c r="F1369" s="1507"/>
      <c r="G1369" s="708"/>
      <c r="H1369" s="635"/>
      <c r="V1369">
        <v>91</v>
      </c>
    </row>
    <row r="1370" spans="1:22" customFormat="1" ht="15" x14ac:dyDescent="0.25">
      <c r="A1370" t="s">
        <v>167</v>
      </c>
      <c r="B1370" t="s">
        <v>4224</v>
      </c>
      <c r="E1370" s="1508" t="s">
        <v>1109</v>
      </c>
      <c r="F1370" s="1507"/>
      <c r="G1370" s="708"/>
      <c r="H1370" s="635"/>
      <c r="V1370">
        <v>96</v>
      </c>
    </row>
    <row r="1371" spans="1:22" customFormat="1" ht="15" x14ac:dyDescent="0.25">
      <c r="A1371" t="s">
        <v>167</v>
      </c>
      <c r="B1371" t="s">
        <v>4224</v>
      </c>
      <c r="E1371" s="1508" t="s">
        <v>1110</v>
      </c>
      <c r="F1371" s="1507"/>
      <c r="G1371" s="708"/>
      <c r="H1371" s="635"/>
      <c r="V1371">
        <v>78</v>
      </c>
    </row>
    <row r="1372" spans="1:22" customFormat="1" ht="15" x14ac:dyDescent="0.25">
      <c r="A1372" t="s">
        <v>167</v>
      </c>
      <c r="B1372" t="s">
        <v>4224</v>
      </c>
      <c r="E1372" s="1586" t="s">
        <v>4315</v>
      </c>
      <c r="F1372" s="1511"/>
      <c r="G1372" s="707" t="s">
        <v>777</v>
      </c>
      <c r="H1372" s="636" t="s">
        <v>857</v>
      </c>
      <c r="V1372">
        <v>22</v>
      </c>
    </row>
    <row r="1373" spans="1:22" customFormat="1" ht="15" x14ac:dyDescent="0.25">
      <c r="A1373" t="s">
        <v>167</v>
      </c>
      <c r="B1373" t="s">
        <v>4224</v>
      </c>
      <c r="E1373" s="1586" t="s">
        <v>4316</v>
      </c>
      <c r="F1373" s="1511"/>
      <c r="G1373" s="707" t="s">
        <v>777</v>
      </c>
      <c r="H1373" s="650">
        <v>4.8499999999999996</v>
      </c>
      <c r="V1373">
        <v>73</v>
      </c>
    </row>
    <row r="1374" spans="1:22" customFormat="1" ht="15" x14ac:dyDescent="0.25">
      <c r="A1374" t="s">
        <v>167</v>
      </c>
      <c r="B1374" t="s">
        <v>4224</v>
      </c>
      <c r="E1374" s="1545" t="s">
        <v>858</v>
      </c>
      <c r="F1374" s="1545"/>
      <c r="G1374" s="715" t="s">
        <v>777</v>
      </c>
      <c r="H1374" s="650">
        <v>2.42</v>
      </c>
      <c r="V1374">
        <v>199</v>
      </c>
    </row>
    <row r="1375" spans="1:22" customFormat="1" ht="20.25" x14ac:dyDescent="0.25">
      <c r="A1375" t="s">
        <v>167</v>
      </c>
      <c r="B1375" t="s">
        <v>4224</v>
      </c>
      <c r="E1375" s="701" t="s">
        <v>3853</v>
      </c>
      <c r="F1375" s="709"/>
      <c r="G1375" s="709"/>
      <c r="H1375" s="703"/>
      <c r="K1375" t="s">
        <v>4071</v>
      </c>
      <c r="V1375">
        <v>12</v>
      </c>
    </row>
    <row r="1376" spans="1:22" customFormat="1" ht="15" x14ac:dyDescent="0.25">
      <c r="A1376" t="s">
        <v>167</v>
      </c>
      <c r="B1376" t="s">
        <v>4224</v>
      </c>
      <c r="E1376" s="1522" t="s">
        <v>1114</v>
      </c>
      <c r="F1376" s="1522"/>
      <c r="G1376" s="1522"/>
      <c r="H1376" s="1522"/>
      <c r="V1376">
        <v>203</v>
      </c>
    </row>
    <row r="1377" spans="1:22" customFormat="1" ht="15" x14ac:dyDescent="0.25">
      <c r="A1377" t="s">
        <v>167</v>
      </c>
      <c r="B1377" t="s">
        <v>4224</v>
      </c>
      <c r="E1377" s="1508" t="s">
        <v>4317</v>
      </c>
      <c r="F1377" s="1507"/>
      <c r="G1377" s="694"/>
      <c r="H1377" s="630">
        <v>1.0379</v>
      </c>
      <c r="V1377">
        <v>57</v>
      </c>
    </row>
    <row r="1378" spans="1:22" customFormat="1" ht="15" x14ac:dyDescent="0.25">
      <c r="A1378" t="s">
        <v>167</v>
      </c>
      <c r="B1378" t="s">
        <v>4224</v>
      </c>
      <c r="E1378" s="1508" t="s">
        <v>4318</v>
      </c>
      <c r="F1378" s="1507"/>
      <c r="G1378" s="694"/>
      <c r="H1378" s="650">
        <v>1.016</v>
      </c>
      <c r="V1378">
        <v>57</v>
      </c>
    </row>
    <row r="1379" spans="1:22" customFormat="1" ht="15" x14ac:dyDescent="0.25">
      <c r="A1379" t="s">
        <v>167</v>
      </c>
      <c r="B1379" t="s">
        <v>4224</v>
      </c>
      <c r="E1379" s="1508" t="s">
        <v>4319</v>
      </c>
      <c r="F1379" s="1507"/>
      <c r="G1379" s="694"/>
      <c r="H1379" s="630">
        <v>1.0276000000000001</v>
      </c>
      <c r="V1379">
        <v>55</v>
      </c>
    </row>
    <row r="1380" spans="1:22" customFormat="1" ht="15" x14ac:dyDescent="0.25">
      <c r="A1380" t="s">
        <v>167</v>
      </c>
      <c r="B1380" t="s">
        <v>4224</v>
      </c>
      <c r="E1380" s="1508" t="s">
        <v>4320</v>
      </c>
      <c r="F1380" s="1507"/>
      <c r="G1380" s="694"/>
      <c r="H1380" s="650">
        <v>1.006</v>
      </c>
      <c r="J1380" t="s">
        <v>4321</v>
      </c>
      <c r="V1380">
        <v>55</v>
      </c>
    </row>
    <row r="1381" spans="1:22" customFormat="1" ht="23.25" x14ac:dyDescent="0.25">
      <c r="A1381" t="s">
        <v>167</v>
      </c>
      <c r="B1381" t="s">
        <v>4322</v>
      </c>
      <c r="C1381" t="s">
        <v>3755</v>
      </c>
      <c r="E1381" s="1540" t="s">
        <v>167</v>
      </c>
      <c r="F1381" s="1540"/>
      <c r="G1381" s="1540"/>
      <c r="H1381" s="1540"/>
      <c r="I1381" t="s">
        <v>94</v>
      </c>
      <c r="J1381" t="s">
        <v>4323</v>
      </c>
      <c r="K1381" t="s">
        <v>167</v>
      </c>
      <c r="M1381">
        <v>9</v>
      </c>
      <c r="V1381">
        <v>29</v>
      </c>
    </row>
    <row r="1382" spans="1:22" customFormat="1" ht="23.25" x14ac:dyDescent="0.25">
      <c r="A1382" t="s">
        <v>167</v>
      </c>
      <c r="B1382" t="s">
        <v>4322</v>
      </c>
      <c r="C1382" t="s">
        <v>3757</v>
      </c>
      <c r="E1382" s="1541" t="s">
        <v>188</v>
      </c>
      <c r="F1382" s="1541"/>
      <c r="G1382" s="1541"/>
      <c r="H1382" s="1541"/>
      <c r="V1382">
        <v>21</v>
      </c>
    </row>
    <row r="1383" spans="1:22" customFormat="1" x14ac:dyDescent="0.25">
      <c r="A1383" t="s">
        <v>167</v>
      </c>
      <c r="B1383" t="s">
        <v>4322</v>
      </c>
      <c r="C1383" t="s">
        <v>3758</v>
      </c>
      <c r="E1383" s="1542" t="s">
        <v>944</v>
      </c>
      <c r="F1383" s="1542"/>
      <c r="G1383" s="1542"/>
      <c r="H1383" s="1542"/>
      <c r="V1383">
        <v>27</v>
      </c>
    </row>
    <row r="1384" spans="1:22" customFormat="1" ht="15.75" x14ac:dyDescent="0.25">
      <c r="A1384" t="s">
        <v>167</v>
      </c>
      <c r="B1384" t="s">
        <v>4322</v>
      </c>
      <c r="C1384" t="s">
        <v>3759</v>
      </c>
      <c r="E1384" s="1669" t="s">
        <v>6511</v>
      </c>
      <c r="F1384" s="1669"/>
      <c r="G1384" s="1669"/>
      <c r="H1384" s="1669"/>
      <c r="S1384">
        <v>45658</v>
      </c>
      <c r="V1384">
        <v>49</v>
      </c>
    </row>
    <row r="1385" spans="1:22" customFormat="1" ht="15" x14ac:dyDescent="0.25">
      <c r="A1385" t="s">
        <v>167</v>
      </c>
      <c r="B1385" t="s">
        <v>4322</v>
      </c>
      <c r="E1385" s="1630" t="s">
        <v>3921</v>
      </c>
      <c r="F1385" s="1630"/>
      <c r="G1385" s="1630"/>
      <c r="H1385" s="1630"/>
      <c r="V1385">
        <v>53</v>
      </c>
    </row>
    <row r="1386" spans="1:22" customFormat="1" ht="15" x14ac:dyDescent="0.25">
      <c r="A1386" t="s">
        <v>167</v>
      </c>
      <c r="B1386" t="s">
        <v>4322</v>
      </c>
      <c r="E1386" s="1630" t="s">
        <v>946</v>
      </c>
      <c r="F1386" s="1630"/>
      <c r="G1386" s="1630"/>
      <c r="H1386" s="1630"/>
      <c r="V1386">
        <v>53</v>
      </c>
    </row>
    <row r="1387" spans="1:22" customFormat="1" ht="15" x14ac:dyDescent="0.25">
      <c r="A1387" t="s">
        <v>167</v>
      </c>
      <c r="B1387" t="s">
        <v>4322</v>
      </c>
      <c r="E1387" s="1513" t="s">
        <v>6518</v>
      </c>
      <c r="F1387" s="1513"/>
      <c r="G1387" s="1513"/>
      <c r="H1387" s="1513"/>
      <c r="K1387" t="s">
        <v>6518</v>
      </c>
      <c r="V1387">
        <v>12</v>
      </c>
    </row>
    <row r="1388" spans="1:22" customFormat="1" ht="15" x14ac:dyDescent="0.25">
      <c r="A1388" t="s">
        <v>167</v>
      </c>
      <c r="B1388" t="s">
        <v>4322</v>
      </c>
      <c r="E1388" s="1527" t="s">
        <v>170</v>
      </c>
      <c r="F1388" s="1720"/>
      <c r="G1388" s="1720"/>
      <c r="H1388" s="1720"/>
      <c r="K1388" t="s">
        <v>947</v>
      </c>
      <c r="V1388">
        <v>34</v>
      </c>
    </row>
    <row r="1389" spans="1:22" customFormat="1" ht="15" x14ac:dyDescent="0.25">
      <c r="A1389" t="s">
        <v>167</v>
      </c>
      <c r="B1389" t="s">
        <v>4322</v>
      </c>
      <c r="E1389" s="1516" t="s">
        <v>4324</v>
      </c>
      <c r="F1389" s="1516"/>
      <c r="G1389" s="1516"/>
      <c r="H1389" s="1516"/>
      <c r="K1389" t="s">
        <v>947</v>
      </c>
      <c r="V1389">
        <v>772</v>
      </c>
    </row>
    <row r="1390" spans="1:22" customFormat="1" ht="15" x14ac:dyDescent="0.25">
      <c r="A1390" t="s">
        <v>167</v>
      </c>
      <c r="B1390" t="s">
        <v>4322</v>
      </c>
      <c r="E1390" s="1515" t="s">
        <v>950</v>
      </c>
      <c r="F1390" s="1549"/>
      <c r="G1390" s="1516"/>
      <c r="H1390" s="1516"/>
      <c r="K1390" t="s">
        <v>949</v>
      </c>
      <c r="V1390">
        <v>11</v>
      </c>
    </row>
    <row r="1391" spans="1:22" customFormat="1" ht="15" x14ac:dyDescent="0.25">
      <c r="A1391" t="s">
        <v>167</v>
      </c>
      <c r="B1391" t="s">
        <v>4322</v>
      </c>
      <c r="E1391" s="1516" t="s">
        <v>951</v>
      </c>
      <c r="F1391" s="1516"/>
      <c r="G1391" s="1516"/>
      <c r="H1391" s="1516"/>
      <c r="K1391" t="s">
        <v>947</v>
      </c>
      <c r="V1391">
        <v>280</v>
      </c>
    </row>
    <row r="1392" spans="1:22" customFormat="1" ht="15" x14ac:dyDescent="0.25">
      <c r="A1392" t="s">
        <v>167</v>
      </c>
      <c r="B1392" t="s">
        <v>4322</v>
      </c>
      <c r="E1392" s="1516" t="s">
        <v>952</v>
      </c>
      <c r="F1392" s="1516"/>
      <c r="G1392" s="1516"/>
      <c r="H1392" s="1516"/>
      <c r="K1392" t="s">
        <v>947</v>
      </c>
      <c r="V1392">
        <v>411</v>
      </c>
    </row>
    <row r="1393" spans="1:22" customFormat="1" ht="15" x14ac:dyDescent="0.25">
      <c r="A1393" t="s">
        <v>167</v>
      </c>
      <c r="B1393" t="s">
        <v>4322</v>
      </c>
      <c r="E1393" s="1516" t="s">
        <v>4231</v>
      </c>
      <c r="F1393" s="1516"/>
      <c r="G1393" s="1516"/>
      <c r="H1393" s="1516"/>
      <c r="K1393" t="s">
        <v>947</v>
      </c>
      <c r="V1393">
        <v>387</v>
      </c>
    </row>
    <row r="1394" spans="1:22" customFormat="1" ht="15" x14ac:dyDescent="0.25">
      <c r="A1394" t="s">
        <v>167</v>
      </c>
      <c r="B1394" t="s">
        <v>4322</v>
      </c>
      <c r="E1394" s="1516" t="s">
        <v>954</v>
      </c>
      <c r="F1394" s="1516"/>
      <c r="G1394" s="1516"/>
      <c r="H1394" s="1516"/>
      <c r="K1394" t="s">
        <v>947</v>
      </c>
      <c r="V1394">
        <v>246</v>
      </c>
    </row>
    <row r="1395" spans="1:22" customFormat="1" ht="15" x14ac:dyDescent="0.25">
      <c r="A1395" t="s">
        <v>167</v>
      </c>
      <c r="B1395" t="s">
        <v>4322</v>
      </c>
      <c r="E1395" s="1553" t="s">
        <v>4227</v>
      </c>
      <c r="F1395" s="1613"/>
      <c r="G1395" s="1613"/>
      <c r="H1395" s="1613"/>
      <c r="K1395" t="s">
        <v>955</v>
      </c>
      <c r="V1395">
        <v>46</v>
      </c>
    </row>
    <row r="1396" spans="1:22" customFormat="1" ht="15" x14ac:dyDescent="0.25">
      <c r="A1396" t="s">
        <v>167</v>
      </c>
      <c r="B1396" t="s">
        <v>4322</v>
      </c>
      <c r="E1396" s="1507" t="s">
        <v>3773</v>
      </c>
      <c r="F1396" s="1507"/>
      <c r="G1396" s="584" t="s">
        <v>777</v>
      </c>
      <c r="H1396" s="650">
        <v>33.299999999999997</v>
      </c>
      <c r="K1396" t="s">
        <v>947</v>
      </c>
      <c r="L1396" t="s">
        <v>690</v>
      </c>
      <c r="P1396" t="s">
        <v>957</v>
      </c>
      <c r="V1396">
        <v>14</v>
      </c>
    </row>
    <row r="1397" spans="1:22" customFormat="1" ht="15" x14ac:dyDescent="0.25">
      <c r="A1397" t="s">
        <v>167</v>
      </c>
      <c r="B1397" t="s">
        <v>4322</v>
      </c>
      <c r="E1397" s="1507" t="s">
        <v>6554</v>
      </c>
      <c r="F1397" s="1507"/>
      <c r="G1397" s="584" t="s">
        <v>777</v>
      </c>
      <c r="H1397" s="650">
        <v>0.16</v>
      </c>
      <c r="K1397" t="s">
        <v>947</v>
      </c>
      <c r="L1397" t="s">
        <v>690</v>
      </c>
      <c r="P1397" t="s">
        <v>4325</v>
      </c>
      <c r="V1397">
        <v>164</v>
      </c>
    </row>
    <row r="1398" spans="1:22" customFormat="1" ht="15" x14ac:dyDescent="0.25">
      <c r="A1398" t="s">
        <v>167</v>
      </c>
      <c r="B1398" t="s">
        <v>4322</v>
      </c>
      <c r="E1398" s="1507" t="s">
        <v>6555</v>
      </c>
      <c r="F1398" s="1507"/>
      <c r="G1398" s="584" t="s">
        <v>777</v>
      </c>
      <c r="H1398" s="650">
        <v>0.15</v>
      </c>
      <c r="K1398" t="s">
        <v>947</v>
      </c>
      <c r="L1398" t="s">
        <v>690</v>
      </c>
      <c r="P1398" t="s">
        <v>4326</v>
      </c>
      <c r="V1398">
        <v>135</v>
      </c>
    </row>
    <row r="1399" spans="1:22" customFormat="1" ht="15" x14ac:dyDescent="0.25">
      <c r="A1399" t="s">
        <v>167</v>
      </c>
      <c r="B1399" t="s">
        <v>4322</v>
      </c>
      <c r="E1399" s="1507" t="s">
        <v>6556</v>
      </c>
      <c r="F1399" s="1507"/>
      <c r="G1399" s="584" t="s">
        <v>777</v>
      </c>
      <c r="H1399" s="650">
        <v>0.03</v>
      </c>
      <c r="K1399" t="s">
        <v>947</v>
      </c>
      <c r="L1399" t="s">
        <v>690</v>
      </c>
      <c r="P1399" t="s">
        <v>4327</v>
      </c>
      <c r="V1399">
        <v>142</v>
      </c>
    </row>
    <row r="1400" spans="1:22" customFormat="1" ht="15" x14ac:dyDescent="0.25">
      <c r="A1400" t="s">
        <v>167</v>
      </c>
      <c r="B1400" t="s">
        <v>4322</v>
      </c>
      <c r="E1400" s="1507" t="s">
        <v>6557</v>
      </c>
      <c r="F1400" s="1507"/>
      <c r="G1400" s="584" t="s">
        <v>777</v>
      </c>
      <c r="H1400" s="650">
        <v>0.18</v>
      </c>
      <c r="K1400" t="s">
        <v>947</v>
      </c>
      <c r="L1400" t="s">
        <v>690</v>
      </c>
      <c r="P1400" t="s">
        <v>4328</v>
      </c>
      <c r="V1400">
        <v>161</v>
      </c>
    </row>
    <row r="1401" spans="1:22" customFormat="1" ht="15" x14ac:dyDescent="0.25">
      <c r="A1401" t="s">
        <v>167</v>
      </c>
      <c r="B1401" t="s">
        <v>4322</v>
      </c>
      <c r="E1401" s="1507" t="s">
        <v>6558</v>
      </c>
      <c r="F1401" s="1507"/>
      <c r="G1401" s="584" t="s">
        <v>777</v>
      </c>
      <c r="H1401" s="698">
        <v>0.11</v>
      </c>
      <c r="K1401" t="s">
        <v>947</v>
      </c>
      <c r="L1401" t="s">
        <v>690</v>
      </c>
      <c r="P1401" t="s">
        <v>6559</v>
      </c>
      <c r="V1401">
        <v>142</v>
      </c>
    </row>
    <row r="1402" spans="1:22" customFormat="1" ht="15" x14ac:dyDescent="0.25">
      <c r="A1402" t="s">
        <v>167</v>
      </c>
      <c r="B1402" t="s">
        <v>4322</v>
      </c>
      <c r="E1402" s="1507" t="s">
        <v>960</v>
      </c>
      <c r="F1402" s="1507"/>
      <c r="G1402" s="584" t="s">
        <v>777</v>
      </c>
      <c r="H1402" s="698">
        <v>0.42</v>
      </c>
      <c r="K1402" t="s">
        <v>947</v>
      </c>
      <c r="L1402" t="s">
        <v>692</v>
      </c>
      <c r="P1402" t="s">
        <v>959</v>
      </c>
      <c r="V1402">
        <v>64</v>
      </c>
    </row>
    <row r="1403" spans="1:22" customFormat="1" ht="15" x14ac:dyDescent="0.25">
      <c r="A1403" t="s">
        <v>167</v>
      </c>
      <c r="B1403" t="s">
        <v>4322</v>
      </c>
      <c r="E1403" s="1507" t="s">
        <v>4086</v>
      </c>
      <c r="F1403" s="1507"/>
      <c r="G1403" s="584" t="s">
        <v>845</v>
      </c>
      <c r="H1403" s="698">
        <v>6.9999999999999999E-4</v>
      </c>
      <c r="K1403" t="s">
        <v>947</v>
      </c>
      <c r="L1403" t="s">
        <v>692</v>
      </c>
      <c r="P1403" t="s">
        <v>961</v>
      </c>
      <c r="V1403">
        <v>25</v>
      </c>
    </row>
    <row r="1404" spans="1:22" customFormat="1" ht="15" x14ac:dyDescent="0.25">
      <c r="A1404" t="s">
        <v>167</v>
      </c>
      <c r="B1404" t="s">
        <v>4322</v>
      </c>
      <c r="E1404" s="1507" t="s">
        <v>6560</v>
      </c>
      <c r="F1404" s="1510"/>
      <c r="G1404" s="584" t="s">
        <v>845</v>
      </c>
      <c r="H1404" s="698">
        <v>3.2000000000000002E-3</v>
      </c>
      <c r="K1404" t="s">
        <v>947</v>
      </c>
      <c r="L1404" t="s">
        <v>692</v>
      </c>
      <c r="P1404" t="s">
        <v>962</v>
      </c>
      <c r="T1404">
        <v>46022</v>
      </c>
      <c r="V1404">
        <v>143</v>
      </c>
    </row>
    <row r="1405" spans="1:22" customFormat="1" ht="15" x14ac:dyDescent="0.25">
      <c r="A1405" t="s">
        <v>167</v>
      </c>
      <c r="B1405" t="s">
        <v>4322</v>
      </c>
      <c r="E1405" s="1507" t="s">
        <v>6520</v>
      </c>
      <c r="F1405" s="1510"/>
      <c r="G1405" s="584" t="s">
        <v>845</v>
      </c>
      <c r="H1405" s="698">
        <v>-6.9999999999999999E-4</v>
      </c>
      <c r="K1405" t="s">
        <v>947</v>
      </c>
      <c r="L1405" t="s">
        <v>692</v>
      </c>
      <c r="P1405" t="s">
        <v>963</v>
      </c>
      <c r="T1405">
        <v>46022</v>
      </c>
      <c r="V1405">
        <v>99</v>
      </c>
    </row>
    <row r="1406" spans="1:22" customFormat="1" ht="15" x14ac:dyDescent="0.25">
      <c r="A1406" t="s">
        <v>167</v>
      </c>
      <c r="B1406" t="s">
        <v>4322</v>
      </c>
      <c r="E1406" s="1507" t="s">
        <v>6521</v>
      </c>
      <c r="F1406" s="1510"/>
      <c r="G1406" s="584" t="s">
        <v>845</v>
      </c>
      <c r="H1406" s="698">
        <v>2.0000000000000001E-4</v>
      </c>
      <c r="K1406" t="s">
        <v>947</v>
      </c>
      <c r="L1406" t="s">
        <v>692</v>
      </c>
      <c r="P1406" t="s">
        <v>3764</v>
      </c>
      <c r="T1406">
        <v>46022</v>
      </c>
      <c r="V1406">
        <v>149</v>
      </c>
    </row>
    <row r="1407" spans="1:22" customFormat="1" ht="15" x14ac:dyDescent="0.25">
      <c r="A1407" t="s">
        <v>167</v>
      </c>
      <c r="B1407" t="s">
        <v>4322</v>
      </c>
      <c r="E1407" s="1507" t="s">
        <v>243</v>
      </c>
      <c r="F1407" s="1507"/>
      <c r="G1407" s="584" t="s">
        <v>845</v>
      </c>
      <c r="H1407" s="650">
        <v>1.2800000000000001E-2</v>
      </c>
      <c r="K1407" t="s">
        <v>947</v>
      </c>
      <c r="L1407" t="s">
        <v>694</v>
      </c>
      <c r="P1407" t="s">
        <v>964</v>
      </c>
      <c r="V1407">
        <v>47</v>
      </c>
    </row>
    <row r="1408" spans="1:22" customFormat="1" ht="15" x14ac:dyDescent="0.25">
      <c r="A1408" t="s">
        <v>167</v>
      </c>
      <c r="B1408" t="s">
        <v>4322</v>
      </c>
      <c r="E1408" s="1507" t="s">
        <v>175</v>
      </c>
      <c r="F1408" s="1507"/>
      <c r="G1408" s="584" t="s">
        <v>845</v>
      </c>
      <c r="H1408" s="650">
        <v>4.8999999999999998E-3</v>
      </c>
      <c r="K1408" t="s">
        <v>947</v>
      </c>
      <c r="L1408" t="s">
        <v>694</v>
      </c>
      <c r="P1408" t="s">
        <v>965</v>
      </c>
      <c r="V1408">
        <v>74</v>
      </c>
    </row>
    <row r="1409" spans="1:22" customFormat="1" ht="15" x14ac:dyDescent="0.25">
      <c r="A1409" t="s">
        <v>167</v>
      </c>
      <c r="B1409" t="s">
        <v>4322</v>
      </c>
      <c r="E1409" s="1515" t="s">
        <v>4228</v>
      </c>
      <c r="F1409" s="1612"/>
      <c r="G1409" s="584"/>
      <c r="H1409" s="393"/>
      <c r="K1409" t="s">
        <v>966</v>
      </c>
      <c r="V1409">
        <v>48</v>
      </c>
    </row>
    <row r="1410" spans="1:22" customFormat="1" ht="15" x14ac:dyDescent="0.25">
      <c r="A1410" t="s">
        <v>167</v>
      </c>
      <c r="B1410" t="s">
        <v>4322</v>
      </c>
      <c r="E1410" s="1507" t="s">
        <v>844</v>
      </c>
      <c r="F1410" s="1507"/>
      <c r="G1410" s="584" t="s">
        <v>845</v>
      </c>
      <c r="H1410" s="650">
        <v>4.1000000000000003E-3</v>
      </c>
      <c r="K1410" t="s">
        <v>947</v>
      </c>
      <c r="L1410" t="s">
        <v>968</v>
      </c>
      <c r="P1410" t="s">
        <v>969</v>
      </c>
      <c r="V1410">
        <v>55</v>
      </c>
    </row>
    <row r="1411" spans="1:22" customFormat="1" ht="15" x14ac:dyDescent="0.25">
      <c r="A1411" t="s">
        <v>167</v>
      </c>
      <c r="B1411" t="s">
        <v>4322</v>
      </c>
      <c r="E1411" s="1507" t="s">
        <v>846</v>
      </c>
      <c r="F1411" s="1507"/>
      <c r="G1411" s="584" t="s">
        <v>845</v>
      </c>
      <c r="H1411" s="698">
        <v>4.0000000000000002E-4</v>
      </c>
      <c r="K1411" t="s">
        <v>947</v>
      </c>
      <c r="L1411" t="s">
        <v>968</v>
      </c>
      <c r="P1411" t="s">
        <v>969</v>
      </c>
      <c r="V1411">
        <v>65</v>
      </c>
    </row>
    <row r="1412" spans="1:22" customFormat="1" ht="15" x14ac:dyDescent="0.25">
      <c r="A1412" t="s">
        <v>167</v>
      </c>
      <c r="B1412" t="s">
        <v>4322</v>
      </c>
      <c r="E1412" s="1507" t="s">
        <v>847</v>
      </c>
      <c r="F1412" s="1507"/>
      <c r="G1412" s="584" t="s">
        <v>845</v>
      </c>
      <c r="H1412" s="698">
        <v>1.5E-3</v>
      </c>
      <c r="K1412" t="s">
        <v>947</v>
      </c>
      <c r="L1412" t="s">
        <v>968</v>
      </c>
      <c r="P1412" t="s">
        <v>970</v>
      </c>
      <c r="V1412">
        <v>57</v>
      </c>
    </row>
    <row r="1413" spans="1:22" customFormat="1" ht="15" x14ac:dyDescent="0.25">
      <c r="A1413" t="s">
        <v>167</v>
      </c>
      <c r="B1413" t="s">
        <v>4322</v>
      </c>
      <c r="E1413" s="1507" t="s">
        <v>848</v>
      </c>
      <c r="F1413" s="1507"/>
      <c r="G1413" s="584" t="s">
        <v>777</v>
      </c>
      <c r="H1413" s="650">
        <v>0.25</v>
      </c>
      <c r="K1413" t="s">
        <v>947</v>
      </c>
      <c r="L1413" t="s">
        <v>968</v>
      </c>
      <c r="P1413" t="s">
        <v>971</v>
      </c>
      <c r="V1413">
        <v>63</v>
      </c>
    </row>
    <row r="1414" spans="1:22" customFormat="1" x14ac:dyDescent="0.25">
      <c r="A1414" t="s">
        <v>167</v>
      </c>
      <c r="B1414" t="s">
        <v>4322</v>
      </c>
      <c r="E1414" s="1527" t="s">
        <v>174</v>
      </c>
      <c r="F1414" s="1527"/>
      <c r="G1414" s="1527"/>
      <c r="H1414" s="1527"/>
      <c r="K1414" t="s">
        <v>972</v>
      </c>
      <c r="V1414">
        <v>54</v>
      </c>
    </row>
    <row r="1415" spans="1:22" customFormat="1" ht="15" x14ac:dyDescent="0.25">
      <c r="A1415" t="s">
        <v>167</v>
      </c>
      <c r="B1415" t="s">
        <v>4322</v>
      </c>
      <c r="E1415" s="1516" t="s">
        <v>4329</v>
      </c>
      <c r="F1415" s="1516"/>
      <c r="G1415" s="1516"/>
      <c r="H1415" s="1516"/>
      <c r="K1415" t="s">
        <v>972</v>
      </c>
      <c r="V1415">
        <v>333</v>
      </c>
    </row>
    <row r="1416" spans="1:22" customFormat="1" ht="15" x14ac:dyDescent="0.25">
      <c r="A1416" t="s">
        <v>167</v>
      </c>
      <c r="B1416" t="s">
        <v>4322</v>
      </c>
      <c r="E1416" s="1515" t="s">
        <v>950</v>
      </c>
      <c r="F1416" s="1549"/>
      <c r="G1416" s="1549"/>
      <c r="H1416" s="1549"/>
      <c r="K1416" t="s">
        <v>974</v>
      </c>
      <c r="V1416">
        <v>11</v>
      </c>
    </row>
    <row r="1417" spans="1:22" customFormat="1" ht="15" x14ac:dyDescent="0.25">
      <c r="A1417" t="s">
        <v>167</v>
      </c>
      <c r="B1417" t="s">
        <v>4322</v>
      </c>
      <c r="E1417" s="1516" t="s">
        <v>951</v>
      </c>
      <c r="F1417" s="1516"/>
      <c r="G1417" s="1516"/>
      <c r="H1417" s="1516"/>
      <c r="K1417" t="s">
        <v>972</v>
      </c>
      <c r="V1417">
        <v>280</v>
      </c>
    </row>
    <row r="1418" spans="1:22" customFormat="1" ht="15" x14ac:dyDescent="0.25">
      <c r="A1418" t="s">
        <v>167</v>
      </c>
      <c r="B1418" t="s">
        <v>4322</v>
      </c>
      <c r="E1418" s="1516" t="s">
        <v>952</v>
      </c>
      <c r="F1418" s="1516"/>
      <c r="G1418" s="1516"/>
      <c r="H1418" s="1516"/>
      <c r="K1418" t="s">
        <v>972</v>
      </c>
      <c r="V1418">
        <v>411</v>
      </c>
    </row>
    <row r="1419" spans="1:22" customFormat="1" ht="15" x14ac:dyDescent="0.25">
      <c r="A1419" t="s">
        <v>167</v>
      </c>
      <c r="B1419" t="s">
        <v>4322</v>
      </c>
      <c r="E1419" s="1516" t="s">
        <v>4231</v>
      </c>
      <c r="F1419" s="1516"/>
      <c r="G1419" s="1516"/>
      <c r="H1419" s="1516"/>
      <c r="K1419" t="s">
        <v>972</v>
      </c>
      <c r="V1419">
        <v>387</v>
      </c>
    </row>
    <row r="1420" spans="1:22" customFormat="1" ht="15" x14ac:dyDescent="0.25">
      <c r="A1420" t="s">
        <v>167</v>
      </c>
      <c r="B1420" t="s">
        <v>4322</v>
      </c>
      <c r="E1420" s="1516" t="s">
        <v>954</v>
      </c>
      <c r="F1420" s="1516"/>
      <c r="G1420" s="1516"/>
      <c r="H1420" s="1516"/>
      <c r="K1420" t="s">
        <v>972</v>
      </c>
      <c r="V1420">
        <v>246</v>
      </c>
    </row>
    <row r="1421" spans="1:22" customFormat="1" ht="15" x14ac:dyDescent="0.25">
      <c r="A1421" t="s">
        <v>167</v>
      </c>
      <c r="B1421" t="s">
        <v>4322</v>
      </c>
      <c r="E1421" s="1553" t="s">
        <v>4227</v>
      </c>
      <c r="F1421" s="1613"/>
      <c r="G1421" s="1613"/>
      <c r="H1421" s="1613"/>
      <c r="K1421" t="s">
        <v>975</v>
      </c>
      <c r="V1421">
        <v>46</v>
      </c>
    </row>
    <row r="1422" spans="1:22" customFormat="1" ht="15" x14ac:dyDescent="0.25">
      <c r="A1422" t="s">
        <v>167</v>
      </c>
      <c r="B1422" t="s">
        <v>4322</v>
      </c>
      <c r="E1422" s="1507" t="s">
        <v>3773</v>
      </c>
      <c r="F1422" s="1507"/>
      <c r="G1422" s="584" t="s">
        <v>777</v>
      </c>
      <c r="H1422" s="650">
        <v>34.979999999999997</v>
      </c>
      <c r="K1422" t="s">
        <v>972</v>
      </c>
      <c r="L1422" t="s">
        <v>690</v>
      </c>
      <c r="P1422" t="s">
        <v>976</v>
      </c>
      <c r="V1422">
        <v>14</v>
      </c>
    </row>
    <row r="1423" spans="1:22" customFormat="1" ht="15" x14ac:dyDescent="0.25">
      <c r="A1423" t="s">
        <v>167</v>
      </c>
      <c r="B1423" t="s">
        <v>4322</v>
      </c>
      <c r="E1423" s="1507" t="s">
        <v>6554</v>
      </c>
      <c r="F1423" s="1507"/>
      <c r="G1423" s="584" t="s">
        <v>777</v>
      </c>
      <c r="H1423" s="650">
        <v>0.17</v>
      </c>
      <c r="K1423" t="s">
        <v>972</v>
      </c>
      <c r="L1423" t="s">
        <v>690</v>
      </c>
      <c r="P1423" t="s">
        <v>4330</v>
      </c>
      <c r="V1423">
        <v>164</v>
      </c>
    </row>
    <row r="1424" spans="1:22" customFormat="1" ht="15" x14ac:dyDescent="0.25">
      <c r="A1424" t="s">
        <v>167</v>
      </c>
      <c r="B1424" t="s">
        <v>4322</v>
      </c>
      <c r="E1424" s="1507" t="s">
        <v>6561</v>
      </c>
      <c r="F1424" s="1507"/>
      <c r="G1424" s="584" t="s">
        <v>777</v>
      </c>
      <c r="H1424" s="650">
        <v>0.16</v>
      </c>
      <c r="K1424" t="s">
        <v>972</v>
      </c>
      <c r="L1424" t="s">
        <v>690</v>
      </c>
      <c r="P1424" t="s">
        <v>4331</v>
      </c>
      <c r="V1424">
        <v>143</v>
      </c>
    </row>
    <row r="1425" spans="1:22" customFormat="1" ht="15" x14ac:dyDescent="0.25">
      <c r="A1425" t="s">
        <v>167</v>
      </c>
      <c r="B1425" t="s">
        <v>4322</v>
      </c>
      <c r="E1425" s="1507" t="s">
        <v>6556</v>
      </c>
      <c r="F1425" s="1507"/>
      <c r="G1425" s="584" t="s">
        <v>777</v>
      </c>
      <c r="H1425" s="650">
        <v>0.03</v>
      </c>
      <c r="K1425" t="s">
        <v>972</v>
      </c>
      <c r="L1425" t="s">
        <v>690</v>
      </c>
      <c r="P1425" t="s">
        <v>4332</v>
      </c>
      <c r="V1425">
        <v>142</v>
      </c>
    </row>
    <row r="1426" spans="1:22" customFormat="1" ht="15" x14ac:dyDescent="0.25">
      <c r="A1426" t="s">
        <v>167</v>
      </c>
      <c r="B1426" t="s">
        <v>4322</v>
      </c>
      <c r="E1426" s="1507" t="s">
        <v>6557</v>
      </c>
      <c r="F1426" s="1507"/>
      <c r="G1426" s="584" t="s">
        <v>777</v>
      </c>
      <c r="H1426" s="650">
        <v>0.19</v>
      </c>
      <c r="K1426" t="s">
        <v>972</v>
      </c>
      <c r="L1426" t="s">
        <v>690</v>
      </c>
      <c r="P1426" t="s">
        <v>6562</v>
      </c>
      <c r="V1426">
        <v>161</v>
      </c>
    </row>
    <row r="1427" spans="1:22" customFormat="1" ht="15" x14ac:dyDescent="0.25">
      <c r="A1427" t="s">
        <v>167</v>
      </c>
      <c r="B1427" t="s">
        <v>4322</v>
      </c>
      <c r="E1427" s="1507" t="s">
        <v>6558</v>
      </c>
      <c r="F1427" s="1507"/>
      <c r="G1427" s="584" t="s">
        <v>777</v>
      </c>
      <c r="H1427" s="698">
        <v>0.12</v>
      </c>
      <c r="K1427" t="s">
        <v>972</v>
      </c>
      <c r="L1427" t="s">
        <v>690</v>
      </c>
      <c r="P1427" t="s">
        <v>5674</v>
      </c>
      <c r="V1427">
        <v>142</v>
      </c>
    </row>
    <row r="1428" spans="1:22" customFormat="1" ht="15" x14ac:dyDescent="0.25">
      <c r="A1428" t="s">
        <v>167</v>
      </c>
      <c r="B1428" t="s">
        <v>4322</v>
      </c>
      <c r="E1428" s="1526" t="s">
        <v>960</v>
      </c>
      <c r="F1428" s="1526"/>
      <c r="G1428" s="393" t="s">
        <v>777</v>
      </c>
      <c r="H1428" s="698">
        <v>0.42</v>
      </c>
      <c r="K1428" t="s">
        <v>972</v>
      </c>
      <c r="L1428" t="s">
        <v>692</v>
      </c>
      <c r="P1428" t="s">
        <v>977</v>
      </c>
      <c r="V1428">
        <v>64</v>
      </c>
    </row>
    <row r="1429" spans="1:22" customFormat="1" ht="15" x14ac:dyDescent="0.25">
      <c r="A1429" t="s">
        <v>167</v>
      </c>
      <c r="B1429" t="s">
        <v>4322</v>
      </c>
      <c r="E1429" s="1507" t="s">
        <v>3688</v>
      </c>
      <c r="F1429" s="1507"/>
      <c r="G1429" s="584" t="s">
        <v>845</v>
      </c>
      <c r="H1429" s="650">
        <v>2.23E-2</v>
      </c>
      <c r="K1429" t="s">
        <v>972</v>
      </c>
      <c r="L1429" t="s">
        <v>690</v>
      </c>
      <c r="P1429" t="s">
        <v>978</v>
      </c>
      <c r="V1429">
        <v>28</v>
      </c>
    </row>
    <row r="1430" spans="1:22" customFormat="1" ht="15" x14ac:dyDescent="0.25">
      <c r="A1430" t="s">
        <v>167</v>
      </c>
      <c r="B1430" t="s">
        <v>4322</v>
      </c>
      <c r="E1430" s="1507" t="s">
        <v>4086</v>
      </c>
      <c r="F1430" s="1507"/>
      <c r="G1430" s="584" t="s">
        <v>845</v>
      </c>
      <c r="H1430" s="650">
        <v>5.9999999999999995E-4</v>
      </c>
      <c r="K1430" t="s">
        <v>972</v>
      </c>
      <c r="L1430" t="s">
        <v>692</v>
      </c>
      <c r="P1430" t="s">
        <v>980</v>
      </c>
      <c r="V1430">
        <v>25</v>
      </c>
    </row>
    <row r="1431" spans="1:22" customFormat="1" ht="15" x14ac:dyDescent="0.25">
      <c r="A1431" t="s">
        <v>167</v>
      </c>
      <c r="B1431" t="s">
        <v>4322</v>
      </c>
      <c r="E1431" s="1507" t="s">
        <v>6519</v>
      </c>
      <c r="F1431" s="1510"/>
      <c r="G1431" s="584" t="s">
        <v>845</v>
      </c>
      <c r="H1431" s="650">
        <v>3.2000000000000002E-3</v>
      </c>
      <c r="K1431" t="s">
        <v>972</v>
      </c>
      <c r="L1431" t="s">
        <v>692</v>
      </c>
      <c r="P1431" t="s">
        <v>981</v>
      </c>
      <c r="T1431">
        <v>46022</v>
      </c>
      <c r="V1431">
        <v>142</v>
      </c>
    </row>
    <row r="1432" spans="1:22" customFormat="1" ht="15" x14ac:dyDescent="0.25">
      <c r="A1432" t="s">
        <v>167</v>
      </c>
      <c r="B1432" t="s">
        <v>4322</v>
      </c>
      <c r="E1432" s="1507" t="s">
        <v>6520</v>
      </c>
      <c r="F1432" s="1510"/>
      <c r="G1432" s="584" t="s">
        <v>845</v>
      </c>
      <c r="H1432" s="650">
        <v>-5.0000000000000001E-4</v>
      </c>
      <c r="K1432" t="s">
        <v>972</v>
      </c>
      <c r="L1432" t="s">
        <v>692</v>
      </c>
      <c r="P1432" t="s">
        <v>982</v>
      </c>
      <c r="T1432">
        <v>46022</v>
      </c>
      <c r="V1432">
        <v>99</v>
      </c>
    </row>
    <row r="1433" spans="1:22" customFormat="1" ht="15" x14ac:dyDescent="0.25">
      <c r="A1433" t="s">
        <v>167</v>
      </c>
      <c r="B1433" t="s">
        <v>4322</v>
      </c>
      <c r="E1433" s="1507" t="s">
        <v>6521</v>
      </c>
      <c r="F1433" s="1510"/>
      <c r="G1433" s="584" t="s">
        <v>845</v>
      </c>
      <c r="H1433" s="650">
        <v>2.0000000000000001E-4</v>
      </c>
      <c r="K1433" t="s">
        <v>972</v>
      </c>
      <c r="L1433" t="s">
        <v>692</v>
      </c>
      <c r="P1433" t="s">
        <v>3766</v>
      </c>
      <c r="T1433">
        <v>46022</v>
      </c>
      <c r="V1433">
        <v>149</v>
      </c>
    </row>
    <row r="1434" spans="1:22" customFormat="1" ht="15" x14ac:dyDescent="0.25">
      <c r="A1434" t="s">
        <v>167</v>
      </c>
      <c r="B1434" t="s">
        <v>4322</v>
      </c>
      <c r="E1434" s="1507" t="s">
        <v>6554</v>
      </c>
      <c r="F1434" s="1507"/>
      <c r="G1434" s="584" t="s">
        <v>845</v>
      </c>
      <c r="H1434" s="650">
        <v>1E-4</v>
      </c>
      <c r="K1434" t="s">
        <v>972</v>
      </c>
      <c r="L1434" t="s">
        <v>690</v>
      </c>
      <c r="P1434" t="s">
        <v>6563</v>
      </c>
      <c r="V1434">
        <v>164</v>
      </c>
    </row>
    <row r="1435" spans="1:22" customFormat="1" ht="15" x14ac:dyDescent="0.25">
      <c r="A1435" t="s">
        <v>167</v>
      </c>
      <c r="B1435" t="s">
        <v>4322</v>
      </c>
      <c r="E1435" s="1507" t="s">
        <v>6561</v>
      </c>
      <c r="F1435" s="1507"/>
      <c r="G1435" s="584" t="s">
        <v>845</v>
      </c>
      <c r="H1435" s="650">
        <v>1E-4</v>
      </c>
      <c r="K1435" t="s">
        <v>972</v>
      </c>
      <c r="L1435" t="s">
        <v>690</v>
      </c>
      <c r="P1435" t="s">
        <v>6564</v>
      </c>
      <c r="V1435">
        <v>143</v>
      </c>
    </row>
    <row r="1436" spans="1:22" customFormat="1" ht="15" x14ac:dyDescent="0.25">
      <c r="A1436" t="s">
        <v>167</v>
      </c>
      <c r="B1436" t="s">
        <v>4322</v>
      </c>
      <c r="E1436" s="1507" t="s">
        <v>6557</v>
      </c>
      <c r="F1436" s="1507"/>
      <c r="G1436" s="584" t="s">
        <v>845</v>
      </c>
      <c r="H1436" s="650">
        <v>1E-4</v>
      </c>
      <c r="K1436" t="s">
        <v>972</v>
      </c>
      <c r="L1436" t="s">
        <v>690</v>
      </c>
      <c r="P1436" t="s">
        <v>5973</v>
      </c>
      <c r="V1436">
        <v>161</v>
      </c>
    </row>
    <row r="1437" spans="1:22" customFormat="1" ht="15" x14ac:dyDescent="0.25">
      <c r="A1437" t="s">
        <v>167</v>
      </c>
      <c r="B1437" t="s">
        <v>4322</v>
      </c>
      <c r="E1437" s="1507" t="s">
        <v>6558</v>
      </c>
      <c r="F1437" s="1507"/>
      <c r="G1437" s="584" t="s">
        <v>845</v>
      </c>
      <c r="H1437" s="650">
        <v>1E-4</v>
      </c>
      <c r="K1437" t="s">
        <v>972</v>
      </c>
      <c r="L1437" t="s">
        <v>690</v>
      </c>
      <c r="P1437" t="s">
        <v>6565</v>
      </c>
      <c r="V1437">
        <v>142</v>
      </c>
    </row>
    <row r="1438" spans="1:22" customFormat="1" ht="15" x14ac:dyDescent="0.25">
      <c r="A1438" t="s">
        <v>167</v>
      </c>
      <c r="B1438" t="s">
        <v>4322</v>
      </c>
      <c r="E1438" s="1507" t="s">
        <v>6531</v>
      </c>
      <c r="F1438" s="1507"/>
      <c r="G1438" s="584" t="s">
        <v>845</v>
      </c>
      <c r="H1438" s="650">
        <v>5.9999999999999995E-4</v>
      </c>
      <c r="K1438" t="s">
        <v>972</v>
      </c>
      <c r="L1438" t="s">
        <v>690</v>
      </c>
      <c r="P1438" t="s">
        <v>3931</v>
      </c>
      <c r="T1438">
        <v>46022</v>
      </c>
      <c r="V1438">
        <v>151</v>
      </c>
    </row>
    <row r="1439" spans="1:22" customFormat="1" ht="15" x14ac:dyDescent="0.25">
      <c r="A1439" t="s">
        <v>167</v>
      </c>
      <c r="B1439" t="s">
        <v>4322</v>
      </c>
      <c r="E1439" s="1507" t="s">
        <v>243</v>
      </c>
      <c r="F1439" s="1507"/>
      <c r="G1439" s="584" t="s">
        <v>845</v>
      </c>
      <c r="H1439" s="650">
        <v>1.14E-2</v>
      </c>
      <c r="K1439" t="s">
        <v>972</v>
      </c>
      <c r="L1439" t="s">
        <v>694</v>
      </c>
      <c r="P1439" t="s">
        <v>983</v>
      </c>
      <c r="V1439">
        <v>47</v>
      </c>
    </row>
    <row r="1440" spans="1:22" customFormat="1" ht="15" x14ac:dyDescent="0.25">
      <c r="A1440" t="s">
        <v>167</v>
      </c>
      <c r="B1440" t="s">
        <v>4322</v>
      </c>
      <c r="E1440" s="1507" t="s">
        <v>175</v>
      </c>
      <c r="F1440" s="1507"/>
      <c r="G1440" s="584" t="s">
        <v>845</v>
      </c>
      <c r="H1440" s="650">
        <v>4.4000000000000003E-3</v>
      </c>
      <c r="K1440" t="s">
        <v>972</v>
      </c>
      <c r="L1440" t="s">
        <v>694</v>
      </c>
      <c r="P1440" t="s">
        <v>984</v>
      </c>
      <c r="V1440">
        <v>74</v>
      </c>
    </row>
    <row r="1441" spans="1:22" customFormat="1" ht="15" x14ac:dyDescent="0.25">
      <c r="A1441" t="s">
        <v>167</v>
      </c>
      <c r="B1441" t="s">
        <v>4322</v>
      </c>
      <c r="E1441" s="1515" t="s">
        <v>4228</v>
      </c>
      <c r="F1441" s="1612"/>
      <c r="G1441" s="584"/>
      <c r="H1441" s="393"/>
      <c r="K1441" t="s">
        <v>985</v>
      </c>
      <c r="V1441">
        <v>48</v>
      </c>
    </row>
    <row r="1442" spans="1:22" customFormat="1" ht="15" x14ac:dyDescent="0.25">
      <c r="A1442" t="s">
        <v>167</v>
      </c>
      <c r="B1442" t="s">
        <v>4322</v>
      </c>
      <c r="E1442" s="1507" t="s">
        <v>844</v>
      </c>
      <c r="F1442" s="1507"/>
      <c r="G1442" s="584" t="s">
        <v>845</v>
      </c>
      <c r="H1442" s="650">
        <v>4.1000000000000003E-3</v>
      </c>
      <c r="K1442" t="s">
        <v>972</v>
      </c>
      <c r="L1442" t="s">
        <v>968</v>
      </c>
      <c r="P1442" t="s">
        <v>986</v>
      </c>
      <c r="V1442">
        <v>55</v>
      </c>
    </row>
    <row r="1443" spans="1:22" customFormat="1" ht="15" x14ac:dyDescent="0.25">
      <c r="A1443" t="s">
        <v>167</v>
      </c>
      <c r="B1443" t="s">
        <v>4322</v>
      </c>
      <c r="E1443" s="1507" t="s">
        <v>846</v>
      </c>
      <c r="F1443" s="1507"/>
      <c r="G1443" s="584" t="s">
        <v>845</v>
      </c>
      <c r="H1443" s="698">
        <v>4.0000000000000002E-4</v>
      </c>
      <c r="K1443" t="s">
        <v>972</v>
      </c>
      <c r="L1443" t="s">
        <v>968</v>
      </c>
      <c r="P1443" t="s">
        <v>986</v>
      </c>
      <c r="V1443">
        <v>65</v>
      </c>
    </row>
    <row r="1444" spans="1:22" customFormat="1" ht="15" x14ac:dyDescent="0.25">
      <c r="A1444" t="s">
        <v>167</v>
      </c>
      <c r="B1444" t="s">
        <v>4322</v>
      </c>
      <c r="E1444" s="1507" t="s">
        <v>847</v>
      </c>
      <c r="F1444" s="1507"/>
      <c r="G1444" s="584" t="s">
        <v>845</v>
      </c>
      <c r="H1444" s="698">
        <v>1.5E-3</v>
      </c>
      <c r="K1444" t="s">
        <v>972</v>
      </c>
      <c r="L1444" t="s">
        <v>968</v>
      </c>
      <c r="P1444" t="s">
        <v>987</v>
      </c>
      <c r="V1444">
        <v>57</v>
      </c>
    </row>
    <row r="1445" spans="1:22" customFormat="1" ht="15" x14ac:dyDescent="0.25">
      <c r="A1445" t="s">
        <v>167</v>
      </c>
      <c r="B1445" t="s">
        <v>4322</v>
      </c>
      <c r="E1445" s="1507" t="s">
        <v>848</v>
      </c>
      <c r="F1445" s="1507"/>
      <c r="G1445" s="584" t="s">
        <v>777</v>
      </c>
      <c r="H1445" s="650">
        <v>0.25</v>
      </c>
      <c r="K1445" t="s">
        <v>972</v>
      </c>
      <c r="L1445" t="s">
        <v>968</v>
      </c>
      <c r="P1445" t="s">
        <v>988</v>
      </c>
      <c r="V1445">
        <v>63</v>
      </c>
    </row>
    <row r="1446" spans="1:22" customFormat="1" x14ac:dyDescent="0.25">
      <c r="A1446" t="s">
        <v>167</v>
      </c>
      <c r="B1446" t="s">
        <v>4322</v>
      </c>
      <c r="E1446" s="1527" t="s">
        <v>3767</v>
      </c>
      <c r="F1446" s="1527"/>
      <c r="G1446" s="1527"/>
      <c r="H1446" s="1527"/>
      <c r="K1446" t="s">
        <v>3768</v>
      </c>
      <c r="V1446">
        <v>53</v>
      </c>
    </row>
    <row r="1447" spans="1:22" customFormat="1" ht="15" x14ac:dyDescent="0.25">
      <c r="A1447" t="s">
        <v>167</v>
      </c>
      <c r="B1447" t="s">
        <v>4322</v>
      </c>
      <c r="E1447" s="1516" t="s">
        <v>4333</v>
      </c>
      <c r="F1447" s="1516"/>
      <c r="G1447" s="1516"/>
      <c r="H1447" s="1516"/>
      <c r="K1447" t="s">
        <v>3768</v>
      </c>
      <c r="V1447">
        <v>393</v>
      </c>
    </row>
    <row r="1448" spans="1:22" customFormat="1" ht="15" x14ac:dyDescent="0.25">
      <c r="A1448" t="s">
        <v>167</v>
      </c>
      <c r="B1448" t="s">
        <v>4322</v>
      </c>
      <c r="E1448" s="1515" t="s">
        <v>950</v>
      </c>
      <c r="F1448" s="1549"/>
      <c r="G1448" s="1549"/>
      <c r="H1448" s="1549"/>
      <c r="K1448" t="s">
        <v>992</v>
      </c>
      <c r="V1448">
        <v>11</v>
      </c>
    </row>
    <row r="1449" spans="1:22" customFormat="1" ht="15" x14ac:dyDescent="0.25">
      <c r="A1449" t="s">
        <v>167</v>
      </c>
      <c r="B1449" t="s">
        <v>4322</v>
      </c>
      <c r="E1449" s="1516" t="s">
        <v>951</v>
      </c>
      <c r="F1449" s="1516"/>
      <c r="G1449" s="1516"/>
      <c r="H1449" s="1516"/>
      <c r="K1449" t="s">
        <v>3768</v>
      </c>
      <c r="V1449">
        <v>280</v>
      </c>
    </row>
    <row r="1450" spans="1:22" customFormat="1" ht="15" x14ac:dyDescent="0.25">
      <c r="A1450" t="s">
        <v>167</v>
      </c>
      <c r="B1450" t="s">
        <v>4322</v>
      </c>
      <c r="E1450" s="1516" t="s">
        <v>952</v>
      </c>
      <c r="F1450" s="1516"/>
      <c r="G1450" s="1516"/>
      <c r="H1450" s="1516"/>
      <c r="K1450" t="s">
        <v>3768</v>
      </c>
      <c r="V1450">
        <v>411</v>
      </c>
    </row>
    <row r="1451" spans="1:22" customFormat="1" ht="15" x14ac:dyDescent="0.25">
      <c r="A1451" t="s">
        <v>167</v>
      </c>
      <c r="B1451" t="s">
        <v>4322</v>
      </c>
      <c r="E1451" s="1516" t="s">
        <v>4231</v>
      </c>
      <c r="F1451" s="1516"/>
      <c r="G1451" s="1516"/>
      <c r="H1451" s="1516"/>
      <c r="K1451" t="s">
        <v>3768</v>
      </c>
      <c r="V1451">
        <v>387</v>
      </c>
    </row>
    <row r="1452" spans="1:22" customFormat="1" ht="15" x14ac:dyDescent="0.25">
      <c r="A1452" t="s">
        <v>167</v>
      </c>
      <c r="B1452" t="s">
        <v>4322</v>
      </c>
      <c r="E1452" s="1516" t="s">
        <v>3771</v>
      </c>
      <c r="F1452" s="1516"/>
      <c r="G1452" s="1516"/>
      <c r="H1452" s="1516"/>
      <c r="K1452" t="s">
        <v>3768</v>
      </c>
      <c r="V1452">
        <v>677</v>
      </c>
    </row>
    <row r="1453" spans="1:22" customFormat="1" ht="15" x14ac:dyDescent="0.25">
      <c r="A1453" t="s">
        <v>167</v>
      </c>
      <c r="B1453" t="s">
        <v>4322</v>
      </c>
      <c r="E1453" s="1516" t="s">
        <v>994</v>
      </c>
      <c r="F1453" s="1516"/>
      <c r="G1453" s="1516"/>
      <c r="H1453" s="1516"/>
      <c r="K1453" t="s">
        <v>3768</v>
      </c>
      <c r="V1453">
        <v>725</v>
      </c>
    </row>
    <row r="1454" spans="1:22" customFormat="1" ht="15" x14ac:dyDescent="0.25">
      <c r="A1454" t="s">
        <v>167</v>
      </c>
      <c r="B1454" t="s">
        <v>4322</v>
      </c>
      <c r="E1454" s="1516" t="s">
        <v>954</v>
      </c>
      <c r="F1454" s="1516"/>
      <c r="G1454" s="1516"/>
      <c r="H1454" s="1516"/>
      <c r="K1454" t="s">
        <v>3768</v>
      </c>
      <c r="V1454">
        <v>246</v>
      </c>
    </row>
    <row r="1455" spans="1:22" customFormat="1" ht="15" x14ac:dyDescent="0.25">
      <c r="A1455" t="s">
        <v>167</v>
      </c>
      <c r="B1455" t="s">
        <v>4322</v>
      </c>
      <c r="E1455" s="1553" t="s">
        <v>4227</v>
      </c>
      <c r="F1455" s="1613"/>
      <c r="G1455" s="1613"/>
      <c r="H1455" s="1613"/>
      <c r="K1455" t="s">
        <v>995</v>
      </c>
      <c r="V1455">
        <v>46</v>
      </c>
    </row>
    <row r="1456" spans="1:22" customFormat="1" ht="15" x14ac:dyDescent="0.25">
      <c r="A1456" t="s">
        <v>167</v>
      </c>
      <c r="B1456" t="s">
        <v>4322</v>
      </c>
      <c r="E1456" s="1507" t="s">
        <v>3773</v>
      </c>
      <c r="F1456" s="1507"/>
      <c r="G1456" s="584" t="s">
        <v>777</v>
      </c>
      <c r="H1456" s="650">
        <v>171.51</v>
      </c>
      <c r="K1456" t="s">
        <v>3768</v>
      </c>
      <c r="L1456" t="s">
        <v>690</v>
      </c>
      <c r="P1456" t="s">
        <v>3774</v>
      </c>
      <c r="V1456">
        <v>14</v>
      </c>
    </row>
    <row r="1457" spans="1:22" customFormat="1" ht="15" x14ac:dyDescent="0.25">
      <c r="A1457" t="s">
        <v>167</v>
      </c>
      <c r="B1457" t="s">
        <v>4322</v>
      </c>
      <c r="E1457" s="1507" t="s">
        <v>6554</v>
      </c>
      <c r="F1457" s="1507"/>
      <c r="G1457" s="584" t="s">
        <v>777</v>
      </c>
      <c r="H1457" s="650">
        <v>0.83</v>
      </c>
      <c r="K1457" t="s">
        <v>3768</v>
      </c>
      <c r="L1457" t="s">
        <v>690</v>
      </c>
      <c r="P1457" t="s">
        <v>4334</v>
      </c>
      <c r="V1457">
        <v>164</v>
      </c>
    </row>
    <row r="1458" spans="1:22" customFormat="1" ht="15" x14ac:dyDescent="0.25">
      <c r="A1458" t="s">
        <v>167</v>
      </c>
      <c r="B1458" t="s">
        <v>4322</v>
      </c>
      <c r="E1458" s="1507" t="s">
        <v>6561</v>
      </c>
      <c r="F1458" s="1507"/>
      <c r="G1458" s="584" t="s">
        <v>777</v>
      </c>
      <c r="H1458" s="650">
        <v>0.79</v>
      </c>
      <c r="K1458" t="s">
        <v>3768</v>
      </c>
      <c r="L1458" t="s">
        <v>690</v>
      </c>
      <c r="P1458" t="s">
        <v>4335</v>
      </c>
      <c r="V1458">
        <v>143</v>
      </c>
    </row>
    <row r="1459" spans="1:22" customFormat="1" ht="15" x14ac:dyDescent="0.25">
      <c r="A1459" t="s">
        <v>167</v>
      </c>
      <c r="B1459" t="s">
        <v>4322</v>
      </c>
      <c r="E1459" s="1507" t="s">
        <v>6556</v>
      </c>
      <c r="F1459" s="1507"/>
      <c r="G1459" s="584" t="s">
        <v>777</v>
      </c>
      <c r="H1459" s="650">
        <v>0.14000000000000001</v>
      </c>
      <c r="K1459" t="s">
        <v>3768</v>
      </c>
      <c r="L1459" t="s">
        <v>690</v>
      </c>
      <c r="P1459" t="s">
        <v>6566</v>
      </c>
      <c r="V1459">
        <v>142</v>
      </c>
    </row>
    <row r="1460" spans="1:22" customFormat="1" ht="15" x14ac:dyDescent="0.25">
      <c r="A1460" t="s">
        <v>167</v>
      </c>
      <c r="B1460" t="s">
        <v>4322</v>
      </c>
      <c r="E1460" s="1507" t="s">
        <v>6557</v>
      </c>
      <c r="F1460" s="1507"/>
      <c r="G1460" s="584" t="s">
        <v>777</v>
      </c>
      <c r="H1460" s="650">
        <v>0.95</v>
      </c>
      <c r="K1460" t="s">
        <v>3768</v>
      </c>
      <c r="L1460" t="s">
        <v>690</v>
      </c>
      <c r="P1460" t="s">
        <v>6567</v>
      </c>
      <c r="V1460">
        <v>161</v>
      </c>
    </row>
    <row r="1461" spans="1:22" customFormat="1" ht="15" x14ac:dyDescent="0.25">
      <c r="A1461" t="s">
        <v>167</v>
      </c>
      <c r="B1461" t="s">
        <v>4322</v>
      </c>
      <c r="E1461" s="1507" t="s">
        <v>6558</v>
      </c>
      <c r="F1461" s="1507"/>
      <c r="G1461" s="584" t="s">
        <v>777</v>
      </c>
      <c r="H1461" s="698">
        <v>0.56999999999999995</v>
      </c>
      <c r="K1461" t="s">
        <v>3768</v>
      </c>
      <c r="L1461" t="s">
        <v>690</v>
      </c>
      <c r="P1461" t="s">
        <v>6568</v>
      </c>
      <c r="V1461">
        <v>142</v>
      </c>
    </row>
    <row r="1462" spans="1:22" customFormat="1" ht="15" x14ac:dyDescent="0.25">
      <c r="A1462" t="s">
        <v>167</v>
      </c>
      <c r="B1462" t="s">
        <v>4322</v>
      </c>
      <c r="E1462" s="1507" t="s">
        <v>3688</v>
      </c>
      <c r="F1462" s="1507"/>
      <c r="G1462" s="584" t="s">
        <v>3775</v>
      </c>
      <c r="H1462" s="650">
        <v>5.1140999999999996</v>
      </c>
      <c r="K1462" t="s">
        <v>3768</v>
      </c>
      <c r="L1462" t="s">
        <v>690</v>
      </c>
      <c r="P1462" t="s">
        <v>3776</v>
      </c>
      <c r="V1462">
        <v>28</v>
      </c>
    </row>
    <row r="1463" spans="1:22" customFormat="1" ht="15" x14ac:dyDescent="0.25">
      <c r="A1463" t="s">
        <v>167</v>
      </c>
      <c r="B1463" t="s">
        <v>4322</v>
      </c>
      <c r="E1463" s="1507" t="s">
        <v>4086</v>
      </c>
      <c r="F1463" s="1507"/>
      <c r="G1463" s="584" t="s">
        <v>3775</v>
      </c>
      <c r="H1463" s="650">
        <v>0.2306</v>
      </c>
      <c r="K1463" t="s">
        <v>3768</v>
      </c>
      <c r="L1463" t="s">
        <v>692</v>
      </c>
      <c r="P1463" t="s">
        <v>3777</v>
      </c>
      <c r="V1463">
        <v>25</v>
      </c>
    </row>
    <row r="1464" spans="1:22" customFormat="1" ht="15" x14ac:dyDescent="0.25">
      <c r="A1464" t="s">
        <v>167</v>
      </c>
      <c r="B1464" t="s">
        <v>4322</v>
      </c>
      <c r="E1464" s="1507" t="s">
        <v>6519</v>
      </c>
      <c r="F1464" s="1510"/>
      <c r="G1464" s="584" t="s">
        <v>845</v>
      </c>
      <c r="H1464" s="650">
        <v>3.2000000000000002E-3</v>
      </c>
      <c r="K1464" t="s">
        <v>3768</v>
      </c>
      <c r="L1464" t="s">
        <v>692</v>
      </c>
      <c r="P1464" t="s">
        <v>4232</v>
      </c>
      <c r="T1464">
        <v>46022</v>
      </c>
      <c r="V1464">
        <v>142</v>
      </c>
    </row>
    <row r="1465" spans="1:22" customFormat="1" ht="15" x14ac:dyDescent="0.25">
      <c r="A1465" t="s">
        <v>167</v>
      </c>
      <c r="B1465" t="s">
        <v>4322</v>
      </c>
      <c r="E1465" s="1507" t="s">
        <v>6525</v>
      </c>
      <c r="F1465" s="1510"/>
      <c r="G1465" s="584" t="s">
        <v>3775</v>
      </c>
      <c r="H1465" s="650">
        <v>-0.59040000000000004</v>
      </c>
      <c r="K1465" t="s">
        <v>3768</v>
      </c>
      <c r="L1465" t="s">
        <v>692</v>
      </c>
      <c r="P1465" t="s">
        <v>3779</v>
      </c>
      <c r="T1465">
        <v>46022</v>
      </c>
      <c r="V1465">
        <v>159</v>
      </c>
    </row>
    <row r="1466" spans="1:22" customFormat="1" ht="15" x14ac:dyDescent="0.25">
      <c r="A1466" t="s">
        <v>167</v>
      </c>
      <c r="B1466" t="s">
        <v>4322</v>
      </c>
      <c r="E1466" s="1507" t="s">
        <v>6520</v>
      </c>
      <c r="F1466" s="1510"/>
      <c r="G1466" s="584" t="s">
        <v>3775</v>
      </c>
      <c r="H1466" s="650">
        <v>0.40400000000000003</v>
      </c>
      <c r="K1466" t="s">
        <v>3768</v>
      </c>
      <c r="L1466" t="s">
        <v>692</v>
      </c>
      <c r="P1466" t="s">
        <v>3779</v>
      </c>
      <c r="T1466">
        <v>46022</v>
      </c>
      <c r="V1466">
        <v>99</v>
      </c>
    </row>
    <row r="1467" spans="1:22" customFormat="1" ht="15" x14ac:dyDescent="0.25">
      <c r="A1467" t="s">
        <v>167</v>
      </c>
      <c r="B1467" t="s">
        <v>4322</v>
      </c>
      <c r="E1467" s="1507" t="s">
        <v>6521</v>
      </c>
      <c r="F1467" s="1510"/>
      <c r="G1467" s="584" t="s">
        <v>3775</v>
      </c>
      <c r="H1467" s="650">
        <v>5.5100000000000003E-2</v>
      </c>
      <c r="K1467" t="s">
        <v>3768</v>
      </c>
      <c r="L1467" t="s">
        <v>692</v>
      </c>
      <c r="P1467" t="s">
        <v>3778</v>
      </c>
      <c r="T1467">
        <v>46022</v>
      </c>
      <c r="V1467">
        <v>149</v>
      </c>
    </row>
    <row r="1468" spans="1:22" customFormat="1" ht="15" x14ac:dyDescent="0.25">
      <c r="A1468" t="s">
        <v>167</v>
      </c>
      <c r="B1468" t="s">
        <v>4322</v>
      </c>
      <c r="E1468" s="1507" t="s">
        <v>6554</v>
      </c>
      <c r="F1468" s="1507"/>
      <c r="G1468" s="584" t="s">
        <v>3775</v>
      </c>
      <c r="H1468" s="650">
        <v>2.4799999999999999E-2</v>
      </c>
      <c r="K1468" t="s">
        <v>3768</v>
      </c>
      <c r="L1468" t="s">
        <v>690</v>
      </c>
      <c r="P1468" t="s">
        <v>6569</v>
      </c>
      <c r="V1468">
        <v>164</v>
      </c>
    </row>
    <row r="1469" spans="1:22" customFormat="1" ht="15" x14ac:dyDescent="0.25">
      <c r="A1469" t="s">
        <v>167</v>
      </c>
      <c r="B1469" t="s">
        <v>4322</v>
      </c>
      <c r="E1469" s="1507" t="s">
        <v>6561</v>
      </c>
      <c r="F1469" s="1507"/>
      <c r="G1469" s="584" t="s">
        <v>3775</v>
      </c>
      <c r="H1469" s="650">
        <v>2.3599999999999999E-2</v>
      </c>
      <c r="K1469" t="s">
        <v>3768</v>
      </c>
      <c r="L1469" t="s">
        <v>690</v>
      </c>
      <c r="P1469" t="s">
        <v>6570</v>
      </c>
      <c r="V1469">
        <v>143</v>
      </c>
    </row>
    <row r="1470" spans="1:22" customFormat="1" ht="15" x14ac:dyDescent="0.25">
      <c r="A1470" t="s">
        <v>167</v>
      </c>
      <c r="B1470" t="s">
        <v>4322</v>
      </c>
      <c r="E1470" s="1507" t="s">
        <v>6556</v>
      </c>
      <c r="F1470" s="1507"/>
      <c r="G1470" s="584" t="s">
        <v>3775</v>
      </c>
      <c r="H1470" s="650">
        <v>4.1999999999999997E-3</v>
      </c>
      <c r="K1470" t="s">
        <v>3768</v>
      </c>
      <c r="L1470" t="s">
        <v>690</v>
      </c>
      <c r="P1470" t="s">
        <v>6571</v>
      </c>
      <c r="V1470">
        <v>142</v>
      </c>
    </row>
    <row r="1471" spans="1:22" customFormat="1" ht="15" x14ac:dyDescent="0.25">
      <c r="A1471" t="s">
        <v>167</v>
      </c>
      <c r="B1471" t="s">
        <v>4322</v>
      </c>
      <c r="E1471" s="1507" t="s">
        <v>6557</v>
      </c>
      <c r="F1471" s="1507"/>
      <c r="G1471" s="584" t="s">
        <v>3775</v>
      </c>
      <c r="H1471" s="650">
        <v>2.8199999999999999E-2</v>
      </c>
      <c r="K1471" t="s">
        <v>3768</v>
      </c>
      <c r="L1471" t="s">
        <v>690</v>
      </c>
      <c r="P1471" t="s">
        <v>6572</v>
      </c>
      <c r="V1471">
        <v>161</v>
      </c>
    </row>
    <row r="1472" spans="1:22" customFormat="1" ht="15" x14ac:dyDescent="0.25">
      <c r="A1472" t="s">
        <v>167</v>
      </c>
      <c r="B1472" t="s">
        <v>4322</v>
      </c>
      <c r="E1472" s="1507" t="s">
        <v>6558</v>
      </c>
      <c r="F1472" s="1507"/>
      <c r="G1472" s="584" t="s">
        <v>3775</v>
      </c>
      <c r="H1472" s="650">
        <v>1.6799999999999999E-2</v>
      </c>
      <c r="K1472" t="s">
        <v>3768</v>
      </c>
      <c r="L1472" t="s">
        <v>690</v>
      </c>
      <c r="P1472" t="s">
        <v>6573</v>
      </c>
      <c r="V1472">
        <v>142</v>
      </c>
    </row>
    <row r="1473" spans="1:22" customFormat="1" ht="15" x14ac:dyDescent="0.25">
      <c r="A1473" t="s">
        <v>167</v>
      </c>
      <c r="B1473" t="s">
        <v>4322</v>
      </c>
      <c r="E1473" s="1507" t="s">
        <v>6531</v>
      </c>
      <c r="F1473" s="1507"/>
      <c r="G1473" s="584" t="s">
        <v>3775</v>
      </c>
      <c r="H1473" s="650">
        <v>0.1991</v>
      </c>
      <c r="K1473" t="s">
        <v>3768</v>
      </c>
      <c r="L1473" t="s">
        <v>690</v>
      </c>
      <c r="P1473" t="s">
        <v>4233</v>
      </c>
      <c r="T1473">
        <v>46022</v>
      </c>
      <c r="V1473">
        <v>151</v>
      </c>
    </row>
    <row r="1474" spans="1:22" customFormat="1" ht="15" x14ac:dyDescent="0.25">
      <c r="A1474" t="s">
        <v>167</v>
      </c>
      <c r="B1474" t="s">
        <v>4322</v>
      </c>
      <c r="E1474" s="1507" t="s">
        <v>243</v>
      </c>
      <c r="F1474" s="1507"/>
      <c r="G1474" s="584" t="s">
        <v>3775</v>
      </c>
      <c r="H1474" s="650">
        <v>4.5754000000000001</v>
      </c>
      <c r="K1474" t="s">
        <v>3768</v>
      </c>
      <c r="L1474" t="s">
        <v>694</v>
      </c>
      <c r="P1474" t="s">
        <v>3780</v>
      </c>
      <c r="V1474">
        <v>47</v>
      </c>
    </row>
    <row r="1475" spans="1:22" customFormat="1" ht="15" x14ac:dyDescent="0.25">
      <c r="A1475" t="s">
        <v>167</v>
      </c>
      <c r="B1475" t="s">
        <v>4322</v>
      </c>
      <c r="E1475" s="1507" t="s">
        <v>175</v>
      </c>
      <c r="F1475" s="1507"/>
      <c r="G1475" s="584" t="s">
        <v>3775</v>
      </c>
      <c r="H1475" s="650">
        <v>1.6721999999999999</v>
      </c>
      <c r="K1475" t="s">
        <v>3768</v>
      </c>
      <c r="L1475" t="s">
        <v>694</v>
      </c>
      <c r="P1475" t="s">
        <v>3781</v>
      </c>
      <c r="V1475">
        <v>74</v>
      </c>
    </row>
    <row r="1476" spans="1:22" customFormat="1" ht="15" x14ac:dyDescent="0.25">
      <c r="A1476" t="s">
        <v>167</v>
      </c>
      <c r="B1476" t="s">
        <v>4322</v>
      </c>
      <c r="E1476" s="1507" t="s">
        <v>4131</v>
      </c>
      <c r="F1476" s="1507"/>
      <c r="G1476" s="584" t="s">
        <v>3775</v>
      </c>
      <c r="H1476" s="650">
        <v>4.7962999999999996</v>
      </c>
      <c r="K1476" t="s">
        <v>3768</v>
      </c>
      <c r="L1476" t="s">
        <v>694</v>
      </c>
      <c r="P1476" t="s">
        <v>3780</v>
      </c>
      <c r="V1476">
        <v>66</v>
      </c>
    </row>
    <row r="1477" spans="1:22" customFormat="1" ht="15" x14ac:dyDescent="0.25">
      <c r="A1477" t="s">
        <v>167</v>
      </c>
      <c r="B1477" t="s">
        <v>4322</v>
      </c>
      <c r="E1477" s="1507" t="s">
        <v>4336</v>
      </c>
      <c r="F1477" s="1507"/>
      <c r="G1477" s="584" t="s">
        <v>3775</v>
      </c>
      <c r="H1477" s="650">
        <v>1.8093999999999999</v>
      </c>
      <c r="K1477" t="s">
        <v>3768</v>
      </c>
      <c r="L1477" t="s">
        <v>694</v>
      </c>
      <c r="P1477" t="s">
        <v>3781</v>
      </c>
      <c r="V1477">
        <v>93</v>
      </c>
    </row>
    <row r="1478" spans="1:22" customFormat="1" ht="15" x14ac:dyDescent="0.25">
      <c r="A1478" t="s">
        <v>167</v>
      </c>
      <c r="B1478" t="s">
        <v>4322</v>
      </c>
      <c r="E1478" s="1515" t="s">
        <v>4228</v>
      </c>
      <c r="F1478" s="1612"/>
      <c r="G1478" s="584"/>
      <c r="H1478" s="393"/>
      <c r="K1478" t="s">
        <v>1003</v>
      </c>
      <c r="V1478">
        <v>48</v>
      </c>
    </row>
    <row r="1479" spans="1:22" customFormat="1" ht="15" x14ac:dyDescent="0.25">
      <c r="A1479" t="s">
        <v>167</v>
      </c>
      <c r="B1479" t="s">
        <v>4322</v>
      </c>
      <c r="E1479" s="1507" t="s">
        <v>844</v>
      </c>
      <c r="F1479" s="1507"/>
      <c r="G1479" s="584" t="s">
        <v>845</v>
      </c>
      <c r="H1479" s="650">
        <v>4.1000000000000003E-3</v>
      </c>
      <c r="K1479" t="s">
        <v>3768</v>
      </c>
      <c r="L1479" t="s">
        <v>968</v>
      </c>
      <c r="P1479" t="s">
        <v>3782</v>
      </c>
      <c r="V1479">
        <v>55</v>
      </c>
    </row>
    <row r="1480" spans="1:22" customFormat="1" ht="15" x14ac:dyDescent="0.25">
      <c r="A1480" t="s">
        <v>167</v>
      </c>
      <c r="B1480" t="s">
        <v>4322</v>
      </c>
      <c r="E1480" s="1507" t="s">
        <v>846</v>
      </c>
      <c r="F1480" s="1507"/>
      <c r="G1480" s="584" t="s">
        <v>845</v>
      </c>
      <c r="H1480" s="698">
        <v>4.0000000000000002E-4</v>
      </c>
      <c r="K1480" t="s">
        <v>3768</v>
      </c>
      <c r="L1480" t="s">
        <v>968</v>
      </c>
      <c r="P1480" t="s">
        <v>3782</v>
      </c>
      <c r="V1480">
        <v>65</v>
      </c>
    </row>
    <row r="1481" spans="1:22" customFormat="1" ht="15" x14ac:dyDescent="0.25">
      <c r="A1481" t="s">
        <v>167</v>
      </c>
      <c r="B1481" t="s">
        <v>4322</v>
      </c>
      <c r="E1481" s="1507" t="s">
        <v>847</v>
      </c>
      <c r="F1481" s="1507"/>
      <c r="G1481" s="584" t="s">
        <v>845</v>
      </c>
      <c r="H1481" s="698">
        <v>1.5E-3</v>
      </c>
      <c r="K1481" t="s">
        <v>3768</v>
      </c>
      <c r="L1481" t="s">
        <v>968</v>
      </c>
      <c r="P1481" t="s">
        <v>3783</v>
      </c>
      <c r="V1481">
        <v>57</v>
      </c>
    </row>
    <row r="1482" spans="1:22" customFormat="1" ht="15" x14ac:dyDescent="0.25">
      <c r="A1482" t="s">
        <v>167</v>
      </c>
      <c r="B1482" t="s">
        <v>4322</v>
      </c>
      <c r="E1482" s="1507" t="s">
        <v>848</v>
      </c>
      <c r="F1482" s="1507"/>
      <c r="G1482" s="584" t="s">
        <v>777</v>
      </c>
      <c r="H1482" s="650">
        <v>0.25</v>
      </c>
      <c r="K1482" t="s">
        <v>3768</v>
      </c>
      <c r="L1482" t="s">
        <v>968</v>
      </c>
      <c r="P1482" t="s">
        <v>3784</v>
      </c>
      <c r="V1482">
        <v>63</v>
      </c>
    </row>
    <row r="1483" spans="1:22" customFormat="1" x14ac:dyDescent="0.25">
      <c r="A1483" t="s">
        <v>167</v>
      </c>
      <c r="B1483" t="s">
        <v>4322</v>
      </c>
      <c r="E1483" s="1527" t="s">
        <v>189</v>
      </c>
      <c r="F1483" s="1527"/>
      <c r="G1483" s="1527"/>
      <c r="H1483" s="1527"/>
      <c r="K1483" t="s">
        <v>4234</v>
      </c>
      <c r="V1483">
        <v>32</v>
      </c>
    </row>
    <row r="1484" spans="1:22" customFormat="1" ht="15" x14ac:dyDescent="0.25">
      <c r="A1484" t="s">
        <v>167</v>
      </c>
      <c r="B1484" t="s">
        <v>4322</v>
      </c>
      <c r="E1484" s="1516" t="s">
        <v>4126</v>
      </c>
      <c r="F1484" s="1516"/>
      <c r="G1484" s="1516"/>
      <c r="H1484" s="1516"/>
      <c r="K1484" t="s">
        <v>4234</v>
      </c>
      <c r="V1484">
        <v>323</v>
      </c>
    </row>
    <row r="1485" spans="1:22" customFormat="1" ht="15" x14ac:dyDescent="0.25">
      <c r="A1485" t="s">
        <v>167</v>
      </c>
      <c r="B1485" t="s">
        <v>4322</v>
      </c>
      <c r="E1485" s="1515" t="s">
        <v>950</v>
      </c>
      <c r="F1485" s="1549"/>
      <c r="G1485" s="1549"/>
      <c r="H1485" s="1549"/>
      <c r="K1485" t="s">
        <v>1010</v>
      </c>
      <c r="V1485">
        <v>11</v>
      </c>
    </row>
    <row r="1486" spans="1:22" customFormat="1" ht="15" x14ac:dyDescent="0.25">
      <c r="A1486" t="s">
        <v>167</v>
      </c>
      <c r="B1486" t="s">
        <v>4322</v>
      </c>
      <c r="E1486" s="1516" t="s">
        <v>951</v>
      </c>
      <c r="F1486" s="1516"/>
      <c r="G1486" s="1516"/>
      <c r="H1486" s="1516"/>
      <c r="K1486" t="s">
        <v>4234</v>
      </c>
      <c r="V1486">
        <v>280</v>
      </c>
    </row>
    <row r="1487" spans="1:22" customFormat="1" ht="15" x14ac:dyDescent="0.25">
      <c r="A1487" t="s">
        <v>167</v>
      </c>
      <c r="B1487" t="s">
        <v>4322</v>
      </c>
      <c r="E1487" s="1516" t="s">
        <v>952</v>
      </c>
      <c r="F1487" s="1516"/>
      <c r="G1487" s="1516"/>
      <c r="H1487" s="1516"/>
      <c r="K1487" t="s">
        <v>4234</v>
      </c>
      <c r="V1487">
        <v>411</v>
      </c>
    </row>
    <row r="1488" spans="1:22" customFormat="1" ht="15" x14ac:dyDescent="0.25">
      <c r="A1488" t="s">
        <v>167</v>
      </c>
      <c r="B1488" t="s">
        <v>4322</v>
      </c>
      <c r="E1488" s="1516" t="s">
        <v>4231</v>
      </c>
      <c r="F1488" s="1516"/>
      <c r="G1488" s="1516"/>
      <c r="H1488" s="1516"/>
      <c r="K1488" t="s">
        <v>4234</v>
      </c>
      <c r="V1488">
        <v>387</v>
      </c>
    </row>
    <row r="1489" spans="1:22" customFormat="1" ht="15" x14ac:dyDescent="0.25">
      <c r="A1489" t="s">
        <v>167</v>
      </c>
      <c r="B1489" t="s">
        <v>4322</v>
      </c>
      <c r="E1489" s="1516" t="s">
        <v>3771</v>
      </c>
      <c r="F1489" s="1516"/>
      <c r="G1489" s="1516"/>
      <c r="H1489" s="1516"/>
      <c r="K1489" t="s">
        <v>4234</v>
      </c>
      <c r="V1489">
        <v>677</v>
      </c>
    </row>
    <row r="1490" spans="1:22" customFormat="1" ht="15" x14ac:dyDescent="0.25">
      <c r="A1490" t="s">
        <v>167</v>
      </c>
      <c r="B1490" t="s">
        <v>4322</v>
      </c>
      <c r="E1490" s="1516" t="s">
        <v>994</v>
      </c>
      <c r="F1490" s="1516"/>
      <c r="G1490" s="1516"/>
      <c r="H1490" s="1516"/>
      <c r="K1490" t="s">
        <v>4234</v>
      </c>
      <c r="V1490">
        <v>725</v>
      </c>
    </row>
    <row r="1491" spans="1:22" customFormat="1" ht="15" x14ac:dyDescent="0.25">
      <c r="A1491" t="s">
        <v>167</v>
      </c>
      <c r="B1491" t="s">
        <v>4322</v>
      </c>
      <c r="E1491" s="1516" t="s">
        <v>954</v>
      </c>
      <c r="F1491" s="1516"/>
      <c r="G1491" s="1516"/>
      <c r="H1491" s="1516"/>
      <c r="K1491" t="s">
        <v>4234</v>
      </c>
      <c r="V1491">
        <v>246</v>
      </c>
    </row>
    <row r="1492" spans="1:22" customFormat="1" ht="15" x14ac:dyDescent="0.25">
      <c r="A1492" t="s">
        <v>167</v>
      </c>
      <c r="B1492" t="s">
        <v>4322</v>
      </c>
      <c r="E1492" s="1553" t="s">
        <v>4227</v>
      </c>
      <c r="F1492" s="1613"/>
      <c r="G1492" s="1613"/>
      <c r="H1492" s="1613"/>
      <c r="K1492" t="s">
        <v>1011</v>
      </c>
      <c r="V1492">
        <v>46</v>
      </c>
    </row>
    <row r="1493" spans="1:22" customFormat="1" ht="15" x14ac:dyDescent="0.25">
      <c r="A1493" t="s">
        <v>167</v>
      </c>
      <c r="B1493" t="s">
        <v>4322</v>
      </c>
      <c r="E1493" s="1507" t="s">
        <v>3773</v>
      </c>
      <c r="F1493" s="1507"/>
      <c r="G1493" s="584" t="s">
        <v>777</v>
      </c>
      <c r="H1493" s="650">
        <v>7389.12</v>
      </c>
      <c r="K1493" t="s">
        <v>4234</v>
      </c>
      <c r="L1493" t="s">
        <v>690</v>
      </c>
      <c r="P1493" t="s">
        <v>4236</v>
      </c>
      <c r="V1493">
        <v>14</v>
      </c>
    </row>
    <row r="1494" spans="1:22" customFormat="1" ht="15" x14ac:dyDescent="0.25">
      <c r="A1494" t="s">
        <v>167</v>
      </c>
      <c r="B1494" t="s">
        <v>4322</v>
      </c>
      <c r="E1494" s="1507" t="s">
        <v>6574</v>
      </c>
      <c r="F1494" s="1507"/>
      <c r="G1494" s="584" t="s">
        <v>777</v>
      </c>
      <c r="H1494" s="650">
        <v>35.86</v>
      </c>
      <c r="K1494" t="s">
        <v>4234</v>
      </c>
      <c r="L1494" t="s">
        <v>690</v>
      </c>
      <c r="P1494" t="s">
        <v>4337</v>
      </c>
      <c r="V1494">
        <v>163</v>
      </c>
    </row>
    <row r="1495" spans="1:22" customFormat="1" ht="15" x14ac:dyDescent="0.25">
      <c r="A1495" t="s">
        <v>167</v>
      </c>
      <c r="B1495" t="s">
        <v>4322</v>
      </c>
      <c r="E1495" s="1507" t="s">
        <v>6561</v>
      </c>
      <c r="F1495" s="1507"/>
      <c r="G1495" s="584" t="s">
        <v>777</v>
      </c>
      <c r="H1495" s="650">
        <v>34.17</v>
      </c>
      <c r="K1495" t="s">
        <v>4234</v>
      </c>
      <c r="L1495" t="s">
        <v>690</v>
      </c>
      <c r="P1495" t="s">
        <v>6575</v>
      </c>
      <c r="V1495">
        <v>143</v>
      </c>
    </row>
    <row r="1496" spans="1:22" customFormat="1" ht="15" x14ac:dyDescent="0.25">
      <c r="A1496" t="s">
        <v>167</v>
      </c>
      <c r="B1496" t="s">
        <v>4322</v>
      </c>
      <c r="E1496" s="1507" t="s">
        <v>6556</v>
      </c>
      <c r="F1496" s="1507"/>
      <c r="G1496" s="584" t="s">
        <v>777</v>
      </c>
      <c r="H1496" s="650">
        <v>6.12</v>
      </c>
      <c r="K1496" t="s">
        <v>4234</v>
      </c>
      <c r="L1496" t="s">
        <v>690</v>
      </c>
      <c r="P1496" t="s">
        <v>6576</v>
      </c>
      <c r="V1496">
        <v>142</v>
      </c>
    </row>
    <row r="1497" spans="1:22" customFormat="1" ht="15" x14ac:dyDescent="0.25">
      <c r="A1497" t="s">
        <v>167</v>
      </c>
      <c r="B1497" t="s">
        <v>4322</v>
      </c>
      <c r="E1497" s="1507" t="s">
        <v>6557</v>
      </c>
      <c r="F1497" s="1507"/>
      <c r="G1497" s="584" t="s">
        <v>777</v>
      </c>
      <c r="H1497" s="650">
        <v>40.770000000000003</v>
      </c>
      <c r="K1497" t="s">
        <v>4234</v>
      </c>
      <c r="L1497" t="s">
        <v>690</v>
      </c>
      <c r="P1497" t="s">
        <v>6577</v>
      </c>
      <c r="V1497">
        <v>161</v>
      </c>
    </row>
    <row r="1498" spans="1:22" customFormat="1" ht="15" x14ac:dyDescent="0.25">
      <c r="A1498" t="s">
        <v>167</v>
      </c>
      <c r="B1498" t="s">
        <v>4322</v>
      </c>
      <c r="E1498" s="1507" t="s">
        <v>6558</v>
      </c>
      <c r="F1498" s="1507"/>
      <c r="G1498" s="584" t="s">
        <v>777</v>
      </c>
      <c r="H1498" s="698">
        <v>24.34</v>
      </c>
      <c r="K1498" t="s">
        <v>4234</v>
      </c>
      <c r="L1498" t="s">
        <v>690</v>
      </c>
      <c r="P1498" t="s">
        <v>6578</v>
      </c>
      <c r="V1498">
        <v>142</v>
      </c>
    </row>
    <row r="1499" spans="1:22" customFormat="1" ht="15" x14ac:dyDescent="0.25">
      <c r="A1499" t="s">
        <v>167</v>
      </c>
      <c r="B1499" t="s">
        <v>4322</v>
      </c>
      <c r="E1499" s="1507" t="s">
        <v>3688</v>
      </c>
      <c r="F1499" s="1507"/>
      <c r="G1499" s="584" t="s">
        <v>3775</v>
      </c>
      <c r="H1499" s="650">
        <v>2.7275999999999998</v>
      </c>
      <c r="K1499" t="s">
        <v>4234</v>
      </c>
      <c r="L1499" t="s">
        <v>690</v>
      </c>
      <c r="P1499" t="s">
        <v>4237</v>
      </c>
      <c r="V1499">
        <v>28</v>
      </c>
    </row>
    <row r="1500" spans="1:22" customFormat="1" ht="15" x14ac:dyDescent="0.25">
      <c r="A1500" t="s">
        <v>167</v>
      </c>
      <c r="B1500" t="s">
        <v>4322</v>
      </c>
      <c r="E1500" s="1507" t="s">
        <v>4086</v>
      </c>
      <c r="F1500" s="1507"/>
      <c r="G1500" s="584" t="s">
        <v>3775</v>
      </c>
      <c r="H1500" s="650">
        <v>0.22450000000000001</v>
      </c>
      <c r="K1500" t="s">
        <v>4234</v>
      </c>
      <c r="L1500" t="s">
        <v>692</v>
      </c>
      <c r="P1500" t="s">
        <v>4238</v>
      </c>
      <c r="V1500">
        <v>25</v>
      </c>
    </row>
    <row r="1501" spans="1:22" customFormat="1" ht="15" x14ac:dyDescent="0.25">
      <c r="A1501" t="s">
        <v>167</v>
      </c>
      <c r="B1501" t="s">
        <v>4322</v>
      </c>
      <c r="E1501" s="1507" t="s">
        <v>6520</v>
      </c>
      <c r="F1501" s="1510"/>
      <c r="G1501" s="584" t="s">
        <v>3775</v>
      </c>
      <c r="H1501" s="650">
        <v>-0.29780000000000001</v>
      </c>
      <c r="K1501" t="s">
        <v>4234</v>
      </c>
      <c r="L1501" t="s">
        <v>692</v>
      </c>
      <c r="P1501" t="s">
        <v>4240</v>
      </c>
      <c r="T1501">
        <v>46022</v>
      </c>
      <c r="V1501">
        <v>99</v>
      </c>
    </row>
    <row r="1502" spans="1:22" customFormat="1" ht="15" x14ac:dyDescent="0.25">
      <c r="A1502" t="s">
        <v>167</v>
      </c>
      <c r="B1502" t="s">
        <v>4322</v>
      </c>
      <c r="E1502" s="1507" t="s">
        <v>6554</v>
      </c>
      <c r="F1502" s="1507"/>
      <c r="G1502" s="584" t="s">
        <v>3775</v>
      </c>
      <c r="H1502" s="650">
        <v>1.32E-2</v>
      </c>
      <c r="K1502" t="s">
        <v>4234</v>
      </c>
      <c r="L1502" t="s">
        <v>690</v>
      </c>
      <c r="P1502" t="s">
        <v>6579</v>
      </c>
      <c r="V1502">
        <v>164</v>
      </c>
    </row>
    <row r="1503" spans="1:22" customFormat="1" ht="15" x14ac:dyDescent="0.25">
      <c r="A1503" t="s">
        <v>167</v>
      </c>
      <c r="B1503" t="s">
        <v>4322</v>
      </c>
      <c r="E1503" s="1507" t="s">
        <v>6561</v>
      </c>
      <c r="F1503" s="1507"/>
      <c r="G1503" s="584" t="s">
        <v>3775</v>
      </c>
      <c r="H1503" s="650">
        <v>1.26E-2</v>
      </c>
      <c r="K1503" t="s">
        <v>4234</v>
      </c>
      <c r="L1503" t="s">
        <v>690</v>
      </c>
      <c r="P1503" t="s">
        <v>6580</v>
      </c>
      <c r="V1503">
        <v>143</v>
      </c>
    </row>
    <row r="1504" spans="1:22" customFormat="1" ht="15" x14ac:dyDescent="0.25">
      <c r="A1504" t="s">
        <v>167</v>
      </c>
      <c r="B1504" t="s">
        <v>4322</v>
      </c>
      <c r="E1504" s="1507" t="s">
        <v>6556</v>
      </c>
      <c r="F1504" s="1507"/>
      <c r="G1504" s="584" t="s">
        <v>3775</v>
      </c>
      <c r="H1504" s="650">
        <v>2.3E-3</v>
      </c>
      <c r="K1504" t="s">
        <v>4234</v>
      </c>
      <c r="L1504" t="s">
        <v>690</v>
      </c>
      <c r="P1504" t="s">
        <v>6581</v>
      </c>
      <c r="V1504">
        <v>142</v>
      </c>
    </row>
    <row r="1505" spans="1:22" customFormat="1" ht="15" x14ac:dyDescent="0.25">
      <c r="A1505" t="s">
        <v>167</v>
      </c>
      <c r="B1505" t="s">
        <v>4322</v>
      </c>
      <c r="E1505" s="1507" t="s">
        <v>6557</v>
      </c>
      <c r="F1505" s="1507"/>
      <c r="G1505" s="584" t="s">
        <v>3775</v>
      </c>
      <c r="H1505" s="650">
        <v>1.5100000000000001E-2</v>
      </c>
      <c r="K1505" t="s">
        <v>4234</v>
      </c>
      <c r="L1505" t="s">
        <v>690</v>
      </c>
      <c r="P1505" t="s">
        <v>6582</v>
      </c>
      <c r="V1505">
        <v>161</v>
      </c>
    </row>
    <row r="1506" spans="1:22" customFormat="1" ht="15" x14ac:dyDescent="0.25">
      <c r="A1506" t="s">
        <v>167</v>
      </c>
      <c r="B1506" t="s">
        <v>4322</v>
      </c>
      <c r="E1506" s="1507" t="s">
        <v>6558</v>
      </c>
      <c r="F1506" s="1507"/>
      <c r="G1506" s="584" t="s">
        <v>3775</v>
      </c>
      <c r="H1506" s="650">
        <v>8.9999999999999993E-3</v>
      </c>
      <c r="K1506" t="s">
        <v>4234</v>
      </c>
      <c r="L1506" t="s">
        <v>690</v>
      </c>
      <c r="P1506" t="s">
        <v>6583</v>
      </c>
      <c r="V1506">
        <v>142</v>
      </c>
    </row>
    <row r="1507" spans="1:22" customFormat="1" ht="15" x14ac:dyDescent="0.25">
      <c r="A1507" t="s">
        <v>167</v>
      </c>
      <c r="B1507" t="s">
        <v>4322</v>
      </c>
      <c r="E1507" s="1507" t="s">
        <v>6531</v>
      </c>
      <c r="F1507" s="1507"/>
      <c r="G1507" s="584" t="s">
        <v>3775</v>
      </c>
      <c r="H1507" s="650">
        <v>0.14960000000000001</v>
      </c>
      <c r="K1507" t="s">
        <v>4234</v>
      </c>
      <c r="L1507" t="s">
        <v>690</v>
      </c>
      <c r="P1507" t="s">
        <v>4239</v>
      </c>
      <c r="T1507">
        <v>46022</v>
      </c>
      <c r="V1507">
        <v>151</v>
      </c>
    </row>
    <row r="1508" spans="1:22" customFormat="1" ht="15" x14ac:dyDescent="0.25">
      <c r="A1508" t="s">
        <v>167</v>
      </c>
      <c r="B1508" t="s">
        <v>4322</v>
      </c>
      <c r="E1508" s="1507" t="s">
        <v>243</v>
      </c>
      <c r="F1508" s="1507"/>
      <c r="G1508" s="584" t="s">
        <v>3775</v>
      </c>
      <c r="H1508" s="650">
        <v>5.5278999999999998</v>
      </c>
      <c r="K1508" t="s">
        <v>4234</v>
      </c>
      <c r="L1508" t="s">
        <v>694</v>
      </c>
      <c r="P1508" t="s">
        <v>4241</v>
      </c>
      <c r="V1508">
        <v>47</v>
      </c>
    </row>
    <row r="1509" spans="1:22" customFormat="1" ht="15" x14ac:dyDescent="0.25">
      <c r="A1509" t="s">
        <v>167</v>
      </c>
      <c r="B1509" t="s">
        <v>4322</v>
      </c>
      <c r="E1509" s="1507" t="s">
        <v>175</v>
      </c>
      <c r="F1509" s="1507"/>
      <c r="G1509" s="584" t="s">
        <v>3775</v>
      </c>
      <c r="H1509" s="650">
        <v>1.7467999999999999</v>
      </c>
      <c r="K1509" t="s">
        <v>4234</v>
      </c>
      <c r="L1509" t="s">
        <v>694</v>
      </c>
      <c r="P1509" t="s">
        <v>4242</v>
      </c>
      <c r="V1509">
        <v>74</v>
      </c>
    </row>
    <row r="1510" spans="1:22" customFormat="1" ht="15" x14ac:dyDescent="0.25">
      <c r="A1510" t="s">
        <v>167</v>
      </c>
      <c r="B1510" t="s">
        <v>4322</v>
      </c>
      <c r="E1510" s="1515" t="s">
        <v>4228</v>
      </c>
      <c r="F1510" s="1612"/>
      <c r="G1510" s="587"/>
      <c r="H1510" s="393"/>
      <c r="K1510" t="s">
        <v>1019</v>
      </c>
      <c r="V1510">
        <v>48</v>
      </c>
    </row>
    <row r="1511" spans="1:22" customFormat="1" ht="15" x14ac:dyDescent="0.25">
      <c r="A1511" t="s">
        <v>167</v>
      </c>
      <c r="B1511" t="s">
        <v>4322</v>
      </c>
      <c r="E1511" s="1507" t="s">
        <v>844</v>
      </c>
      <c r="F1511" s="1507"/>
      <c r="G1511" s="584" t="s">
        <v>845</v>
      </c>
      <c r="H1511" s="650">
        <v>4.1000000000000003E-3</v>
      </c>
      <c r="K1511" t="s">
        <v>4234</v>
      </c>
      <c r="L1511" t="s">
        <v>968</v>
      </c>
      <c r="P1511" t="s">
        <v>4243</v>
      </c>
      <c r="V1511">
        <v>55</v>
      </c>
    </row>
    <row r="1512" spans="1:22" customFormat="1" ht="15" x14ac:dyDescent="0.25">
      <c r="A1512" t="s">
        <v>167</v>
      </c>
      <c r="B1512" t="s">
        <v>4322</v>
      </c>
      <c r="E1512" s="1507" t="s">
        <v>846</v>
      </c>
      <c r="F1512" s="1507"/>
      <c r="G1512" s="584" t="s">
        <v>845</v>
      </c>
      <c r="H1512" s="698">
        <v>4.0000000000000002E-4</v>
      </c>
      <c r="K1512" t="s">
        <v>4234</v>
      </c>
      <c r="L1512" t="s">
        <v>968</v>
      </c>
      <c r="P1512" t="s">
        <v>4243</v>
      </c>
      <c r="V1512">
        <v>65</v>
      </c>
    </row>
    <row r="1513" spans="1:22" customFormat="1" ht="15" x14ac:dyDescent="0.25">
      <c r="A1513" t="s">
        <v>167</v>
      </c>
      <c r="B1513" t="s">
        <v>4322</v>
      </c>
      <c r="E1513" s="1507" t="s">
        <v>847</v>
      </c>
      <c r="F1513" s="1507"/>
      <c r="G1513" s="584" t="s">
        <v>845</v>
      </c>
      <c r="H1513" s="698">
        <v>1.5E-3</v>
      </c>
      <c r="K1513" t="s">
        <v>4234</v>
      </c>
      <c r="L1513" t="s">
        <v>968</v>
      </c>
      <c r="P1513" t="s">
        <v>4244</v>
      </c>
      <c r="V1513">
        <v>57</v>
      </c>
    </row>
    <row r="1514" spans="1:22" customFormat="1" ht="15" x14ac:dyDescent="0.25">
      <c r="A1514" t="s">
        <v>167</v>
      </c>
      <c r="B1514" t="s">
        <v>4322</v>
      </c>
      <c r="E1514" s="1507" t="s">
        <v>848</v>
      </c>
      <c r="F1514" s="1507"/>
      <c r="G1514" s="584" t="s">
        <v>777</v>
      </c>
      <c r="H1514" s="650">
        <v>0.25</v>
      </c>
      <c r="K1514" t="s">
        <v>4234</v>
      </c>
      <c r="L1514" t="s">
        <v>968</v>
      </c>
      <c r="P1514" t="s">
        <v>4245</v>
      </c>
      <c r="V1514">
        <v>63</v>
      </c>
    </row>
    <row r="1515" spans="1:22" customFormat="1" x14ac:dyDescent="0.25">
      <c r="A1515" t="s">
        <v>167</v>
      </c>
      <c r="B1515" t="s">
        <v>4322</v>
      </c>
      <c r="E1515" s="1527" t="s">
        <v>4002</v>
      </c>
      <c r="F1515" s="1527"/>
      <c r="G1515" s="1527"/>
      <c r="H1515" s="1527"/>
      <c r="K1515" t="s">
        <v>4338</v>
      </c>
      <c r="V1515">
        <v>36</v>
      </c>
    </row>
    <row r="1516" spans="1:22" customFormat="1" ht="15" x14ac:dyDescent="0.25">
      <c r="A1516" t="s">
        <v>167</v>
      </c>
      <c r="B1516" t="s">
        <v>4322</v>
      </c>
      <c r="E1516" s="1516" t="s">
        <v>4176</v>
      </c>
      <c r="F1516" s="1516"/>
      <c r="G1516" s="1516"/>
      <c r="H1516" s="1516"/>
      <c r="K1516" t="s">
        <v>4338</v>
      </c>
      <c r="V1516">
        <v>220</v>
      </c>
    </row>
    <row r="1517" spans="1:22" customFormat="1" ht="15" x14ac:dyDescent="0.25">
      <c r="A1517" t="s">
        <v>167</v>
      </c>
      <c r="B1517" t="s">
        <v>4322</v>
      </c>
      <c r="E1517" s="1515" t="s">
        <v>950</v>
      </c>
      <c r="F1517" s="1549"/>
      <c r="G1517" s="1549"/>
      <c r="H1517" s="1549"/>
      <c r="K1517" t="s">
        <v>1025</v>
      </c>
      <c r="V1517">
        <v>11</v>
      </c>
    </row>
    <row r="1518" spans="1:22" customFormat="1" ht="15" x14ac:dyDescent="0.25">
      <c r="A1518" t="s">
        <v>167</v>
      </c>
      <c r="B1518" t="s">
        <v>4322</v>
      </c>
      <c r="E1518" s="1516" t="s">
        <v>951</v>
      </c>
      <c r="F1518" s="1516"/>
      <c r="G1518" s="1516"/>
      <c r="H1518" s="1516"/>
      <c r="K1518" t="s">
        <v>4338</v>
      </c>
      <c r="V1518">
        <v>280</v>
      </c>
    </row>
    <row r="1519" spans="1:22" customFormat="1" ht="15" x14ac:dyDescent="0.25">
      <c r="A1519" t="s">
        <v>167</v>
      </c>
      <c r="B1519" t="s">
        <v>4322</v>
      </c>
      <c r="E1519" s="1516" t="s">
        <v>952</v>
      </c>
      <c r="F1519" s="1516"/>
      <c r="G1519" s="1516"/>
      <c r="H1519" s="1516"/>
      <c r="K1519" t="s">
        <v>4338</v>
      </c>
      <c r="V1519">
        <v>411</v>
      </c>
    </row>
    <row r="1520" spans="1:22" customFormat="1" ht="15" x14ac:dyDescent="0.25">
      <c r="A1520" t="s">
        <v>167</v>
      </c>
      <c r="B1520" t="s">
        <v>4322</v>
      </c>
      <c r="E1520" s="1516" t="s">
        <v>1103</v>
      </c>
      <c r="F1520" s="1516"/>
      <c r="G1520" s="1516"/>
      <c r="H1520" s="1516"/>
      <c r="K1520" t="s">
        <v>4338</v>
      </c>
      <c r="V1520">
        <v>211</v>
      </c>
    </row>
    <row r="1521" spans="1:22" customFormat="1" ht="15" x14ac:dyDescent="0.25">
      <c r="A1521" t="s">
        <v>167</v>
      </c>
      <c r="B1521" t="s">
        <v>4322</v>
      </c>
      <c r="E1521" s="1516" t="s">
        <v>4339</v>
      </c>
      <c r="F1521" s="1516"/>
      <c r="G1521" s="1516"/>
      <c r="H1521" s="1516"/>
      <c r="K1521" t="s">
        <v>4338</v>
      </c>
      <c r="V1521">
        <v>250</v>
      </c>
    </row>
    <row r="1522" spans="1:22" customFormat="1" ht="15" x14ac:dyDescent="0.25">
      <c r="A1522" t="s">
        <v>167</v>
      </c>
      <c r="B1522" t="s">
        <v>4322</v>
      </c>
      <c r="E1522" s="1553" t="s">
        <v>4260</v>
      </c>
      <c r="F1522" s="1613"/>
      <c r="G1522" s="1613"/>
      <c r="H1522" s="1613"/>
      <c r="K1522" t="s">
        <v>1026</v>
      </c>
      <c r="V1522">
        <v>77</v>
      </c>
    </row>
    <row r="1523" spans="1:22" customFormat="1" ht="15" x14ac:dyDescent="0.25">
      <c r="A1523" t="s">
        <v>167</v>
      </c>
      <c r="B1523" t="s">
        <v>4322</v>
      </c>
      <c r="E1523" s="1507" t="s">
        <v>4340</v>
      </c>
      <c r="F1523" s="1507"/>
      <c r="G1523" s="584" t="s">
        <v>3775</v>
      </c>
      <c r="H1523" s="650">
        <v>3.3757999999999999</v>
      </c>
      <c r="K1523" t="s">
        <v>4338</v>
      </c>
      <c r="L1523" t="s">
        <v>690</v>
      </c>
      <c r="P1523" t="s">
        <v>4341</v>
      </c>
      <c r="V1523">
        <v>161</v>
      </c>
    </row>
    <row r="1524" spans="1:22" customFormat="1" x14ac:dyDescent="0.25">
      <c r="A1524" t="s">
        <v>167</v>
      </c>
      <c r="B1524" t="s">
        <v>4322</v>
      </c>
      <c r="E1524" s="1527" t="s">
        <v>194</v>
      </c>
      <c r="F1524" s="1527"/>
      <c r="G1524" s="1527"/>
      <c r="H1524" s="1527"/>
      <c r="K1524" t="s">
        <v>3872</v>
      </c>
      <c r="V1524">
        <v>47</v>
      </c>
    </row>
    <row r="1525" spans="1:22" customFormat="1" ht="15" x14ac:dyDescent="0.25">
      <c r="A1525" t="s">
        <v>167</v>
      </c>
      <c r="B1525" t="s">
        <v>4322</v>
      </c>
      <c r="E1525" s="1516" t="s">
        <v>4342</v>
      </c>
      <c r="F1525" s="1516"/>
      <c r="G1525" s="1516"/>
      <c r="H1525" s="1516"/>
      <c r="K1525" t="s">
        <v>3872</v>
      </c>
      <c r="V1525">
        <v>623</v>
      </c>
    </row>
    <row r="1526" spans="1:22" customFormat="1" ht="15" x14ac:dyDescent="0.25">
      <c r="A1526" t="s">
        <v>167</v>
      </c>
      <c r="B1526" t="s">
        <v>4322</v>
      </c>
      <c r="E1526" s="1515" t="s">
        <v>950</v>
      </c>
      <c r="F1526" s="1549"/>
      <c r="G1526" s="1549"/>
      <c r="H1526" s="1549"/>
      <c r="K1526" t="s">
        <v>1041</v>
      </c>
      <c r="V1526">
        <v>11</v>
      </c>
    </row>
    <row r="1527" spans="1:22" customFormat="1" ht="15" x14ac:dyDescent="0.25">
      <c r="A1527" t="s">
        <v>167</v>
      </c>
      <c r="B1527" t="s">
        <v>4322</v>
      </c>
      <c r="E1527" s="1516" t="s">
        <v>951</v>
      </c>
      <c r="F1527" s="1516"/>
      <c r="G1527" s="1516"/>
      <c r="H1527" s="1516"/>
      <c r="K1527" t="s">
        <v>3872</v>
      </c>
      <c r="V1527">
        <v>280</v>
      </c>
    </row>
    <row r="1528" spans="1:22" customFormat="1" ht="15" x14ac:dyDescent="0.25">
      <c r="A1528" t="s">
        <v>167</v>
      </c>
      <c r="B1528" t="s">
        <v>4322</v>
      </c>
      <c r="E1528" s="1516" t="s">
        <v>952</v>
      </c>
      <c r="F1528" s="1516"/>
      <c r="G1528" s="1516"/>
      <c r="H1528" s="1516"/>
      <c r="K1528" t="s">
        <v>3872</v>
      </c>
      <c r="V1528">
        <v>411</v>
      </c>
    </row>
    <row r="1529" spans="1:22" customFormat="1" ht="15" x14ac:dyDescent="0.25">
      <c r="A1529" t="s">
        <v>167</v>
      </c>
      <c r="B1529" t="s">
        <v>4322</v>
      </c>
      <c r="E1529" s="1516" t="s">
        <v>4231</v>
      </c>
      <c r="F1529" s="1516"/>
      <c r="G1529" s="1516"/>
      <c r="H1529" s="1516"/>
      <c r="K1529" t="s">
        <v>3872</v>
      </c>
      <c r="V1529">
        <v>387</v>
      </c>
    </row>
    <row r="1530" spans="1:22" customFormat="1" ht="15" x14ac:dyDescent="0.25">
      <c r="A1530" t="s">
        <v>167</v>
      </c>
      <c r="B1530" t="s">
        <v>4322</v>
      </c>
      <c r="E1530" s="1516" t="s">
        <v>954</v>
      </c>
      <c r="F1530" s="1516"/>
      <c r="G1530" s="1516"/>
      <c r="H1530" s="1516"/>
      <c r="K1530" t="s">
        <v>3872</v>
      </c>
      <c r="V1530">
        <v>246</v>
      </c>
    </row>
    <row r="1531" spans="1:22" customFormat="1" ht="15" x14ac:dyDescent="0.25">
      <c r="A1531" t="s">
        <v>167</v>
      </c>
      <c r="B1531" t="s">
        <v>4322</v>
      </c>
      <c r="E1531" s="1553" t="s">
        <v>4227</v>
      </c>
      <c r="F1531" s="1613"/>
      <c r="G1531" s="1613"/>
      <c r="H1531" s="1613"/>
      <c r="K1531" t="s">
        <v>1042</v>
      </c>
      <c r="V1531">
        <v>46</v>
      </c>
    </row>
    <row r="1532" spans="1:22" customFormat="1" ht="15" x14ac:dyDescent="0.25">
      <c r="A1532" t="s">
        <v>167</v>
      </c>
      <c r="B1532" t="s">
        <v>4322</v>
      </c>
      <c r="E1532" s="1507" t="s">
        <v>3773</v>
      </c>
      <c r="F1532" s="1507"/>
      <c r="G1532" s="584" t="s">
        <v>777</v>
      </c>
      <c r="H1532" s="650">
        <v>10.46</v>
      </c>
      <c r="K1532" t="s">
        <v>3872</v>
      </c>
      <c r="L1532" t="s">
        <v>690</v>
      </c>
      <c r="P1532" t="s">
        <v>3875</v>
      </c>
      <c r="V1532">
        <v>14</v>
      </c>
    </row>
    <row r="1533" spans="1:22" customFormat="1" ht="15" x14ac:dyDescent="0.25">
      <c r="A1533" t="s">
        <v>167</v>
      </c>
      <c r="B1533" t="s">
        <v>4322</v>
      </c>
      <c r="E1533" s="1507" t="s">
        <v>6554</v>
      </c>
      <c r="F1533" s="1507"/>
      <c r="G1533" s="584" t="s">
        <v>777</v>
      </c>
      <c r="H1533" s="650">
        <v>0.05</v>
      </c>
      <c r="K1533" t="s">
        <v>3872</v>
      </c>
      <c r="L1533" t="s">
        <v>690</v>
      </c>
      <c r="P1533" t="s">
        <v>6584</v>
      </c>
      <c r="V1533">
        <v>164</v>
      </c>
    </row>
    <row r="1534" spans="1:22" customFormat="1" ht="15" x14ac:dyDescent="0.25">
      <c r="A1534" t="s">
        <v>167</v>
      </c>
      <c r="B1534" t="s">
        <v>4322</v>
      </c>
      <c r="E1534" s="1507" t="s">
        <v>6561</v>
      </c>
      <c r="F1534" s="1507"/>
      <c r="G1534" s="584" t="s">
        <v>777</v>
      </c>
      <c r="H1534" s="650">
        <v>0.05</v>
      </c>
      <c r="K1534" t="s">
        <v>3872</v>
      </c>
      <c r="L1534" t="s">
        <v>690</v>
      </c>
      <c r="P1534" t="s">
        <v>6585</v>
      </c>
      <c r="V1534">
        <v>143</v>
      </c>
    </row>
    <row r="1535" spans="1:22" customFormat="1" ht="15" x14ac:dyDescent="0.25">
      <c r="A1535" t="s">
        <v>167</v>
      </c>
      <c r="B1535" t="s">
        <v>4322</v>
      </c>
      <c r="E1535" s="1507" t="s">
        <v>6556</v>
      </c>
      <c r="F1535" s="1507"/>
      <c r="G1535" s="584" t="s">
        <v>777</v>
      </c>
      <c r="H1535" s="650">
        <v>0.01</v>
      </c>
      <c r="K1535" t="s">
        <v>3872</v>
      </c>
      <c r="L1535" t="s">
        <v>690</v>
      </c>
      <c r="P1535" t="s">
        <v>6586</v>
      </c>
      <c r="V1535">
        <v>142</v>
      </c>
    </row>
    <row r="1536" spans="1:22" customFormat="1" ht="15" x14ac:dyDescent="0.25">
      <c r="A1536" t="s">
        <v>167</v>
      </c>
      <c r="B1536" t="s">
        <v>4322</v>
      </c>
      <c r="E1536" s="1507" t="s">
        <v>6557</v>
      </c>
      <c r="F1536" s="1507"/>
      <c r="G1536" s="584" t="s">
        <v>777</v>
      </c>
      <c r="H1536" s="650">
        <v>0.06</v>
      </c>
      <c r="K1536" t="s">
        <v>3872</v>
      </c>
      <c r="L1536" t="s">
        <v>690</v>
      </c>
      <c r="P1536" t="s">
        <v>6587</v>
      </c>
      <c r="V1536">
        <v>161</v>
      </c>
    </row>
    <row r="1537" spans="1:22" customFormat="1" ht="15" x14ac:dyDescent="0.25">
      <c r="A1537" t="s">
        <v>167</v>
      </c>
      <c r="B1537" t="s">
        <v>4322</v>
      </c>
      <c r="E1537" s="1507" t="s">
        <v>6558</v>
      </c>
      <c r="F1537" s="1507"/>
      <c r="G1537" s="584" t="s">
        <v>777</v>
      </c>
      <c r="H1537" s="698">
        <v>0.03</v>
      </c>
      <c r="K1537" t="s">
        <v>3872</v>
      </c>
      <c r="L1537" t="s">
        <v>690</v>
      </c>
      <c r="P1537" t="s">
        <v>6588</v>
      </c>
      <c r="V1537">
        <v>142</v>
      </c>
    </row>
    <row r="1538" spans="1:22" customFormat="1" ht="15" x14ac:dyDescent="0.25">
      <c r="A1538" t="s">
        <v>167</v>
      </c>
      <c r="B1538" t="s">
        <v>4322</v>
      </c>
      <c r="E1538" s="1507" t="s">
        <v>3688</v>
      </c>
      <c r="F1538" s="1507"/>
      <c r="G1538" s="584" t="s">
        <v>845</v>
      </c>
      <c r="H1538" s="650">
        <v>2.3699999999999999E-2</v>
      </c>
      <c r="K1538" t="s">
        <v>3872</v>
      </c>
      <c r="L1538" t="s">
        <v>690</v>
      </c>
      <c r="P1538" t="s">
        <v>3876</v>
      </c>
      <c r="V1538">
        <v>28</v>
      </c>
    </row>
    <row r="1539" spans="1:22" customFormat="1" ht="15" x14ac:dyDescent="0.25">
      <c r="A1539" t="s">
        <v>167</v>
      </c>
      <c r="B1539" t="s">
        <v>4322</v>
      </c>
      <c r="E1539" s="1507" t="s">
        <v>4086</v>
      </c>
      <c r="F1539" s="1507"/>
      <c r="G1539" s="584" t="s">
        <v>845</v>
      </c>
      <c r="H1539" s="650">
        <v>5.9999999999999995E-4</v>
      </c>
      <c r="K1539" t="s">
        <v>3872</v>
      </c>
      <c r="L1539" t="s">
        <v>692</v>
      </c>
      <c r="P1539" t="s">
        <v>3986</v>
      </c>
      <c r="V1539">
        <v>25</v>
      </c>
    </row>
    <row r="1540" spans="1:22" customFormat="1" ht="15" x14ac:dyDescent="0.25">
      <c r="A1540" t="s">
        <v>167</v>
      </c>
      <c r="B1540" t="s">
        <v>4322</v>
      </c>
      <c r="E1540" s="1507" t="s">
        <v>6519</v>
      </c>
      <c r="F1540" s="1510"/>
      <c r="G1540" s="584" t="s">
        <v>845</v>
      </c>
      <c r="H1540" s="650">
        <v>3.2000000000000002E-3</v>
      </c>
      <c r="K1540" t="s">
        <v>3872</v>
      </c>
      <c r="L1540" t="s">
        <v>692</v>
      </c>
      <c r="P1540" t="s">
        <v>3987</v>
      </c>
      <c r="T1540">
        <v>46022</v>
      </c>
      <c r="V1540">
        <v>142</v>
      </c>
    </row>
    <row r="1541" spans="1:22" customFormat="1" ht="15" x14ac:dyDescent="0.25">
      <c r="A1541" t="s">
        <v>167</v>
      </c>
      <c r="B1541" t="s">
        <v>4322</v>
      </c>
      <c r="E1541" s="1507" t="s">
        <v>6520</v>
      </c>
      <c r="F1541" s="1510"/>
      <c r="G1541" s="584" t="s">
        <v>845</v>
      </c>
      <c r="H1541" s="650">
        <v>-5.0000000000000001E-4</v>
      </c>
      <c r="K1541" t="s">
        <v>3872</v>
      </c>
      <c r="L1541" t="s">
        <v>692</v>
      </c>
      <c r="P1541" t="s">
        <v>3990</v>
      </c>
      <c r="T1541">
        <v>46022</v>
      </c>
      <c r="V1541">
        <v>99</v>
      </c>
    </row>
    <row r="1542" spans="1:22" customFormat="1" ht="15" x14ac:dyDescent="0.25">
      <c r="A1542" t="s">
        <v>167</v>
      </c>
      <c r="B1542" t="s">
        <v>4322</v>
      </c>
      <c r="E1542" s="1507" t="s">
        <v>6521</v>
      </c>
      <c r="F1542" s="1510"/>
      <c r="G1542" s="584" t="s">
        <v>845</v>
      </c>
      <c r="H1542" s="650">
        <v>2.0000000000000001E-4</v>
      </c>
      <c r="K1542" t="s">
        <v>3872</v>
      </c>
      <c r="L1542" t="s">
        <v>692</v>
      </c>
      <c r="P1542" t="s">
        <v>3991</v>
      </c>
      <c r="T1542">
        <v>46022</v>
      </c>
      <c r="V1542">
        <v>149</v>
      </c>
    </row>
    <row r="1543" spans="1:22" customFormat="1" ht="15" x14ac:dyDescent="0.25">
      <c r="A1543" t="s">
        <v>167</v>
      </c>
      <c r="B1543" t="s">
        <v>4322</v>
      </c>
      <c r="E1543" s="1507" t="s">
        <v>6589</v>
      </c>
      <c r="F1543" s="1507"/>
      <c r="G1543" s="584" t="s">
        <v>845</v>
      </c>
      <c r="H1543" s="650">
        <v>1E-4</v>
      </c>
      <c r="K1543" t="s">
        <v>3872</v>
      </c>
      <c r="L1543" t="s">
        <v>690</v>
      </c>
      <c r="P1543" t="s">
        <v>6590</v>
      </c>
      <c r="V1543">
        <v>165</v>
      </c>
    </row>
    <row r="1544" spans="1:22" customFormat="1" ht="15" x14ac:dyDescent="0.25">
      <c r="A1544" t="s">
        <v>167</v>
      </c>
      <c r="B1544" t="s">
        <v>4322</v>
      </c>
      <c r="E1544" s="1507" t="s">
        <v>6561</v>
      </c>
      <c r="F1544" s="1507"/>
      <c r="G1544" s="584" t="s">
        <v>845</v>
      </c>
      <c r="H1544" s="650">
        <v>1E-4</v>
      </c>
      <c r="K1544" t="s">
        <v>3872</v>
      </c>
      <c r="L1544" t="s">
        <v>690</v>
      </c>
      <c r="P1544" t="s">
        <v>6591</v>
      </c>
      <c r="V1544">
        <v>143</v>
      </c>
    </row>
    <row r="1545" spans="1:22" customFormat="1" ht="15" x14ac:dyDescent="0.25">
      <c r="A1545" t="s">
        <v>167</v>
      </c>
      <c r="B1545" t="s">
        <v>4322</v>
      </c>
      <c r="E1545" s="1507" t="s">
        <v>6557</v>
      </c>
      <c r="F1545" s="1507"/>
      <c r="G1545" s="584" t="s">
        <v>845</v>
      </c>
      <c r="H1545" s="650">
        <v>1E-4</v>
      </c>
      <c r="K1545" t="s">
        <v>3872</v>
      </c>
      <c r="L1545" t="s">
        <v>690</v>
      </c>
      <c r="P1545" t="s">
        <v>6592</v>
      </c>
      <c r="V1545">
        <v>161</v>
      </c>
    </row>
    <row r="1546" spans="1:22" customFormat="1" ht="15" x14ac:dyDescent="0.25">
      <c r="A1546" t="s">
        <v>167</v>
      </c>
      <c r="B1546" t="s">
        <v>4322</v>
      </c>
      <c r="E1546" s="1507" t="s">
        <v>6558</v>
      </c>
      <c r="F1546" s="1507"/>
      <c r="G1546" s="584" t="s">
        <v>845</v>
      </c>
      <c r="H1546" s="650">
        <v>1E-4</v>
      </c>
      <c r="K1546" t="s">
        <v>3872</v>
      </c>
      <c r="L1546" t="s">
        <v>690</v>
      </c>
      <c r="P1546" t="s">
        <v>6593</v>
      </c>
      <c r="V1546">
        <v>142</v>
      </c>
    </row>
    <row r="1547" spans="1:22" customFormat="1" ht="15" x14ac:dyDescent="0.25">
      <c r="A1547" t="s">
        <v>167</v>
      </c>
      <c r="B1547" t="s">
        <v>4322</v>
      </c>
      <c r="E1547" s="1507" t="s">
        <v>6531</v>
      </c>
      <c r="F1547" s="1507"/>
      <c r="G1547" s="584" t="s">
        <v>845</v>
      </c>
      <c r="H1547" s="650">
        <v>8.0000000000000004E-4</v>
      </c>
      <c r="K1547" t="s">
        <v>3872</v>
      </c>
      <c r="L1547" t="s">
        <v>690</v>
      </c>
      <c r="P1547" t="s">
        <v>3989</v>
      </c>
      <c r="T1547">
        <v>46022</v>
      </c>
      <c r="V1547">
        <v>151</v>
      </c>
    </row>
    <row r="1548" spans="1:22" customFormat="1" ht="15" x14ac:dyDescent="0.25">
      <c r="A1548" t="s">
        <v>167</v>
      </c>
      <c r="B1548" t="s">
        <v>4322</v>
      </c>
      <c r="E1548" s="1507" t="s">
        <v>243</v>
      </c>
      <c r="F1548" s="1507"/>
      <c r="G1548" s="584" t="s">
        <v>845</v>
      </c>
      <c r="H1548" s="650">
        <v>1.09E-2</v>
      </c>
      <c r="K1548" t="s">
        <v>3872</v>
      </c>
      <c r="L1548" t="s">
        <v>694</v>
      </c>
      <c r="P1548" t="s">
        <v>3877</v>
      </c>
      <c r="V1548">
        <v>47</v>
      </c>
    </row>
    <row r="1549" spans="1:22" customFormat="1" ht="15" x14ac:dyDescent="0.25">
      <c r="A1549" t="s">
        <v>167</v>
      </c>
      <c r="B1549" t="s">
        <v>4322</v>
      </c>
      <c r="E1549" s="1507" t="s">
        <v>175</v>
      </c>
      <c r="F1549" s="1507"/>
      <c r="G1549" s="584" t="s">
        <v>845</v>
      </c>
      <c r="H1549" s="650">
        <v>4.5999999999999999E-3</v>
      </c>
      <c r="K1549" t="s">
        <v>3872</v>
      </c>
      <c r="L1549" t="s">
        <v>694</v>
      </c>
      <c r="P1549" t="s">
        <v>3878</v>
      </c>
      <c r="V1549">
        <v>74</v>
      </c>
    </row>
    <row r="1550" spans="1:22" customFormat="1" ht="15" x14ac:dyDescent="0.25">
      <c r="A1550" t="s">
        <v>167</v>
      </c>
      <c r="B1550" t="s">
        <v>4322</v>
      </c>
      <c r="E1550" s="1515" t="s">
        <v>4228</v>
      </c>
      <c r="F1550" s="1612"/>
      <c r="G1550" s="587"/>
      <c r="H1550" s="393"/>
      <c r="K1550" t="s">
        <v>1049</v>
      </c>
      <c r="V1550">
        <v>48</v>
      </c>
    </row>
    <row r="1551" spans="1:22" customFormat="1" ht="15" x14ac:dyDescent="0.25">
      <c r="A1551" t="s">
        <v>167</v>
      </c>
      <c r="B1551" t="s">
        <v>4322</v>
      </c>
      <c r="E1551" s="1507" t="s">
        <v>844</v>
      </c>
      <c r="F1551" s="1507"/>
      <c r="G1551" s="584" t="s">
        <v>845</v>
      </c>
      <c r="H1551" s="650">
        <v>4.1000000000000003E-3</v>
      </c>
      <c r="K1551" t="s">
        <v>3872</v>
      </c>
      <c r="L1551" t="s">
        <v>968</v>
      </c>
      <c r="P1551" t="s">
        <v>3879</v>
      </c>
      <c r="V1551">
        <v>55</v>
      </c>
    </row>
    <row r="1552" spans="1:22" customFormat="1" ht="15" x14ac:dyDescent="0.25">
      <c r="A1552" t="s">
        <v>167</v>
      </c>
      <c r="B1552" t="s">
        <v>4322</v>
      </c>
      <c r="E1552" s="1507" t="s">
        <v>846</v>
      </c>
      <c r="F1552" s="1507"/>
      <c r="G1552" s="584" t="s">
        <v>845</v>
      </c>
      <c r="H1552" s="698">
        <v>4.0000000000000002E-4</v>
      </c>
      <c r="K1552" t="s">
        <v>3872</v>
      </c>
      <c r="L1552" t="s">
        <v>968</v>
      </c>
      <c r="P1552" t="s">
        <v>3879</v>
      </c>
      <c r="V1552">
        <v>65</v>
      </c>
    </row>
    <row r="1553" spans="1:22" customFormat="1" ht="15" x14ac:dyDescent="0.25">
      <c r="A1553" t="s">
        <v>167</v>
      </c>
      <c r="B1553" t="s">
        <v>4322</v>
      </c>
      <c r="E1553" s="1507" t="s">
        <v>847</v>
      </c>
      <c r="F1553" s="1507"/>
      <c r="G1553" s="584" t="s">
        <v>845</v>
      </c>
      <c r="H1553" s="698">
        <v>1.5E-3</v>
      </c>
      <c r="K1553" t="s">
        <v>3872</v>
      </c>
      <c r="L1553" t="s">
        <v>968</v>
      </c>
      <c r="P1553" t="s">
        <v>3880</v>
      </c>
      <c r="V1553">
        <v>57</v>
      </c>
    </row>
    <row r="1554" spans="1:22" customFormat="1" ht="15" x14ac:dyDescent="0.25">
      <c r="A1554" t="s">
        <v>167</v>
      </c>
      <c r="B1554" t="s">
        <v>4322</v>
      </c>
      <c r="E1554" s="1507" t="s">
        <v>848</v>
      </c>
      <c r="F1554" s="1507"/>
      <c r="G1554" s="584" t="s">
        <v>777</v>
      </c>
      <c r="H1554" s="650">
        <v>0.25</v>
      </c>
      <c r="K1554" t="s">
        <v>3872</v>
      </c>
      <c r="L1554" t="s">
        <v>968</v>
      </c>
      <c r="P1554" t="s">
        <v>3881</v>
      </c>
      <c r="V1554">
        <v>63</v>
      </c>
    </row>
    <row r="1555" spans="1:22" customFormat="1" x14ac:dyDescent="0.25">
      <c r="A1555" t="s">
        <v>167</v>
      </c>
      <c r="B1555" t="s">
        <v>4322</v>
      </c>
      <c r="E1555" s="1527" t="s">
        <v>198</v>
      </c>
      <c r="F1555" s="1527"/>
      <c r="G1555" s="1527"/>
      <c r="H1555" s="1527"/>
      <c r="K1555" t="s">
        <v>3882</v>
      </c>
      <c r="V1555">
        <v>40</v>
      </c>
    </row>
    <row r="1556" spans="1:22" customFormat="1" ht="15" x14ac:dyDescent="0.25">
      <c r="A1556" t="s">
        <v>167</v>
      </c>
      <c r="B1556" t="s">
        <v>4322</v>
      </c>
      <c r="E1556" s="1516" t="s">
        <v>4343</v>
      </c>
      <c r="F1556" s="1516"/>
      <c r="G1556" s="1516"/>
      <c r="H1556" s="1516"/>
      <c r="K1556" t="s">
        <v>3882</v>
      </c>
      <c r="V1556">
        <v>237</v>
      </c>
    </row>
    <row r="1557" spans="1:22" customFormat="1" ht="15" x14ac:dyDescent="0.25">
      <c r="A1557" t="s">
        <v>167</v>
      </c>
      <c r="B1557" t="s">
        <v>4322</v>
      </c>
      <c r="E1557" s="1515" t="s">
        <v>950</v>
      </c>
      <c r="F1557" s="1549"/>
      <c r="G1557" s="1549"/>
      <c r="H1557" s="1549"/>
      <c r="K1557" t="s">
        <v>1055</v>
      </c>
      <c r="V1557">
        <v>11</v>
      </c>
    </row>
    <row r="1558" spans="1:22" customFormat="1" ht="15" x14ac:dyDescent="0.25">
      <c r="A1558" t="s">
        <v>167</v>
      </c>
      <c r="B1558" t="s">
        <v>4322</v>
      </c>
      <c r="E1558" s="1516" t="s">
        <v>951</v>
      </c>
      <c r="F1558" s="1516"/>
      <c r="G1558" s="1516"/>
      <c r="H1558" s="1516"/>
      <c r="K1558" t="s">
        <v>3882</v>
      </c>
      <c r="V1558">
        <v>280</v>
      </c>
    </row>
    <row r="1559" spans="1:22" customFormat="1" ht="15" x14ac:dyDescent="0.25">
      <c r="A1559" t="s">
        <v>167</v>
      </c>
      <c r="B1559" t="s">
        <v>4322</v>
      </c>
      <c r="E1559" s="1516" t="s">
        <v>952</v>
      </c>
      <c r="F1559" s="1516"/>
      <c r="G1559" s="1516"/>
      <c r="H1559" s="1516"/>
      <c r="K1559" t="s">
        <v>3882</v>
      </c>
      <c r="V1559">
        <v>411</v>
      </c>
    </row>
    <row r="1560" spans="1:22" customFormat="1" ht="15" x14ac:dyDescent="0.25">
      <c r="A1560" t="s">
        <v>167</v>
      </c>
      <c r="B1560" t="s">
        <v>4322</v>
      </c>
      <c r="E1560" s="1516" t="s">
        <v>4231</v>
      </c>
      <c r="F1560" s="1516"/>
      <c r="G1560" s="1516"/>
      <c r="H1560" s="1516"/>
      <c r="K1560" t="s">
        <v>3882</v>
      </c>
      <c r="V1560">
        <v>387</v>
      </c>
    </row>
    <row r="1561" spans="1:22" customFormat="1" ht="15" x14ac:dyDescent="0.25">
      <c r="A1561" t="s">
        <v>167</v>
      </c>
      <c r="B1561" t="s">
        <v>4322</v>
      </c>
      <c r="E1561" s="1516" t="s">
        <v>954</v>
      </c>
      <c r="F1561" s="1516"/>
      <c r="G1561" s="1516"/>
      <c r="H1561" s="1516"/>
      <c r="K1561" t="s">
        <v>3882</v>
      </c>
      <c r="V1561">
        <v>246</v>
      </c>
    </row>
    <row r="1562" spans="1:22" customFormat="1" ht="15" x14ac:dyDescent="0.25">
      <c r="A1562" t="s">
        <v>167</v>
      </c>
      <c r="B1562" t="s">
        <v>4322</v>
      </c>
      <c r="E1562" s="1553" t="s">
        <v>4227</v>
      </c>
      <c r="F1562" s="1613"/>
      <c r="G1562" s="1613"/>
      <c r="H1562" s="1613"/>
      <c r="K1562" t="s">
        <v>1056</v>
      </c>
      <c r="V1562">
        <v>46</v>
      </c>
    </row>
    <row r="1563" spans="1:22" customFormat="1" ht="15" x14ac:dyDescent="0.25">
      <c r="A1563" t="s">
        <v>167</v>
      </c>
      <c r="B1563" t="s">
        <v>4322</v>
      </c>
      <c r="E1563" s="1507" t="s">
        <v>4280</v>
      </c>
      <c r="F1563" s="1507"/>
      <c r="G1563" s="584" t="s">
        <v>777</v>
      </c>
      <c r="H1563" s="650">
        <v>5.09</v>
      </c>
      <c r="K1563" t="s">
        <v>3882</v>
      </c>
      <c r="L1563" t="s">
        <v>690</v>
      </c>
      <c r="P1563" t="s">
        <v>3884</v>
      </c>
      <c r="V1563">
        <v>31</v>
      </c>
    </row>
    <row r="1564" spans="1:22" customFormat="1" ht="15" x14ac:dyDescent="0.25">
      <c r="A1564" t="s">
        <v>167</v>
      </c>
      <c r="B1564" t="s">
        <v>4322</v>
      </c>
      <c r="E1564" s="1507" t="s">
        <v>6554</v>
      </c>
      <c r="F1564" s="1507"/>
      <c r="G1564" s="584" t="s">
        <v>777</v>
      </c>
      <c r="H1564" s="650">
        <v>0.02</v>
      </c>
      <c r="K1564" t="s">
        <v>3882</v>
      </c>
      <c r="L1564" t="s">
        <v>690</v>
      </c>
      <c r="P1564" t="s">
        <v>6594</v>
      </c>
      <c r="V1564">
        <v>164</v>
      </c>
    </row>
    <row r="1565" spans="1:22" customFormat="1" ht="15" x14ac:dyDescent="0.25">
      <c r="A1565" t="s">
        <v>167</v>
      </c>
      <c r="B1565" t="s">
        <v>4322</v>
      </c>
      <c r="E1565" s="1507" t="s">
        <v>6561</v>
      </c>
      <c r="F1565" s="1507"/>
      <c r="G1565" s="584" t="s">
        <v>777</v>
      </c>
      <c r="H1565" s="650">
        <v>0.02</v>
      </c>
      <c r="K1565" t="s">
        <v>3882</v>
      </c>
      <c r="L1565" t="s">
        <v>690</v>
      </c>
      <c r="P1565" t="s">
        <v>6595</v>
      </c>
      <c r="V1565">
        <v>143</v>
      </c>
    </row>
    <row r="1566" spans="1:22" customFormat="1" ht="15" x14ac:dyDescent="0.25">
      <c r="A1566" t="s">
        <v>167</v>
      </c>
      <c r="B1566" t="s">
        <v>4322</v>
      </c>
      <c r="E1566" s="1507" t="s">
        <v>6557</v>
      </c>
      <c r="F1566" s="1507"/>
      <c r="G1566" s="584" t="s">
        <v>777</v>
      </c>
      <c r="H1566" s="650">
        <v>0.03</v>
      </c>
      <c r="K1566" t="s">
        <v>3882</v>
      </c>
      <c r="L1566" t="s">
        <v>690</v>
      </c>
      <c r="P1566" t="s">
        <v>6596</v>
      </c>
      <c r="V1566">
        <v>161</v>
      </c>
    </row>
    <row r="1567" spans="1:22" customFormat="1" ht="15" x14ac:dyDescent="0.25">
      <c r="A1567" t="s">
        <v>167</v>
      </c>
      <c r="B1567" t="s">
        <v>4322</v>
      </c>
      <c r="E1567" s="1507" t="s">
        <v>6558</v>
      </c>
      <c r="F1567" s="1507"/>
      <c r="G1567" s="584" t="s">
        <v>777</v>
      </c>
      <c r="H1567" s="698">
        <v>0.02</v>
      </c>
      <c r="K1567" t="s">
        <v>3882</v>
      </c>
      <c r="L1567" t="s">
        <v>690</v>
      </c>
      <c r="P1567" t="s">
        <v>6597</v>
      </c>
      <c r="V1567">
        <v>142</v>
      </c>
    </row>
    <row r="1568" spans="1:22" customFormat="1" ht="15" x14ac:dyDescent="0.25">
      <c r="A1568" t="s">
        <v>167</v>
      </c>
      <c r="B1568" t="s">
        <v>4322</v>
      </c>
      <c r="E1568" s="1507" t="s">
        <v>3688</v>
      </c>
      <c r="F1568" s="1507"/>
      <c r="G1568" s="584" t="s">
        <v>3775</v>
      </c>
      <c r="H1568" s="650">
        <v>12.0068</v>
      </c>
      <c r="K1568" t="s">
        <v>3882</v>
      </c>
      <c r="L1568" t="s">
        <v>690</v>
      </c>
      <c r="P1568" t="s">
        <v>3885</v>
      </c>
      <c r="V1568">
        <v>28</v>
      </c>
    </row>
    <row r="1569" spans="1:22" customFormat="1" ht="15" x14ac:dyDescent="0.25">
      <c r="A1569" t="s">
        <v>167</v>
      </c>
      <c r="B1569" t="s">
        <v>4322</v>
      </c>
      <c r="E1569" s="1507" t="s">
        <v>4086</v>
      </c>
      <c r="F1569" s="1507"/>
      <c r="G1569" s="584" t="s">
        <v>3775</v>
      </c>
      <c r="H1569" s="650">
        <v>0.159</v>
      </c>
      <c r="K1569" t="s">
        <v>3882</v>
      </c>
      <c r="L1569" t="s">
        <v>692</v>
      </c>
      <c r="P1569" t="s">
        <v>4344</v>
      </c>
      <c r="V1569">
        <v>25</v>
      </c>
    </row>
    <row r="1570" spans="1:22" customFormat="1" ht="15" x14ac:dyDescent="0.25">
      <c r="A1570" t="s">
        <v>167</v>
      </c>
      <c r="B1570" t="s">
        <v>4322</v>
      </c>
      <c r="E1570" s="1507" t="s">
        <v>6519</v>
      </c>
      <c r="F1570" s="1510"/>
      <c r="G1570" s="584" t="s">
        <v>845</v>
      </c>
      <c r="H1570" s="650">
        <v>3.2000000000000002E-3</v>
      </c>
      <c r="K1570" t="s">
        <v>3882</v>
      </c>
      <c r="L1570" t="s">
        <v>692</v>
      </c>
      <c r="P1570" t="s">
        <v>4345</v>
      </c>
      <c r="T1570">
        <v>46022</v>
      </c>
      <c r="V1570">
        <v>142</v>
      </c>
    </row>
    <row r="1571" spans="1:22" customFormat="1" ht="15" x14ac:dyDescent="0.25">
      <c r="A1571" t="s">
        <v>167</v>
      </c>
      <c r="B1571" t="s">
        <v>4322</v>
      </c>
      <c r="E1571" s="1507" t="s">
        <v>6520</v>
      </c>
      <c r="F1571" s="1510"/>
      <c r="G1571" s="584" t="s">
        <v>3775</v>
      </c>
      <c r="H1571" s="650">
        <v>-0.17860000000000001</v>
      </c>
      <c r="K1571" t="s">
        <v>3882</v>
      </c>
      <c r="L1571" t="s">
        <v>692</v>
      </c>
      <c r="P1571" t="s">
        <v>4347</v>
      </c>
      <c r="T1571">
        <v>46022</v>
      </c>
      <c r="V1571">
        <v>99</v>
      </c>
    </row>
    <row r="1572" spans="1:22" customFormat="1" ht="15" x14ac:dyDescent="0.25">
      <c r="A1572" t="s">
        <v>167</v>
      </c>
      <c r="B1572" t="s">
        <v>4322</v>
      </c>
      <c r="E1572" s="1507" t="s">
        <v>6521</v>
      </c>
      <c r="F1572" s="1510"/>
      <c r="G1572" s="584" t="s">
        <v>3775</v>
      </c>
      <c r="H1572" s="650">
        <v>5.8700000000000002E-2</v>
      </c>
      <c r="K1572" t="s">
        <v>3882</v>
      </c>
      <c r="L1572" t="s">
        <v>692</v>
      </c>
      <c r="P1572" t="s">
        <v>4348</v>
      </c>
      <c r="T1572">
        <v>46022</v>
      </c>
      <c r="V1572">
        <v>149</v>
      </c>
    </row>
    <row r="1573" spans="1:22" customFormat="1" ht="15" x14ac:dyDescent="0.25">
      <c r="A1573" t="s">
        <v>167</v>
      </c>
      <c r="B1573" t="s">
        <v>4322</v>
      </c>
      <c r="E1573" s="1507" t="s">
        <v>6554</v>
      </c>
      <c r="F1573" s="1507"/>
      <c r="G1573" s="584" t="s">
        <v>3775</v>
      </c>
      <c r="H1573" s="650">
        <v>5.8299999999999998E-2</v>
      </c>
      <c r="K1573" t="s">
        <v>3882</v>
      </c>
      <c r="L1573" t="s">
        <v>690</v>
      </c>
      <c r="P1573" t="s">
        <v>6598</v>
      </c>
      <c r="V1573">
        <v>164</v>
      </c>
    </row>
    <row r="1574" spans="1:22" customFormat="1" ht="15" x14ac:dyDescent="0.25">
      <c r="A1574" t="s">
        <v>167</v>
      </c>
      <c r="B1574" t="s">
        <v>4322</v>
      </c>
      <c r="E1574" s="1507" t="s">
        <v>6561</v>
      </c>
      <c r="F1574" s="1507"/>
      <c r="G1574" s="584" t="s">
        <v>3775</v>
      </c>
      <c r="H1574" s="650">
        <v>5.5500000000000001E-2</v>
      </c>
      <c r="K1574" t="s">
        <v>3882</v>
      </c>
      <c r="L1574" t="s">
        <v>690</v>
      </c>
      <c r="P1574" t="s">
        <v>6599</v>
      </c>
      <c r="V1574">
        <v>143</v>
      </c>
    </row>
    <row r="1575" spans="1:22" customFormat="1" ht="15" x14ac:dyDescent="0.25">
      <c r="A1575" t="s">
        <v>167</v>
      </c>
      <c r="B1575" t="s">
        <v>4322</v>
      </c>
      <c r="E1575" s="1507" t="s">
        <v>6556</v>
      </c>
      <c r="F1575" s="1507"/>
      <c r="G1575" s="584" t="s">
        <v>3775</v>
      </c>
      <c r="H1575" s="650">
        <v>9.9000000000000008E-3</v>
      </c>
      <c r="K1575" t="s">
        <v>3882</v>
      </c>
      <c r="L1575" t="s">
        <v>690</v>
      </c>
      <c r="P1575" t="s">
        <v>6600</v>
      </c>
      <c r="V1575">
        <v>142</v>
      </c>
    </row>
    <row r="1576" spans="1:22" customFormat="1" ht="15" x14ac:dyDescent="0.25">
      <c r="A1576" t="s">
        <v>167</v>
      </c>
      <c r="B1576" t="s">
        <v>4322</v>
      </c>
      <c r="E1576" s="1507" t="s">
        <v>6557</v>
      </c>
      <c r="F1576" s="1507"/>
      <c r="G1576" s="584" t="s">
        <v>3775</v>
      </c>
      <c r="H1576" s="650">
        <v>6.6299999999999998E-2</v>
      </c>
      <c r="K1576" t="s">
        <v>3882</v>
      </c>
      <c r="L1576" t="s">
        <v>690</v>
      </c>
      <c r="P1576" t="s">
        <v>6601</v>
      </c>
      <c r="V1576">
        <v>161</v>
      </c>
    </row>
    <row r="1577" spans="1:22" customFormat="1" ht="15" x14ac:dyDescent="0.25">
      <c r="A1577" t="s">
        <v>167</v>
      </c>
      <c r="B1577" t="s">
        <v>4322</v>
      </c>
      <c r="E1577" s="1507" t="s">
        <v>6558</v>
      </c>
      <c r="F1577" s="1507"/>
      <c r="G1577" s="584" t="s">
        <v>3775</v>
      </c>
      <c r="H1577" s="650">
        <v>3.9600000000000003E-2</v>
      </c>
      <c r="K1577" t="s">
        <v>3882</v>
      </c>
      <c r="L1577" t="s">
        <v>690</v>
      </c>
      <c r="P1577" t="s">
        <v>6602</v>
      </c>
      <c r="V1577">
        <v>142</v>
      </c>
    </row>
    <row r="1578" spans="1:22" customFormat="1" ht="15" x14ac:dyDescent="0.25">
      <c r="A1578" t="s">
        <v>167</v>
      </c>
      <c r="B1578" t="s">
        <v>4322</v>
      </c>
      <c r="E1578" s="1507" t="s">
        <v>6531</v>
      </c>
      <c r="F1578" s="1507"/>
      <c r="G1578" s="584" t="s">
        <v>3775</v>
      </c>
      <c r="H1578" s="650">
        <v>1.3343</v>
      </c>
      <c r="K1578" t="s">
        <v>3882</v>
      </c>
      <c r="L1578" t="s">
        <v>690</v>
      </c>
      <c r="P1578" t="s">
        <v>4346</v>
      </c>
      <c r="T1578">
        <v>46022</v>
      </c>
      <c r="V1578">
        <v>151</v>
      </c>
    </row>
    <row r="1579" spans="1:22" customFormat="1" ht="15" x14ac:dyDescent="0.25">
      <c r="A1579" t="s">
        <v>167</v>
      </c>
      <c r="B1579" t="s">
        <v>4322</v>
      </c>
      <c r="E1579" s="1507" t="s">
        <v>243</v>
      </c>
      <c r="F1579" s="1507"/>
      <c r="G1579" s="584" t="s">
        <v>3775</v>
      </c>
      <c r="H1579" s="650">
        <v>3.5598000000000001</v>
      </c>
      <c r="K1579" t="s">
        <v>3882</v>
      </c>
      <c r="L1579" t="s">
        <v>694</v>
      </c>
      <c r="P1579" t="s">
        <v>3886</v>
      </c>
      <c r="V1579">
        <v>47</v>
      </c>
    </row>
    <row r="1580" spans="1:22" customFormat="1" ht="15" x14ac:dyDescent="0.25">
      <c r="A1580" t="s">
        <v>167</v>
      </c>
      <c r="B1580" t="s">
        <v>4322</v>
      </c>
      <c r="E1580" s="1507" t="s">
        <v>175</v>
      </c>
      <c r="F1580" s="1507"/>
      <c r="G1580" s="584" t="s">
        <v>3775</v>
      </c>
      <c r="H1580" s="650">
        <v>1.2373000000000001</v>
      </c>
      <c r="K1580" t="s">
        <v>3882</v>
      </c>
      <c r="L1580" t="s">
        <v>694</v>
      </c>
      <c r="P1580" t="s">
        <v>3887</v>
      </c>
      <c r="V1580">
        <v>74</v>
      </c>
    </row>
    <row r="1581" spans="1:22" customFormat="1" ht="15" x14ac:dyDescent="0.25">
      <c r="A1581" t="s">
        <v>167</v>
      </c>
      <c r="B1581" t="s">
        <v>4322</v>
      </c>
      <c r="E1581" s="1515" t="s">
        <v>4228</v>
      </c>
      <c r="F1581" s="1612"/>
      <c r="G1581" s="587"/>
      <c r="H1581" s="584"/>
      <c r="K1581" t="s">
        <v>1065</v>
      </c>
      <c r="V1581">
        <v>48</v>
      </c>
    </row>
    <row r="1582" spans="1:22" customFormat="1" ht="15" x14ac:dyDescent="0.25">
      <c r="A1582" t="s">
        <v>167</v>
      </c>
      <c r="B1582" t="s">
        <v>4322</v>
      </c>
      <c r="E1582" s="1507" t="s">
        <v>844</v>
      </c>
      <c r="F1582" s="1507"/>
      <c r="G1582" s="584" t="s">
        <v>845</v>
      </c>
      <c r="H1582" s="650">
        <v>4.1000000000000003E-3</v>
      </c>
      <c r="K1582" t="s">
        <v>3882</v>
      </c>
      <c r="L1582" t="s">
        <v>968</v>
      </c>
      <c r="P1582" t="s">
        <v>3888</v>
      </c>
      <c r="V1582">
        <v>55</v>
      </c>
    </row>
    <row r="1583" spans="1:22" customFormat="1" ht="15" x14ac:dyDescent="0.25">
      <c r="A1583" t="s">
        <v>167</v>
      </c>
      <c r="B1583" t="s">
        <v>4322</v>
      </c>
      <c r="E1583" s="1507" t="s">
        <v>846</v>
      </c>
      <c r="F1583" s="1507"/>
      <c r="G1583" s="584" t="s">
        <v>845</v>
      </c>
      <c r="H1583" s="698">
        <v>4.0000000000000002E-4</v>
      </c>
      <c r="K1583" t="s">
        <v>3882</v>
      </c>
      <c r="L1583" t="s">
        <v>968</v>
      </c>
      <c r="P1583" t="s">
        <v>3888</v>
      </c>
      <c r="V1583">
        <v>65</v>
      </c>
    </row>
    <row r="1584" spans="1:22" customFormat="1" ht="15" x14ac:dyDescent="0.25">
      <c r="A1584" t="s">
        <v>167</v>
      </c>
      <c r="B1584" t="s">
        <v>4322</v>
      </c>
      <c r="E1584" s="1507" t="s">
        <v>847</v>
      </c>
      <c r="F1584" s="1507"/>
      <c r="G1584" s="584" t="s">
        <v>845</v>
      </c>
      <c r="H1584" s="698">
        <v>1.5E-3</v>
      </c>
      <c r="K1584" t="s">
        <v>3882</v>
      </c>
      <c r="L1584" t="s">
        <v>968</v>
      </c>
      <c r="P1584" t="s">
        <v>3889</v>
      </c>
      <c r="V1584">
        <v>57</v>
      </c>
    </row>
    <row r="1585" spans="1:22" customFormat="1" ht="15" x14ac:dyDescent="0.25">
      <c r="A1585" t="s">
        <v>167</v>
      </c>
      <c r="B1585" t="s">
        <v>4322</v>
      </c>
      <c r="E1585" s="1507" t="s">
        <v>848</v>
      </c>
      <c r="F1585" s="1507"/>
      <c r="G1585" s="584" t="s">
        <v>777</v>
      </c>
      <c r="H1585" s="650">
        <v>0.25</v>
      </c>
      <c r="K1585" t="s">
        <v>3882</v>
      </c>
      <c r="L1585" t="s">
        <v>968</v>
      </c>
      <c r="P1585" t="s">
        <v>3890</v>
      </c>
      <c r="V1585">
        <v>63</v>
      </c>
    </row>
    <row r="1586" spans="1:22" customFormat="1" x14ac:dyDescent="0.25">
      <c r="A1586" t="s">
        <v>167</v>
      </c>
      <c r="B1586" t="s">
        <v>4322</v>
      </c>
      <c r="E1586" s="1527" t="s">
        <v>202</v>
      </c>
      <c r="F1586" s="1527"/>
      <c r="G1586" s="1527"/>
      <c r="H1586" s="1527"/>
      <c r="K1586" t="s">
        <v>3891</v>
      </c>
      <c r="V1586">
        <v>38</v>
      </c>
    </row>
    <row r="1587" spans="1:22" customFormat="1" ht="15" x14ac:dyDescent="0.25">
      <c r="A1587" t="s">
        <v>167</v>
      </c>
      <c r="B1587" t="s">
        <v>4322</v>
      </c>
      <c r="E1587" s="1516" t="s">
        <v>4349</v>
      </c>
      <c r="F1587" s="1516"/>
      <c r="G1587" s="1516"/>
      <c r="H1587" s="1516"/>
      <c r="K1587" t="s">
        <v>3891</v>
      </c>
      <c r="V1587">
        <v>555</v>
      </c>
    </row>
    <row r="1588" spans="1:22" customFormat="1" ht="15" x14ac:dyDescent="0.25">
      <c r="A1588" t="s">
        <v>167</v>
      </c>
      <c r="B1588" t="s">
        <v>4322</v>
      </c>
      <c r="E1588" s="1515" t="s">
        <v>950</v>
      </c>
      <c r="F1588" s="1549"/>
      <c r="G1588" s="1549"/>
      <c r="H1588" s="1549"/>
      <c r="K1588" t="s">
        <v>1071</v>
      </c>
      <c r="V1588">
        <v>11</v>
      </c>
    </row>
    <row r="1589" spans="1:22" customFormat="1" ht="15" x14ac:dyDescent="0.25">
      <c r="A1589" t="s">
        <v>167</v>
      </c>
      <c r="B1589" t="s">
        <v>4322</v>
      </c>
      <c r="E1589" s="1516" t="s">
        <v>951</v>
      </c>
      <c r="F1589" s="1516"/>
      <c r="G1589" s="1516"/>
      <c r="H1589" s="1516"/>
      <c r="K1589" t="s">
        <v>3891</v>
      </c>
      <c r="V1589">
        <v>280</v>
      </c>
    </row>
    <row r="1590" spans="1:22" customFormat="1" ht="15" x14ac:dyDescent="0.25">
      <c r="A1590" t="s">
        <v>167</v>
      </c>
      <c r="B1590" t="s">
        <v>4322</v>
      </c>
      <c r="E1590" s="1516" t="s">
        <v>952</v>
      </c>
      <c r="F1590" s="1516"/>
      <c r="G1590" s="1516"/>
      <c r="H1590" s="1516"/>
      <c r="K1590" t="s">
        <v>3891</v>
      </c>
      <c r="V1590">
        <v>411</v>
      </c>
    </row>
    <row r="1591" spans="1:22" customFormat="1" ht="15" x14ac:dyDescent="0.25">
      <c r="A1591" t="s">
        <v>167</v>
      </c>
      <c r="B1591" t="s">
        <v>4322</v>
      </c>
      <c r="E1591" s="1516" t="s">
        <v>4231</v>
      </c>
      <c r="F1591" s="1516"/>
      <c r="G1591" s="1516"/>
      <c r="H1591" s="1516"/>
      <c r="K1591" t="s">
        <v>3891</v>
      </c>
      <c r="V1591">
        <v>387</v>
      </c>
    </row>
    <row r="1592" spans="1:22" customFormat="1" ht="15" x14ac:dyDescent="0.25">
      <c r="A1592" t="s">
        <v>167</v>
      </c>
      <c r="B1592" t="s">
        <v>4322</v>
      </c>
      <c r="E1592" s="1516" t="s">
        <v>954</v>
      </c>
      <c r="F1592" s="1516"/>
      <c r="G1592" s="1516"/>
      <c r="H1592" s="1516"/>
      <c r="K1592" t="s">
        <v>3891</v>
      </c>
      <c r="V1592">
        <v>246</v>
      </c>
    </row>
    <row r="1593" spans="1:22" customFormat="1" ht="15" x14ac:dyDescent="0.25">
      <c r="A1593" t="s">
        <v>167</v>
      </c>
      <c r="B1593" t="s">
        <v>4322</v>
      </c>
      <c r="E1593" s="1553" t="s">
        <v>4227</v>
      </c>
      <c r="F1593" s="1613"/>
      <c r="G1593" s="1613"/>
      <c r="H1593" s="1613"/>
      <c r="K1593" t="s">
        <v>1075</v>
      </c>
      <c r="V1593">
        <v>46</v>
      </c>
    </row>
    <row r="1594" spans="1:22" customFormat="1" ht="15" x14ac:dyDescent="0.25">
      <c r="A1594" t="s">
        <v>167</v>
      </c>
      <c r="B1594" t="s">
        <v>4322</v>
      </c>
      <c r="E1594" s="1507" t="s">
        <v>4139</v>
      </c>
      <c r="F1594" s="1507"/>
      <c r="G1594" s="584" t="s">
        <v>777</v>
      </c>
      <c r="H1594" s="650">
        <v>1.44</v>
      </c>
      <c r="K1594" t="s">
        <v>3891</v>
      </c>
      <c r="L1594" t="s">
        <v>690</v>
      </c>
      <c r="P1594" t="s">
        <v>3894</v>
      </c>
      <c r="V1594">
        <v>30</v>
      </c>
    </row>
    <row r="1595" spans="1:22" customFormat="1" ht="15" x14ac:dyDescent="0.25">
      <c r="A1595" t="s">
        <v>167</v>
      </c>
      <c r="B1595" t="s">
        <v>4322</v>
      </c>
      <c r="E1595" s="1507" t="s">
        <v>6554</v>
      </c>
      <c r="F1595" s="1507"/>
      <c r="G1595" s="584" t="s">
        <v>777</v>
      </c>
      <c r="H1595" s="650">
        <v>0.01</v>
      </c>
      <c r="K1595" t="s">
        <v>3891</v>
      </c>
      <c r="L1595" t="s">
        <v>690</v>
      </c>
      <c r="P1595" t="s">
        <v>6603</v>
      </c>
      <c r="V1595">
        <v>164</v>
      </c>
    </row>
    <row r="1596" spans="1:22" customFormat="1" ht="15" x14ac:dyDescent="0.25">
      <c r="A1596" t="s">
        <v>167</v>
      </c>
      <c r="B1596" t="s">
        <v>4322</v>
      </c>
      <c r="E1596" s="1507" t="s">
        <v>6561</v>
      </c>
      <c r="F1596" s="1507"/>
      <c r="G1596" s="584" t="s">
        <v>777</v>
      </c>
      <c r="H1596" s="650">
        <v>0.01</v>
      </c>
      <c r="K1596" t="s">
        <v>3891</v>
      </c>
      <c r="L1596" t="s">
        <v>690</v>
      </c>
      <c r="P1596" t="s">
        <v>6604</v>
      </c>
      <c r="V1596">
        <v>143</v>
      </c>
    </row>
    <row r="1597" spans="1:22" customFormat="1" ht="15" x14ac:dyDescent="0.25">
      <c r="A1597" t="s">
        <v>167</v>
      </c>
      <c r="B1597" t="s">
        <v>4322</v>
      </c>
      <c r="E1597" s="1507" t="s">
        <v>6557</v>
      </c>
      <c r="F1597" s="1507"/>
      <c r="G1597" s="584" t="s">
        <v>777</v>
      </c>
      <c r="H1597" s="650">
        <v>0.01</v>
      </c>
      <c r="K1597" t="s">
        <v>3891</v>
      </c>
      <c r="L1597" t="s">
        <v>690</v>
      </c>
      <c r="P1597" t="s">
        <v>6605</v>
      </c>
      <c r="V1597">
        <v>161</v>
      </c>
    </row>
    <row r="1598" spans="1:22" customFormat="1" ht="15" x14ac:dyDescent="0.25">
      <c r="A1598" t="s">
        <v>167</v>
      </c>
      <c r="B1598" t="s">
        <v>4322</v>
      </c>
      <c r="E1598" s="1507" t="s">
        <v>3688</v>
      </c>
      <c r="F1598" s="1507"/>
      <c r="G1598" s="584" t="s">
        <v>3775</v>
      </c>
      <c r="H1598" s="650">
        <v>7.6913</v>
      </c>
      <c r="K1598" t="s">
        <v>3891</v>
      </c>
      <c r="L1598" t="s">
        <v>690</v>
      </c>
      <c r="P1598" t="s">
        <v>3895</v>
      </c>
      <c r="V1598">
        <v>28</v>
      </c>
    </row>
    <row r="1599" spans="1:22" customFormat="1" ht="15" x14ac:dyDescent="0.25">
      <c r="A1599" t="s">
        <v>167</v>
      </c>
      <c r="B1599" t="s">
        <v>4322</v>
      </c>
      <c r="E1599" s="1507" t="s">
        <v>4086</v>
      </c>
      <c r="F1599" s="1507"/>
      <c r="G1599" s="584" t="s">
        <v>3775</v>
      </c>
      <c r="H1599" s="650">
        <v>0.2303</v>
      </c>
      <c r="K1599" t="s">
        <v>3891</v>
      </c>
      <c r="L1599" t="s">
        <v>692</v>
      </c>
      <c r="P1599" t="s">
        <v>4350</v>
      </c>
      <c r="V1599">
        <v>25</v>
      </c>
    </row>
    <row r="1600" spans="1:22" customFormat="1" ht="15" x14ac:dyDescent="0.25">
      <c r="A1600" t="s">
        <v>167</v>
      </c>
      <c r="B1600" t="s">
        <v>4322</v>
      </c>
      <c r="E1600" s="1507" t="s">
        <v>6519</v>
      </c>
      <c r="F1600" s="1510"/>
      <c r="G1600" s="584" t="s">
        <v>845</v>
      </c>
      <c r="H1600" s="650">
        <v>3.2000000000000002E-3</v>
      </c>
      <c r="K1600" t="s">
        <v>3891</v>
      </c>
      <c r="L1600" t="s">
        <v>692</v>
      </c>
      <c r="P1600" t="s">
        <v>4351</v>
      </c>
      <c r="T1600">
        <v>46022</v>
      </c>
      <c r="V1600">
        <v>142</v>
      </c>
    </row>
    <row r="1601" spans="1:22" customFormat="1" ht="15" x14ac:dyDescent="0.25">
      <c r="A1601" t="s">
        <v>167</v>
      </c>
      <c r="B1601" t="s">
        <v>4322</v>
      </c>
      <c r="E1601" s="1507" t="s">
        <v>6520</v>
      </c>
      <c r="F1601" s="1510"/>
      <c r="G1601" s="584" t="s">
        <v>3775</v>
      </c>
      <c r="H1601" s="650">
        <v>-0.17180000000000001</v>
      </c>
      <c r="K1601" t="s">
        <v>3891</v>
      </c>
      <c r="L1601" t="s">
        <v>692</v>
      </c>
      <c r="P1601" t="s">
        <v>4353</v>
      </c>
      <c r="T1601">
        <v>46022</v>
      </c>
      <c r="V1601">
        <v>99</v>
      </c>
    </row>
    <row r="1602" spans="1:22" customFormat="1" ht="15" x14ac:dyDescent="0.25">
      <c r="A1602" t="s">
        <v>167</v>
      </c>
      <c r="B1602" t="s">
        <v>4322</v>
      </c>
      <c r="E1602" s="1507" t="s">
        <v>6521</v>
      </c>
      <c r="F1602" s="1510"/>
      <c r="G1602" s="584" t="s">
        <v>3775</v>
      </c>
      <c r="H1602" s="650">
        <v>5.6000000000000001E-2</v>
      </c>
      <c r="K1602" t="s">
        <v>3891</v>
      </c>
      <c r="L1602" t="s">
        <v>692</v>
      </c>
      <c r="P1602" t="s">
        <v>4354</v>
      </c>
      <c r="T1602">
        <v>46022</v>
      </c>
      <c r="V1602">
        <v>149</v>
      </c>
    </row>
    <row r="1603" spans="1:22" customFormat="1" ht="15" x14ac:dyDescent="0.25">
      <c r="A1603" t="s">
        <v>167</v>
      </c>
      <c r="B1603" t="s">
        <v>4322</v>
      </c>
      <c r="E1603" s="1507" t="s">
        <v>6554</v>
      </c>
      <c r="F1603" s="1507"/>
      <c r="G1603" s="584" t="s">
        <v>3775</v>
      </c>
      <c r="H1603" s="650">
        <v>3.73E-2</v>
      </c>
      <c r="K1603" t="s">
        <v>3891</v>
      </c>
      <c r="L1603" t="s">
        <v>690</v>
      </c>
      <c r="P1603" t="s">
        <v>6606</v>
      </c>
      <c r="V1603">
        <v>164</v>
      </c>
    </row>
    <row r="1604" spans="1:22" customFormat="1" ht="15" x14ac:dyDescent="0.25">
      <c r="A1604" t="s">
        <v>167</v>
      </c>
      <c r="B1604" t="s">
        <v>4322</v>
      </c>
      <c r="E1604" s="1507" t="s">
        <v>6561</v>
      </c>
      <c r="F1604" s="1507"/>
      <c r="G1604" s="584" t="s">
        <v>3775</v>
      </c>
      <c r="H1604" s="650">
        <v>3.56E-2</v>
      </c>
      <c r="K1604" t="s">
        <v>3891</v>
      </c>
      <c r="L1604" t="s">
        <v>690</v>
      </c>
      <c r="P1604" t="s">
        <v>6607</v>
      </c>
      <c r="V1604">
        <v>143</v>
      </c>
    </row>
    <row r="1605" spans="1:22" customFormat="1" ht="15" x14ac:dyDescent="0.25">
      <c r="A1605" t="s">
        <v>167</v>
      </c>
      <c r="B1605" t="s">
        <v>4322</v>
      </c>
      <c r="E1605" s="1507" t="s">
        <v>6556</v>
      </c>
      <c r="F1605" s="1507"/>
      <c r="G1605" s="584" t="s">
        <v>3775</v>
      </c>
      <c r="H1605" s="650">
        <v>6.4000000000000003E-3</v>
      </c>
      <c r="K1605" t="s">
        <v>3891</v>
      </c>
      <c r="L1605" t="s">
        <v>690</v>
      </c>
      <c r="P1605" t="s">
        <v>6608</v>
      </c>
      <c r="V1605">
        <v>142</v>
      </c>
    </row>
    <row r="1606" spans="1:22" customFormat="1" ht="15" x14ac:dyDescent="0.25">
      <c r="A1606" t="s">
        <v>167</v>
      </c>
      <c r="B1606" t="s">
        <v>4322</v>
      </c>
      <c r="E1606" s="1507" t="s">
        <v>6557</v>
      </c>
      <c r="F1606" s="1507"/>
      <c r="G1606" s="584" t="s">
        <v>3775</v>
      </c>
      <c r="H1606" s="650">
        <v>4.24E-2</v>
      </c>
      <c r="K1606" t="s">
        <v>3891</v>
      </c>
      <c r="L1606" t="s">
        <v>690</v>
      </c>
      <c r="P1606" t="s">
        <v>6609</v>
      </c>
      <c r="V1606">
        <v>161</v>
      </c>
    </row>
    <row r="1607" spans="1:22" customFormat="1" ht="15" x14ac:dyDescent="0.25">
      <c r="A1607" t="s">
        <v>167</v>
      </c>
      <c r="B1607" t="s">
        <v>4322</v>
      </c>
      <c r="E1607" s="1507" t="s">
        <v>6558</v>
      </c>
      <c r="F1607" s="1507"/>
      <c r="G1607" s="584" t="s">
        <v>3775</v>
      </c>
      <c r="H1607" s="650">
        <v>2.53E-2</v>
      </c>
      <c r="K1607" t="s">
        <v>3891</v>
      </c>
      <c r="L1607" t="s">
        <v>690</v>
      </c>
      <c r="P1607" t="s">
        <v>6610</v>
      </c>
      <c r="V1607">
        <v>142</v>
      </c>
    </row>
    <row r="1608" spans="1:22" customFormat="1" ht="15" x14ac:dyDescent="0.25">
      <c r="A1608" t="s">
        <v>167</v>
      </c>
      <c r="B1608" t="s">
        <v>4322</v>
      </c>
      <c r="E1608" s="1507" t="s">
        <v>6531</v>
      </c>
      <c r="F1608" s="1507"/>
      <c r="G1608" s="584" t="s">
        <v>3775</v>
      </c>
      <c r="H1608" s="650">
        <v>3.2907000000000002</v>
      </c>
      <c r="K1608" t="s">
        <v>3891</v>
      </c>
      <c r="L1608" t="s">
        <v>690</v>
      </c>
      <c r="P1608" t="s">
        <v>4352</v>
      </c>
      <c r="T1608">
        <v>46022</v>
      </c>
      <c r="V1608">
        <v>151</v>
      </c>
    </row>
    <row r="1609" spans="1:22" customFormat="1" ht="15" x14ac:dyDescent="0.25">
      <c r="A1609" t="s">
        <v>167</v>
      </c>
      <c r="B1609" t="s">
        <v>4322</v>
      </c>
      <c r="E1609" s="1507" t="s">
        <v>243</v>
      </c>
      <c r="F1609" s="1507"/>
      <c r="G1609" s="584" t="s">
        <v>3775</v>
      </c>
      <c r="H1609" s="650">
        <v>4.6066000000000003</v>
      </c>
      <c r="K1609" t="s">
        <v>3891</v>
      </c>
      <c r="L1609" t="s">
        <v>694</v>
      </c>
      <c r="P1609" t="s">
        <v>3896</v>
      </c>
      <c r="V1609">
        <v>47</v>
      </c>
    </row>
    <row r="1610" spans="1:22" customFormat="1" ht="15" x14ac:dyDescent="0.25">
      <c r="A1610" t="s">
        <v>167</v>
      </c>
      <c r="B1610" t="s">
        <v>4322</v>
      </c>
      <c r="E1610" s="1507" t="s">
        <v>175</v>
      </c>
      <c r="F1610" s="1507"/>
      <c r="G1610" s="584" t="s">
        <v>3775</v>
      </c>
      <c r="H1610" s="650">
        <v>1.7918000000000001</v>
      </c>
      <c r="K1610" t="s">
        <v>3891</v>
      </c>
      <c r="L1610" t="s">
        <v>694</v>
      </c>
      <c r="P1610" t="s">
        <v>3897</v>
      </c>
      <c r="V1610">
        <v>74</v>
      </c>
    </row>
    <row r="1611" spans="1:22" customFormat="1" ht="15" x14ac:dyDescent="0.25">
      <c r="A1611" t="s">
        <v>167</v>
      </c>
      <c r="B1611" t="s">
        <v>4322</v>
      </c>
      <c r="E1611" s="1515" t="s">
        <v>4228</v>
      </c>
      <c r="F1611" s="1612"/>
      <c r="G1611" s="587"/>
      <c r="H1611" s="393"/>
      <c r="K1611" t="s">
        <v>3898</v>
      </c>
      <c r="V1611">
        <v>48</v>
      </c>
    </row>
    <row r="1612" spans="1:22" customFormat="1" ht="15" x14ac:dyDescent="0.25">
      <c r="A1612" t="s">
        <v>167</v>
      </c>
      <c r="B1612" t="s">
        <v>4322</v>
      </c>
      <c r="E1612" s="1507" t="s">
        <v>844</v>
      </c>
      <c r="F1612" s="1507"/>
      <c r="G1612" s="584" t="s">
        <v>845</v>
      </c>
      <c r="H1612" s="650">
        <v>4.1000000000000003E-3</v>
      </c>
      <c r="K1612" t="s">
        <v>3891</v>
      </c>
      <c r="L1612" t="s">
        <v>968</v>
      </c>
      <c r="P1612" t="s">
        <v>3899</v>
      </c>
      <c r="V1612">
        <v>55</v>
      </c>
    </row>
    <row r="1613" spans="1:22" customFormat="1" ht="15" x14ac:dyDescent="0.25">
      <c r="A1613" t="s">
        <v>167</v>
      </c>
      <c r="B1613" t="s">
        <v>4322</v>
      </c>
      <c r="E1613" s="1507" t="s">
        <v>846</v>
      </c>
      <c r="F1613" s="1507"/>
      <c r="G1613" s="584" t="s">
        <v>845</v>
      </c>
      <c r="H1613" s="698">
        <v>4.0000000000000002E-4</v>
      </c>
      <c r="K1613" t="s">
        <v>3891</v>
      </c>
      <c r="L1613" t="s">
        <v>968</v>
      </c>
      <c r="P1613" t="s">
        <v>3899</v>
      </c>
      <c r="V1613">
        <v>65</v>
      </c>
    </row>
    <row r="1614" spans="1:22" customFormat="1" ht="15" x14ac:dyDescent="0.25">
      <c r="A1614" t="s">
        <v>167</v>
      </c>
      <c r="B1614" t="s">
        <v>4322</v>
      </c>
      <c r="E1614" s="1507" t="s">
        <v>847</v>
      </c>
      <c r="F1614" s="1507"/>
      <c r="G1614" s="584" t="s">
        <v>845</v>
      </c>
      <c r="H1614" s="698">
        <v>1.5E-3</v>
      </c>
      <c r="K1614" t="s">
        <v>3891</v>
      </c>
      <c r="L1614" t="s">
        <v>968</v>
      </c>
      <c r="P1614" t="s">
        <v>3900</v>
      </c>
      <c r="V1614">
        <v>57</v>
      </c>
    </row>
    <row r="1615" spans="1:22" customFormat="1" ht="15" x14ac:dyDescent="0.25">
      <c r="A1615" t="s">
        <v>167</v>
      </c>
      <c r="B1615" t="s">
        <v>4322</v>
      </c>
      <c r="E1615" s="1507" t="s">
        <v>848</v>
      </c>
      <c r="F1615" s="1507"/>
      <c r="G1615" s="584" t="s">
        <v>777</v>
      </c>
      <c r="H1615" s="698">
        <v>0.25</v>
      </c>
      <c r="K1615" t="s">
        <v>3891</v>
      </c>
      <c r="L1615" t="s">
        <v>968</v>
      </c>
      <c r="P1615" t="s">
        <v>3901</v>
      </c>
      <c r="V1615">
        <v>63</v>
      </c>
    </row>
    <row r="1616" spans="1:22" customFormat="1" x14ac:dyDescent="0.25">
      <c r="A1616" t="s">
        <v>167</v>
      </c>
      <c r="B1616" t="s">
        <v>4322</v>
      </c>
      <c r="E1616" s="1499" t="s">
        <v>207</v>
      </c>
      <c r="F1616" s="1499"/>
      <c r="G1616" s="1499"/>
      <c r="H1616" s="1499"/>
      <c r="K1616" t="s">
        <v>3902</v>
      </c>
      <c r="V1616">
        <v>31</v>
      </c>
    </row>
    <row r="1617" spans="1:22" customFormat="1" ht="15" x14ac:dyDescent="0.25">
      <c r="A1617" t="s">
        <v>167</v>
      </c>
      <c r="B1617" t="s">
        <v>4322</v>
      </c>
      <c r="E1617" s="1516" t="s">
        <v>4150</v>
      </c>
      <c r="F1617" s="1516"/>
      <c r="G1617" s="1516"/>
      <c r="H1617" s="1516"/>
      <c r="K1617" t="s">
        <v>3902</v>
      </c>
      <c r="V1617">
        <v>286</v>
      </c>
    </row>
    <row r="1618" spans="1:22" customFormat="1" ht="15" x14ac:dyDescent="0.25">
      <c r="A1618" t="s">
        <v>167</v>
      </c>
      <c r="B1618" t="s">
        <v>4322</v>
      </c>
      <c r="E1618" s="1515" t="s">
        <v>950</v>
      </c>
      <c r="F1618" s="1549"/>
      <c r="G1618" s="1549"/>
      <c r="H1618" s="1549"/>
      <c r="K1618" t="s">
        <v>3904</v>
      </c>
      <c r="V1618">
        <v>11</v>
      </c>
    </row>
    <row r="1619" spans="1:22" customFormat="1" ht="15" x14ac:dyDescent="0.25">
      <c r="A1619" t="s">
        <v>167</v>
      </c>
      <c r="B1619" t="s">
        <v>4322</v>
      </c>
      <c r="E1619" s="1516" t="s">
        <v>951</v>
      </c>
      <c r="F1619" s="1516"/>
      <c r="G1619" s="1516"/>
      <c r="H1619" s="1516"/>
      <c r="K1619" t="s">
        <v>3902</v>
      </c>
      <c r="V1619">
        <v>280</v>
      </c>
    </row>
    <row r="1620" spans="1:22" customFormat="1" ht="15" x14ac:dyDescent="0.25">
      <c r="A1620" t="s">
        <v>167</v>
      </c>
      <c r="B1620" t="s">
        <v>4322</v>
      </c>
      <c r="E1620" s="1516" t="s">
        <v>952</v>
      </c>
      <c r="F1620" s="1516"/>
      <c r="G1620" s="1516"/>
      <c r="H1620" s="1516"/>
      <c r="K1620" t="s">
        <v>3902</v>
      </c>
      <c r="V1620">
        <v>411</v>
      </c>
    </row>
    <row r="1621" spans="1:22" customFormat="1" ht="15" x14ac:dyDescent="0.25">
      <c r="A1621" t="s">
        <v>167</v>
      </c>
      <c r="B1621" t="s">
        <v>4322</v>
      </c>
      <c r="E1621" s="1516" t="s">
        <v>1103</v>
      </c>
      <c r="F1621" s="1516"/>
      <c r="G1621" s="1516"/>
      <c r="H1621" s="1516"/>
      <c r="K1621" t="s">
        <v>3902</v>
      </c>
      <c r="V1621">
        <v>211</v>
      </c>
    </row>
    <row r="1622" spans="1:22" customFormat="1" ht="15" x14ac:dyDescent="0.25">
      <c r="A1622" t="s">
        <v>167</v>
      </c>
      <c r="B1622" t="s">
        <v>4322</v>
      </c>
      <c r="E1622" s="1516" t="s">
        <v>4209</v>
      </c>
      <c r="F1622" s="1516"/>
      <c r="G1622" s="1516"/>
      <c r="H1622" s="1516"/>
      <c r="K1622" t="s">
        <v>3902</v>
      </c>
      <c r="V1622">
        <v>247</v>
      </c>
    </row>
    <row r="1623" spans="1:22" customFormat="1" ht="15" x14ac:dyDescent="0.25">
      <c r="A1623" t="s">
        <v>167</v>
      </c>
      <c r="B1623" t="s">
        <v>4322</v>
      </c>
      <c r="E1623" s="1553" t="s">
        <v>4144</v>
      </c>
      <c r="F1623" s="1613"/>
      <c r="G1623" s="1613"/>
      <c r="H1623" s="1613"/>
      <c r="K1623" t="s">
        <v>3905</v>
      </c>
      <c r="V1623">
        <v>47</v>
      </c>
    </row>
    <row r="1624" spans="1:22" customFormat="1" ht="15" x14ac:dyDescent="0.25">
      <c r="A1624" t="s">
        <v>167</v>
      </c>
      <c r="B1624" t="s">
        <v>4322</v>
      </c>
      <c r="E1624" s="1507" t="s">
        <v>3773</v>
      </c>
      <c r="F1624" s="1507"/>
      <c r="G1624" s="584" t="s">
        <v>777</v>
      </c>
      <c r="H1624" s="650">
        <v>5</v>
      </c>
      <c r="K1624" t="s">
        <v>3902</v>
      </c>
      <c r="L1624" t="s">
        <v>690</v>
      </c>
      <c r="P1624" t="s">
        <v>3906</v>
      </c>
      <c r="V1624">
        <v>14</v>
      </c>
    </row>
    <row r="1625" spans="1:22" customFormat="1" ht="18.75" x14ac:dyDescent="0.3">
      <c r="A1625" t="s">
        <v>167</v>
      </c>
      <c r="B1625" t="s">
        <v>4322</v>
      </c>
      <c r="E1625" s="836" t="s">
        <v>3825</v>
      </c>
      <c r="F1625" s="860"/>
      <c r="G1625" s="710"/>
      <c r="H1625" s="381"/>
      <c r="K1625" t="s">
        <v>4048</v>
      </c>
      <c r="V1625">
        <v>10</v>
      </c>
    </row>
    <row r="1626" spans="1:22" customFormat="1" ht="15" x14ac:dyDescent="0.25">
      <c r="A1626" t="s">
        <v>167</v>
      </c>
      <c r="B1626" t="s">
        <v>4322</v>
      </c>
      <c r="E1626" s="1507" t="s">
        <v>1078</v>
      </c>
      <c r="F1626" s="1507"/>
      <c r="G1626" s="584" t="s">
        <v>3775</v>
      </c>
      <c r="H1626" s="650">
        <v>-0.6</v>
      </c>
      <c r="V1626">
        <v>68</v>
      </c>
    </row>
    <row r="1627" spans="1:22" customFormat="1" ht="15" x14ac:dyDescent="0.25">
      <c r="A1627" t="s">
        <v>167</v>
      </c>
      <c r="B1627" t="s">
        <v>4322</v>
      </c>
      <c r="E1627" s="1507" t="s">
        <v>1079</v>
      </c>
      <c r="F1627" s="1507"/>
      <c r="G1627" s="584" t="s">
        <v>1118</v>
      </c>
      <c r="H1627" s="650">
        <v>-1</v>
      </c>
      <c r="V1627">
        <v>87</v>
      </c>
    </row>
    <row r="1628" spans="1:22" customFormat="1" ht="36" x14ac:dyDescent="0.3">
      <c r="A1628" t="s">
        <v>167</v>
      </c>
      <c r="B1628" t="s">
        <v>4322</v>
      </c>
      <c r="E1628" s="834" t="s">
        <v>3828</v>
      </c>
      <c r="F1628" s="711"/>
      <c r="G1628" s="710"/>
      <c r="H1628" s="381"/>
      <c r="K1628" t="s">
        <v>4052</v>
      </c>
      <c r="V1628">
        <v>24</v>
      </c>
    </row>
    <row r="1629" spans="1:22" customFormat="1" ht="15" x14ac:dyDescent="0.25">
      <c r="A1629" t="s">
        <v>167</v>
      </c>
      <c r="B1629" t="s">
        <v>4322</v>
      </c>
      <c r="E1629" s="1549" t="s">
        <v>950</v>
      </c>
      <c r="F1629" s="1549"/>
      <c r="G1629" s="1549"/>
      <c r="H1629" s="1549"/>
      <c r="V1629">
        <v>11</v>
      </c>
    </row>
    <row r="1630" spans="1:22" customFormat="1" ht="15" x14ac:dyDescent="0.25">
      <c r="A1630" t="s">
        <v>167</v>
      </c>
      <c r="B1630" t="s">
        <v>4322</v>
      </c>
      <c r="E1630" s="1516" t="s">
        <v>951</v>
      </c>
      <c r="F1630" s="1516"/>
      <c r="G1630" s="1516"/>
      <c r="H1630" s="1516"/>
      <c r="V1630">
        <v>280</v>
      </c>
    </row>
    <row r="1631" spans="1:22" customFormat="1" ht="15" x14ac:dyDescent="0.25">
      <c r="A1631" t="s">
        <v>167</v>
      </c>
      <c r="B1631" t="s">
        <v>4322</v>
      </c>
      <c r="E1631" s="1516" t="s">
        <v>1081</v>
      </c>
      <c r="F1631" s="1516"/>
      <c r="G1631" s="1516"/>
      <c r="H1631" s="1516"/>
      <c r="V1631">
        <v>353</v>
      </c>
    </row>
    <row r="1632" spans="1:22" customFormat="1" ht="15" x14ac:dyDescent="0.25">
      <c r="A1632" t="s">
        <v>167</v>
      </c>
      <c r="B1632" t="s">
        <v>4322</v>
      </c>
      <c r="E1632" s="1516" t="s">
        <v>954</v>
      </c>
      <c r="F1632" s="1516"/>
      <c r="G1632" s="1516"/>
      <c r="H1632" s="1516"/>
      <c r="V1632">
        <v>246</v>
      </c>
    </row>
    <row r="1633" spans="1:22" customFormat="1" ht="15" x14ac:dyDescent="0.25">
      <c r="A1633" t="s">
        <v>167</v>
      </c>
      <c r="B1633" t="s">
        <v>4322</v>
      </c>
      <c r="E1633" s="1553" t="s">
        <v>3830</v>
      </c>
      <c r="F1633" s="1553"/>
      <c r="G1633" s="1553"/>
      <c r="H1633" s="1"/>
      <c r="K1633" t="s">
        <v>4053</v>
      </c>
      <c r="V1633">
        <v>23</v>
      </c>
    </row>
    <row r="1634" spans="1:22" customFormat="1" ht="15" x14ac:dyDescent="0.25">
      <c r="A1634" t="s">
        <v>167</v>
      </c>
      <c r="B1634" t="s">
        <v>4322</v>
      </c>
      <c r="E1634" s="1517" t="s">
        <v>3832</v>
      </c>
      <c r="F1634" s="1517"/>
      <c r="G1634" s="584" t="s">
        <v>777</v>
      </c>
      <c r="H1634" s="650">
        <v>15</v>
      </c>
      <c r="V1634">
        <v>19</v>
      </c>
    </row>
    <row r="1635" spans="1:22" customFormat="1" ht="15" x14ac:dyDescent="0.25">
      <c r="A1635" t="s">
        <v>167</v>
      </c>
      <c r="B1635" t="s">
        <v>4322</v>
      </c>
      <c r="E1635" s="1517" t="s">
        <v>3833</v>
      </c>
      <c r="F1635" s="1517"/>
      <c r="G1635" s="584" t="s">
        <v>777</v>
      </c>
      <c r="H1635" s="650">
        <v>15</v>
      </c>
      <c r="V1635">
        <v>20</v>
      </c>
    </row>
    <row r="1636" spans="1:22" customFormat="1" ht="15" x14ac:dyDescent="0.25">
      <c r="A1636" t="s">
        <v>167</v>
      </c>
      <c r="B1636" t="s">
        <v>4322</v>
      </c>
      <c r="E1636" s="1517" t="s">
        <v>3834</v>
      </c>
      <c r="F1636" s="1517"/>
      <c r="G1636" s="584" t="s">
        <v>777</v>
      </c>
      <c r="H1636" s="650">
        <v>15</v>
      </c>
      <c r="V1636">
        <v>39</v>
      </c>
    </row>
    <row r="1637" spans="1:22" customFormat="1" ht="15" x14ac:dyDescent="0.25">
      <c r="A1637" t="s">
        <v>167</v>
      </c>
      <c r="B1637" t="s">
        <v>4322</v>
      </c>
      <c r="E1637" s="1517" t="s">
        <v>4055</v>
      </c>
      <c r="F1637" s="1517"/>
      <c r="G1637" s="584" t="s">
        <v>777</v>
      </c>
      <c r="H1637" s="650">
        <v>15</v>
      </c>
      <c r="V1637">
        <v>37</v>
      </c>
    </row>
    <row r="1638" spans="1:22" customFormat="1" ht="15" x14ac:dyDescent="0.25">
      <c r="A1638" t="s">
        <v>167</v>
      </c>
      <c r="B1638" t="s">
        <v>4322</v>
      </c>
      <c r="E1638" s="1517" t="s">
        <v>4056</v>
      </c>
      <c r="F1638" s="1517"/>
      <c r="G1638" s="584" t="s">
        <v>777</v>
      </c>
      <c r="H1638" s="650">
        <v>15</v>
      </c>
      <c r="V1638">
        <v>15</v>
      </c>
    </row>
    <row r="1639" spans="1:22" customFormat="1" ht="15" x14ac:dyDescent="0.25">
      <c r="A1639" t="s">
        <v>167</v>
      </c>
      <c r="B1639" t="s">
        <v>4322</v>
      </c>
      <c r="E1639" s="1517" t="s">
        <v>4057</v>
      </c>
      <c r="F1639" s="1517"/>
      <c r="G1639" s="584" t="s">
        <v>777</v>
      </c>
      <c r="H1639" s="650">
        <v>15</v>
      </c>
      <c r="V1639">
        <v>17</v>
      </c>
    </row>
    <row r="1640" spans="1:22" customFormat="1" ht="15" x14ac:dyDescent="0.25">
      <c r="A1640" t="s">
        <v>167</v>
      </c>
      <c r="B1640" t="s">
        <v>4322</v>
      </c>
      <c r="E1640" s="1517" t="s">
        <v>4058</v>
      </c>
      <c r="F1640" s="1517"/>
      <c r="G1640" s="584" t="s">
        <v>777</v>
      </c>
      <c r="H1640" s="650">
        <v>15</v>
      </c>
      <c r="V1640">
        <v>15</v>
      </c>
    </row>
    <row r="1641" spans="1:22" customFormat="1" ht="15" x14ac:dyDescent="0.25">
      <c r="A1641" t="s">
        <v>167</v>
      </c>
      <c r="B1641" t="s">
        <v>4322</v>
      </c>
      <c r="E1641" s="1517" t="s">
        <v>3836</v>
      </c>
      <c r="F1641" s="1517"/>
      <c r="G1641" s="584" t="s">
        <v>777</v>
      </c>
      <c r="H1641" s="650">
        <v>15</v>
      </c>
      <c r="V1641">
        <v>35</v>
      </c>
    </row>
    <row r="1642" spans="1:22" customFormat="1" ht="15" x14ac:dyDescent="0.25">
      <c r="A1642" t="s">
        <v>167</v>
      </c>
      <c r="B1642" t="s">
        <v>4322</v>
      </c>
      <c r="E1642" s="1517" t="s">
        <v>4059</v>
      </c>
      <c r="F1642" s="1517"/>
      <c r="G1642" s="584" t="s">
        <v>777</v>
      </c>
      <c r="H1642" s="650">
        <v>15</v>
      </c>
      <c r="V1642">
        <v>19</v>
      </c>
    </row>
    <row r="1643" spans="1:22" customFormat="1" ht="15" x14ac:dyDescent="0.25">
      <c r="A1643" t="s">
        <v>167</v>
      </c>
      <c r="B1643" t="s">
        <v>4322</v>
      </c>
      <c r="E1643" s="1517" t="s">
        <v>3837</v>
      </c>
      <c r="F1643" s="1517"/>
      <c r="G1643" s="584" t="s">
        <v>777</v>
      </c>
      <c r="H1643" s="650">
        <v>30</v>
      </c>
      <c r="V1643">
        <v>89</v>
      </c>
    </row>
    <row r="1644" spans="1:22" customFormat="1" ht="15" x14ac:dyDescent="0.25">
      <c r="A1644" t="s">
        <v>167</v>
      </c>
      <c r="B1644" t="s">
        <v>4322</v>
      </c>
      <c r="E1644" s="1517" t="s">
        <v>3914</v>
      </c>
      <c r="F1644" s="1517"/>
      <c r="G1644" s="584" t="s">
        <v>777</v>
      </c>
      <c r="H1644" s="650">
        <v>30</v>
      </c>
      <c r="V1644">
        <v>19</v>
      </c>
    </row>
    <row r="1645" spans="1:22" customFormat="1" ht="15" x14ac:dyDescent="0.25">
      <c r="A1645" t="s">
        <v>167</v>
      </c>
      <c r="B1645" t="s">
        <v>4322</v>
      </c>
      <c r="E1645" s="1517" t="s">
        <v>3838</v>
      </c>
      <c r="F1645" s="1517"/>
      <c r="G1645" s="584" t="s">
        <v>777</v>
      </c>
      <c r="H1645" s="650">
        <v>30</v>
      </c>
      <c r="V1645">
        <v>74</v>
      </c>
    </row>
    <row r="1646" spans="1:22" customFormat="1" ht="15" x14ac:dyDescent="0.25">
      <c r="A1646" t="s">
        <v>167</v>
      </c>
      <c r="B1646" t="s">
        <v>4322</v>
      </c>
      <c r="E1646" s="835" t="s">
        <v>4062</v>
      </c>
      <c r="F1646" s="712"/>
      <c r="G1646" s="713"/>
      <c r="H1646" s="650"/>
      <c r="K1646" t="s">
        <v>4063</v>
      </c>
      <c r="V1646">
        <v>22</v>
      </c>
    </row>
    <row r="1647" spans="1:22" customFormat="1" ht="15" x14ac:dyDescent="0.25">
      <c r="A1647" t="s">
        <v>167</v>
      </c>
      <c r="B1647" t="s">
        <v>4322</v>
      </c>
      <c r="E1647" s="1517" t="s">
        <v>4064</v>
      </c>
      <c r="F1647" s="1517"/>
      <c r="G1647" s="584" t="s">
        <v>1118</v>
      </c>
      <c r="H1647" s="650">
        <v>1.5</v>
      </c>
      <c r="V1647">
        <v>99</v>
      </c>
    </row>
    <row r="1648" spans="1:22" customFormat="1" ht="15" x14ac:dyDescent="0.25">
      <c r="A1648" t="s">
        <v>167</v>
      </c>
      <c r="B1648" t="s">
        <v>4322</v>
      </c>
      <c r="E1648" s="1517" t="s">
        <v>3842</v>
      </c>
      <c r="F1648" s="1517"/>
      <c r="G1648" s="584" t="s">
        <v>777</v>
      </c>
      <c r="H1648" s="650">
        <v>65</v>
      </c>
      <c r="V1648">
        <v>44</v>
      </c>
    </row>
    <row r="1649" spans="1:22" customFormat="1" ht="15" x14ac:dyDescent="0.25">
      <c r="A1649" t="s">
        <v>167</v>
      </c>
      <c r="B1649" t="s">
        <v>4322</v>
      </c>
      <c r="E1649" s="1517" t="s">
        <v>3843</v>
      </c>
      <c r="F1649" s="1517"/>
      <c r="G1649" s="584" t="s">
        <v>777</v>
      </c>
      <c r="H1649" s="650">
        <v>185</v>
      </c>
      <c r="V1649">
        <v>43</v>
      </c>
    </row>
    <row r="1650" spans="1:22" customFormat="1" ht="15" x14ac:dyDescent="0.25">
      <c r="A1650" t="s">
        <v>167</v>
      </c>
      <c r="B1650" t="s">
        <v>4322</v>
      </c>
      <c r="E1650" s="835" t="s">
        <v>3846</v>
      </c>
      <c r="F1650" s="712"/>
      <c r="G1650" s="713"/>
      <c r="H1650" s="650"/>
      <c r="V1650">
        <v>5</v>
      </c>
    </row>
    <row r="1651" spans="1:22" customFormat="1" ht="15" x14ac:dyDescent="0.25">
      <c r="A1651" t="s">
        <v>167</v>
      </c>
      <c r="B1651" t="s">
        <v>4322</v>
      </c>
      <c r="E1651" s="1517" t="s">
        <v>4355</v>
      </c>
      <c r="F1651" s="1517"/>
      <c r="G1651" s="584" t="s">
        <v>777</v>
      </c>
      <c r="H1651" s="650">
        <v>65</v>
      </c>
      <c r="V1651">
        <v>52</v>
      </c>
    </row>
    <row r="1652" spans="1:22" customFormat="1" ht="15" x14ac:dyDescent="0.25">
      <c r="A1652" t="s">
        <v>167</v>
      </c>
      <c r="B1652" t="s">
        <v>4322</v>
      </c>
      <c r="E1652" s="1517" t="s">
        <v>4356</v>
      </c>
      <c r="F1652" s="1517"/>
      <c r="G1652" s="584" t="s">
        <v>777</v>
      </c>
      <c r="H1652" s="650">
        <v>185</v>
      </c>
      <c r="V1652">
        <v>51</v>
      </c>
    </row>
    <row r="1653" spans="1:22" customFormat="1" ht="15" x14ac:dyDescent="0.25">
      <c r="A1653" t="s">
        <v>167</v>
      </c>
      <c r="B1653" t="s">
        <v>4322</v>
      </c>
      <c r="E1653" s="1517" t="s">
        <v>4357</v>
      </c>
      <c r="F1653" s="1517"/>
      <c r="G1653" s="584" t="s">
        <v>777</v>
      </c>
      <c r="H1653" s="650">
        <v>185</v>
      </c>
      <c r="V1653">
        <v>51</v>
      </c>
    </row>
    <row r="1654" spans="1:22" customFormat="1" ht="15" x14ac:dyDescent="0.25">
      <c r="A1654" t="s">
        <v>167</v>
      </c>
      <c r="B1654" t="s">
        <v>4322</v>
      </c>
      <c r="E1654" s="1517" t="s">
        <v>4358</v>
      </c>
      <c r="F1654" s="1517"/>
      <c r="G1654" s="584" t="s">
        <v>777</v>
      </c>
      <c r="H1654" s="650">
        <v>415</v>
      </c>
      <c r="V1654">
        <v>50</v>
      </c>
    </row>
    <row r="1655" spans="1:22" customFormat="1" ht="15" x14ac:dyDescent="0.25">
      <c r="A1655" t="s">
        <v>167</v>
      </c>
      <c r="B1655" t="s">
        <v>4322</v>
      </c>
      <c r="E1655" s="1721" t="s">
        <v>4069</v>
      </c>
      <c r="F1655" s="1721"/>
      <c r="G1655" s="694" t="s">
        <v>777</v>
      </c>
      <c r="H1655" s="650">
        <v>39.14</v>
      </c>
      <c r="V1655">
        <v>106</v>
      </c>
    </row>
    <row r="1656" spans="1:22" customFormat="1" ht="15" x14ac:dyDescent="0.25">
      <c r="A1656" t="s">
        <v>167</v>
      </c>
      <c r="B1656" t="s">
        <v>4322</v>
      </c>
      <c r="E1656" s="1517" t="s">
        <v>4359</v>
      </c>
      <c r="F1656" s="1517"/>
      <c r="G1656" s="584" t="s">
        <v>777</v>
      </c>
      <c r="H1656" s="650">
        <v>500</v>
      </c>
      <c r="V1656">
        <v>64</v>
      </c>
    </row>
    <row r="1657" spans="1:22" customFormat="1" ht="36" x14ac:dyDescent="0.3">
      <c r="A1657" t="s">
        <v>167</v>
      </c>
      <c r="B1657" t="s">
        <v>4322</v>
      </c>
      <c r="E1657" s="836" t="s">
        <v>3851</v>
      </c>
      <c r="F1657" s="714"/>
      <c r="G1657" s="710"/>
      <c r="H1657" s="381"/>
      <c r="K1657" t="s">
        <v>4070</v>
      </c>
      <c r="V1657">
        <v>38</v>
      </c>
    </row>
    <row r="1658" spans="1:22" customFormat="1" ht="15" x14ac:dyDescent="0.25">
      <c r="A1658" t="s">
        <v>167</v>
      </c>
      <c r="B1658" t="s">
        <v>4322</v>
      </c>
      <c r="E1658" s="1549" t="s">
        <v>950</v>
      </c>
      <c r="F1658" s="1549"/>
      <c r="G1658" s="1549"/>
      <c r="H1658" s="1549"/>
      <c r="K1658" t="s">
        <v>3904</v>
      </c>
      <c r="V1658">
        <v>11</v>
      </c>
    </row>
    <row r="1659" spans="1:22" customFormat="1" ht="15" x14ac:dyDescent="0.25">
      <c r="A1659" t="s">
        <v>167</v>
      </c>
      <c r="B1659" t="s">
        <v>4322</v>
      </c>
      <c r="E1659" s="1516" t="s">
        <v>951</v>
      </c>
      <c r="F1659" s="1516"/>
      <c r="G1659" s="1516"/>
      <c r="H1659" s="1516"/>
      <c r="V1659">
        <v>280</v>
      </c>
    </row>
    <row r="1660" spans="1:22" customFormat="1" ht="15" x14ac:dyDescent="0.25">
      <c r="A1660" t="s">
        <v>167</v>
      </c>
      <c r="B1660" t="s">
        <v>4322</v>
      </c>
      <c r="E1660" s="1516" t="s">
        <v>952</v>
      </c>
      <c r="F1660" s="1516"/>
      <c r="G1660" s="1516"/>
      <c r="H1660" s="1516"/>
      <c r="V1660">
        <v>411</v>
      </c>
    </row>
    <row r="1661" spans="1:22" customFormat="1" ht="15" x14ac:dyDescent="0.25">
      <c r="A1661" t="s">
        <v>167</v>
      </c>
      <c r="B1661" t="s">
        <v>4322</v>
      </c>
      <c r="E1661" s="1516" t="s">
        <v>1103</v>
      </c>
      <c r="F1661" s="1516"/>
      <c r="G1661" s="1516"/>
      <c r="H1661" s="1516"/>
      <c r="V1661">
        <v>211</v>
      </c>
    </row>
    <row r="1662" spans="1:22" customFormat="1" ht="15" x14ac:dyDescent="0.25">
      <c r="A1662" t="s">
        <v>167</v>
      </c>
      <c r="B1662" t="s">
        <v>4322</v>
      </c>
      <c r="E1662" s="1516" t="s">
        <v>954</v>
      </c>
      <c r="F1662" s="1516"/>
      <c r="G1662" s="1516"/>
      <c r="H1662" s="1516"/>
      <c r="V1662">
        <v>246</v>
      </c>
    </row>
    <row r="1663" spans="1:22" customFormat="1" ht="15" x14ac:dyDescent="0.25">
      <c r="A1663" t="s">
        <v>167</v>
      </c>
      <c r="B1663" t="s">
        <v>4322</v>
      </c>
      <c r="E1663" s="1507" t="s">
        <v>1104</v>
      </c>
      <c r="F1663" s="1507"/>
      <c r="G1663" s="1516"/>
      <c r="H1663" s="1516"/>
      <c r="V1663">
        <v>142</v>
      </c>
    </row>
    <row r="1664" spans="1:22" customFormat="1" ht="15" x14ac:dyDescent="0.25">
      <c r="A1664" t="s">
        <v>167</v>
      </c>
      <c r="B1664" t="s">
        <v>4322</v>
      </c>
      <c r="E1664" s="1507" t="s">
        <v>849</v>
      </c>
      <c r="F1664" s="1507"/>
      <c r="G1664" s="715" t="s">
        <v>777</v>
      </c>
      <c r="H1664" s="650">
        <v>121.23</v>
      </c>
      <c r="V1664">
        <v>106</v>
      </c>
    </row>
    <row r="1665" spans="1:22" customFormat="1" ht="15" x14ac:dyDescent="0.25">
      <c r="A1665" t="s">
        <v>167</v>
      </c>
      <c r="B1665" t="s">
        <v>4322</v>
      </c>
      <c r="E1665" s="1545" t="s">
        <v>850</v>
      </c>
      <c r="F1665" s="1545"/>
      <c r="G1665" s="715" t="s">
        <v>777</v>
      </c>
      <c r="H1665" s="650">
        <v>48.5</v>
      </c>
      <c r="V1665">
        <v>34</v>
      </c>
    </row>
    <row r="1666" spans="1:22" customFormat="1" ht="15" x14ac:dyDescent="0.25">
      <c r="A1666" t="s">
        <v>167</v>
      </c>
      <c r="B1666" t="s">
        <v>4322</v>
      </c>
      <c r="E1666" s="1545" t="s">
        <v>851</v>
      </c>
      <c r="F1666" s="1545"/>
      <c r="G1666" s="715" t="s">
        <v>852</v>
      </c>
      <c r="H1666" s="650">
        <v>1.2</v>
      </c>
      <c r="V1666">
        <v>51</v>
      </c>
    </row>
    <row r="1667" spans="1:22" customFormat="1" ht="15" x14ac:dyDescent="0.25">
      <c r="A1667" t="s">
        <v>167</v>
      </c>
      <c r="B1667" t="s">
        <v>4322</v>
      </c>
      <c r="E1667" s="1545" t="s">
        <v>853</v>
      </c>
      <c r="F1667" s="1545"/>
      <c r="G1667" s="715" t="s">
        <v>852</v>
      </c>
      <c r="H1667" s="650">
        <v>0.71</v>
      </c>
      <c r="V1667">
        <v>75</v>
      </c>
    </row>
    <row r="1668" spans="1:22" customFormat="1" ht="15" x14ac:dyDescent="0.25">
      <c r="A1668" t="s">
        <v>167</v>
      </c>
      <c r="B1668" t="s">
        <v>4322</v>
      </c>
      <c r="E1668" s="1545" t="s">
        <v>854</v>
      </c>
      <c r="F1668" s="1545"/>
      <c r="G1668" s="715" t="s">
        <v>852</v>
      </c>
      <c r="H1668" s="650">
        <v>-0.71</v>
      </c>
      <c r="V1668">
        <v>72</v>
      </c>
    </row>
    <row r="1669" spans="1:22" customFormat="1" ht="15" x14ac:dyDescent="0.25">
      <c r="A1669" t="s">
        <v>167</v>
      </c>
      <c r="B1669" t="s">
        <v>4322</v>
      </c>
      <c r="E1669" s="1546" t="s">
        <v>855</v>
      </c>
      <c r="F1669" s="1546"/>
      <c r="G1669" s="716"/>
      <c r="H1669" s="650"/>
      <c r="V1669">
        <v>34</v>
      </c>
    </row>
    <row r="1670" spans="1:22" customFormat="1" ht="15" x14ac:dyDescent="0.25">
      <c r="A1670" t="s">
        <v>167</v>
      </c>
      <c r="B1670" t="s">
        <v>4322</v>
      </c>
      <c r="E1670" s="1546" t="s">
        <v>1106</v>
      </c>
      <c r="F1670" s="1546"/>
      <c r="G1670" s="715" t="s">
        <v>777</v>
      </c>
      <c r="H1670" s="650">
        <v>0.61</v>
      </c>
      <c r="V1670">
        <v>57</v>
      </c>
    </row>
    <row r="1671" spans="1:22" customFormat="1" ht="15" x14ac:dyDescent="0.25">
      <c r="A1671" t="s">
        <v>167</v>
      </c>
      <c r="B1671" t="s">
        <v>4322</v>
      </c>
      <c r="E1671" s="1546" t="s">
        <v>1107</v>
      </c>
      <c r="F1671" s="1546"/>
      <c r="G1671" s="715" t="s">
        <v>777</v>
      </c>
      <c r="H1671" s="650">
        <v>1.2</v>
      </c>
      <c r="V1671">
        <v>60</v>
      </c>
    </row>
    <row r="1672" spans="1:22" customFormat="1" ht="15" x14ac:dyDescent="0.25">
      <c r="A1672" t="s">
        <v>167</v>
      </c>
      <c r="B1672" t="s">
        <v>4322</v>
      </c>
      <c r="E1672" s="1545" t="s">
        <v>1108</v>
      </c>
      <c r="F1672" s="1545"/>
      <c r="G1672" s="716"/>
      <c r="H1672" s="650"/>
      <c r="V1672">
        <v>91</v>
      </c>
    </row>
    <row r="1673" spans="1:22" customFormat="1" ht="15" x14ac:dyDescent="0.25">
      <c r="A1673" t="s">
        <v>167</v>
      </c>
      <c r="B1673" t="s">
        <v>4322</v>
      </c>
      <c r="E1673" s="1545" t="s">
        <v>4360</v>
      </c>
      <c r="F1673" s="1545"/>
      <c r="G1673" s="716"/>
      <c r="H1673" s="650"/>
      <c r="V1673">
        <v>174</v>
      </c>
    </row>
    <row r="1674" spans="1:22" customFormat="1" ht="15" x14ac:dyDescent="0.25">
      <c r="A1674" t="s">
        <v>167</v>
      </c>
      <c r="B1674" t="s">
        <v>4322</v>
      </c>
      <c r="E1674" s="1546" t="s">
        <v>1111</v>
      </c>
      <c r="F1674" s="1546"/>
      <c r="G1674" s="715" t="s">
        <v>777</v>
      </c>
      <c r="H1674" s="650" t="s">
        <v>857</v>
      </c>
      <c r="V1674">
        <v>18</v>
      </c>
    </row>
    <row r="1675" spans="1:22" customFormat="1" ht="15" x14ac:dyDescent="0.25">
      <c r="A1675" t="s">
        <v>167</v>
      </c>
      <c r="B1675" t="s">
        <v>4322</v>
      </c>
      <c r="E1675" s="1546" t="s">
        <v>1112</v>
      </c>
      <c r="F1675" s="1546"/>
      <c r="G1675" s="715" t="s">
        <v>777</v>
      </c>
      <c r="H1675" s="650">
        <v>4.8499999999999996</v>
      </c>
      <c r="V1675">
        <v>69</v>
      </c>
    </row>
    <row r="1676" spans="1:22" customFormat="1" ht="15" x14ac:dyDescent="0.25">
      <c r="A1676" t="s">
        <v>167</v>
      </c>
      <c r="B1676" t="s">
        <v>4322</v>
      </c>
      <c r="E1676" s="1545" t="s">
        <v>858</v>
      </c>
      <c r="F1676" s="1545"/>
      <c r="G1676" s="715" t="s">
        <v>777</v>
      </c>
      <c r="H1676" s="650">
        <v>2.42</v>
      </c>
      <c r="V1676">
        <v>199</v>
      </c>
    </row>
    <row r="1677" spans="1:22" customFormat="1" ht="18.75" x14ac:dyDescent="0.25">
      <c r="A1677" t="s">
        <v>167</v>
      </c>
      <c r="B1677" t="s">
        <v>4322</v>
      </c>
      <c r="E1677" s="836" t="s">
        <v>3853</v>
      </c>
      <c r="F1677" s="714"/>
      <c r="G1677" s="688"/>
      <c r="H1677" s="476"/>
      <c r="K1677" t="s">
        <v>4071</v>
      </c>
      <c r="V1677">
        <v>12</v>
      </c>
    </row>
    <row r="1678" spans="1:22" customFormat="1" ht="15" x14ac:dyDescent="0.25">
      <c r="A1678" t="s">
        <v>167</v>
      </c>
      <c r="B1678" t="s">
        <v>4322</v>
      </c>
      <c r="E1678" s="1507" t="s">
        <v>1114</v>
      </c>
      <c r="F1678" s="1507"/>
      <c r="G1678" s="1507"/>
      <c r="H1678" s="1507"/>
      <c r="V1678">
        <v>203</v>
      </c>
    </row>
    <row r="1679" spans="1:22" customFormat="1" ht="15" x14ac:dyDescent="0.25">
      <c r="A1679" t="s">
        <v>167</v>
      </c>
      <c r="B1679" t="s">
        <v>4322</v>
      </c>
      <c r="E1679" s="1507" t="s">
        <v>1115</v>
      </c>
      <c r="F1679" s="1507"/>
      <c r="G1679" s="1507"/>
      <c r="H1679" s="650">
        <v>1.0368999999999999</v>
      </c>
      <c r="V1679">
        <v>57</v>
      </c>
    </row>
    <row r="1680" spans="1:22" customFormat="1" ht="15" x14ac:dyDescent="0.25">
      <c r="A1680" t="s">
        <v>167</v>
      </c>
      <c r="B1680" t="s">
        <v>4322</v>
      </c>
      <c r="E1680" s="1507" t="s">
        <v>4072</v>
      </c>
      <c r="F1680" s="1507"/>
      <c r="G1680" s="1507"/>
      <c r="H1680" s="650">
        <v>1.0145</v>
      </c>
      <c r="V1680">
        <v>57</v>
      </c>
    </row>
    <row r="1681" spans="1:22" customFormat="1" ht="15" x14ac:dyDescent="0.25">
      <c r="A1681" t="s">
        <v>167</v>
      </c>
      <c r="B1681" t="s">
        <v>4322</v>
      </c>
      <c r="E1681" s="1507" t="s">
        <v>1117</v>
      </c>
      <c r="F1681" s="1507"/>
      <c r="G1681" s="1507"/>
      <c r="H1681" s="650">
        <v>1.0266</v>
      </c>
      <c r="V1681">
        <v>55</v>
      </c>
    </row>
    <row r="1682" spans="1:22" customFormat="1" ht="15" x14ac:dyDescent="0.25">
      <c r="A1682" t="s">
        <v>167</v>
      </c>
      <c r="B1682" t="s">
        <v>4322</v>
      </c>
      <c r="E1682" s="1507" t="s">
        <v>4073</v>
      </c>
      <c r="F1682" s="1507"/>
      <c r="G1682" s="1507"/>
      <c r="H1682" s="650">
        <v>1.0044999999999999</v>
      </c>
      <c r="J1682" t="s">
        <v>4361</v>
      </c>
      <c r="V1682">
        <v>55</v>
      </c>
    </row>
    <row r="1683" spans="1:22" customFormat="1" ht="23.25" x14ac:dyDescent="0.25">
      <c r="A1683" t="s">
        <v>209</v>
      </c>
      <c r="C1683" t="s">
        <v>3755</v>
      </c>
      <c r="E1683" s="1550" t="s">
        <v>209</v>
      </c>
      <c r="F1683" s="1550"/>
      <c r="G1683" s="1550"/>
      <c r="H1683" s="1550"/>
      <c r="I1683" t="s">
        <v>94</v>
      </c>
      <c r="J1683" t="s">
        <v>4475</v>
      </c>
      <c r="K1683" t="s">
        <v>209</v>
      </c>
      <c r="M1683">
        <v>6</v>
      </c>
      <c r="V1683">
        <v>29</v>
      </c>
    </row>
    <row r="1684" spans="1:22" customFormat="1" x14ac:dyDescent="0.25">
      <c r="A1684" t="s">
        <v>209</v>
      </c>
      <c r="C1684" t="s">
        <v>3757</v>
      </c>
      <c r="E1684" s="1551" t="s">
        <v>944</v>
      </c>
      <c r="F1684" s="1551"/>
      <c r="G1684" s="1551"/>
      <c r="H1684" s="1551"/>
      <c r="V1684">
        <v>27</v>
      </c>
    </row>
    <row r="1685" spans="1:22" customFormat="1" ht="15.75" x14ac:dyDescent="0.25">
      <c r="A1685" t="s">
        <v>209</v>
      </c>
      <c r="C1685" t="s">
        <v>3758</v>
      </c>
      <c r="E1685" s="1543" t="s">
        <v>6511</v>
      </c>
      <c r="F1685" s="1543"/>
      <c r="G1685" s="1543"/>
      <c r="H1685" s="1543"/>
      <c r="S1685">
        <v>45658</v>
      </c>
      <c r="V1685">
        <v>49</v>
      </c>
    </row>
    <row r="1686" spans="1:22" customFormat="1" ht="15" x14ac:dyDescent="0.25">
      <c r="A1686" t="s">
        <v>209</v>
      </c>
      <c r="C1686" t="s">
        <v>3759</v>
      </c>
      <c r="E1686" s="1544" t="s">
        <v>945</v>
      </c>
      <c r="F1686" s="1544"/>
      <c r="G1686" s="1544"/>
      <c r="H1686" s="1544"/>
      <c r="V1686">
        <v>52</v>
      </c>
    </row>
    <row r="1687" spans="1:22" customFormat="1" ht="15" x14ac:dyDescent="0.25">
      <c r="A1687" t="s">
        <v>209</v>
      </c>
      <c r="E1687" s="1544" t="s">
        <v>946</v>
      </c>
      <c r="F1687" s="1544"/>
      <c r="G1687" s="1544"/>
      <c r="H1687" s="1544"/>
      <c r="V1687">
        <v>53</v>
      </c>
    </row>
    <row r="1688" spans="1:22" customFormat="1" ht="15" x14ac:dyDescent="0.25">
      <c r="A1688" t="s">
        <v>209</v>
      </c>
      <c r="E1688" s="1513" t="s">
        <v>6611</v>
      </c>
      <c r="F1688" s="1513"/>
      <c r="G1688" s="1513"/>
      <c r="H1688" s="1513"/>
      <c r="K1688" t="s">
        <v>6611</v>
      </c>
      <c r="V1688">
        <v>12</v>
      </c>
    </row>
    <row r="1689" spans="1:22" customFormat="1" ht="15" x14ac:dyDescent="0.25">
      <c r="A1689" t="s">
        <v>209</v>
      </c>
      <c r="E1689" s="1492" t="s">
        <v>170</v>
      </c>
      <c r="F1689" s="1516"/>
      <c r="G1689" s="1516"/>
      <c r="H1689" s="1516"/>
      <c r="K1689" t="s">
        <v>947</v>
      </c>
      <c r="V1689">
        <v>34</v>
      </c>
    </row>
    <row r="1690" spans="1:22" customFormat="1" ht="15" x14ac:dyDescent="0.25">
      <c r="A1690" t="s">
        <v>209</v>
      </c>
      <c r="E1690" s="1516" t="s">
        <v>4476</v>
      </c>
      <c r="F1690" s="1516"/>
      <c r="G1690" s="1516"/>
      <c r="H1690" s="1516"/>
      <c r="K1690" t="s">
        <v>947</v>
      </c>
      <c r="V1690">
        <v>649</v>
      </c>
    </row>
    <row r="1691" spans="1:22" customFormat="1" ht="15" x14ac:dyDescent="0.25">
      <c r="A1691" t="s">
        <v>209</v>
      </c>
      <c r="E1691" s="1515" t="s">
        <v>950</v>
      </c>
      <c r="F1691" s="1516"/>
      <c r="G1691" s="1516"/>
      <c r="H1691" s="1516"/>
      <c r="K1691" t="s">
        <v>949</v>
      </c>
      <c r="V1691">
        <v>11</v>
      </c>
    </row>
    <row r="1692" spans="1:22" customFormat="1" ht="15" x14ac:dyDescent="0.25">
      <c r="A1692" t="s">
        <v>209</v>
      </c>
      <c r="E1692" s="1516" t="s">
        <v>4477</v>
      </c>
      <c r="F1692" s="1516"/>
      <c r="G1692" s="1516"/>
      <c r="H1692" s="1516"/>
      <c r="K1692" t="s">
        <v>947</v>
      </c>
      <c r="V1692">
        <v>272</v>
      </c>
    </row>
    <row r="1693" spans="1:22" customFormat="1" ht="15" x14ac:dyDescent="0.25">
      <c r="A1693" t="s">
        <v>209</v>
      </c>
      <c r="E1693" s="1516" t="s">
        <v>4478</v>
      </c>
      <c r="F1693" s="1516"/>
      <c r="G1693" s="1516"/>
      <c r="H1693" s="1516"/>
      <c r="K1693" t="s">
        <v>947</v>
      </c>
      <c r="V1693">
        <v>403</v>
      </c>
    </row>
    <row r="1694" spans="1:22" customFormat="1" ht="15" x14ac:dyDescent="0.25">
      <c r="A1694" t="s">
        <v>209</v>
      </c>
      <c r="E1694" s="1516" t="s">
        <v>953</v>
      </c>
      <c r="F1694" s="1516"/>
      <c r="G1694" s="1516"/>
      <c r="H1694" s="1516"/>
      <c r="K1694" t="s">
        <v>947</v>
      </c>
      <c r="V1694">
        <v>386</v>
      </c>
    </row>
    <row r="1695" spans="1:22" customFormat="1" ht="15" x14ac:dyDescent="0.25">
      <c r="A1695" t="s">
        <v>209</v>
      </c>
      <c r="E1695" s="1516" t="s">
        <v>3762</v>
      </c>
      <c r="F1695" s="1516"/>
      <c r="G1695" s="1516"/>
      <c r="H1695" s="1516"/>
      <c r="K1695" t="s">
        <v>947</v>
      </c>
      <c r="V1695">
        <v>247</v>
      </c>
    </row>
    <row r="1696" spans="1:22" customFormat="1" ht="15" x14ac:dyDescent="0.25">
      <c r="A1696" t="s">
        <v>209</v>
      </c>
      <c r="E1696" s="1515" t="s">
        <v>956</v>
      </c>
      <c r="F1696" s="1516"/>
      <c r="G1696" s="1516"/>
      <c r="H1696" s="1516"/>
      <c r="K1696" t="s">
        <v>955</v>
      </c>
      <c r="V1696">
        <v>46</v>
      </c>
    </row>
    <row r="1697" spans="1:22" customFormat="1" ht="15" x14ac:dyDescent="0.25">
      <c r="A1697" t="s">
        <v>209</v>
      </c>
      <c r="E1697" s="1507" t="s">
        <v>3773</v>
      </c>
      <c r="F1697" s="1507"/>
      <c r="G1697" s="360" t="s">
        <v>777</v>
      </c>
      <c r="H1697" s="576">
        <v>36.869999999999997</v>
      </c>
      <c r="K1697" t="s">
        <v>947</v>
      </c>
      <c r="L1697" t="s">
        <v>690</v>
      </c>
      <c r="P1697" t="s">
        <v>957</v>
      </c>
      <c r="V1697">
        <v>14</v>
      </c>
    </row>
    <row r="1698" spans="1:22" customFormat="1" ht="15" x14ac:dyDescent="0.25">
      <c r="A1698" t="s">
        <v>209</v>
      </c>
      <c r="E1698" s="1507" t="s">
        <v>960</v>
      </c>
      <c r="F1698" s="1507"/>
      <c r="G1698" s="360" t="s">
        <v>777</v>
      </c>
      <c r="H1698" s="576">
        <v>0.42</v>
      </c>
      <c r="K1698" t="s">
        <v>947</v>
      </c>
      <c r="L1698" t="s">
        <v>692</v>
      </c>
      <c r="P1698" t="s">
        <v>959</v>
      </c>
      <c r="V1698">
        <v>64</v>
      </c>
    </row>
    <row r="1699" spans="1:22" customFormat="1" ht="15" x14ac:dyDescent="0.25">
      <c r="A1699" t="s">
        <v>209</v>
      </c>
      <c r="E1699" s="1507" t="s">
        <v>910</v>
      </c>
      <c r="F1699" s="1507"/>
      <c r="G1699" s="360" t="s">
        <v>845</v>
      </c>
      <c r="H1699" s="577">
        <v>4.1999999999999997E-3</v>
      </c>
      <c r="K1699" t="s">
        <v>947</v>
      </c>
      <c r="L1699" t="s">
        <v>692</v>
      </c>
      <c r="P1699" t="s">
        <v>961</v>
      </c>
      <c r="V1699">
        <v>24</v>
      </c>
    </row>
    <row r="1700" spans="1:22" customFormat="1" ht="15" x14ac:dyDescent="0.25">
      <c r="A1700" t="s">
        <v>209</v>
      </c>
      <c r="E1700" s="1507" t="s">
        <v>6519</v>
      </c>
      <c r="F1700" s="1510"/>
      <c r="G1700" s="360" t="s">
        <v>845</v>
      </c>
      <c r="H1700" s="577">
        <v>4.1999999999999997E-3</v>
      </c>
      <c r="K1700" t="s">
        <v>947</v>
      </c>
      <c r="L1700" t="s">
        <v>692</v>
      </c>
      <c r="P1700" t="s">
        <v>962</v>
      </c>
      <c r="T1700">
        <v>46022</v>
      </c>
      <c r="V1700">
        <v>142</v>
      </c>
    </row>
    <row r="1701" spans="1:22" customFormat="1" ht="15" x14ac:dyDescent="0.25">
      <c r="A1701" t="s">
        <v>209</v>
      </c>
      <c r="E1701" s="1507" t="s">
        <v>6520</v>
      </c>
      <c r="F1701" s="1510"/>
      <c r="G1701" s="360" t="s">
        <v>845</v>
      </c>
      <c r="H1701" s="577">
        <v>5.0000000000000001E-4</v>
      </c>
      <c r="K1701" t="s">
        <v>947</v>
      </c>
      <c r="L1701" t="s">
        <v>692</v>
      </c>
      <c r="P1701" t="s">
        <v>963</v>
      </c>
      <c r="T1701">
        <v>46022</v>
      </c>
      <c r="V1701">
        <v>99</v>
      </c>
    </row>
    <row r="1702" spans="1:22" customFormat="1" ht="15" x14ac:dyDescent="0.25">
      <c r="A1702" t="s">
        <v>209</v>
      </c>
      <c r="E1702" s="1507" t="s">
        <v>243</v>
      </c>
      <c r="F1702" s="1507"/>
      <c r="G1702" s="360" t="s">
        <v>845</v>
      </c>
      <c r="H1702" s="577">
        <v>1.1900000000000001E-2</v>
      </c>
      <c r="K1702" t="s">
        <v>947</v>
      </c>
      <c r="L1702" t="s">
        <v>694</v>
      </c>
      <c r="P1702" t="s">
        <v>964</v>
      </c>
      <c r="V1702">
        <v>47</v>
      </c>
    </row>
    <row r="1703" spans="1:22" customFormat="1" ht="15" x14ac:dyDescent="0.25">
      <c r="A1703" t="s">
        <v>209</v>
      </c>
      <c r="E1703" s="1507" t="s">
        <v>175</v>
      </c>
      <c r="F1703" s="1507"/>
      <c r="G1703" s="360" t="s">
        <v>845</v>
      </c>
      <c r="H1703" s="577">
        <v>9.1000000000000004E-3</v>
      </c>
      <c r="K1703" t="s">
        <v>947</v>
      </c>
      <c r="L1703" t="s">
        <v>694</v>
      </c>
      <c r="P1703" t="s">
        <v>965</v>
      </c>
      <c r="V1703">
        <v>74</v>
      </c>
    </row>
    <row r="1704" spans="1:22" customFormat="1" ht="15" x14ac:dyDescent="0.25">
      <c r="A1704" t="s">
        <v>209</v>
      </c>
      <c r="E1704" s="1515" t="s">
        <v>967</v>
      </c>
      <c r="F1704" s="1507"/>
      <c r="G1704" s="584"/>
      <c r="H1704" s="584"/>
      <c r="K1704" t="s">
        <v>966</v>
      </c>
      <c r="V1704">
        <v>48</v>
      </c>
    </row>
    <row r="1705" spans="1:22" customFormat="1" ht="15" x14ac:dyDescent="0.25">
      <c r="A1705" t="s">
        <v>209</v>
      </c>
      <c r="E1705" s="1507" t="s">
        <v>844</v>
      </c>
      <c r="F1705" s="1507"/>
      <c r="G1705" s="360" t="s">
        <v>845</v>
      </c>
      <c r="H1705" s="577">
        <v>4.1000000000000003E-3</v>
      </c>
      <c r="K1705" t="s">
        <v>947</v>
      </c>
      <c r="L1705" t="s">
        <v>968</v>
      </c>
      <c r="P1705" t="s">
        <v>969</v>
      </c>
      <c r="V1705">
        <v>55</v>
      </c>
    </row>
    <row r="1706" spans="1:22" customFormat="1" ht="15" x14ac:dyDescent="0.25">
      <c r="A1706" t="s">
        <v>209</v>
      </c>
      <c r="E1706" s="1507" t="s">
        <v>846</v>
      </c>
      <c r="F1706" s="1507"/>
      <c r="G1706" s="360" t="s">
        <v>845</v>
      </c>
      <c r="H1706" s="577">
        <v>4.0000000000000002E-4</v>
      </c>
      <c r="K1706" t="s">
        <v>947</v>
      </c>
      <c r="L1706" t="s">
        <v>968</v>
      </c>
      <c r="P1706" t="s">
        <v>969</v>
      </c>
      <c r="V1706">
        <v>65</v>
      </c>
    </row>
    <row r="1707" spans="1:22" customFormat="1" ht="15" x14ac:dyDescent="0.25">
      <c r="A1707" t="s">
        <v>209</v>
      </c>
      <c r="E1707" s="1507" t="s">
        <v>847</v>
      </c>
      <c r="F1707" s="1507"/>
      <c r="G1707" s="360" t="s">
        <v>845</v>
      </c>
      <c r="H1707" s="577">
        <v>1.5E-3</v>
      </c>
      <c r="K1707" t="s">
        <v>947</v>
      </c>
      <c r="L1707" t="s">
        <v>968</v>
      </c>
      <c r="P1707" t="s">
        <v>970</v>
      </c>
      <c r="V1707">
        <v>57</v>
      </c>
    </row>
    <row r="1708" spans="1:22" customFormat="1" ht="15" x14ac:dyDescent="0.25">
      <c r="A1708" t="s">
        <v>209</v>
      </c>
      <c r="E1708" s="1507" t="s">
        <v>848</v>
      </c>
      <c r="F1708" s="1507"/>
      <c r="G1708" s="360" t="s">
        <v>777</v>
      </c>
      <c r="H1708" s="576">
        <v>0.25</v>
      </c>
      <c r="K1708" t="s">
        <v>947</v>
      </c>
      <c r="L1708" t="s">
        <v>968</v>
      </c>
      <c r="P1708" t="s">
        <v>971</v>
      </c>
      <c r="V1708">
        <v>63</v>
      </c>
    </row>
    <row r="1709" spans="1:22" customFormat="1" x14ac:dyDescent="0.25">
      <c r="A1709" t="s">
        <v>209</v>
      </c>
      <c r="E1709" s="1492" t="s">
        <v>174</v>
      </c>
      <c r="F1709" s="1493"/>
      <c r="G1709" s="1493"/>
      <c r="H1709" s="1493"/>
      <c r="K1709" t="s">
        <v>972</v>
      </c>
      <c r="V1709">
        <v>54</v>
      </c>
    </row>
    <row r="1710" spans="1:22" customFormat="1" ht="15" x14ac:dyDescent="0.25">
      <c r="A1710" t="s">
        <v>209</v>
      </c>
      <c r="E1710" s="1516" t="s">
        <v>4479</v>
      </c>
      <c r="F1710" s="1516"/>
      <c r="G1710" s="1516"/>
      <c r="H1710" s="1516"/>
      <c r="K1710" t="s">
        <v>972</v>
      </c>
      <c r="V1710">
        <v>336</v>
      </c>
    </row>
    <row r="1711" spans="1:22" customFormat="1" ht="15" x14ac:dyDescent="0.25">
      <c r="A1711" t="s">
        <v>209</v>
      </c>
      <c r="E1711" s="1515" t="s">
        <v>950</v>
      </c>
      <c r="F1711" s="1516"/>
      <c r="G1711" s="1516"/>
      <c r="H1711" s="1516"/>
      <c r="K1711" t="s">
        <v>974</v>
      </c>
      <c r="V1711">
        <v>11</v>
      </c>
    </row>
    <row r="1712" spans="1:22" customFormat="1" ht="15" x14ac:dyDescent="0.25">
      <c r="A1712" t="s">
        <v>209</v>
      </c>
      <c r="E1712" s="1516" t="s">
        <v>4477</v>
      </c>
      <c r="F1712" s="1516"/>
      <c r="G1712" s="1516"/>
      <c r="H1712" s="1516"/>
      <c r="K1712" t="s">
        <v>972</v>
      </c>
      <c r="V1712">
        <v>272</v>
      </c>
    </row>
    <row r="1713" spans="1:22" customFormat="1" ht="15" x14ac:dyDescent="0.25">
      <c r="A1713" t="s">
        <v>209</v>
      </c>
      <c r="E1713" s="1516" t="s">
        <v>4478</v>
      </c>
      <c r="F1713" s="1516"/>
      <c r="G1713" s="1516"/>
      <c r="H1713" s="1516"/>
      <c r="K1713" t="s">
        <v>972</v>
      </c>
      <c r="V1713">
        <v>403</v>
      </c>
    </row>
    <row r="1714" spans="1:22" customFormat="1" ht="15" x14ac:dyDescent="0.25">
      <c r="A1714" t="s">
        <v>209</v>
      </c>
      <c r="E1714" s="1516" t="s">
        <v>953</v>
      </c>
      <c r="F1714" s="1516"/>
      <c r="G1714" s="1516"/>
      <c r="H1714" s="1516"/>
      <c r="K1714" t="s">
        <v>972</v>
      </c>
      <c r="V1714">
        <v>386</v>
      </c>
    </row>
    <row r="1715" spans="1:22" customFormat="1" ht="15" x14ac:dyDescent="0.25">
      <c r="A1715" t="s">
        <v>209</v>
      </c>
      <c r="E1715" s="1516" t="s">
        <v>3762</v>
      </c>
      <c r="F1715" s="1516"/>
      <c r="G1715" s="1516"/>
      <c r="H1715" s="1516"/>
      <c r="K1715" t="s">
        <v>972</v>
      </c>
      <c r="V1715">
        <v>247</v>
      </c>
    </row>
    <row r="1716" spans="1:22" customFormat="1" ht="15" x14ac:dyDescent="0.25">
      <c r="A1716" t="s">
        <v>209</v>
      </c>
      <c r="E1716" s="1515" t="s">
        <v>956</v>
      </c>
      <c r="F1716" s="1516"/>
      <c r="G1716" s="1516"/>
      <c r="H1716" s="1516"/>
      <c r="K1716" t="s">
        <v>975</v>
      </c>
      <c r="V1716">
        <v>46</v>
      </c>
    </row>
    <row r="1717" spans="1:22" customFormat="1" ht="15" x14ac:dyDescent="0.25">
      <c r="A1717" t="s">
        <v>209</v>
      </c>
      <c r="E1717" s="1507" t="s">
        <v>3773</v>
      </c>
      <c r="F1717" s="1507"/>
      <c r="G1717" s="360" t="s">
        <v>777</v>
      </c>
      <c r="H1717" s="576">
        <v>22</v>
      </c>
      <c r="K1717" t="s">
        <v>972</v>
      </c>
      <c r="L1717" t="s">
        <v>690</v>
      </c>
      <c r="P1717" t="s">
        <v>976</v>
      </c>
      <c r="V1717">
        <v>14</v>
      </c>
    </row>
    <row r="1718" spans="1:22" customFormat="1" ht="15" x14ac:dyDescent="0.25">
      <c r="A1718" t="s">
        <v>209</v>
      </c>
      <c r="E1718" s="1507" t="s">
        <v>960</v>
      </c>
      <c r="F1718" s="1507"/>
      <c r="G1718" s="360" t="s">
        <v>777</v>
      </c>
      <c r="H1718" s="576">
        <v>0.42</v>
      </c>
      <c r="K1718" t="s">
        <v>972</v>
      </c>
      <c r="L1718" t="s">
        <v>692</v>
      </c>
      <c r="P1718" t="s">
        <v>977</v>
      </c>
      <c r="V1718">
        <v>64</v>
      </c>
    </row>
    <row r="1719" spans="1:22" customFormat="1" ht="15" x14ac:dyDescent="0.25">
      <c r="A1719" t="s">
        <v>209</v>
      </c>
      <c r="E1719" s="1507" t="s">
        <v>3688</v>
      </c>
      <c r="F1719" s="1507"/>
      <c r="G1719" s="360" t="s">
        <v>845</v>
      </c>
      <c r="H1719" s="577">
        <v>1.84E-2</v>
      </c>
      <c r="K1719" t="s">
        <v>972</v>
      </c>
      <c r="L1719" t="s">
        <v>690</v>
      </c>
      <c r="P1719" t="s">
        <v>978</v>
      </c>
      <c r="V1719">
        <v>28</v>
      </c>
    </row>
    <row r="1720" spans="1:22" customFormat="1" ht="15" x14ac:dyDescent="0.25">
      <c r="A1720" t="s">
        <v>209</v>
      </c>
      <c r="E1720" s="1507" t="s">
        <v>910</v>
      </c>
      <c r="F1720" s="1507"/>
      <c r="G1720" s="360" t="s">
        <v>845</v>
      </c>
      <c r="H1720" s="577">
        <v>3.7000000000000002E-3</v>
      </c>
      <c r="K1720" t="s">
        <v>972</v>
      </c>
      <c r="L1720" t="s">
        <v>692</v>
      </c>
      <c r="P1720" t="s">
        <v>980</v>
      </c>
      <c r="V1720">
        <v>24</v>
      </c>
    </row>
    <row r="1721" spans="1:22" customFormat="1" ht="15" x14ac:dyDescent="0.25">
      <c r="A1721" t="s">
        <v>209</v>
      </c>
      <c r="E1721" s="1507" t="s">
        <v>6519</v>
      </c>
      <c r="F1721" s="1510"/>
      <c r="G1721" s="360" t="s">
        <v>845</v>
      </c>
      <c r="H1721" s="577">
        <v>4.1999999999999997E-3</v>
      </c>
      <c r="K1721" t="s">
        <v>972</v>
      </c>
      <c r="L1721" t="s">
        <v>692</v>
      </c>
      <c r="P1721" t="s">
        <v>981</v>
      </c>
      <c r="T1721">
        <v>46022</v>
      </c>
      <c r="V1721">
        <v>142</v>
      </c>
    </row>
    <row r="1722" spans="1:22" customFormat="1" ht="15" x14ac:dyDescent="0.25">
      <c r="A1722" t="s">
        <v>209</v>
      </c>
      <c r="E1722" s="1507" t="s">
        <v>6520</v>
      </c>
      <c r="F1722" s="1510"/>
      <c r="G1722" s="360" t="s">
        <v>845</v>
      </c>
      <c r="H1722" s="577">
        <v>6.9999999999999999E-4</v>
      </c>
      <c r="K1722" t="s">
        <v>972</v>
      </c>
      <c r="L1722" t="s">
        <v>692</v>
      </c>
      <c r="P1722" t="s">
        <v>982</v>
      </c>
      <c r="T1722">
        <v>46022</v>
      </c>
      <c r="V1722">
        <v>99</v>
      </c>
    </row>
    <row r="1723" spans="1:22" customFormat="1" ht="15" x14ac:dyDescent="0.25">
      <c r="A1723" t="s">
        <v>209</v>
      </c>
      <c r="E1723" s="1507" t="s">
        <v>243</v>
      </c>
      <c r="F1723" s="1507"/>
      <c r="G1723" s="360" t="s">
        <v>845</v>
      </c>
      <c r="H1723" s="577">
        <v>1.06E-2</v>
      </c>
      <c r="K1723" t="s">
        <v>972</v>
      </c>
      <c r="L1723" t="s">
        <v>694</v>
      </c>
      <c r="P1723" t="s">
        <v>983</v>
      </c>
      <c r="V1723">
        <v>47</v>
      </c>
    </row>
    <row r="1724" spans="1:22" customFormat="1" ht="15" x14ac:dyDescent="0.25">
      <c r="A1724" t="s">
        <v>209</v>
      </c>
      <c r="E1724" s="1507" t="s">
        <v>175</v>
      </c>
      <c r="F1724" s="1507"/>
      <c r="G1724" s="360" t="s">
        <v>845</v>
      </c>
      <c r="H1724" s="577">
        <v>7.9000000000000008E-3</v>
      </c>
      <c r="K1724" t="s">
        <v>972</v>
      </c>
      <c r="L1724" t="s">
        <v>694</v>
      </c>
      <c r="P1724" t="s">
        <v>984</v>
      </c>
      <c r="V1724">
        <v>74</v>
      </c>
    </row>
    <row r="1725" spans="1:22" customFormat="1" ht="15" x14ac:dyDescent="0.25">
      <c r="A1725" t="s">
        <v>209</v>
      </c>
      <c r="E1725" s="1515" t="s">
        <v>967</v>
      </c>
      <c r="F1725" s="1507"/>
      <c r="G1725" s="584"/>
      <c r="H1725" s="584"/>
      <c r="K1725" t="s">
        <v>985</v>
      </c>
      <c r="V1725">
        <v>48</v>
      </c>
    </row>
    <row r="1726" spans="1:22" customFormat="1" ht="15" x14ac:dyDescent="0.25">
      <c r="A1726" t="s">
        <v>209</v>
      </c>
      <c r="E1726" s="1507" t="s">
        <v>844</v>
      </c>
      <c r="F1726" s="1507"/>
      <c r="G1726" s="360" t="s">
        <v>845</v>
      </c>
      <c r="H1726" s="577">
        <v>4.1000000000000003E-3</v>
      </c>
      <c r="K1726" t="s">
        <v>972</v>
      </c>
      <c r="L1726" t="s">
        <v>968</v>
      </c>
      <c r="P1726" t="s">
        <v>986</v>
      </c>
      <c r="V1726">
        <v>55</v>
      </c>
    </row>
    <row r="1727" spans="1:22" customFormat="1" ht="15" x14ac:dyDescent="0.25">
      <c r="A1727" t="s">
        <v>209</v>
      </c>
      <c r="E1727" s="1507" t="s">
        <v>846</v>
      </c>
      <c r="F1727" s="1507"/>
      <c r="G1727" s="360" t="s">
        <v>845</v>
      </c>
      <c r="H1727" s="577">
        <v>4.0000000000000002E-4</v>
      </c>
      <c r="K1727" t="s">
        <v>972</v>
      </c>
      <c r="L1727" t="s">
        <v>968</v>
      </c>
      <c r="P1727" t="s">
        <v>986</v>
      </c>
      <c r="V1727">
        <v>65</v>
      </c>
    </row>
    <row r="1728" spans="1:22" customFormat="1" ht="15" x14ac:dyDescent="0.25">
      <c r="A1728" t="s">
        <v>209</v>
      </c>
      <c r="E1728" s="1507" t="s">
        <v>847</v>
      </c>
      <c r="F1728" s="1507"/>
      <c r="G1728" s="360" t="s">
        <v>845</v>
      </c>
      <c r="H1728" s="577">
        <v>1.5E-3</v>
      </c>
      <c r="K1728" t="s">
        <v>972</v>
      </c>
      <c r="L1728" t="s">
        <v>968</v>
      </c>
      <c r="P1728" t="s">
        <v>987</v>
      </c>
      <c r="V1728">
        <v>57</v>
      </c>
    </row>
    <row r="1729" spans="1:22" customFormat="1" ht="15" x14ac:dyDescent="0.25">
      <c r="A1729" t="s">
        <v>209</v>
      </c>
      <c r="E1729" s="1507" t="s">
        <v>848</v>
      </c>
      <c r="F1729" s="1507"/>
      <c r="G1729" s="360" t="s">
        <v>777</v>
      </c>
      <c r="H1729" s="576">
        <v>0.25</v>
      </c>
      <c r="K1729" t="s">
        <v>972</v>
      </c>
      <c r="L1729" t="s">
        <v>968</v>
      </c>
      <c r="P1729" t="s">
        <v>988</v>
      </c>
      <c r="V1729">
        <v>63</v>
      </c>
    </row>
    <row r="1730" spans="1:22" customFormat="1" x14ac:dyDescent="0.25">
      <c r="A1730" t="s">
        <v>209</v>
      </c>
      <c r="E1730" s="1492" t="s">
        <v>3767</v>
      </c>
      <c r="F1730" s="1493"/>
      <c r="G1730" s="1493"/>
      <c r="H1730" s="1493"/>
      <c r="K1730" t="s">
        <v>3768</v>
      </c>
      <c r="V1730">
        <v>53</v>
      </c>
    </row>
    <row r="1731" spans="1:22" customFormat="1" ht="15" x14ac:dyDescent="0.25">
      <c r="A1731" t="s">
        <v>209</v>
      </c>
      <c r="E1731" s="1516" t="s">
        <v>4480</v>
      </c>
      <c r="F1731" s="1516"/>
      <c r="G1731" s="1516"/>
      <c r="H1731" s="1516"/>
      <c r="K1731" t="s">
        <v>3768</v>
      </c>
      <c r="V1731">
        <v>387</v>
      </c>
    </row>
    <row r="1732" spans="1:22" customFormat="1" ht="15" x14ac:dyDescent="0.25">
      <c r="A1732" t="s">
        <v>209</v>
      </c>
      <c r="E1732" s="1515" t="s">
        <v>950</v>
      </c>
      <c r="F1732" s="1516"/>
      <c r="G1732" s="1516"/>
      <c r="H1732" s="1516"/>
      <c r="K1732" t="s">
        <v>992</v>
      </c>
      <c r="V1732">
        <v>11</v>
      </c>
    </row>
    <row r="1733" spans="1:22" customFormat="1" ht="15" x14ac:dyDescent="0.25">
      <c r="A1733" t="s">
        <v>209</v>
      </c>
      <c r="E1733" s="1516" t="s">
        <v>4477</v>
      </c>
      <c r="F1733" s="1516"/>
      <c r="G1733" s="1516"/>
      <c r="H1733" s="1516"/>
      <c r="K1733" t="s">
        <v>3768</v>
      </c>
      <c r="V1733">
        <v>272</v>
      </c>
    </row>
    <row r="1734" spans="1:22" customFormat="1" ht="15" x14ac:dyDescent="0.25">
      <c r="A1734" t="s">
        <v>209</v>
      </c>
      <c r="E1734" s="1516" t="s">
        <v>4478</v>
      </c>
      <c r="F1734" s="1516"/>
      <c r="G1734" s="1516"/>
      <c r="H1734" s="1516"/>
      <c r="K1734" t="s">
        <v>3768</v>
      </c>
      <c r="V1734">
        <v>403</v>
      </c>
    </row>
    <row r="1735" spans="1:22" customFormat="1" ht="15" x14ac:dyDescent="0.25">
      <c r="A1735" t="s">
        <v>209</v>
      </c>
      <c r="E1735" s="1516" t="s">
        <v>953</v>
      </c>
      <c r="F1735" s="1516"/>
      <c r="G1735" s="1516"/>
      <c r="H1735" s="1516"/>
      <c r="K1735" t="s">
        <v>3768</v>
      </c>
      <c r="V1735">
        <v>386</v>
      </c>
    </row>
    <row r="1736" spans="1:22" customFormat="1" ht="15" x14ac:dyDescent="0.25">
      <c r="A1736" t="s">
        <v>209</v>
      </c>
      <c r="E1736" s="1516" t="s">
        <v>3771</v>
      </c>
      <c r="F1736" s="1516"/>
      <c r="G1736" s="1516"/>
      <c r="H1736" s="1516"/>
      <c r="K1736" t="s">
        <v>3768</v>
      </c>
      <c r="V1736">
        <v>677</v>
      </c>
    </row>
    <row r="1737" spans="1:22" customFormat="1" ht="15" x14ac:dyDescent="0.25">
      <c r="A1737" t="s">
        <v>209</v>
      </c>
      <c r="E1737" s="1516" t="s">
        <v>3772</v>
      </c>
      <c r="F1737" s="1516"/>
      <c r="G1737" s="1516"/>
      <c r="H1737" s="1516"/>
      <c r="K1737" t="s">
        <v>3768</v>
      </c>
      <c r="V1737">
        <v>693</v>
      </c>
    </row>
    <row r="1738" spans="1:22" customFormat="1" ht="15" x14ac:dyDescent="0.25">
      <c r="A1738" t="s">
        <v>209</v>
      </c>
      <c r="E1738" s="1516" t="s">
        <v>3762</v>
      </c>
      <c r="F1738" s="1516"/>
      <c r="G1738" s="1516"/>
      <c r="H1738" s="1516"/>
      <c r="K1738" t="s">
        <v>3768</v>
      </c>
      <c r="V1738">
        <v>247</v>
      </c>
    </row>
    <row r="1739" spans="1:22" customFormat="1" ht="15" x14ac:dyDescent="0.25">
      <c r="A1739" t="s">
        <v>209</v>
      </c>
      <c r="E1739" s="1515" t="s">
        <v>956</v>
      </c>
      <c r="F1739" s="1516"/>
      <c r="G1739" s="1516"/>
      <c r="H1739" s="1516"/>
      <c r="K1739" t="s">
        <v>995</v>
      </c>
      <c r="V1739">
        <v>46</v>
      </c>
    </row>
    <row r="1740" spans="1:22" customFormat="1" ht="15" x14ac:dyDescent="0.25">
      <c r="A1740" t="s">
        <v>209</v>
      </c>
      <c r="E1740" s="1507" t="s">
        <v>3773</v>
      </c>
      <c r="F1740" s="1507"/>
      <c r="G1740" s="360" t="s">
        <v>777</v>
      </c>
      <c r="H1740" s="576">
        <v>198.94</v>
      </c>
      <c r="K1740" t="s">
        <v>3768</v>
      </c>
      <c r="L1740" t="s">
        <v>690</v>
      </c>
      <c r="P1740" t="s">
        <v>3774</v>
      </c>
      <c r="V1740">
        <v>14</v>
      </c>
    </row>
    <row r="1741" spans="1:22" customFormat="1" ht="15" x14ac:dyDescent="0.25">
      <c r="A1741" t="s">
        <v>209</v>
      </c>
      <c r="E1741" s="1507" t="s">
        <v>3688</v>
      </c>
      <c r="F1741" s="1507"/>
      <c r="G1741" s="360" t="s">
        <v>3775</v>
      </c>
      <c r="H1741" s="577">
        <v>4.2279999999999998</v>
      </c>
      <c r="K1741" t="s">
        <v>3768</v>
      </c>
      <c r="L1741" t="s">
        <v>690</v>
      </c>
      <c r="P1741" t="s">
        <v>3776</v>
      </c>
      <c r="V1741">
        <v>28</v>
      </c>
    </row>
    <row r="1742" spans="1:22" customFormat="1" ht="15" x14ac:dyDescent="0.25">
      <c r="A1742" t="s">
        <v>209</v>
      </c>
      <c r="E1742" s="1507" t="s">
        <v>910</v>
      </c>
      <c r="F1742" s="1507"/>
      <c r="G1742" s="360" t="s">
        <v>3775</v>
      </c>
      <c r="H1742" s="577">
        <v>1.3677999999999999</v>
      </c>
      <c r="K1742" t="s">
        <v>3768</v>
      </c>
      <c r="L1742" t="s">
        <v>692</v>
      </c>
      <c r="P1742" t="s">
        <v>3777</v>
      </c>
      <c r="V1742">
        <v>24</v>
      </c>
    </row>
    <row r="1743" spans="1:22" customFormat="1" ht="15" x14ac:dyDescent="0.25">
      <c r="A1743" t="s">
        <v>209</v>
      </c>
      <c r="E1743" s="1507" t="s">
        <v>6519</v>
      </c>
      <c r="F1743" s="1510"/>
      <c r="G1743" s="360" t="s">
        <v>845</v>
      </c>
      <c r="H1743" s="577">
        <v>4.1999999999999997E-3</v>
      </c>
      <c r="K1743" t="s">
        <v>3768</v>
      </c>
      <c r="L1743" t="s">
        <v>692</v>
      </c>
      <c r="P1743" t="s">
        <v>4232</v>
      </c>
      <c r="T1743">
        <v>46022</v>
      </c>
      <c r="V1743">
        <v>142</v>
      </c>
    </row>
    <row r="1744" spans="1:22" customFormat="1" ht="15" x14ac:dyDescent="0.25">
      <c r="A1744" t="s">
        <v>209</v>
      </c>
      <c r="E1744" s="1507" t="s">
        <v>6520</v>
      </c>
      <c r="F1744" s="1510"/>
      <c r="G1744" s="360" t="s">
        <v>3775</v>
      </c>
      <c r="H1744" s="577">
        <v>0.26619999999999999</v>
      </c>
      <c r="K1744" t="s">
        <v>3768</v>
      </c>
      <c r="L1744" t="s">
        <v>692</v>
      </c>
      <c r="P1744" t="s">
        <v>3779</v>
      </c>
      <c r="T1744">
        <v>46022</v>
      </c>
      <c r="V1744">
        <v>99</v>
      </c>
    </row>
    <row r="1745" spans="1:22" customFormat="1" ht="15" x14ac:dyDescent="0.25">
      <c r="A1745" t="s">
        <v>209</v>
      </c>
      <c r="E1745" s="1507" t="s">
        <v>243</v>
      </c>
      <c r="F1745" s="1507"/>
      <c r="G1745" s="360" t="s">
        <v>3775</v>
      </c>
      <c r="H1745" s="577">
        <v>4.3544999999999998</v>
      </c>
      <c r="K1745" t="s">
        <v>3768</v>
      </c>
      <c r="L1745" t="s">
        <v>694</v>
      </c>
      <c r="P1745" t="s">
        <v>3780</v>
      </c>
      <c r="V1745">
        <v>47</v>
      </c>
    </row>
    <row r="1746" spans="1:22" customFormat="1" ht="15" x14ac:dyDescent="0.25">
      <c r="A1746" t="s">
        <v>209</v>
      </c>
      <c r="E1746" s="1507" t="s">
        <v>175</v>
      </c>
      <c r="F1746" s="1507"/>
      <c r="G1746" s="360" t="s">
        <v>3775</v>
      </c>
      <c r="H1746" s="577">
        <v>3.1932</v>
      </c>
      <c r="K1746" t="s">
        <v>3768</v>
      </c>
      <c r="L1746" t="s">
        <v>694</v>
      </c>
      <c r="P1746" t="s">
        <v>3781</v>
      </c>
      <c r="V1746">
        <v>74</v>
      </c>
    </row>
    <row r="1747" spans="1:22" customFormat="1" ht="15" x14ac:dyDescent="0.25">
      <c r="A1747" t="s">
        <v>209</v>
      </c>
      <c r="E1747" s="1515" t="s">
        <v>967</v>
      </c>
      <c r="F1747" s="1507"/>
      <c r="G1747" s="584"/>
      <c r="H1747" s="584"/>
      <c r="K1747" t="s">
        <v>1003</v>
      </c>
      <c r="V1747">
        <v>48</v>
      </c>
    </row>
    <row r="1748" spans="1:22" customFormat="1" ht="15" x14ac:dyDescent="0.25">
      <c r="A1748" t="s">
        <v>209</v>
      </c>
      <c r="E1748" s="1507" t="s">
        <v>844</v>
      </c>
      <c r="F1748" s="1507"/>
      <c r="G1748" s="360" t="s">
        <v>845</v>
      </c>
      <c r="H1748" s="577">
        <v>4.1000000000000003E-3</v>
      </c>
      <c r="K1748" t="s">
        <v>3768</v>
      </c>
      <c r="L1748" t="s">
        <v>968</v>
      </c>
      <c r="P1748" t="s">
        <v>3782</v>
      </c>
      <c r="V1748">
        <v>55</v>
      </c>
    </row>
    <row r="1749" spans="1:22" customFormat="1" ht="15" x14ac:dyDescent="0.25">
      <c r="A1749" t="s">
        <v>209</v>
      </c>
      <c r="E1749" s="1507" t="s">
        <v>846</v>
      </c>
      <c r="F1749" s="1507"/>
      <c r="G1749" s="360" t="s">
        <v>845</v>
      </c>
      <c r="H1749" s="577">
        <v>4.0000000000000002E-4</v>
      </c>
      <c r="K1749" t="s">
        <v>3768</v>
      </c>
      <c r="L1749" t="s">
        <v>968</v>
      </c>
      <c r="P1749" t="s">
        <v>3782</v>
      </c>
      <c r="V1749">
        <v>65</v>
      </c>
    </row>
    <row r="1750" spans="1:22" customFormat="1" ht="15" x14ac:dyDescent="0.25">
      <c r="A1750" t="s">
        <v>209</v>
      </c>
      <c r="E1750" s="1507" t="s">
        <v>847</v>
      </c>
      <c r="F1750" s="1507"/>
      <c r="G1750" s="360" t="s">
        <v>845</v>
      </c>
      <c r="H1750" s="577">
        <v>1.5E-3</v>
      </c>
      <c r="K1750" t="s">
        <v>3768</v>
      </c>
      <c r="L1750" t="s">
        <v>968</v>
      </c>
      <c r="P1750" t="s">
        <v>3783</v>
      </c>
      <c r="V1750">
        <v>57</v>
      </c>
    </row>
    <row r="1751" spans="1:22" customFormat="1" ht="15" x14ac:dyDescent="0.25">
      <c r="A1751" t="s">
        <v>209</v>
      </c>
      <c r="E1751" s="1507" t="s">
        <v>848</v>
      </c>
      <c r="F1751" s="1507"/>
      <c r="G1751" s="360" t="s">
        <v>777</v>
      </c>
      <c r="H1751" s="576">
        <v>0.25</v>
      </c>
      <c r="K1751" t="s">
        <v>3768</v>
      </c>
      <c r="L1751" t="s">
        <v>968</v>
      </c>
      <c r="P1751" t="s">
        <v>3784</v>
      </c>
      <c r="V1751">
        <v>63</v>
      </c>
    </row>
    <row r="1752" spans="1:22" customFormat="1" x14ac:dyDescent="0.25">
      <c r="A1752" t="s">
        <v>209</v>
      </c>
      <c r="E1752" s="1492" t="s">
        <v>194</v>
      </c>
      <c r="F1752" s="1493"/>
      <c r="G1752" s="1493"/>
      <c r="H1752" s="1493"/>
      <c r="K1752" t="s">
        <v>3785</v>
      </c>
      <c r="V1752">
        <v>47</v>
      </c>
    </row>
    <row r="1753" spans="1:22" customFormat="1" ht="15" x14ac:dyDescent="0.25">
      <c r="A1753" t="s">
        <v>209</v>
      </c>
      <c r="E1753" s="1516" t="s">
        <v>4481</v>
      </c>
      <c r="F1753" s="1516"/>
      <c r="G1753" s="1516"/>
      <c r="H1753" s="1516"/>
      <c r="K1753" t="s">
        <v>3785</v>
      </c>
      <c r="V1753">
        <v>721</v>
      </c>
    </row>
    <row r="1754" spans="1:22" customFormat="1" ht="15" x14ac:dyDescent="0.25">
      <c r="A1754" t="s">
        <v>209</v>
      </c>
      <c r="E1754" s="1515" t="s">
        <v>950</v>
      </c>
      <c r="F1754" s="1516"/>
      <c r="G1754" s="1516"/>
      <c r="H1754" s="1516"/>
      <c r="K1754" t="s">
        <v>1010</v>
      </c>
      <c r="V1754">
        <v>11</v>
      </c>
    </row>
    <row r="1755" spans="1:22" customFormat="1" ht="15" x14ac:dyDescent="0.25">
      <c r="A1755" t="s">
        <v>209</v>
      </c>
      <c r="E1755" s="1516" t="s">
        <v>4477</v>
      </c>
      <c r="F1755" s="1516"/>
      <c r="G1755" s="1516"/>
      <c r="H1755" s="1516"/>
      <c r="K1755" t="s">
        <v>3785</v>
      </c>
      <c r="V1755">
        <v>272</v>
      </c>
    </row>
    <row r="1756" spans="1:22" customFormat="1" ht="15" x14ac:dyDescent="0.25">
      <c r="A1756" t="s">
        <v>209</v>
      </c>
      <c r="E1756" s="1516" t="s">
        <v>4478</v>
      </c>
      <c r="F1756" s="1516"/>
      <c r="G1756" s="1516"/>
      <c r="H1756" s="1516"/>
      <c r="K1756" t="s">
        <v>3785</v>
      </c>
      <c r="V1756">
        <v>403</v>
      </c>
    </row>
    <row r="1757" spans="1:22" customFormat="1" ht="15" x14ac:dyDescent="0.25">
      <c r="A1757" t="s">
        <v>209</v>
      </c>
      <c r="E1757" s="1516" t="s">
        <v>4482</v>
      </c>
      <c r="F1757" s="1516"/>
      <c r="G1757" s="1516"/>
      <c r="H1757" s="1516"/>
      <c r="K1757" t="s">
        <v>3785</v>
      </c>
      <c r="V1757">
        <v>385</v>
      </c>
    </row>
    <row r="1758" spans="1:22" customFormat="1" ht="15" x14ac:dyDescent="0.25">
      <c r="A1758" t="s">
        <v>209</v>
      </c>
      <c r="E1758" s="1516" t="s">
        <v>3762</v>
      </c>
      <c r="F1758" s="1516"/>
      <c r="G1758" s="1516"/>
      <c r="H1758" s="1516"/>
      <c r="K1758" t="s">
        <v>3785</v>
      </c>
      <c r="V1758">
        <v>247</v>
      </c>
    </row>
    <row r="1759" spans="1:22" customFormat="1" ht="15" x14ac:dyDescent="0.25">
      <c r="A1759" t="s">
        <v>209</v>
      </c>
      <c r="E1759" s="1515" t="s">
        <v>956</v>
      </c>
      <c r="F1759" s="1516"/>
      <c r="G1759" s="1516"/>
      <c r="H1759" s="1516"/>
      <c r="K1759" t="s">
        <v>1011</v>
      </c>
      <c r="V1759">
        <v>46</v>
      </c>
    </row>
    <row r="1760" spans="1:22" customFormat="1" ht="15" x14ac:dyDescent="0.25">
      <c r="A1760" t="s">
        <v>209</v>
      </c>
      <c r="E1760" s="1507" t="s">
        <v>3893</v>
      </c>
      <c r="F1760" s="1507"/>
      <c r="G1760" s="360" t="s">
        <v>777</v>
      </c>
      <c r="H1760" s="576">
        <v>13.01</v>
      </c>
      <c r="K1760" t="s">
        <v>3785</v>
      </c>
      <c r="L1760" t="s">
        <v>690</v>
      </c>
      <c r="P1760" t="s">
        <v>3788</v>
      </c>
      <c r="V1760">
        <v>29</v>
      </c>
    </row>
    <row r="1761" spans="1:22" customFormat="1" ht="15" x14ac:dyDescent="0.25">
      <c r="A1761" t="s">
        <v>209</v>
      </c>
      <c r="E1761" s="1507" t="s">
        <v>3688</v>
      </c>
      <c r="F1761" s="1507"/>
      <c r="G1761" s="360" t="s">
        <v>845</v>
      </c>
      <c r="H1761" s="577">
        <v>8.8999999999999999E-3</v>
      </c>
      <c r="K1761" t="s">
        <v>3785</v>
      </c>
      <c r="L1761" t="s">
        <v>690</v>
      </c>
      <c r="P1761" t="s">
        <v>3789</v>
      </c>
      <c r="V1761">
        <v>28</v>
      </c>
    </row>
    <row r="1762" spans="1:22" customFormat="1" ht="15" x14ac:dyDescent="0.25">
      <c r="A1762" t="s">
        <v>209</v>
      </c>
      <c r="E1762" s="1507" t="s">
        <v>910</v>
      </c>
      <c r="F1762" s="1507"/>
      <c r="G1762" s="360" t="s">
        <v>845</v>
      </c>
      <c r="H1762" s="577">
        <v>3.7000000000000002E-3</v>
      </c>
      <c r="K1762" t="s">
        <v>3785</v>
      </c>
      <c r="L1762" t="s">
        <v>692</v>
      </c>
      <c r="P1762" t="s">
        <v>3790</v>
      </c>
      <c r="V1762">
        <v>24</v>
      </c>
    </row>
    <row r="1763" spans="1:22" customFormat="1" ht="15" x14ac:dyDescent="0.25">
      <c r="A1763" t="s">
        <v>209</v>
      </c>
      <c r="E1763" s="1507" t="s">
        <v>6520</v>
      </c>
      <c r="F1763" s="1510"/>
      <c r="G1763" s="360" t="s">
        <v>845</v>
      </c>
      <c r="H1763" s="577">
        <v>8.0000000000000004E-4</v>
      </c>
      <c r="K1763" t="s">
        <v>3785</v>
      </c>
      <c r="L1763" t="s">
        <v>692</v>
      </c>
      <c r="P1763" t="s">
        <v>3792</v>
      </c>
      <c r="T1763">
        <v>46022</v>
      </c>
      <c r="V1763">
        <v>99</v>
      </c>
    </row>
    <row r="1764" spans="1:22" customFormat="1" ht="15" x14ac:dyDescent="0.25">
      <c r="A1764" t="s">
        <v>209</v>
      </c>
      <c r="E1764" s="1507" t="s">
        <v>243</v>
      </c>
      <c r="F1764" s="1507"/>
      <c r="G1764" s="360" t="s">
        <v>845</v>
      </c>
      <c r="H1764" s="577">
        <v>1.06E-2</v>
      </c>
      <c r="K1764" t="s">
        <v>3785</v>
      </c>
      <c r="L1764" t="s">
        <v>694</v>
      </c>
      <c r="P1764" t="s">
        <v>3793</v>
      </c>
      <c r="V1764">
        <v>47</v>
      </c>
    </row>
    <row r="1765" spans="1:22" customFormat="1" ht="15" x14ac:dyDescent="0.25">
      <c r="A1765" t="s">
        <v>209</v>
      </c>
      <c r="E1765" s="1507" t="s">
        <v>175</v>
      </c>
      <c r="F1765" s="1507"/>
      <c r="G1765" s="360" t="s">
        <v>845</v>
      </c>
      <c r="H1765" s="577">
        <v>7.9000000000000008E-3</v>
      </c>
      <c r="K1765" t="s">
        <v>3785</v>
      </c>
      <c r="L1765" t="s">
        <v>694</v>
      </c>
      <c r="P1765" t="s">
        <v>3794</v>
      </c>
      <c r="V1765">
        <v>74</v>
      </c>
    </row>
    <row r="1766" spans="1:22" customFormat="1" ht="15" x14ac:dyDescent="0.25">
      <c r="A1766" t="s">
        <v>209</v>
      </c>
      <c r="E1766" s="1515" t="s">
        <v>967</v>
      </c>
      <c r="F1766" s="1507"/>
      <c r="G1766" s="584"/>
      <c r="H1766" s="584"/>
      <c r="K1766" t="s">
        <v>1019</v>
      </c>
      <c r="V1766">
        <v>48</v>
      </c>
    </row>
    <row r="1767" spans="1:22" customFormat="1" ht="15" x14ac:dyDescent="0.25">
      <c r="A1767" t="s">
        <v>209</v>
      </c>
      <c r="E1767" s="1507" t="s">
        <v>844</v>
      </c>
      <c r="F1767" s="1507"/>
      <c r="G1767" s="360" t="s">
        <v>845</v>
      </c>
      <c r="H1767" s="577">
        <v>4.1000000000000003E-3</v>
      </c>
      <c r="K1767" t="s">
        <v>3785</v>
      </c>
      <c r="L1767" t="s">
        <v>968</v>
      </c>
      <c r="P1767" t="s">
        <v>3795</v>
      </c>
      <c r="V1767">
        <v>55</v>
      </c>
    </row>
    <row r="1768" spans="1:22" customFormat="1" ht="15" x14ac:dyDescent="0.25">
      <c r="A1768" t="s">
        <v>209</v>
      </c>
      <c r="E1768" s="1507" t="s">
        <v>846</v>
      </c>
      <c r="F1768" s="1507"/>
      <c r="G1768" s="360" t="s">
        <v>845</v>
      </c>
      <c r="H1768" s="577">
        <v>4.0000000000000002E-4</v>
      </c>
      <c r="K1768" t="s">
        <v>3785</v>
      </c>
      <c r="L1768" t="s">
        <v>968</v>
      </c>
      <c r="P1768" t="s">
        <v>3795</v>
      </c>
      <c r="V1768">
        <v>65</v>
      </c>
    </row>
    <row r="1769" spans="1:22" customFormat="1" ht="15" x14ac:dyDescent="0.25">
      <c r="A1769" t="s">
        <v>209</v>
      </c>
      <c r="E1769" s="1507" t="s">
        <v>847</v>
      </c>
      <c r="F1769" s="1507"/>
      <c r="G1769" s="360" t="s">
        <v>845</v>
      </c>
      <c r="H1769" s="577">
        <v>1.5E-3</v>
      </c>
      <c r="K1769" t="s">
        <v>3785</v>
      </c>
      <c r="L1769" t="s">
        <v>968</v>
      </c>
      <c r="P1769" t="s">
        <v>3796</v>
      </c>
      <c r="V1769">
        <v>57</v>
      </c>
    </row>
    <row r="1770" spans="1:22" customFormat="1" ht="15" x14ac:dyDescent="0.25">
      <c r="A1770" t="s">
        <v>209</v>
      </c>
      <c r="E1770" s="1507" t="s">
        <v>848</v>
      </c>
      <c r="F1770" s="1507"/>
      <c r="G1770" s="360" t="s">
        <v>777</v>
      </c>
      <c r="H1770" s="576">
        <v>0.25</v>
      </c>
      <c r="K1770" t="s">
        <v>3785</v>
      </c>
      <c r="L1770" t="s">
        <v>968</v>
      </c>
      <c r="P1770" t="s">
        <v>3797</v>
      </c>
      <c r="V1770">
        <v>63</v>
      </c>
    </row>
    <row r="1771" spans="1:22" customFormat="1" x14ac:dyDescent="0.25">
      <c r="A1771" t="s">
        <v>209</v>
      </c>
      <c r="E1771" s="1492" t="s">
        <v>202</v>
      </c>
      <c r="F1771" s="1493"/>
      <c r="G1771" s="1493"/>
      <c r="H1771" s="1493"/>
      <c r="K1771" t="s">
        <v>4447</v>
      </c>
      <c r="V1771">
        <v>38</v>
      </c>
    </row>
    <row r="1772" spans="1:22" customFormat="1" ht="15" x14ac:dyDescent="0.25">
      <c r="A1772" t="s">
        <v>209</v>
      </c>
      <c r="E1772" s="1516" t="s">
        <v>4483</v>
      </c>
      <c r="F1772" s="1516"/>
      <c r="G1772" s="1516"/>
      <c r="H1772" s="1516"/>
      <c r="K1772" t="s">
        <v>4447</v>
      </c>
      <c r="V1772">
        <v>543</v>
      </c>
    </row>
    <row r="1773" spans="1:22" customFormat="1" ht="15" x14ac:dyDescent="0.25">
      <c r="A1773" t="s">
        <v>209</v>
      </c>
      <c r="E1773" s="1515" t="s">
        <v>950</v>
      </c>
      <c r="F1773" s="1516"/>
      <c r="G1773" s="1516"/>
      <c r="H1773" s="1516"/>
      <c r="K1773" t="s">
        <v>1025</v>
      </c>
      <c r="V1773">
        <v>11</v>
      </c>
    </row>
    <row r="1774" spans="1:22" customFormat="1" ht="15" x14ac:dyDescent="0.25">
      <c r="A1774" t="s">
        <v>209</v>
      </c>
      <c r="E1774" s="1516" t="s">
        <v>4477</v>
      </c>
      <c r="F1774" s="1516"/>
      <c r="G1774" s="1516"/>
      <c r="H1774" s="1516"/>
      <c r="K1774" t="s">
        <v>4447</v>
      </c>
      <c r="V1774">
        <v>272</v>
      </c>
    </row>
    <row r="1775" spans="1:22" customFormat="1" ht="15" x14ac:dyDescent="0.25">
      <c r="A1775" t="s">
        <v>209</v>
      </c>
      <c r="E1775" s="1516" t="s">
        <v>4478</v>
      </c>
      <c r="F1775" s="1516"/>
      <c r="G1775" s="1516"/>
      <c r="H1775" s="1516"/>
      <c r="K1775" t="s">
        <v>4447</v>
      </c>
      <c r="V1775">
        <v>403</v>
      </c>
    </row>
    <row r="1776" spans="1:22" customFormat="1" ht="15" x14ac:dyDescent="0.25">
      <c r="A1776" t="s">
        <v>209</v>
      </c>
      <c r="E1776" s="1516" t="s">
        <v>953</v>
      </c>
      <c r="F1776" s="1516"/>
      <c r="G1776" s="1516"/>
      <c r="H1776" s="1516"/>
      <c r="K1776" t="s">
        <v>4447</v>
      </c>
      <c r="V1776">
        <v>386</v>
      </c>
    </row>
    <row r="1777" spans="1:22" customFormat="1" ht="15" x14ac:dyDescent="0.25">
      <c r="A1777" t="s">
        <v>209</v>
      </c>
      <c r="E1777" s="1516" t="s">
        <v>3762</v>
      </c>
      <c r="F1777" s="1516"/>
      <c r="G1777" s="1516"/>
      <c r="H1777" s="1516"/>
      <c r="K1777" t="s">
        <v>4447</v>
      </c>
      <c r="V1777">
        <v>247</v>
      </c>
    </row>
    <row r="1778" spans="1:22" customFormat="1" ht="15" x14ac:dyDescent="0.25">
      <c r="A1778" t="s">
        <v>209</v>
      </c>
      <c r="E1778" s="1515" t="s">
        <v>956</v>
      </c>
      <c r="F1778" s="1516"/>
      <c r="G1778" s="1516"/>
      <c r="H1778" s="1516"/>
      <c r="K1778" t="s">
        <v>1026</v>
      </c>
      <c r="V1778">
        <v>46</v>
      </c>
    </row>
    <row r="1779" spans="1:22" customFormat="1" ht="15" x14ac:dyDescent="0.25">
      <c r="A1779" t="s">
        <v>209</v>
      </c>
      <c r="E1779" s="1507" t="s">
        <v>3874</v>
      </c>
      <c r="F1779" s="1507"/>
      <c r="G1779" s="360" t="s">
        <v>777</v>
      </c>
      <c r="H1779" s="576">
        <v>2.3199999999999998</v>
      </c>
      <c r="K1779" t="s">
        <v>4447</v>
      </c>
      <c r="L1779" t="s">
        <v>690</v>
      </c>
      <c r="P1779" t="s">
        <v>4450</v>
      </c>
      <c r="V1779">
        <v>31</v>
      </c>
    </row>
    <row r="1780" spans="1:22" customFormat="1" ht="15" x14ac:dyDescent="0.25">
      <c r="A1780" t="s">
        <v>209</v>
      </c>
      <c r="E1780" s="1507" t="s">
        <v>3688</v>
      </c>
      <c r="F1780" s="1507"/>
      <c r="G1780" s="360" t="s">
        <v>3775</v>
      </c>
      <c r="H1780" s="577">
        <v>21.0943</v>
      </c>
      <c r="K1780" t="s">
        <v>4447</v>
      </c>
      <c r="L1780" t="s">
        <v>690</v>
      </c>
      <c r="P1780" t="s">
        <v>4451</v>
      </c>
      <c r="V1780">
        <v>28</v>
      </c>
    </row>
    <row r="1781" spans="1:22" customFormat="1" ht="15" x14ac:dyDescent="0.25">
      <c r="A1781" t="s">
        <v>209</v>
      </c>
      <c r="E1781" s="1507" t="s">
        <v>910</v>
      </c>
      <c r="F1781" s="1507"/>
      <c r="G1781" s="360" t="s">
        <v>3775</v>
      </c>
      <c r="H1781" s="577">
        <v>1.0572999999999999</v>
      </c>
      <c r="K1781" t="s">
        <v>4447</v>
      </c>
      <c r="L1781" t="s">
        <v>692</v>
      </c>
      <c r="P1781" t="s">
        <v>4484</v>
      </c>
      <c r="V1781">
        <v>24</v>
      </c>
    </row>
    <row r="1782" spans="1:22" customFormat="1" ht="15" x14ac:dyDescent="0.25">
      <c r="A1782" t="s">
        <v>209</v>
      </c>
      <c r="E1782" s="1507" t="s">
        <v>6519</v>
      </c>
      <c r="F1782" s="1510"/>
      <c r="G1782" s="360" t="s">
        <v>845</v>
      </c>
      <c r="H1782" s="577">
        <v>4.1999999999999997E-3</v>
      </c>
      <c r="K1782" t="s">
        <v>4447</v>
      </c>
      <c r="L1782" t="s">
        <v>692</v>
      </c>
      <c r="P1782" t="s">
        <v>4452</v>
      </c>
      <c r="T1782">
        <v>46022</v>
      </c>
      <c r="V1782">
        <v>142</v>
      </c>
    </row>
    <row r="1783" spans="1:22" customFormat="1" ht="15" x14ac:dyDescent="0.25">
      <c r="A1783" t="s">
        <v>209</v>
      </c>
      <c r="E1783" s="1507" t="s">
        <v>6520</v>
      </c>
      <c r="F1783" s="1510"/>
      <c r="G1783" s="360" t="s">
        <v>3775</v>
      </c>
      <c r="H1783" s="577">
        <v>0.28089999999999998</v>
      </c>
      <c r="K1783" t="s">
        <v>4447</v>
      </c>
      <c r="L1783" t="s">
        <v>692</v>
      </c>
      <c r="P1783" t="s">
        <v>4453</v>
      </c>
      <c r="T1783">
        <v>46022</v>
      </c>
      <c r="V1783">
        <v>99</v>
      </c>
    </row>
    <row r="1784" spans="1:22" customFormat="1" ht="15" x14ac:dyDescent="0.25">
      <c r="A1784" t="s">
        <v>209</v>
      </c>
      <c r="E1784" s="1507" t="s">
        <v>243</v>
      </c>
      <c r="F1784" s="1507"/>
      <c r="G1784" s="360" t="s">
        <v>3775</v>
      </c>
      <c r="H1784" s="577">
        <v>3.2843</v>
      </c>
      <c r="K1784" t="s">
        <v>4447</v>
      </c>
      <c r="L1784" t="s">
        <v>694</v>
      </c>
      <c r="P1784" t="s">
        <v>4456</v>
      </c>
      <c r="V1784">
        <v>47</v>
      </c>
    </row>
    <row r="1785" spans="1:22" customFormat="1" ht="15" x14ac:dyDescent="0.25">
      <c r="A1785" t="s">
        <v>209</v>
      </c>
      <c r="E1785" s="1507" t="s">
        <v>175</v>
      </c>
      <c r="F1785" s="1507"/>
      <c r="G1785" s="360" t="s">
        <v>3775</v>
      </c>
      <c r="H1785" s="577">
        <v>2.4683999999999999</v>
      </c>
      <c r="K1785" t="s">
        <v>4447</v>
      </c>
      <c r="L1785" t="s">
        <v>694</v>
      </c>
      <c r="P1785" t="s">
        <v>4485</v>
      </c>
      <c r="V1785">
        <v>74</v>
      </c>
    </row>
    <row r="1786" spans="1:22" customFormat="1" ht="15" x14ac:dyDescent="0.25">
      <c r="A1786" t="s">
        <v>209</v>
      </c>
      <c r="E1786" s="1515" t="s">
        <v>967</v>
      </c>
      <c r="F1786" s="1507"/>
      <c r="G1786" s="584"/>
      <c r="H1786" s="584"/>
      <c r="K1786" t="s">
        <v>1035</v>
      </c>
      <c r="V1786">
        <v>48</v>
      </c>
    </row>
    <row r="1787" spans="1:22" customFormat="1" ht="15" x14ac:dyDescent="0.25">
      <c r="A1787" t="s">
        <v>209</v>
      </c>
      <c r="E1787" s="1507" t="s">
        <v>844</v>
      </c>
      <c r="F1787" s="1507"/>
      <c r="G1787" s="360" t="s">
        <v>845</v>
      </c>
      <c r="H1787" s="577">
        <v>4.1000000000000003E-3</v>
      </c>
      <c r="K1787" t="s">
        <v>4447</v>
      </c>
      <c r="L1787" t="s">
        <v>968</v>
      </c>
      <c r="P1787" t="s">
        <v>4458</v>
      </c>
      <c r="V1787">
        <v>55</v>
      </c>
    </row>
    <row r="1788" spans="1:22" customFormat="1" ht="15" x14ac:dyDescent="0.25">
      <c r="A1788" t="s">
        <v>209</v>
      </c>
      <c r="E1788" s="1507" t="s">
        <v>846</v>
      </c>
      <c r="F1788" s="1507"/>
      <c r="G1788" s="360" t="s">
        <v>845</v>
      </c>
      <c r="H1788" s="577">
        <v>4.0000000000000002E-4</v>
      </c>
      <c r="K1788" t="s">
        <v>4447</v>
      </c>
      <c r="L1788" t="s">
        <v>968</v>
      </c>
      <c r="P1788" t="s">
        <v>4458</v>
      </c>
      <c r="V1788">
        <v>65</v>
      </c>
    </row>
    <row r="1789" spans="1:22" customFormat="1" ht="15" x14ac:dyDescent="0.25">
      <c r="A1789" t="s">
        <v>209</v>
      </c>
      <c r="E1789" s="1507" t="s">
        <v>847</v>
      </c>
      <c r="F1789" s="1507"/>
      <c r="G1789" s="360" t="s">
        <v>845</v>
      </c>
      <c r="H1789" s="577">
        <v>1.5E-3</v>
      </c>
      <c r="K1789" t="s">
        <v>4447</v>
      </c>
      <c r="L1789" t="s">
        <v>968</v>
      </c>
      <c r="P1789" t="s">
        <v>4459</v>
      </c>
      <c r="V1789">
        <v>57</v>
      </c>
    </row>
    <row r="1790" spans="1:22" customFormat="1" ht="15" x14ac:dyDescent="0.25">
      <c r="A1790" t="s">
        <v>209</v>
      </c>
      <c r="E1790" s="1507" t="s">
        <v>848</v>
      </c>
      <c r="F1790" s="1507"/>
      <c r="G1790" s="360" t="s">
        <v>777</v>
      </c>
      <c r="H1790" s="576">
        <v>0.25</v>
      </c>
      <c r="K1790" t="s">
        <v>4447</v>
      </c>
      <c r="L1790" t="s">
        <v>968</v>
      </c>
      <c r="P1790" t="s">
        <v>4460</v>
      </c>
      <c r="V1790">
        <v>63</v>
      </c>
    </row>
    <row r="1791" spans="1:22" customFormat="1" x14ac:dyDescent="0.25">
      <c r="A1791" t="s">
        <v>209</v>
      </c>
      <c r="E1791" s="1492" t="s">
        <v>207</v>
      </c>
      <c r="F1791" s="1493"/>
      <c r="G1791" s="1493"/>
      <c r="H1791" s="1493"/>
      <c r="K1791" t="s">
        <v>4461</v>
      </c>
      <c r="V1791">
        <v>31</v>
      </c>
    </row>
    <row r="1792" spans="1:22" customFormat="1" ht="15" x14ac:dyDescent="0.25">
      <c r="A1792" t="s">
        <v>209</v>
      </c>
      <c r="E1792" s="1516" t="s">
        <v>1070</v>
      </c>
      <c r="F1792" s="1516"/>
      <c r="G1792" s="1516"/>
      <c r="H1792" s="1516"/>
      <c r="K1792" t="s">
        <v>4461</v>
      </c>
      <c r="V1792">
        <v>285</v>
      </c>
    </row>
    <row r="1793" spans="1:22" customFormat="1" ht="15" x14ac:dyDescent="0.25">
      <c r="A1793" t="s">
        <v>209</v>
      </c>
      <c r="E1793" s="1515" t="s">
        <v>950</v>
      </c>
      <c r="F1793" s="1516"/>
      <c r="G1793" s="1516"/>
      <c r="H1793" s="1516"/>
      <c r="K1793" t="s">
        <v>1041</v>
      </c>
      <c r="V1793">
        <v>11</v>
      </c>
    </row>
    <row r="1794" spans="1:22" customFormat="1" ht="15" x14ac:dyDescent="0.25">
      <c r="A1794" t="s">
        <v>209</v>
      </c>
      <c r="E1794" s="1516" t="s">
        <v>4477</v>
      </c>
      <c r="F1794" s="1516"/>
      <c r="G1794" s="1516"/>
      <c r="H1794" s="1516"/>
      <c r="K1794" t="s">
        <v>4461</v>
      </c>
      <c r="V1794">
        <v>272</v>
      </c>
    </row>
    <row r="1795" spans="1:22" customFormat="1" ht="15" x14ac:dyDescent="0.25">
      <c r="A1795" t="s">
        <v>209</v>
      </c>
      <c r="E1795" s="1516" t="s">
        <v>4478</v>
      </c>
      <c r="F1795" s="1516"/>
      <c r="G1795" s="1516"/>
      <c r="H1795" s="1516"/>
      <c r="K1795" t="s">
        <v>4461</v>
      </c>
      <c r="V1795">
        <v>403</v>
      </c>
    </row>
    <row r="1796" spans="1:22" customFormat="1" ht="15" x14ac:dyDescent="0.25">
      <c r="A1796" t="s">
        <v>209</v>
      </c>
      <c r="E1796" s="1516" t="s">
        <v>953</v>
      </c>
      <c r="F1796" s="1516"/>
      <c r="G1796" s="1516"/>
      <c r="H1796" s="1516"/>
      <c r="K1796" t="s">
        <v>4461</v>
      </c>
      <c r="V1796">
        <v>386</v>
      </c>
    </row>
    <row r="1797" spans="1:22" customFormat="1" ht="15" x14ac:dyDescent="0.25">
      <c r="A1797" t="s">
        <v>209</v>
      </c>
      <c r="E1797" s="1516" t="s">
        <v>3762</v>
      </c>
      <c r="F1797" s="1516"/>
      <c r="G1797" s="1516"/>
      <c r="H1797" s="1516"/>
      <c r="K1797" t="s">
        <v>4461</v>
      </c>
      <c r="V1797">
        <v>247</v>
      </c>
    </row>
    <row r="1798" spans="1:22" customFormat="1" ht="15" x14ac:dyDescent="0.25">
      <c r="A1798" t="s">
        <v>209</v>
      </c>
      <c r="E1798" s="1515" t="s">
        <v>956</v>
      </c>
      <c r="F1798" s="1516"/>
      <c r="G1798" s="1516"/>
      <c r="H1798" s="1516"/>
      <c r="K1798" t="s">
        <v>1042</v>
      </c>
      <c r="V1798">
        <v>46</v>
      </c>
    </row>
    <row r="1799" spans="1:22" customFormat="1" ht="15" x14ac:dyDescent="0.25">
      <c r="A1799" t="s">
        <v>209</v>
      </c>
      <c r="E1799" s="1507" t="s">
        <v>3773</v>
      </c>
      <c r="F1799" s="1507"/>
      <c r="G1799" s="360" t="s">
        <v>777</v>
      </c>
      <c r="H1799" s="576">
        <v>10</v>
      </c>
      <c r="K1799" t="s">
        <v>4461</v>
      </c>
      <c r="L1799" t="s">
        <v>690</v>
      </c>
      <c r="P1799" t="s">
        <v>4462</v>
      </c>
      <c r="V1799">
        <v>14</v>
      </c>
    </row>
    <row r="1800" spans="1:22" customFormat="1" ht="18.75" x14ac:dyDescent="0.3">
      <c r="A1800" t="s">
        <v>209</v>
      </c>
      <c r="E1800" s="836" t="s">
        <v>3825</v>
      </c>
      <c r="F1800" s="381"/>
      <c r="G1800" s="476"/>
      <c r="H1800" s="475"/>
      <c r="K1800" t="s">
        <v>4486</v>
      </c>
      <c r="V1800">
        <v>10</v>
      </c>
    </row>
    <row r="1801" spans="1:22" customFormat="1" ht="15" x14ac:dyDescent="0.25">
      <c r="A1801" t="s">
        <v>209</v>
      </c>
      <c r="E1801" s="1507" t="s">
        <v>1078</v>
      </c>
      <c r="F1801" s="1507"/>
      <c r="G1801" s="584" t="s">
        <v>3775</v>
      </c>
      <c r="H1801" s="608">
        <v>-0.6</v>
      </c>
      <c r="V1801">
        <v>68</v>
      </c>
    </row>
    <row r="1802" spans="1:22" customFormat="1" ht="15" x14ac:dyDescent="0.25">
      <c r="A1802" t="s">
        <v>209</v>
      </c>
      <c r="E1802" s="1507" t="s">
        <v>1079</v>
      </c>
      <c r="F1802" s="1507"/>
      <c r="G1802" s="584" t="s">
        <v>1118</v>
      </c>
      <c r="H1802" s="350">
        <v>-1</v>
      </c>
      <c r="V1802">
        <v>87</v>
      </c>
    </row>
    <row r="1803" spans="1:22" customFormat="1" ht="36" x14ac:dyDescent="0.3">
      <c r="A1803" t="s">
        <v>209</v>
      </c>
      <c r="E1803" s="836" t="s">
        <v>3828</v>
      </c>
      <c r="F1803" s="381"/>
      <c r="G1803" s="476"/>
      <c r="H1803" s="475"/>
      <c r="K1803" t="s">
        <v>4487</v>
      </c>
      <c r="V1803">
        <v>24</v>
      </c>
    </row>
    <row r="1804" spans="1:22" customFormat="1" ht="15" x14ac:dyDescent="0.25">
      <c r="A1804" t="s">
        <v>209</v>
      </c>
      <c r="E1804" s="1516" t="s">
        <v>4477</v>
      </c>
      <c r="F1804" s="1516"/>
      <c r="G1804" s="1516"/>
      <c r="H1804" s="1516"/>
      <c r="V1804">
        <v>272</v>
      </c>
    </row>
    <row r="1805" spans="1:22" customFormat="1" ht="15" x14ac:dyDescent="0.25">
      <c r="A1805" t="s">
        <v>209</v>
      </c>
      <c r="E1805" s="1516" t="s">
        <v>4488</v>
      </c>
      <c r="F1805" s="1516"/>
      <c r="G1805" s="1516"/>
      <c r="H1805" s="1516"/>
      <c r="V1805">
        <v>345</v>
      </c>
    </row>
    <row r="1806" spans="1:22" customFormat="1" ht="15" x14ac:dyDescent="0.25">
      <c r="A1806" t="s">
        <v>209</v>
      </c>
      <c r="E1806" s="1516" t="s">
        <v>3762</v>
      </c>
      <c r="F1806" s="1516"/>
      <c r="G1806" s="1516"/>
      <c r="H1806" s="1516"/>
      <c r="V1806">
        <v>247</v>
      </c>
    </row>
    <row r="1807" spans="1:22" customFormat="1" ht="15" x14ac:dyDescent="0.25">
      <c r="A1807" t="s">
        <v>209</v>
      </c>
      <c r="E1807" s="835" t="s">
        <v>3830</v>
      </c>
      <c r="F1807" s="838"/>
      <c r="G1807" s="838"/>
      <c r="H1807" s="433"/>
      <c r="K1807" t="s">
        <v>4489</v>
      </c>
      <c r="V1807">
        <v>23</v>
      </c>
    </row>
    <row r="1808" spans="1:22" customFormat="1" ht="15" x14ac:dyDescent="0.25">
      <c r="A1808" t="s">
        <v>209</v>
      </c>
      <c r="E1808" s="1517" t="s">
        <v>3832</v>
      </c>
      <c r="F1808" s="1517"/>
      <c r="G1808" s="584" t="s">
        <v>777</v>
      </c>
      <c r="H1808" s="576">
        <v>15</v>
      </c>
      <c r="V1808">
        <v>19</v>
      </c>
    </row>
    <row r="1809" spans="1:22" customFormat="1" ht="15" x14ac:dyDescent="0.25">
      <c r="A1809" t="s">
        <v>209</v>
      </c>
      <c r="E1809" s="1517" t="s">
        <v>3833</v>
      </c>
      <c r="F1809" s="1517"/>
      <c r="G1809" s="584" t="s">
        <v>777</v>
      </c>
      <c r="H1809" s="576">
        <v>15</v>
      </c>
      <c r="V1809">
        <v>20</v>
      </c>
    </row>
    <row r="1810" spans="1:22" customFormat="1" ht="15" x14ac:dyDescent="0.25">
      <c r="A1810" t="s">
        <v>209</v>
      </c>
      <c r="E1810" s="1517" t="s">
        <v>3834</v>
      </c>
      <c r="F1810" s="1517"/>
      <c r="G1810" s="584" t="s">
        <v>777</v>
      </c>
      <c r="H1810" s="576">
        <v>15</v>
      </c>
      <c r="V1810">
        <v>39</v>
      </c>
    </row>
    <row r="1811" spans="1:22" customFormat="1" ht="15" x14ac:dyDescent="0.25">
      <c r="A1811" t="s">
        <v>209</v>
      </c>
      <c r="E1811" s="1517" t="s">
        <v>4055</v>
      </c>
      <c r="F1811" s="1517"/>
      <c r="G1811" s="584" t="s">
        <v>777</v>
      </c>
      <c r="H1811" s="576">
        <v>15</v>
      </c>
      <c r="V1811">
        <v>37</v>
      </c>
    </row>
    <row r="1812" spans="1:22" customFormat="1" ht="15" x14ac:dyDescent="0.25">
      <c r="A1812" t="s">
        <v>209</v>
      </c>
      <c r="E1812" s="1517" t="s">
        <v>4057</v>
      </c>
      <c r="F1812" s="1517"/>
      <c r="G1812" s="584" t="s">
        <v>777</v>
      </c>
      <c r="H1812" s="576">
        <v>15</v>
      </c>
      <c r="V1812">
        <v>17</v>
      </c>
    </row>
    <row r="1813" spans="1:22" customFormat="1" ht="15" x14ac:dyDescent="0.25">
      <c r="A1813" t="s">
        <v>209</v>
      </c>
      <c r="E1813" s="1517" t="s">
        <v>4058</v>
      </c>
      <c r="F1813" s="1517"/>
      <c r="G1813" s="584" t="s">
        <v>777</v>
      </c>
      <c r="H1813" s="576">
        <v>15</v>
      </c>
      <c r="V1813">
        <v>15</v>
      </c>
    </row>
    <row r="1814" spans="1:22" customFormat="1" ht="15" x14ac:dyDescent="0.25">
      <c r="A1814" t="s">
        <v>209</v>
      </c>
      <c r="E1814" s="1517" t="s">
        <v>4490</v>
      </c>
      <c r="F1814" s="1517"/>
      <c r="G1814" s="584" t="s">
        <v>777</v>
      </c>
      <c r="H1814" s="576">
        <v>25</v>
      </c>
      <c r="V1814">
        <v>39</v>
      </c>
    </row>
    <row r="1815" spans="1:22" customFormat="1" ht="15" x14ac:dyDescent="0.25">
      <c r="A1815" t="s">
        <v>209</v>
      </c>
      <c r="E1815" s="1517" t="s">
        <v>3836</v>
      </c>
      <c r="F1815" s="1517"/>
      <c r="G1815" s="584" t="s">
        <v>777</v>
      </c>
      <c r="H1815" s="576">
        <v>15</v>
      </c>
      <c r="V1815">
        <v>35</v>
      </c>
    </row>
    <row r="1816" spans="1:22" customFormat="1" ht="15" x14ac:dyDescent="0.25">
      <c r="A1816" t="s">
        <v>209</v>
      </c>
      <c r="E1816" s="1517" t="s">
        <v>4059</v>
      </c>
      <c r="F1816" s="1517"/>
      <c r="G1816" s="584" t="s">
        <v>777</v>
      </c>
      <c r="H1816" s="576">
        <v>15</v>
      </c>
      <c r="V1816">
        <v>19</v>
      </c>
    </row>
    <row r="1817" spans="1:22" customFormat="1" ht="15" x14ac:dyDescent="0.25">
      <c r="A1817" t="s">
        <v>209</v>
      </c>
      <c r="E1817" s="1517" t="s">
        <v>3837</v>
      </c>
      <c r="F1817" s="1517"/>
      <c r="G1817" s="584" t="s">
        <v>777</v>
      </c>
      <c r="H1817" s="576">
        <v>15</v>
      </c>
      <c r="V1817">
        <v>89</v>
      </c>
    </row>
    <row r="1818" spans="1:22" customFormat="1" ht="15" x14ac:dyDescent="0.25">
      <c r="A1818" t="s">
        <v>209</v>
      </c>
      <c r="E1818" s="1517" t="s">
        <v>3838</v>
      </c>
      <c r="F1818" s="1517"/>
      <c r="G1818" s="584" t="s">
        <v>777</v>
      </c>
      <c r="H1818" s="576">
        <v>30</v>
      </c>
      <c r="V1818">
        <v>74</v>
      </c>
    </row>
    <row r="1819" spans="1:22" customFormat="1" ht="15" x14ac:dyDescent="0.25">
      <c r="A1819" t="s">
        <v>209</v>
      </c>
      <c r="E1819" s="835" t="s">
        <v>4062</v>
      </c>
      <c r="F1819" s="838"/>
      <c r="G1819" s="838"/>
      <c r="H1819" s="433"/>
      <c r="K1819" t="s">
        <v>4491</v>
      </c>
      <c r="V1819">
        <v>22</v>
      </c>
    </row>
    <row r="1820" spans="1:22" customFormat="1" ht="15" x14ac:dyDescent="0.25">
      <c r="A1820" t="s">
        <v>209</v>
      </c>
      <c r="E1820" s="1517" t="s">
        <v>4064</v>
      </c>
      <c r="F1820" s="1517"/>
      <c r="G1820" s="584" t="s">
        <v>1118</v>
      </c>
      <c r="H1820" s="576">
        <v>1.5</v>
      </c>
      <c r="V1820">
        <v>99</v>
      </c>
    </row>
    <row r="1821" spans="1:22" customFormat="1" ht="15" x14ac:dyDescent="0.25">
      <c r="A1821" t="s">
        <v>209</v>
      </c>
      <c r="E1821" s="1517" t="s">
        <v>3842</v>
      </c>
      <c r="F1821" s="1517"/>
      <c r="G1821" s="584" t="s">
        <v>777</v>
      </c>
      <c r="H1821" s="576">
        <v>25</v>
      </c>
      <c r="V1821">
        <v>44</v>
      </c>
    </row>
    <row r="1822" spans="1:22" customFormat="1" ht="15" x14ac:dyDescent="0.25">
      <c r="A1822" t="s">
        <v>209</v>
      </c>
      <c r="E1822" s="1517" t="s">
        <v>3843</v>
      </c>
      <c r="F1822" s="1517"/>
      <c r="G1822" s="584" t="s">
        <v>777</v>
      </c>
      <c r="H1822" s="576">
        <v>50</v>
      </c>
      <c r="V1822">
        <v>43</v>
      </c>
    </row>
    <row r="1823" spans="1:22" customFormat="1" ht="15" x14ac:dyDescent="0.25">
      <c r="A1823" t="s">
        <v>209</v>
      </c>
      <c r="E1823" s="1517" t="s">
        <v>3844</v>
      </c>
      <c r="F1823" s="1517"/>
      <c r="G1823" s="584" t="s">
        <v>777</v>
      </c>
      <c r="H1823" s="576">
        <v>185</v>
      </c>
      <c r="V1823">
        <v>43</v>
      </c>
    </row>
    <row r="1824" spans="1:22" customFormat="1" ht="15" x14ac:dyDescent="0.25">
      <c r="A1824" t="s">
        <v>209</v>
      </c>
      <c r="E1824" s="1517" t="s">
        <v>4492</v>
      </c>
      <c r="F1824" s="1517"/>
      <c r="G1824" s="584" t="s">
        <v>777</v>
      </c>
      <c r="H1824" s="576">
        <v>415</v>
      </c>
      <c r="V1824">
        <v>34</v>
      </c>
    </row>
    <row r="1825" spans="1:22" customFormat="1" ht="15" x14ac:dyDescent="0.25">
      <c r="A1825" t="s">
        <v>209</v>
      </c>
      <c r="E1825" s="835" t="s">
        <v>3846</v>
      </c>
      <c r="F1825" s="838"/>
      <c r="G1825" s="838"/>
      <c r="H1825" s="433"/>
      <c r="V1825">
        <v>5</v>
      </c>
    </row>
    <row r="1826" spans="1:22" customFormat="1" ht="15" x14ac:dyDescent="0.25">
      <c r="A1826" t="s">
        <v>209</v>
      </c>
      <c r="E1826" s="1517" t="s">
        <v>3914</v>
      </c>
      <c r="F1826" s="1517"/>
      <c r="G1826" s="584" t="s">
        <v>777</v>
      </c>
      <c r="H1826" s="576">
        <v>20</v>
      </c>
      <c r="V1826">
        <v>19</v>
      </c>
    </row>
    <row r="1827" spans="1:22" customFormat="1" ht="15" x14ac:dyDescent="0.25">
      <c r="A1827" t="s">
        <v>209</v>
      </c>
      <c r="E1827" s="1517" t="s">
        <v>4217</v>
      </c>
      <c r="F1827" s="1517"/>
      <c r="G1827" s="584" t="s">
        <v>777</v>
      </c>
      <c r="H1827" s="576">
        <v>30</v>
      </c>
      <c r="V1827">
        <v>39</v>
      </c>
    </row>
    <row r="1828" spans="1:22" customFormat="1" ht="15" x14ac:dyDescent="0.25">
      <c r="A1828" t="s">
        <v>209</v>
      </c>
      <c r="E1828" s="1517" t="s">
        <v>3847</v>
      </c>
      <c r="F1828" s="1517"/>
      <c r="G1828" s="584" t="s">
        <v>777</v>
      </c>
      <c r="H1828" s="576">
        <v>165</v>
      </c>
      <c r="V1828">
        <v>34</v>
      </c>
    </row>
    <row r="1829" spans="1:22" customFormat="1" ht="15" x14ac:dyDescent="0.25">
      <c r="A1829" t="s">
        <v>209</v>
      </c>
      <c r="E1829" s="1517" t="s">
        <v>4493</v>
      </c>
      <c r="F1829" s="1517"/>
      <c r="G1829" s="584" t="s">
        <v>777</v>
      </c>
      <c r="H1829" s="576">
        <v>500</v>
      </c>
      <c r="V1829">
        <v>72</v>
      </c>
    </row>
    <row r="1830" spans="1:22" customFormat="1" ht="15" x14ac:dyDescent="0.25">
      <c r="A1830" t="s">
        <v>209</v>
      </c>
      <c r="E1830" s="1517" t="s">
        <v>4494</v>
      </c>
      <c r="F1830" s="1517"/>
      <c r="G1830" s="584" t="s">
        <v>777</v>
      </c>
      <c r="H1830" s="576">
        <v>300</v>
      </c>
      <c r="V1830">
        <v>75</v>
      </c>
    </row>
    <row r="1831" spans="1:22" customFormat="1" ht="15" x14ac:dyDescent="0.25">
      <c r="A1831" t="s">
        <v>209</v>
      </c>
      <c r="E1831" s="1517" t="s">
        <v>4495</v>
      </c>
      <c r="F1831" s="1517"/>
      <c r="G1831" s="584" t="s">
        <v>777</v>
      </c>
      <c r="H1831" s="576">
        <v>1000</v>
      </c>
      <c r="V1831">
        <v>74</v>
      </c>
    </row>
    <row r="1832" spans="1:22" customFormat="1" ht="15" x14ac:dyDescent="0.25">
      <c r="A1832" t="s">
        <v>209</v>
      </c>
      <c r="E1832" s="1617" t="s">
        <v>4496</v>
      </c>
      <c r="F1832" s="1617"/>
      <c r="G1832" s="389" t="s">
        <v>777</v>
      </c>
      <c r="H1832" s="391">
        <v>39.14</v>
      </c>
      <c r="V1832">
        <v>137</v>
      </c>
    </row>
    <row r="1833" spans="1:22" customFormat="1" ht="18.75" x14ac:dyDescent="0.25">
      <c r="A1833" t="s">
        <v>209</v>
      </c>
      <c r="E1833" s="1492" t="s">
        <v>3851</v>
      </c>
      <c r="F1833" s="1510"/>
      <c r="G1833" s="476"/>
      <c r="H1833" s="475"/>
      <c r="K1833" t="s">
        <v>4497</v>
      </c>
      <c r="V1833">
        <v>38</v>
      </c>
    </row>
    <row r="1834" spans="1:22" customFormat="1" ht="15" x14ac:dyDescent="0.25">
      <c r="A1834" t="s">
        <v>209</v>
      </c>
      <c r="E1834" s="1516" t="s">
        <v>4477</v>
      </c>
      <c r="F1834" s="1516"/>
      <c r="G1834" s="1516"/>
      <c r="H1834" s="1516"/>
      <c r="V1834">
        <v>272</v>
      </c>
    </row>
    <row r="1835" spans="1:22" customFormat="1" ht="15" x14ac:dyDescent="0.25">
      <c r="A1835" t="s">
        <v>209</v>
      </c>
      <c r="E1835" s="1516" t="s">
        <v>4478</v>
      </c>
      <c r="F1835" s="1516"/>
      <c r="G1835" s="1516"/>
      <c r="H1835" s="1516"/>
      <c r="V1835">
        <v>403</v>
      </c>
    </row>
    <row r="1836" spans="1:22" customFormat="1" ht="15" x14ac:dyDescent="0.25">
      <c r="A1836" t="s">
        <v>209</v>
      </c>
      <c r="E1836" s="1516" t="s">
        <v>1103</v>
      </c>
      <c r="F1836" s="1516"/>
      <c r="G1836" s="1516"/>
      <c r="H1836" s="1516"/>
      <c r="V1836">
        <v>211</v>
      </c>
    </row>
    <row r="1837" spans="1:22" customFormat="1" ht="15" x14ac:dyDescent="0.25">
      <c r="A1837" t="s">
        <v>209</v>
      </c>
      <c r="E1837" s="1516" t="s">
        <v>3762</v>
      </c>
      <c r="F1837" s="1516"/>
      <c r="G1837" s="1516"/>
      <c r="H1837" s="1516"/>
      <c r="V1837">
        <v>247</v>
      </c>
    </row>
    <row r="1838" spans="1:22" customFormat="1" ht="15" x14ac:dyDescent="0.25">
      <c r="A1838" t="s">
        <v>209</v>
      </c>
      <c r="E1838" s="1516" t="s">
        <v>1104</v>
      </c>
      <c r="F1838" s="1516"/>
      <c r="G1838" s="1516"/>
      <c r="H1838" s="1516"/>
      <c r="V1838">
        <v>142</v>
      </c>
    </row>
    <row r="1839" spans="1:22" customFormat="1" ht="15" x14ac:dyDescent="0.25">
      <c r="A1839" t="s">
        <v>209</v>
      </c>
      <c r="E1839" s="1507" t="s">
        <v>849</v>
      </c>
      <c r="F1839" s="1507"/>
      <c r="G1839" s="585" t="s">
        <v>777</v>
      </c>
      <c r="H1839" s="349">
        <v>121.23</v>
      </c>
      <c r="V1839">
        <v>106</v>
      </c>
    </row>
    <row r="1840" spans="1:22" customFormat="1" ht="15" x14ac:dyDescent="0.25">
      <c r="A1840" t="s">
        <v>209</v>
      </c>
      <c r="E1840" s="1507" t="s">
        <v>850</v>
      </c>
      <c r="F1840" s="1507"/>
      <c r="G1840" s="585" t="s">
        <v>777</v>
      </c>
      <c r="H1840" s="349">
        <v>48.5</v>
      </c>
      <c r="V1840">
        <v>34</v>
      </c>
    </row>
    <row r="1841" spans="1:22" customFormat="1" ht="15" x14ac:dyDescent="0.25">
      <c r="A1841" t="s">
        <v>209</v>
      </c>
      <c r="E1841" s="1507" t="s">
        <v>851</v>
      </c>
      <c r="F1841" s="1507"/>
      <c r="G1841" s="585" t="s">
        <v>852</v>
      </c>
      <c r="H1841" s="349">
        <v>1.2</v>
      </c>
      <c r="V1841">
        <v>51</v>
      </c>
    </row>
    <row r="1842" spans="1:22" customFormat="1" ht="15" x14ac:dyDescent="0.25">
      <c r="A1842" t="s">
        <v>209</v>
      </c>
      <c r="E1842" s="1507" t="s">
        <v>853</v>
      </c>
      <c r="F1842" s="1507"/>
      <c r="G1842" s="585" t="s">
        <v>852</v>
      </c>
      <c r="H1842" s="349">
        <v>0.71</v>
      </c>
      <c r="V1842">
        <v>75</v>
      </c>
    </row>
    <row r="1843" spans="1:22" customFormat="1" ht="15" x14ac:dyDescent="0.25">
      <c r="A1843" t="s">
        <v>209</v>
      </c>
      <c r="E1843" s="1507" t="s">
        <v>854</v>
      </c>
      <c r="F1843" s="1507"/>
      <c r="G1843" s="585" t="s">
        <v>852</v>
      </c>
      <c r="H1843" s="349">
        <v>-0.71</v>
      </c>
      <c r="V1843">
        <v>72</v>
      </c>
    </row>
    <row r="1844" spans="1:22" customFormat="1" ht="15" x14ac:dyDescent="0.25">
      <c r="A1844" t="s">
        <v>209</v>
      </c>
      <c r="E1844" s="1507" t="s">
        <v>855</v>
      </c>
      <c r="F1844" s="1507"/>
      <c r="G1844" s="585"/>
      <c r="H1844" s="651"/>
      <c r="V1844">
        <v>34</v>
      </c>
    </row>
    <row r="1845" spans="1:22" customFormat="1" ht="15" x14ac:dyDescent="0.25">
      <c r="A1845" t="s">
        <v>209</v>
      </c>
      <c r="E1845" s="1511" t="s">
        <v>1106</v>
      </c>
      <c r="F1845" s="1511"/>
      <c r="G1845" s="585" t="s">
        <v>777</v>
      </c>
      <c r="H1845" s="349">
        <v>0.61</v>
      </c>
      <c r="V1845">
        <v>57</v>
      </c>
    </row>
    <row r="1846" spans="1:22" customFormat="1" ht="15" x14ac:dyDescent="0.25">
      <c r="A1846" t="s">
        <v>209</v>
      </c>
      <c r="E1846" s="1511" t="s">
        <v>1107</v>
      </c>
      <c r="F1846" s="1511"/>
      <c r="G1846" s="585" t="s">
        <v>777</v>
      </c>
      <c r="H1846" s="349">
        <v>1.2</v>
      </c>
      <c r="V1846">
        <v>60</v>
      </c>
    </row>
    <row r="1847" spans="1:22" customFormat="1" ht="15" x14ac:dyDescent="0.25">
      <c r="A1847" t="s">
        <v>209</v>
      </c>
      <c r="E1847" s="1507" t="s">
        <v>1108</v>
      </c>
      <c r="F1847" s="1507"/>
      <c r="G1847" s="585"/>
      <c r="H1847" s="651"/>
      <c r="V1847">
        <v>91</v>
      </c>
    </row>
    <row r="1848" spans="1:22" customFormat="1" ht="15" x14ac:dyDescent="0.25">
      <c r="A1848" t="s">
        <v>209</v>
      </c>
      <c r="E1848" s="1507" t="s">
        <v>1109</v>
      </c>
      <c r="F1848" s="1507"/>
      <c r="G1848" s="585"/>
      <c r="H1848" s="651"/>
      <c r="V1848">
        <v>96</v>
      </c>
    </row>
    <row r="1849" spans="1:22" customFormat="1" ht="15" x14ac:dyDescent="0.25">
      <c r="A1849" t="s">
        <v>209</v>
      </c>
      <c r="E1849" s="1507" t="s">
        <v>856</v>
      </c>
      <c r="F1849" s="1507"/>
      <c r="G1849" s="585"/>
      <c r="H1849" s="651"/>
      <c r="V1849">
        <v>77</v>
      </c>
    </row>
    <row r="1850" spans="1:22" customFormat="1" ht="15" x14ac:dyDescent="0.25">
      <c r="A1850" t="s">
        <v>209</v>
      </c>
      <c r="E1850" s="1511" t="s">
        <v>1111</v>
      </c>
      <c r="F1850" s="1511"/>
      <c r="G1850" s="585" t="s">
        <v>777</v>
      </c>
      <c r="H1850" s="651" t="s">
        <v>857</v>
      </c>
      <c r="V1850">
        <v>18</v>
      </c>
    </row>
    <row r="1851" spans="1:22" customFormat="1" ht="15" x14ac:dyDescent="0.25">
      <c r="A1851" t="s">
        <v>209</v>
      </c>
      <c r="E1851" s="1511" t="s">
        <v>1112</v>
      </c>
      <c r="F1851" s="1511"/>
      <c r="G1851" s="585" t="s">
        <v>777</v>
      </c>
      <c r="H1851" s="349">
        <v>4.8499999999999996</v>
      </c>
      <c r="V1851">
        <v>69</v>
      </c>
    </row>
    <row r="1852" spans="1:22" customFormat="1" ht="15" x14ac:dyDescent="0.25">
      <c r="A1852" t="s">
        <v>209</v>
      </c>
      <c r="E1852" s="1507" t="s">
        <v>4498</v>
      </c>
      <c r="F1852" s="1507"/>
      <c r="G1852" s="837" t="s">
        <v>777</v>
      </c>
      <c r="H1852" s="397">
        <v>2.34</v>
      </c>
      <c r="V1852">
        <v>206</v>
      </c>
    </row>
    <row r="1853" spans="1:22" customFormat="1" ht="18.75" x14ac:dyDescent="0.25">
      <c r="A1853" t="s">
        <v>209</v>
      </c>
      <c r="E1853" s="836" t="s">
        <v>3853</v>
      </c>
      <c r="F1853" s="476"/>
      <c r="G1853" s="476"/>
      <c r="H1853" s="475"/>
      <c r="K1853" t="s">
        <v>4499</v>
      </c>
      <c r="V1853">
        <v>12</v>
      </c>
    </row>
    <row r="1854" spans="1:22" customFormat="1" ht="15" x14ac:dyDescent="0.25">
      <c r="A1854" t="s">
        <v>209</v>
      </c>
      <c r="E1854" s="1507" t="s">
        <v>4500</v>
      </c>
      <c r="F1854" s="1507"/>
      <c r="G1854" s="1507"/>
      <c r="H1854" s="1507"/>
      <c r="V1854">
        <v>210</v>
      </c>
    </row>
    <row r="1855" spans="1:22" customFormat="1" ht="15" x14ac:dyDescent="0.25">
      <c r="A1855" t="s">
        <v>209</v>
      </c>
      <c r="E1855" s="1507" t="s">
        <v>1115</v>
      </c>
      <c r="F1855" s="1507"/>
      <c r="G1855" s="584"/>
      <c r="H1855" s="650">
        <v>1.0834999999999999</v>
      </c>
      <c r="V1855">
        <v>57</v>
      </c>
    </row>
    <row r="1856" spans="1:22" customFormat="1" ht="15" x14ac:dyDescent="0.25">
      <c r="A1856" t="s">
        <v>209</v>
      </c>
      <c r="E1856" s="1507" t="s">
        <v>1117</v>
      </c>
      <c r="F1856" s="1507"/>
      <c r="G1856" s="584"/>
      <c r="H1856" s="650">
        <v>1.0834999999999999</v>
      </c>
      <c r="J1856" t="s">
        <v>4501</v>
      </c>
      <c r="V1856">
        <v>55</v>
      </c>
    </row>
    <row r="1857" spans="1:22" customFormat="1" ht="23.25" x14ac:dyDescent="0.25">
      <c r="A1857" t="s">
        <v>196</v>
      </c>
      <c r="C1857" t="s">
        <v>3755</v>
      </c>
      <c r="E1857" s="1550" t="s">
        <v>196</v>
      </c>
      <c r="F1857" s="1550"/>
      <c r="G1857" s="1550"/>
      <c r="H1857" s="1550"/>
      <c r="I1857" t="s">
        <v>94</v>
      </c>
      <c r="J1857" t="s">
        <v>5787</v>
      </c>
      <c r="K1857" t="s">
        <v>196</v>
      </c>
      <c r="M1857">
        <v>9</v>
      </c>
      <c r="V1857">
        <v>27</v>
      </c>
    </row>
    <row r="1858" spans="1:22" customFormat="1" x14ac:dyDescent="0.25">
      <c r="A1858" t="s">
        <v>196</v>
      </c>
      <c r="C1858" t="s">
        <v>3757</v>
      </c>
      <c r="E1858" s="1551" t="s">
        <v>944</v>
      </c>
      <c r="F1858" s="1551"/>
      <c r="G1858" s="1551"/>
      <c r="H1858" s="1551"/>
      <c r="V1858">
        <v>27</v>
      </c>
    </row>
    <row r="1859" spans="1:22" customFormat="1" ht="15.75" x14ac:dyDescent="0.25">
      <c r="A1859" t="s">
        <v>196</v>
      </c>
      <c r="C1859" t="s">
        <v>3758</v>
      </c>
      <c r="E1859" s="1543" t="s">
        <v>6511</v>
      </c>
      <c r="F1859" s="1543"/>
      <c r="G1859" s="1543"/>
      <c r="H1859" s="1543"/>
      <c r="S1859">
        <v>45658</v>
      </c>
      <c r="V1859">
        <v>49</v>
      </c>
    </row>
    <row r="1860" spans="1:22" customFormat="1" ht="15" x14ac:dyDescent="0.25">
      <c r="A1860" t="s">
        <v>196</v>
      </c>
      <c r="C1860" t="s">
        <v>3759</v>
      </c>
      <c r="E1860" s="1544" t="s">
        <v>945</v>
      </c>
      <c r="F1860" s="1544"/>
      <c r="G1860" s="1544"/>
      <c r="H1860" s="1544"/>
      <c r="V1860">
        <v>52</v>
      </c>
    </row>
    <row r="1861" spans="1:22" customFormat="1" ht="15" x14ac:dyDescent="0.25">
      <c r="A1861" t="s">
        <v>196</v>
      </c>
      <c r="E1861" s="1544" t="s">
        <v>946</v>
      </c>
      <c r="F1861" s="1544"/>
      <c r="G1861" s="1544"/>
      <c r="H1861" s="1544"/>
      <c r="V1861">
        <v>53</v>
      </c>
    </row>
    <row r="1862" spans="1:22" customFormat="1" ht="15" x14ac:dyDescent="0.25">
      <c r="A1862" t="s">
        <v>196</v>
      </c>
      <c r="E1862" s="1513" t="s">
        <v>6612</v>
      </c>
      <c r="F1862" s="1513"/>
      <c r="G1862" s="1513"/>
      <c r="H1862" s="1513"/>
      <c r="K1862" t="s">
        <v>6612</v>
      </c>
      <c r="V1862">
        <v>12</v>
      </c>
    </row>
    <row r="1863" spans="1:22" customFormat="1" ht="15" x14ac:dyDescent="0.25">
      <c r="A1863" t="s">
        <v>196</v>
      </c>
      <c r="E1863" s="1538" t="s">
        <v>170</v>
      </c>
      <c r="F1863" s="1537"/>
      <c r="G1863" s="1537"/>
      <c r="H1863" s="1537"/>
      <c r="K1863" t="s">
        <v>947</v>
      </c>
      <c r="V1863">
        <v>34</v>
      </c>
    </row>
    <row r="1864" spans="1:22" customFormat="1" ht="15" x14ac:dyDescent="0.25">
      <c r="A1864" t="s">
        <v>196</v>
      </c>
      <c r="E1864" s="1531" t="s">
        <v>5788</v>
      </c>
      <c r="F1864" s="1531"/>
      <c r="G1864" s="1531"/>
      <c r="H1864" s="1531"/>
      <c r="K1864" t="s">
        <v>947</v>
      </c>
      <c r="V1864">
        <v>727</v>
      </c>
    </row>
    <row r="1865" spans="1:22" customFormat="1" ht="15" x14ac:dyDescent="0.25">
      <c r="A1865" t="s">
        <v>196</v>
      </c>
      <c r="E1865" s="1553" t="s">
        <v>950</v>
      </c>
      <c r="F1865" s="1530"/>
      <c r="G1865" s="1530"/>
      <c r="H1865" s="1530"/>
      <c r="K1865" t="s">
        <v>949</v>
      </c>
      <c r="V1865">
        <v>11</v>
      </c>
    </row>
    <row r="1866" spans="1:22" customFormat="1" ht="15" x14ac:dyDescent="0.25">
      <c r="A1866" t="s">
        <v>196</v>
      </c>
      <c r="E1866" s="1516" t="s">
        <v>951</v>
      </c>
      <c r="F1866" s="1516"/>
      <c r="G1866" s="1516"/>
      <c r="H1866" s="1516"/>
      <c r="K1866" t="s">
        <v>947</v>
      </c>
      <c r="V1866">
        <v>280</v>
      </c>
    </row>
    <row r="1867" spans="1:22" customFormat="1" ht="15" x14ac:dyDescent="0.25">
      <c r="A1867" t="s">
        <v>196</v>
      </c>
      <c r="E1867" s="1516" t="s">
        <v>952</v>
      </c>
      <c r="F1867" s="1516"/>
      <c r="G1867" s="1516"/>
      <c r="H1867" s="1516"/>
      <c r="K1867" t="s">
        <v>947</v>
      </c>
      <c r="V1867">
        <v>411</v>
      </c>
    </row>
    <row r="1868" spans="1:22" customFormat="1" ht="15" x14ac:dyDescent="0.25">
      <c r="A1868" t="s">
        <v>196</v>
      </c>
      <c r="E1868" s="1516" t="s">
        <v>3761</v>
      </c>
      <c r="F1868" s="1516"/>
      <c r="G1868" s="1516"/>
      <c r="H1868" s="1516"/>
      <c r="K1868" t="s">
        <v>947</v>
      </c>
      <c r="V1868">
        <v>387</v>
      </c>
    </row>
    <row r="1869" spans="1:22" customFormat="1" ht="15" x14ac:dyDescent="0.25">
      <c r="A1869" t="s">
        <v>196</v>
      </c>
      <c r="E1869" s="1516" t="s">
        <v>954</v>
      </c>
      <c r="F1869" s="1516"/>
      <c r="G1869" s="1516"/>
      <c r="H1869" s="1516"/>
      <c r="K1869" t="s">
        <v>947</v>
      </c>
      <c r="V1869">
        <v>246</v>
      </c>
    </row>
    <row r="1870" spans="1:22" customFormat="1" ht="15" x14ac:dyDescent="0.25">
      <c r="A1870" t="s">
        <v>196</v>
      </c>
      <c r="E1870" s="1562" t="s">
        <v>956</v>
      </c>
      <c r="F1870" s="1530"/>
      <c r="G1870" s="1530"/>
      <c r="H1870" s="1530"/>
      <c r="K1870" t="s">
        <v>955</v>
      </c>
      <c r="V1870">
        <v>46</v>
      </c>
    </row>
    <row r="1871" spans="1:22" customFormat="1" ht="15" x14ac:dyDescent="0.25">
      <c r="A1871" t="s">
        <v>196</v>
      </c>
      <c r="E1871" s="1524" t="s">
        <v>3773</v>
      </c>
      <c r="F1871" s="1524"/>
      <c r="G1871" s="360" t="s">
        <v>777</v>
      </c>
      <c r="H1871" s="576">
        <v>44.63</v>
      </c>
      <c r="K1871" t="s">
        <v>947</v>
      </c>
      <c r="L1871" t="s">
        <v>690</v>
      </c>
      <c r="P1871" t="s">
        <v>957</v>
      </c>
      <c r="V1871">
        <v>14</v>
      </c>
    </row>
    <row r="1872" spans="1:22" customFormat="1" ht="15.75" thickBot="1" x14ac:dyDescent="0.3">
      <c r="A1872" t="s">
        <v>196</v>
      </c>
      <c r="E1872" s="1670" t="s">
        <v>960</v>
      </c>
      <c r="F1872" s="1671"/>
      <c r="G1872" s="360" t="s">
        <v>777</v>
      </c>
      <c r="H1872" s="604">
        <v>0.42</v>
      </c>
      <c r="K1872" t="s">
        <v>947</v>
      </c>
      <c r="L1872" t="s">
        <v>692</v>
      </c>
      <c r="P1872" t="s">
        <v>959</v>
      </c>
      <c r="V1872">
        <v>64</v>
      </c>
    </row>
    <row r="1873" spans="1:22" customFormat="1" ht="16.5" thickTop="1" thickBot="1" x14ac:dyDescent="0.3">
      <c r="A1873" t="s">
        <v>196</v>
      </c>
      <c r="E1873" s="1672" t="s">
        <v>910</v>
      </c>
      <c r="F1873" s="1672"/>
      <c r="G1873" s="658" t="s">
        <v>845</v>
      </c>
      <c r="H1873" s="577">
        <v>2.9999999999999997E-4</v>
      </c>
      <c r="K1873" t="s">
        <v>947</v>
      </c>
      <c r="L1873" t="s">
        <v>692</v>
      </c>
      <c r="P1873" t="s">
        <v>961</v>
      </c>
      <c r="V1873">
        <v>24</v>
      </c>
    </row>
    <row r="1874" spans="1:22" customFormat="1" ht="16.5" thickTop="1" thickBot="1" x14ac:dyDescent="0.3">
      <c r="A1874" t="s">
        <v>196</v>
      </c>
      <c r="E1874" s="1672" t="s">
        <v>6521</v>
      </c>
      <c r="F1874" s="1673"/>
      <c r="G1874" s="658" t="s">
        <v>845</v>
      </c>
      <c r="H1874" s="577">
        <v>1E-4</v>
      </c>
      <c r="K1874" t="s">
        <v>947</v>
      </c>
      <c r="L1874" t="s">
        <v>692</v>
      </c>
      <c r="P1874" t="s">
        <v>3764</v>
      </c>
      <c r="T1874">
        <v>46022</v>
      </c>
      <c r="V1874">
        <v>149</v>
      </c>
    </row>
    <row r="1875" spans="1:22" customFormat="1" ht="16.5" thickTop="1" thickBot="1" x14ac:dyDescent="0.3">
      <c r="A1875" t="s">
        <v>196</v>
      </c>
      <c r="E1875" s="1672" t="s">
        <v>6520</v>
      </c>
      <c r="F1875" s="1673"/>
      <c r="G1875" s="658" t="s">
        <v>845</v>
      </c>
      <c r="H1875" s="577">
        <v>-2.0999999999999999E-3</v>
      </c>
      <c r="K1875" t="s">
        <v>947</v>
      </c>
      <c r="L1875" t="s">
        <v>692</v>
      </c>
      <c r="P1875" t="s">
        <v>963</v>
      </c>
      <c r="T1875">
        <v>46022</v>
      </c>
      <c r="V1875">
        <v>99</v>
      </c>
    </row>
    <row r="1876" spans="1:22" customFormat="1" ht="15.75" thickTop="1" x14ac:dyDescent="0.25">
      <c r="A1876" t="s">
        <v>196</v>
      </c>
      <c r="E1876" s="1675" t="s">
        <v>243</v>
      </c>
      <c r="F1876" s="1675"/>
      <c r="G1876" s="658" t="s">
        <v>845</v>
      </c>
      <c r="H1876" s="577">
        <v>1.06E-2</v>
      </c>
      <c r="K1876" t="s">
        <v>947</v>
      </c>
      <c r="L1876" t="s">
        <v>694</v>
      </c>
      <c r="P1876" t="s">
        <v>964</v>
      </c>
      <c r="V1876">
        <v>47</v>
      </c>
    </row>
    <row r="1877" spans="1:22" customFormat="1" ht="15" x14ac:dyDescent="0.25">
      <c r="A1877" t="s">
        <v>196</v>
      </c>
      <c r="E1877" s="1524" t="s">
        <v>175</v>
      </c>
      <c r="F1877" s="1524"/>
      <c r="G1877" s="658" t="s">
        <v>845</v>
      </c>
      <c r="H1877" s="577">
        <v>8.2000000000000007E-3</v>
      </c>
      <c r="K1877" t="s">
        <v>947</v>
      </c>
      <c r="L1877" t="s">
        <v>694</v>
      </c>
      <c r="P1877" t="s">
        <v>965</v>
      </c>
      <c r="V1877">
        <v>74</v>
      </c>
    </row>
    <row r="1878" spans="1:22" customFormat="1" ht="15.75" thickBot="1" x14ac:dyDescent="0.3">
      <c r="A1878" t="s">
        <v>196</v>
      </c>
      <c r="E1878" s="1674" t="s">
        <v>967</v>
      </c>
      <c r="F1878" s="1671"/>
      <c r="G1878" s="360"/>
      <c r="H1878" s="360"/>
      <c r="K1878" t="s">
        <v>966</v>
      </c>
      <c r="V1878">
        <v>48</v>
      </c>
    </row>
    <row r="1879" spans="1:22" customFormat="1" ht="16.5" thickTop="1" thickBot="1" x14ac:dyDescent="0.3">
      <c r="A1879" t="s">
        <v>196</v>
      </c>
      <c r="E1879" s="1672" t="s">
        <v>844</v>
      </c>
      <c r="F1879" s="1672"/>
      <c r="G1879" s="658" t="s">
        <v>845</v>
      </c>
      <c r="H1879" s="577">
        <v>4.1000000000000003E-3</v>
      </c>
      <c r="K1879" t="s">
        <v>947</v>
      </c>
      <c r="L1879" t="s">
        <v>968</v>
      </c>
      <c r="P1879" t="s">
        <v>969</v>
      </c>
      <c r="V1879">
        <v>55</v>
      </c>
    </row>
    <row r="1880" spans="1:22" customFormat="1" ht="16.5" thickTop="1" thickBot="1" x14ac:dyDescent="0.3">
      <c r="A1880" t="s">
        <v>196</v>
      </c>
      <c r="E1880" s="1672" t="s">
        <v>846</v>
      </c>
      <c r="F1880" s="1672"/>
      <c r="G1880" s="658" t="s">
        <v>845</v>
      </c>
      <c r="H1880" s="577">
        <v>4.0000000000000002E-4</v>
      </c>
      <c r="K1880" t="s">
        <v>947</v>
      </c>
      <c r="L1880" t="s">
        <v>968</v>
      </c>
      <c r="P1880" t="s">
        <v>969</v>
      </c>
      <c r="V1880">
        <v>65</v>
      </c>
    </row>
    <row r="1881" spans="1:22" customFormat="1" ht="16.5" thickTop="1" thickBot="1" x14ac:dyDescent="0.3">
      <c r="A1881" t="s">
        <v>196</v>
      </c>
      <c r="E1881" s="1672" t="s">
        <v>847</v>
      </c>
      <c r="F1881" s="1672"/>
      <c r="G1881" s="658" t="s">
        <v>845</v>
      </c>
      <c r="H1881" s="577">
        <v>1.5E-3</v>
      </c>
      <c r="K1881" t="s">
        <v>947</v>
      </c>
      <c r="L1881" t="s">
        <v>968</v>
      </c>
      <c r="P1881" t="s">
        <v>970</v>
      </c>
      <c r="V1881">
        <v>57</v>
      </c>
    </row>
    <row r="1882" spans="1:22" customFormat="1" ht="16.5" thickTop="1" thickBot="1" x14ac:dyDescent="0.3">
      <c r="A1882" t="s">
        <v>196</v>
      </c>
      <c r="E1882" s="1672" t="s">
        <v>848</v>
      </c>
      <c r="F1882" s="1672"/>
      <c r="G1882" s="658" t="s">
        <v>777</v>
      </c>
      <c r="H1882" s="576">
        <v>0.25</v>
      </c>
      <c r="K1882" t="s">
        <v>947</v>
      </c>
      <c r="L1882" t="s">
        <v>968</v>
      </c>
      <c r="P1882" t="s">
        <v>971</v>
      </c>
      <c r="V1882">
        <v>63</v>
      </c>
    </row>
    <row r="1883" spans="1:22" customFormat="1" ht="18.75" thickTop="1" x14ac:dyDescent="0.25">
      <c r="A1883" t="s">
        <v>196</v>
      </c>
      <c r="E1883" s="1538" t="s">
        <v>174</v>
      </c>
      <c r="F1883" s="1538"/>
      <c r="G1883" s="1538"/>
      <c r="H1883" s="1539"/>
      <c r="K1883" t="s">
        <v>972</v>
      </c>
      <c r="V1883">
        <v>54</v>
      </c>
    </row>
    <row r="1884" spans="1:22" customFormat="1" ht="15" x14ac:dyDescent="0.25">
      <c r="A1884" t="s">
        <v>196</v>
      </c>
      <c r="E1884" s="1531" t="s">
        <v>5789</v>
      </c>
      <c r="F1884" s="1531"/>
      <c r="G1884" s="1531"/>
      <c r="H1884" s="1532"/>
      <c r="K1884" t="s">
        <v>972</v>
      </c>
      <c r="V1884">
        <v>780</v>
      </c>
    </row>
    <row r="1885" spans="1:22" customFormat="1" ht="15" x14ac:dyDescent="0.25">
      <c r="A1885" t="s">
        <v>196</v>
      </c>
      <c r="E1885" s="1553" t="s">
        <v>950</v>
      </c>
      <c r="F1885" s="1530"/>
      <c r="G1885" s="1530"/>
      <c r="H1885" s="1530"/>
      <c r="K1885" t="s">
        <v>974</v>
      </c>
      <c r="V1885">
        <v>11</v>
      </c>
    </row>
    <row r="1886" spans="1:22" customFormat="1" ht="15" x14ac:dyDescent="0.25">
      <c r="A1886" t="s">
        <v>196</v>
      </c>
      <c r="E1886" s="1516" t="s">
        <v>951</v>
      </c>
      <c r="F1886" s="1516"/>
      <c r="G1886" s="1516"/>
      <c r="H1886" s="1516"/>
      <c r="K1886" t="s">
        <v>972</v>
      </c>
      <c r="V1886">
        <v>280</v>
      </c>
    </row>
    <row r="1887" spans="1:22" customFormat="1" ht="15" x14ac:dyDescent="0.25">
      <c r="A1887" t="s">
        <v>196</v>
      </c>
      <c r="E1887" s="1516" t="s">
        <v>952</v>
      </c>
      <c r="F1887" s="1516"/>
      <c r="G1887" s="1516"/>
      <c r="H1887" s="1516"/>
      <c r="K1887" t="s">
        <v>972</v>
      </c>
      <c r="V1887">
        <v>411</v>
      </c>
    </row>
    <row r="1888" spans="1:22" customFormat="1" ht="15" x14ac:dyDescent="0.25">
      <c r="A1888" t="s">
        <v>196</v>
      </c>
      <c r="E1888" s="1516" t="s">
        <v>3761</v>
      </c>
      <c r="F1888" s="1516"/>
      <c r="G1888" s="1516"/>
      <c r="H1888" s="1516"/>
      <c r="K1888" t="s">
        <v>972</v>
      </c>
      <c r="V1888">
        <v>387</v>
      </c>
    </row>
    <row r="1889" spans="1:22" customFormat="1" ht="15" x14ac:dyDescent="0.25">
      <c r="A1889" t="s">
        <v>196</v>
      </c>
      <c r="E1889" s="1516" t="s">
        <v>954</v>
      </c>
      <c r="F1889" s="1516"/>
      <c r="G1889" s="1516"/>
      <c r="H1889" s="1516"/>
      <c r="K1889" t="s">
        <v>972</v>
      </c>
      <c r="V1889">
        <v>246</v>
      </c>
    </row>
    <row r="1890" spans="1:22" customFormat="1" ht="15" x14ac:dyDescent="0.25">
      <c r="A1890" t="s">
        <v>196</v>
      </c>
      <c r="E1890" s="1562" t="s">
        <v>956</v>
      </c>
      <c r="F1890" s="1530"/>
      <c r="G1890" s="1530"/>
      <c r="H1890" s="1530"/>
      <c r="K1890" t="s">
        <v>975</v>
      </c>
      <c r="V1890">
        <v>46</v>
      </c>
    </row>
    <row r="1891" spans="1:22" customFormat="1" ht="15" x14ac:dyDescent="0.25">
      <c r="A1891" t="s">
        <v>196</v>
      </c>
      <c r="E1891" s="1524" t="s">
        <v>3773</v>
      </c>
      <c r="F1891" s="1524"/>
      <c r="G1891" s="360" t="s">
        <v>777</v>
      </c>
      <c r="H1891" s="576">
        <v>37.61</v>
      </c>
      <c r="K1891" t="s">
        <v>972</v>
      </c>
      <c r="L1891" t="s">
        <v>690</v>
      </c>
      <c r="P1891" t="s">
        <v>976</v>
      </c>
      <c r="V1891">
        <v>14</v>
      </c>
    </row>
    <row r="1892" spans="1:22" customFormat="1" ht="15" x14ac:dyDescent="0.25">
      <c r="A1892" t="s">
        <v>196</v>
      </c>
      <c r="E1892" s="1524" t="s">
        <v>960</v>
      </c>
      <c r="F1892" s="1507"/>
      <c r="G1892" s="360" t="s">
        <v>777</v>
      </c>
      <c r="H1892" s="604">
        <v>0.42</v>
      </c>
      <c r="K1892" t="s">
        <v>972</v>
      </c>
      <c r="L1892" t="s">
        <v>692</v>
      </c>
      <c r="P1892" t="s">
        <v>977</v>
      </c>
      <c r="V1892">
        <v>64</v>
      </c>
    </row>
    <row r="1893" spans="1:22" customFormat="1" ht="15" x14ac:dyDescent="0.25">
      <c r="A1893" t="s">
        <v>196</v>
      </c>
      <c r="E1893" s="1524" t="s">
        <v>979</v>
      </c>
      <c r="F1893" s="1524"/>
      <c r="G1893" s="658" t="s">
        <v>845</v>
      </c>
      <c r="H1893" s="577">
        <v>3.0499999999999999E-2</v>
      </c>
      <c r="K1893" t="s">
        <v>972</v>
      </c>
      <c r="L1893" t="s">
        <v>690</v>
      </c>
      <c r="P1893" t="s">
        <v>978</v>
      </c>
      <c r="V1893">
        <v>29</v>
      </c>
    </row>
    <row r="1894" spans="1:22" customFormat="1" ht="15" x14ac:dyDescent="0.25">
      <c r="A1894" t="s">
        <v>196</v>
      </c>
      <c r="E1894" s="1524" t="s">
        <v>910</v>
      </c>
      <c r="F1894" s="1524"/>
      <c r="G1894" s="658" t="s">
        <v>845</v>
      </c>
      <c r="H1894" s="605">
        <v>2.9999999999999997E-4</v>
      </c>
      <c r="K1894" t="s">
        <v>972</v>
      </c>
      <c r="L1894" t="s">
        <v>692</v>
      </c>
      <c r="P1894" t="s">
        <v>980</v>
      </c>
      <c r="V1894">
        <v>24</v>
      </c>
    </row>
    <row r="1895" spans="1:22" customFormat="1" ht="15.75" thickBot="1" x14ac:dyDescent="0.3">
      <c r="A1895" t="s">
        <v>196</v>
      </c>
      <c r="E1895" s="1670" t="s">
        <v>6521</v>
      </c>
      <c r="F1895" s="1676"/>
      <c r="G1895" s="658" t="s">
        <v>845</v>
      </c>
      <c r="H1895" s="605">
        <v>1E-4</v>
      </c>
      <c r="K1895" t="s">
        <v>972</v>
      </c>
      <c r="L1895" t="s">
        <v>692</v>
      </c>
      <c r="P1895" t="s">
        <v>3766</v>
      </c>
      <c r="T1895">
        <v>46022</v>
      </c>
      <c r="V1895">
        <v>149</v>
      </c>
    </row>
    <row r="1896" spans="1:22" customFormat="1" ht="16.5" thickTop="1" thickBot="1" x14ac:dyDescent="0.3">
      <c r="A1896" t="s">
        <v>196</v>
      </c>
      <c r="E1896" s="1672" t="s">
        <v>6520</v>
      </c>
      <c r="F1896" s="1673"/>
      <c r="G1896" s="658" t="s">
        <v>845</v>
      </c>
      <c r="H1896" s="605">
        <v>-4.7000000000000002E-3</v>
      </c>
      <c r="K1896" t="s">
        <v>972</v>
      </c>
      <c r="L1896" t="s">
        <v>692</v>
      </c>
      <c r="P1896" t="s">
        <v>982</v>
      </c>
      <c r="T1896">
        <v>46022</v>
      </c>
      <c r="V1896">
        <v>99</v>
      </c>
    </row>
    <row r="1897" spans="1:22" customFormat="1" ht="15.75" thickTop="1" x14ac:dyDescent="0.25">
      <c r="A1897" t="s">
        <v>196</v>
      </c>
      <c r="E1897" s="1675" t="s">
        <v>243</v>
      </c>
      <c r="F1897" s="1675"/>
      <c r="G1897" s="658" t="s">
        <v>845</v>
      </c>
      <c r="H1897" s="577">
        <v>9.1000000000000004E-3</v>
      </c>
      <c r="K1897" t="s">
        <v>972</v>
      </c>
      <c r="L1897" t="s">
        <v>694</v>
      </c>
      <c r="P1897" t="s">
        <v>983</v>
      </c>
      <c r="V1897">
        <v>47</v>
      </c>
    </row>
    <row r="1898" spans="1:22" customFormat="1" ht="15" x14ac:dyDescent="0.25">
      <c r="A1898" t="s">
        <v>196</v>
      </c>
      <c r="E1898" s="1524" t="s">
        <v>175</v>
      </c>
      <c r="F1898" s="1524"/>
      <c r="G1898" s="658" t="s">
        <v>845</v>
      </c>
      <c r="H1898" s="577">
        <v>7.1000000000000004E-3</v>
      </c>
      <c r="K1898" t="s">
        <v>972</v>
      </c>
      <c r="L1898" t="s">
        <v>694</v>
      </c>
      <c r="P1898" t="s">
        <v>984</v>
      </c>
      <c r="V1898">
        <v>74</v>
      </c>
    </row>
    <row r="1899" spans="1:22" customFormat="1" ht="15" x14ac:dyDescent="0.25">
      <c r="A1899" t="s">
        <v>196</v>
      </c>
      <c r="E1899" s="1533" t="s">
        <v>967</v>
      </c>
      <c r="F1899" s="1507"/>
      <c r="G1899" s="360"/>
      <c r="H1899" s="360"/>
      <c r="K1899" t="s">
        <v>985</v>
      </c>
      <c r="V1899">
        <v>48</v>
      </c>
    </row>
    <row r="1900" spans="1:22" customFormat="1" ht="15" x14ac:dyDescent="0.25">
      <c r="A1900" t="s">
        <v>196</v>
      </c>
      <c r="E1900" s="1524" t="s">
        <v>844</v>
      </c>
      <c r="F1900" s="1524"/>
      <c r="G1900" s="658" t="s">
        <v>845</v>
      </c>
      <c r="H1900" s="577">
        <v>4.1000000000000003E-3</v>
      </c>
      <c r="K1900" t="s">
        <v>972</v>
      </c>
      <c r="L1900" t="s">
        <v>968</v>
      </c>
      <c r="P1900" t="s">
        <v>986</v>
      </c>
      <c r="V1900">
        <v>55</v>
      </c>
    </row>
    <row r="1901" spans="1:22" customFormat="1" ht="15" x14ac:dyDescent="0.25">
      <c r="A1901" t="s">
        <v>196</v>
      </c>
      <c r="E1901" s="1524" t="s">
        <v>846</v>
      </c>
      <c r="F1901" s="1524"/>
      <c r="G1901" s="658" t="s">
        <v>845</v>
      </c>
      <c r="H1901" s="577">
        <v>4.0000000000000002E-4</v>
      </c>
      <c r="K1901" t="s">
        <v>972</v>
      </c>
      <c r="L1901" t="s">
        <v>968</v>
      </c>
      <c r="P1901" t="s">
        <v>986</v>
      </c>
      <c r="V1901">
        <v>65</v>
      </c>
    </row>
    <row r="1902" spans="1:22" customFormat="1" ht="15" x14ac:dyDescent="0.25">
      <c r="A1902" t="s">
        <v>196</v>
      </c>
      <c r="E1902" s="1524" t="s">
        <v>847</v>
      </c>
      <c r="F1902" s="1524"/>
      <c r="G1902" s="658" t="s">
        <v>845</v>
      </c>
      <c r="H1902" s="577">
        <v>1.5E-3</v>
      </c>
      <c r="K1902" t="s">
        <v>972</v>
      </c>
      <c r="L1902" t="s">
        <v>968</v>
      </c>
      <c r="P1902" t="s">
        <v>987</v>
      </c>
      <c r="V1902">
        <v>57</v>
      </c>
    </row>
    <row r="1903" spans="1:22" customFormat="1" ht="15" x14ac:dyDescent="0.25">
      <c r="A1903" t="s">
        <v>196</v>
      </c>
      <c r="E1903" s="1524" t="s">
        <v>848</v>
      </c>
      <c r="F1903" s="1524"/>
      <c r="G1903" s="658" t="s">
        <v>777</v>
      </c>
      <c r="H1903" s="576">
        <v>0.25</v>
      </c>
      <c r="K1903" t="s">
        <v>972</v>
      </c>
      <c r="L1903" t="s">
        <v>968</v>
      </c>
      <c r="P1903" t="s">
        <v>988</v>
      </c>
      <c r="V1903">
        <v>63</v>
      </c>
    </row>
    <row r="1904" spans="1:22" customFormat="1" x14ac:dyDescent="0.25">
      <c r="A1904" t="s">
        <v>196</v>
      </c>
      <c r="E1904" s="1538" t="s">
        <v>3767</v>
      </c>
      <c r="F1904" s="1538"/>
      <c r="G1904" s="1538"/>
      <c r="H1904" s="1539"/>
      <c r="K1904" t="s">
        <v>3768</v>
      </c>
      <c r="V1904">
        <v>53</v>
      </c>
    </row>
    <row r="1905" spans="1:22" customFormat="1" ht="15" x14ac:dyDescent="0.25">
      <c r="A1905" t="s">
        <v>196</v>
      </c>
      <c r="E1905" s="1531" t="s">
        <v>5791</v>
      </c>
      <c r="F1905" s="1531"/>
      <c r="G1905" s="1531"/>
      <c r="H1905" s="1532"/>
      <c r="K1905" t="s">
        <v>3768</v>
      </c>
      <c r="V1905">
        <v>520</v>
      </c>
    </row>
    <row r="1906" spans="1:22" customFormat="1" ht="15" x14ac:dyDescent="0.25">
      <c r="A1906" t="s">
        <v>196</v>
      </c>
      <c r="E1906" s="1553" t="s">
        <v>950</v>
      </c>
      <c r="F1906" s="1530"/>
      <c r="G1906" s="1530"/>
      <c r="H1906" s="1530"/>
      <c r="K1906" t="s">
        <v>992</v>
      </c>
      <c r="V1906">
        <v>11</v>
      </c>
    </row>
    <row r="1907" spans="1:22" customFormat="1" ht="15" x14ac:dyDescent="0.25">
      <c r="A1907" t="s">
        <v>196</v>
      </c>
      <c r="E1907" s="1516" t="s">
        <v>951</v>
      </c>
      <c r="F1907" s="1516"/>
      <c r="G1907" s="1516"/>
      <c r="H1907" s="1516"/>
      <c r="K1907" t="s">
        <v>3768</v>
      </c>
      <c r="V1907">
        <v>280</v>
      </c>
    </row>
    <row r="1908" spans="1:22" customFormat="1" ht="15" x14ac:dyDescent="0.25">
      <c r="A1908" t="s">
        <v>196</v>
      </c>
      <c r="E1908" s="1516" t="s">
        <v>952</v>
      </c>
      <c r="F1908" s="1516"/>
      <c r="G1908" s="1516"/>
      <c r="H1908" s="1516"/>
      <c r="K1908" t="s">
        <v>3768</v>
      </c>
      <c r="V1908">
        <v>411</v>
      </c>
    </row>
    <row r="1909" spans="1:22" customFormat="1" ht="15" x14ac:dyDescent="0.25">
      <c r="A1909" t="s">
        <v>196</v>
      </c>
      <c r="E1909" s="1516" t="s">
        <v>3761</v>
      </c>
      <c r="F1909" s="1516"/>
      <c r="G1909" s="1516"/>
      <c r="H1909" s="1516"/>
      <c r="K1909" t="s">
        <v>3768</v>
      </c>
      <c r="V1909">
        <v>387</v>
      </c>
    </row>
    <row r="1910" spans="1:22" customFormat="1" ht="15" x14ac:dyDescent="0.25">
      <c r="A1910" t="s">
        <v>196</v>
      </c>
      <c r="E1910" s="1516" t="s">
        <v>3771</v>
      </c>
      <c r="F1910" s="1516"/>
      <c r="G1910" s="1516"/>
      <c r="H1910" s="1516"/>
      <c r="K1910" t="s">
        <v>3768</v>
      </c>
      <c r="V1910">
        <v>677</v>
      </c>
    </row>
    <row r="1911" spans="1:22" customFormat="1" ht="15" x14ac:dyDescent="0.25">
      <c r="A1911" t="s">
        <v>196</v>
      </c>
      <c r="E1911" s="1516" t="s">
        <v>3772</v>
      </c>
      <c r="F1911" s="1516"/>
      <c r="G1911" s="1516"/>
      <c r="H1911" s="1516"/>
      <c r="K1911" t="s">
        <v>3768</v>
      </c>
      <c r="V1911">
        <v>693</v>
      </c>
    </row>
    <row r="1912" spans="1:22" customFormat="1" ht="15" x14ac:dyDescent="0.25">
      <c r="A1912" t="s">
        <v>196</v>
      </c>
      <c r="E1912" s="1516" t="s">
        <v>954</v>
      </c>
      <c r="F1912" s="1516"/>
      <c r="G1912" s="1516"/>
      <c r="H1912" s="1516"/>
      <c r="K1912" t="s">
        <v>3768</v>
      </c>
      <c r="V1912">
        <v>246</v>
      </c>
    </row>
    <row r="1913" spans="1:22" customFormat="1" ht="15" x14ac:dyDescent="0.25">
      <c r="A1913" t="s">
        <v>196</v>
      </c>
      <c r="E1913" s="1562" t="s">
        <v>956</v>
      </c>
      <c r="F1913" s="1530"/>
      <c r="G1913" s="1530"/>
      <c r="H1913" s="1530"/>
      <c r="K1913" t="s">
        <v>995</v>
      </c>
      <c r="V1913">
        <v>46</v>
      </c>
    </row>
    <row r="1914" spans="1:22" customFormat="1" ht="15" x14ac:dyDescent="0.25">
      <c r="A1914" t="s">
        <v>196</v>
      </c>
      <c r="E1914" s="1524" t="s">
        <v>3773</v>
      </c>
      <c r="F1914" s="1524"/>
      <c r="G1914" s="360" t="s">
        <v>777</v>
      </c>
      <c r="H1914" s="576">
        <v>188.6</v>
      </c>
      <c r="K1914" t="s">
        <v>3768</v>
      </c>
      <c r="L1914" t="s">
        <v>690</v>
      </c>
      <c r="P1914" t="s">
        <v>3774</v>
      </c>
      <c r="V1914">
        <v>14</v>
      </c>
    </row>
    <row r="1915" spans="1:22" customFormat="1" ht="15" x14ac:dyDescent="0.25">
      <c r="A1915" t="s">
        <v>196</v>
      </c>
      <c r="E1915" s="1524" t="s">
        <v>5793</v>
      </c>
      <c r="F1915" s="1524"/>
      <c r="G1915" s="658" t="s">
        <v>3775</v>
      </c>
      <c r="H1915" s="577">
        <v>8.9047000000000001</v>
      </c>
      <c r="K1915" t="s">
        <v>3768</v>
      </c>
      <c r="L1915" t="s">
        <v>690</v>
      </c>
      <c r="P1915" t="s">
        <v>3776</v>
      </c>
      <c r="V1915">
        <v>30</v>
      </c>
    </row>
    <row r="1916" spans="1:22" customFormat="1" ht="15" x14ac:dyDescent="0.25">
      <c r="A1916" t="s">
        <v>196</v>
      </c>
      <c r="E1916" s="1524" t="s">
        <v>910</v>
      </c>
      <c r="F1916" s="1524"/>
      <c r="G1916" s="658" t="s">
        <v>3775</v>
      </c>
      <c r="H1916" s="577">
        <v>0.11509999999999999</v>
      </c>
      <c r="K1916" t="s">
        <v>3768</v>
      </c>
      <c r="L1916" t="s">
        <v>692</v>
      </c>
      <c r="P1916" t="s">
        <v>3777</v>
      </c>
      <c r="V1916">
        <v>24</v>
      </c>
    </row>
    <row r="1917" spans="1:22" customFormat="1" ht="15" x14ac:dyDescent="0.25">
      <c r="A1917" t="s">
        <v>196</v>
      </c>
      <c r="E1917" s="1524" t="s">
        <v>6521</v>
      </c>
      <c r="F1917" s="1510"/>
      <c r="G1917" s="658" t="s">
        <v>3775</v>
      </c>
      <c r="H1917" s="577">
        <v>3.49E-2</v>
      </c>
      <c r="K1917" t="s">
        <v>3768</v>
      </c>
      <c r="L1917" t="s">
        <v>692</v>
      </c>
      <c r="P1917" t="s">
        <v>3778</v>
      </c>
      <c r="T1917">
        <v>46022</v>
      </c>
      <c r="V1917">
        <v>149</v>
      </c>
    </row>
    <row r="1918" spans="1:22" customFormat="1" ht="15" x14ac:dyDescent="0.25">
      <c r="A1918" t="s">
        <v>196</v>
      </c>
      <c r="E1918" s="1524" t="s">
        <v>6520</v>
      </c>
      <c r="F1918" s="1510"/>
      <c r="G1918" s="658" t="s">
        <v>3775</v>
      </c>
      <c r="H1918" s="577">
        <v>-0.2079</v>
      </c>
      <c r="K1918" t="s">
        <v>3768</v>
      </c>
      <c r="L1918" t="s">
        <v>692</v>
      </c>
      <c r="P1918" t="s">
        <v>3779</v>
      </c>
      <c r="T1918">
        <v>46022</v>
      </c>
      <c r="V1918">
        <v>99</v>
      </c>
    </row>
    <row r="1919" spans="1:22" customFormat="1" ht="15" x14ac:dyDescent="0.25">
      <c r="A1919" t="s">
        <v>196</v>
      </c>
      <c r="E1919" s="1524" t="s">
        <v>243</v>
      </c>
      <c r="F1919" s="1524"/>
      <c r="G1919" s="658" t="s">
        <v>3775</v>
      </c>
      <c r="H1919" s="577">
        <v>3.8431999999999999</v>
      </c>
      <c r="K1919" t="s">
        <v>3768</v>
      </c>
      <c r="L1919" t="s">
        <v>694</v>
      </c>
      <c r="P1919" t="s">
        <v>3780</v>
      </c>
      <c r="V1919">
        <v>47</v>
      </c>
    </row>
    <row r="1920" spans="1:22" customFormat="1" ht="15.75" thickBot="1" x14ac:dyDescent="0.3">
      <c r="A1920" t="s">
        <v>196</v>
      </c>
      <c r="E1920" s="1524" t="s">
        <v>175</v>
      </c>
      <c r="F1920" s="1524"/>
      <c r="G1920" s="658" t="s">
        <v>3775</v>
      </c>
      <c r="H1920" s="577">
        <v>2.9117999999999999</v>
      </c>
      <c r="K1920" t="s">
        <v>3768</v>
      </c>
      <c r="L1920" t="s">
        <v>694</v>
      </c>
      <c r="P1920" t="s">
        <v>3781</v>
      </c>
      <c r="V1920">
        <v>74</v>
      </c>
    </row>
    <row r="1921" spans="1:22" customFormat="1" ht="15.75" thickTop="1" x14ac:dyDescent="0.25">
      <c r="A1921" t="s">
        <v>196</v>
      </c>
      <c r="E1921" s="1615" t="s">
        <v>967</v>
      </c>
      <c r="F1921" s="1616"/>
      <c r="G1921" s="360"/>
      <c r="H1921" s="360"/>
      <c r="K1921" t="s">
        <v>1003</v>
      </c>
      <c r="V1921">
        <v>48</v>
      </c>
    </row>
    <row r="1922" spans="1:22" customFormat="1" ht="15" x14ac:dyDescent="0.25">
      <c r="A1922" t="s">
        <v>196</v>
      </c>
      <c r="E1922" s="1524" t="s">
        <v>844</v>
      </c>
      <c r="F1922" s="1524"/>
      <c r="G1922" s="658" t="s">
        <v>845</v>
      </c>
      <c r="H1922" s="577">
        <v>4.1000000000000003E-3</v>
      </c>
      <c r="K1922" t="s">
        <v>3768</v>
      </c>
      <c r="L1922" t="s">
        <v>968</v>
      </c>
      <c r="P1922" t="s">
        <v>3782</v>
      </c>
      <c r="V1922">
        <v>55</v>
      </c>
    </row>
    <row r="1923" spans="1:22" customFormat="1" ht="15" x14ac:dyDescent="0.25">
      <c r="A1923" t="s">
        <v>196</v>
      </c>
      <c r="E1923" s="1524" t="s">
        <v>846</v>
      </c>
      <c r="F1923" s="1524"/>
      <c r="G1923" s="658" t="s">
        <v>845</v>
      </c>
      <c r="H1923" s="577">
        <v>4.0000000000000002E-4</v>
      </c>
      <c r="K1923" t="s">
        <v>3768</v>
      </c>
      <c r="L1923" t="s">
        <v>968</v>
      </c>
      <c r="P1923" t="s">
        <v>3782</v>
      </c>
      <c r="V1923">
        <v>65</v>
      </c>
    </row>
    <row r="1924" spans="1:22" customFormat="1" ht="15" x14ac:dyDescent="0.25">
      <c r="A1924" t="s">
        <v>196</v>
      </c>
      <c r="E1924" s="1524" t="s">
        <v>847</v>
      </c>
      <c r="F1924" s="1524"/>
      <c r="G1924" s="658" t="s">
        <v>845</v>
      </c>
      <c r="H1924" s="577">
        <v>1.5E-3</v>
      </c>
      <c r="K1924" t="s">
        <v>3768</v>
      </c>
      <c r="L1924" t="s">
        <v>968</v>
      </c>
      <c r="P1924" t="s">
        <v>3783</v>
      </c>
      <c r="V1924">
        <v>57</v>
      </c>
    </row>
    <row r="1925" spans="1:22" customFormat="1" ht="15" x14ac:dyDescent="0.25">
      <c r="A1925" t="s">
        <v>196</v>
      </c>
      <c r="E1925" s="1524" t="s">
        <v>848</v>
      </c>
      <c r="F1925" s="1524"/>
      <c r="G1925" s="658" t="s">
        <v>777</v>
      </c>
      <c r="H1925" s="576">
        <v>0.25</v>
      </c>
      <c r="K1925" t="s">
        <v>3768</v>
      </c>
      <c r="L1925" t="s">
        <v>968</v>
      </c>
      <c r="P1925" t="s">
        <v>3784</v>
      </c>
      <c r="V1925">
        <v>63</v>
      </c>
    </row>
    <row r="1926" spans="1:22" customFormat="1" x14ac:dyDescent="0.25">
      <c r="A1926" t="s">
        <v>196</v>
      </c>
      <c r="E1926" s="1656" t="s">
        <v>4007</v>
      </c>
      <c r="F1926" s="1656"/>
      <c r="G1926" s="1656"/>
      <c r="H1926" s="1656"/>
      <c r="K1926" t="s">
        <v>4506</v>
      </c>
      <c r="V1926">
        <v>43</v>
      </c>
    </row>
    <row r="1927" spans="1:22" customFormat="1" ht="15" x14ac:dyDescent="0.25">
      <c r="A1927" t="s">
        <v>196</v>
      </c>
      <c r="E1927" s="1531" t="s">
        <v>5794</v>
      </c>
      <c r="F1927" s="1531"/>
      <c r="G1927" s="1531"/>
      <c r="H1927" s="1532"/>
      <c r="K1927" t="s">
        <v>4506</v>
      </c>
      <c r="V1927">
        <v>237</v>
      </c>
    </row>
    <row r="1928" spans="1:22" customFormat="1" ht="15" x14ac:dyDescent="0.25">
      <c r="A1928" t="s">
        <v>196</v>
      </c>
      <c r="E1928" s="1618" t="s">
        <v>950</v>
      </c>
      <c r="F1928" s="1530"/>
      <c r="G1928" s="1530"/>
      <c r="H1928" s="1530"/>
      <c r="K1928" t="s">
        <v>1010</v>
      </c>
      <c r="V1928">
        <v>11</v>
      </c>
    </row>
    <row r="1929" spans="1:22" customFormat="1" ht="15" x14ac:dyDescent="0.25">
      <c r="A1929" t="s">
        <v>196</v>
      </c>
      <c r="E1929" s="1531" t="s">
        <v>951</v>
      </c>
      <c r="F1929" s="1531"/>
      <c r="G1929" s="1531"/>
      <c r="H1929" s="1532"/>
      <c r="K1929" t="s">
        <v>4506</v>
      </c>
      <c r="V1929">
        <v>280</v>
      </c>
    </row>
    <row r="1930" spans="1:22" customFormat="1" ht="15" x14ac:dyDescent="0.25">
      <c r="A1930" t="s">
        <v>196</v>
      </c>
      <c r="E1930" s="1531" t="s">
        <v>952</v>
      </c>
      <c r="F1930" s="1531"/>
      <c r="G1930" s="1531"/>
      <c r="H1930" s="1532"/>
      <c r="K1930" t="s">
        <v>4506</v>
      </c>
      <c r="V1930">
        <v>411</v>
      </c>
    </row>
    <row r="1931" spans="1:22" customFormat="1" ht="15" x14ac:dyDescent="0.25">
      <c r="A1931" t="s">
        <v>196</v>
      </c>
      <c r="E1931" s="1531" t="s">
        <v>3761</v>
      </c>
      <c r="F1931" s="1531"/>
      <c r="G1931" s="1531"/>
      <c r="H1931" s="1532"/>
      <c r="K1931" t="s">
        <v>4506</v>
      </c>
      <c r="V1931">
        <v>387</v>
      </c>
    </row>
    <row r="1932" spans="1:22" customFormat="1" ht="15" x14ac:dyDescent="0.25">
      <c r="A1932" t="s">
        <v>196</v>
      </c>
      <c r="E1932" s="1516" t="s">
        <v>954</v>
      </c>
      <c r="F1932" s="1516"/>
      <c r="G1932" s="1516"/>
      <c r="H1932" s="1516"/>
      <c r="K1932" t="s">
        <v>4506</v>
      </c>
      <c r="V1932">
        <v>246</v>
      </c>
    </row>
    <row r="1933" spans="1:22" customFormat="1" ht="15" x14ac:dyDescent="0.25">
      <c r="A1933" t="s">
        <v>196</v>
      </c>
      <c r="E1933" s="1618" t="s">
        <v>956</v>
      </c>
      <c r="F1933" s="1530"/>
      <c r="G1933" s="1530"/>
      <c r="H1933" s="1530"/>
      <c r="K1933" t="s">
        <v>1011</v>
      </c>
      <c r="V1933">
        <v>46</v>
      </c>
    </row>
    <row r="1934" spans="1:22" customFormat="1" ht="15" x14ac:dyDescent="0.25">
      <c r="A1934" t="s">
        <v>196</v>
      </c>
      <c r="E1934" s="1524" t="s">
        <v>3773</v>
      </c>
      <c r="F1934" s="1524"/>
      <c r="G1934" s="360" t="s">
        <v>777</v>
      </c>
      <c r="H1934" s="576">
        <v>678.63</v>
      </c>
      <c r="K1934" t="s">
        <v>4506</v>
      </c>
      <c r="L1934" t="s">
        <v>690</v>
      </c>
      <c r="P1934" t="s">
        <v>4508</v>
      </c>
      <c r="V1934">
        <v>14</v>
      </c>
    </row>
    <row r="1935" spans="1:22" customFormat="1" ht="15" x14ac:dyDescent="0.25">
      <c r="A1935" t="s">
        <v>196</v>
      </c>
      <c r="E1935" s="1524" t="s">
        <v>5793</v>
      </c>
      <c r="F1935" s="1524"/>
      <c r="G1935" s="658" t="s">
        <v>3775</v>
      </c>
      <c r="H1935" s="577">
        <v>10.254099999999999</v>
      </c>
      <c r="K1935" t="s">
        <v>4506</v>
      </c>
      <c r="L1935" t="s">
        <v>690</v>
      </c>
      <c r="P1935" t="s">
        <v>4509</v>
      </c>
      <c r="V1935">
        <v>30</v>
      </c>
    </row>
    <row r="1936" spans="1:22" customFormat="1" ht="15" x14ac:dyDescent="0.25">
      <c r="A1936" t="s">
        <v>196</v>
      </c>
      <c r="E1936" s="1524" t="s">
        <v>910</v>
      </c>
      <c r="F1936" s="1524"/>
      <c r="G1936" s="658" t="s">
        <v>3775</v>
      </c>
      <c r="H1936" s="577">
        <v>0.11509999999999999</v>
      </c>
      <c r="K1936" t="s">
        <v>4506</v>
      </c>
      <c r="L1936" t="s">
        <v>692</v>
      </c>
      <c r="P1936" t="s">
        <v>4510</v>
      </c>
      <c r="V1936">
        <v>24</v>
      </c>
    </row>
    <row r="1937" spans="1:22" customFormat="1" ht="15" x14ac:dyDescent="0.25">
      <c r="A1937" t="s">
        <v>196</v>
      </c>
      <c r="E1937" s="1524" t="s">
        <v>6521</v>
      </c>
      <c r="F1937" s="1510"/>
      <c r="G1937" s="658" t="s">
        <v>3775</v>
      </c>
      <c r="H1937" s="577">
        <v>4.1599999999999998E-2</v>
      </c>
      <c r="K1937" t="s">
        <v>4506</v>
      </c>
      <c r="L1937" t="s">
        <v>692</v>
      </c>
      <c r="P1937" t="s">
        <v>4513</v>
      </c>
      <c r="T1937">
        <v>46022</v>
      </c>
      <c r="V1937">
        <v>149</v>
      </c>
    </row>
    <row r="1938" spans="1:22" customFormat="1" ht="15" x14ac:dyDescent="0.25">
      <c r="A1938" t="s">
        <v>196</v>
      </c>
      <c r="E1938" s="1524" t="s">
        <v>6520</v>
      </c>
      <c r="F1938" s="1510"/>
      <c r="G1938" s="658" t="s">
        <v>3775</v>
      </c>
      <c r="H1938" s="577">
        <v>-0.62739999999999996</v>
      </c>
      <c r="K1938" t="s">
        <v>4506</v>
      </c>
      <c r="L1938" t="s">
        <v>692</v>
      </c>
      <c r="P1938" t="s">
        <v>4512</v>
      </c>
      <c r="T1938">
        <v>46022</v>
      </c>
      <c r="V1938">
        <v>99</v>
      </c>
    </row>
    <row r="1939" spans="1:22" customFormat="1" ht="15" x14ac:dyDescent="0.25">
      <c r="A1939" t="s">
        <v>196</v>
      </c>
      <c r="E1939" s="1524" t="s">
        <v>243</v>
      </c>
      <c r="F1939" s="1524"/>
      <c r="G1939" s="658" t="s">
        <v>3775</v>
      </c>
      <c r="H1939" s="577">
        <v>3.8431999999999999</v>
      </c>
      <c r="K1939" t="s">
        <v>4506</v>
      </c>
      <c r="L1939" t="s">
        <v>694</v>
      </c>
      <c r="P1939" t="s">
        <v>4514</v>
      </c>
      <c r="V1939">
        <v>47</v>
      </c>
    </row>
    <row r="1940" spans="1:22" customFormat="1" ht="15.75" thickBot="1" x14ac:dyDescent="0.3">
      <c r="A1940" t="s">
        <v>196</v>
      </c>
      <c r="E1940" s="1524" t="s">
        <v>175</v>
      </c>
      <c r="F1940" s="1524"/>
      <c r="G1940" s="658" t="s">
        <v>3775</v>
      </c>
      <c r="H1940" s="577">
        <v>2.9117999999999999</v>
      </c>
      <c r="K1940" t="s">
        <v>4506</v>
      </c>
      <c r="L1940" t="s">
        <v>694</v>
      </c>
      <c r="P1940" t="s">
        <v>4515</v>
      </c>
      <c r="V1940">
        <v>74</v>
      </c>
    </row>
    <row r="1941" spans="1:22" customFormat="1" ht="15.75" thickTop="1" x14ac:dyDescent="0.25">
      <c r="A1941" t="s">
        <v>196</v>
      </c>
      <c r="E1941" s="1722" t="s">
        <v>967</v>
      </c>
      <c r="F1941" s="1616"/>
      <c r="G1941" s="646"/>
      <c r="H1941" s="646"/>
      <c r="K1941" t="s">
        <v>1019</v>
      </c>
      <c r="V1941">
        <v>48</v>
      </c>
    </row>
    <row r="1942" spans="1:22" customFormat="1" ht="15" x14ac:dyDescent="0.25">
      <c r="A1942" t="s">
        <v>196</v>
      </c>
      <c r="E1942" s="1524" t="s">
        <v>844</v>
      </c>
      <c r="F1942" s="1524"/>
      <c r="G1942" s="658" t="s">
        <v>845</v>
      </c>
      <c r="H1942" s="577">
        <v>4.1000000000000003E-3</v>
      </c>
      <c r="K1942" t="s">
        <v>4506</v>
      </c>
      <c r="L1942" t="s">
        <v>968</v>
      </c>
      <c r="P1942" t="s">
        <v>4516</v>
      </c>
      <c r="V1942">
        <v>55</v>
      </c>
    </row>
    <row r="1943" spans="1:22" customFormat="1" ht="15" x14ac:dyDescent="0.25">
      <c r="A1943" t="s">
        <v>196</v>
      </c>
      <c r="E1943" s="1524" t="s">
        <v>846</v>
      </c>
      <c r="F1943" s="1524"/>
      <c r="G1943" s="658" t="s">
        <v>845</v>
      </c>
      <c r="H1943" s="577">
        <v>4.0000000000000002E-4</v>
      </c>
      <c r="K1943" t="s">
        <v>4506</v>
      </c>
      <c r="L1943" t="s">
        <v>968</v>
      </c>
      <c r="P1943" t="s">
        <v>4516</v>
      </c>
      <c r="V1943">
        <v>65</v>
      </c>
    </row>
    <row r="1944" spans="1:22" customFormat="1" ht="15" x14ac:dyDescent="0.25">
      <c r="A1944" t="s">
        <v>196</v>
      </c>
      <c r="E1944" s="1524" t="s">
        <v>847</v>
      </c>
      <c r="F1944" s="1524"/>
      <c r="G1944" s="658" t="s">
        <v>845</v>
      </c>
      <c r="H1944" s="577">
        <v>1.5E-3</v>
      </c>
      <c r="K1944" t="s">
        <v>4506</v>
      </c>
      <c r="L1944" t="s">
        <v>968</v>
      </c>
      <c r="P1944" t="s">
        <v>4517</v>
      </c>
      <c r="V1944">
        <v>57</v>
      </c>
    </row>
    <row r="1945" spans="1:22" customFormat="1" ht="15" x14ac:dyDescent="0.25">
      <c r="A1945" t="s">
        <v>196</v>
      </c>
      <c r="E1945" s="1524" t="s">
        <v>848</v>
      </c>
      <c r="F1945" s="1524"/>
      <c r="G1945" s="658" t="s">
        <v>777</v>
      </c>
      <c r="H1945" s="576">
        <v>0.25</v>
      </c>
      <c r="K1945" t="s">
        <v>4506</v>
      </c>
      <c r="L1945" t="s">
        <v>968</v>
      </c>
      <c r="P1945" t="s">
        <v>4518</v>
      </c>
      <c r="V1945">
        <v>63</v>
      </c>
    </row>
    <row r="1946" spans="1:22" customFormat="1" x14ac:dyDescent="0.25">
      <c r="A1946" t="s">
        <v>196</v>
      </c>
      <c r="E1946" s="1538" t="s">
        <v>194</v>
      </c>
      <c r="F1946" s="1538"/>
      <c r="G1946" s="1538"/>
      <c r="H1946" s="1539"/>
      <c r="K1946" t="s">
        <v>1023</v>
      </c>
      <c r="V1946">
        <v>47</v>
      </c>
    </row>
    <row r="1947" spans="1:22" customFormat="1" ht="15" x14ac:dyDescent="0.25">
      <c r="A1947" t="s">
        <v>196</v>
      </c>
      <c r="E1947" s="1531" t="s">
        <v>5795</v>
      </c>
      <c r="F1947" s="1531"/>
      <c r="G1947" s="1531"/>
      <c r="H1947" s="1532"/>
      <c r="K1947" t="s">
        <v>1023</v>
      </c>
      <c r="V1947">
        <v>479</v>
      </c>
    </row>
    <row r="1948" spans="1:22" customFormat="1" ht="15" x14ac:dyDescent="0.25">
      <c r="A1948" t="s">
        <v>196</v>
      </c>
      <c r="E1948" s="1553" t="s">
        <v>950</v>
      </c>
      <c r="F1948" s="1530"/>
      <c r="G1948" s="1530"/>
      <c r="H1948" s="1530"/>
      <c r="K1948" t="s">
        <v>1025</v>
      </c>
      <c r="V1948">
        <v>11</v>
      </c>
    </row>
    <row r="1949" spans="1:22" customFormat="1" ht="15" x14ac:dyDescent="0.25">
      <c r="A1949" t="s">
        <v>196</v>
      </c>
      <c r="E1949" s="1516" t="s">
        <v>951</v>
      </c>
      <c r="F1949" s="1516"/>
      <c r="G1949" s="1516"/>
      <c r="H1949" s="1516"/>
      <c r="K1949" t="s">
        <v>1023</v>
      </c>
      <c r="V1949">
        <v>280</v>
      </c>
    </row>
    <row r="1950" spans="1:22" customFormat="1" ht="15" x14ac:dyDescent="0.25">
      <c r="A1950" t="s">
        <v>196</v>
      </c>
      <c r="E1950" s="1516" t="s">
        <v>952</v>
      </c>
      <c r="F1950" s="1516"/>
      <c r="G1950" s="1516"/>
      <c r="H1950" s="1516"/>
      <c r="K1950" t="s">
        <v>1023</v>
      </c>
      <c r="V1950">
        <v>411</v>
      </c>
    </row>
    <row r="1951" spans="1:22" customFormat="1" ht="15" x14ac:dyDescent="0.25">
      <c r="A1951" t="s">
        <v>196</v>
      </c>
      <c r="E1951" s="1516" t="s">
        <v>3761</v>
      </c>
      <c r="F1951" s="1516"/>
      <c r="G1951" s="1516"/>
      <c r="H1951" s="1516"/>
      <c r="K1951" t="s">
        <v>1023</v>
      </c>
      <c r="V1951">
        <v>387</v>
      </c>
    </row>
    <row r="1952" spans="1:22" customFormat="1" ht="15" x14ac:dyDescent="0.25">
      <c r="A1952" t="s">
        <v>196</v>
      </c>
      <c r="E1952" s="1516" t="s">
        <v>954</v>
      </c>
      <c r="F1952" s="1516"/>
      <c r="G1952" s="1516"/>
      <c r="H1952" s="1516"/>
      <c r="K1952" t="s">
        <v>1023</v>
      </c>
      <c r="V1952">
        <v>246</v>
      </c>
    </row>
    <row r="1953" spans="1:22" customFormat="1" ht="15" x14ac:dyDescent="0.25">
      <c r="A1953" t="s">
        <v>196</v>
      </c>
      <c r="E1953" s="1562" t="s">
        <v>956</v>
      </c>
      <c r="F1953" s="1530"/>
      <c r="G1953" s="1530"/>
      <c r="H1953" s="1530"/>
      <c r="K1953" t="s">
        <v>1026</v>
      </c>
      <c r="V1953">
        <v>46</v>
      </c>
    </row>
    <row r="1954" spans="1:22" customFormat="1" ht="15" x14ac:dyDescent="0.25">
      <c r="A1954" t="s">
        <v>196</v>
      </c>
      <c r="E1954" s="1524" t="s">
        <v>5796</v>
      </c>
      <c r="F1954" s="1524"/>
      <c r="G1954" s="360" t="s">
        <v>777</v>
      </c>
      <c r="H1954" s="576">
        <v>59.3</v>
      </c>
      <c r="K1954" t="s">
        <v>1023</v>
      </c>
      <c r="L1954" t="s">
        <v>690</v>
      </c>
      <c r="P1954" t="s">
        <v>1027</v>
      </c>
      <c r="V1954">
        <v>28</v>
      </c>
    </row>
    <row r="1955" spans="1:22" customFormat="1" ht="15" x14ac:dyDescent="0.25">
      <c r="A1955" t="s">
        <v>196</v>
      </c>
      <c r="E1955" s="1524" t="s">
        <v>3688</v>
      </c>
      <c r="F1955" s="1524"/>
      <c r="G1955" s="662" t="s">
        <v>845</v>
      </c>
      <c r="H1955" s="577">
        <v>3.2199999999999999E-2</v>
      </c>
      <c r="K1955" t="s">
        <v>1023</v>
      </c>
      <c r="L1955" t="s">
        <v>690</v>
      </c>
      <c r="P1955" t="s">
        <v>1029</v>
      </c>
      <c r="V1955">
        <v>28</v>
      </c>
    </row>
    <row r="1956" spans="1:22" customFormat="1" ht="15" x14ac:dyDescent="0.25">
      <c r="A1956" t="s">
        <v>196</v>
      </c>
      <c r="E1956" s="1524" t="s">
        <v>910</v>
      </c>
      <c r="F1956" s="1524"/>
      <c r="G1956" s="662" t="s">
        <v>845</v>
      </c>
      <c r="H1956" s="608">
        <v>2.9999999999999997E-4</v>
      </c>
      <c r="K1956" t="s">
        <v>1023</v>
      </c>
      <c r="L1956" t="s">
        <v>692</v>
      </c>
      <c r="P1956" t="s">
        <v>1030</v>
      </c>
      <c r="V1956">
        <v>24</v>
      </c>
    </row>
    <row r="1957" spans="1:22" customFormat="1" ht="15.75" thickBot="1" x14ac:dyDescent="0.3">
      <c r="A1957" t="s">
        <v>196</v>
      </c>
      <c r="E1957" s="1670" t="s">
        <v>6521</v>
      </c>
      <c r="F1957" s="1676"/>
      <c r="G1957" s="662" t="s">
        <v>845</v>
      </c>
      <c r="H1957" s="608">
        <v>1E-4</v>
      </c>
      <c r="K1957" t="s">
        <v>1023</v>
      </c>
      <c r="L1957" t="s">
        <v>692</v>
      </c>
      <c r="P1957" t="s">
        <v>4520</v>
      </c>
      <c r="T1957">
        <v>46022</v>
      </c>
      <c r="V1957">
        <v>149</v>
      </c>
    </row>
    <row r="1958" spans="1:22" customFormat="1" ht="16.5" thickTop="1" thickBot="1" x14ac:dyDescent="0.3">
      <c r="A1958" t="s">
        <v>196</v>
      </c>
      <c r="E1958" s="1672" t="s">
        <v>6520</v>
      </c>
      <c r="F1958" s="1673"/>
      <c r="G1958" s="662" t="s">
        <v>845</v>
      </c>
      <c r="H1958" s="608">
        <v>-1.6000000000000001E-3</v>
      </c>
      <c r="K1958" t="s">
        <v>1023</v>
      </c>
      <c r="L1958" t="s">
        <v>692</v>
      </c>
      <c r="P1958" t="s">
        <v>1032</v>
      </c>
      <c r="T1958">
        <v>46022</v>
      </c>
      <c r="V1958">
        <v>99</v>
      </c>
    </row>
    <row r="1959" spans="1:22" customFormat="1" ht="15.75" thickTop="1" x14ac:dyDescent="0.25">
      <c r="A1959" t="s">
        <v>196</v>
      </c>
      <c r="E1959" s="1675" t="s">
        <v>243</v>
      </c>
      <c r="F1959" s="1616"/>
      <c r="G1959" s="662" t="s">
        <v>845</v>
      </c>
      <c r="H1959" s="577">
        <v>9.4000000000000004E-3</v>
      </c>
      <c r="K1959" t="s">
        <v>1023</v>
      </c>
      <c r="L1959" t="s">
        <v>694</v>
      </c>
      <c r="P1959" t="s">
        <v>1033</v>
      </c>
      <c r="V1959">
        <v>47</v>
      </c>
    </row>
    <row r="1960" spans="1:22" customFormat="1" ht="15" x14ac:dyDescent="0.25">
      <c r="A1960" t="s">
        <v>196</v>
      </c>
      <c r="E1960" s="1524" t="s">
        <v>175</v>
      </c>
      <c r="F1960" s="1507"/>
      <c r="G1960" s="662" t="s">
        <v>845</v>
      </c>
      <c r="H1960" s="577">
        <v>7.1999999999999998E-3</v>
      </c>
      <c r="K1960" t="s">
        <v>1023</v>
      </c>
      <c r="L1960" t="s">
        <v>694</v>
      </c>
      <c r="P1960" t="s">
        <v>1034</v>
      </c>
      <c r="V1960">
        <v>74</v>
      </c>
    </row>
    <row r="1961" spans="1:22" customFormat="1" ht="15" x14ac:dyDescent="0.25">
      <c r="A1961" t="s">
        <v>196</v>
      </c>
      <c r="E1961" s="1533" t="s">
        <v>967</v>
      </c>
      <c r="F1961" s="1507"/>
      <c r="G1961" s="360"/>
      <c r="H1961" s="360"/>
      <c r="K1961" t="s">
        <v>1035</v>
      </c>
      <c r="V1961">
        <v>48</v>
      </c>
    </row>
    <row r="1962" spans="1:22" customFormat="1" ht="15" x14ac:dyDescent="0.25">
      <c r="A1962" t="s">
        <v>196</v>
      </c>
      <c r="E1962" s="1524" t="s">
        <v>844</v>
      </c>
      <c r="F1962" s="1524"/>
      <c r="G1962" s="658" t="s">
        <v>845</v>
      </c>
      <c r="H1962" s="577">
        <v>4.1000000000000003E-3</v>
      </c>
      <c r="K1962" t="s">
        <v>1023</v>
      </c>
      <c r="L1962" t="s">
        <v>968</v>
      </c>
      <c r="P1962" t="s">
        <v>1036</v>
      </c>
      <c r="V1962">
        <v>55</v>
      </c>
    </row>
    <row r="1963" spans="1:22" customFormat="1" ht="15" x14ac:dyDescent="0.25">
      <c r="A1963" t="s">
        <v>196</v>
      </c>
      <c r="E1963" s="1524" t="s">
        <v>846</v>
      </c>
      <c r="F1963" s="1524"/>
      <c r="G1963" s="658" t="s">
        <v>845</v>
      </c>
      <c r="H1963" s="577">
        <v>4.0000000000000002E-4</v>
      </c>
      <c r="K1963" t="s">
        <v>1023</v>
      </c>
      <c r="L1963" t="s">
        <v>968</v>
      </c>
      <c r="P1963" t="s">
        <v>1036</v>
      </c>
      <c r="V1963">
        <v>65</v>
      </c>
    </row>
    <row r="1964" spans="1:22" customFormat="1" ht="15" x14ac:dyDescent="0.25">
      <c r="A1964" t="s">
        <v>196</v>
      </c>
      <c r="E1964" s="1524" t="s">
        <v>847</v>
      </c>
      <c r="F1964" s="1524"/>
      <c r="G1964" s="658" t="s">
        <v>845</v>
      </c>
      <c r="H1964" s="577">
        <v>1.5E-3</v>
      </c>
      <c r="K1964" t="s">
        <v>1023</v>
      </c>
      <c r="L1964" t="s">
        <v>968</v>
      </c>
      <c r="P1964" t="s">
        <v>1037</v>
      </c>
      <c r="V1964">
        <v>57</v>
      </c>
    </row>
    <row r="1965" spans="1:22" customFormat="1" ht="15" x14ac:dyDescent="0.25">
      <c r="A1965" t="s">
        <v>196</v>
      </c>
      <c r="E1965" s="1524" t="s">
        <v>848</v>
      </c>
      <c r="F1965" s="1524"/>
      <c r="G1965" s="658" t="s">
        <v>777</v>
      </c>
      <c r="H1965" s="576">
        <v>0.25</v>
      </c>
      <c r="K1965" t="s">
        <v>1023</v>
      </c>
      <c r="L1965" t="s">
        <v>968</v>
      </c>
      <c r="P1965" t="s">
        <v>1038</v>
      </c>
      <c r="V1965">
        <v>63</v>
      </c>
    </row>
    <row r="1966" spans="1:22" customFormat="1" x14ac:dyDescent="0.25">
      <c r="A1966" t="s">
        <v>196</v>
      </c>
      <c r="E1966" s="1538" t="s">
        <v>4002</v>
      </c>
      <c r="F1966" s="1538"/>
      <c r="G1966" s="1538"/>
      <c r="H1966" s="1539"/>
      <c r="K1966" t="s">
        <v>4259</v>
      </c>
      <c r="V1966">
        <v>36</v>
      </c>
    </row>
    <row r="1967" spans="1:22" customFormat="1" ht="15" x14ac:dyDescent="0.25">
      <c r="A1967" t="s">
        <v>196</v>
      </c>
      <c r="E1967" s="1531" t="s">
        <v>5797</v>
      </c>
      <c r="F1967" s="1531"/>
      <c r="G1967" s="1531"/>
      <c r="H1967" s="1532"/>
      <c r="K1967" t="s">
        <v>4259</v>
      </c>
      <c r="V1967">
        <v>504</v>
      </c>
    </row>
    <row r="1968" spans="1:22" customFormat="1" ht="15" x14ac:dyDescent="0.25">
      <c r="A1968" t="s">
        <v>196</v>
      </c>
      <c r="E1968" s="1553" t="s">
        <v>950</v>
      </c>
      <c r="F1968" s="1530"/>
      <c r="G1968" s="1530"/>
      <c r="H1968" s="1530"/>
      <c r="K1968" t="s">
        <v>1041</v>
      </c>
      <c r="V1968">
        <v>11</v>
      </c>
    </row>
    <row r="1969" spans="1:22" customFormat="1" ht="15" x14ac:dyDescent="0.25">
      <c r="A1969" t="s">
        <v>196</v>
      </c>
      <c r="E1969" s="1516" t="s">
        <v>951</v>
      </c>
      <c r="F1969" s="1516"/>
      <c r="G1969" s="1516"/>
      <c r="H1969" s="1516"/>
      <c r="K1969" t="s">
        <v>4259</v>
      </c>
      <c r="V1969">
        <v>280</v>
      </c>
    </row>
    <row r="1970" spans="1:22" customFormat="1" ht="15" x14ac:dyDescent="0.25">
      <c r="A1970" t="s">
        <v>196</v>
      </c>
      <c r="E1970" s="1516" t="s">
        <v>4432</v>
      </c>
      <c r="F1970" s="1516"/>
      <c r="G1970" s="1516"/>
      <c r="H1970" s="1516"/>
      <c r="K1970" t="s">
        <v>4259</v>
      </c>
      <c r="V1970">
        <v>413</v>
      </c>
    </row>
    <row r="1971" spans="1:22" customFormat="1" ht="15" x14ac:dyDescent="0.25">
      <c r="A1971" t="s">
        <v>196</v>
      </c>
      <c r="E1971" s="1516" t="s">
        <v>5798</v>
      </c>
      <c r="F1971" s="1516"/>
      <c r="G1971" s="1516"/>
      <c r="H1971" s="1516"/>
      <c r="K1971" t="s">
        <v>4259</v>
      </c>
      <c r="V1971">
        <v>213</v>
      </c>
    </row>
    <row r="1972" spans="1:22" customFormat="1" ht="15" x14ac:dyDescent="0.25">
      <c r="A1972" t="s">
        <v>196</v>
      </c>
      <c r="E1972" s="1516" t="s">
        <v>954</v>
      </c>
      <c r="F1972" s="1516"/>
      <c r="G1972" s="1516"/>
      <c r="H1972" s="1516"/>
      <c r="K1972" t="s">
        <v>4259</v>
      </c>
      <c r="V1972">
        <v>246</v>
      </c>
    </row>
    <row r="1973" spans="1:22" customFormat="1" ht="15" x14ac:dyDescent="0.25">
      <c r="A1973" t="s">
        <v>196</v>
      </c>
      <c r="E1973" s="1562" t="s">
        <v>4177</v>
      </c>
      <c r="F1973" s="1530"/>
      <c r="G1973" s="1530"/>
      <c r="H1973" s="1530"/>
      <c r="K1973" t="s">
        <v>1042</v>
      </c>
      <c r="V1973">
        <v>56</v>
      </c>
    </row>
    <row r="1974" spans="1:22" customFormat="1" ht="15" x14ac:dyDescent="0.25">
      <c r="A1974" t="s">
        <v>196</v>
      </c>
      <c r="E1974" s="1524" t="s">
        <v>5799</v>
      </c>
      <c r="F1974" s="1524"/>
      <c r="G1974" s="662" t="s">
        <v>3775</v>
      </c>
      <c r="H1974" s="577">
        <v>1.4629000000000001</v>
      </c>
      <c r="K1974" t="s">
        <v>4259</v>
      </c>
      <c r="L1974" t="s">
        <v>690</v>
      </c>
      <c r="P1974" t="s">
        <v>4262</v>
      </c>
      <c r="V1974">
        <v>167</v>
      </c>
    </row>
    <row r="1975" spans="1:22" customFormat="1" x14ac:dyDescent="0.25">
      <c r="A1975" t="s">
        <v>196</v>
      </c>
      <c r="E1975" s="1538" t="s">
        <v>198</v>
      </c>
      <c r="F1975" s="1538"/>
      <c r="G1975" s="1538"/>
      <c r="H1975" s="1539"/>
      <c r="K1975" t="s">
        <v>3882</v>
      </c>
      <c r="V1975">
        <v>40</v>
      </c>
    </row>
    <row r="1976" spans="1:22" customFormat="1" ht="15" x14ac:dyDescent="0.25">
      <c r="A1976" t="s">
        <v>196</v>
      </c>
      <c r="E1976" s="1531" t="s">
        <v>5800</v>
      </c>
      <c r="F1976" s="1531"/>
      <c r="G1976" s="1531"/>
      <c r="H1976" s="1532"/>
      <c r="K1976" t="s">
        <v>3882</v>
      </c>
      <c r="V1976">
        <v>175</v>
      </c>
    </row>
    <row r="1977" spans="1:22" customFormat="1" ht="15" x14ac:dyDescent="0.25">
      <c r="A1977" t="s">
        <v>196</v>
      </c>
      <c r="E1977" s="1553" t="s">
        <v>950</v>
      </c>
      <c r="F1977" s="1530"/>
      <c r="G1977" s="1530"/>
      <c r="H1977" s="1530"/>
      <c r="K1977" t="s">
        <v>1055</v>
      </c>
      <c r="V1977">
        <v>11</v>
      </c>
    </row>
    <row r="1978" spans="1:22" customFormat="1" ht="15" x14ac:dyDescent="0.25">
      <c r="A1978" t="s">
        <v>196</v>
      </c>
      <c r="E1978" s="1516" t="s">
        <v>951</v>
      </c>
      <c r="F1978" s="1516"/>
      <c r="G1978" s="1516"/>
      <c r="H1978" s="1516"/>
      <c r="K1978" t="s">
        <v>3882</v>
      </c>
      <c r="V1978">
        <v>280</v>
      </c>
    </row>
    <row r="1979" spans="1:22" customFormat="1" ht="15" x14ac:dyDescent="0.25">
      <c r="A1979" t="s">
        <v>196</v>
      </c>
      <c r="E1979" s="1516" t="s">
        <v>952</v>
      </c>
      <c r="F1979" s="1516"/>
      <c r="G1979" s="1516"/>
      <c r="H1979" s="1516"/>
      <c r="K1979" t="s">
        <v>3882</v>
      </c>
      <c r="V1979">
        <v>411</v>
      </c>
    </row>
    <row r="1980" spans="1:22" customFormat="1" ht="15" x14ac:dyDescent="0.25">
      <c r="A1980" t="s">
        <v>196</v>
      </c>
      <c r="E1980" s="1516" t="s">
        <v>3761</v>
      </c>
      <c r="F1980" s="1516"/>
      <c r="G1980" s="1516"/>
      <c r="H1980" s="1516"/>
      <c r="K1980" t="s">
        <v>3882</v>
      </c>
      <c r="V1980">
        <v>387</v>
      </c>
    </row>
    <row r="1981" spans="1:22" customFormat="1" ht="15" x14ac:dyDescent="0.25">
      <c r="A1981" t="s">
        <v>196</v>
      </c>
      <c r="E1981" s="1516" t="s">
        <v>954</v>
      </c>
      <c r="F1981" s="1516"/>
      <c r="G1981" s="1516"/>
      <c r="H1981" s="1516"/>
      <c r="K1981" t="s">
        <v>3882</v>
      </c>
      <c r="V1981">
        <v>246</v>
      </c>
    </row>
    <row r="1982" spans="1:22" customFormat="1" ht="15" x14ac:dyDescent="0.25">
      <c r="A1982" t="s">
        <v>196</v>
      </c>
      <c r="E1982" s="1562" t="s">
        <v>956</v>
      </c>
      <c r="F1982" s="1530"/>
      <c r="G1982" s="1530"/>
      <c r="H1982" s="1530"/>
      <c r="K1982" t="s">
        <v>1056</v>
      </c>
      <c r="V1982">
        <v>46</v>
      </c>
    </row>
    <row r="1983" spans="1:22" customFormat="1" ht="15" x14ac:dyDescent="0.25">
      <c r="A1983" t="s">
        <v>196</v>
      </c>
      <c r="E1983" s="1524" t="s">
        <v>4449</v>
      </c>
      <c r="F1983" s="1524"/>
      <c r="G1983" s="662" t="s">
        <v>777</v>
      </c>
      <c r="H1983" s="576">
        <v>6.79</v>
      </c>
      <c r="K1983" t="s">
        <v>3882</v>
      </c>
      <c r="L1983" t="s">
        <v>690</v>
      </c>
      <c r="P1983" t="s">
        <v>3884</v>
      </c>
      <c r="V1983">
        <v>27</v>
      </c>
    </row>
    <row r="1984" spans="1:22" customFormat="1" ht="15" x14ac:dyDescent="0.25">
      <c r="A1984" t="s">
        <v>196</v>
      </c>
      <c r="E1984" s="1524" t="s">
        <v>3688</v>
      </c>
      <c r="F1984" s="1524"/>
      <c r="G1984" s="658" t="s">
        <v>3775</v>
      </c>
      <c r="H1984" s="577">
        <v>7.8460999999999999</v>
      </c>
      <c r="K1984" t="s">
        <v>3882</v>
      </c>
      <c r="L1984" t="s">
        <v>690</v>
      </c>
      <c r="P1984" t="s">
        <v>3885</v>
      </c>
      <c r="V1984">
        <v>28</v>
      </c>
    </row>
    <row r="1985" spans="1:22" customFormat="1" ht="15" x14ac:dyDescent="0.25">
      <c r="A1985" t="s">
        <v>196</v>
      </c>
      <c r="E1985" s="1524" t="s">
        <v>910</v>
      </c>
      <c r="F1985" s="1524"/>
      <c r="G1985" s="658" t="s">
        <v>3775</v>
      </c>
      <c r="H1985" s="608">
        <v>9.3899999999999997E-2</v>
      </c>
      <c r="K1985" t="s">
        <v>3882</v>
      </c>
      <c r="L1985" t="s">
        <v>692</v>
      </c>
      <c r="P1985" t="s">
        <v>4344</v>
      </c>
      <c r="V1985">
        <v>24</v>
      </c>
    </row>
    <row r="1986" spans="1:22" customFormat="1" ht="15.75" thickBot="1" x14ac:dyDescent="0.3">
      <c r="A1986" t="s">
        <v>196</v>
      </c>
      <c r="E1986" s="1670" t="s">
        <v>6521</v>
      </c>
      <c r="F1986" s="1676"/>
      <c r="G1986" s="658" t="s">
        <v>3775</v>
      </c>
      <c r="H1986" s="608">
        <v>3.44E-2</v>
      </c>
      <c r="K1986" t="s">
        <v>3882</v>
      </c>
      <c r="L1986" t="s">
        <v>692</v>
      </c>
      <c r="P1986" t="s">
        <v>4348</v>
      </c>
      <c r="T1986">
        <v>46022</v>
      </c>
      <c r="V1986">
        <v>149</v>
      </c>
    </row>
    <row r="1987" spans="1:22" customFormat="1" ht="16.5" thickTop="1" thickBot="1" x14ac:dyDescent="0.3">
      <c r="A1987" t="s">
        <v>196</v>
      </c>
      <c r="E1987" s="1672" t="s">
        <v>6520</v>
      </c>
      <c r="F1987" s="1673"/>
      <c r="G1987" s="658" t="s">
        <v>3775</v>
      </c>
      <c r="H1987" s="608">
        <v>-0.33989999999999998</v>
      </c>
      <c r="K1987" t="s">
        <v>3882</v>
      </c>
      <c r="L1987" t="s">
        <v>692</v>
      </c>
      <c r="P1987" t="s">
        <v>4347</v>
      </c>
      <c r="T1987">
        <v>46022</v>
      </c>
      <c r="V1987">
        <v>99</v>
      </c>
    </row>
    <row r="1988" spans="1:22" customFormat="1" ht="15.75" thickTop="1" x14ac:dyDescent="0.25">
      <c r="A1988" t="s">
        <v>196</v>
      </c>
      <c r="E1988" s="1675" t="s">
        <v>243</v>
      </c>
      <c r="F1988" s="1616"/>
      <c r="G1988" s="658" t="s">
        <v>3775</v>
      </c>
      <c r="H1988" s="577">
        <v>3.2751000000000001</v>
      </c>
      <c r="K1988" t="s">
        <v>3882</v>
      </c>
      <c r="L1988" t="s">
        <v>694</v>
      </c>
      <c r="P1988" t="s">
        <v>3886</v>
      </c>
      <c r="V1988">
        <v>47</v>
      </c>
    </row>
    <row r="1989" spans="1:22" customFormat="1" ht="15" x14ac:dyDescent="0.25">
      <c r="A1989" t="s">
        <v>196</v>
      </c>
      <c r="E1989" s="1524" t="s">
        <v>175</v>
      </c>
      <c r="F1989" s="1507"/>
      <c r="G1989" s="658" t="s">
        <v>3775</v>
      </c>
      <c r="H1989" s="577">
        <v>2.3761999999999999</v>
      </c>
      <c r="K1989" t="s">
        <v>3882</v>
      </c>
      <c r="L1989" t="s">
        <v>694</v>
      </c>
      <c r="P1989" t="s">
        <v>3887</v>
      </c>
      <c r="V1989">
        <v>74</v>
      </c>
    </row>
    <row r="1990" spans="1:22" customFormat="1" ht="15" x14ac:dyDescent="0.25">
      <c r="A1990" t="s">
        <v>196</v>
      </c>
      <c r="E1990" s="1533" t="s">
        <v>967</v>
      </c>
      <c r="F1990" s="1507"/>
      <c r="G1990" s="360"/>
      <c r="H1990" s="360"/>
      <c r="K1990" t="s">
        <v>1065</v>
      </c>
      <c r="V1990">
        <v>48</v>
      </c>
    </row>
    <row r="1991" spans="1:22" customFormat="1" ht="15" x14ac:dyDescent="0.25">
      <c r="A1991" t="s">
        <v>196</v>
      </c>
      <c r="E1991" s="1524" t="s">
        <v>844</v>
      </c>
      <c r="F1991" s="1524"/>
      <c r="G1991" s="658" t="s">
        <v>845</v>
      </c>
      <c r="H1991" s="577">
        <v>4.1000000000000003E-3</v>
      </c>
      <c r="K1991" t="s">
        <v>3882</v>
      </c>
      <c r="L1991" t="s">
        <v>968</v>
      </c>
      <c r="P1991" t="s">
        <v>3888</v>
      </c>
      <c r="V1991">
        <v>55</v>
      </c>
    </row>
    <row r="1992" spans="1:22" customFormat="1" ht="15" x14ac:dyDescent="0.25">
      <c r="A1992" t="s">
        <v>196</v>
      </c>
      <c r="E1992" s="1524" t="s">
        <v>846</v>
      </c>
      <c r="F1992" s="1524"/>
      <c r="G1992" s="658" t="s">
        <v>845</v>
      </c>
      <c r="H1992" s="577">
        <v>4.0000000000000002E-4</v>
      </c>
      <c r="K1992" t="s">
        <v>3882</v>
      </c>
      <c r="L1992" t="s">
        <v>968</v>
      </c>
      <c r="P1992" t="s">
        <v>3888</v>
      </c>
      <c r="V1992">
        <v>65</v>
      </c>
    </row>
    <row r="1993" spans="1:22" customFormat="1" ht="15" x14ac:dyDescent="0.25">
      <c r="A1993" t="s">
        <v>196</v>
      </c>
      <c r="E1993" s="1524" t="s">
        <v>847</v>
      </c>
      <c r="F1993" s="1524"/>
      <c r="G1993" s="658" t="s">
        <v>845</v>
      </c>
      <c r="H1993" s="577">
        <v>1.5E-3</v>
      </c>
      <c r="K1993" t="s">
        <v>3882</v>
      </c>
      <c r="L1993" t="s">
        <v>968</v>
      </c>
      <c r="P1993" t="s">
        <v>3889</v>
      </c>
      <c r="V1993">
        <v>57</v>
      </c>
    </row>
    <row r="1994" spans="1:22" customFormat="1" ht="15" x14ac:dyDescent="0.25">
      <c r="A1994" t="s">
        <v>196</v>
      </c>
      <c r="E1994" s="1524" t="s">
        <v>848</v>
      </c>
      <c r="F1994" s="1524"/>
      <c r="G1994" s="658" t="s">
        <v>777</v>
      </c>
      <c r="H1994" s="576">
        <v>0.25</v>
      </c>
      <c r="K1994" t="s">
        <v>3882</v>
      </c>
      <c r="L1994" t="s">
        <v>968</v>
      </c>
      <c r="P1994" t="s">
        <v>3890</v>
      </c>
      <c r="V1994">
        <v>63</v>
      </c>
    </row>
    <row r="1995" spans="1:22" customFormat="1" x14ac:dyDescent="0.25">
      <c r="A1995" t="s">
        <v>196</v>
      </c>
      <c r="E1995" s="1538" t="s">
        <v>202</v>
      </c>
      <c r="F1995" s="1538"/>
      <c r="G1995" s="1538"/>
      <c r="H1995" s="1539"/>
      <c r="K1995" t="s">
        <v>3891</v>
      </c>
      <c r="V1995">
        <v>38</v>
      </c>
    </row>
    <row r="1996" spans="1:22" customFormat="1" ht="15" x14ac:dyDescent="0.25">
      <c r="A1996" t="s">
        <v>196</v>
      </c>
      <c r="E1996" s="1531" t="s">
        <v>5801</v>
      </c>
      <c r="F1996" s="1531"/>
      <c r="G1996" s="1531"/>
      <c r="H1996" s="1532"/>
      <c r="K1996" t="s">
        <v>3891</v>
      </c>
      <c r="V1996">
        <v>329</v>
      </c>
    </row>
    <row r="1997" spans="1:22" customFormat="1" ht="15" x14ac:dyDescent="0.25">
      <c r="A1997" t="s">
        <v>196</v>
      </c>
      <c r="E1997" s="1553" t="s">
        <v>950</v>
      </c>
      <c r="F1997" s="1530"/>
      <c r="G1997" s="1530"/>
      <c r="H1997" s="1530"/>
      <c r="K1997" t="s">
        <v>1071</v>
      </c>
      <c r="V1997">
        <v>11</v>
      </c>
    </row>
    <row r="1998" spans="1:22" customFormat="1" ht="15" x14ac:dyDescent="0.25">
      <c r="A1998" t="s">
        <v>196</v>
      </c>
      <c r="E1998" s="1516" t="s">
        <v>951</v>
      </c>
      <c r="F1998" s="1516"/>
      <c r="G1998" s="1516"/>
      <c r="H1998" s="1516"/>
      <c r="K1998" t="s">
        <v>3891</v>
      </c>
      <c r="V1998">
        <v>280</v>
      </c>
    </row>
    <row r="1999" spans="1:22" customFormat="1" ht="15" x14ac:dyDescent="0.25">
      <c r="A1999" t="s">
        <v>196</v>
      </c>
      <c r="E1999" s="1516" t="s">
        <v>952</v>
      </c>
      <c r="F1999" s="1516"/>
      <c r="G1999" s="1516"/>
      <c r="H1999" s="1516"/>
      <c r="K1999" t="s">
        <v>3891</v>
      </c>
      <c r="V1999">
        <v>411</v>
      </c>
    </row>
    <row r="2000" spans="1:22" customFormat="1" ht="15" x14ac:dyDescent="0.25">
      <c r="A2000" t="s">
        <v>196</v>
      </c>
      <c r="E2000" s="1516" t="s">
        <v>3761</v>
      </c>
      <c r="F2000" s="1516"/>
      <c r="G2000" s="1516"/>
      <c r="H2000" s="1516"/>
      <c r="K2000" t="s">
        <v>3891</v>
      </c>
      <c r="V2000">
        <v>387</v>
      </c>
    </row>
    <row r="2001" spans="1:22" customFormat="1" ht="15" x14ac:dyDescent="0.25">
      <c r="A2001" t="s">
        <v>196</v>
      </c>
      <c r="E2001" s="1516" t="s">
        <v>954</v>
      </c>
      <c r="F2001" s="1516"/>
      <c r="G2001" s="1516"/>
      <c r="H2001" s="1516"/>
      <c r="K2001" t="s">
        <v>3891</v>
      </c>
      <c r="V2001">
        <v>246</v>
      </c>
    </row>
    <row r="2002" spans="1:22" customFormat="1" ht="15" x14ac:dyDescent="0.25">
      <c r="A2002" t="s">
        <v>196</v>
      </c>
      <c r="E2002" s="1562" t="s">
        <v>956</v>
      </c>
      <c r="F2002" s="1530"/>
      <c r="G2002" s="1530"/>
      <c r="H2002" s="1530"/>
      <c r="K2002" t="s">
        <v>1075</v>
      </c>
      <c r="V2002">
        <v>46</v>
      </c>
    </row>
    <row r="2003" spans="1:22" customFormat="1" ht="15" x14ac:dyDescent="0.25">
      <c r="A2003" t="s">
        <v>196</v>
      </c>
      <c r="E2003" s="1524" t="s">
        <v>4449</v>
      </c>
      <c r="F2003" s="1524"/>
      <c r="G2003" s="662" t="s">
        <v>777</v>
      </c>
      <c r="H2003" s="576">
        <v>4.54</v>
      </c>
      <c r="K2003" t="s">
        <v>3891</v>
      </c>
      <c r="L2003" t="s">
        <v>690</v>
      </c>
      <c r="P2003" t="s">
        <v>3894</v>
      </c>
      <c r="V2003">
        <v>27</v>
      </c>
    </row>
    <row r="2004" spans="1:22" customFormat="1" ht="15" x14ac:dyDescent="0.25">
      <c r="A2004" t="s">
        <v>196</v>
      </c>
      <c r="E2004" s="1524" t="s">
        <v>3688</v>
      </c>
      <c r="F2004" s="1524"/>
      <c r="G2004" s="658" t="s">
        <v>3775</v>
      </c>
      <c r="H2004" s="577">
        <v>9.0629000000000008</v>
      </c>
      <c r="K2004" t="s">
        <v>3891</v>
      </c>
      <c r="L2004" t="s">
        <v>690</v>
      </c>
      <c r="P2004" t="s">
        <v>3895</v>
      </c>
      <c r="V2004">
        <v>28</v>
      </c>
    </row>
    <row r="2005" spans="1:22" customFormat="1" ht="15" x14ac:dyDescent="0.25">
      <c r="A2005" t="s">
        <v>196</v>
      </c>
      <c r="E2005" s="1524" t="s">
        <v>910</v>
      </c>
      <c r="F2005" s="1524"/>
      <c r="G2005" s="658" t="s">
        <v>3775</v>
      </c>
      <c r="H2005" s="605">
        <v>8.7800000000000003E-2</v>
      </c>
      <c r="K2005" t="s">
        <v>3891</v>
      </c>
      <c r="L2005" t="s">
        <v>692</v>
      </c>
      <c r="P2005" t="s">
        <v>4350</v>
      </c>
      <c r="V2005">
        <v>24</v>
      </c>
    </row>
    <row r="2006" spans="1:22" customFormat="1" ht="15.75" thickBot="1" x14ac:dyDescent="0.3">
      <c r="A2006" t="s">
        <v>196</v>
      </c>
      <c r="E2006" s="1670" t="s">
        <v>6521</v>
      </c>
      <c r="F2006" s="1676"/>
      <c r="G2006" s="658" t="s">
        <v>3775</v>
      </c>
      <c r="H2006" s="605">
        <v>3.6799999999999999E-2</v>
      </c>
      <c r="K2006" t="s">
        <v>3891</v>
      </c>
      <c r="L2006" t="s">
        <v>692</v>
      </c>
      <c r="P2006" t="s">
        <v>4354</v>
      </c>
      <c r="T2006">
        <v>46022</v>
      </c>
      <c r="V2006">
        <v>149</v>
      </c>
    </row>
    <row r="2007" spans="1:22" customFormat="1" ht="16.5" thickTop="1" thickBot="1" x14ac:dyDescent="0.3">
      <c r="A2007" t="s">
        <v>196</v>
      </c>
      <c r="E2007" s="1672" t="s">
        <v>6520</v>
      </c>
      <c r="F2007" s="1673"/>
      <c r="G2007" s="658" t="s">
        <v>3775</v>
      </c>
      <c r="H2007" s="605">
        <v>-20.480499999999999</v>
      </c>
      <c r="K2007" t="s">
        <v>3891</v>
      </c>
      <c r="L2007" t="s">
        <v>692</v>
      </c>
      <c r="P2007" t="s">
        <v>4353</v>
      </c>
      <c r="T2007">
        <v>46022</v>
      </c>
      <c r="V2007">
        <v>99</v>
      </c>
    </row>
    <row r="2008" spans="1:22" customFormat="1" ht="15.75" thickTop="1" x14ac:dyDescent="0.25">
      <c r="A2008" t="s">
        <v>196</v>
      </c>
      <c r="E2008" s="1675" t="s">
        <v>243</v>
      </c>
      <c r="F2008" s="1616"/>
      <c r="G2008" s="658" t="s">
        <v>3775</v>
      </c>
      <c r="H2008" s="577">
        <v>2.8445999999999998</v>
      </c>
      <c r="K2008" t="s">
        <v>3891</v>
      </c>
      <c r="L2008" t="s">
        <v>694</v>
      </c>
      <c r="P2008" t="s">
        <v>3896</v>
      </c>
      <c r="V2008">
        <v>47</v>
      </c>
    </row>
    <row r="2009" spans="1:22" customFormat="1" ht="15" x14ac:dyDescent="0.25">
      <c r="A2009" t="s">
        <v>196</v>
      </c>
      <c r="E2009" s="1524" t="s">
        <v>175</v>
      </c>
      <c r="F2009" s="1507"/>
      <c r="G2009" s="658" t="s">
        <v>3775</v>
      </c>
      <c r="H2009" s="577">
        <v>2.2216999999999998</v>
      </c>
      <c r="K2009" t="s">
        <v>3891</v>
      </c>
      <c r="L2009" t="s">
        <v>694</v>
      </c>
      <c r="P2009" t="s">
        <v>3897</v>
      </c>
      <c r="V2009">
        <v>74</v>
      </c>
    </row>
    <row r="2010" spans="1:22" customFormat="1" ht="15" x14ac:dyDescent="0.25">
      <c r="A2010" t="s">
        <v>196</v>
      </c>
      <c r="E2010" s="1533" t="s">
        <v>967</v>
      </c>
      <c r="F2010" s="1507"/>
      <c r="G2010" s="360"/>
      <c r="H2010" s="360"/>
      <c r="K2010" t="s">
        <v>3898</v>
      </c>
      <c r="V2010">
        <v>48</v>
      </c>
    </row>
    <row r="2011" spans="1:22" customFormat="1" ht="15" x14ac:dyDescent="0.25">
      <c r="A2011" t="s">
        <v>196</v>
      </c>
      <c r="E2011" s="1524" t="s">
        <v>844</v>
      </c>
      <c r="F2011" s="1524"/>
      <c r="G2011" s="658" t="s">
        <v>845</v>
      </c>
      <c r="H2011" s="577">
        <v>4.1000000000000003E-3</v>
      </c>
      <c r="K2011" t="s">
        <v>3891</v>
      </c>
      <c r="L2011" t="s">
        <v>968</v>
      </c>
      <c r="P2011" t="s">
        <v>3899</v>
      </c>
      <c r="V2011">
        <v>55</v>
      </c>
    </row>
    <row r="2012" spans="1:22" customFormat="1" ht="15" x14ac:dyDescent="0.25">
      <c r="A2012" t="s">
        <v>196</v>
      </c>
      <c r="E2012" s="1524" t="s">
        <v>846</v>
      </c>
      <c r="F2012" s="1524"/>
      <c r="G2012" s="658" t="s">
        <v>845</v>
      </c>
      <c r="H2012" s="577">
        <v>4.0000000000000002E-4</v>
      </c>
      <c r="K2012" t="s">
        <v>3891</v>
      </c>
      <c r="L2012" t="s">
        <v>968</v>
      </c>
      <c r="P2012" t="s">
        <v>3899</v>
      </c>
      <c r="V2012">
        <v>65</v>
      </c>
    </row>
    <row r="2013" spans="1:22" customFormat="1" ht="15" x14ac:dyDescent="0.25">
      <c r="A2013" t="s">
        <v>196</v>
      </c>
      <c r="E2013" s="1524" t="s">
        <v>847</v>
      </c>
      <c r="F2013" s="1524"/>
      <c r="G2013" s="658" t="s">
        <v>845</v>
      </c>
      <c r="H2013" s="577">
        <v>1.5E-3</v>
      </c>
      <c r="K2013" t="s">
        <v>3891</v>
      </c>
      <c r="L2013" t="s">
        <v>968</v>
      </c>
      <c r="P2013" t="s">
        <v>3900</v>
      </c>
      <c r="V2013">
        <v>57</v>
      </c>
    </row>
    <row r="2014" spans="1:22" customFormat="1" ht="15" x14ac:dyDescent="0.25">
      <c r="A2014" t="s">
        <v>196</v>
      </c>
      <c r="E2014" s="1524" t="s">
        <v>848</v>
      </c>
      <c r="F2014" s="1524"/>
      <c r="G2014" s="658" t="s">
        <v>777</v>
      </c>
      <c r="H2014" s="576">
        <v>0.25</v>
      </c>
      <c r="K2014" t="s">
        <v>3891</v>
      </c>
      <c r="L2014" t="s">
        <v>968</v>
      </c>
      <c r="P2014" t="s">
        <v>3901</v>
      </c>
      <c r="V2014">
        <v>63</v>
      </c>
    </row>
    <row r="2015" spans="1:22" customFormat="1" x14ac:dyDescent="0.25">
      <c r="A2015" t="s">
        <v>196</v>
      </c>
      <c r="E2015" s="1499" t="s">
        <v>207</v>
      </c>
      <c r="F2015" s="1500"/>
      <c r="G2015" s="1500"/>
      <c r="H2015" s="1500"/>
      <c r="K2015" t="s">
        <v>3902</v>
      </c>
      <c r="V2015">
        <v>31</v>
      </c>
    </row>
    <row r="2016" spans="1:22" customFormat="1" ht="15" x14ac:dyDescent="0.25">
      <c r="A2016" t="s">
        <v>196</v>
      </c>
      <c r="E2016" s="1516" t="s">
        <v>4620</v>
      </c>
      <c r="F2016" s="1516"/>
      <c r="G2016" s="1516"/>
      <c r="H2016" s="1516"/>
      <c r="K2016" t="s">
        <v>3902</v>
      </c>
      <c r="V2016">
        <v>285</v>
      </c>
    </row>
    <row r="2017" spans="1:22" customFormat="1" ht="15" x14ac:dyDescent="0.25">
      <c r="A2017" t="s">
        <v>196</v>
      </c>
      <c r="E2017" s="1553" t="s">
        <v>950</v>
      </c>
      <c r="F2017" s="1530"/>
      <c r="G2017" s="1530"/>
      <c r="H2017" s="1530"/>
      <c r="K2017" t="s">
        <v>3904</v>
      </c>
      <c r="V2017">
        <v>11</v>
      </c>
    </row>
    <row r="2018" spans="1:22" customFormat="1" ht="15" x14ac:dyDescent="0.25">
      <c r="A2018" t="s">
        <v>196</v>
      </c>
      <c r="E2018" s="1516" t="s">
        <v>951</v>
      </c>
      <c r="F2018" s="1516"/>
      <c r="G2018" s="1516"/>
      <c r="H2018" s="1516"/>
      <c r="K2018" t="s">
        <v>3902</v>
      </c>
      <c r="V2018">
        <v>280</v>
      </c>
    </row>
    <row r="2019" spans="1:22" customFormat="1" ht="15" x14ac:dyDescent="0.25">
      <c r="A2019" t="s">
        <v>196</v>
      </c>
      <c r="E2019" s="1516" t="s">
        <v>952</v>
      </c>
      <c r="F2019" s="1516"/>
      <c r="G2019" s="1516"/>
      <c r="H2019" s="1516"/>
      <c r="K2019" t="s">
        <v>3902</v>
      </c>
      <c r="V2019">
        <v>411</v>
      </c>
    </row>
    <row r="2020" spans="1:22" customFormat="1" ht="15" x14ac:dyDescent="0.25">
      <c r="A2020" t="s">
        <v>196</v>
      </c>
      <c r="E2020" s="1516" t="s">
        <v>1103</v>
      </c>
      <c r="F2020" s="1516"/>
      <c r="G2020" s="1516"/>
      <c r="H2020" s="1516"/>
      <c r="K2020" t="s">
        <v>3902</v>
      </c>
      <c r="V2020">
        <v>211</v>
      </c>
    </row>
    <row r="2021" spans="1:22" customFormat="1" ht="15" x14ac:dyDescent="0.25">
      <c r="A2021" t="s">
        <v>196</v>
      </c>
      <c r="E2021" s="1516" t="s">
        <v>954</v>
      </c>
      <c r="F2021" s="1516"/>
      <c r="G2021" s="1516"/>
      <c r="H2021" s="1516"/>
      <c r="K2021" t="s">
        <v>3902</v>
      </c>
      <c r="V2021">
        <v>246</v>
      </c>
    </row>
    <row r="2022" spans="1:22" customFormat="1" ht="15" x14ac:dyDescent="0.25">
      <c r="A2022" t="s">
        <v>196</v>
      </c>
      <c r="E2022" s="1553" t="s">
        <v>956</v>
      </c>
      <c r="F2022" s="1530"/>
      <c r="G2022" s="1530"/>
      <c r="H2022" s="1530"/>
      <c r="K2022" t="s">
        <v>3905</v>
      </c>
      <c r="V2022">
        <v>46</v>
      </c>
    </row>
    <row r="2023" spans="1:22" customFormat="1" ht="15" x14ac:dyDescent="0.25">
      <c r="A2023" t="s">
        <v>196</v>
      </c>
      <c r="E2023" s="1507" t="s">
        <v>3773</v>
      </c>
      <c r="F2023" s="1507"/>
      <c r="G2023" s="360" t="s">
        <v>777</v>
      </c>
      <c r="H2023" s="576">
        <v>5</v>
      </c>
      <c r="K2023" t="s">
        <v>3902</v>
      </c>
      <c r="L2023" t="s">
        <v>690</v>
      </c>
      <c r="P2023" t="s">
        <v>3906</v>
      </c>
      <c r="V2023">
        <v>14</v>
      </c>
    </row>
    <row r="2024" spans="1:22" customFormat="1" x14ac:dyDescent="0.25">
      <c r="A2024" t="s">
        <v>196</v>
      </c>
      <c r="E2024" s="833" t="s">
        <v>3825</v>
      </c>
      <c r="F2024" s="746"/>
      <c r="G2024" s="747"/>
      <c r="H2024" s="747"/>
      <c r="K2024" t="s">
        <v>5802</v>
      </c>
      <c r="V2024">
        <v>10</v>
      </c>
    </row>
    <row r="2025" spans="1:22" customFormat="1" ht="15" x14ac:dyDescent="0.25">
      <c r="A2025" t="s">
        <v>196</v>
      </c>
      <c r="E2025" s="1507" t="s">
        <v>1078</v>
      </c>
      <c r="F2025" s="1507"/>
      <c r="G2025" s="584" t="s">
        <v>3775</v>
      </c>
      <c r="H2025" s="608">
        <v>-0.6</v>
      </c>
      <c r="V2025">
        <v>68</v>
      </c>
    </row>
    <row r="2026" spans="1:22" customFormat="1" ht="15" x14ac:dyDescent="0.25">
      <c r="A2026" t="s">
        <v>196</v>
      </c>
      <c r="E2026" s="1507" t="s">
        <v>1079</v>
      </c>
      <c r="F2026" s="1507"/>
      <c r="G2026" s="584" t="s">
        <v>1118</v>
      </c>
      <c r="H2026" s="576">
        <v>-1</v>
      </c>
      <c r="V2026">
        <v>87</v>
      </c>
    </row>
    <row r="2027" spans="1:22" customFormat="1" x14ac:dyDescent="0.25">
      <c r="A2027" t="s">
        <v>196</v>
      </c>
      <c r="E2027" s="701" t="s">
        <v>3828</v>
      </c>
      <c r="F2027" s="718"/>
      <c r="G2027" s="718"/>
      <c r="H2027" s="719"/>
      <c r="K2027" t="s">
        <v>5803</v>
      </c>
      <c r="V2027">
        <v>24</v>
      </c>
    </row>
    <row r="2028" spans="1:22" customFormat="1" ht="15" x14ac:dyDescent="0.25">
      <c r="A2028" t="s">
        <v>196</v>
      </c>
      <c r="E2028" s="1516" t="s">
        <v>951</v>
      </c>
      <c r="F2028" s="1516"/>
      <c r="G2028" s="1516"/>
      <c r="H2028" s="1723"/>
      <c r="V2028">
        <v>280</v>
      </c>
    </row>
    <row r="2029" spans="1:22" customFormat="1" ht="15" x14ac:dyDescent="0.25">
      <c r="A2029" t="s">
        <v>196</v>
      </c>
      <c r="E2029" s="1516" t="s">
        <v>1081</v>
      </c>
      <c r="F2029" s="1516"/>
      <c r="G2029" s="1516"/>
      <c r="H2029" s="1723"/>
      <c r="V2029">
        <v>353</v>
      </c>
    </row>
    <row r="2030" spans="1:22" customFormat="1" ht="15" x14ac:dyDescent="0.25">
      <c r="A2030" t="s">
        <v>196</v>
      </c>
      <c r="E2030" s="1516" t="s">
        <v>954</v>
      </c>
      <c r="F2030" s="1516"/>
      <c r="G2030" s="1516"/>
      <c r="H2030" s="1516"/>
      <c r="V2030">
        <v>246</v>
      </c>
    </row>
    <row r="2031" spans="1:22" customFormat="1" ht="15" x14ac:dyDescent="0.25">
      <c r="A2031" t="s">
        <v>196</v>
      </c>
      <c r="E2031" s="705" t="s">
        <v>3830</v>
      </c>
      <c r="F2031" s="704"/>
      <c r="G2031" s="703"/>
      <c r="H2031" s="720"/>
      <c r="K2031" t="s">
        <v>5804</v>
      </c>
      <c r="V2031">
        <v>23</v>
      </c>
    </row>
    <row r="2032" spans="1:22" customFormat="1" ht="15" x14ac:dyDescent="0.25">
      <c r="A2032" t="s">
        <v>196</v>
      </c>
      <c r="E2032" s="1509" t="s">
        <v>4418</v>
      </c>
      <c r="F2032" s="1509"/>
      <c r="G2032" s="584" t="s">
        <v>777</v>
      </c>
      <c r="H2032" s="576">
        <v>15</v>
      </c>
      <c r="V2032">
        <v>39</v>
      </c>
    </row>
    <row r="2033" spans="1:22" customFormat="1" ht="15" x14ac:dyDescent="0.25">
      <c r="A2033" t="s">
        <v>196</v>
      </c>
      <c r="E2033" s="1509" t="s">
        <v>3833</v>
      </c>
      <c r="F2033" s="1509"/>
      <c r="G2033" s="584" t="s">
        <v>777</v>
      </c>
      <c r="H2033" s="576">
        <v>15</v>
      </c>
      <c r="V2033">
        <v>20</v>
      </c>
    </row>
    <row r="2034" spans="1:22" customFormat="1" ht="15" x14ac:dyDescent="0.25">
      <c r="A2034" t="s">
        <v>196</v>
      </c>
      <c r="E2034" s="1509" t="s">
        <v>4054</v>
      </c>
      <c r="F2034" s="1509"/>
      <c r="G2034" s="584" t="s">
        <v>777</v>
      </c>
      <c r="H2034" s="576">
        <v>15</v>
      </c>
      <c r="V2034">
        <v>26</v>
      </c>
    </row>
    <row r="2035" spans="1:22" customFormat="1" ht="15" x14ac:dyDescent="0.25">
      <c r="A2035" t="s">
        <v>196</v>
      </c>
      <c r="E2035" s="1509" t="s">
        <v>3834</v>
      </c>
      <c r="F2035" s="1509"/>
      <c r="G2035" s="584" t="s">
        <v>777</v>
      </c>
      <c r="H2035" s="576">
        <v>15</v>
      </c>
      <c r="V2035">
        <v>39</v>
      </c>
    </row>
    <row r="2036" spans="1:22" customFormat="1" ht="15" x14ac:dyDescent="0.25">
      <c r="A2036" t="s">
        <v>196</v>
      </c>
      <c r="E2036" s="1509" t="s">
        <v>4055</v>
      </c>
      <c r="F2036" s="1509"/>
      <c r="G2036" s="584" t="s">
        <v>777</v>
      </c>
      <c r="H2036" s="576">
        <v>15</v>
      </c>
      <c r="V2036">
        <v>37</v>
      </c>
    </row>
    <row r="2037" spans="1:22" customFormat="1" ht="15" x14ac:dyDescent="0.25">
      <c r="A2037" t="s">
        <v>196</v>
      </c>
      <c r="E2037" s="1509" t="s">
        <v>4056</v>
      </c>
      <c r="F2037" s="1509"/>
      <c r="G2037" s="584" t="s">
        <v>777</v>
      </c>
      <c r="H2037" s="576">
        <v>15</v>
      </c>
      <c r="V2037">
        <v>15</v>
      </c>
    </row>
    <row r="2038" spans="1:22" customFormat="1" ht="15" x14ac:dyDescent="0.25">
      <c r="A2038" t="s">
        <v>196</v>
      </c>
      <c r="E2038" s="1509" t="s">
        <v>4057</v>
      </c>
      <c r="F2038" s="1509"/>
      <c r="G2038" s="584" t="s">
        <v>777</v>
      </c>
      <c r="H2038" s="576">
        <v>15</v>
      </c>
      <c r="V2038">
        <v>17</v>
      </c>
    </row>
    <row r="2039" spans="1:22" customFormat="1" ht="15" x14ac:dyDescent="0.25">
      <c r="A2039" t="s">
        <v>196</v>
      </c>
      <c r="E2039" s="1509" t="s">
        <v>4419</v>
      </c>
      <c r="F2039" s="1509"/>
      <c r="G2039" s="584" t="s">
        <v>777</v>
      </c>
      <c r="H2039" s="576">
        <v>15</v>
      </c>
      <c r="V2039">
        <v>19</v>
      </c>
    </row>
    <row r="2040" spans="1:22" customFormat="1" ht="15" x14ac:dyDescent="0.25">
      <c r="A2040" t="s">
        <v>196</v>
      </c>
      <c r="E2040" s="1509" t="s">
        <v>4058</v>
      </c>
      <c r="F2040" s="1509"/>
      <c r="G2040" s="584" t="s">
        <v>777</v>
      </c>
      <c r="H2040" s="576">
        <v>15</v>
      </c>
      <c r="V2040">
        <v>15</v>
      </c>
    </row>
    <row r="2041" spans="1:22" customFormat="1" ht="15" x14ac:dyDescent="0.25">
      <c r="A2041" t="s">
        <v>196</v>
      </c>
      <c r="E2041" s="1509" t="s">
        <v>3835</v>
      </c>
      <c r="F2041" s="1509"/>
      <c r="G2041" s="584" t="s">
        <v>777</v>
      </c>
      <c r="H2041" s="576">
        <v>15</v>
      </c>
      <c r="V2041">
        <v>56</v>
      </c>
    </row>
    <row r="2042" spans="1:22" customFormat="1" ht="15" x14ac:dyDescent="0.25">
      <c r="A2042" t="s">
        <v>196</v>
      </c>
      <c r="E2042" s="1509" t="s">
        <v>3837</v>
      </c>
      <c r="F2042" s="1509"/>
      <c r="G2042" s="584" t="s">
        <v>777</v>
      </c>
      <c r="H2042" s="576">
        <v>30</v>
      </c>
      <c r="V2042">
        <v>89</v>
      </c>
    </row>
    <row r="2043" spans="1:22" customFormat="1" ht="15" x14ac:dyDescent="0.25">
      <c r="A2043" t="s">
        <v>196</v>
      </c>
      <c r="E2043" s="1509" t="s">
        <v>3836</v>
      </c>
      <c r="F2043" s="1509"/>
      <c r="G2043" s="584" t="s">
        <v>777</v>
      </c>
      <c r="H2043" s="576">
        <v>15</v>
      </c>
      <c r="V2043">
        <v>35</v>
      </c>
    </row>
    <row r="2044" spans="1:22" customFormat="1" ht="15" x14ac:dyDescent="0.25">
      <c r="A2044" t="s">
        <v>196</v>
      </c>
      <c r="E2044" s="1509" t="s">
        <v>4420</v>
      </c>
      <c r="F2044" s="1509"/>
      <c r="G2044" s="584" t="s">
        <v>777</v>
      </c>
      <c r="H2044" s="576">
        <v>15</v>
      </c>
      <c r="V2044">
        <v>24</v>
      </c>
    </row>
    <row r="2045" spans="1:22" customFormat="1" ht="15" x14ac:dyDescent="0.25">
      <c r="A2045" t="s">
        <v>196</v>
      </c>
      <c r="E2045" s="1509" t="s">
        <v>4059</v>
      </c>
      <c r="F2045" s="1509"/>
      <c r="G2045" s="584" t="s">
        <v>777</v>
      </c>
      <c r="H2045" s="576">
        <v>15</v>
      </c>
      <c r="V2045">
        <v>19</v>
      </c>
    </row>
    <row r="2046" spans="1:22" customFormat="1" ht="15" x14ac:dyDescent="0.25">
      <c r="A2046" t="s">
        <v>196</v>
      </c>
      <c r="E2046" s="1509" t="s">
        <v>3838</v>
      </c>
      <c r="F2046" s="1509"/>
      <c r="G2046" s="584" t="s">
        <v>777</v>
      </c>
      <c r="H2046" s="576">
        <v>30</v>
      </c>
      <c r="V2046">
        <v>74</v>
      </c>
    </row>
    <row r="2047" spans="1:22" customFormat="1" ht="15" x14ac:dyDescent="0.25">
      <c r="A2047" t="s">
        <v>196</v>
      </c>
      <c r="E2047" s="705" t="s">
        <v>4062</v>
      </c>
      <c r="F2047" s="703"/>
      <c r="G2047" s="703"/>
      <c r="H2047" s="720"/>
      <c r="K2047" t="s">
        <v>5805</v>
      </c>
      <c r="V2047">
        <v>22</v>
      </c>
    </row>
    <row r="2048" spans="1:22" customFormat="1" ht="15" x14ac:dyDescent="0.25">
      <c r="A2048" t="s">
        <v>196</v>
      </c>
      <c r="E2048" s="1517" t="s">
        <v>5093</v>
      </c>
      <c r="F2048" s="1517"/>
      <c r="G2048" s="482" t="s">
        <v>1118</v>
      </c>
      <c r="H2048" s="576">
        <v>1.5</v>
      </c>
      <c r="V2048">
        <v>105</v>
      </c>
    </row>
    <row r="2049" spans="1:22" customFormat="1" ht="15" x14ac:dyDescent="0.25">
      <c r="A2049" t="s">
        <v>196</v>
      </c>
      <c r="E2049" s="1509" t="s">
        <v>3842</v>
      </c>
      <c r="F2049" s="1509"/>
      <c r="G2049" s="584" t="s">
        <v>777</v>
      </c>
      <c r="H2049" s="576">
        <v>65</v>
      </c>
      <c r="V2049">
        <v>44</v>
      </c>
    </row>
    <row r="2050" spans="1:22" customFormat="1" ht="15" x14ac:dyDescent="0.25">
      <c r="A2050" t="s">
        <v>196</v>
      </c>
      <c r="E2050" s="1509" t="s">
        <v>3843</v>
      </c>
      <c r="F2050" s="1509"/>
      <c r="G2050" s="584" t="s">
        <v>777</v>
      </c>
      <c r="H2050" s="576">
        <v>185</v>
      </c>
      <c r="V2050">
        <v>43</v>
      </c>
    </row>
    <row r="2051" spans="1:22" customFormat="1" ht="15" x14ac:dyDescent="0.25">
      <c r="A2051" t="s">
        <v>196</v>
      </c>
      <c r="E2051" s="1509" t="s">
        <v>3844</v>
      </c>
      <c r="F2051" s="1509"/>
      <c r="G2051" s="584" t="s">
        <v>777</v>
      </c>
      <c r="H2051" s="576">
        <v>185</v>
      </c>
      <c r="V2051">
        <v>43</v>
      </c>
    </row>
    <row r="2052" spans="1:22" customFormat="1" ht="15" x14ac:dyDescent="0.25">
      <c r="A2052" t="s">
        <v>196</v>
      </c>
      <c r="E2052" s="1509" t="s">
        <v>3845</v>
      </c>
      <c r="F2052" s="1509"/>
      <c r="G2052" s="584" t="s">
        <v>777</v>
      </c>
      <c r="H2052" s="576">
        <v>415</v>
      </c>
      <c r="V2052">
        <v>42</v>
      </c>
    </row>
    <row r="2053" spans="1:22" customFormat="1" ht="15" x14ac:dyDescent="0.25">
      <c r="A2053" t="s">
        <v>196</v>
      </c>
      <c r="E2053" s="705" t="s">
        <v>3846</v>
      </c>
      <c r="F2053" s="748"/>
      <c r="G2053" s="585"/>
      <c r="H2053" s="585"/>
      <c r="V2053">
        <v>5</v>
      </c>
    </row>
    <row r="2054" spans="1:22" customFormat="1" ht="15" x14ac:dyDescent="0.25">
      <c r="A2054" t="s">
        <v>196</v>
      </c>
      <c r="E2054" s="1509" t="s">
        <v>3914</v>
      </c>
      <c r="F2054" s="1509"/>
      <c r="G2054" s="584" t="s">
        <v>777</v>
      </c>
      <c r="H2054" s="576">
        <v>30</v>
      </c>
      <c r="V2054">
        <v>19</v>
      </c>
    </row>
    <row r="2055" spans="1:22" customFormat="1" ht="15" x14ac:dyDescent="0.25">
      <c r="A2055" t="s">
        <v>196</v>
      </c>
      <c r="E2055" s="1509" t="s">
        <v>4217</v>
      </c>
      <c r="F2055" s="1509"/>
      <c r="G2055" s="584" t="s">
        <v>777</v>
      </c>
      <c r="H2055" s="576">
        <v>30</v>
      </c>
      <c r="V2055">
        <v>39</v>
      </c>
    </row>
    <row r="2056" spans="1:22" customFormat="1" ht="15" x14ac:dyDescent="0.25">
      <c r="A2056" t="s">
        <v>196</v>
      </c>
      <c r="E2056" s="1509" t="s">
        <v>3847</v>
      </c>
      <c r="F2056" s="1509"/>
      <c r="G2056" s="584" t="s">
        <v>777</v>
      </c>
      <c r="H2056" s="576">
        <v>165</v>
      </c>
      <c r="V2056">
        <v>34</v>
      </c>
    </row>
    <row r="2057" spans="1:22" customFormat="1" ht="15" x14ac:dyDescent="0.25">
      <c r="A2057" t="s">
        <v>196</v>
      </c>
      <c r="E2057" s="1509" t="s">
        <v>4428</v>
      </c>
      <c r="F2057" s="1509"/>
      <c r="G2057" s="584" t="s">
        <v>777</v>
      </c>
      <c r="H2057" s="576">
        <v>500</v>
      </c>
      <c r="V2057">
        <v>63</v>
      </c>
    </row>
    <row r="2058" spans="1:22" customFormat="1" ht="15" x14ac:dyDescent="0.25">
      <c r="A2058" t="s">
        <v>196</v>
      </c>
      <c r="E2058" s="1509" t="s">
        <v>4429</v>
      </c>
      <c r="F2058" s="1509"/>
      <c r="G2058" s="584" t="s">
        <v>777</v>
      </c>
      <c r="H2058" s="576">
        <v>300</v>
      </c>
      <c r="V2058">
        <v>65</v>
      </c>
    </row>
    <row r="2059" spans="1:22" customFormat="1" ht="15" x14ac:dyDescent="0.25">
      <c r="A2059" t="s">
        <v>196</v>
      </c>
      <c r="E2059" s="1509" t="s">
        <v>4430</v>
      </c>
      <c r="F2059" s="1509"/>
      <c r="G2059" s="584" t="s">
        <v>777</v>
      </c>
      <c r="H2059" s="576">
        <v>1000</v>
      </c>
      <c r="V2059">
        <v>64</v>
      </c>
    </row>
    <row r="2060" spans="1:22" customFormat="1" ht="15" x14ac:dyDescent="0.25">
      <c r="A2060" t="s">
        <v>196</v>
      </c>
      <c r="E2060" s="1509" t="s">
        <v>5656</v>
      </c>
      <c r="F2060" s="1509"/>
      <c r="G2060" s="584" t="s">
        <v>777</v>
      </c>
      <c r="H2060" s="576">
        <v>39.14</v>
      </c>
      <c r="V2060">
        <v>112</v>
      </c>
    </row>
    <row r="2061" spans="1:22" customFormat="1" x14ac:dyDescent="0.25">
      <c r="A2061" t="s">
        <v>196</v>
      </c>
      <c r="E2061" s="701" t="s">
        <v>3851</v>
      </c>
      <c r="F2061" s="721"/>
      <c r="G2061" s="718"/>
      <c r="H2061" s="719"/>
      <c r="K2061" t="s">
        <v>5806</v>
      </c>
      <c r="V2061">
        <v>38</v>
      </c>
    </row>
    <row r="2062" spans="1:22" customFormat="1" ht="15" x14ac:dyDescent="0.25">
      <c r="A2062" t="s">
        <v>196</v>
      </c>
      <c r="E2062" s="1516" t="s">
        <v>951</v>
      </c>
      <c r="F2062" s="1516"/>
      <c r="G2062" s="1516"/>
      <c r="H2062" s="1723"/>
      <c r="V2062">
        <v>280</v>
      </c>
    </row>
    <row r="2063" spans="1:22" customFormat="1" ht="15" x14ac:dyDescent="0.25">
      <c r="A2063" t="s">
        <v>196</v>
      </c>
      <c r="E2063" s="1516" t="s">
        <v>952</v>
      </c>
      <c r="F2063" s="1516"/>
      <c r="G2063" s="1516"/>
      <c r="H2063" s="1723"/>
      <c r="V2063">
        <v>411</v>
      </c>
    </row>
    <row r="2064" spans="1:22" customFormat="1" ht="15" x14ac:dyDescent="0.25">
      <c r="A2064" t="s">
        <v>196</v>
      </c>
      <c r="E2064" s="1516" t="s">
        <v>1103</v>
      </c>
      <c r="F2064" s="1516"/>
      <c r="G2064" s="1516"/>
      <c r="H2064" s="1723"/>
      <c r="V2064">
        <v>211</v>
      </c>
    </row>
    <row r="2065" spans="1:22" customFormat="1" ht="15" x14ac:dyDescent="0.25">
      <c r="A2065" t="s">
        <v>196</v>
      </c>
      <c r="E2065" s="1516" t="s">
        <v>954</v>
      </c>
      <c r="F2065" s="1516"/>
      <c r="G2065" s="1516"/>
      <c r="H2065" s="1516"/>
      <c r="V2065">
        <v>246</v>
      </c>
    </row>
    <row r="2066" spans="1:22" customFormat="1" ht="15" x14ac:dyDescent="0.25">
      <c r="A2066" t="s">
        <v>196</v>
      </c>
      <c r="E2066" s="1516" t="s">
        <v>1104</v>
      </c>
      <c r="F2066" s="1516"/>
      <c r="G2066" s="1516"/>
      <c r="H2066" s="1723"/>
      <c r="V2066">
        <v>142</v>
      </c>
    </row>
    <row r="2067" spans="1:22" customFormat="1" ht="15" x14ac:dyDescent="0.25">
      <c r="A2067" t="s">
        <v>196</v>
      </c>
      <c r="E2067" s="1524" t="s">
        <v>849</v>
      </c>
      <c r="F2067" s="1524"/>
      <c r="G2067" s="735" t="s">
        <v>777</v>
      </c>
      <c r="H2067" s="724">
        <v>121.23</v>
      </c>
      <c r="V2067">
        <v>106</v>
      </c>
    </row>
    <row r="2068" spans="1:22" customFormat="1" ht="15" x14ac:dyDescent="0.25">
      <c r="A2068" t="s">
        <v>196</v>
      </c>
      <c r="E2068" s="1524" t="s">
        <v>850</v>
      </c>
      <c r="F2068" s="1524"/>
      <c r="G2068" s="735" t="s">
        <v>777</v>
      </c>
      <c r="H2068" s="724">
        <v>48.5</v>
      </c>
      <c r="V2068">
        <v>34</v>
      </c>
    </row>
    <row r="2069" spans="1:22" customFormat="1" ht="15" x14ac:dyDescent="0.25">
      <c r="A2069" t="s">
        <v>196</v>
      </c>
      <c r="E2069" s="1524" t="s">
        <v>851</v>
      </c>
      <c r="F2069" s="1524"/>
      <c r="G2069" s="735" t="s">
        <v>852</v>
      </c>
      <c r="H2069" s="724">
        <v>1.2</v>
      </c>
      <c r="V2069">
        <v>51</v>
      </c>
    </row>
    <row r="2070" spans="1:22" customFormat="1" ht="15" x14ac:dyDescent="0.25">
      <c r="A2070" t="s">
        <v>196</v>
      </c>
      <c r="E2070" s="1524" t="s">
        <v>853</v>
      </c>
      <c r="F2070" s="1524"/>
      <c r="G2070" s="735" t="s">
        <v>852</v>
      </c>
      <c r="H2070" s="724">
        <v>0.71</v>
      </c>
      <c r="V2070">
        <v>75</v>
      </c>
    </row>
    <row r="2071" spans="1:22" customFormat="1" ht="15" x14ac:dyDescent="0.25">
      <c r="A2071" t="s">
        <v>196</v>
      </c>
      <c r="E2071" s="1524" t="s">
        <v>854</v>
      </c>
      <c r="F2071" s="1524"/>
      <c r="G2071" s="735" t="s">
        <v>852</v>
      </c>
      <c r="H2071" s="724">
        <v>-0.71</v>
      </c>
      <c r="V2071">
        <v>72</v>
      </c>
    </row>
    <row r="2072" spans="1:22" customFormat="1" ht="15" x14ac:dyDescent="0.25">
      <c r="A2072" t="s">
        <v>196</v>
      </c>
      <c r="E2072" s="1524" t="s">
        <v>1105</v>
      </c>
      <c r="F2072" s="1524"/>
      <c r="G2072" s="749"/>
      <c r="H2072" s="725"/>
      <c r="V2072">
        <v>35</v>
      </c>
    </row>
    <row r="2073" spans="1:22" customFormat="1" ht="15" x14ac:dyDescent="0.25">
      <c r="A2073" t="s">
        <v>196</v>
      </c>
      <c r="E2073" s="1557" t="s">
        <v>1106</v>
      </c>
      <c r="F2073" s="1557"/>
      <c r="G2073" s="735" t="s">
        <v>777</v>
      </c>
      <c r="H2073" s="724">
        <v>0.61</v>
      </c>
      <c r="V2073">
        <v>57</v>
      </c>
    </row>
    <row r="2074" spans="1:22" customFormat="1" ht="15" x14ac:dyDescent="0.25">
      <c r="A2074" t="s">
        <v>196</v>
      </c>
      <c r="E2074" s="1557" t="s">
        <v>1107</v>
      </c>
      <c r="F2074" s="1557"/>
      <c r="G2074" s="735" t="s">
        <v>777</v>
      </c>
      <c r="H2074" s="724">
        <v>1.2</v>
      </c>
      <c r="V2074">
        <v>60</v>
      </c>
    </row>
    <row r="2075" spans="1:22" customFormat="1" ht="15" x14ac:dyDescent="0.25">
      <c r="A2075" t="s">
        <v>196</v>
      </c>
      <c r="E2075" s="1524" t="s">
        <v>1108</v>
      </c>
      <c r="F2075" s="1524"/>
      <c r="G2075" s="749"/>
      <c r="H2075" s="725"/>
      <c r="V2075">
        <v>91</v>
      </c>
    </row>
    <row r="2076" spans="1:22" customFormat="1" ht="15" x14ac:dyDescent="0.25">
      <c r="A2076" t="s">
        <v>196</v>
      </c>
      <c r="E2076" s="1524" t="s">
        <v>1109</v>
      </c>
      <c r="F2076" s="1524"/>
      <c r="G2076" s="749"/>
      <c r="H2076" s="725"/>
      <c r="V2076">
        <v>96</v>
      </c>
    </row>
    <row r="2077" spans="1:22" customFormat="1" ht="15" x14ac:dyDescent="0.25">
      <c r="A2077" t="s">
        <v>196</v>
      </c>
      <c r="E2077" s="1524" t="s">
        <v>1110</v>
      </c>
      <c r="F2077" s="1524"/>
      <c r="G2077" s="749"/>
      <c r="H2077" s="725"/>
      <c r="V2077">
        <v>78</v>
      </c>
    </row>
    <row r="2078" spans="1:22" customFormat="1" ht="15" x14ac:dyDescent="0.25">
      <c r="A2078" t="s">
        <v>196</v>
      </c>
      <c r="E2078" s="1557" t="s">
        <v>1111</v>
      </c>
      <c r="F2078" s="1557"/>
      <c r="G2078" s="735" t="s">
        <v>777</v>
      </c>
      <c r="H2078" s="726" t="s">
        <v>857</v>
      </c>
      <c r="V2078">
        <v>18</v>
      </c>
    </row>
    <row r="2079" spans="1:22" customFormat="1" ht="15" x14ac:dyDescent="0.25">
      <c r="A2079" t="s">
        <v>196</v>
      </c>
      <c r="E2079" s="1557" t="s">
        <v>1112</v>
      </c>
      <c r="F2079" s="1557"/>
      <c r="G2079" s="735" t="s">
        <v>777</v>
      </c>
      <c r="H2079" s="724">
        <v>4.8499999999999996</v>
      </c>
      <c r="V2079">
        <v>69</v>
      </c>
    </row>
    <row r="2080" spans="1:22" customFormat="1" ht="15" x14ac:dyDescent="0.25">
      <c r="A2080" t="s">
        <v>196</v>
      </c>
      <c r="E2080" s="1507" t="s">
        <v>4498</v>
      </c>
      <c r="F2080" s="1507"/>
      <c r="G2080" s="837" t="s">
        <v>777</v>
      </c>
      <c r="H2080" s="397">
        <v>2.42</v>
      </c>
      <c r="V2080">
        <v>206</v>
      </c>
    </row>
    <row r="2081" spans="1:22" customFormat="1" x14ac:dyDescent="0.25">
      <c r="A2081" t="s">
        <v>196</v>
      </c>
      <c r="E2081" s="701" t="s">
        <v>3853</v>
      </c>
      <c r="F2081" s="718"/>
      <c r="G2081" s="718"/>
      <c r="H2081" s="719"/>
      <c r="K2081" t="s">
        <v>5808</v>
      </c>
      <c r="V2081">
        <v>12</v>
      </c>
    </row>
    <row r="2082" spans="1:22" customFormat="1" ht="15" x14ac:dyDescent="0.25">
      <c r="A2082" t="s">
        <v>196</v>
      </c>
      <c r="E2082" s="1507" t="s">
        <v>1114</v>
      </c>
      <c r="F2082" s="1507"/>
      <c r="G2082" s="1507"/>
      <c r="H2082" s="1724"/>
      <c r="V2082">
        <v>203</v>
      </c>
    </row>
    <row r="2083" spans="1:22" customFormat="1" ht="15" x14ac:dyDescent="0.25">
      <c r="A2083" t="s">
        <v>196</v>
      </c>
      <c r="E2083" s="1524" t="s">
        <v>1115</v>
      </c>
      <c r="F2083" s="1524"/>
      <c r="G2083" s="578"/>
      <c r="H2083" s="750">
        <v>1.0524</v>
      </c>
      <c r="V2083">
        <v>57</v>
      </c>
    </row>
    <row r="2084" spans="1:22" customFormat="1" ht="15" x14ac:dyDescent="0.25">
      <c r="A2084" t="s">
        <v>196</v>
      </c>
      <c r="E2084" s="1524" t="s">
        <v>1117</v>
      </c>
      <c r="F2084" s="1524"/>
      <c r="G2084" s="578"/>
      <c r="H2084" s="751">
        <v>1.0419</v>
      </c>
      <c r="J2084" t="s">
        <v>5809</v>
      </c>
      <c r="V2084">
        <v>55</v>
      </c>
    </row>
    <row r="2085" spans="1:22" customFormat="1" ht="23.25" x14ac:dyDescent="0.25">
      <c r="A2085" t="s">
        <v>301</v>
      </c>
      <c r="C2085" t="s">
        <v>3755</v>
      </c>
      <c r="E2085" s="1550" t="s">
        <v>301</v>
      </c>
      <c r="F2085" s="1550"/>
      <c r="G2085" s="1550"/>
      <c r="H2085" s="1550"/>
      <c r="I2085" t="s">
        <v>94</v>
      </c>
      <c r="J2085" t="s">
        <v>5118</v>
      </c>
      <c r="K2085" t="s">
        <v>301</v>
      </c>
      <c r="M2085">
        <v>6</v>
      </c>
      <c r="V2085">
        <v>18</v>
      </c>
    </row>
    <row r="2086" spans="1:22" customFormat="1" x14ac:dyDescent="0.25">
      <c r="A2086" t="s">
        <v>301</v>
      </c>
      <c r="C2086" t="s">
        <v>3757</v>
      </c>
      <c r="E2086" s="1551" t="s">
        <v>944</v>
      </c>
      <c r="F2086" s="1551"/>
      <c r="G2086" s="1551"/>
      <c r="H2086" s="1551"/>
      <c r="V2086">
        <v>27</v>
      </c>
    </row>
    <row r="2087" spans="1:22" customFormat="1" ht="15.75" x14ac:dyDescent="0.25">
      <c r="A2087" t="s">
        <v>301</v>
      </c>
      <c r="C2087" t="s">
        <v>3758</v>
      </c>
      <c r="E2087" s="1543" t="s">
        <v>6511</v>
      </c>
      <c r="F2087" s="1543"/>
      <c r="G2087" s="1543"/>
      <c r="H2087" s="1543"/>
      <c r="S2087">
        <v>45658</v>
      </c>
      <c r="V2087">
        <v>49</v>
      </c>
    </row>
    <row r="2088" spans="1:22" customFormat="1" ht="15" x14ac:dyDescent="0.25">
      <c r="A2088" t="s">
        <v>301</v>
      </c>
      <c r="C2088" t="s">
        <v>3759</v>
      </c>
      <c r="E2088" s="1544" t="s">
        <v>945</v>
      </c>
      <c r="F2088" s="1544"/>
      <c r="G2088" s="1544"/>
      <c r="H2088" s="1544"/>
      <c r="V2088">
        <v>52</v>
      </c>
    </row>
    <row r="2089" spans="1:22" customFormat="1" ht="15" x14ac:dyDescent="0.25">
      <c r="A2089" t="s">
        <v>301</v>
      </c>
      <c r="E2089" s="1544" t="s">
        <v>946</v>
      </c>
      <c r="F2089" s="1544"/>
      <c r="G2089" s="1544"/>
      <c r="H2089" s="1544"/>
      <c r="V2089">
        <v>53</v>
      </c>
    </row>
    <row r="2090" spans="1:22" customFormat="1" ht="15" x14ac:dyDescent="0.25">
      <c r="A2090" t="s">
        <v>301</v>
      </c>
      <c r="E2090" s="1513" t="s">
        <v>6632</v>
      </c>
      <c r="F2090" s="1513"/>
      <c r="G2090" s="1513"/>
      <c r="H2090" s="1513"/>
      <c r="K2090" t="s">
        <v>6632</v>
      </c>
      <c r="V2090">
        <v>12</v>
      </c>
    </row>
    <row r="2091" spans="1:22" customFormat="1" ht="15" x14ac:dyDescent="0.25">
      <c r="A2091" t="s">
        <v>301</v>
      </c>
      <c r="E2091" s="1492" t="s">
        <v>170</v>
      </c>
      <c r="F2091" s="1516"/>
      <c r="G2091" s="1516"/>
      <c r="H2091" s="1516"/>
      <c r="K2091" t="s">
        <v>947</v>
      </c>
      <c r="V2091">
        <v>34</v>
      </c>
    </row>
    <row r="2092" spans="1:22" customFormat="1" ht="15" x14ac:dyDescent="0.25">
      <c r="A2092" t="s">
        <v>301</v>
      </c>
      <c r="E2092" s="1516" t="s">
        <v>5119</v>
      </c>
      <c r="F2092" s="1516"/>
      <c r="G2092" s="1516"/>
      <c r="H2092" s="1516"/>
      <c r="K2092" t="s">
        <v>947</v>
      </c>
      <c r="V2092">
        <v>616</v>
      </c>
    </row>
    <row r="2093" spans="1:22" customFormat="1" ht="15" x14ac:dyDescent="0.25">
      <c r="A2093" t="s">
        <v>301</v>
      </c>
      <c r="E2093" s="1553" t="s">
        <v>950</v>
      </c>
      <c r="F2093" s="1530"/>
      <c r="G2093" s="1530"/>
      <c r="H2093" s="1530"/>
      <c r="K2093" t="s">
        <v>949</v>
      </c>
      <c r="V2093">
        <v>11</v>
      </c>
    </row>
    <row r="2094" spans="1:22" customFormat="1" ht="15" x14ac:dyDescent="0.25">
      <c r="A2094" t="s">
        <v>301</v>
      </c>
      <c r="E2094" s="1516" t="s">
        <v>951</v>
      </c>
      <c r="F2094" s="1516"/>
      <c r="G2094" s="1516"/>
      <c r="H2094" s="1516"/>
      <c r="K2094" t="s">
        <v>947</v>
      </c>
      <c r="V2094">
        <v>280</v>
      </c>
    </row>
    <row r="2095" spans="1:22" customFormat="1" ht="15" x14ac:dyDescent="0.25">
      <c r="A2095" t="s">
        <v>301</v>
      </c>
      <c r="E2095" s="1516" t="s">
        <v>1072</v>
      </c>
      <c r="F2095" s="1516"/>
      <c r="G2095" s="1516"/>
      <c r="H2095" s="1516"/>
      <c r="K2095" t="s">
        <v>947</v>
      </c>
      <c r="V2095">
        <v>411</v>
      </c>
    </row>
    <row r="2096" spans="1:22" customFormat="1" ht="15" x14ac:dyDescent="0.25">
      <c r="A2096" t="s">
        <v>301</v>
      </c>
      <c r="E2096" s="1516" t="s">
        <v>5120</v>
      </c>
      <c r="F2096" s="1516"/>
      <c r="G2096" s="1516"/>
      <c r="H2096" s="1516"/>
      <c r="K2096" t="s">
        <v>947</v>
      </c>
      <c r="V2096">
        <v>390</v>
      </c>
    </row>
    <row r="2097" spans="1:22" customFormat="1" ht="15" x14ac:dyDescent="0.25">
      <c r="A2097" t="s">
        <v>301</v>
      </c>
      <c r="E2097" s="1516" t="s">
        <v>954</v>
      </c>
      <c r="F2097" s="1516"/>
      <c r="G2097" s="1516"/>
      <c r="H2097" s="1516"/>
      <c r="K2097" t="s">
        <v>947</v>
      </c>
      <c r="V2097">
        <v>246</v>
      </c>
    </row>
    <row r="2098" spans="1:22" customFormat="1" ht="15" x14ac:dyDescent="0.25">
      <c r="A2098" t="s">
        <v>301</v>
      </c>
      <c r="E2098" s="1553" t="s">
        <v>956</v>
      </c>
      <c r="F2098" s="1530"/>
      <c r="G2098" s="1530"/>
      <c r="H2098" s="1530"/>
      <c r="K2098" t="s">
        <v>955</v>
      </c>
      <c r="V2098">
        <v>46</v>
      </c>
    </row>
    <row r="2099" spans="1:22" customFormat="1" ht="15" x14ac:dyDescent="0.25">
      <c r="A2099" t="s">
        <v>301</v>
      </c>
      <c r="E2099" s="1507" t="s">
        <v>3773</v>
      </c>
      <c r="F2099" s="1507"/>
      <c r="G2099" s="360" t="s">
        <v>777</v>
      </c>
      <c r="H2099" s="576">
        <v>32.65</v>
      </c>
      <c r="K2099" t="s">
        <v>947</v>
      </c>
      <c r="L2099" t="s">
        <v>690</v>
      </c>
      <c r="P2099" t="s">
        <v>957</v>
      </c>
      <c r="V2099">
        <v>14</v>
      </c>
    </row>
    <row r="2100" spans="1:22" customFormat="1" ht="15" x14ac:dyDescent="0.25">
      <c r="A2100" t="s">
        <v>301</v>
      </c>
      <c r="E2100" s="1507" t="s">
        <v>6633</v>
      </c>
      <c r="F2100" s="1507"/>
      <c r="G2100" s="360" t="s">
        <v>777</v>
      </c>
      <c r="H2100" s="576">
        <v>-1.57</v>
      </c>
      <c r="K2100" t="s">
        <v>947</v>
      </c>
      <c r="L2100" t="s">
        <v>690</v>
      </c>
      <c r="P2100" t="s">
        <v>963</v>
      </c>
      <c r="T2100">
        <v>46022</v>
      </c>
      <c r="V2100">
        <v>100</v>
      </c>
    </row>
    <row r="2101" spans="1:22" customFormat="1" ht="15" x14ac:dyDescent="0.25">
      <c r="A2101" t="s">
        <v>301</v>
      </c>
      <c r="E2101" s="1507" t="s">
        <v>960</v>
      </c>
      <c r="F2101" s="1507"/>
      <c r="G2101" s="360" t="s">
        <v>777</v>
      </c>
      <c r="H2101" s="576">
        <v>0.42</v>
      </c>
      <c r="K2101" t="s">
        <v>947</v>
      </c>
      <c r="L2101" t="s">
        <v>692</v>
      </c>
      <c r="P2101" t="s">
        <v>959</v>
      </c>
      <c r="V2101">
        <v>64</v>
      </c>
    </row>
    <row r="2102" spans="1:22" customFormat="1" ht="15" x14ac:dyDescent="0.25">
      <c r="A2102" t="s">
        <v>301</v>
      </c>
      <c r="E2102" s="1507" t="s">
        <v>910</v>
      </c>
      <c r="F2102" s="1507"/>
      <c r="G2102" s="360" t="s">
        <v>845</v>
      </c>
      <c r="H2102" s="577">
        <v>4.8999999999999998E-3</v>
      </c>
      <c r="K2102" t="s">
        <v>947</v>
      </c>
      <c r="L2102" t="s">
        <v>692</v>
      </c>
      <c r="P2102" t="s">
        <v>961</v>
      </c>
      <c r="V2102">
        <v>24</v>
      </c>
    </row>
    <row r="2103" spans="1:22" customFormat="1" ht="15" x14ac:dyDescent="0.25">
      <c r="A2103" t="s">
        <v>301</v>
      </c>
      <c r="E2103" s="1507" t="s">
        <v>6519</v>
      </c>
      <c r="F2103" s="1510"/>
      <c r="G2103" s="360" t="s">
        <v>845</v>
      </c>
      <c r="H2103" s="577">
        <v>2.2000000000000001E-3</v>
      </c>
      <c r="K2103" t="s">
        <v>947</v>
      </c>
      <c r="L2103" t="s">
        <v>692</v>
      </c>
      <c r="P2103" t="s">
        <v>962</v>
      </c>
      <c r="T2103">
        <v>46022</v>
      </c>
      <c r="V2103">
        <v>142</v>
      </c>
    </row>
    <row r="2104" spans="1:22" customFormat="1" ht="15" x14ac:dyDescent="0.25">
      <c r="A2104" t="s">
        <v>301</v>
      </c>
      <c r="E2104" s="1507" t="s">
        <v>6520</v>
      </c>
      <c r="F2104" s="1510"/>
      <c r="G2104" s="360" t="s">
        <v>845</v>
      </c>
      <c r="H2104" s="577">
        <v>8.9999999999999998E-4</v>
      </c>
      <c r="K2104" t="s">
        <v>947</v>
      </c>
      <c r="L2104" t="s">
        <v>692</v>
      </c>
      <c r="P2104" t="s">
        <v>963</v>
      </c>
      <c r="T2104">
        <v>46022</v>
      </c>
      <c r="V2104">
        <v>99</v>
      </c>
    </row>
    <row r="2105" spans="1:22" customFormat="1" ht="15" x14ac:dyDescent="0.25">
      <c r="A2105" t="s">
        <v>301</v>
      </c>
      <c r="E2105" s="1507" t="s">
        <v>6634</v>
      </c>
      <c r="F2105" s="1510"/>
      <c r="G2105" s="360" t="s">
        <v>845</v>
      </c>
      <c r="H2105" s="577">
        <v>-1E-4</v>
      </c>
      <c r="K2105" t="s">
        <v>947</v>
      </c>
      <c r="L2105" t="s">
        <v>692</v>
      </c>
      <c r="P2105" t="s">
        <v>3764</v>
      </c>
      <c r="T2105">
        <v>46022</v>
      </c>
      <c r="V2105">
        <v>142</v>
      </c>
    </row>
    <row r="2106" spans="1:22" customFormat="1" ht="15" x14ac:dyDescent="0.25">
      <c r="A2106" t="s">
        <v>301</v>
      </c>
      <c r="E2106" s="1507" t="s">
        <v>243</v>
      </c>
      <c r="F2106" s="1507"/>
      <c r="G2106" s="360" t="s">
        <v>845</v>
      </c>
      <c r="H2106" s="577">
        <v>9.4999999999999998E-3</v>
      </c>
      <c r="K2106" t="s">
        <v>947</v>
      </c>
      <c r="L2106" t="s">
        <v>694</v>
      </c>
      <c r="P2106" t="s">
        <v>964</v>
      </c>
      <c r="V2106">
        <v>47</v>
      </c>
    </row>
    <row r="2107" spans="1:22" customFormat="1" ht="15" x14ac:dyDescent="0.25">
      <c r="A2107" t="s">
        <v>301</v>
      </c>
      <c r="E2107" s="1507" t="s">
        <v>175</v>
      </c>
      <c r="F2107" s="1507"/>
      <c r="G2107" s="360" t="s">
        <v>845</v>
      </c>
      <c r="H2107" s="577">
        <v>7.0000000000000001E-3</v>
      </c>
      <c r="K2107" t="s">
        <v>947</v>
      </c>
      <c r="L2107" t="s">
        <v>694</v>
      </c>
      <c r="P2107" t="s">
        <v>965</v>
      </c>
      <c r="V2107">
        <v>74</v>
      </c>
    </row>
    <row r="2108" spans="1:22" customFormat="1" ht="15" x14ac:dyDescent="0.25">
      <c r="A2108" t="s">
        <v>301</v>
      </c>
      <c r="E2108" s="1515" t="s">
        <v>967</v>
      </c>
      <c r="F2108" s="1507"/>
      <c r="G2108" s="584"/>
      <c r="H2108" s="584"/>
      <c r="K2108" t="s">
        <v>966</v>
      </c>
      <c r="V2108">
        <v>48</v>
      </c>
    </row>
    <row r="2109" spans="1:22" customFormat="1" ht="15" x14ac:dyDescent="0.25">
      <c r="A2109" t="s">
        <v>301</v>
      </c>
      <c r="E2109" s="1507" t="s">
        <v>844</v>
      </c>
      <c r="F2109" s="1507"/>
      <c r="G2109" s="360" t="s">
        <v>845</v>
      </c>
      <c r="H2109" s="577">
        <v>4.1000000000000003E-3</v>
      </c>
      <c r="K2109" t="s">
        <v>947</v>
      </c>
      <c r="L2109" t="s">
        <v>968</v>
      </c>
      <c r="P2109" t="s">
        <v>969</v>
      </c>
      <c r="V2109">
        <v>55</v>
      </c>
    </row>
    <row r="2110" spans="1:22" customFormat="1" ht="15" x14ac:dyDescent="0.25">
      <c r="A2110" t="s">
        <v>301</v>
      </c>
      <c r="E2110" s="1507" t="s">
        <v>846</v>
      </c>
      <c r="F2110" s="1507"/>
      <c r="G2110" s="360" t="s">
        <v>845</v>
      </c>
      <c r="H2110" s="577">
        <v>4.0000000000000002E-4</v>
      </c>
      <c r="K2110" t="s">
        <v>947</v>
      </c>
      <c r="L2110" t="s">
        <v>968</v>
      </c>
      <c r="P2110" t="s">
        <v>969</v>
      </c>
      <c r="V2110">
        <v>65</v>
      </c>
    </row>
    <row r="2111" spans="1:22" customFormat="1" ht="15" x14ac:dyDescent="0.25">
      <c r="A2111" t="s">
        <v>301</v>
      </c>
      <c r="E2111" s="1507" t="s">
        <v>847</v>
      </c>
      <c r="F2111" s="1507"/>
      <c r="G2111" s="360" t="s">
        <v>845</v>
      </c>
      <c r="H2111" s="577">
        <v>1.5E-3</v>
      </c>
      <c r="K2111" t="s">
        <v>947</v>
      </c>
      <c r="L2111" t="s">
        <v>968</v>
      </c>
      <c r="P2111" t="s">
        <v>970</v>
      </c>
      <c r="V2111">
        <v>57</v>
      </c>
    </row>
    <row r="2112" spans="1:22" customFormat="1" ht="15" x14ac:dyDescent="0.25">
      <c r="A2112" t="s">
        <v>301</v>
      </c>
      <c r="E2112" s="1507" t="s">
        <v>848</v>
      </c>
      <c r="F2112" s="1507"/>
      <c r="G2112" s="360" t="s">
        <v>777</v>
      </c>
      <c r="H2112" s="576">
        <v>0.25</v>
      </c>
      <c r="K2112" t="s">
        <v>947</v>
      </c>
      <c r="L2112" t="s">
        <v>968</v>
      </c>
      <c r="P2112" t="s">
        <v>971</v>
      </c>
      <c r="V2112">
        <v>63</v>
      </c>
    </row>
    <row r="2113" spans="1:22" customFormat="1" x14ac:dyDescent="0.25">
      <c r="A2113" t="s">
        <v>301</v>
      </c>
      <c r="E2113" s="1499" t="s">
        <v>174</v>
      </c>
      <c r="F2113" s="1500"/>
      <c r="G2113" s="1500"/>
      <c r="H2113" s="1500"/>
      <c r="K2113" t="s">
        <v>972</v>
      </c>
      <c r="V2113">
        <v>54</v>
      </c>
    </row>
    <row r="2114" spans="1:22" customFormat="1" ht="15" x14ac:dyDescent="0.25">
      <c r="A2114" t="s">
        <v>301</v>
      </c>
      <c r="E2114" s="1516" t="s">
        <v>4538</v>
      </c>
      <c r="F2114" s="1516"/>
      <c r="G2114" s="1516"/>
      <c r="H2114" s="1516"/>
      <c r="K2114" t="s">
        <v>972</v>
      </c>
      <c r="V2114">
        <v>335</v>
      </c>
    </row>
    <row r="2115" spans="1:22" customFormat="1" ht="15" x14ac:dyDescent="0.25">
      <c r="A2115" t="s">
        <v>301</v>
      </c>
      <c r="E2115" s="1553" t="s">
        <v>950</v>
      </c>
      <c r="F2115" s="1530"/>
      <c r="G2115" s="1530"/>
      <c r="H2115" s="1530"/>
      <c r="K2115" t="s">
        <v>974</v>
      </c>
      <c r="V2115">
        <v>11</v>
      </c>
    </row>
    <row r="2116" spans="1:22" customFormat="1" ht="15" x14ac:dyDescent="0.25">
      <c r="A2116" t="s">
        <v>301</v>
      </c>
      <c r="E2116" s="1516" t="s">
        <v>951</v>
      </c>
      <c r="F2116" s="1516"/>
      <c r="G2116" s="1516"/>
      <c r="H2116" s="1516"/>
      <c r="K2116" t="s">
        <v>972</v>
      </c>
      <c r="V2116">
        <v>280</v>
      </c>
    </row>
    <row r="2117" spans="1:22" customFormat="1" ht="15" x14ac:dyDescent="0.25">
      <c r="A2117" t="s">
        <v>301</v>
      </c>
      <c r="E2117" s="1516" t="s">
        <v>952</v>
      </c>
      <c r="F2117" s="1516"/>
      <c r="G2117" s="1516"/>
      <c r="H2117" s="1516"/>
      <c r="K2117" t="s">
        <v>972</v>
      </c>
      <c r="V2117">
        <v>411</v>
      </c>
    </row>
    <row r="2118" spans="1:22" customFormat="1" ht="15" x14ac:dyDescent="0.25">
      <c r="A2118" t="s">
        <v>301</v>
      </c>
      <c r="E2118" s="1516" t="s">
        <v>5120</v>
      </c>
      <c r="F2118" s="1516"/>
      <c r="G2118" s="1516"/>
      <c r="H2118" s="1516"/>
      <c r="K2118" t="s">
        <v>972</v>
      </c>
      <c r="V2118">
        <v>390</v>
      </c>
    </row>
    <row r="2119" spans="1:22" customFormat="1" ht="15" x14ac:dyDescent="0.25">
      <c r="A2119" t="s">
        <v>301</v>
      </c>
      <c r="E2119" s="1516" t="s">
        <v>954</v>
      </c>
      <c r="F2119" s="1516"/>
      <c r="G2119" s="1516"/>
      <c r="H2119" s="1516"/>
      <c r="K2119" t="s">
        <v>972</v>
      </c>
      <c r="V2119">
        <v>246</v>
      </c>
    </row>
    <row r="2120" spans="1:22" customFormat="1" ht="15" x14ac:dyDescent="0.25">
      <c r="A2120" t="s">
        <v>301</v>
      </c>
      <c r="E2120" s="1553" t="s">
        <v>956</v>
      </c>
      <c r="F2120" s="1530"/>
      <c r="G2120" s="1530"/>
      <c r="H2120" s="1530"/>
      <c r="K2120" t="s">
        <v>975</v>
      </c>
      <c r="V2120">
        <v>46</v>
      </c>
    </row>
    <row r="2121" spans="1:22" customFormat="1" ht="15" x14ac:dyDescent="0.25">
      <c r="A2121" t="s">
        <v>301</v>
      </c>
      <c r="E2121" s="1507" t="s">
        <v>3773</v>
      </c>
      <c r="F2121" s="1507"/>
      <c r="G2121" s="360" t="s">
        <v>777</v>
      </c>
      <c r="H2121" s="576">
        <v>36.049999999999997</v>
      </c>
      <c r="K2121" t="s">
        <v>972</v>
      </c>
      <c r="L2121" t="s">
        <v>690</v>
      </c>
      <c r="P2121" t="s">
        <v>976</v>
      </c>
      <c r="V2121">
        <v>14</v>
      </c>
    </row>
    <row r="2122" spans="1:22" customFormat="1" ht="15" x14ac:dyDescent="0.25">
      <c r="A2122" t="s">
        <v>301</v>
      </c>
      <c r="E2122" s="1507" t="s">
        <v>960</v>
      </c>
      <c r="F2122" s="1507"/>
      <c r="G2122" s="360" t="s">
        <v>777</v>
      </c>
      <c r="H2122" s="576">
        <v>0.42</v>
      </c>
      <c r="K2122" t="s">
        <v>972</v>
      </c>
      <c r="L2122" t="s">
        <v>692</v>
      </c>
      <c r="P2122" t="s">
        <v>977</v>
      </c>
      <c r="V2122">
        <v>64</v>
      </c>
    </row>
    <row r="2123" spans="1:22" customFormat="1" ht="15" x14ac:dyDescent="0.25">
      <c r="A2123" t="s">
        <v>301</v>
      </c>
      <c r="E2123" s="1507" t="s">
        <v>3688</v>
      </c>
      <c r="F2123" s="1507"/>
      <c r="G2123" s="360" t="s">
        <v>845</v>
      </c>
      <c r="H2123" s="577">
        <v>2.2599999999999999E-2</v>
      </c>
      <c r="K2123" t="s">
        <v>972</v>
      </c>
      <c r="L2123" t="s">
        <v>690</v>
      </c>
      <c r="P2123" t="s">
        <v>978</v>
      </c>
      <c r="V2123">
        <v>28</v>
      </c>
    </row>
    <row r="2124" spans="1:22" customFormat="1" ht="15" x14ac:dyDescent="0.25">
      <c r="A2124" t="s">
        <v>301</v>
      </c>
      <c r="E2124" s="1507" t="s">
        <v>910</v>
      </c>
      <c r="F2124" s="1507"/>
      <c r="G2124" s="360" t="s">
        <v>845</v>
      </c>
      <c r="H2124" s="577">
        <v>4.4999999999999997E-3</v>
      </c>
      <c r="K2124" t="s">
        <v>972</v>
      </c>
      <c r="L2124" t="s">
        <v>692</v>
      </c>
      <c r="P2124" t="s">
        <v>980</v>
      </c>
      <c r="V2124">
        <v>24</v>
      </c>
    </row>
    <row r="2125" spans="1:22" customFormat="1" ht="15" x14ac:dyDescent="0.25">
      <c r="A2125" t="s">
        <v>301</v>
      </c>
      <c r="E2125" s="1507" t="s">
        <v>6519</v>
      </c>
      <c r="F2125" s="1510"/>
      <c r="G2125" s="360" t="s">
        <v>845</v>
      </c>
      <c r="H2125" s="577">
        <v>2.2000000000000001E-3</v>
      </c>
      <c r="K2125" t="s">
        <v>972</v>
      </c>
      <c r="L2125" t="s">
        <v>692</v>
      </c>
      <c r="P2125" t="s">
        <v>981</v>
      </c>
      <c r="T2125">
        <v>46022</v>
      </c>
      <c r="V2125">
        <v>142</v>
      </c>
    </row>
    <row r="2126" spans="1:22" customFormat="1" ht="15" x14ac:dyDescent="0.25">
      <c r="A2126" t="s">
        <v>301</v>
      </c>
      <c r="E2126" s="1507" t="s">
        <v>6520</v>
      </c>
      <c r="F2126" s="1510"/>
      <c r="G2126" s="360" t="s">
        <v>845</v>
      </c>
      <c r="H2126" s="577">
        <v>1.1000000000000001E-3</v>
      </c>
      <c r="K2126" t="s">
        <v>972</v>
      </c>
      <c r="L2126" t="s">
        <v>692</v>
      </c>
      <c r="P2126" t="s">
        <v>982</v>
      </c>
      <c r="T2126">
        <v>46022</v>
      </c>
      <c r="V2126">
        <v>99</v>
      </c>
    </row>
    <row r="2127" spans="1:22" customFormat="1" ht="15" x14ac:dyDescent="0.25">
      <c r="A2127" t="s">
        <v>301</v>
      </c>
      <c r="E2127" s="1507" t="s">
        <v>6634</v>
      </c>
      <c r="F2127" s="1510"/>
      <c r="G2127" s="360" t="s">
        <v>845</v>
      </c>
      <c r="H2127" s="577">
        <v>-1E-4</v>
      </c>
      <c r="K2127" t="s">
        <v>972</v>
      </c>
      <c r="L2127" t="s">
        <v>692</v>
      </c>
      <c r="P2127" t="s">
        <v>3766</v>
      </c>
      <c r="T2127">
        <v>46022</v>
      </c>
      <c r="V2127">
        <v>142</v>
      </c>
    </row>
    <row r="2128" spans="1:22" customFormat="1" ht="15" x14ac:dyDescent="0.25">
      <c r="A2128" t="s">
        <v>301</v>
      </c>
      <c r="E2128" s="1507" t="s">
        <v>6633</v>
      </c>
      <c r="F2128" s="1507"/>
      <c r="G2128" s="360" t="s">
        <v>845</v>
      </c>
      <c r="H2128" s="577">
        <v>-1.9E-3</v>
      </c>
      <c r="K2128" t="s">
        <v>972</v>
      </c>
      <c r="L2128" t="s">
        <v>690</v>
      </c>
      <c r="P2128" t="s">
        <v>982</v>
      </c>
      <c r="T2128">
        <v>46022</v>
      </c>
      <c r="V2128">
        <v>100</v>
      </c>
    </row>
    <row r="2129" spans="1:22" customFormat="1" ht="15" x14ac:dyDescent="0.25">
      <c r="A2129" t="s">
        <v>301</v>
      </c>
      <c r="E2129" s="1507" t="s">
        <v>243</v>
      </c>
      <c r="F2129" s="1507"/>
      <c r="G2129" s="360" t="s">
        <v>845</v>
      </c>
      <c r="H2129" s="577">
        <v>8.5000000000000006E-3</v>
      </c>
      <c r="K2129" t="s">
        <v>972</v>
      </c>
      <c r="L2129" t="s">
        <v>694</v>
      </c>
      <c r="P2129" t="s">
        <v>983</v>
      </c>
      <c r="V2129">
        <v>47</v>
      </c>
    </row>
    <row r="2130" spans="1:22" customFormat="1" ht="15" x14ac:dyDescent="0.25">
      <c r="A2130" t="s">
        <v>301</v>
      </c>
      <c r="E2130" s="1507" t="s">
        <v>175</v>
      </c>
      <c r="F2130" s="1507"/>
      <c r="G2130" s="360" t="s">
        <v>845</v>
      </c>
      <c r="H2130" s="577">
        <v>6.4999999999999997E-3</v>
      </c>
      <c r="K2130" t="s">
        <v>972</v>
      </c>
      <c r="L2130" t="s">
        <v>694</v>
      </c>
      <c r="P2130" t="s">
        <v>984</v>
      </c>
      <c r="V2130">
        <v>74</v>
      </c>
    </row>
    <row r="2131" spans="1:22" customFormat="1" ht="15" x14ac:dyDescent="0.25">
      <c r="A2131" t="s">
        <v>301</v>
      </c>
      <c r="E2131" s="1515" t="s">
        <v>967</v>
      </c>
      <c r="F2131" s="1507"/>
      <c r="G2131" s="584"/>
      <c r="H2131" s="584"/>
      <c r="K2131" t="s">
        <v>985</v>
      </c>
      <c r="V2131">
        <v>48</v>
      </c>
    </row>
    <row r="2132" spans="1:22" customFormat="1" ht="15" x14ac:dyDescent="0.25">
      <c r="A2132" t="s">
        <v>301</v>
      </c>
      <c r="E2132" s="1507" t="s">
        <v>844</v>
      </c>
      <c r="F2132" s="1507"/>
      <c r="G2132" s="360" t="s">
        <v>845</v>
      </c>
      <c r="H2132" s="577">
        <v>4.1000000000000003E-3</v>
      </c>
      <c r="K2132" t="s">
        <v>972</v>
      </c>
      <c r="L2132" t="s">
        <v>968</v>
      </c>
      <c r="P2132" t="s">
        <v>986</v>
      </c>
      <c r="V2132">
        <v>55</v>
      </c>
    </row>
    <row r="2133" spans="1:22" customFormat="1" ht="15" x14ac:dyDescent="0.25">
      <c r="A2133" t="s">
        <v>301</v>
      </c>
      <c r="E2133" s="1507" t="s">
        <v>846</v>
      </c>
      <c r="F2133" s="1507"/>
      <c r="G2133" s="360" t="s">
        <v>845</v>
      </c>
      <c r="H2133" s="577">
        <v>4.0000000000000002E-4</v>
      </c>
      <c r="K2133" t="s">
        <v>972</v>
      </c>
      <c r="L2133" t="s">
        <v>968</v>
      </c>
      <c r="P2133" t="s">
        <v>986</v>
      </c>
      <c r="V2133">
        <v>65</v>
      </c>
    </row>
    <row r="2134" spans="1:22" customFormat="1" ht="15" x14ac:dyDescent="0.25">
      <c r="A2134" t="s">
        <v>301</v>
      </c>
      <c r="E2134" s="1507" t="s">
        <v>847</v>
      </c>
      <c r="F2134" s="1507"/>
      <c r="G2134" s="360" t="s">
        <v>845</v>
      </c>
      <c r="H2134" s="577">
        <v>1.5E-3</v>
      </c>
      <c r="K2134" t="s">
        <v>972</v>
      </c>
      <c r="L2134" t="s">
        <v>968</v>
      </c>
      <c r="P2134" t="s">
        <v>987</v>
      </c>
      <c r="V2134">
        <v>57</v>
      </c>
    </row>
    <row r="2135" spans="1:22" customFormat="1" ht="15" x14ac:dyDescent="0.25">
      <c r="A2135" t="s">
        <v>301</v>
      </c>
      <c r="E2135" s="1507" t="s">
        <v>848</v>
      </c>
      <c r="F2135" s="1507"/>
      <c r="G2135" s="360" t="s">
        <v>777</v>
      </c>
      <c r="H2135" s="576">
        <v>0.25</v>
      </c>
      <c r="K2135" t="s">
        <v>972</v>
      </c>
      <c r="L2135" t="s">
        <v>968</v>
      </c>
      <c r="P2135" t="s">
        <v>988</v>
      </c>
      <c r="V2135">
        <v>63</v>
      </c>
    </row>
    <row r="2136" spans="1:22" customFormat="1" x14ac:dyDescent="0.25">
      <c r="A2136" t="s">
        <v>301</v>
      </c>
      <c r="E2136" s="1499" t="s">
        <v>3767</v>
      </c>
      <c r="F2136" s="1500"/>
      <c r="G2136" s="1500"/>
      <c r="H2136" s="1500"/>
      <c r="K2136" t="s">
        <v>3768</v>
      </c>
      <c r="V2136">
        <v>53</v>
      </c>
    </row>
    <row r="2137" spans="1:22" customFormat="1" ht="15" x14ac:dyDescent="0.25">
      <c r="A2137" t="s">
        <v>301</v>
      </c>
      <c r="E2137" s="1516" t="s">
        <v>5122</v>
      </c>
      <c r="F2137" s="1516"/>
      <c r="G2137" s="1516"/>
      <c r="H2137" s="1516"/>
      <c r="K2137" t="s">
        <v>3768</v>
      </c>
      <c r="V2137">
        <v>386</v>
      </c>
    </row>
    <row r="2138" spans="1:22" customFormat="1" ht="15" x14ac:dyDescent="0.25">
      <c r="A2138" t="s">
        <v>301</v>
      </c>
      <c r="E2138" s="1553" t="s">
        <v>950</v>
      </c>
      <c r="F2138" s="1530"/>
      <c r="G2138" s="1530"/>
      <c r="H2138" s="1530"/>
      <c r="K2138" t="s">
        <v>992</v>
      </c>
      <c r="V2138">
        <v>11</v>
      </c>
    </row>
    <row r="2139" spans="1:22" customFormat="1" ht="15" x14ac:dyDescent="0.25">
      <c r="A2139" t="s">
        <v>301</v>
      </c>
      <c r="E2139" s="1516" t="s">
        <v>951</v>
      </c>
      <c r="F2139" s="1516"/>
      <c r="G2139" s="1516"/>
      <c r="H2139" s="1516"/>
      <c r="K2139" t="s">
        <v>3768</v>
      </c>
      <c r="V2139">
        <v>280</v>
      </c>
    </row>
    <row r="2140" spans="1:22" customFormat="1" ht="15" x14ac:dyDescent="0.25">
      <c r="A2140" t="s">
        <v>301</v>
      </c>
      <c r="E2140" s="1516" t="s">
        <v>952</v>
      </c>
      <c r="F2140" s="1516"/>
      <c r="G2140" s="1516"/>
      <c r="H2140" s="1516"/>
      <c r="K2140" t="s">
        <v>3768</v>
      </c>
      <c r="V2140">
        <v>411</v>
      </c>
    </row>
    <row r="2141" spans="1:22" customFormat="1" ht="15" x14ac:dyDescent="0.25">
      <c r="A2141" t="s">
        <v>301</v>
      </c>
      <c r="E2141" s="1516" t="s">
        <v>5120</v>
      </c>
      <c r="F2141" s="1516"/>
      <c r="G2141" s="1516"/>
      <c r="H2141" s="1516"/>
      <c r="K2141" t="s">
        <v>3768</v>
      </c>
      <c r="V2141">
        <v>390</v>
      </c>
    </row>
    <row r="2142" spans="1:22" customFormat="1" ht="15" x14ac:dyDescent="0.25">
      <c r="A2142" t="s">
        <v>301</v>
      </c>
      <c r="E2142" s="1516" t="s">
        <v>3771</v>
      </c>
      <c r="F2142" s="1516"/>
      <c r="G2142" s="1516"/>
      <c r="H2142" s="1516"/>
      <c r="K2142" t="s">
        <v>3768</v>
      </c>
      <c r="V2142">
        <v>677</v>
      </c>
    </row>
    <row r="2143" spans="1:22" customFormat="1" ht="15" x14ac:dyDescent="0.25">
      <c r="A2143" t="s">
        <v>301</v>
      </c>
      <c r="E2143" s="1516" t="s">
        <v>3772</v>
      </c>
      <c r="F2143" s="1516"/>
      <c r="G2143" s="1516"/>
      <c r="H2143" s="1516"/>
      <c r="K2143" t="s">
        <v>3768</v>
      </c>
      <c r="V2143">
        <v>693</v>
      </c>
    </row>
    <row r="2144" spans="1:22" customFormat="1" ht="15" x14ac:dyDescent="0.25">
      <c r="A2144" t="s">
        <v>301</v>
      </c>
      <c r="E2144" s="1516" t="s">
        <v>954</v>
      </c>
      <c r="F2144" s="1516"/>
      <c r="G2144" s="1516"/>
      <c r="H2144" s="1516"/>
      <c r="K2144" t="s">
        <v>3768</v>
      </c>
      <c r="V2144">
        <v>246</v>
      </c>
    </row>
    <row r="2145" spans="1:22" customFormat="1" ht="15" x14ac:dyDescent="0.25">
      <c r="A2145" t="s">
        <v>301</v>
      </c>
      <c r="E2145" s="1553" t="s">
        <v>956</v>
      </c>
      <c r="F2145" s="1530"/>
      <c r="G2145" s="1530"/>
      <c r="H2145" s="1530"/>
      <c r="K2145" t="s">
        <v>995</v>
      </c>
      <c r="V2145">
        <v>46</v>
      </c>
    </row>
    <row r="2146" spans="1:22" customFormat="1" ht="15" x14ac:dyDescent="0.25">
      <c r="A2146" t="s">
        <v>301</v>
      </c>
      <c r="E2146" s="1507" t="s">
        <v>3773</v>
      </c>
      <c r="F2146" s="1507"/>
      <c r="G2146" s="360" t="s">
        <v>777</v>
      </c>
      <c r="H2146" s="576">
        <v>228.84</v>
      </c>
      <c r="K2146" t="s">
        <v>3768</v>
      </c>
      <c r="L2146" t="s">
        <v>690</v>
      </c>
      <c r="P2146" t="s">
        <v>3774</v>
      </c>
      <c r="V2146">
        <v>14</v>
      </c>
    </row>
    <row r="2147" spans="1:22" customFormat="1" ht="15" x14ac:dyDescent="0.25">
      <c r="A2147" t="s">
        <v>301</v>
      </c>
      <c r="E2147" s="1507" t="s">
        <v>3688</v>
      </c>
      <c r="F2147" s="1507"/>
      <c r="G2147" s="360" t="s">
        <v>3775</v>
      </c>
      <c r="H2147" s="577">
        <v>4.0575999999999999</v>
      </c>
      <c r="K2147" t="s">
        <v>3768</v>
      </c>
      <c r="L2147" t="s">
        <v>690</v>
      </c>
      <c r="P2147" t="s">
        <v>3776</v>
      </c>
      <c r="V2147">
        <v>28</v>
      </c>
    </row>
    <row r="2148" spans="1:22" customFormat="1" ht="15" x14ac:dyDescent="0.25">
      <c r="A2148" t="s">
        <v>301</v>
      </c>
      <c r="E2148" s="1507" t="s">
        <v>910</v>
      </c>
      <c r="F2148" s="1507"/>
      <c r="G2148" s="360" t="s">
        <v>3775</v>
      </c>
      <c r="H2148" s="577">
        <v>1.7162999999999999</v>
      </c>
      <c r="K2148" t="s">
        <v>3768</v>
      </c>
      <c r="L2148" t="s">
        <v>692</v>
      </c>
      <c r="P2148" t="s">
        <v>3777</v>
      </c>
      <c r="V2148">
        <v>24</v>
      </c>
    </row>
    <row r="2149" spans="1:22" customFormat="1" ht="15" x14ac:dyDescent="0.25">
      <c r="A2149" t="s">
        <v>301</v>
      </c>
      <c r="E2149" s="1507" t="s">
        <v>6519</v>
      </c>
      <c r="F2149" s="1510"/>
      <c r="G2149" s="360" t="s">
        <v>845</v>
      </c>
      <c r="H2149" s="577">
        <v>2.2000000000000001E-3</v>
      </c>
      <c r="K2149" t="s">
        <v>3768</v>
      </c>
      <c r="L2149" t="s">
        <v>692</v>
      </c>
      <c r="P2149" t="s">
        <v>4232</v>
      </c>
      <c r="T2149">
        <v>46022</v>
      </c>
      <c r="V2149">
        <v>142</v>
      </c>
    </row>
    <row r="2150" spans="1:22" customFormat="1" ht="15" x14ac:dyDescent="0.25">
      <c r="A2150" t="s">
        <v>301</v>
      </c>
      <c r="E2150" s="1507" t="s">
        <v>6520</v>
      </c>
      <c r="F2150" s="1510"/>
      <c r="G2150" s="360" t="s">
        <v>3775</v>
      </c>
      <c r="H2150" s="577">
        <v>0.50109999999999999</v>
      </c>
      <c r="K2150" t="s">
        <v>3768</v>
      </c>
      <c r="L2150" t="s">
        <v>692</v>
      </c>
      <c r="P2150" t="s">
        <v>3779</v>
      </c>
      <c r="T2150">
        <v>46022</v>
      </c>
      <c r="V2150">
        <v>99</v>
      </c>
    </row>
    <row r="2151" spans="1:22" customFormat="1" ht="15" x14ac:dyDescent="0.25">
      <c r="A2151" t="s">
        <v>301</v>
      </c>
      <c r="E2151" s="1507" t="s">
        <v>6634</v>
      </c>
      <c r="F2151" s="1510"/>
      <c r="G2151" s="360" t="s">
        <v>3775</v>
      </c>
      <c r="H2151" s="577">
        <v>-5.67E-2</v>
      </c>
      <c r="K2151" t="s">
        <v>3768</v>
      </c>
      <c r="L2151" t="s">
        <v>692</v>
      </c>
      <c r="P2151" t="s">
        <v>3778</v>
      </c>
      <c r="T2151">
        <v>46022</v>
      </c>
      <c r="V2151">
        <v>142</v>
      </c>
    </row>
    <row r="2152" spans="1:22" customFormat="1" ht="15" x14ac:dyDescent="0.25">
      <c r="A2152" t="s">
        <v>301</v>
      </c>
      <c r="E2152" s="1507" t="s">
        <v>6633</v>
      </c>
      <c r="F2152" s="1507"/>
      <c r="G2152" s="360" t="s">
        <v>3775</v>
      </c>
      <c r="H2152" s="577">
        <v>-0.37569999999999998</v>
      </c>
      <c r="K2152" t="s">
        <v>3768</v>
      </c>
      <c r="L2152" t="s">
        <v>690</v>
      </c>
      <c r="P2152" t="s">
        <v>3779</v>
      </c>
      <c r="T2152">
        <v>46022</v>
      </c>
      <c r="V2152">
        <v>100</v>
      </c>
    </row>
    <row r="2153" spans="1:22" customFormat="1" ht="15" x14ac:dyDescent="0.25">
      <c r="A2153" t="s">
        <v>301</v>
      </c>
      <c r="E2153" s="1507" t="s">
        <v>243</v>
      </c>
      <c r="F2153" s="1507"/>
      <c r="G2153" s="360" t="s">
        <v>3775</v>
      </c>
      <c r="H2153" s="577">
        <v>3.5004</v>
      </c>
      <c r="K2153" t="s">
        <v>3768</v>
      </c>
      <c r="L2153" t="s">
        <v>694</v>
      </c>
      <c r="P2153" t="s">
        <v>3780</v>
      </c>
      <c r="V2153">
        <v>47</v>
      </c>
    </row>
    <row r="2154" spans="1:22" customFormat="1" ht="15" x14ac:dyDescent="0.25">
      <c r="A2154" t="s">
        <v>301</v>
      </c>
      <c r="E2154" s="1507" t="s">
        <v>175</v>
      </c>
      <c r="F2154" s="1507"/>
      <c r="G2154" s="360" t="s">
        <v>3775</v>
      </c>
      <c r="H2154" s="577">
        <v>2.4575</v>
      </c>
      <c r="K2154" t="s">
        <v>3768</v>
      </c>
      <c r="L2154" t="s">
        <v>694</v>
      </c>
      <c r="P2154" t="s">
        <v>3781</v>
      </c>
      <c r="V2154">
        <v>74</v>
      </c>
    </row>
    <row r="2155" spans="1:22" customFormat="1" ht="15" x14ac:dyDescent="0.25">
      <c r="A2155" t="s">
        <v>301</v>
      </c>
      <c r="E2155" s="1515" t="s">
        <v>967</v>
      </c>
      <c r="F2155" s="1507"/>
      <c r="G2155" s="584"/>
      <c r="H2155" s="584"/>
      <c r="K2155" t="s">
        <v>1003</v>
      </c>
      <c r="V2155">
        <v>48</v>
      </c>
    </row>
    <row r="2156" spans="1:22" customFormat="1" ht="15" x14ac:dyDescent="0.25">
      <c r="A2156" t="s">
        <v>301</v>
      </c>
      <c r="E2156" s="1507" t="s">
        <v>844</v>
      </c>
      <c r="F2156" s="1507"/>
      <c r="G2156" s="360" t="s">
        <v>845</v>
      </c>
      <c r="H2156" s="577">
        <v>4.1000000000000003E-3</v>
      </c>
      <c r="K2156" t="s">
        <v>3768</v>
      </c>
      <c r="L2156" t="s">
        <v>968</v>
      </c>
      <c r="P2156" t="s">
        <v>3782</v>
      </c>
      <c r="V2156">
        <v>55</v>
      </c>
    </row>
    <row r="2157" spans="1:22" customFormat="1" ht="15" x14ac:dyDescent="0.25">
      <c r="A2157" t="s">
        <v>301</v>
      </c>
      <c r="E2157" s="1507" t="s">
        <v>846</v>
      </c>
      <c r="F2157" s="1507"/>
      <c r="G2157" s="360" t="s">
        <v>845</v>
      </c>
      <c r="H2157" s="577">
        <v>4.0000000000000002E-4</v>
      </c>
      <c r="K2157" t="s">
        <v>3768</v>
      </c>
      <c r="L2157" t="s">
        <v>968</v>
      </c>
      <c r="P2157" t="s">
        <v>3782</v>
      </c>
      <c r="V2157">
        <v>65</v>
      </c>
    </row>
    <row r="2158" spans="1:22" customFormat="1" ht="15" x14ac:dyDescent="0.25">
      <c r="A2158" t="s">
        <v>301</v>
      </c>
      <c r="E2158" s="1507" t="s">
        <v>847</v>
      </c>
      <c r="F2158" s="1507"/>
      <c r="G2158" s="360" t="s">
        <v>845</v>
      </c>
      <c r="H2158" s="577">
        <v>1.5E-3</v>
      </c>
      <c r="K2158" t="s">
        <v>3768</v>
      </c>
      <c r="L2158" t="s">
        <v>968</v>
      </c>
      <c r="P2158" t="s">
        <v>3783</v>
      </c>
      <c r="V2158">
        <v>57</v>
      </c>
    </row>
    <row r="2159" spans="1:22" customFormat="1" ht="15" x14ac:dyDescent="0.25">
      <c r="A2159" t="s">
        <v>301</v>
      </c>
      <c r="E2159" s="1507" t="s">
        <v>848</v>
      </c>
      <c r="F2159" s="1507"/>
      <c r="G2159" s="360" t="s">
        <v>777</v>
      </c>
      <c r="H2159" s="576">
        <v>0.25</v>
      </c>
      <c r="K2159" t="s">
        <v>3768</v>
      </c>
      <c r="L2159" t="s">
        <v>968</v>
      </c>
      <c r="P2159" t="s">
        <v>3784</v>
      </c>
      <c r="V2159">
        <v>63</v>
      </c>
    </row>
    <row r="2160" spans="1:22" customFormat="1" x14ac:dyDescent="0.25">
      <c r="A2160" t="s">
        <v>301</v>
      </c>
      <c r="E2160" s="1499" t="s">
        <v>194</v>
      </c>
      <c r="F2160" s="1500"/>
      <c r="G2160" s="1500"/>
      <c r="H2160" s="1500"/>
      <c r="K2160" t="s">
        <v>3785</v>
      </c>
      <c r="V2160">
        <v>47</v>
      </c>
    </row>
    <row r="2161" spans="1:22" customFormat="1" ht="15" x14ac:dyDescent="0.25">
      <c r="A2161" t="s">
        <v>301</v>
      </c>
      <c r="E2161" s="1516" t="s">
        <v>5123</v>
      </c>
      <c r="F2161" s="1516"/>
      <c r="G2161" s="1516"/>
      <c r="H2161" s="1516"/>
      <c r="K2161" t="s">
        <v>3785</v>
      </c>
      <c r="V2161">
        <v>609</v>
      </c>
    </row>
    <row r="2162" spans="1:22" customFormat="1" ht="15" x14ac:dyDescent="0.25">
      <c r="A2162" t="s">
        <v>301</v>
      </c>
      <c r="E2162" s="1553" t="s">
        <v>950</v>
      </c>
      <c r="F2162" s="1530"/>
      <c r="G2162" s="1530"/>
      <c r="H2162" s="1530"/>
      <c r="K2162" t="s">
        <v>1010</v>
      </c>
      <c r="V2162">
        <v>11</v>
      </c>
    </row>
    <row r="2163" spans="1:22" customFormat="1" ht="15" x14ac:dyDescent="0.25">
      <c r="A2163" t="s">
        <v>301</v>
      </c>
      <c r="E2163" s="1516" t="s">
        <v>951</v>
      </c>
      <c r="F2163" s="1516"/>
      <c r="G2163" s="1516"/>
      <c r="H2163" s="1516"/>
      <c r="K2163" t="s">
        <v>3785</v>
      </c>
      <c r="V2163">
        <v>280</v>
      </c>
    </row>
    <row r="2164" spans="1:22" customFormat="1" ht="15" x14ac:dyDescent="0.25">
      <c r="A2164" t="s">
        <v>301</v>
      </c>
      <c r="E2164" s="1516" t="s">
        <v>952</v>
      </c>
      <c r="F2164" s="1516"/>
      <c r="G2164" s="1516"/>
      <c r="H2164" s="1516"/>
      <c r="K2164" t="s">
        <v>3785</v>
      </c>
      <c r="V2164">
        <v>411</v>
      </c>
    </row>
    <row r="2165" spans="1:22" customFormat="1" ht="15" x14ac:dyDescent="0.25">
      <c r="A2165" t="s">
        <v>301</v>
      </c>
      <c r="E2165" s="1516" t="s">
        <v>5120</v>
      </c>
      <c r="F2165" s="1516"/>
      <c r="G2165" s="1516"/>
      <c r="H2165" s="1516"/>
      <c r="K2165" t="s">
        <v>3785</v>
      </c>
      <c r="V2165">
        <v>390</v>
      </c>
    </row>
    <row r="2166" spans="1:22" customFormat="1" ht="15" x14ac:dyDescent="0.25">
      <c r="A2166" t="s">
        <v>301</v>
      </c>
      <c r="E2166" s="1516" t="s">
        <v>954</v>
      </c>
      <c r="F2166" s="1516"/>
      <c r="G2166" s="1516"/>
      <c r="H2166" s="1516"/>
      <c r="K2166" t="s">
        <v>3785</v>
      </c>
      <c r="V2166">
        <v>246</v>
      </c>
    </row>
    <row r="2167" spans="1:22" customFormat="1" ht="15" x14ac:dyDescent="0.25">
      <c r="A2167" t="s">
        <v>301</v>
      </c>
      <c r="E2167" s="1553" t="s">
        <v>956</v>
      </c>
      <c r="F2167" s="1530"/>
      <c r="G2167" s="1530"/>
      <c r="H2167" s="1530"/>
      <c r="K2167" t="s">
        <v>1011</v>
      </c>
      <c r="V2167">
        <v>46</v>
      </c>
    </row>
    <row r="2168" spans="1:22" customFormat="1" ht="15" x14ac:dyDescent="0.25">
      <c r="A2168" t="s">
        <v>301</v>
      </c>
      <c r="E2168" s="1507" t="s">
        <v>3874</v>
      </c>
      <c r="F2168" s="1507"/>
      <c r="G2168" s="360" t="s">
        <v>777</v>
      </c>
      <c r="H2168" s="576">
        <v>24.03</v>
      </c>
      <c r="K2168" t="s">
        <v>3785</v>
      </c>
      <c r="L2168" t="s">
        <v>690</v>
      </c>
      <c r="P2168" t="s">
        <v>3788</v>
      </c>
      <c r="V2168">
        <v>31</v>
      </c>
    </row>
    <row r="2169" spans="1:22" customFormat="1" ht="15" x14ac:dyDescent="0.25">
      <c r="A2169" t="s">
        <v>301</v>
      </c>
      <c r="E2169" s="1507" t="s">
        <v>3688</v>
      </c>
      <c r="F2169" s="1507"/>
      <c r="G2169" s="360" t="s">
        <v>845</v>
      </c>
      <c r="H2169" s="577">
        <v>7.6E-3</v>
      </c>
      <c r="K2169" t="s">
        <v>3785</v>
      </c>
      <c r="L2169" t="s">
        <v>690</v>
      </c>
      <c r="P2169" t="s">
        <v>3789</v>
      </c>
      <c r="V2169">
        <v>28</v>
      </c>
    </row>
    <row r="2170" spans="1:22" customFormat="1" ht="15" x14ac:dyDescent="0.25">
      <c r="A2170" t="s">
        <v>301</v>
      </c>
      <c r="E2170" s="1507" t="s">
        <v>910</v>
      </c>
      <c r="F2170" s="1507"/>
      <c r="G2170" s="360" t="s">
        <v>845</v>
      </c>
      <c r="H2170" s="577">
        <v>4.4999999999999997E-3</v>
      </c>
      <c r="K2170" t="s">
        <v>3785</v>
      </c>
      <c r="L2170" t="s">
        <v>692</v>
      </c>
      <c r="P2170" t="s">
        <v>3790</v>
      </c>
      <c r="V2170">
        <v>24</v>
      </c>
    </row>
    <row r="2171" spans="1:22" customFormat="1" ht="15" x14ac:dyDescent="0.25">
      <c r="A2171" t="s">
        <v>301</v>
      </c>
      <c r="E2171" s="1507" t="s">
        <v>6519</v>
      </c>
      <c r="F2171" s="1510"/>
      <c r="G2171" s="360" t="s">
        <v>845</v>
      </c>
      <c r="H2171" s="577">
        <v>2.2000000000000001E-3</v>
      </c>
      <c r="K2171" t="s">
        <v>3785</v>
      </c>
      <c r="L2171" t="s">
        <v>692</v>
      </c>
      <c r="P2171" t="s">
        <v>4818</v>
      </c>
      <c r="T2171">
        <v>46022</v>
      </c>
      <c r="V2171">
        <v>142</v>
      </c>
    </row>
    <row r="2172" spans="1:22" customFormat="1" ht="15" x14ac:dyDescent="0.25">
      <c r="A2172" t="s">
        <v>301</v>
      </c>
      <c r="E2172" s="1507" t="s">
        <v>6520</v>
      </c>
      <c r="F2172" s="1510"/>
      <c r="G2172" s="360" t="s">
        <v>845</v>
      </c>
      <c r="H2172" s="577">
        <v>1.1999999999999999E-3</v>
      </c>
      <c r="K2172" t="s">
        <v>3785</v>
      </c>
      <c r="L2172" t="s">
        <v>692</v>
      </c>
      <c r="P2172" t="s">
        <v>3792</v>
      </c>
      <c r="T2172">
        <v>46022</v>
      </c>
      <c r="V2172">
        <v>99</v>
      </c>
    </row>
    <row r="2173" spans="1:22" customFormat="1" ht="15" x14ac:dyDescent="0.25">
      <c r="A2173" t="s">
        <v>301</v>
      </c>
      <c r="E2173" s="1507" t="s">
        <v>6634</v>
      </c>
      <c r="F2173" s="1510"/>
      <c r="G2173" s="360" t="s">
        <v>845</v>
      </c>
      <c r="H2173" s="577">
        <v>-1E-4</v>
      </c>
      <c r="K2173" t="s">
        <v>3785</v>
      </c>
      <c r="L2173" t="s">
        <v>692</v>
      </c>
      <c r="P2173" t="s">
        <v>3791</v>
      </c>
      <c r="T2173">
        <v>46022</v>
      </c>
      <c r="V2173">
        <v>142</v>
      </c>
    </row>
    <row r="2174" spans="1:22" customFormat="1" ht="15" x14ac:dyDescent="0.25">
      <c r="A2174" t="s">
        <v>301</v>
      </c>
      <c r="E2174" s="1507" t="s">
        <v>6633</v>
      </c>
      <c r="F2174" s="1507"/>
      <c r="G2174" s="360" t="s">
        <v>845</v>
      </c>
      <c r="H2174" s="577">
        <v>-2.3E-3</v>
      </c>
      <c r="K2174" t="s">
        <v>3785</v>
      </c>
      <c r="L2174" t="s">
        <v>690</v>
      </c>
      <c r="P2174" t="s">
        <v>3792</v>
      </c>
      <c r="T2174">
        <v>46022</v>
      </c>
      <c r="V2174">
        <v>100</v>
      </c>
    </row>
    <row r="2175" spans="1:22" customFormat="1" ht="15" x14ac:dyDescent="0.25">
      <c r="A2175" t="s">
        <v>301</v>
      </c>
      <c r="E2175" s="1507" t="s">
        <v>243</v>
      </c>
      <c r="F2175" s="1507"/>
      <c r="G2175" s="360" t="s">
        <v>845</v>
      </c>
      <c r="H2175" s="577">
        <v>8.5000000000000006E-3</v>
      </c>
      <c r="K2175" t="s">
        <v>3785</v>
      </c>
      <c r="L2175" t="s">
        <v>694</v>
      </c>
      <c r="P2175" t="s">
        <v>3793</v>
      </c>
      <c r="V2175">
        <v>47</v>
      </c>
    </row>
    <row r="2176" spans="1:22" customFormat="1" ht="15" x14ac:dyDescent="0.25">
      <c r="A2176" t="s">
        <v>301</v>
      </c>
      <c r="E2176" s="1507" t="s">
        <v>175</v>
      </c>
      <c r="F2176" s="1507"/>
      <c r="G2176" s="360" t="s">
        <v>845</v>
      </c>
      <c r="H2176" s="577">
        <v>6.4999999999999997E-3</v>
      </c>
      <c r="K2176" t="s">
        <v>3785</v>
      </c>
      <c r="L2176" t="s">
        <v>694</v>
      </c>
      <c r="P2176" t="s">
        <v>3794</v>
      </c>
      <c r="V2176">
        <v>74</v>
      </c>
    </row>
    <row r="2177" spans="1:22" customFormat="1" ht="15" x14ac:dyDescent="0.25">
      <c r="A2177" t="s">
        <v>301</v>
      </c>
      <c r="E2177" s="1515" t="s">
        <v>967</v>
      </c>
      <c r="F2177" s="1507"/>
      <c r="G2177" s="584"/>
      <c r="H2177" s="584"/>
      <c r="K2177" t="s">
        <v>1019</v>
      </c>
      <c r="V2177">
        <v>48</v>
      </c>
    </row>
    <row r="2178" spans="1:22" customFormat="1" ht="15" x14ac:dyDescent="0.25">
      <c r="A2178" t="s">
        <v>301</v>
      </c>
      <c r="E2178" s="1507" t="s">
        <v>844</v>
      </c>
      <c r="F2178" s="1507"/>
      <c r="G2178" s="360" t="s">
        <v>845</v>
      </c>
      <c r="H2178" s="577">
        <v>4.1000000000000003E-3</v>
      </c>
      <c r="K2178" t="s">
        <v>3785</v>
      </c>
      <c r="L2178" t="s">
        <v>968</v>
      </c>
      <c r="P2178" t="s">
        <v>3795</v>
      </c>
      <c r="V2178">
        <v>55</v>
      </c>
    </row>
    <row r="2179" spans="1:22" customFormat="1" ht="15" x14ac:dyDescent="0.25">
      <c r="A2179" t="s">
        <v>301</v>
      </c>
      <c r="E2179" s="1507" t="s">
        <v>846</v>
      </c>
      <c r="F2179" s="1507"/>
      <c r="G2179" s="360" t="s">
        <v>845</v>
      </c>
      <c r="H2179" s="577">
        <v>4.0000000000000002E-4</v>
      </c>
      <c r="K2179" t="s">
        <v>3785</v>
      </c>
      <c r="L2179" t="s">
        <v>968</v>
      </c>
      <c r="P2179" t="s">
        <v>3795</v>
      </c>
      <c r="V2179">
        <v>65</v>
      </c>
    </row>
    <row r="2180" spans="1:22" customFormat="1" ht="15" x14ac:dyDescent="0.25">
      <c r="A2180" t="s">
        <v>301</v>
      </c>
      <c r="E2180" s="1507" t="s">
        <v>847</v>
      </c>
      <c r="F2180" s="1507"/>
      <c r="G2180" s="360" t="s">
        <v>845</v>
      </c>
      <c r="H2180" s="577">
        <v>1.5E-3</v>
      </c>
      <c r="K2180" t="s">
        <v>3785</v>
      </c>
      <c r="L2180" t="s">
        <v>968</v>
      </c>
      <c r="P2180" t="s">
        <v>3796</v>
      </c>
      <c r="V2180">
        <v>57</v>
      </c>
    </row>
    <row r="2181" spans="1:22" customFormat="1" ht="15" x14ac:dyDescent="0.25">
      <c r="A2181" t="s">
        <v>301</v>
      </c>
      <c r="E2181" s="1507" t="s">
        <v>848</v>
      </c>
      <c r="F2181" s="1507"/>
      <c r="G2181" s="360" t="s">
        <v>777</v>
      </c>
      <c r="H2181" s="576">
        <v>0.25</v>
      </c>
      <c r="K2181" t="s">
        <v>3785</v>
      </c>
      <c r="L2181" t="s">
        <v>968</v>
      </c>
      <c r="P2181" t="s">
        <v>3797</v>
      </c>
      <c r="V2181">
        <v>63</v>
      </c>
    </row>
    <row r="2182" spans="1:22" customFormat="1" x14ac:dyDescent="0.25">
      <c r="A2182" t="s">
        <v>301</v>
      </c>
      <c r="E2182" s="1499" t="s">
        <v>202</v>
      </c>
      <c r="F2182" s="1500"/>
      <c r="G2182" s="1500"/>
      <c r="H2182" s="1500"/>
      <c r="K2182" t="s">
        <v>4447</v>
      </c>
      <c r="V2182">
        <v>38</v>
      </c>
    </row>
    <row r="2183" spans="1:22" customFormat="1" ht="15" x14ac:dyDescent="0.25">
      <c r="A2183" t="s">
        <v>301</v>
      </c>
      <c r="E2183" s="1516" t="s">
        <v>4579</v>
      </c>
      <c r="F2183" s="1516"/>
      <c r="G2183" s="1516"/>
      <c r="H2183" s="1516"/>
      <c r="K2183" t="s">
        <v>4447</v>
      </c>
      <c r="V2183">
        <v>543</v>
      </c>
    </row>
    <row r="2184" spans="1:22" customFormat="1" ht="15" x14ac:dyDescent="0.25">
      <c r="A2184" t="s">
        <v>301</v>
      </c>
      <c r="E2184" s="1553" t="s">
        <v>950</v>
      </c>
      <c r="F2184" s="1530"/>
      <c r="G2184" s="1530"/>
      <c r="H2184" s="1530"/>
      <c r="K2184" t="s">
        <v>1025</v>
      </c>
      <c r="V2184">
        <v>11</v>
      </c>
    </row>
    <row r="2185" spans="1:22" customFormat="1" ht="15" x14ac:dyDescent="0.25">
      <c r="A2185" t="s">
        <v>301</v>
      </c>
      <c r="E2185" s="1516" t="s">
        <v>951</v>
      </c>
      <c r="F2185" s="1516"/>
      <c r="G2185" s="1516"/>
      <c r="H2185" s="1516"/>
      <c r="K2185" t="s">
        <v>4447</v>
      </c>
      <c r="V2185">
        <v>280</v>
      </c>
    </row>
    <row r="2186" spans="1:22" customFormat="1" ht="15" x14ac:dyDescent="0.25">
      <c r="A2186" t="s">
        <v>301</v>
      </c>
      <c r="E2186" s="1516" t="s">
        <v>952</v>
      </c>
      <c r="F2186" s="1516"/>
      <c r="G2186" s="1516"/>
      <c r="H2186" s="1516"/>
      <c r="K2186" t="s">
        <v>4447</v>
      </c>
      <c r="V2186">
        <v>411</v>
      </c>
    </row>
    <row r="2187" spans="1:22" customFormat="1" ht="15" x14ac:dyDescent="0.25">
      <c r="A2187" t="s">
        <v>301</v>
      </c>
      <c r="E2187" s="1516" t="s">
        <v>5120</v>
      </c>
      <c r="F2187" s="1516"/>
      <c r="G2187" s="1516"/>
      <c r="H2187" s="1516"/>
      <c r="K2187" t="s">
        <v>4447</v>
      </c>
      <c r="V2187">
        <v>390</v>
      </c>
    </row>
    <row r="2188" spans="1:22" customFormat="1" ht="15" x14ac:dyDescent="0.25">
      <c r="A2188" t="s">
        <v>301</v>
      </c>
      <c r="E2188" s="1516" t="s">
        <v>954</v>
      </c>
      <c r="F2188" s="1516"/>
      <c r="G2188" s="1516"/>
      <c r="H2188" s="1516"/>
      <c r="K2188" t="s">
        <v>4447</v>
      </c>
      <c r="V2188">
        <v>246</v>
      </c>
    </row>
    <row r="2189" spans="1:22" customFormat="1" ht="15" x14ac:dyDescent="0.25">
      <c r="A2189" t="s">
        <v>301</v>
      </c>
      <c r="E2189" s="1553" t="s">
        <v>956</v>
      </c>
      <c r="F2189" s="1530"/>
      <c r="G2189" s="1530"/>
      <c r="H2189" s="1530"/>
      <c r="K2189" t="s">
        <v>1026</v>
      </c>
      <c r="V2189">
        <v>46</v>
      </c>
    </row>
    <row r="2190" spans="1:22" customFormat="1" ht="15" x14ac:dyDescent="0.25">
      <c r="A2190" t="s">
        <v>301</v>
      </c>
      <c r="E2190" s="1507" t="s">
        <v>3874</v>
      </c>
      <c r="F2190" s="1507"/>
      <c r="G2190" s="360" t="s">
        <v>777</v>
      </c>
      <c r="H2190" s="576">
        <v>2.57</v>
      </c>
      <c r="K2190" t="s">
        <v>4447</v>
      </c>
      <c r="L2190" t="s">
        <v>690</v>
      </c>
      <c r="P2190" t="s">
        <v>4450</v>
      </c>
      <c r="V2190">
        <v>31</v>
      </c>
    </row>
    <row r="2191" spans="1:22" customFormat="1" ht="15" x14ac:dyDescent="0.25">
      <c r="A2191" t="s">
        <v>301</v>
      </c>
      <c r="E2191" s="1507" t="s">
        <v>3688</v>
      </c>
      <c r="F2191" s="1507"/>
      <c r="G2191" s="360" t="s">
        <v>3775</v>
      </c>
      <c r="H2191" s="577">
        <v>5.4405999999999999</v>
      </c>
      <c r="K2191" t="s">
        <v>4447</v>
      </c>
      <c r="L2191" t="s">
        <v>690</v>
      </c>
      <c r="P2191" t="s">
        <v>4451</v>
      </c>
      <c r="V2191">
        <v>28</v>
      </c>
    </row>
    <row r="2192" spans="1:22" customFormat="1" ht="15" x14ac:dyDescent="0.25">
      <c r="A2192" t="s">
        <v>301</v>
      </c>
      <c r="E2192" s="1507" t="s">
        <v>910</v>
      </c>
      <c r="F2192" s="1507"/>
      <c r="G2192" s="360" t="s">
        <v>3775</v>
      </c>
      <c r="H2192" s="577">
        <v>1.3269</v>
      </c>
      <c r="K2192" t="s">
        <v>4447</v>
      </c>
      <c r="L2192" t="s">
        <v>692</v>
      </c>
      <c r="P2192" t="s">
        <v>4484</v>
      </c>
      <c r="V2192">
        <v>24</v>
      </c>
    </row>
    <row r="2193" spans="1:22" customFormat="1" ht="15" x14ac:dyDescent="0.25">
      <c r="A2193" t="s">
        <v>301</v>
      </c>
      <c r="E2193" s="1507" t="s">
        <v>6519</v>
      </c>
      <c r="F2193" s="1510"/>
      <c r="G2193" s="360" t="s">
        <v>845</v>
      </c>
      <c r="H2193" s="577">
        <v>2.2000000000000001E-3</v>
      </c>
      <c r="K2193" t="s">
        <v>4447</v>
      </c>
      <c r="L2193" t="s">
        <v>692</v>
      </c>
      <c r="P2193" t="s">
        <v>4452</v>
      </c>
      <c r="T2193">
        <v>46022</v>
      </c>
      <c r="V2193">
        <v>142</v>
      </c>
    </row>
    <row r="2194" spans="1:22" customFormat="1" ht="15" x14ac:dyDescent="0.25">
      <c r="A2194" t="s">
        <v>301</v>
      </c>
      <c r="E2194" s="1507" t="s">
        <v>6520</v>
      </c>
      <c r="F2194" s="1510"/>
      <c r="G2194" s="360" t="s">
        <v>3775</v>
      </c>
      <c r="H2194" s="577">
        <v>0.48759999999999998</v>
      </c>
      <c r="K2194" t="s">
        <v>4447</v>
      </c>
      <c r="L2194" t="s">
        <v>692</v>
      </c>
      <c r="P2194" t="s">
        <v>4453</v>
      </c>
      <c r="T2194">
        <v>46022</v>
      </c>
      <c r="V2194">
        <v>99</v>
      </c>
    </row>
    <row r="2195" spans="1:22" customFormat="1" ht="15" x14ac:dyDescent="0.25">
      <c r="A2195" t="s">
        <v>301</v>
      </c>
      <c r="E2195" s="1507" t="s">
        <v>6634</v>
      </c>
      <c r="F2195" s="1510"/>
      <c r="G2195" s="360" t="s">
        <v>3775</v>
      </c>
      <c r="H2195" s="577">
        <v>-5.3900000000000003E-2</v>
      </c>
      <c r="K2195" t="s">
        <v>4447</v>
      </c>
      <c r="L2195" t="s">
        <v>692</v>
      </c>
      <c r="P2195" t="s">
        <v>4455</v>
      </c>
      <c r="T2195">
        <v>46022</v>
      </c>
      <c r="V2195">
        <v>142</v>
      </c>
    </row>
    <row r="2196" spans="1:22" customFormat="1" ht="15" x14ac:dyDescent="0.25">
      <c r="A2196" t="s">
        <v>301</v>
      </c>
      <c r="E2196" s="1507" t="s">
        <v>6633</v>
      </c>
      <c r="F2196" s="1507"/>
      <c r="G2196" s="360" t="s">
        <v>3775</v>
      </c>
      <c r="H2196" s="577">
        <v>-2.3576000000000001</v>
      </c>
      <c r="K2196" t="s">
        <v>4447</v>
      </c>
      <c r="L2196" t="s">
        <v>690</v>
      </c>
      <c r="P2196" t="s">
        <v>4453</v>
      </c>
      <c r="T2196">
        <v>46022</v>
      </c>
      <c r="V2196">
        <v>100</v>
      </c>
    </row>
    <row r="2197" spans="1:22" customFormat="1" ht="15" x14ac:dyDescent="0.25">
      <c r="A2197" t="s">
        <v>301</v>
      </c>
      <c r="E2197" s="1507" t="s">
        <v>243</v>
      </c>
      <c r="F2197" s="1507"/>
      <c r="G2197" s="360" t="s">
        <v>3775</v>
      </c>
      <c r="H2197" s="577">
        <v>2.6398999999999999</v>
      </c>
      <c r="K2197" t="s">
        <v>4447</v>
      </c>
      <c r="L2197" t="s">
        <v>694</v>
      </c>
      <c r="P2197" t="s">
        <v>4456</v>
      </c>
      <c r="V2197">
        <v>47</v>
      </c>
    </row>
    <row r="2198" spans="1:22" customFormat="1" ht="15" x14ac:dyDescent="0.25">
      <c r="A2198" t="s">
        <v>301</v>
      </c>
      <c r="E2198" s="1507" t="s">
        <v>175</v>
      </c>
      <c r="F2198" s="1507"/>
      <c r="G2198" s="360" t="s">
        <v>3775</v>
      </c>
      <c r="H2198" s="577">
        <v>1.9</v>
      </c>
      <c r="K2198" t="s">
        <v>4447</v>
      </c>
      <c r="L2198" t="s">
        <v>694</v>
      </c>
      <c r="P2198" t="s">
        <v>4485</v>
      </c>
      <c r="V2198">
        <v>74</v>
      </c>
    </row>
    <row r="2199" spans="1:22" customFormat="1" ht="15" x14ac:dyDescent="0.25">
      <c r="A2199" t="s">
        <v>301</v>
      </c>
      <c r="E2199" s="1515" t="s">
        <v>967</v>
      </c>
      <c r="F2199" s="1507"/>
      <c r="G2199" s="584"/>
      <c r="H2199" s="584"/>
      <c r="K2199" t="s">
        <v>1035</v>
      </c>
      <c r="V2199">
        <v>48</v>
      </c>
    </row>
    <row r="2200" spans="1:22" customFormat="1" ht="15" x14ac:dyDescent="0.25">
      <c r="A2200" t="s">
        <v>301</v>
      </c>
      <c r="E2200" s="1507" t="s">
        <v>844</v>
      </c>
      <c r="F2200" s="1507"/>
      <c r="G2200" s="360" t="s">
        <v>845</v>
      </c>
      <c r="H2200" s="577">
        <v>4.1000000000000003E-3</v>
      </c>
      <c r="K2200" t="s">
        <v>4447</v>
      </c>
      <c r="L2200" t="s">
        <v>968</v>
      </c>
      <c r="P2200" t="s">
        <v>4458</v>
      </c>
      <c r="V2200">
        <v>55</v>
      </c>
    </row>
    <row r="2201" spans="1:22" customFormat="1" ht="15" x14ac:dyDescent="0.25">
      <c r="A2201" t="s">
        <v>301</v>
      </c>
      <c r="E2201" s="1507" t="s">
        <v>846</v>
      </c>
      <c r="F2201" s="1507"/>
      <c r="G2201" s="360" t="s">
        <v>845</v>
      </c>
      <c r="H2201" s="577">
        <v>4.0000000000000002E-4</v>
      </c>
      <c r="K2201" t="s">
        <v>4447</v>
      </c>
      <c r="L2201" t="s">
        <v>968</v>
      </c>
      <c r="P2201" t="s">
        <v>4458</v>
      </c>
      <c r="V2201">
        <v>65</v>
      </c>
    </row>
    <row r="2202" spans="1:22" customFormat="1" ht="15" x14ac:dyDescent="0.25">
      <c r="A2202" t="s">
        <v>301</v>
      </c>
      <c r="E2202" s="1507" t="s">
        <v>847</v>
      </c>
      <c r="F2202" s="1507"/>
      <c r="G2202" s="360" t="s">
        <v>845</v>
      </c>
      <c r="H2202" s="577">
        <v>1.5E-3</v>
      </c>
      <c r="K2202" t="s">
        <v>4447</v>
      </c>
      <c r="L2202" t="s">
        <v>968</v>
      </c>
      <c r="P2202" t="s">
        <v>4459</v>
      </c>
      <c r="V2202">
        <v>57</v>
      </c>
    </row>
    <row r="2203" spans="1:22" customFormat="1" ht="15" x14ac:dyDescent="0.25">
      <c r="A2203" t="s">
        <v>301</v>
      </c>
      <c r="E2203" s="1507" t="s">
        <v>848</v>
      </c>
      <c r="F2203" s="1507"/>
      <c r="G2203" s="360" t="s">
        <v>777</v>
      </c>
      <c r="H2203" s="576">
        <v>0.25</v>
      </c>
      <c r="K2203" t="s">
        <v>4447</v>
      </c>
      <c r="L2203" t="s">
        <v>968</v>
      </c>
      <c r="P2203" t="s">
        <v>4460</v>
      </c>
      <c r="V2203">
        <v>63</v>
      </c>
    </row>
    <row r="2204" spans="1:22" customFormat="1" x14ac:dyDescent="0.25">
      <c r="A2204" t="s">
        <v>301</v>
      </c>
      <c r="E2204" s="1499" t="s">
        <v>207</v>
      </c>
      <c r="F2204" s="1500"/>
      <c r="G2204" s="1500"/>
      <c r="H2204" s="1500"/>
      <c r="K2204" t="s">
        <v>4461</v>
      </c>
      <c r="V2204">
        <v>31</v>
      </c>
    </row>
    <row r="2205" spans="1:22" customFormat="1" ht="15" x14ac:dyDescent="0.25">
      <c r="A2205" t="s">
        <v>301</v>
      </c>
      <c r="E2205" s="1516" t="s">
        <v>4150</v>
      </c>
      <c r="F2205" s="1516"/>
      <c r="G2205" s="1516"/>
      <c r="H2205" s="1516"/>
      <c r="K2205" t="s">
        <v>4461</v>
      </c>
      <c r="V2205">
        <v>286</v>
      </c>
    </row>
    <row r="2206" spans="1:22" customFormat="1" ht="15" x14ac:dyDescent="0.25">
      <c r="A2206" t="s">
        <v>301</v>
      </c>
      <c r="E2206" s="1553" t="s">
        <v>950</v>
      </c>
      <c r="F2206" s="1530"/>
      <c r="G2206" s="1530"/>
      <c r="H2206" s="1530"/>
      <c r="K2206" t="s">
        <v>1041</v>
      </c>
      <c r="V2206">
        <v>11</v>
      </c>
    </row>
    <row r="2207" spans="1:22" customFormat="1" ht="15" x14ac:dyDescent="0.25">
      <c r="A2207" t="s">
        <v>301</v>
      </c>
      <c r="E2207" s="1516" t="s">
        <v>951</v>
      </c>
      <c r="F2207" s="1516"/>
      <c r="G2207" s="1516"/>
      <c r="H2207" s="1516"/>
      <c r="K2207" t="s">
        <v>4461</v>
      </c>
      <c r="V2207">
        <v>280</v>
      </c>
    </row>
    <row r="2208" spans="1:22" customFormat="1" ht="15" x14ac:dyDescent="0.25">
      <c r="A2208" t="s">
        <v>301</v>
      </c>
      <c r="E2208" s="1516" t="s">
        <v>952</v>
      </c>
      <c r="F2208" s="1516"/>
      <c r="G2208" s="1516"/>
      <c r="H2208" s="1516"/>
      <c r="K2208" t="s">
        <v>4461</v>
      </c>
      <c r="V2208">
        <v>411</v>
      </c>
    </row>
    <row r="2209" spans="1:22" customFormat="1" ht="15" x14ac:dyDescent="0.25">
      <c r="A2209" t="s">
        <v>301</v>
      </c>
      <c r="E2209" s="1516" t="s">
        <v>5124</v>
      </c>
      <c r="F2209" s="1516"/>
      <c r="G2209" s="1516"/>
      <c r="H2209" s="1516"/>
      <c r="K2209" t="s">
        <v>4461</v>
      </c>
      <c r="V2209">
        <v>212</v>
      </c>
    </row>
    <row r="2210" spans="1:22" customFormat="1" ht="15" x14ac:dyDescent="0.25">
      <c r="A2210" t="s">
        <v>301</v>
      </c>
      <c r="E2210" s="1516" t="s">
        <v>954</v>
      </c>
      <c r="F2210" s="1516"/>
      <c r="G2210" s="1516"/>
      <c r="H2210" s="1516"/>
      <c r="K2210" t="s">
        <v>4461</v>
      </c>
      <c r="V2210">
        <v>246</v>
      </c>
    </row>
    <row r="2211" spans="1:22" customFormat="1" ht="15" x14ac:dyDescent="0.25">
      <c r="A2211" t="s">
        <v>301</v>
      </c>
      <c r="E2211" s="1553" t="s">
        <v>956</v>
      </c>
      <c r="F2211" s="1530"/>
      <c r="G2211" s="1530"/>
      <c r="H2211" s="1530"/>
      <c r="K2211" t="s">
        <v>1042</v>
      </c>
      <c r="V2211">
        <v>46</v>
      </c>
    </row>
    <row r="2212" spans="1:22" customFormat="1" ht="15" x14ac:dyDescent="0.25">
      <c r="A2212" t="s">
        <v>301</v>
      </c>
      <c r="E2212" s="1507" t="s">
        <v>3773</v>
      </c>
      <c r="F2212" s="1507"/>
      <c r="G2212" s="360" t="s">
        <v>777</v>
      </c>
      <c r="H2212" s="576">
        <v>10</v>
      </c>
      <c r="K2212" t="s">
        <v>4461</v>
      </c>
      <c r="L2212" t="s">
        <v>690</v>
      </c>
      <c r="P2212" t="s">
        <v>4462</v>
      </c>
      <c r="V2212">
        <v>14</v>
      </c>
    </row>
    <row r="2213" spans="1:22" customFormat="1" ht="18.75" x14ac:dyDescent="0.3">
      <c r="A2213" t="s">
        <v>301</v>
      </c>
      <c r="E2213" s="833" t="s">
        <v>3825</v>
      </c>
      <c r="F2213" s="381"/>
      <c r="G2213" s="381"/>
      <c r="H2213" s="381"/>
      <c r="K2213" t="s">
        <v>5125</v>
      </c>
      <c r="V2213">
        <v>10</v>
      </c>
    </row>
    <row r="2214" spans="1:22" customFormat="1" ht="15" x14ac:dyDescent="0.25">
      <c r="A2214" t="s">
        <v>301</v>
      </c>
      <c r="E2214" s="1507" t="s">
        <v>1078</v>
      </c>
      <c r="F2214" s="1507"/>
      <c r="G2214" s="584" t="s">
        <v>3775</v>
      </c>
      <c r="H2214" s="577">
        <v>-0.6</v>
      </c>
      <c r="V2214">
        <v>68</v>
      </c>
    </row>
    <row r="2215" spans="1:22" customFormat="1" ht="15" x14ac:dyDescent="0.25">
      <c r="A2215" t="s">
        <v>301</v>
      </c>
      <c r="E2215" s="1507" t="s">
        <v>1079</v>
      </c>
      <c r="F2215" s="1507"/>
      <c r="G2215" s="584" t="s">
        <v>1118</v>
      </c>
      <c r="H2215" s="576">
        <v>-1</v>
      </c>
      <c r="V2215">
        <v>87</v>
      </c>
    </row>
    <row r="2216" spans="1:22" customFormat="1" ht="18.75" x14ac:dyDescent="0.3">
      <c r="A2216" t="s">
        <v>301</v>
      </c>
      <c r="E2216" s="833" t="s">
        <v>3828</v>
      </c>
      <c r="F2216" s="381"/>
      <c r="G2216" s="381"/>
      <c r="H2216" s="381"/>
      <c r="K2216" t="s">
        <v>5126</v>
      </c>
      <c r="V2216">
        <v>24</v>
      </c>
    </row>
    <row r="2217" spans="1:22" customFormat="1" ht="15" x14ac:dyDescent="0.25">
      <c r="A2217" t="s">
        <v>301</v>
      </c>
      <c r="E2217" s="1516" t="s">
        <v>951</v>
      </c>
      <c r="F2217" s="1516"/>
      <c r="G2217" s="1516"/>
      <c r="H2217" s="1516"/>
      <c r="V2217">
        <v>280</v>
      </c>
    </row>
    <row r="2218" spans="1:22" customFormat="1" ht="15" x14ac:dyDescent="0.25">
      <c r="A2218" t="s">
        <v>301</v>
      </c>
      <c r="E2218" s="1516" t="s">
        <v>5017</v>
      </c>
      <c r="F2218" s="1516"/>
      <c r="G2218" s="1516"/>
      <c r="H2218" s="1516"/>
      <c r="V2218">
        <v>355</v>
      </c>
    </row>
    <row r="2219" spans="1:22" customFormat="1" ht="15" x14ac:dyDescent="0.25">
      <c r="A2219" t="s">
        <v>301</v>
      </c>
      <c r="E2219" s="1516" t="s">
        <v>3762</v>
      </c>
      <c r="F2219" s="1516"/>
      <c r="G2219" s="1516"/>
      <c r="H2219" s="1516"/>
      <c r="V2219">
        <v>247</v>
      </c>
    </row>
    <row r="2220" spans="1:22" customFormat="1" ht="15" x14ac:dyDescent="0.25">
      <c r="A2220" t="s">
        <v>301</v>
      </c>
      <c r="E2220" s="847" t="s">
        <v>3830</v>
      </c>
      <c r="F2220" s="1"/>
      <c r="G2220" s="1"/>
      <c r="H2220" s="1"/>
      <c r="K2220" t="s">
        <v>5127</v>
      </c>
      <c r="V2220">
        <v>23</v>
      </c>
    </row>
    <row r="2221" spans="1:22" customFormat="1" ht="15" x14ac:dyDescent="0.25">
      <c r="A2221" t="s">
        <v>301</v>
      </c>
      <c r="E2221" s="1517" t="s">
        <v>4056</v>
      </c>
      <c r="F2221" s="1517"/>
      <c r="G2221" s="584" t="s">
        <v>777</v>
      </c>
      <c r="H2221" s="576">
        <v>15</v>
      </c>
      <c r="V2221">
        <v>15</v>
      </c>
    </row>
    <row r="2222" spans="1:22" customFormat="1" ht="15" x14ac:dyDescent="0.25">
      <c r="A2222" t="s">
        <v>301</v>
      </c>
      <c r="E2222" s="1517" t="s">
        <v>4058</v>
      </c>
      <c r="F2222" s="1517"/>
      <c r="G2222" s="584" t="s">
        <v>777</v>
      </c>
      <c r="H2222" s="576">
        <v>15</v>
      </c>
      <c r="V2222">
        <v>15</v>
      </c>
    </row>
    <row r="2223" spans="1:22" customFormat="1" ht="15" x14ac:dyDescent="0.25">
      <c r="A2223" t="s">
        <v>301</v>
      </c>
      <c r="E2223" s="1517" t="s">
        <v>3832</v>
      </c>
      <c r="F2223" s="1517"/>
      <c r="G2223" s="584" t="s">
        <v>777</v>
      </c>
      <c r="H2223" s="576">
        <v>15</v>
      </c>
      <c r="V2223">
        <v>19</v>
      </c>
    </row>
    <row r="2224" spans="1:22" customFormat="1" ht="15" x14ac:dyDescent="0.25">
      <c r="A2224" t="s">
        <v>301</v>
      </c>
      <c r="E2224" s="1517" t="s">
        <v>3837</v>
      </c>
      <c r="F2224" s="1517"/>
      <c r="G2224" s="584" t="s">
        <v>777</v>
      </c>
      <c r="H2224" s="576">
        <v>30</v>
      </c>
      <c r="V2224">
        <v>89</v>
      </c>
    </row>
    <row r="2225" spans="1:22" customFormat="1" ht="15" x14ac:dyDescent="0.25">
      <c r="A2225" t="s">
        <v>301</v>
      </c>
      <c r="E2225" s="1517" t="s">
        <v>3836</v>
      </c>
      <c r="F2225" s="1517"/>
      <c r="G2225" s="584" t="s">
        <v>777</v>
      </c>
      <c r="H2225" s="576">
        <v>15</v>
      </c>
      <c r="V2225">
        <v>35</v>
      </c>
    </row>
    <row r="2226" spans="1:22" customFormat="1" ht="15" x14ac:dyDescent="0.25">
      <c r="A2226" t="s">
        <v>301</v>
      </c>
      <c r="E2226" s="847" t="s">
        <v>4062</v>
      </c>
      <c r="F2226" s="1"/>
      <c r="G2226" s="1"/>
      <c r="H2226" s="1"/>
      <c r="K2226" t="s">
        <v>5128</v>
      </c>
      <c r="V2226">
        <v>22</v>
      </c>
    </row>
    <row r="2227" spans="1:22" customFormat="1" ht="15" x14ac:dyDescent="0.25">
      <c r="A2227" t="s">
        <v>301</v>
      </c>
      <c r="E2227" s="1517" t="s">
        <v>4064</v>
      </c>
      <c r="F2227" s="1517"/>
      <c r="G2227" s="584" t="s">
        <v>1118</v>
      </c>
      <c r="H2227" s="576">
        <v>1.5</v>
      </c>
      <c r="V2227">
        <v>99</v>
      </c>
    </row>
    <row r="2228" spans="1:22" customFormat="1" ht="15" x14ac:dyDescent="0.25">
      <c r="A2228" t="s">
        <v>301</v>
      </c>
      <c r="E2228" s="1517" t="s">
        <v>3842</v>
      </c>
      <c r="F2228" s="1517"/>
      <c r="G2228" s="584" t="s">
        <v>777</v>
      </c>
      <c r="H2228" s="576">
        <v>65</v>
      </c>
      <c r="V2228">
        <v>44</v>
      </c>
    </row>
    <row r="2229" spans="1:22" customFormat="1" ht="15" x14ac:dyDescent="0.25">
      <c r="A2229" t="s">
        <v>301</v>
      </c>
      <c r="E2229" s="847" t="s">
        <v>3846</v>
      </c>
      <c r="F2229" s="1"/>
      <c r="G2229" s="1"/>
      <c r="H2229" s="1"/>
      <c r="V2229">
        <v>5</v>
      </c>
    </row>
    <row r="2230" spans="1:22" customFormat="1" ht="15" x14ac:dyDescent="0.25">
      <c r="A2230" t="s">
        <v>301</v>
      </c>
      <c r="E2230" s="1517" t="s">
        <v>4627</v>
      </c>
      <c r="F2230" s="1517"/>
      <c r="G2230" s="584" t="s">
        <v>777</v>
      </c>
      <c r="H2230" s="576">
        <v>39.14</v>
      </c>
      <c r="V2230">
        <v>105</v>
      </c>
    </row>
    <row r="2231" spans="1:22" customFormat="1" ht="18.75" x14ac:dyDescent="0.3">
      <c r="A2231" t="s">
        <v>301</v>
      </c>
      <c r="E2231" s="833" t="s">
        <v>3851</v>
      </c>
      <c r="F2231" s="381"/>
      <c r="G2231" s="381"/>
      <c r="H2231" s="381"/>
      <c r="K2231" t="s">
        <v>5129</v>
      </c>
      <c r="V2231">
        <v>38</v>
      </c>
    </row>
    <row r="2232" spans="1:22" customFormat="1" ht="15" x14ac:dyDescent="0.25">
      <c r="A2232" t="s">
        <v>301</v>
      </c>
      <c r="E2232" s="1516" t="s">
        <v>5026</v>
      </c>
      <c r="F2232" s="1516"/>
      <c r="G2232" s="1516"/>
      <c r="H2232" s="1516"/>
      <c r="V2232">
        <v>281</v>
      </c>
    </row>
    <row r="2233" spans="1:22" customFormat="1" ht="15" x14ac:dyDescent="0.25">
      <c r="A2233" t="s">
        <v>301</v>
      </c>
      <c r="E2233" s="1516" t="s">
        <v>5027</v>
      </c>
      <c r="F2233" s="1516"/>
      <c r="G2233" s="1516"/>
      <c r="H2233" s="1516"/>
      <c r="V2233">
        <v>414</v>
      </c>
    </row>
    <row r="2234" spans="1:22" customFormat="1" ht="15" x14ac:dyDescent="0.25">
      <c r="A2234" t="s">
        <v>301</v>
      </c>
      <c r="E2234" s="1516" t="s">
        <v>1103</v>
      </c>
      <c r="F2234" s="1516"/>
      <c r="G2234" s="1516"/>
      <c r="H2234" s="1516"/>
      <c r="V2234">
        <v>211</v>
      </c>
    </row>
    <row r="2235" spans="1:22" customFormat="1" ht="15" x14ac:dyDescent="0.25">
      <c r="A2235" t="s">
        <v>301</v>
      </c>
      <c r="E2235" s="1516" t="s">
        <v>5028</v>
      </c>
      <c r="F2235" s="1516"/>
      <c r="G2235" s="1516"/>
      <c r="H2235" s="1516"/>
      <c r="V2235">
        <v>249</v>
      </c>
    </row>
    <row r="2236" spans="1:22" customFormat="1" ht="15" x14ac:dyDescent="0.25">
      <c r="A2236" t="s">
        <v>301</v>
      </c>
      <c r="E2236" s="1516" t="s">
        <v>1104</v>
      </c>
      <c r="F2236" s="1516"/>
      <c r="G2236" s="1516"/>
      <c r="H2236" s="1516"/>
      <c r="V2236">
        <v>142</v>
      </c>
    </row>
    <row r="2237" spans="1:22" customFormat="1" ht="15" x14ac:dyDescent="0.25">
      <c r="A2237" t="s">
        <v>301</v>
      </c>
      <c r="E2237" s="1507" t="s">
        <v>849</v>
      </c>
      <c r="F2237" s="1507"/>
      <c r="G2237" s="268" t="s">
        <v>777</v>
      </c>
      <c r="H2237" s="576">
        <v>121.23</v>
      </c>
      <c r="V2237">
        <v>106</v>
      </c>
    </row>
    <row r="2238" spans="1:22" customFormat="1" ht="15" x14ac:dyDescent="0.25">
      <c r="A2238" t="s">
        <v>301</v>
      </c>
      <c r="E2238" s="1507" t="s">
        <v>850</v>
      </c>
      <c r="F2238" s="1507"/>
      <c r="G2238" s="268" t="s">
        <v>777</v>
      </c>
      <c r="H2238" s="576">
        <v>48.5</v>
      </c>
      <c r="V2238">
        <v>34</v>
      </c>
    </row>
    <row r="2239" spans="1:22" customFormat="1" ht="15" x14ac:dyDescent="0.25">
      <c r="A2239" t="s">
        <v>301</v>
      </c>
      <c r="E2239" s="1507" t="s">
        <v>851</v>
      </c>
      <c r="F2239" s="1507"/>
      <c r="G2239" s="268" t="s">
        <v>852</v>
      </c>
      <c r="H2239" s="576">
        <v>1.2</v>
      </c>
      <c r="V2239">
        <v>51</v>
      </c>
    </row>
    <row r="2240" spans="1:22" customFormat="1" ht="15" x14ac:dyDescent="0.25">
      <c r="A2240" t="s">
        <v>301</v>
      </c>
      <c r="E2240" s="1507" t="s">
        <v>853</v>
      </c>
      <c r="F2240" s="1507"/>
      <c r="G2240" s="268" t="s">
        <v>852</v>
      </c>
      <c r="H2240" s="576">
        <v>0.71</v>
      </c>
      <c r="V2240">
        <v>75</v>
      </c>
    </row>
    <row r="2241" spans="1:22" customFormat="1" ht="15" x14ac:dyDescent="0.25">
      <c r="A2241" t="s">
        <v>301</v>
      </c>
      <c r="E2241" s="1507" t="s">
        <v>854</v>
      </c>
      <c r="F2241" s="1507"/>
      <c r="G2241" s="268" t="s">
        <v>852</v>
      </c>
      <c r="H2241" s="576">
        <v>-0.71</v>
      </c>
      <c r="V2241">
        <v>72</v>
      </c>
    </row>
    <row r="2242" spans="1:22" customFormat="1" ht="15" x14ac:dyDescent="0.25">
      <c r="A2242" t="s">
        <v>301</v>
      </c>
      <c r="E2242" s="1507" t="s">
        <v>1105</v>
      </c>
      <c r="F2242" s="1507"/>
      <c r="G2242" s="268"/>
      <c r="H2242" s="650"/>
      <c r="V2242">
        <v>35</v>
      </c>
    </row>
    <row r="2243" spans="1:22" customFormat="1" ht="15" x14ac:dyDescent="0.25">
      <c r="A2243" t="s">
        <v>301</v>
      </c>
      <c r="E2243" s="1511" t="s">
        <v>1106</v>
      </c>
      <c r="F2243" s="1511"/>
      <c r="G2243" s="268" t="s">
        <v>777</v>
      </c>
      <c r="H2243" s="576">
        <v>0.61</v>
      </c>
      <c r="V2243">
        <v>57</v>
      </c>
    </row>
    <row r="2244" spans="1:22" customFormat="1" ht="15" x14ac:dyDescent="0.25">
      <c r="A2244" t="s">
        <v>301</v>
      </c>
      <c r="E2244" s="1511" t="s">
        <v>1107</v>
      </c>
      <c r="F2244" s="1511"/>
      <c r="G2244" s="268" t="s">
        <v>777</v>
      </c>
      <c r="H2244" s="576">
        <v>1.2</v>
      </c>
      <c r="V2244">
        <v>60</v>
      </c>
    </row>
    <row r="2245" spans="1:22" customFormat="1" ht="15" x14ac:dyDescent="0.25">
      <c r="A2245" t="s">
        <v>301</v>
      </c>
      <c r="E2245" s="1507" t="s">
        <v>1108</v>
      </c>
      <c r="F2245" s="1507"/>
      <c r="G2245" s="268"/>
      <c r="H2245" s="650"/>
      <c r="V2245">
        <v>91</v>
      </c>
    </row>
    <row r="2246" spans="1:22" customFormat="1" ht="15" x14ac:dyDescent="0.25">
      <c r="A2246" t="s">
        <v>301</v>
      </c>
      <c r="E2246" s="1507" t="s">
        <v>1109</v>
      </c>
      <c r="F2246" s="1507"/>
      <c r="G2246" s="268"/>
      <c r="H2246" s="650"/>
      <c r="V2246">
        <v>96</v>
      </c>
    </row>
    <row r="2247" spans="1:22" customFormat="1" ht="15" x14ac:dyDescent="0.25">
      <c r="A2247" t="s">
        <v>301</v>
      </c>
      <c r="E2247" s="1507" t="s">
        <v>1110</v>
      </c>
      <c r="F2247" s="1507"/>
      <c r="G2247" s="268"/>
      <c r="H2247" s="650"/>
      <c r="V2247">
        <v>78</v>
      </c>
    </row>
    <row r="2248" spans="1:22" customFormat="1" ht="15" x14ac:dyDescent="0.25">
      <c r="A2248" t="s">
        <v>301</v>
      </c>
      <c r="E2248" s="1511" t="s">
        <v>1111</v>
      </c>
      <c r="F2248" s="1511"/>
      <c r="G2248" s="268" t="s">
        <v>777</v>
      </c>
      <c r="H2248" s="650" t="s">
        <v>857</v>
      </c>
      <c r="V2248">
        <v>18</v>
      </c>
    </row>
    <row r="2249" spans="1:22" customFormat="1" ht="15" x14ac:dyDescent="0.25">
      <c r="A2249" t="s">
        <v>301</v>
      </c>
      <c r="E2249" s="1511" t="s">
        <v>1112</v>
      </c>
      <c r="F2249" s="1511"/>
      <c r="G2249" s="268" t="s">
        <v>777</v>
      </c>
      <c r="H2249" s="576">
        <v>4.8499999999999996</v>
      </c>
      <c r="V2249">
        <v>69</v>
      </c>
    </row>
    <row r="2250" spans="1:22" customFormat="1" ht="15" x14ac:dyDescent="0.25">
      <c r="A2250" t="s">
        <v>301</v>
      </c>
      <c r="E2250" s="1507" t="s">
        <v>858</v>
      </c>
      <c r="F2250" s="1507"/>
      <c r="G2250" s="837" t="s">
        <v>777</v>
      </c>
      <c r="H2250" s="397">
        <v>2.42</v>
      </c>
      <c r="V2250">
        <v>199</v>
      </c>
    </row>
    <row r="2251" spans="1:22" customFormat="1" ht="18.75" x14ac:dyDescent="0.3">
      <c r="A2251" t="s">
        <v>301</v>
      </c>
      <c r="E2251" s="833" t="s">
        <v>3853</v>
      </c>
      <c r="F2251" s="381"/>
      <c r="G2251" s="381"/>
      <c r="H2251" s="381"/>
      <c r="K2251" t="s">
        <v>5130</v>
      </c>
      <c r="V2251">
        <v>12</v>
      </c>
    </row>
    <row r="2252" spans="1:22" customFormat="1" ht="15" x14ac:dyDescent="0.25">
      <c r="A2252" t="s">
        <v>301</v>
      </c>
      <c r="E2252" s="1507" t="s">
        <v>1114</v>
      </c>
      <c r="F2252" s="1507"/>
      <c r="G2252" s="1507"/>
      <c r="H2252" s="1507"/>
      <c r="V2252">
        <v>203</v>
      </c>
    </row>
    <row r="2253" spans="1:22" customFormat="1" ht="15" x14ac:dyDescent="0.25">
      <c r="A2253" t="s">
        <v>301</v>
      </c>
      <c r="E2253" s="1507" t="s">
        <v>1115</v>
      </c>
      <c r="F2253" s="1507"/>
      <c r="G2253" s="584"/>
      <c r="H2253" s="650">
        <v>1.0713999999999999</v>
      </c>
      <c r="V2253">
        <v>57</v>
      </c>
    </row>
    <row r="2254" spans="1:22" customFormat="1" ht="15" x14ac:dyDescent="0.25">
      <c r="A2254" t="s">
        <v>301</v>
      </c>
      <c r="E2254" s="1507" t="s">
        <v>1117</v>
      </c>
      <c r="F2254" s="1507"/>
      <c r="G2254" s="584"/>
      <c r="H2254" s="650">
        <v>1.0607</v>
      </c>
      <c r="J2254" t="s">
        <v>5131</v>
      </c>
      <c r="V2254">
        <v>55</v>
      </c>
    </row>
    <row r="2255" spans="1:22" customFormat="1" ht="23.25" x14ac:dyDescent="0.25">
      <c r="A2255" t="s">
        <v>319</v>
      </c>
      <c r="C2255" t="s">
        <v>3755</v>
      </c>
      <c r="E2255" s="1550" t="s">
        <v>319</v>
      </c>
      <c r="F2255" s="1550"/>
      <c r="G2255" s="1550"/>
      <c r="H2255" s="1550"/>
      <c r="I2255" t="s">
        <v>94</v>
      </c>
      <c r="J2255" t="s">
        <v>5987</v>
      </c>
      <c r="K2255" t="s">
        <v>319</v>
      </c>
      <c r="M2255">
        <v>7</v>
      </c>
      <c r="V2255">
        <v>19</v>
      </c>
    </row>
    <row r="2256" spans="1:22" customFormat="1" x14ac:dyDescent="0.25">
      <c r="A2256" t="s">
        <v>319</v>
      </c>
      <c r="C2256" t="s">
        <v>3757</v>
      </c>
      <c r="E2256" s="1551" t="s">
        <v>944</v>
      </c>
      <c r="F2256" s="1551"/>
      <c r="G2256" s="1551"/>
      <c r="H2256" s="1551"/>
      <c r="V2256">
        <v>27</v>
      </c>
    </row>
    <row r="2257" spans="1:22" customFormat="1" ht="15.75" x14ac:dyDescent="0.25">
      <c r="A2257" t="s">
        <v>319</v>
      </c>
      <c r="C2257" t="s">
        <v>3758</v>
      </c>
      <c r="E2257" s="1543" t="s">
        <v>6511</v>
      </c>
      <c r="F2257" s="1543"/>
      <c r="G2257" s="1543"/>
      <c r="H2257" s="1543"/>
      <c r="S2257">
        <v>45658</v>
      </c>
      <c r="V2257">
        <v>49</v>
      </c>
    </row>
    <row r="2258" spans="1:22" customFormat="1" ht="15" x14ac:dyDescent="0.25">
      <c r="A2258" t="s">
        <v>319</v>
      </c>
      <c r="C2258" t="s">
        <v>3759</v>
      </c>
      <c r="E2258" s="1544" t="s">
        <v>945</v>
      </c>
      <c r="F2258" s="1544"/>
      <c r="G2258" s="1544"/>
      <c r="H2258" s="1544"/>
      <c r="V2258">
        <v>52</v>
      </c>
    </row>
    <row r="2259" spans="1:22" customFormat="1" ht="15" x14ac:dyDescent="0.25">
      <c r="A2259" t="s">
        <v>319</v>
      </c>
      <c r="E2259" s="1544" t="s">
        <v>946</v>
      </c>
      <c r="F2259" s="1544"/>
      <c r="G2259" s="1544"/>
      <c r="H2259" s="1544"/>
      <c r="V2259">
        <v>53</v>
      </c>
    </row>
    <row r="2260" spans="1:22" customFormat="1" ht="15" x14ac:dyDescent="0.25">
      <c r="A2260" t="s">
        <v>319</v>
      </c>
      <c r="E2260" s="1513" t="s">
        <v>6635</v>
      </c>
      <c r="F2260" s="1513"/>
      <c r="G2260" s="1513"/>
      <c r="H2260" s="1513"/>
      <c r="K2260" t="s">
        <v>6635</v>
      </c>
      <c r="V2260">
        <v>12</v>
      </c>
    </row>
    <row r="2261" spans="1:22" customFormat="1" ht="15" x14ac:dyDescent="0.25">
      <c r="A2261" t="s">
        <v>319</v>
      </c>
      <c r="E2261" s="1492" t="s">
        <v>170</v>
      </c>
      <c r="F2261" s="1516"/>
      <c r="G2261" s="1516"/>
      <c r="H2261" s="1516"/>
      <c r="K2261" t="s">
        <v>947</v>
      </c>
      <c r="V2261">
        <v>34</v>
      </c>
    </row>
    <row r="2262" spans="1:22" customFormat="1" ht="15" x14ac:dyDescent="0.25">
      <c r="A2262" t="s">
        <v>319</v>
      </c>
      <c r="E2262" s="1516" t="s">
        <v>5988</v>
      </c>
      <c r="F2262" s="1516"/>
      <c r="G2262" s="1516"/>
      <c r="H2262" s="1516"/>
      <c r="K2262" t="s">
        <v>947</v>
      </c>
      <c r="V2262">
        <v>372</v>
      </c>
    </row>
    <row r="2263" spans="1:22" customFormat="1" ht="15" x14ac:dyDescent="0.25">
      <c r="A2263" t="s">
        <v>319</v>
      </c>
      <c r="E2263" s="1515" t="s">
        <v>950</v>
      </c>
      <c r="F2263" s="1516"/>
      <c r="G2263" s="1516"/>
      <c r="H2263" s="1516"/>
      <c r="K2263" t="s">
        <v>949</v>
      </c>
      <c r="V2263">
        <v>11</v>
      </c>
    </row>
    <row r="2264" spans="1:22" customFormat="1" ht="15" x14ac:dyDescent="0.25">
      <c r="A2264" t="s">
        <v>319</v>
      </c>
      <c r="E2264" s="1516" t="s">
        <v>951</v>
      </c>
      <c r="F2264" s="1516"/>
      <c r="G2264" s="1516"/>
      <c r="H2264" s="1516"/>
      <c r="K2264" t="s">
        <v>947</v>
      </c>
      <c r="V2264">
        <v>280</v>
      </c>
    </row>
    <row r="2265" spans="1:22" customFormat="1" ht="15" x14ac:dyDescent="0.25">
      <c r="A2265" t="s">
        <v>319</v>
      </c>
      <c r="E2265" s="1516" t="s">
        <v>952</v>
      </c>
      <c r="F2265" s="1516"/>
      <c r="G2265" s="1516"/>
      <c r="H2265" s="1516"/>
      <c r="K2265" t="s">
        <v>947</v>
      </c>
      <c r="V2265">
        <v>411</v>
      </c>
    </row>
    <row r="2266" spans="1:22" customFormat="1" ht="15" x14ac:dyDescent="0.25">
      <c r="A2266" t="s">
        <v>319</v>
      </c>
      <c r="E2266" s="1516" t="s">
        <v>953</v>
      </c>
      <c r="F2266" s="1516"/>
      <c r="G2266" s="1516"/>
      <c r="H2266" s="1516"/>
      <c r="K2266" t="s">
        <v>947</v>
      </c>
      <c r="V2266">
        <v>386</v>
      </c>
    </row>
    <row r="2267" spans="1:22" customFormat="1" ht="15" x14ac:dyDescent="0.25">
      <c r="A2267" t="s">
        <v>319</v>
      </c>
      <c r="E2267" s="1516" t="s">
        <v>3762</v>
      </c>
      <c r="F2267" s="1516"/>
      <c r="G2267" s="1516"/>
      <c r="H2267" s="1516"/>
      <c r="K2267" t="s">
        <v>947</v>
      </c>
      <c r="V2267">
        <v>247</v>
      </c>
    </row>
    <row r="2268" spans="1:22" customFormat="1" ht="15" x14ac:dyDescent="0.25">
      <c r="A2268" t="s">
        <v>319</v>
      </c>
      <c r="E2268" s="1515" t="s">
        <v>956</v>
      </c>
      <c r="F2268" s="1516"/>
      <c r="G2268" s="1516"/>
      <c r="H2268" s="1516"/>
      <c r="K2268" t="s">
        <v>955</v>
      </c>
      <c r="V2268">
        <v>46</v>
      </c>
    </row>
    <row r="2269" spans="1:22" customFormat="1" ht="15" x14ac:dyDescent="0.25">
      <c r="A2269" t="s">
        <v>319</v>
      </c>
      <c r="E2269" s="1507" t="s">
        <v>3773</v>
      </c>
      <c r="F2269" s="1507"/>
      <c r="G2269" s="584" t="s">
        <v>777</v>
      </c>
      <c r="H2269" s="576">
        <v>32.840000000000003</v>
      </c>
      <c r="K2269" t="s">
        <v>947</v>
      </c>
      <c r="L2269" t="s">
        <v>690</v>
      </c>
      <c r="P2269" t="s">
        <v>957</v>
      </c>
      <c r="V2269">
        <v>14</v>
      </c>
    </row>
    <row r="2270" spans="1:22" customFormat="1" ht="15" x14ac:dyDescent="0.25">
      <c r="A2270" t="s">
        <v>319</v>
      </c>
      <c r="E2270" s="1507" t="s">
        <v>6636</v>
      </c>
      <c r="F2270" s="1507"/>
      <c r="G2270" s="584" t="s">
        <v>777</v>
      </c>
      <c r="H2270" s="576">
        <v>-0.99</v>
      </c>
      <c r="K2270" t="s">
        <v>947</v>
      </c>
      <c r="L2270" t="s">
        <v>692</v>
      </c>
      <c r="P2270" t="s">
        <v>963</v>
      </c>
      <c r="V2270">
        <v>116</v>
      </c>
    </row>
    <row r="2271" spans="1:22" customFormat="1" ht="15" x14ac:dyDescent="0.25">
      <c r="A2271" t="s">
        <v>319</v>
      </c>
      <c r="E2271" s="1507" t="s">
        <v>960</v>
      </c>
      <c r="F2271" s="1507"/>
      <c r="G2271" s="584" t="s">
        <v>777</v>
      </c>
      <c r="H2271" s="576">
        <v>0.42</v>
      </c>
      <c r="K2271" t="s">
        <v>947</v>
      </c>
      <c r="L2271" t="s">
        <v>692</v>
      </c>
      <c r="P2271" t="s">
        <v>959</v>
      </c>
      <c r="V2271">
        <v>64</v>
      </c>
    </row>
    <row r="2272" spans="1:22" customFormat="1" ht="15" x14ac:dyDescent="0.25">
      <c r="A2272" t="s">
        <v>319</v>
      </c>
      <c r="E2272" s="1507" t="s">
        <v>910</v>
      </c>
      <c r="F2272" s="1507"/>
      <c r="G2272" s="584" t="s">
        <v>845</v>
      </c>
      <c r="H2272" s="577">
        <v>3.5999999999999999E-3</v>
      </c>
      <c r="K2272" t="s">
        <v>947</v>
      </c>
      <c r="L2272" t="s">
        <v>692</v>
      </c>
      <c r="P2272" t="s">
        <v>961</v>
      </c>
      <c r="V2272">
        <v>24</v>
      </c>
    </row>
    <row r="2273" spans="1:22" customFormat="1" ht="15" x14ac:dyDescent="0.25">
      <c r="A2273" t="s">
        <v>319</v>
      </c>
      <c r="E2273" s="1507" t="s">
        <v>6519</v>
      </c>
      <c r="F2273" s="1510"/>
      <c r="G2273" s="584" t="s">
        <v>845</v>
      </c>
      <c r="H2273" s="577">
        <v>-7.3000000000000001E-3</v>
      </c>
      <c r="K2273" t="s">
        <v>947</v>
      </c>
      <c r="L2273" t="s">
        <v>692</v>
      </c>
      <c r="P2273" t="s">
        <v>962</v>
      </c>
      <c r="T2273">
        <v>46022</v>
      </c>
      <c r="V2273">
        <v>142</v>
      </c>
    </row>
    <row r="2274" spans="1:22" customFormat="1" ht="15" x14ac:dyDescent="0.25">
      <c r="A2274" t="s">
        <v>319</v>
      </c>
      <c r="E2274" s="1507" t="s">
        <v>6520</v>
      </c>
      <c r="F2274" s="1510"/>
      <c r="G2274" s="584" t="s">
        <v>845</v>
      </c>
      <c r="H2274" s="577">
        <v>5.1000000000000004E-3</v>
      </c>
      <c r="K2274" t="s">
        <v>947</v>
      </c>
      <c r="L2274" t="s">
        <v>692</v>
      </c>
      <c r="P2274" t="s">
        <v>963</v>
      </c>
      <c r="T2274">
        <v>46022</v>
      </c>
      <c r="V2274">
        <v>99</v>
      </c>
    </row>
    <row r="2275" spans="1:22" customFormat="1" ht="15" x14ac:dyDescent="0.25">
      <c r="A2275" t="s">
        <v>319</v>
      </c>
      <c r="E2275" s="1507" t="s">
        <v>5989</v>
      </c>
      <c r="F2275" s="1507"/>
      <c r="G2275" s="584" t="s">
        <v>845</v>
      </c>
      <c r="H2275" s="577">
        <v>1.8E-3</v>
      </c>
      <c r="K2275" t="s">
        <v>947</v>
      </c>
      <c r="L2275" t="s">
        <v>692</v>
      </c>
      <c r="P2275" t="s">
        <v>963</v>
      </c>
      <c r="T2275">
        <v>46022</v>
      </c>
      <c r="V2275">
        <v>92</v>
      </c>
    </row>
    <row r="2276" spans="1:22" customFormat="1" ht="15" x14ac:dyDescent="0.25">
      <c r="A2276" t="s">
        <v>319</v>
      </c>
      <c r="E2276" s="1507" t="s">
        <v>243</v>
      </c>
      <c r="F2276" s="1507"/>
      <c r="G2276" s="584" t="s">
        <v>845</v>
      </c>
      <c r="H2276" s="577">
        <v>1.0500000000000001E-2</v>
      </c>
      <c r="K2276" t="s">
        <v>947</v>
      </c>
      <c r="L2276" t="s">
        <v>694</v>
      </c>
      <c r="P2276" t="s">
        <v>964</v>
      </c>
      <c r="V2276">
        <v>47</v>
      </c>
    </row>
    <row r="2277" spans="1:22" customFormat="1" ht="15" x14ac:dyDescent="0.25">
      <c r="A2277" t="s">
        <v>319</v>
      </c>
      <c r="E2277" s="1507" t="s">
        <v>175</v>
      </c>
      <c r="F2277" s="1507"/>
      <c r="G2277" s="584" t="s">
        <v>845</v>
      </c>
      <c r="H2277" s="577">
        <v>7.7000000000000002E-3</v>
      </c>
      <c r="K2277" t="s">
        <v>947</v>
      </c>
      <c r="L2277" t="s">
        <v>694</v>
      </c>
      <c r="P2277" t="s">
        <v>965</v>
      </c>
      <c r="V2277">
        <v>74</v>
      </c>
    </row>
    <row r="2278" spans="1:22" customFormat="1" ht="15" x14ac:dyDescent="0.25">
      <c r="A2278" t="s">
        <v>319</v>
      </c>
      <c r="E2278" s="1515" t="s">
        <v>967</v>
      </c>
      <c r="F2278" s="1507"/>
      <c r="G2278" s="584"/>
      <c r="H2278" s="584"/>
      <c r="K2278" t="s">
        <v>966</v>
      </c>
      <c r="V2278">
        <v>48</v>
      </c>
    </row>
    <row r="2279" spans="1:22" customFormat="1" ht="15" x14ac:dyDescent="0.25">
      <c r="A2279" t="s">
        <v>319</v>
      </c>
      <c r="E2279" s="1507" t="s">
        <v>844</v>
      </c>
      <c r="F2279" s="1507"/>
      <c r="G2279" s="584" t="s">
        <v>845</v>
      </c>
      <c r="H2279" s="577">
        <v>4.1000000000000003E-3</v>
      </c>
      <c r="K2279" t="s">
        <v>947</v>
      </c>
      <c r="L2279" t="s">
        <v>968</v>
      </c>
      <c r="P2279" t="s">
        <v>969</v>
      </c>
      <c r="V2279">
        <v>55</v>
      </c>
    </row>
    <row r="2280" spans="1:22" customFormat="1" ht="15" x14ac:dyDescent="0.25">
      <c r="A2280" t="s">
        <v>319</v>
      </c>
      <c r="E2280" s="1507" t="s">
        <v>846</v>
      </c>
      <c r="F2280" s="1507"/>
      <c r="G2280" s="584" t="s">
        <v>845</v>
      </c>
      <c r="H2280" s="577">
        <v>4.0000000000000002E-4</v>
      </c>
      <c r="K2280" t="s">
        <v>947</v>
      </c>
      <c r="L2280" t="s">
        <v>968</v>
      </c>
      <c r="P2280" t="s">
        <v>969</v>
      </c>
      <c r="V2280">
        <v>65</v>
      </c>
    </row>
    <row r="2281" spans="1:22" customFormat="1" ht="15" x14ac:dyDescent="0.25">
      <c r="A2281" t="s">
        <v>319</v>
      </c>
      <c r="E2281" s="1507" t="s">
        <v>847</v>
      </c>
      <c r="F2281" s="1507"/>
      <c r="G2281" s="584" t="s">
        <v>845</v>
      </c>
      <c r="H2281" s="577">
        <v>1.5E-3</v>
      </c>
      <c r="K2281" t="s">
        <v>947</v>
      </c>
      <c r="L2281" t="s">
        <v>968</v>
      </c>
      <c r="P2281" t="s">
        <v>970</v>
      </c>
      <c r="V2281">
        <v>57</v>
      </c>
    </row>
    <row r="2282" spans="1:22" customFormat="1" ht="15" x14ac:dyDescent="0.25">
      <c r="A2282" t="s">
        <v>319</v>
      </c>
      <c r="E2282" s="1507" t="s">
        <v>848</v>
      </c>
      <c r="F2282" s="1507"/>
      <c r="G2282" s="584" t="s">
        <v>777</v>
      </c>
      <c r="H2282" s="576">
        <v>0.25</v>
      </c>
      <c r="K2282" t="s">
        <v>947</v>
      </c>
      <c r="L2282" t="s">
        <v>968</v>
      </c>
      <c r="P2282" t="s">
        <v>971</v>
      </c>
      <c r="V2282">
        <v>63</v>
      </c>
    </row>
    <row r="2283" spans="1:22" customFormat="1" x14ac:dyDescent="0.25">
      <c r="A2283" t="s">
        <v>319</v>
      </c>
      <c r="E2283" s="1492" t="s">
        <v>174</v>
      </c>
      <c r="F2283" s="1493"/>
      <c r="G2283" s="1493"/>
      <c r="H2283" s="1493"/>
      <c r="K2283" t="s">
        <v>972</v>
      </c>
      <c r="V2283">
        <v>54</v>
      </c>
    </row>
    <row r="2284" spans="1:22" customFormat="1" ht="15" x14ac:dyDescent="0.25">
      <c r="A2284" t="s">
        <v>319</v>
      </c>
      <c r="E2284" s="1516" t="s">
        <v>5990</v>
      </c>
      <c r="F2284" s="1516"/>
      <c r="G2284" s="1516"/>
      <c r="H2284" s="1516"/>
      <c r="K2284" t="s">
        <v>972</v>
      </c>
      <c r="V2284">
        <v>563</v>
      </c>
    </row>
    <row r="2285" spans="1:22" customFormat="1" ht="15" x14ac:dyDescent="0.25">
      <c r="A2285" t="s">
        <v>319</v>
      </c>
      <c r="E2285" s="1515" t="s">
        <v>950</v>
      </c>
      <c r="F2285" s="1516"/>
      <c r="G2285" s="1516"/>
      <c r="H2285" s="1516"/>
      <c r="K2285" t="s">
        <v>974</v>
      </c>
      <c r="V2285">
        <v>11</v>
      </c>
    </row>
    <row r="2286" spans="1:22" customFormat="1" ht="15" x14ac:dyDescent="0.25">
      <c r="A2286" t="s">
        <v>319</v>
      </c>
      <c r="E2286" s="1516" t="s">
        <v>951</v>
      </c>
      <c r="F2286" s="1516"/>
      <c r="G2286" s="1516"/>
      <c r="H2286" s="1516"/>
      <c r="K2286" t="s">
        <v>972</v>
      </c>
      <c r="V2286">
        <v>280</v>
      </c>
    </row>
    <row r="2287" spans="1:22" customFormat="1" ht="15" x14ac:dyDescent="0.25">
      <c r="A2287" t="s">
        <v>319</v>
      </c>
      <c r="E2287" s="1516" t="s">
        <v>952</v>
      </c>
      <c r="F2287" s="1516"/>
      <c r="G2287" s="1516"/>
      <c r="H2287" s="1516"/>
      <c r="K2287" t="s">
        <v>972</v>
      </c>
      <c r="V2287">
        <v>411</v>
      </c>
    </row>
    <row r="2288" spans="1:22" customFormat="1" ht="15" x14ac:dyDescent="0.25">
      <c r="A2288" t="s">
        <v>319</v>
      </c>
      <c r="E2288" s="1516" t="s">
        <v>953</v>
      </c>
      <c r="F2288" s="1516"/>
      <c r="G2288" s="1516"/>
      <c r="H2288" s="1516"/>
      <c r="K2288" t="s">
        <v>972</v>
      </c>
      <c r="V2288">
        <v>386</v>
      </c>
    </row>
    <row r="2289" spans="1:22" customFormat="1" ht="15" x14ac:dyDescent="0.25">
      <c r="A2289" t="s">
        <v>319</v>
      </c>
      <c r="E2289" s="1516" t="s">
        <v>3762</v>
      </c>
      <c r="F2289" s="1516"/>
      <c r="G2289" s="1516"/>
      <c r="H2289" s="1516"/>
      <c r="K2289" t="s">
        <v>972</v>
      </c>
      <c r="V2289">
        <v>247</v>
      </c>
    </row>
    <row r="2290" spans="1:22" customFormat="1" ht="15" x14ac:dyDescent="0.25">
      <c r="A2290" t="s">
        <v>319</v>
      </c>
      <c r="E2290" s="1515" t="s">
        <v>956</v>
      </c>
      <c r="F2290" s="1516"/>
      <c r="G2290" s="1516"/>
      <c r="H2290" s="1516"/>
      <c r="K2290" t="s">
        <v>975</v>
      </c>
      <c r="V2290">
        <v>46</v>
      </c>
    </row>
    <row r="2291" spans="1:22" customFormat="1" ht="15" x14ac:dyDescent="0.25">
      <c r="A2291" t="s">
        <v>319</v>
      </c>
      <c r="E2291" s="1507" t="s">
        <v>3773</v>
      </c>
      <c r="F2291" s="1507"/>
      <c r="G2291" s="584" t="s">
        <v>777</v>
      </c>
      <c r="H2291" s="576">
        <v>31.89</v>
      </c>
      <c r="K2291" t="s">
        <v>972</v>
      </c>
      <c r="L2291" t="s">
        <v>690</v>
      </c>
      <c r="P2291" t="s">
        <v>976</v>
      </c>
      <c r="V2291">
        <v>14</v>
      </c>
    </row>
    <row r="2292" spans="1:22" customFormat="1" ht="15" x14ac:dyDescent="0.25">
      <c r="A2292" t="s">
        <v>319</v>
      </c>
      <c r="E2292" s="1507" t="s">
        <v>960</v>
      </c>
      <c r="F2292" s="1507"/>
      <c r="G2292" s="584" t="s">
        <v>777</v>
      </c>
      <c r="H2292" s="576">
        <v>0.42</v>
      </c>
      <c r="K2292" t="s">
        <v>972</v>
      </c>
      <c r="L2292" t="s">
        <v>692</v>
      </c>
      <c r="P2292" t="s">
        <v>977</v>
      </c>
      <c r="V2292">
        <v>64</v>
      </c>
    </row>
    <row r="2293" spans="1:22" customFormat="1" ht="15" x14ac:dyDescent="0.25">
      <c r="A2293" t="s">
        <v>319</v>
      </c>
      <c r="E2293" s="1507" t="s">
        <v>3688</v>
      </c>
      <c r="F2293" s="1507"/>
      <c r="G2293" s="584" t="s">
        <v>845</v>
      </c>
      <c r="H2293" s="577">
        <v>1.4200000000000001E-2</v>
      </c>
      <c r="K2293" t="s">
        <v>972</v>
      </c>
      <c r="L2293" t="s">
        <v>690</v>
      </c>
      <c r="P2293" t="s">
        <v>978</v>
      </c>
      <c r="V2293">
        <v>28</v>
      </c>
    </row>
    <row r="2294" spans="1:22" customFormat="1" ht="15" x14ac:dyDescent="0.25">
      <c r="A2294" t="s">
        <v>319</v>
      </c>
      <c r="E2294" s="1507" t="s">
        <v>910</v>
      </c>
      <c r="F2294" s="1507"/>
      <c r="G2294" s="584" t="s">
        <v>845</v>
      </c>
      <c r="H2294" s="577">
        <v>3.3E-3</v>
      </c>
      <c r="K2294" t="s">
        <v>972</v>
      </c>
      <c r="L2294" t="s">
        <v>692</v>
      </c>
      <c r="P2294" t="s">
        <v>980</v>
      </c>
      <c r="V2294">
        <v>24</v>
      </c>
    </row>
    <row r="2295" spans="1:22" customFormat="1" ht="15" x14ac:dyDescent="0.25">
      <c r="A2295" t="s">
        <v>319</v>
      </c>
      <c r="E2295" s="1507" t="s">
        <v>6519</v>
      </c>
      <c r="F2295" s="1510"/>
      <c r="G2295" s="584" t="s">
        <v>845</v>
      </c>
      <c r="H2295" s="577">
        <v>-7.3000000000000001E-3</v>
      </c>
      <c r="K2295" t="s">
        <v>972</v>
      </c>
      <c r="L2295" t="s">
        <v>692</v>
      </c>
      <c r="P2295" t="s">
        <v>981</v>
      </c>
      <c r="T2295">
        <v>46022</v>
      </c>
      <c r="V2295">
        <v>142</v>
      </c>
    </row>
    <row r="2296" spans="1:22" customFormat="1" ht="15" x14ac:dyDescent="0.25">
      <c r="A2296" t="s">
        <v>319</v>
      </c>
      <c r="E2296" s="1507" t="s">
        <v>6520</v>
      </c>
      <c r="F2296" s="1510"/>
      <c r="G2296" s="584" t="s">
        <v>845</v>
      </c>
      <c r="H2296" s="577">
        <v>5.3E-3</v>
      </c>
      <c r="K2296" t="s">
        <v>972</v>
      </c>
      <c r="L2296" t="s">
        <v>692</v>
      </c>
      <c r="P2296" t="s">
        <v>982</v>
      </c>
      <c r="T2296">
        <v>46022</v>
      </c>
      <c r="V2296">
        <v>99</v>
      </c>
    </row>
    <row r="2297" spans="1:22" customFormat="1" ht="15" x14ac:dyDescent="0.25">
      <c r="A2297" t="s">
        <v>319</v>
      </c>
      <c r="E2297" s="1507" t="s">
        <v>5989</v>
      </c>
      <c r="F2297" s="1507"/>
      <c r="G2297" s="584" t="s">
        <v>845</v>
      </c>
      <c r="H2297" s="577">
        <v>1.9E-3</v>
      </c>
      <c r="K2297" t="s">
        <v>972</v>
      </c>
      <c r="L2297" t="s">
        <v>692</v>
      </c>
      <c r="P2297" t="s">
        <v>982</v>
      </c>
      <c r="T2297">
        <v>46022</v>
      </c>
      <c r="V2297">
        <v>92</v>
      </c>
    </row>
    <row r="2298" spans="1:22" customFormat="1" ht="15" x14ac:dyDescent="0.25">
      <c r="A2298" t="s">
        <v>319</v>
      </c>
      <c r="E2298" s="1507" t="s">
        <v>6636</v>
      </c>
      <c r="F2298" s="1507"/>
      <c r="G2298" s="584" t="s">
        <v>845</v>
      </c>
      <c r="H2298" s="577">
        <v>-1.1999999999999999E-3</v>
      </c>
      <c r="K2298" t="s">
        <v>972</v>
      </c>
      <c r="L2298" t="s">
        <v>692</v>
      </c>
      <c r="P2298" t="s">
        <v>982</v>
      </c>
      <c r="V2298">
        <v>116</v>
      </c>
    </row>
    <row r="2299" spans="1:22" customFormat="1" ht="15" x14ac:dyDescent="0.25">
      <c r="A2299" t="s">
        <v>319</v>
      </c>
      <c r="E2299" s="1507" t="s">
        <v>243</v>
      </c>
      <c r="F2299" s="1507"/>
      <c r="G2299" s="584" t="s">
        <v>845</v>
      </c>
      <c r="H2299" s="577">
        <v>9.5999999999999992E-3</v>
      </c>
      <c r="K2299" t="s">
        <v>972</v>
      </c>
      <c r="L2299" t="s">
        <v>694</v>
      </c>
      <c r="P2299" t="s">
        <v>983</v>
      </c>
      <c r="V2299">
        <v>47</v>
      </c>
    </row>
    <row r="2300" spans="1:22" customFormat="1" ht="15" x14ac:dyDescent="0.25">
      <c r="A2300" t="s">
        <v>319</v>
      </c>
      <c r="E2300" s="1507" t="s">
        <v>175</v>
      </c>
      <c r="F2300" s="1507"/>
      <c r="G2300" s="584" t="s">
        <v>845</v>
      </c>
      <c r="H2300" s="577">
        <v>7.0000000000000001E-3</v>
      </c>
      <c r="K2300" t="s">
        <v>972</v>
      </c>
      <c r="L2300" t="s">
        <v>694</v>
      </c>
      <c r="P2300" t="s">
        <v>984</v>
      </c>
      <c r="V2300">
        <v>74</v>
      </c>
    </row>
    <row r="2301" spans="1:22" customFormat="1" ht="15" x14ac:dyDescent="0.25">
      <c r="A2301" t="s">
        <v>319</v>
      </c>
      <c r="E2301" s="1515" t="s">
        <v>967</v>
      </c>
      <c r="F2301" s="1507"/>
      <c r="G2301" s="584"/>
      <c r="H2301" s="584"/>
      <c r="K2301" t="s">
        <v>985</v>
      </c>
      <c r="V2301">
        <v>48</v>
      </c>
    </row>
    <row r="2302" spans="1:22" customFormat="1" ht="15" x14ac:dyDescent="0.25">
      <c r="A2302" t="s">
        <v>319</v>
      </c>
      <c r="E2302" s="1507" t="s">
        <v>844</v>
      </c>
      <c r="F2302" s="1507"/>
      <c r="G2302" s="584" t="s">
        <v>845</v>
      </c>
      <c r="H2302" s="577">
        <v>4.1000000000000003E-3</v>
      </c>
      <c r="K2302" t="s">
        <v>972</v>
      </c>
      <c r="L2302" t="s">
        <v>968</v>
      </c>
      <c r="P2302" t="s">
        <v>986</v>
      </c>
      <c r="V2302">
        <v>55</v>
      </c>
    </row>
    <row r="2303" spans="1:22" customFormat="1" ht="15" x14ac:dyDescent="0.25">
      <c r="A2303" t="s">
        <v>319</v>
      </c>
      <c r="E2303" s="1507" t="s">
        <v>846</v>
      </c>
      <c r="F2303" s="1507"/>
      <c r="G2303" s="584" t="s">
        <v>845</v>
      </c>
      <c r="H2303" s="577">
        <v>4.0000000000000002E-4</v>
      </c>
      <c r="K2303" t="s">
        <v>972</v>
      </c>
      <c r="L2303" t="s">
        <v>968</v>
      </c>
      <c r="P2303" t="s">
        <v>986</v>
      </c>
      <c r="V2303">
        <v>65</v>
      </c>
    </row>
    <row r="2304" spans="1:22" customFormat="1" ht="15" x14ac:dyDescent="0.25">
      <c r="A2304" t="s">
        <v>319</v>
      </c>
      <c r="E2304" s="1507" t="s">
        <v>847</v>
      </c>
      <c r="F2304" s="1507"/>
      <c r="G2304" s="584" t="s">
        <v>845</v>
      </c>
      <c r="H2304" s="577">
        <v>1.5E-3</v>
      </c>
      <c r="K2304" t="s">
        <v>972</v>
      </c>
      <c r="L2304" t="s">
        <v>968</v>
      </c>
      <c r="P2304" t="s">
        <v>987</v>
      </c>
      <c r="V2304">
        <v>57</v>
      </c>
    </row>
    <row r="2305" spans="1:22" customFormat="1" ht="15" x14ac:dyDescent="0.25">
      <c r="A2305" t="s">
        <v>319</v>
      </c>
      <c r="E2305" s="1507" t="s">
        <v>848</v>
      </c>
      <c r="F2305" s="1507"/>
      <c r="G2305" s="584" t="s">
        <v>777</v>
      </c>
      <c r="H2305" s="576">
        <v>0.25</v>
      </c>
      <c r="K2305" t="s">
        <v>972</v>
      </c>
      <c r="L2305" t="s">
        <v>968</v>
      </c>
      <c r="P2305" t="s">
        <v>988</v>
      </c>
      <c r="V2305">
        <v>63</v>
      </c>
    </row>
    <row r="2306" spans="1:22" customFormat="1" x14ac:dyDescent="0.25">
      <c r="A2306" t="s">
        <v>319</v>
      </c>
      <c r="E2306" s="1492" t="s">
        <v>3767</v>
      </c>
      <c r="F2306" s="1493"/>
      <c r="G2306" s="1493"/>
      <c r="H2306" s="1493"/>
      <c r="K2306" t="s">
        <v>3768</v>
      </c>
      <c r="V2306">
        <v>53</v>
      </c>
    </row>
    <row r="2307" spans="1:22" customFormat="1" ht="15" x14ac:dyDescent="0.25">
      <c r="A2307" t="s">
        <v>319</v>
      </c>
      <c r="E2307" s="1516" t="s">
        <v>5991</v>
      </c>
      <c r="F2307" s="1516"/>
      <c r="G2307" s="1516"/>
      <c r="H2307" s="1516"/>
      <c r="K2307" t="s">
        <v>3768</v>
      </c>
      <c r="V2307">
        <v>558</v>
      </c>
    </row>
    <row r="2308" spans="1:22" customFormat="1" ht="15" x14ac:dyDescent="0.25">
      <c r="A2308" t="s">
        <v>319</v>
      </c>
      <c r="E2308" s="1515" t="s">
        <v>950</v>
      </c>
      <c r="F2308" s="1516"/>
      <c r="G2308" s="1516"/>
      <c r="H2308" s="1516"/>
      <c r="K2308" t="s">
        <v>992</v>
      </c>
      <c r="V2308">
        <v>11</v>
      </c>
    </row>
    <row r="2309" spans="1:22" customFormat="1" ht="15" x14ac:dyDescent="0.25">
      <c r="A2309" t="s">
        <v>319</v>
      </c>
      <c r="E2309" s="1516" t="s">
        <v>951</v>
      </c>
      <c r="F2309" s="1516"/>
      <c r="G2309" s="1516"/>
      <c r="H2309" s="1516"/>
      <c r="K2309" t="s">
        <v>3768</v>
      </c>
      <c r="V2309">
        <v>280</v>
      </c>
    </row>
    <row r="2310" spans="1:22" customFormat="1" ht="15" x14ac:dyDescent="0.25">
      <c r="A2310" t="s">
        <v>319</v>
      </c>
      <c r="E2310" s="1516" t="s">
        <v>952</v>
      </c>
      <c r="F2310" s="1516"/>
      <c r="G2310" s="1516"/>
      <c r="H2310" s="1516"/>
      <c r="K2310" t="s">
        <v>3768</v>
      </c>
      <c r="V2310">
        <v>411</v>
      </c>
    </row>
    <row r="2311" spans="1:22" customFormat="1" ht="15" x14ac:dyDescent="0.25">
      <c r="A2311" t="s">
        <v>319</v>
      </c>
      <c r="E2311" s="1516" t="s">
        <v>953</v>
      </c>
      <c r="F2311" s="1516"/>
      <c r="G2311" s="1516"/>
      <c r="H2311" s="1516"/>
      <c r="K2311" t="s">
        <v>3768</v>
      </c>
      <c r="V2311">
        <v>386</v>
      </c>
    </row>
    <row r="2312" spans="1:22" customFormat="1" ht="15" x14ac:dyDescent="0.25">
      <c r="A2312" t="s">
        <v>319</v>
      </c>
      <c r="E2312" s="1516" t="s">
        <v>3771</v>
      </c>
      <c r="F2312" s="1516"/>
      <c r="G2312" s="1516"/>
      <c r="H2312" s="1516"/>
      <c r="K2312" t="s">
        <v>3768</v>
      </c>
      <c r="V2312">
        <v>677</v>
      </c>
    </row>
    <row r="2313" spans="1:22" customFormat="1" ht="15" x14ac:dyDescent="0.25">
      <c r="A2313" t="s">
        <v>319</v>
      </c>
      <c r="E2313" s="1516" t="s">
        <v>3772</v>
      </c>
      <c r="F2313" s="1516"/>
      <c r="G2313" s="1516"/>
      <c r="H2313" s="1516"/>
      <c r="K2313" t="s">
        <v>3768</v>
      </c>
      <c r="V2313">
        <v>693</v>
      </c>
    </row>
    <row r="2314" spans="1:22" customFormat="1" ht="15" x14ac:dyDescent="0.25">
      <c r="A2314" t="s">
        <v>319</v>
      </c>
      <c r="E2314" s="1516" t="s">
        <v>3762</v>
      </c>
      <c r="F2314" s="1516"/>
      <c r="G2314" s="1516"/>
      <c r="H2314" s="1516"/>
      <c r="K2314" t="s">
        <v>3768</v>
      </c>
      <c r="V2314">
        <v>247</v>
      </c>
    </row>
    <row r="2315" spans="1:22" customFormat="1" ht="15" x14ac:dyDescent="0.25">
      <c r="A2315" t="s">
        <v>319</v>
      </c>
      <c r="E2315" s="1515" t="s">
        <v>956</v>
      </c>
      <c r="F2315" s="1516"/>
      <c r="G2315" s="1516"/>
      <c r="H2315" s="1516"/>
      <c r="K2315" t="s">
        <v>995</v>
      </c>
      <c r="V2315">
        <v>46</v>
      </c>
    </row>
    <row r="2316" spans="1:22" customFormat="1" ht="15" x14ac:dyDescent="0.25">
      <c r="A2316" t="s">
        <v>319</v>
      </c>
      <c r="E2316" s="1507" t="s">
        <v>3773</v>
      </c>
      <c r="F2316" s="1507"/>
      <c r="G2316" s="584" t="s">
        <v>777</v>
      </c>
      <c r="H2316" s="576">
        <v>267.56</v>
      </c>
      <c r="K2316" t="s">
        <v>3768</v>
      </c>
      <c r="L2316" t="s">
        <v>690</v>
      </c>
      <c r="P2316" t="s">
        <v>3774</v>
      </c>
      <c r="V2316">
        <v>14</v>
      </c>
    </row>
    <row r="2317" spans="1:22" customFormat="1" ht="15" x14ac:dyDescent="0.25">
      <c r="A2317" t="s">
        <v>319</v>
      </c>
      <c r="E2317" s="1507" t="s">
        <v>3688</v>
      </c>
      <c r="F2317" s="1507"/>
      <c r="G2317" s="584" t="s">
        <v>3775</v>
      </c>
      <c r="H2317" s="577">
        <v>2.8765999999999998</v>
      </c>
      <c r="K2317" t="s">
        <v>3768</v>
      </c>
      <c r="L2317" t="s">
        <v>690</v>
      </c>
      <c r="P2317" t="s">
        <v>3776</v>
      </c>
      <c r="V2317">
        <v>28</v>
      </c>
    </row>
    <row r="2318" spans="1:22" customFormat="1" ht="15" x14ac:dyDescent="0.25">
      <c r="A2318" t="s">
        <v>319</v>
      </c>
      <c r="E2318" s="1507" t="s">
        <v>910</v>
      </c>
      <c r="F2318" s="1507"/>
      <c r="G2318" s="584" t="s">
        <v>3775</v>
      </c>
      <c r="H2318" s="577">
        <v>1.2209000000000001</v>
      </c>
      <c r="K2318" t="s">
        <v>3768</v>
      </c>
      <c r="L2318" t="s">
        <v>692</v>
      </c>
      <c r="P2318" t="s">
        <v>3777</v>
      </c>
      <c r="V2318">
        <v>24</v>
      </c>
    </row>
    <row r="2319" spans="1:22" customFormat="1" ht="15" x14ac:dyDescent="0.25">
      <c r="A2319" t="s">
        <v>319</v>
      </c>
      <c r="E2319" s="1507" t="s">
        <v>6519</v>
      </c>
      <c r="F2319" s="1510"/>
      <c r="G2319" s="584" t="s">
        <v>845</v>
      </c>
      <c r="H2319" s="577">
        <v>-7.3000000000000001E-3</v>
      </c>
      <c r="K2319" t="s">
        <v>3768</v>
      </c>
      <c r="L2319" t="s">
        <v>692</v>
      </c>
      <c r="P2319" t="s">
        <v>4232</v>
      </c>
      <c r="T2319">
        <v>46022</v>
      </c>
      <c r="V2319">
        <v>142</v>
      </c>
    </row>
    <row r="2320" spans="1:22" customFormat="1" ht="15" x14ac:dyDescent="0.25">
      <c r="A2320" t="s">
        <v>319</v>
      </c>
      <c r="E2320" s="1507" t="s">
        <v>6525</v>
      </c>
      <c r="F2320" s="1510"/>
      <c r="G2320" s="584" t="s">
        <v>3775</v>
      </c>
      <c r="H2320" s="577">
        <v>0.84570000000000001</v>
      </c>
      <c r="K2320" t="s">
        <v>3768</v>
      </c>
      <c r="L2320" t="s">
        <v>692</v>
      </c>
      <c r="P2320" t="s">
        <v>3779</v>
      </c>
      <c r="T2320">
        <v>46022</v>
      </c>
      <c r="V2320">
        <v>159</v>
      </c>
    </row>
    <row r="2321" spans="1:22" customFormat="1" ht="15" x14ac:dyDescent="0.25">
      <c r="A2321" t="s">
        <v>319</v>
      </c>
      <c r="E2321" s="1507" t="s">
        <v>6520</v>
      </c>
      <c r="F2321" s="1510"/>
      <c r="G2321" s="584" t="s">
        <v>3775</v>
      </c>
      <c r="H2321" s="577">
        <v>1.2690999999999999</v>
      </c>
      <c r="K2321" t="s">
        <v>3768</v>
      </c>
      <c r="L2321" t="s">
        <v>692</v>
      </c>
      <c r="P2321" t="s">
        <v>3779</v>
      </c>
      <c r="T2321">
        <v>46022</v>
      </c>
      <c r="V2321">
        <v>99</v>
      </c>
    </row>
    <row r="2322" spans="1:22" customFormat="1" ht="15" x14ac:dyDescent="0.25">
      <c r="A2322" t="s">
        <v>319</v>
      </c>
      <c r="E2322" s="1507" t="s">
        <v>5989</v>
      </c>
      <c r="F2322" s="1507"/>
      <c r="G2322" s="584" t="s">
        <v>3775</v>
      </c>
      <c r="H2322" s="577">
        <v>0.75619999999999998</v>
      </c>
      <c r="K2322" t="s">
        <v>3768</v>
      </c>
      <c r="L2322" t="s">
        <v>692</v>
      </c>
      <c r="P2322" t="s">
        <v>3779</v>
      </c>
      <c r="T2322">
        <v>46022</v>
      </c>
      <c r="V2322">
        <v>92</v>
      </c>
    </row>
    <row r="2323" spans="1:22" customFormat="1" ht="15" x14ac:dyDescent="0.25">
      <c r="A2323" t="s">
        <v>319</v>
      </c>
      <c r="E2323" s="1507" t="s">
        <v>6636</v>
      </c>
      <c r="F2323" s="1507"/>
      <c r="G2323" s="584" t="s">
        <v>3775</v>
      </c>
      <c r="H2323" s="577">
        <v>-0.35349999999999998</v>
      </c>
      <c r="K2323" t="s">
        <v>3768</v>
      </c>
      <c r="L2323" t="s">
        <v>692</v>
      </c>
      <c r="P2323" t="s">
        <v>3779</v>
      </c>
      <c r="V2323">
        <v>116</v>
      </c>
    </row>
    <row r="2324" spans="1:22" customFormat="1" ht="15" x14ac:dyDescent="0.25">
      <c r="A2324" t="s">
        <v>319</v>
      </c>
      <c r="E2324" s="1507" t="s">
        <v>243</v>
      </c>
      <c r="F2324" s="1507"/>
      <c r="G2324" s="584" t="s">
        <v>3775</v>
      </c>
      <c r="H2324" s="577">
        <v>3.9971999999999999</v>
      </c>
      <c r="K2324" t="s">
        <v>3768</v>
      </c>
      <c r="L2324" t="s">
        <v>694</v>
      </c>
      <c r="P2324" t="s">
        <v>3780</v>
      </c>
      <c r="V2324">
        <v>47</v>
      </c>
    </row>
    <row r="2325" spans="1:22" customFormat="1" ht="15" x14ac:dyDescent="0.25">
      <c r="A2325" t="s">
        <v>319</v>
      </c>
      <c r="E2325" s="1507" t="s">
        <v>175</v>
      </c>
      <c r="F2325" s="1507"/>
      <c r="G2325" s="584" t="s">
        <v>3775</v>
      </c>
      <c r="H2325" s="577">
        <v>2.7898000000000001</v>
      </c>
      <c r="K2325" t="s">
        <v>3768</v>
      </c>
      <c r="L2325" t="s">
        <v>694</v>
      </c>
      <c r="P2325" t="s">
        <v>3781</v>
      </c>
      <c r="V2325">
        <v>74</v>
      </c>
    </row>
    <row r="2326" spans="1:22" customFormat="1" ht="15" x14ac:dyDescent="0.25">
      <c r="A2326" t="s">
        <v>319</v>
      </c>
      <c r="E2326" s="1515" t="s">
        <v>967</v>
      </c>
      <c r="F2326" s="1507"/>
      <c r="G2326" s="584"/>
      <c r="H2326" s="584"/>
      <c r="K2326" t="s">
        <v>1003</v>
      </c>
      <c r="V2326">
        <v>48</v>
      </c>
    </row>
    <row r="2327" spans="1:22" customFormat="1" ht="15" x14ac:dyDescent="0.25">
      <c r="A2327" t="s">
        <v>319</v>
      </c>
      <c r="E2327" s="1507" t="s">
        <v>844</v>
      </c>
      <c r="F2327" s="1507"/>
      <c r="G2327" s="584" t="s">
        <v>845</v>
      </c>
      <c r="H2327" s="577">
        <v>4.1000000000000003E-3</v>
      </c>
      <c r="K2327" t="s">
        <v>3768</v>
      </c>
      <c r="L2327" t="s">
        <v>968</v>
      </c>
      <c r="P2327" t="s">
        <v>3782</v>
      </c>
      <c r="V2327">
        <v>55</v>
      </c>
    </row>
    <row r="2328" spans="1:22" customFormat="1" ht="15" x14ac:dyDescent="0.25">
      <c r="A2328" t="s">
        <v>319</v>
      </c>
      <c r="E2328" s="1507" t="s">
        <v>846</v>
      </c>
      <c r="F2328" s="1507"/>
      <c r="G2328" s="584" t="s">
        <v>845</v>
      </c>
      <c r="H2328" s="577">
        <v>4.0000000000000002E-4</v>
      </c>
      <c r="K2328" t="s">
        <v>3768</v>
      </c>
      <c r="L2328" t="s">
        <v>968</v>
      </c>
      <c r="P2328" t="s">
        <v>3782</v>
      </c>
      <c r="V2328">
        <v>65</v>
      </c>
    </row>
    <row r="2329" spans="1:22" customFormat="1" ht="15" x14ac:dyDescent="0.25">
      <c r="A2329" t="s">
        <v>319</v>
      </c>
      <c r="E2329" s="1507" t="s">
        <v>847</v>
      </c>
      <c r="F2329" s="1507"/>
      <c r="G2329" s="584" t="s">
        <v>845</v>
      </c>
      <c r="H2329" s="577">
        <v>1.5E-3</v>
      </c>
      <c r="K2329" t="s">
        <v>3768</v>
      </c>
      <c r="L2329" t="s">
        <v>968</v>
      </c>
      <c r="P2329" t="s">
        <v>3783</v>
      </c>
      <c r="V2329">
        <v>57</v>
      </c>
    </row>
    <row r="2330" spans="1:22" customFormat="1" ht="15" x14ac:dyDescent="0.25">
      <c r="A2330" t="s">
        <v>319</v>
      </c>
      <c r="E2330" s="1507" t="s">
        <v>848</v>
      </c>
      <c r="F2330" s="1507"/>
      <c r="G2330" s="584" t="s">
        <v>777</v>
      </c>
      <c r="H2330" s="576">
        <v>0.25</v>
      </c>
      <c r="K2330" t="s">
        <v>3768</v>
      </c>
      <c r="L2330" t="s">
        <v>968</v>
      </c>
      <c r="P2330" t="s">
        <v>3784</v>
      </c>
      <c r="V2330">
        <v>63</v>
      </c>
    </row>
    <row r="2331" spans="1:22" customFormat="1" x14ac:dyDescent="0.25">
      <c r="A2331" t="s">
        <v>319</v>
      </c>
      <c r="E2331" s="1492" t="s">
        <v>194</v>
      </c>
      <c r="F2331" s="1493"/>
      <c r="G2331" s="1493"/>
      <c r="H2331" s="1493"/>
      <c r="K2331" t="s">
        <v>3785</v>
      </c>
      <c r="V2331">
        <v>47</v>
      </c>
    </row>
    <row r="2332" spans="1:22" customFormat="1" ht="15" x14ac:dyDescent="0.25">
      <c r="A2332" t="s">
        <v>319</v>
      </c>
      <c r="E2332" s="1516" t="s">
        <v>5992</v>
      </c>
      <c r="F2332" s="1516"/>
      <c r="G2332" s="1516"/>
      <c r="H2332" s="1516"/>
      <c r="K2332" t="s">
        <v>3785</v>
      </c>
      <c r="V2332">
        <v>619</v>
      </c>
    </row>
    <row r="2333" spans="1:22" customFormat="1" ht="15" x14ac:dyDescent="0.25">
      <c r="A2333" t="s">
        <v>319</v>
      </c>
      <c r="E2333" s="1515" t="s">
        <v>950</v>
      </c>
      <c r="F2333" s="1516"/>
      <c r="G2333" s="1516"/>
      <c r="H2333" s="1516"/>
      <c r="K2333" t="s">
        <v>1010</v>
      </c>
      <c r="V2333">
        <v>11</v>
      </c>
    </row>
    <row r="2334" spans="1:22" customFormat="1" ht="15" x14ac:dyDescent="0.25">
      <c r="A2334" t="s">
        <v>319</v>
      </c>
      <c r="E2334" s="1516" t="s">
        <v>951</v>
      </c>
      <c r="F2334" s="1516"/>
      <c r="G2334" s="1516"/>
      <c r="H2334" s="1516"/>
      <c r="K2334" t="s">
        <v>3785</v>
      </c>
      <c r="V2334">
        <v>280</v>
      </c>
    </row>
    <row r="2335" spans="1:22" customFormat="1" ht="15" x14ac:dyDescent="0.25">
      <c r="A2335" t="s">
        <v>319</v>
      </c>
      <c r="E2335" s="1516" t="s">
        <v>952</v>
      </c>
      <c r="F2335" s="1516"/>
      <c r="G2335" s="1516"/>
      <c r="H2335" s="1516"/>
      <c r="K2335" t="s">
        <v>3785</v>
      </c>
      <c r="V2335">
        <v>411</v>
      </c>
    </row>
    <row r="2336" spans="1:22" customFormat="1" ht="15" x14ac:dyDescent="0.25">
      <c r="A2336" t="s">
        <v>319</v>
      </c>
      <c r="E2336" s="1516" t="s">
        <v>953</v>
      </c>
      <c r="F2336" s="1516"/>
      <c r="G2336" s="1516"/>
      <c r="H2336" s="1516"/>
      <c r="K2336" t="s">
        <v>3785</v>
      </c>
      <c r="V2336">
        <v>386</v>
      </c>
    </row>
    <row r="2337" spans="1:22" customFormat="1" ht="15" x14ac:dyDescent="0.25">
      <c r="A2337" t="s">
        <v>319</v>
      </c>
      <c r="E2337" s="1516" t="s">
        <v>3762</v>
      </c>
      <c r="F2337" s="1516"/>
      <c r="G2337" s="1516"/>
      <c r="H2337" s="1516"/>
      <c r="K2337" t="s">
        <v>3785</v>
      </c>
      <c r="V2337">
        <v>247</v>
      </c>
    </row>
    <row r="2338" spans="1:22" customFormat="1" ht="15" x14ac:dyDescent="0.25">
      <c r="A2338" t="s">
        <v>319</v>
      </c>
      <c r="E2338" s="1515" t="s">
        <v>956</v>
      </c>
      <c r="F2338" s="1516"/>
      <c r="G2338" s="1516"/>
      <c r="H2338" s="1516"/>
      <c r="K2338" t="s">
        <v>1011</v>
      </c>
      <c r="V2338">
        <v>46</v>
      </c>
    </row>
    <row r="2339" spans="1:22" customFormat="1" ht="15" x14ac:dyDescent="0.25">
      <c r="A2339" t="s">
        <v>319</v>
      </c>
      <c r="E2339" s="1507" t="s">
        <v>3893</v>
      </c>
      <c r="F2339" s="1507"/>
      <c r="G2339" s="584" t="s">
        <v>777</v>
      </c>
      <c r="H2339" s="576">
        <v>5.93</v>
      </c>
      <c r="K2339" t="s">
        <v>3785</v>
      </c>
      <c r="L2339" t="s">
        <v>690</v>
      </c>
      <c r="P2339" t="s">
        <v>3788</v>
      </c>
      <c r="V2339">
        <v>29</v>
      </c>
    </row>
    <row r="2340" spans="1:22" customFormat="1" ht="15" x14ac:dyDescent="0.25">
      <c r="A2340" t="s">
        <v>319</v>
      </c>
      <c r="E2340" s="1507" t="s">
        <v>3688</v>
      </c>
      <c r="F2340" s="1507"/>
      <c r="G2340" s="584" t="s">
        <v>845</v>
      </c>
      <c r="H2340" s="577">
        <v>2.1999999999999999E-2</v>
      </c>
      <c r="K2340" t="s">
        <v>3785</v>
      </c>
      <c r="L2340" t="s">
        <v>690</v>
      </c>
      <c r="P2340" t="s">
        <v>3789</v>
      </c>
      <c r="V2340">
        <v>28</v>
      </c>
    </row>
    <row r="2341" spans="1:22" customFormat="1" ht="15" x14ac:dyDescent="0.25">
      <c r="A2341" t="s">
        <v>319</v>
      </c>
      <c r="E2341" s="1507" t="s">
        <v>910</v>
      </c>
      <c r="F2341" s="1507"/>
      <c r="G2341" s="584" t="s">
        <v>845</v>
      </c>
      <c r="H2341" s="577">
        <v>3.3E-3</v>
      </c>
      <c r="K2341" t="s">
        <v>3785</v>
      </c>
      <c r="L2341" t="s">
        <v>692</v>
      </c>
      <c r="P2341" t="s">
        <v>3790</v>
      </c>
      <c r="V2341">
        <v>24</v>
      </c>
    </row>
    <row r="2342" spans="1:22" customFormat="1" ht="15" x14ac:dyDescent="0.25">
      <c r="A2342" t="s">
        <v>319</v>
      </c>
      <c r="E2342" s="1507" t="s">
        <v>6519</v>
      </c>
      <c r="F2342" s="1510"/>
      <c r="G2342" s="584" t="s">
        <v>845</v>
      </c>
      <c r="H2342" s="577">
        <v>-7.4000000000000003E-3</v>
      </c>
      <c r="K2342" t="s">
        <v>3785</v>
      </c>
      <c r="L2342" t="s">
        <v>692</v>
      </c>
      <c r="P2342" t="s">
        <v>4818</v>
      </c>
      <c r="T2342">
        <v>46022</v>
      </c>
      <c r="V2342">
        <v>142</v>
      </c>
    </row>
    <row r="2343" spans="1:22" customFormat="1" ht="15" x14ac:dyDescent="0.25">
      <c r="A2343" t="s">
        <v>319</v>
      </c>
      <c r="E2343" s="1507" t="s">
        <v>6520</v>
      </c>
      <c r="F2343" s="1510"/>
      <c r="G2343" s="584" t="s">
        <v>845</v>
      </c>
      <c r="H2343" s="577">
        <v>5.4000000000000003E-3</v>
      </c>
      <c r="K2343" t="s">
        <v>3785</v>
      </c>
      <c r="L2343" t="s">
        <v>692</v>
      </c>
      <c r="P2343" t="s">
        <v>3792</v>
      </c>
      <c r="T2343">
        <v>46022</v>
      </c>
      <c r="V2343">
        <v>99</v>
      </c>
    </row>
    <row r="2344" spans="1:22" customFormat="1" ht="15" x14ac:dyDescent="0.25">
      <c r="A2344" t="s">
        <v>319</v>
      </c>
      <c r="E2344" s="1507" t="s">
        <v>5989</v>
      </c>
      <c r="F2344" s="1507"/>
      <c r="G2344" s="584" t="s">
        <v>845</v>
      </c>
      <c r="H2344" s="577">
        <v>2E-3</v>
      </c>
      <c r="K2344" t="s">
        <v>3785</v>
      </c>
      <c r="L2344" t="s">
        <v>692</v>
      </c>
      <c r="P2344" t="s">
        <v>3792</v>
      </c>
      <c r="T2344">
        <v>46022</v>
      </c>
      <c r="V2344">
        <v>92</v>
      </c>
    </row>
    <row r="2345" spans="1:22" customFormat="1" ht="15" x14ac:dyDescent="0.25">
      <c r="A2345" t="s">
        <v>319</v>
      </c>
      <c r="E2345" s="1507" t="s">
        <v>6636</v>
      </c>
      <c r="F2345" s="1507"/>
      <c r="G2345" s="584" t="s">
        <v>845</v>
      </c>
      <c r="H2345" s="577">
        <v>-1E-3</v>
      </c>
      <c r="K2345" t="s">
        <v>3785</v>
      </c>
      <c r="L2345" t="s">
        <v>692</v>
      </c>
      <c r="P2345" t="s">
        <v>3792</v>
      </c>
      <c r="V2345">
        <v>116</v>
      </c>
    </row>
    <row r="2346" spans="1:22" customFormat="1" ht="15" x14ac:dyDescent="0.25">
      <c r="A2346" t="s">
        <v>319</v>
      </c>
      <c r="E2346" s="1507" t="s">
        <v>243</v>
      </c>
      <c r="F2346" s="1507"/>
      <c r="G2346" s="584" t="s">
        <v>845</v>
      </c>
      <c r="H2346" s="577">
        <v>9.5999999999999992E-3</v>
      </c>
      <c r="K2346" t="s">
        <v>3785</v>
      </c>
      <c r="L2346" t="s">
        <v>694</v>
      </c>
      <c r="P2346" t="s">
        <v>3793</v>
      </c>
      <c r="V2346">
        <v>47</v>
      </c>
    </row>
    <row r="2347" spans="1:22" customFormat="1" ht="15" x14ac:dyDescent="0.25">
      <c r="A2347" t="s">
        <v>319</v>
      </c>
      <c r="E2347" s="1507" t="s">
        <v>175</v>
      </c>
      <c r="F2347" s="1507"/>
      <c r="G2347" s="584" t="s">
        <v>845</v>
      </c>
      <c r="H2347" s="577">
        <v>7.0000000000000001E-3</v>
      </c>
      <c r="K2347" t="s">
        <v>3785</v>
      </c>
      <c r="L2347" t="s">
        <v>694</v>
      </c>
      <c r="P2347" t="s">
        <v>3794</v>
      </c>
      <c r="V2347">
        <v>74</v>
      </c>
    </row>
    <row r="2348" spans="1:22" customFormat="1" ht="15" x14ac:dyDescent="0.25">
      <c r="A2348" t="s">
        <v>319</v>
      </c>
      <c r="E2348" s="1515" t="s">
        <v>967</v>
      </c>
      <c r="F2348" s="1612"/>
      <c r="G2348" s="584"/>
      <c r="H2348" s="584"/>
      <c r="K2348" t="s">
        <v>1019</v>
      </c>
      <c r="V2348">
        <v>48</v>
      </c>
    </row>
    <row r="2349" spans="1:22" customFormat="1" ht="15" x14ac:dyDescent="0.25">
      <c r="A2349" t="s">
        <v>319</v>
      </c>
      <c r="E2349" s="1507" t="s">
        <v>844</v>
      </c>
      <c r="F2349" s="1507"/>
      <c r="G2349" s="584" t="s">
        <v>845</v>
      </c>
      <c r="H2349" s="577">
        <v>4.1000000000000003E-3</v>
      </c>
      <c r="K2349" t="s">
        <v>3785</v>
      </c>
      <c r="L2349" t="s">
        <v>968</v>
      </c>
      <c r="P2349" t="s">
        <v>3795</v>
      </c>
      <c r="V2349">
        <v>55</v>
      </c>
    </row>
    <row r="2350" spans="1:22" customFormat="1" ht="15" x14ac:dyDescent="0.25">
      <c r="A2350" t="s">
        <v>319</v>
      </c>
      <c r="E2350" s="1507" t="s">
        <v>846</v>
      </c>
      <c r="F2350" s="1507"/>
      <c r="G2350" s="584" t="s">
        <v>845</v>
      </c>
      <c r="H2350" s="577">
        <v>4.0000000000000002E-4</v>
      </c>
      <c r="K2350" t="s">
        <v>3785</v>
      </c>
      <c r="L2350" t="s">
        <v>968</v>
      </c>
      <c r="P2350" t="s">
        <v>3795</v>
      </c>
      <c r="V2350">
        <v>65</v>
      </c>
    </row>
    <row r="2351" spans="1:22" customFormat="1" ht="15" x14ac:dyDescent="0.25">
      <c r="A2351" t="s">
        <v>319</v>
      </c>
      <c r="E2351" s="1507" t="s">
        <v>847</v>
      </c>
      <c r="F2351" s="1507"/>
      <c r="G2351" s="584" t="s">
        <v>845</v>
      </c>
      <c r="H2351" s="577">
        <v>1.5E-3</v>
      </c>
      <c r="K2351" t="s">
        <v>3785</v>
      </c>
      <c r="L2351" t="s">
        <v>968</v>
      </c>
      <c r="P2351" t="s">
        <v>3796</v>
      </c>
      <c r="V2351">
        <v>57</v>
      </c>
    </row>
    <row r="2352" spans="1:22" customFormat="1" ht="15" x14ac:dyDescent="0.25">
      <c r="A2352" t="s">
        <v>319</v>
      </c>
      <c r="E2352" s="1507" t="s">
        <v>848</v>
      </c>
      <c r="F2352" s="1507"/>
      <c r="G2352" s="584" t="s">
        <v>777</v>
      </c>
      <c r="H2352" s="576">
        <v>0.25</v>
      </c>
      <c r="K2352" t="s">
        <v>3785</v>
      </c>
      <c r="L2352" t="s">
        <v>968</v>
      </c>
      <c r="P2352" t="s">
        <v>3797</v>
      </c>
      <c r="V2352">
        <v>63</v>
      </c>
    </row>
    <row r="2353" spans="1:22" customFormat="1" x14ac:dyDescent="0.25">
      <c r="A2353" t="s">
        <v>319</v>
      </c>
      <c r="E2353" s="1492" t="s">
        <v>198</v>
      </c>
      <c r="F2353" s="1493"/>
      <c r="G2353" s="1493"/>
      <c r="H2353" s="1493"/>
      <c r="K2353" t="s">
        <v>3798</v>
      </c>
      <c r="V2353">
        <v>40</v>
      </c>
    </row>
    <row r="2354" spans="1:22" customFormat="1" ht="15" x14ac:dyDescent="0.25">
      <c r="A2354" t="s">
        <v>319</v>
      </c>
      <c r="E2354" s="1516" t="s">
        <v>4693</v>
      </c>
      <c r="F2354" s="1516"/>
      <c r="G2354" s="1516"/>
      <c r="H2354" s="1516"/>
      <c r="K2354" t="s">
        <v>3798</v>
      </c>
      <c r="V2354">
        <v>253</v>
      </c>
    </row>
    <row r="2355" spans="1:22" customFormat="1" ht="15" x14ac:dyDescent="0.25">
      <c r="A2355" t="s">
        <v>319</v>
      </c>
      <c r="E2355" s="1515" t="s">
        <v>950</v>
      </c>
      <c r="F2355" s="1516"/>
      <c r="G2355" s="1516"/>
      <c r="H2355" s="1516"/>
      <c r="K2355" t="s">
        <v>1025</v>
      </c>
      <c r="V2355">
        <v>11</v>
      </c>
    </row>
    <row r="2356" spans="1:22" customFormat="1" ht="15" x14ac:dyDescent="0.25">
      <c r="A2356" t="s">
        <v>319</v>
      </c>
      <c r="E2356" s="1516" t="s">
        <v>951</v>
      </c>
      <c r="F2356" s="1516"/>
      <c r="G2356" s="1516"/>
      <c r="H2356" s="1516"/>
      <c r="K2356" t="s">
        <v>3798</v>
      </c>
      <c r="V2356">
        <v>280</v>
      </c>
    </row>
    <row r="2357" spans="1:22" customFormat="1" ht="15" x14ac:dyDescent="0.25">
      <c r="A2357" t="s">
        <v>319</v>
      </c>
      <c r="E2357" s="1516" t="s">
        <v>952</v>
      </c>
      <c r="F2357" s="1516"/>
      <c r="G2357" s="1516"/>
      <c r="H2357" s="1516"/>
      <c r="K2357" t="s">
        <v>3798</v>
      </c>
      <c r="V2357">
        <v>411</v>
      </c>
    </row>
    <row r="2358" spans="1:22" customFormat="1" ht="15" x14ac:dyDescent="0.25">
      <c r="A2358" t="s">
        <v>319</v>
      </c>
      <c r="E2358" s="1516" t="s">
        <v>953</v>
      </c>
      <c r="F2358" s="1516"/>
      <c r="G2358" s="1516"/>
      <c r="H2358" s="1516"/>
      <c r="K2358" t="s">
        <v>3798</v>
      </c>
      <c r="V2358">
        <v>386</v>
      </c>
    </row>
    <row r="2359" spans="1:22" customFormat="1" ht="15" x14ac:dyDescent="0.25">
      <c r="A2359" t="s">
        <v>319</v>
      </c>
      <c r="E2359" s="1516" t="s">
        <v>3762</v>
      </c>
      <c r="F2359" s="1516"/>
      <c r="G2359" s="1516"/>
      <c r="H2359" s="1516"/>
      <c r="K2359" t="s">
        <v>3798</v>
      </c>
      <c r="V2359">
        <v>247</v>
      </c>
    </row>
    <row r="2360" spans="1:22" customFormat="1" ht="15" x14ac:dyDescent="0.25">
      <c r="A2360" t="s">
        <v>319</v>
      </c>
      <c r="E2360" s="1515" t="s">
        <v>956</v>
      </c>
      <c r="F2360" s="1516"/>
      <c r="G2360" s="1516"/>
      <c r="H2360" s="1516"/>
      <c r="K2360" t="s">
        <v>1026</v>
      </c>
      <c r="V2360">
        <v>46</v>
      </c>
    </row>
    <row r="2361" spans="1:22" customFormat="1" ht="15" x14ac:dyDescent="0.25">
      <c r="A2361" t="s">
        <v>319</v>
      </c>
      <c r="E2361" s="1507" t="s">
        <v>3874</v>
      </c>
      <c r="F2361" s="1507"/>
      <c r="G2361" s="584" t="s">
        <v>777</v>
      </c>
      <c r="H2361" s="576">
        <v>6.7</v>
      </c>
      <c r="K2361" t="s">
        <v>3798</v>
      </c>
      <c r="L2361" t="s">
        <v>690</v>
      </c>
      <c r="P2361" t="s">
        <v>3801</v>
      </c>
      <c r="V2361">
        <v>31</v>
      </c>
    </row>
    <row r="2362" spans="1:22" customFormat="1" ht="15" x14ac:dyDescent="0.25">
      <c r="A2362" t="s">
        <v>319</v>
      </c>
      <c r="E2362" s="1507" t="s">
        <v>3688</v>
      </c>
      <c r="F2362" s="1507"/>
      <c r="G2362" s="584" t="s">
        <v>3775</v>
      </c>
      <c r="H2362" s="577">
        <v>34.691200000000002</v>
      </c>
      <c r="K2362" t="s">
        <v>3798</v>
      </c>
      <c r="L2362" t="s">
        <v>690</v>
      </c>
      <c r="P2362" t="s">
        <v>3802</v>
      </c>
      <c r="V2362">
        <v>28</v>
      </c>
    </row>
    <row r="2363" spans="1:22" customFormat="1" ht="15" x14ac:dyDescent="0.25">
      <c r="A2363" t="s">
        <v>319</v>
      </c>
      <c r="E2363" s="1507" t="s">
        <v>910</v>
      </c>
      <c r="F2363" s="1507"/>
      <c r="G2363" s="584" t="s">
        <v>3775</v>
      </c>
      <c r="H2363" s="577">
        <v>0.96399999999999997</v>
      </c>
      <c r="K2363" t="s">
        <v>3798</v>
      </c>
      <c r="L2363" t="s">
        <v>692</v>
      </c>
      <c r="P2363" t="s">
        <v>3803</v>
      </c>
      <c r="V2363">
        <v>24</v>
      </c>
    </row>
    <row r="2364" spans="1:22" customFormat="1" ht="15" x14ac:dyDescent="0.25">
      <c r="A2364" t="s">
        <v>319</v>
      </c>
      <c r="E2364" s="1507" t="s">
        <v>6520</v>
      </c>
      <c r="F2364" s="1510"/>
      <c r="G2364" s="584" t="s">
        <v>3775</v>
      </c>
      <c r="H2364" s="577">
        <v>2.1297000000000001</v>
      </c>
      <c r="K2364" t="s">
        <v>3798</v>
      </c>
      <c r="L2364" t="s">
        <v>692</v>
      </c>
      <c r="P2364" t="s">
        <v>3805</v>
      </c>
      <c r="T2364">
        <v>46022</v>
      </c>
      <c r="V2364">
        <v>99</v>
      </c>
    </row>
    <row r="2365" spans="1:22" customFormat="1" ht="15" x14ac:dyDescent="0.25">
      <c r="A2365" t="s">
        <v>319</v>
      </c>
      <c r="E2365" s="1507" t="s">
        <v>5989</v>
      </c>
      <c r="F2365" s="1507"/>
      <c r="G2365" s="584" t="s">
        <v>3775</v>
      </c>
      <c r="H2365" s="577">
        <v>1.0565</v>
      </c>
      <c r="K2365" t="s">
        <v>3798</v>
      </c>
      <c r="L2365" t="s">
        <v>692</v>
      </c>
      <c r="P2365" t="s">
        <v>3805</v>
      </c>
      <c r="T2365">
        <v>46022</v>
      </c>
      <c r="V2365">
        <v>92</v>
      </c>
    </row>
    <row r="2366" spans="1:22" customFormat="1" ht="15" x14ac:dyDescent="0.25">
      <c r="A2366" t="s">
        <v>319</v>
      </c>
      <c r="E2366" s="1507" t="s">
        <v>6636</v>
      </c>
      <c r="F2366" s="1507"/>
      <c r="G2366" s="584" t="s">
        <v>3775</v>
      </c>
      <c r="H2366" s="577">
        <v>-0.73</v>
      </c>
      <c r="K2366" t="s">
        <v>3798</v>
      </c>
      <c r="L2366" t="s">
        <v>692</v>
      </c>
      <c r="P2366" t="s">
        <v>3805</v>
      </c>
      <c r="V2366">
        <v>116</v>
      </c>
    </row>
    <row r="2367" spans="1:22" customFormat="1" ht="15" x14ac:dyDescent="0.25">
      <c r="A2367" t="s">
        <v>319</v>
      </c>
      <c r="E2367" s="1507" t="s">
        <v>243</v>
      </c>
      <c r="F2367" s="1507"/>
      <c r="G2367" s="584" t="s">
        <v>3775</v>
      </c>
      <c r="H2367" s="577">
        <v>3.0331000000000001</v>
      </c>
      <c r="K2367" t="s">
        <v>3798</v>
      </c>
      <c r="L2367" t="s">
        <v>694</v>
      </c>
      <c r="P2367" t="s">
        <v>3806</v>
      </c>
      <c r="V2367">
        <v>47</v>
      </c>
    </row>
    <row r="2368" spans="1:22" customFormat="1" ht="15" x14ac:dyDescent="0.25">
      <c r="A2368" t="s">
        <v>319</v>
      </c>
      <c r="E2368" s="1507" t="s">
        <v>175</v>
      </c>
      <c r="F2368" s="1507"/>
      <c r="G2368" s="584" t="s">
        <v>3775</v>
      </c>
      <c r="H2368" s="577">
        <v>2.2027000000000001</v>
      </c>
      <c r="K2368" t="s">
        <v>3798</v>
      </c>
      <c r="L2368" t="s">
        <v>694</v>
      </c>
      <c r="P2368" t="s">
        <v>3807</v>
      </c>
      <c r="V2368">
        <v>74</v>
      </c>
    </row>
    <row r="2369" spans="1:22" customFormat="1" ht="15" x14ac:dyDescent="0.25">
      <c r="A2369" t="s">
        <v>319</v>
      </c>
      <c r="E2369" s="1515" t="s">
        <v>967</v>
      </c>
      <c r="F2369" s="1507"/>
      <c r="G2369" s="584"/>
      <c r="H2369" s="584"/>
      <c r="K2369" t="s">
        <v>1035</v>
      </c>
      <c r="V2369">
        <v>48</v>
      </c>
    </row>
    <row r="2370" spans="1:22" customFormat="1" ht="15" x14ac:dyDescent="0.25">
      <c r="A2370" t="s">
        <v>319</v>
      </c>
      <c r="E2370" s="1507" t="s">
        <v>844</v>
      </c>
      <c r="F2370" s="1507"/>
      <c r="G2370" s="584" t="s">
        <v>845</v>
      </c>
      <c r="H2370" s="577">
        <v>4.1000000000000003E-3</v>
      </c>
      <c r="K2370" t="s">
        <v>3798</v>
      </c>
      <c r="L2370" t="s">
        <v>968</v>
      </c>
      <c r="P2370" t="s">
        <v>3808</v>
      </c>
      <c r="V2370">
        <v>55</v>
      </c>
    </row>
    <row r="2371" spans="1:22" customFormat="1" ht="15" x14ac:dyDescent="0.25">
      <c r="A2371" t="s">
        <v>319</v>
      </c>
      <c r="E2371" s="1507" t="s">
        <v>846</v>
      </c>
      <c r="F2371" s="1507"/>
      <c r="G2371" s="584" t="s">
        <v>845</v>
      </c>
      <c r="H2371" s="577">
        <v>4.0000000000000002E-4</v>
      </c>
      <c r="K2371" t="s">
        <v>3798</v>
      </c>
      <c r="L2371" t="s">
        <v>968</v>
      </c>
      <c r="P2371" t="s">
        <v>3808</v>
      </c>
      <c r="V2371">
        <v>65</v>
      </c>
    </row>
    <row r="2372" spans="1:22" customFormat="1" ht="15" x14ac:dyDescent="0.25">
      <c r="A2372" t="s">
        <v>319</v>
      </c>
      <c r="E2372" s="1507" t="s">
        <v>847</v>
      </c>
      <c r="F2372" s="1507"/>
      <c r="G2372" s="584" t="s">
        <v>845</v>
      </c>
      <c r="H2372" s="577">
        <v>1.5E-3</v>
      </c>
      <c r="K2372" t="s">
        <v>3798</v>
      </c>
      <c r="L2372" t="s">
        <v>968</v>
      </c>
      <c r="P2372" t="s">
        <v>3809</v>
      </c>
      <c r="V2372">
        <v>57</v>
      </c>
    </row>
    <row r="2373" spans="1:22" customFormat="1" ht="15" x14ac:dyDescent="0.25">
      <c r="A2373" t="s">
        <v>319</v>
      </c>
      <c r="E2373" s="1507" t="s">
        <v>848</v>
      </c>
      <c r="F2373" s="1507"/>
      <c r="G2373" s="584" t="s">
        <v>777</v>
      </c>
      <c r="H2373" s="576">
        <v>0.25</v>
      </c>
      <c r="K2373" t="s">
        <v>3798</v>
      </c>
      <c r="L2373" t="s">
        <v>968</v>
      </c>
      <c r="P2373" t="s">
        <v>3810</v>
      </c>
      <c r="V2373">
        <v>63</v>
      </c>
    </row>
    <row r="2374" spans="1:22" customFormat="1" x14ac:dyDescent="0.25">
      <c r="A2374" t="s">
        <v>319</v>
      </c>
      <c r="E2374" s="1492" t="s">
        <v>202</v>
      </c>
      <c r="F2374" s="1493"/>
      <c r="G2374" s="1493"/>
      <c r="H2374" s="1493"/>
      <c r="K2374" t="s">
        <v>3811</v>
      </c>
      <c r="V2374">
        <v>38</v>
      </c>
    </row>
    <row r="2375" spans="1:22" customFormat="1" ht="15" x14ac:dyDescent="0.25">
      <c r="A2375" t="s">
        <v>319</v>
      </c>
      <c r="E2375" s="1516" t="s">
        <v>5993</v>
      </c>
      <c r="F2375" s="1516"/>
      <c r="G2375" s="1516"/>
      <c r="H2375" s="1516"/>
      <c r="K2375" t="s">
        <v>3811</v>
      </c>
      <c r="V2375">
        <v>550</v>
      </c>
    </row>
    <row r="2376" spans="1:22" customFormat="1" ht="15" x14ac:dyDescent="0.25">
      <c r="A2376" t="s">
        <v>319</v>
      </c>
      <c r="E2376" s="1515" t="s">
        <v>950</v>
      </c>
      <c r="F2376" s="1516"/>
      <c r="G2376" s="1516"/>
      <c r="H2376" s="1516"/>
      <c r="K2376" t="s">
        <v>1041</v>
      </c>
      <c r="V2376">
        <v>11</v>
      </c>
    </row>
    <row r="2377" spans="1:22" customFormat="1" ht="15" x14ac:dyDescent="0.25">
      <c r="A2377" t="s">
        <v>319</v>
      </c>
      <c r="E2377" s="1516" t="s">
        <v>951</v>
      </c>
      <c r="F2377" s="1516"/>
      <c r="G2377" s="1516"/>
      <c r="H2377" s="1516"/>
      <c r="K2377" t="s">
        <v>3811</v>
      </c>
      <c r="V2377">
        <v>280</v>
      </c>
    </row>
    <row r="2378" spans="1:22" customFormat="1" ht="15" x14ac:dyDescent="0.25">
      <c r="A2378" t="s">
        <v>319</v>
      </c>
      <c r="E2378" s="1516" t="s">
        <v>952</v>
      </c>
      <c r="F2378" s="1516"/>
      <c r="G2378" s="1516"/>
      <c r="H2378" s="1516"/>
      <c r="K2378" t="s">
        <v>3811</v>
      </c>
      <c r="V2378">
        <v>411</v>
      </c>
    </row>
    <row r="2379" spans="1:22" customFormat="1" ht="15" x14ac:dyDescent="0.25">
      <c r="A2379" t="s">
        <v>319</v>
      </c>
      <c r="E2379" s="1516" t="s">
        <v>953</v>
      </c>
      <c r="F2379" s="1516"/>
      <c r="G2379" s="1516"/>
      <c r="H2379" s="1516"/>
      <c r="K2379" t="s">
        <v>3811</v>
      </c>
      <c r="V2379">
        <v>386</v>
      </c>
    </row>
    <row r="2380" spans="1:22" customFormat="1" ht="15" x14ac:dyDescent="0.25">
      <c r="A2380" t="s">
        <v>319</v>
      </c>
      <c r="E2380" s="1516" t="s">
        <v>3762</v>
      </c>
      <c r="F2380" s="1516"/>
      <c r="G2380" s="1516"/>
      <c r="H2380" s="1516"/>
      <c r="K2380" t="s">
        <v>3811</v>
      </c>
      <c r="V2380">
        <v>247</v>
      </c>
    </row>
    <row r="2381" spans="1:22" customFormat="1" ht="15" x14ac:dyDescent="0.25">
      <c r="A2381" t="s">
        <v>319</v>
      </c>
      <c r="E2381" s="1515" t="s">
        <v>956</v>
      </c>
      <c r="F2381" s="1516"/>
      <c r="G2381" s="1516"/>
      <c r="H2381" s="1516"/>
      <c r="K2381" t="s">
        <v>1042</v>
      </c>
      <c r="V2381">
        <v>46</v>
      </c>
    </row>
    <row r="2382" spans="1:22" customFormat="1" ht="15" x14ac:dyDescent="0.25">
      <c r="A2382" t="s">
        <v>319</v>
      </c>
      <c r="E2382" s="1507" t="s">
        <v>3874</v>
      </c>
      <c r="F2382" s="1507"/>
      <c r="G2382" s="584" t="s">
        <v>777</v>
      </c>
      <c r="H2382" s="576">
        <v>6.69</v>
      </c>
      <c r="K2382" t="s">
        <v>3811</v>
      </c>
      <c r="L2382" t="s">
        <v>690</v>
      </c>
      <c r="P2382" t="s">
        <v>3813</v>
      </c>
      <c r="V2382">
        <v>31</v>
      </c>
    </row>
    <row r="2383" spans="1:22" customFormat="1" ht="15" x14ac:dyDescent="0.25">
      <c r="A2383" t="s">
        <v>319</v>
      </c>
      <c r="E2383" s="1507" t="s">
        <v>3688</v>
      </c>
      <c r="F2383" s="1507"/>
      <c r="G2383" s="584" t="s">
        <v>3775</v>
      </c>
      <c r="H2383" s="577">
        <v>5.5909000000000004</v>
      </c>
      <c r="K2383" t="s">
        <v>3811</v>
      </c>
      <c r="L2383" t="s">
        <v>690</v>
      </c>
      <c r="P2383" t="s">
        <v>3814</v>
      </c>
      <c r="V2383">
        <v>28</v>
      </c>
    </row>
    <row r="2384" spans="1:22" customFormat="1" ht="15" x14ac:dyDescent="0.25">
      <c r="A2384" t="s">
        <v>319</v>
      </c>
      <c r="E2384" s="1507" t="s">
        <v>910</v>
      </c>
      <c r="F2384" s="1507"/>
      <c r="G2384" s="584" t="s">
        <v>3775</v>
      </c>
      <c r="H2384" s="577">
        <v>0.94230000000000003</v>
      </c>
      <c r="K2384" t="s">
        <v>3811</v>
      </c>
      <c r="L2384" t="s">
        <v>692</v>
      </c>
      <c r="P2384" t="s">
        <v>3815</v>
      </c>
      <c r="V2384">
        <v>24</v>
      </c>
    </row>
    <row r="2385" spans="1:22" customFormat="1" ht="15" x14ac:dyDescent="0.25">
      <c r="A2385" t="s">
        <v>319</v>
      </c>
      <c r="E2385" s="1507" t="s">
        <v>6519</v>
      </c>
      <c r="F2385" s="1510"/>
      <c r="G2385" s="584" t="s">
        <v>845</v>
      </c>
      <c r="H2385" s="577">
        <v>-7.3000000000000001E-3</v>
      </c>
      <c r="K2385" t="s">
        <v>3811</v>
      </c>
      <c r="L2385" t="s">
        <v>692</v>
      </c>
      <c r="P2385" t="s">
        <v>4543</v>
      </c>
      <c r="T2385">
        <v>46022</v>
      </c>
      <c r="V2385">
        <v>142</v>
      </c>
    </row>
    <row r="2386" spans="1:22" customFormat="1" ht="15" x14ac:dyDescent="0.25">
      <c r="A2386" t="s">
        <v>319</v>
      </c>
      <c r="E2386" s="1507" t="s">
        <v>6520</v>
      </c>
      <c r="F2386" s="1510"/>
      <c r="G2386" s="584" t="s">
        <v>3775</v>
      </c>
      <c r="H2386" s="577">
        <v>2.21</v>
      </c>
      <c r="K2386" t="s">
        <v>3811</v>
      </c>
      <c r="L2386" t="s">
        <v>692</v>
      </c>
      <c r="P2386" t="s">
        <v>3817</v>
      </c>
      <c r="T2386">
        <v>46022</v>
      </c>
      <c r="V2386">
        <v>99</v>
      </c>
    </row>
    <row r="2387" spans="1:22" customFormat="1" ht="15" x14ac:dyDescent="0.25">
      <c r="A2387" t="s">
        <v>319</v>
      </c>
      <c r="E2387" s="1507" t="s">
        <v>5989</v>
      </c>
      <c r="F2387" s="1507"/>
      <c r="G2387" s="584" t="s">
        <v>3775</v>
      </c>
      <c r="H2387" s="577">
        <v>0.7379</v>
      </c>
      <c r="K2387" t="s">
        <v>3811</v>
      </c>
      <c r="L2387" t="s">
        <v>692</v>
      </c>
      <c r="P2387" t="s">
        <v>3817</v>
      </c>
      <c r="T2387">
        <v>46022</v>
      </c>
      <c r="V2387">
        <v>92</v>
      </c>
    </row>
    <row r="2388" spans="1:22" customFormat="1" ht="15" x14ac:dyDescent="0.25">
      <c r="A2388" t="s">
        <v>319</v>
      </c>
      <c r="E2388" s="1507" t="s">
        <v>6636</v>
      </c>
      <c r="F2388" s="1507"/>
      <c r="G2388" s="584" t="s">
        <v>3775</v>
      </c>
      <c r="H2388" s="577">
        <v>0.15939999999999999</v>
      </c>
      <c r="K2388" t="s">
        <v>3811</v>
      </c>
      <c r="L2388" t="s">
        <v>692</v>
      </c>
      <c r="P2388" t="s">
        <v>3817</v>
      </c>
      <c r="V2388">
        <v>116</v>
      </c>
    </row>
    <row r="2389" spans="1:22" customFormat="1" ht="15" x14ac:dyDescent="0.25">
      <c r="A2389" t="s">
        <v>319</v>
      </c>
      <c r="E2389" s="1507" t="s">
        <v>243</v>
      </c>
      <c r="F2389" s="1507"/>
      <c r="G2389" s="584" t="s">
        <v>3775</v>
      </c>
      <c r="H2389" s="577">
        <v>3.01</v>
      </c>
      <c r="K2389" t="s">
        <v>3811</v>
      </c>
      <c r="L2389" t="s">
        <v>694</v>
      </c>
      <c r="P2389" t="s">
        <v>3818</v>
      </c>
      <c r="V2389">
        <v>47</v>
      </c>
    </row>
    <row r="2390" spans="1:22" customFormat="1" ht="15" x14ac:dyDescent="0.25">
      <c r="A2390" t="s">
        <v>319</v>
      </c>
      <c r="E2390" s="1507" t="s">
        <v>175</v>
      </c>
      <c r="F2390" s="1507"/>
      <c r="G2390" s="584" t="s">
        <v>3775</v>
      </c>
      <c r="H2390" s="577">
        <v>2.1530999999999998</v>
      </c>
      <c r="K2390" t="s">
        <v>3811</v>
      </c>
      <c r="L2390" t="s">
        <v>694</v>
      </c>
      <c r="P2390" t="s">
        <v>3819</v>
      </c>
      <c r="V2390">
        <v>74</v>
      </c>
    </row>
    <row r="2391" spans="1:22" customFormat="1" ht="15" x14ac:dyDescent="0.25">
      <c r="A2391" t="s">
        <v>319</v>
      </c>
      <c r="E2391" s="1515" t="s">
        <v>967</v>
      </c>
      <c r="F2391" s="1507"/>
      <c r="G2391" s="584"/>
      <c r="H2391" s="584"/>
      <c r="K2391" t="s">
        <v>1049</v>
      </c>
      <c r="V2391">
        <v>48</v>
      </c>
    </row>
    <row r="2392" spans="1:22" customFormat="1" ht="15" x14ac:dyDescent="0.25">
      <c r="A2392" t="s">
        <v>319</v>
      </c>
      <c r="E2392" s="1507" t="s">
        <v>844</v>
      </c>
      <c r="F2392" s="1507"/>
      <c r="G2392" s="584" t="s">
        <v>845</v>
      </c>
      <c r="H2392" s="577">
        <v>4.1000000000000003E-3</v>
      </c>
      <c r="K2392" t="s">
        <v>3811</v>
      </c>
      <c r="L2392" t="s">
        <v>968</v>
      </c>
      <c r="P2392" t="s">
        <v>3820</v>
      </c>
      <c r="V2392">
        <v>55</v>
      </c>
    </row>
    <row r="2393" spans="1:22" customFormat="1" ht="15" x14ac:dyDescent="0.25">
      <c r="A2393" t="s">
        <v>319</v>
      </c>
      <c r="E2393" s="1507" t="s">
        <v>846</v>
      </c>
      <c r="F2393" s="1507"/>
      <c r="G2393" s="584" t="s">
        <v>845</v>
      </c>
      <c r="H2393" s="577">
        <v>4.0000000000000002E-4</v>
      </c>
      <c r="K2393" t="s">
        <v>3811</v>
      </c>
      <c r="L2393" t="s">
        <v>968</v>
      </c>
      <c r="P2393" t="s">
        <v>3820</v>
      </c>
      <c r="V2393">
        <v>65</v>
      </c>
    </row>
    <row r="2394" spans="1:22" customFormat="1" ht="15" x14ac:dyDescent="0.25">
      <c r="A2394" t="s">
        <v>319</v>
      </c>
      <c r="E2394" s="1507" t="s">
        <v>847</v>
      </c>
      <c r="F2394" s="1507"/>
      <c r="G2394" s="584" t="s">
        <v>845</v>
      </c>
      <c r="H2394" s="577">
        <v>1.5E-3</v>
      </c>
      <c r="K2394" t="s">
        <v>3811</v>
      </c>
      <c r="L2394" t="s">
        <v>968</v>
      </c>
      <c r="P2394" t="s">
        <v>3821</v>
      </c>
      <c r="V2394">
        <v>57</v>
      </c>
    </row>
    <row r="2395" spans="1:22" customFormat="1" ht="15" x14ac:dyDescent="0.25">
      <c r="A2395" t="s">
        <v>319</v>
      </c>
      <c r="E2395" s="1507" t="s">
        <v>848</v>
      </c>
      <c r="F2395" s="1507"/>
      <c r="G2395" s="584" t="s">
        <v>777</v>
      </c>
      <c r="H2395" s="576">
        <v>0.25</v>
      </c>
      <c r="K2395" t="s">
        <v>3811</v>
      </c>
      <c r="L2395" t="s">
        <v>968</v>
      </c>
      <c r="P2395" t="s">
        <v>3822</v>
      </c>
      <c r="V2395">
        <v>63</v>
      </c>
    </row>
    <row r="2396" spans="1:22" customFormat="1" x14ac:dyDescent="0.25">
      <c r="A2396" t="s">
        <v>319</v>
      </c>
      <c r="E2396" s="1492" t="s">
        <v>207</v>
      </c>
      <c r="F2396" s="1493"/>
      <c r="G2396" s="1493"/>
      <c r="H2396" s="1493"/>
      <c r="K2396" t="s">
        <v>3823</v>
      </c>
      <c r="V2396">
        <v>31</v>
      </c>
    </row>
    <row r="2397" spans="1:22" customFormat="1" ht="15" x14ac:dyDescent="0.25">
      <c r="A2397" t="s">
        <v>319</v>
      </c>
      <c r="E2397" s="1516" t="s">
        <v>4620</v>
      </c>
      <c r="F2397" s="1516"/>
      <c r="G2397" s="1516"/>
      <c r="H2397" s="1516"/>
      <c r="K2397" t="s">
        <v>3823</v>
      </c>
      <c r="V2397">
        <v>285</v>
      </c>
    </row>
    <row r="2398" spans="1:22" customFormat="1" ht="15" x14ac:dyDescent="0.25">
      <c r="A2398" t="s">
        <v>319</v>
      </c>
      <c r="E2398" s="1515" t="s">
        <v>950</v>
      </c>
      <c r="F2398" s="1516"/>
      <c r="G2398" s="1516"/>
      <c r="H2398" s="1516"/>
      <c r="K2398" t="s">
        <v>1055</v>
      </c>
      <c r="V2398">
        <v>11</v>
      </c>
    </row>
    <row r="2399" spans="1:22" customFormat="1" ht="15" x14ac:dyDescent="0.25">
      <c r="A2399" t="s">
        <v>319</v>
      </c>
      <c r="E2399" s="1516" t="s">
        <v>951</v>
      </c>
      <c r="F2399" s="1516"/>
      <c r="G2399" s="1516"/>
      <c r="H2399" s="1516"/>
      <c r="K2399" t="s">
        <v>3823</v>
      </c>
      <c r="V2399">
        <v>280</v>
      </c>
    </row>
    <row r="2400" spans="1:22" customFormat="1" ht="15" x14ac:dyDescent="0.25">
      <c r="A2400" t="s">
        <v>319</v>
      </c>
      <c r="E2400" s="1516" t="s">
        <v>952</v>
      </c>
      <c r="F2400" s="1516"/>
      <c r="G2400" s="1516"/>
      <c r="H2400" s="1516"/>
      <c r="K2400" t="s">
        <v>3823</v>
      </c>
      <c r="V2400">
        <v>411</v>
      </c>
    </row>
    <row r="2401" spans="1:22" customFormat="1" ht="15" x14ac:dyDescent="0.25">
      <c r="A2401" t="s">
        <v>319</v>
      </c>
      <c r="E2401" s="1516" t="s">
        <v>1103</v>
      </c>
      <c r="F2401" s="1516"/>
      <c r="G2401" s="1516"/>
      <c r="H2401" s="1516"/>
      <c r="K2401" t="s">
        <v>3823</v>
      </c>
      <c r="V2401">
        <v>211</v>
      </c>
    </row>
    <row r="2402" spans="1:22" customFormat="1" ht="15" x14ac:dyDescent="0.25">
      <c r="A2402" t="s">
        <v>319</v>
      </c>
      <c r="E2402" s="1516" t="s">
        <v>3762</v>
      </c>
      <c r="F2402" s="1516"/>
      <c r="G2402" s="1516"/>
      <c r="H2402" s="1516"/>
      <c r="K2402" t="s">
        <v>3823</v>
      </c>
      <c r="V2402">
        <v>247</v>
      </c>
    </row>
    <row r="2403" spans="1:22" customFormat="1" ht="15" x14ac:dyDescent="0.25">
      <c r="A2403" t="s">
        <v>319</v>
      </c>
      <c r="E2403" s="1515" t="s">
        <v>956</v>
      </c>
      <c r="F2403" s="1516"/>
      <c r="G2403" s="1516"/>
      <c r="H2403" s="1516"/>
      <c r="K2403" t="s">
        <v>1056</v>
      </c>
      <c r="V2403">
        <v>46</v>
      </c>
    </row>
    <row r="2404" spans="1:22" customFormat="1" ht="15" x14ac:dyDescent="0.25">
      <c r="A2404" t="s">
        <v>319</v>
      </c>
      <c r="E2404" s="1507" t="s">
        <v>3773</v>
      </c>
      <c r="F2404" s="1507"/>
      <c r="G2404" s="584" t="s">
        <v>777</v>
      </c>
      <c r="H2404" s="576">
        <v>10</v>
      </c>
      <c r="K2404" t="s">
        <v>3823</v>
      </c>
      <c r="L2404" t="s">
        <v>690</v>
      </c>
      <c r="P2404" t="s">
        <v>3824</v>
      </c>
      <c r="V2404">
        <v>14</v>
      </c>
    </row>
    <row r="2405" spans="1:22" customFormat="1" ht="18.75" x14ac:dyDescent="0.3">
      <c r="A2405" t="s">
        <v>319</v>
      </c>
      <c r="E2405" s="836" t="s">
        <v>3825</v>
      </c>
      <c r="F2405" s="381"/>
      <c r="G2405" s="381"/>
      <c r="H2405" s="382"/>
      <c r="K2405" t="s">
        <v>5994</v>
      </c>
      <c r="V2405">
        <v>10</v>
      </c>
    </row>
    <row r="2406" spans="1:22" customFormat="1" ht="15" x14ac:dyDescent="0.25">
      <c r="A2406" t="s">
        <v>319</v>
      </c>
      <c r="E2406" s="1507" t="s">
        <v>1078</v>
      </c>
      <c r="F2406" s="1507"/>
      <c r="G2406" s="584" t="s">
        <v>3775</v>
      </c>
      <c r="H2406" s="577">
        <v>-0.6</v>
      </c>
      <c r="V2406">
        <v>68</v>
      </c>
    </row>
    <row r="2407" spans="1:22" customFormat="1" ht="15" x14ac:dyDescent="0.25">
      <c r="A2407" t="s">
        <v>319</v>
      </c>
      <c r="E2407" s="1507" t="s">
        <v>3827</v>
      </c>
      <c r="F2407" s="1507"/>
      <c r="G2407" s="584" t="s">
        <v>1118</v>
      </c>
      <c r="H2407" s="576">
        <v>-1</v>
      </c>
      <c r="V2407">
        <v>89</v>
      </c>
    </row>
    <row r="2408" spans="1:22" customFormat="1" ht="36" x14ac:dyDescent="0.3">
      <c r="A2408" t="s">
        <v>319</v>
      </c>
      <c r="E2408" s="836" t="s">
        <v>3828</v>
      </c>
      <c r="F2408" s="381"/>
      <c r="G2408" s="381"/>
      <c r="H2408" s="382"/>
      <c r="K2408" t="s">
        <v>5995</v>
      </c>
      <c r="V2408">
        <v>24</v>
      </c>
    </row>
    <row r="2409" spans="1:22" customFormat="1" ht="15" x14ac:dyDescent="0.25">
      <c r="A2409" t="s">
        <v>319</v>
      </c>
      <c r="E2409" s="1516" t="s">
        <v>951</v>
      </c>
      <c r="F2409" s="1516"/>
      <c r="G2409" s="1516"/>
      <c r="H2409" s="1516"/>
      <c r="V2409">
        <v>280</v>
      </c>
    </row>
    <row r="2410" spans="1:22" customFormat="1" ht="15" x14ac:dyDescent="0.25">
      <c r="A2410" t="s">
        <v>319</v>
      </c>
      <c r="E2410" s="1516" t="s">
        <v>1081</v>
      </c>
      <c r="F2410" s="1516"/>
      <c r="G2410" s="1516"/>
      <c r="H2410" s="1516"/>
      <c r="V2410">
        <v>353</v>
      </c>
    </row>
    <row r="2411" spans="1:22" customFormat="1" ht="15" x14ac:dyDescent="0.25">
      <c r="A2411" t="s">
        <v>319</v>
      </c>
      <c r="E2411" s="1516" t="s">
        <v>3762</v>
      </c>
      <c r="F2411" s="1516"/>
      <c r="G2411" s="1516"/>
      <c r="H2411" s="1516"/>
      <c r="V2411">
        <v>247</v>
      </c>
    </row>
    <row r="2412" spans="1:22" customFormat="1" ht="15" x14ac:dyDescent="0.25">
      <c r="A2412" t="s">
        <v>319</v>
      </c>
      <c r="E2412" s="835" t="s">
        <v>3830</v>
      </c>
      <c r="F2412" s="1"/>
      <c r="G2412" s="1"/>
      <c r="H2412" s="649"/>
      <c r="K2412" t="s">
        <v>5996</v>
      </c>
      <c r="V2412">
        <v>23</v>
      </c>
    </row>
    <row r="2413" spans="1:22" customFormat="1" ht="15" x14ac:dyDescent="0.25">
      <c r="A2413" t="s">
        <v>319</v>
      </c>
      <c r="E2413" s="1517" t="s">
        <v>5359</v>
      </c>
      <c r="F2413" s="1517"/>
      <c r="G2413" s="584" t="s">
        <v>777</v>
      </c>
      <c r="H2413" s="576">
        <v>15</v>
      </c>
      <c r="V2413">
        <v>25</v>
      </c>
    </row>
    <row r="2414" spans="1:22" customFormat="1" ht="15" x14ac:dyDescent="0.25">
      <c r="A2414" t="s">
        <v>319</v>
      </c>
      <c r="E2414" s="1517" t="s">
        <v>5360</v>
      </c>
      <c r="F2414" s="1517"/>
      <c r="G2414" s="584" t="s">
        <v>777</v>
      </c>
      <c r="H2414" s="576">
        <v>15</v>
      </c>
      <c r="V2414">
        <v>26</v>
      </c>
    </row>
    <row r="2415" spans="1:22" customFormat="1" ht="15" x14ac:dyDescent="0.25">
      <c r="A2415" t="s">
        <v>319</v>
      </c>
      <c r="E2415" s="1517" t="s">
        <v>5997</v>
      </c>
      <c r="F2415" s="1517"/>
      <c r="G2415" s="584" t="s">
        <v>777</v>
      </c>
      <c r="H2415" s="576">
        <v>15</v>
      </c>
      <c r="V2415">
        <v>32</v>
      </c>
    </row>
    <row r="2416" spans="1:22" customFormat="1" ht="15" x14ac:dyDescent="0.25">
      <c r="A2416" t="s">
        <v>319</v>
      </c>
      <c r="E2416" s="1517" t="s">
        <v>5361</v>
      </c>
      <c r="F2416" s="1517"/>
      <c r="G2416" s="584" t="s">
        <v>777</v>
      </c>
      <c r="H2416" s="576">
        <v>15</v>
      </c>
      <c r="V2416">
        <v>45</v>
      </c>
    </row>
    <row r="2417" spans="1:22" customFormat="1" ht="15" x14ac:dyDescent="0.25">
      <c r="A2417" t="s">
        <v>319</v>
      </c>
      <c r="E2417" s="1517" t="s">
        <v>5362</v>
      </c>
      <c r="F2417" s="1517"/>
      <c r="G2417" s="584" t="s">
        <v>777</v>
      </c>
      <c r="H2417" s="576">
        <v>15</v>
      </c>
      <c r="V2417">
        <v>43</v>
      </c>
    </row>
    <row r="2418" spans="1:22" customFormat="1" ht="15" x14ac:dyDescent="0.25">
      <c r="A2418" t="s">
        <v>319</v>
      </c>
      <c r="E2418" s="1517" t="s">
        <v>5363</v>
      </c>
      <c r="F2418" s="1517"/>
      <c r="G2418" s="584" t="s">
        <v>777</v>
      </c>
      <c r="H2418" s="576">
        <v>15</v>
      </c>
      <c r="V2418">
        <v>21</v>
      </c>
    </row>
    <row r="2419" spans="1:22" customFormat="1" ht="15" x14ac:dyDescent="0.25">
      <c r="A2419" t="s">
        <v>319</v>
      </c>
      <c r="E2419" s="1517" t="s">
        <v>5364</v>
      </c>
      <c r="F2419" s="1517"/>
      <c r="G2419" s="584" t="s">
        <v>777</v>
      </c>
      <c r="H2419" s="576">
        <v>15</v>
      </c>
      <c r="V2419">
        <v>23</v>
      </c>
    </row>
    <row r="2420" spans="1:22" customFormat="1" ht="15" x14ac:dyDescent="0.25">
      <c r="A2420" t="s">
        <v>319</v>
      </c>
      <c r="E2420" s="1517" t="s">
        <v>1083</v>
      </c>
      <c r="F2420" s="1517"/>
      <c r="G2420" s="584" t="s">
        <v>777</v>
      </c>
      <c r="H2420" s="576">
        <v>15</v>
      </c>
      <c r="V2420">
        <v>25</v>
      </c>
    </row>
    <row r="2421" spans="1:22" customFormat="1" ht="15" x14ac:dyDescent="0.25">
      <c r="A2421" t="s">
        <v>319</v>
      </c>
      <c r="E2421" s="1517" t="s">
        <v>1084</v>
      </c>
      <c r="F2421" s="1517"/>
      <c r="G2421" s="584" t="s">
        <v>777</v>
      </c>
      <c r="H2421" s="576">
        <v>15</v>
      </c>
      <c r="V2421">
        <v>21</v>
      </c>
    </row>
    <row r="2422" spans="1:22" customFormat="1" ht="15" x14ac:dyDescent="0.25">
      <c r="A2422" t="s">
        <v>319</v>
      </c>
      <c r="E2422" s="1517" t="s">
        <v>5365</v>
      </c>
      <c r="F2422" s="1517"/>
      <c r="G2422" s="584" t="s">
        <v>777</v>
      </c>
      <c r="H2422" s="576">
        <v>15</v>
      </c>
      <c r="V2422">
        <v>62</v>
      </c>
    </row>
    <row r="2423" spans="1:22" customFormat="1" ht="15" x14ac:dyDescent="0.25">
      <c r="A2423" t="s">
        <v>319</v>
      </c>
      <c r="E2423" s="1517" t="s">
        <v>1085</v>
      </c>
      <c r="F2423" s="1517"/>
      <c r="G2423" s="584" t="s">
        <v>777</v>
      </c>
      <c r="H2423" s="576">
        <v>15</v>
      </c>
      <c r="V2423">
        <v>41</v>
      </c>
    </row>
    <row r="2424" spans="1:22" customFormat="1" ht="15" x14ac:dyDescent="0.25">
      <c r="A2424" t="s">
        <v>319</v>
      </c>
      <c r="E2424" s="1517" t="s">
        <v>5998</v>
      </c>
      <c r="F2424" s="1517"/>
      <c r="G2424" s="584" t="s">
        <v>777</v>
      </c>
      <c r="H2424" s="576">
        <v>15</v>
      </c>
      <c r="V2424">
        <v>30</v>
      </c>
    </row>
    <row r="2425" spans="1:22" customFormat="1" ht="15" x14ac:dyDescent="0.25">
      <c r="A2425" t="s">
        <v>319</v>
      </c>
      <c r="E2425" s="1517" t="s">
        <v>1086</v>
      </c>
      <c r="F2425" s="1517"/>
      <c r="G2425" s="584" t="s">
        <v>777</v>
      </c>
      <c r="H2425" s="576">
        <v>15</v>
      </c>
      <c r="V2425">
        <v>25</v>
      </c>
    </row>
    <row r="2426" spans="1:22" customFormat="1" ht="15" x14ac:dyDescent="0.25">
      <c r="A2426" t="s">
        <v>319</v>
      </c>
      <c r="E2426" s="1517" t="s">
        <v>1087</v>
      </c>
      <c r="F2426" s="1517"/>
      <c r="G2426" s="584" t="s">
        <v>777</v>
      </c>
      <c r="H2426" s="576">
        <v>30</v>
      </c>
      <c r="V2426">
        <v>95</v>
      </c>
    </row>
    <row r="2427" spans="1:22" customFormat="1" ht="15" x14ac:dyDescent="0.25">
      <c r="A2427" t="s">
        <v>319</v>
      </c>
      <c r="E2427" s="1517" t="s">
        <v>1089</v>
      </c>
      <c r="F2427" s="1517"/>
      <c r="G2427" s="584" t="s">
        <v>777</v>
      </c>
      <c r="H2427" s="576">
        <v>30</v>
      </c>
      <c r="V2427">
        <v>80</v>
      </c>
    </row>
    <row r="2428" spans="1:22" customFormat="1" ht="15" x14ac:dyDescent="0.25">
      <c r="A2428" t="s">
        <v>319</v>
      </c>
      <c r="E2428" s="1517" t="s">
        <v>1088</v>
      </c>
      <c r="F2428" s="1517"/>
      <c r="G2428" s="584" t="s">
        <v>777</v>
      </c>
      <c r="H2428" s="576">
        <v>30</v>
      </c>
      <c r="V2428">
        <v>25</v>
      </c>
    </row>
    <row r="2429" spans="1:22" customFormat="1" ht="15" x14ac:dyDescent="0.25">
      <c r="A2429" t="s">
        <v>319</v>
      </c>
      <c r="E2429" s="835" t="s">
        <v>4062</v>
      </c>
      <c r="F2429" s="1"/>
      <c r="G2429" s="1"/>
      <c r="H2429" s="649"/>
      <c r="K2429" t="s">
        <v>5999</v>
      </c>
      <c r="V2429">
        <v>22</v>
      </c>
    </row>
    <row r="2430" spans="1:22" customFormat="1" ht="15" x14ac:dyDescent="0.25">
      <c r="A2430" t="s">
        <v>319</v>
      </c>
      <c r="E2430" s="1517" t="s">
        <v>4837</v>
      </c>
      <c r="F2430" s="1517"/>
      <c r="G2430" s="584" t="s">
        <v>1118</v>
      </c>
      <c r="H2430" s="576">
        <v>1.5</v>
      </c>
      <c r="V2430">
        <v>109</v>
      </c>
    </row>
    <row r="2431" spans="1:22" customFormat="1" ht="15" x14ac:dyDescent="0.25">
      <c r="A2431" t="s">
        <v>319</v>
      </c>
      <c r="E2431" s="1517" t="s">
        <v>4838</v>
      </c>
      <c r="F2431" s="1517"/>
      <c r="G2431" s="584" t="s">
        <v>777</v>
      </c>
      <c r="H2431" s="576">
        <v>65</v>
      </c>
      <c r="V2431">
        <v>58</v>
      </c>
    </row>
    <row r="2432" spans="1:22" customFormat="1" ht="15" x14ac:dyDescent="0.25">
      <c r="A2432" t="s">
        <v>319</v>
      </c>
      <c r="E2432" s="1517" t="s">
        <v>6000</v>
      </c>
      <c r="F2432" s="1517"/>
      <c r="G2432" s="584" t="s">
        <v>777</v>
      </c>
      <c r="H2432" s="576">
        <v>185</v>
      </c>
      <c r="V2432">
        <v>58</v>
      </c>
    </row>
    <row r="2433" spans="1:22" customFormat="1" ht="15" x14ac:dyDescent="0.25">
      <c r="A2433" t="s">
        <v>319</v>
      </c>
      <c r="E2433" s="1517" t="s">
        <v>4840</v>
      </c>
      <c r="F2433" s="1517"/>
      <c r="G2433" s="584" t="s">
        <v>777</v>
      </c>
      <c r="H2433" s="576">
        <v>185</v>
      </c>
      <c r="V2433">
        <v>57</v>
      </c>
    </row>
    <row r="2434" spans="1:22" customFormat="1" ht="15" x14ac:dyDescent="0.25">
      <c r="A2434" t="s">
        <v>319</v>
      </c>
      <c r="E2434" s="1517" t="s">
        <v>4841</v>
      </c>
      <c r="F2434" s="1517"/>
      <c r="G2434" s="584" t="s">
        <v>777</v>
      </c>
      <c r="H2434" s="576">
        <v>415</v>
      </c>
      <c r="V2434">
        <v>56</v>
      </c>
    </row>
    <row r="2435" spans="1:22" customFormat="1" ht="15" x14ac:dyDescent="0.25">
      <c r="A2435" t="s">
        <v>319</v>
      </c>
      <c r="E2435" s="835" t="s">
        <v>3846</v>
      </c>
      <c r="F2435" s="1"/>
      <c r="G2435" s="1"/>
      <c r="H2435" s="649"/>
      <c r="V2435">
        <v>5</v>
      </c>
    </row>
    <row r="2436" spans="1:22" customFormat="1" ht="15" x14ac:dyDescent="0.25">
      <c r="A2436" t="s">
        <v>319</v>
      </c>
      <c r="E2436" s="1517" t="s">
        <v>4842</v>
      </c>
      <c r="F2436" s="1517"/>
      <c r="G2436" s="584" t="s">
        <v>777</v>
      </c>
      <c r="H2436" s="576">
        <v>30</v>
      </c>
      <c r="V2436">
        <v>44</v>
      </c>
    </row>
    <row r="2437" spans="1:22" customFormat="1" ht="15" x14ac:dyDescent="0.25">
      <c r="A2437" t="s">
        <v>319</v>
      </c>
      <c r="E2437" s="1517" t="s">
        <v>4307</v>
      </c>
      <c r="F2437" s="1517"/>
      <c r="G2437" s="584" t="s">
        <v>777</v>
      </c>
      <c r="H2437" s="576">
        <v>165</v>
      </c>
      <c r="V2437">
        <v>39</v>
      </c>
    </row>
    <row r="2438" spans="1:22" customFormat="1" ht="15" x14ac:dyDescent="0.25">
      <c r="A2438" t="s">
        <v>319</v>
      </c>
      <c r="E2438" s="1517" t="s">
        <v>6001</v>
      </c>
      <c r="F2438" s="1517"/>
      <c r="G2438" s="584" t="s">
        <v>777</v>
      </c>
      <c r="H2438" s="576">
        <v>500</v>
      </c>
      <c r="V2438">
        <v>69</v>
      </c>
    </row>
    <row r="2439" spans="1:22" customFormat="1" ht="15" x14ac:dyDescent="0.25">
      <c r="A2439" t="s">
        <v>319</v>
      </c>
      <c r="E2439" s="1517" t="s">
        <v>6002</v>
      </c>
      <c r="F2439" s="1517"/>
      <c r="G2439" s="584" t="s">
        <v>777</v>
      </c>
      <c r="H2439" s="576">
        <v>300</v>
      </c>
      <c r="V2439">
        <v>72</v>
      </c>
    </row>
    <row r="2440" spans="1:22" customFormat="1" ht="15" x14ac:dyDescent="0.25">
      <c r="A2440" t="s">
        <v>319</v>
      </c>
      <c r="E2440" s="1517" t="s">
        <v>6003</v>
      </c>
      <c r="F2440" s="1517"/>
      <c r="G2440" s="584" t="s">
        <v>777</v>
      </c>
      <c r="H2440" s="576">
        <v>1000</v>
      </c>
      <c r="V2440">
        <v>71</v>
      </c>
    </row>
    <row r="2441" spans="1:22" customFormat="1" ht="15" x14ac:dyDescent="0.25">
      <c r="A2441" t="s">
        <v>319</v>
      </c>
      <c r="E2441" s="1517" t="s">
        <v>6004</v>
      </c>
      <c r="F2441" s="1517"/>
      <c r="G2441" s="584" t="s">
        <v>777</v>
      </c>
      <c r="H2441" s="576">
        <v>39.14</v>
      </c>
      <c r="V2441">
        <v>114</v>
      </c>
    </row>
    <row r="2442" spans="1:22" customFormat="1" ht="36" x14ac:dyDescent="0.3">
      <c r="A2442" t="s">
        <v>319</v>
      </c>
      <c r="E2442" s="836" t="s">
        <v>3851</v>
      </c>
      <c r="F2442" s="381"/>
      <c r="G2442" s="381"/>
      <c r="H2442" s="382"/>
      <c r="K2442" t="s">
        <v>6005</v>
      </c>
      <c r="V2442">
        <v>38</v>
      </c>
    </row>
    <row r="2443" spans="1:22" customFormat="1" ht="15" x14ac:dyDescent="0.25">
      <c r="A2443" t="s">
        <v>319</v>
      </c>
      <c r="E2443" s="1516" t="s">
        <v>951</v>
      </c>
      <c r="F2443" s="1516"/>
      <c r="G2443" s="1516"/>
      <c r="H2443" s="1516"/>
      <c r="V2443">
        <v>280</v>
      </c>
    </row>
    <row r="2444" spans="1:22" customFormat="1" ht="15" x14ac:dyDescent="0.25">
      <c r="A2444" t="s">
        <v>319</v>
      </c>
      <c r="E2444" s="1516" t="s">
        <v>952</v>
      </c>
      <c r="F2444" s="1516"/>
      <c r="G2444" s="1516"/>
      <c r="H2444" s="1516"/>
      <c r="V2444">
        <v>411</v>
      </c>
    </row>
    <row r="2445" spans="1:22" customFormat="1" ht="15" x14ac:dyDescent="0.25">
      <c r="A2445" t="s">
        <v>319</v>
      </c>
      <c r="E2445" s="1516" t="s">
        <v>1103</v>
      </c>
      <c r="F2445" s="1516"/>
      <c r="G2445" s="1516"/>
      <c r="H2445" s="1516"/>
      <c r="V2445">
        <v>211</v>
      </c>
    </row>
    <row r="2446" spans="1:22" customFormat="1" ht="15" x14ac:dyDescent="0.25">
      <c r="A2446" t="s">
        <v>319</v>
      </c>
      <c r="E2446" s="1516" t="s">
        <v>6006</v>
      </c>
      <c r="F2446" s="1516"/>
      <c r="G2446" s="1516"/>
      <c r="H2446" s="1516"/>
      <c r="V2446">
        <v>248</v>
      </c>
    </row>
    <row r="2447" spans="1:22" customFormat="1" ht="15" x14ac:dyDescent="0.25">
      <c r="A2447" t="s">
        <v>319</v>
      </c>
      <c r="E2447" s="1516" t="s">
        <v>1104</v>
      </c>
      <c r="F2447" s="1516"/>
      <c r="G2447" s="1516"/>
      <c r="H2447" s="1516"/>
      <c r="V2447">
        <v>142</v>
      </c>
    </row>
    <row r="2448" spans="1:22" customFormat="1" ht="15" x14ac:dyDescent="0.25">
      <c r="A2448" t="s">
        <v>319</v>
      </c>
      <c r="E2448" s="1507" t="s">
        <v>849</v>
      </c>
      <c r="F2448" s="1507"/>
      <c r="G2448" s="268" t="s">
        <v>777</v>
      </c>
      <c r="H2448" s="576">
        <v>121.23</v>
      </c>
      <c r="V2448">
        <v>106</v>
      </c>
    </row>
    <row r="2449" spans="1:22" customFormat="1" ht="15" x14ac:dyDescent="0.25">
      <c r="A2449" t="s">
        <v>319</v>
      </c>
      <c r="E2449" s="1507" t="s">
        <v>850</v>
      </c>
      <c r="F2449" s="1507"/>
      <c r="G2449" s="268" t="s">
        <v>777</v>
      </c>
      <c r="H2449" s="576">
        <v>48.5</v>
      </c>
      <c r="V2449">
        <v>34</v>
      </c>
    </row>
    <row r="2450" spans="1:22" customFormat="1" ht="15" x14ac:dyDescent="0.25">
      <c r="A2450" t="s">
        <v>319</v>
      </c>
      <c r="E2450" s="1507" t="s">
        <v>851</v>
      </c>
      <c r="F2450" s="1507"/>
      <c r="G2450" s="268" t="s">
        <v>852</v>
      </c>
      <c r="H2450" s="576">
        <v>1.2</v>
      </c>
      <c r="V2450">
        <v>51</v>
      </c>
    </row>
    <row r="2451" spans="1:22" customFormat="1" ht="15" x14ac:dyDescent="0.25">
      <c r="A2451" t="s">
        <v>319</v>
      </c>
      <c r="E2451" s="1507" t="s">
        <v>853</v>
      </c>
      <c r="F2451" s="1507"/>
      <c r="G2451" s="268" t="s">
        <v>852</v>
      </c>
      <c r="H2451" s="576">
        <v>0.71</v>
      </c>
      <c r="V2451">
        <v>75</v>
      </c>
    </row>
    <row r="2452" spans="1:22" customFormat="1" ht="15" x14ac:dyDescent="0.25">
      <c r="A2452" t="s">
        <v>319</v>
      </c>
      <c r="E2452" s="1507" t="s">
        <v>854</v>
      </c>
      <c r="F2452" s="1507"/>
      <c r="G2452" s="268" t="s">
        <v>852</v>
      </c>
      <c r="H2452" s="576">
        <v>-0.71</v>
      </c>
      <c r="V2452">
        <v>72</v>
      </c>
    </row>
    <row r="2453" spans="1:22" customFormat="1" ht="15" x14ac:dyDescent="0.25">
      <c r="A2453" t="s">
        <v>319</v>
      </c>
      <c r="E2453" s="1507" t="s">
        <v>855</v>
      </c>
      <c r="F2453" s="1507"/>
      <c r="G2453" s="268"/>
      <c r="H2453" s="650"/>
      <c r="V2453">
        <v>34</v>
      </c>
    </row>
    <row r="2454" spans="1:22" customFormat="1" ht="15" x14ac:dyDescent="0.25">
      <c r="A2454" t="s">
        <v>319</v>
      </c>
      <c r="E2454" s="1511" t="s">
        <v>1106</v>
      </c>
      <c r="F2454" s="1511"/>
      <c r="G2454" s="268" t="s">
        <v>777</v>
      </c>
      <c r="H2454" s="576">
        <v>0.61</v>
      </c>
      <c r="V2454">
        <v>57</v>
      </c>
    </row>
    <row r="2455" spans="1:22" customFormat="1" ht="15" x14ac:dyDescent="0.25">
      <c r="A2455" t="s">
        <v>319</v>
      </c>
      <c r="E2455" s="1511" t="s">
        <v>1107</v>
      </c>
      <c r="F2455" s="1511"/>
      <c r="G2455" s="268" t="s">
        <v>777</v>
      </c>
      <c r="H2455" s="576">
        <v>1.2</v>
      </c>
      <c r="V2455">
        <v>60</v>
      </c>
    </row>
    <row r="2456" spans="1:22" customFormat="1" ht="15" x14ac:dyDescent="0.25">
      <c r="A2456" t="s">
        <v>319</v>
      </c>
      <c r="E2456" s="1507" t="s">
        <v>1108</v>
      </c>
      <c r="F2456" s="1507"/>
      <c r="G2456" s="268"/>
      <c r="H2456" s="650"/>
      <c r="V2456">
        <v>91</v>
      </c>
    </row>
    <row r="2457" spans="1:22" customFormat="1" ht="15" x14ac:dyDescent="0.25">
      <c r="A2457" t="s">
        <v>319</v>
      </c>
      <c r="E2457" s="1507" t="s">
        <v>1109</v>
      </c>
      <c r="F2457" s="1507"/>
      <c r="G2457" s="268"/>
      <c r="H2457" s="650"/>
      <c r="V2457">
        <v>96</v>
      </c>
    </row>
    <row r="2458" spans="1:22" customFormat="1" ht="15" x14ac:dyDescent="0.25">
      <c r="A2458" t="s">
        <v>319</v>
      </c>
      <c r="E2458" s="1507" t="s">
        <v>856</v>
      </c>
      <c r="F2458" s="1507"/>
      <c r="G2458" s="268"/>
      <c r="H2458" s="650"/>
      <c r="V2458">
        <v>77</v>
      </c>
    </row>
    <row r="2459" spans="1:22" customFormat="1" ht="15" x14ac:dyDescent="0.25">
      <c r="A2459" t="s">
        <v>319</v>
      </c>
      <c r="E2459" s="1511" t="s">
        <v>1111</v>
      </c>
      <c r="F2459" s="1511"/>
      <c r="G2459" s="268" t="s">
        <v>777</v>
      </c>
      <c r="H2459" s="650" t="s">
        <v>857</v>
      </c>
      <c r="V2459">
        <v>18</v>
      </c>
    </row>
    <row r="2460" spans="1:22" customFormat="1" ht="15" x14ac:dyDescent="0.25">
      <c r="A2460" t="s">
        <v>319</v>
      </c>
      <c r="E2460" s="1511" t="s">
        <v>1112</v>
      </c>
      <c r="F2460" s="1511"/>
      <c r="G2460" s="268" t="s">
        <v>777</v>
      </c>
      <c r="H2460" s="576">
        <v>4.8499999999999996</v>
      </c>
      <c r="V2460">
        <v>69</v>
      </c>
    </row>
    <row r="2461" spans="1:22" customFormat="1" ht="15" x14ac:dyDescent="0.25">
      <c r="A2461" t="s">
        <v>319</v>
      </c>
      <c r="E2461" s="1725" t="s">
        <v>5807</v>
      </c>
      <c r="F2461" s="1725"/>
      <c r="G2461" s="268" t="s">
        <v>777</v>
      </c>
      <c r="H2461" s="576">
        <v>2.42</v>
      </c>
      <c r="V2461">
        <v>206</v>
      </c>
    </row>
    <row r="2462" spans="1:22" customFormat="1" ht="18.75" x14ac:dyDescent="0.25">
      <c r="A2462" t="s">
        <v>319</v>
      </c>
      <c r="E2462" s="836" t="s">
        <v>3853</v>
      </c>
      <c r="F2462" s="476"/>
      <c r="G2462" s="476"/>
      <c r="H2462" s="475"/>
      <c r="K2462" t="s">
        <v>6007</v>
      </c>
      <c r="V2462">
        <v>12</v>
      </c>
    </row>
    <row r="2463" spans="1:22" customFormat="1" ht="15" x14ac:dyDescent="0.25">
      <c r="A2463" t="s">
        <v>319</v>
      </c>
      <c r="E2463" s="1507" t="s">
        <v>1114</v>
      </c>
      <c r="F2463" s="1507"/>
      <c r="G2463" s="1507"/>
      <c r="H2463" s="1507"/>
      <c r="V2463">
        <v>203</v>
      </c>
    </row>
    <row r="2464" spans="1:22" customFormat="1" ht="15" x14ac:dyDescent="0.25">
      <c r="A2464" t="s">
        <v>319</v>
      </c>
      <c r="E2464" s="1507" t="s">
        <v>1115</v>
      </c>
      <c r="F2464" s="1507"/>
      <c r="G2464" s="584"/>
      <c r="H2464" s="650">
        <v>1.0693999999999999</v>
      </c>
      <c r="V2464">
        <v>57</v>
      </c>
    </row>
    <row r="2465" spans="1:22" customFormat="1" ht="15" x14ac:dyDescent="0.25">
      <c r="A2465" t="s">
        <v>319</v>
      </c>
      <c r="E2465" s="1507" t="s">
        <v>1117</v>
      </c>
      <c r="F2465" s="1507"/>
      <c r="G2465" s="584"/>
      <c r="H2465" s="650">
        <v>1.0588</v>
      </c>
      <c r="J2465" t="s">
        <v>6008</v>
      </c>
      <c r="V2465">
        <v>55</v>
      </c>
    </row>
    <row r="2466" spans="1:22" customFormat="1" ht="23.25" x14ac:dyDescent="0.25">
      <c r="A2466" t="s">
        <v>214</v>
      </c>
      <c r="B2466" t="s">
        <v>4707</v>
      </c>
      <c r="C2466" t="s">
        <v>3755</v>
      </c>
      <c r="E2466" s="1550" t="s">
        <v>214</v>
      </c>
      <c r="F2466" s="1550"/>
      <c r="G2466" s="1550"/>
      <c r="H2466" s="1550"/>
      <c r="I2466" t="s">
        <v>94</v>
      </c>
      <c r="J2466" t="s">
        <v>4708</v>
      </c>
      <c r="K2466" t="s">
        <v>214</v>
      </c>
      <c r="M2466">
        <v>10</v>
      </c>
      <c r="V2466">
        <v>20</v>
      </c>
    </row>
    <row r="2467" spans="1:22" customFormat="1" x14ac:dyDescent="0.25">
      <c r="A2467" t="s">
        <v>214</v>
      </c>
      <c r="B2467" t="s">
        <v>4707</v>
      </c>
      <c r="C2467" t="s">
        <v>3757</v>
      </c>
      <c r="E2467" s="1726" t="s">
        <v>219</v>
      </c>
      <c r="F2467" s="1726"/>
      <c r="G2467" s="1726"/>
      <c r="H2467" s="1726"/>
      <c r="V2467">
        <v>18</v>
      </c>
    </row>
    <row r="2468" spans="1:22" customFormat="1" x14ac:dyDescent="0.25">
      <c r="A2468" t="s">
        <v>214</v>
      </c>
      <c r="B2468" t="s">
        <v>4707</v>
      </c>
      <c r="C2468" t="s">
        <v>3758</v>
      </c>
      <c r="E2468" s="1551" t="s">
        <v>944</v>
      </c>
      <c r="F2468" s="1551"/>
      <c r="G2468" s="1551"/>
      <c r="H2468" s="1551"/>
      <c r="V2468">
        <v>27</v>
      </c>
    </row>
    <row r="2469" spans="1:22" customFormat="1" ht="15.75" x14ac:dyDescent="0.25">
      <c r="A2469" t="s">
        <v>214</v>
      </c>
      <c r="B2469" t="s">
        <v>4707</v>
      </c>
      <c r="C2469" t="s">
        <v>3759</v>
      </c>
      <c r="E2469" s="1543" t="s">
        <v>6511</v>
      </c>
      <c r="F2469" s="1543"/>
      <c r="G2469" s="1543"/>
      <c r="H2469" s="1543"/>
      <c r="S2469">
        <v>45658</v>
      </c>
      <c r="V2469">
        <v>49</v>
      </c>
    </row>
    <row r="2470" spans="1:22" customFormat="1" ht="15" x14ac:dyDescent="0.25">
      <c r="A2470" t="s">
        <v>214</v>
      </c>
      <c r="B2470" t="s">
        <v>4707</v>
      </c>
      <c r="E2470" s="1544" t="s">
        <v>945</v>
      </c>
      <c r="F2470" s="1544"/>
      <c r="G2470" s="1544"/>
      <c r="H2470" s="1544"/>
      <c r="V2470">
        <v>52</v>
      </c>
    </row>
    <row r="2471" spans="1:22" customFormat="1" ht="15" x14ac:dyDescent="0.25">
      <c r="A2471" t="s">
        <v>214</v>
      </c>
      <c r="B2471" t="s">
        <v>4707</v>
      </c>
      <c r="E2471" s="1544" t="s">
        <v>946</v>
      </c>
      <c r="F2471" s="1544"/>
      <c r="G2471" s="1544"/>
      <c r="H2471" s="1544"/>
      <c r="V2471">
        <v>53</v>
      </c>
    </row>
    <row r="2472" spans="1:22" customFormat="1" ht="15" x14ac:dyDescent="0.25">
      <c r="A2472" t="s">
        <v>214</v>
      </c>
      <c r="B2472" t="s">
        <v>4707</v>
      </c>
      <c r="E2472" s="1513" t="s">
        <v>6637</v>
      </c>
      <c r="F2472" s="1513"/>
      <c r="G2472" s="1513"/>
      <c r="H2472" s="1513"/>
      <c r="K2472" t="s">
        <v>6637</v>
      </c>
      <c r="V2472">
        <v>12</v>
      </c>
    </row>
    <row r="2473" spans="1:22" customFormat="1" ht="15" x14ac:dyDescent="0.25">
      <c r="A2473" t="s">
        <v>214</v>
      </c>
      <c r="B2473" t="s">
        <v>4707</v>
      </c>
      <c r="E2473" s="1492" t="s">
        <v>170</v>
      </c>
      <c r="F2473" s="1516"/>
      <c r="G2473" s="1516"/>
      <c r="H2473" s="1516"/>
      <c r="K2473" t="s">
        <v>947</v>
      </c>
      <c r="V2473">
        <v>34</v>
      </c>
    </row>
    <row r="2474" spans="1:22" customFormat="1" ht="15" x14ac:dyDescent="0.25">
      <c r="A2474" t="s">
        <v>214</v>
      </c>
      <c r="B2474" t="s">
        <v>4707</v>
      </c>
      <c r="E2474" s="1516" t="s">
        <v>4709</v>
      </c>
      <c r="F2474" s="1516"/>
      <c r="G2474" s="1516"/>
      <c r="H2474" s="1516"/>
      <c r="K2474" t="s">
        <v>947</v>
      </c>
      <c r="V2474">
        <v>1430</v>
      </c>
    </row>
    <row r="2475" spans="1:22" customFormat="1" ht="15" x14ac:dyDescent="0.25">
      <c r="A2475" t="s">
        <v>214</v>
      </c>
      <c r="B2475" t="s">
        <v>4707</v>
      </c>
      <c r="E2475" s="1515" t="s">
        <v>950</v>
      </c>
      <c r="F2475" s="1516"/>
      <c r="G2475" s="1516"/>
      <c r="H2475" s="1516"/>
      <c r="K2475" t="s">
        <v>949</v>
      </c>
      <c r="V2475">
        <v>11</v>
      </c>
    </row>
    <row r="2476" spans="1:22" customFormat="1" ht="15" x14ac:dyDescent="0.25">
      <c r="A2476" t="s">
        <v>214</v>
      </c>
      <c r="B2476" t="s">
        <v>4707</v>
      </c>
      <c r="E2476" s="1516" t="s">
        <v>951</v>
      </c>
      <c r="F2476" s="1516"/>
      <c r="G2476" s="1516"/>
      <c r="H2476" s="1516"/>
      <c r="K2476" t="s">
        <v>947</v>
      </c>
      <c r="V2476">
        <v>280</v>
      </c>
    </row>
    <row r="2477" spans="1:22" customFormat="1" ht="15" x14ac:dyDescent="0.25">
      <c r="A2477" t="s">
        <v>214</v>
      </c>
      <c r="B2477" t="s">
        <v>4707</v>
      </c>
      <c r="E2477" s="1516" t="s">
        <v>952</v>
      </c>
      <c r="F2477" s="1516"/>
      <c r="G2477" s="1516"/>
      <c r="H2477" s="1516"/>
      <c r="K2477" t="s">
        <v>947</v>
      </c>
      <c r="V2477">
        <v>411</v>
      </c>
    </row>
    <row r="2478" spans="1:22" customFormat="1" ht="15" x14ac:dyDescent="0.25">
      <c r="A2478" t="s">
        <v>214</v>
      </c>
      <c r="B2478" t="s">
        <v>4707</v>
      </c>
      <c r="E2478" s="1516" t="s">
        <v>3761</v>
      </c>
      <c r="F2478" s="1516"/>
      <c r="G2478" s="1516"/>
      <c r="H2478" s="1516"/>
      <c r="K2478" t="s">
        <v>947</v>
      </c>
      <c r="V2478">
        <v>387</v>
      </c>
    </row>
    <row r="2479" spans="1:22" customFormat="1" ht="15" x14ac:dyDescent="0.25">
      <c r="A2479" t="s">
        <v>214</v>
      </c>
      <c r="B2479" t="s">
        <v>4707</v>
      </c>
      <c r="E2479" s="1516" t="s">
        <v>3762</v>
      </c>
      <c r="F2479" s="1516"/>
      <c r="G2479" s="1516"/>
      <c r="H2479" s="1516"/>
      <c r="K2479" t="s">
        <v>947</v>
      </c>
      <c r="V2479">
        <v>247</v>
      </c>
    </row>
    <row r="2480" spans="1:22" customFormat="1" ht="15" x14ac:dyDescent="0.25">
      <c r="A2480" t="s">
        <v>214</v>
      </c>
      <c r="B2480" t="s">
        <v>4707</v>
      </c>
      <c r="E2480" s="1515" t="s">
        <v>956</v>
      </c>
      <c r="F2480" s="1516"/>
      <c r="G2480" s="1516"/>
      <c r="H2480" s="1516"/>
      <c r="K2480" t="s">
        <v>955</v>
      </c>
      <c r="V2480">
        <v>46</v>
      </c>
    </row>
    <row r="2481" spans="1:22" customFormat="1" ht="15" x14ac:dyDescent="0.25">
      <c r="A2481" t="s">
        <v>214</v>
      </c>
      <c r="B2481" t="s">
        <v>4707</v>
      </c>
      <c r="E2481" s="1507" t="s">
        <v>3773</v>
      </c>
      <c r="F2481" s="1507"/>
      <c r="G2481" s="584" t="s">
        <v>777</v>
      </c>
      <c r="H2481" s="576">
        <v>31.71</v>
      </c>
      <c r="K2481" t="s">
        <v>947</v>
      </c>
      <c r="L2481" t="s">
        <v>690</v>
      </c>
      <c r="P2481" t="s">
        <v>957</v>
      </c>
      <c r="V2481">
        <v>14</v>
      </c>
    </row>
    <row r="2482" spans="1:22" customFormat="1" ht="15" x14ac:dyDescent="0.25">
      <c r="A2482" t="s">
        <v>214</v>
      </c>
      <c r="B2482" t="s">
        <v>4707</v>
      </c>
      <c r="E2482" s="1507" t="s">
        <v>6638</v>
      </c>
      <c r="F2482" s="1507"/>
      <c r="G2482" s="584" t="s">
        <v>777</v>
      </c>
      <c r="H2482" s="576">
        <v>0.54</v>
      </c>
      <c r="K2482" t="s">
        <v>947</v>
      </c>
      <c r="L2482" t="s">
        <v>690</v>
      </c>
      <c r="P2482" t="s">
        <v>6639</v>
      </c>
      <c r="V2482">
        <v>164</v>
      </c>
    </row>
    <row r="2483" spans="1:22" customFormat="1" ht="15" x14ac:dyDescent="0.25">
      <c r="A2483" t="s">
        <v>214</v>
      </c>
      <c r="B2483" t="s">
        <v>4707</v>
      </c>
      <c r="E2483" s="1507" t="s">
        <v>6640</v>
      </c>
      <c r="F2483" s="1507"/>
      <c r="G2483" s="584" t="s">
        <v>777</v>
      </c>
      <c r="H2483" s="576">
        <v>0.12</v>
      </c>
      <c r="K2483" t="s">
        <v>947</v>
      </c>
      <c r="L2483" t="s">
        <v>690</v>
      </c>
      <c r="P2483" t="s">
        <v>6641</v>
      </c>
      <c r="V2483">
        <v>140</v>
      </c>
    </row>
    <row r="2484" spans="1:22" customFormat="1" ht="15" x14ac:dyDescent="0.25">
      <c r="A2484" t="s">
        <v>214</v>
      </c>
      <c r="B2484" t="s">
        <v>4707</v>
      </c>
      <c r="E2484" s="1507" t="s">
        <v>4711</v>
      </c>
      <c r="F2484" s="1507"/>
      <c r="G2484" s="584" t="s">
        <v>777</v>
      </c>
      <c r="H2484" s="576">
        <v>1.76</v>
      </c>
      <c r="K2484" t="s">
        <v>947</v>
      </c>
      <c r="L2484" t="s">
        <v>690</v>
      </c>
      <c r="P2484" t="s">
        <v>6642</v>
      </c>
      <c r="V2484">
        <v>134</v>
      </c>
    </row>
    <row r="2485" spans="1:22" customFormat="1" ht="15" x14ac:dyDescent="0.25">
      <c r="A2485" t="s">
        <v>214</v>
      </c>
      <c r="B2485" t="s">
        <v>4707</v>
      </c>
      <c r="E2485" s="1507" t="s">
        <v>960</v>
      </c>
      <c r="F2485" s="1507"/>
      <c r="G2485" s="584" t="s">
        <v>777</v>
      </c>
      <c r="H2485" s="576">
        <v>0.42</v>
      </c>
      <c r="K2485" t="s">
        <v>947</v>
      </c>
      <c r="L2485" t="s">
        <v>692</v>
      </c>
      <c r="P2485" t="s">
        <v>959</v>
      </c>
      <c r="V2485">
        <v>64</v>
      </c>
    </row>
    <row r="2486" spans="1:22" customFormat="1" ht="15" x14ac:dyDescent="0.25">
      <c r="A2486" t="s">
        <v>214</v>
      </c>
      <c r="B2486" t="s">
        <v>4707</v>
      </c>
      <c r="E2486" s="1507" t="s">
        <v>910</v>
      </c>
      <c r="F2486" s="1507"/>
      <c r="G2486" s="584" t="s">
        <v>845</v>
      </c>
      <c r="H2486" s="577">
        <v>1.4E-3</v>
      </c>
      <c r="K2486" t="s">
        <v>947</v>
      </c>
      <c r="L2486" t="s">
        <v>692</v>
      </c>
      <c r="P2486" t="s">
        <v>961</v>
      </c>
      <c r="V2486">
        <v>24</v>
      </c>
    </row>
    <row r="2487" spans="1:22" customFormat="1" ht="15" x14ac:dyDescent="0.25">
      <c r="A2487" t="s">
        <v>214</v>
      </c>
      <c r="B2487" t="s">
        <v>4707</v>
      </c>
      <c r="E2487" s="1507" t="s">
        <v>243</v>
      </c>
      <c r="F2487" s="1507"/>
      <c r="G2487" s="584" t="s">
        <v>845</v>
      </c>
      <c r="H2487" s="577">
        <v>1.1299999999999999E-2</v>
      </c>
      <c r="K2487" t="s">
        <v>947</v>
      </c>
      <c r="L2487" t="s">
        <v>694</v>
      </c>
      <c r="P2487" t="s">
        <v>964</v>
      </c>
      <c r="V2487">
        <v>47</v>
      </c>
    </row>
    <row r="2488" spans="1:22" customFormat="1" ht="15" x14ac:dyDescent="0.25">
      <c r="A2488" t="s">
        <v>214</v>
      </c>
      <c r="B2488" t="s">
        <v>4707</v>
      </c>
      <c r="E2488" s="1507" t="s">
        <v>175</v>
      </c>
      <c r="F2488" s="1507"/>
      <c r="G2488" s="584" t="s">
        <v>845</v>
      </c>
      <c r="H2488" s="577">
        <v>7.7000000000000002E-3</v>
      </c>
      <c r="K2488" t="s">
        <v>947</v>
      </c>
      <c r="L2488" t="s">
        <v>694</v>
      </c>
      <c r="P2488" t="s">
        <v>965</v>
      </c>
      <c r="V2488">
        <v>74</v>
      </c>
    </row>
    <row r="2489" spans="1:22" customFormat="1" ht="15" x14ac:dyDescent="0.25">
      <c r="A2489" t="s">
        <v>214</v>
      </c>
      <c r="B2489" t="s">
        <v>4707</v>
      </c>
      <c r="E2489" s="1515" t="s">
        <v>967</v>
      </c>
      <c r="F2489" s="1507"/>
      <c r="G2489" s="584"/>
      <c r="H2489" s="584"/>
      <c r="K2489" t="s">
        <v>966</v>
      </c>
      <c r="V2489">
        <v>48</v>
      </c>
    </row>
    <row r="2490" spans="1:22" customFormat="1" ht="15" x14ac:dyDescent="0.25">
      <c r="A2490" t="s">
        <v>214</v>
      </c>
      <c r="B2490" t="s">
        <v>4707</v>
      </c>
      <c r="E2490" s="1507" t="s">
        <v>844</v>
      </c>
      <c r="F2490" s="1507"/>
      <c r="G2490" s="584" t="s">
        <v>845</v>
      </c>
      <c r="H2490" s="577">
        <v>4.1000000000000003E-3</v>
      </c>
      <c r="K2490" t="s">
        <v>947</v>
      </c>
      <c r="L2490" t="s">
        <v>968</v>
      </c>
      <c r="P2490" t="s">
        <v>969</v>
      </c>
      <c r="V2490">
        <v>55</v>
      </c>
    </row>
    <row r="2491" spans="1:22" customFormat="1" ht="15" x14ac:dyDescent="0.25">
      <c r="A2491" t="s">
        <v>214</v>
      </c>
      <c r="B2491" t="s">
        <v>4707</v>
      </c>
      <c r="E2491" s="1507" t="s">
        <v>846</v>
      </c>
      <c r="F2491" s="1507"/>
      <c r="G2491" s="584" t="s">
        <v>845</v>
      </c>
      <c r="H2491" s="577">
        <v>4.0000000000000002E-4</v>
      </c>
      <c r="K2491" t="s">
        <v>947</v>
      </c>
      <c r="L2491" t="s">
        <v>968</v>
      </c>
      <c r="P2491" t="s">
        <v>969</v>
      </c>
      <c r="V2491">
        <v>65</v>
      </c>
    </row>
    <row r="2492" spans="1:22" customFormat="1" ht="15" x14ac:dyDescent="0.25">
      <c r="A2492" t="s">
        <v>214</v>
      </c>
      <c r="B2492" t="s">
        <v>4707</v>
      </c>
      <c r="E2492" s="1507" t="s">
        <v>847</v>
      </c>
      <c r="F2492" s="1507"/>
      <c r="G2492" s="584" t="s">
        <v>845</v>
      </c>
      <c r="H2492" s="577">
        <v>1.5E-3</v>
      </c>
      <c r="K2492" t="s">
        <v>947</v>
      </c>
      <c r="L2492" t="s">
        <v>968</v>
      </c>
      <c r="P2492" t="s">
        <v>970</v>
      </c>
      <c r="V2492">
        <v>57</v>
      </c>
    </row>
    <row r="2493" spans="1:22" customFormat="1" ht="15" x14ac:dyDescent="0.25">
      <c r="A2493" t="s">
        <v>214</v>
      </c>
      <c r="B2493" t="s">
        <v>4707</v>
      </c>
      <c r="E2493" s="1507" t="s">
        <v>848</v>
      </c>
      <c r="F2493" s="1507"/>
      <c r="G2493" s="584" t="s">
        <v>777</v>
      </c>
      <c r="H2493" s="576">
        <v>0.25</v>
      </c>
      <c r="K2493" t="s">
        <v>947</v>
      </c>
      <c r="L2493" t="s">
        <v>968</v>
      </c>
      <c r="P2493" t="s">
        <v>971</v>
      </c>
      <c r="V2493">
        <v>63</v>
      </c>
    </row>
    <row r="2494" spans="1:22" customFormat="1" x14ac:dyDescent="0.25">
      <c r="A2494" t="s">
        <v>214</v>
      </c>
      <c r="B2494" t="s">
        <v>4707</v>
      </c>
      <c r="E2494" s="1492" t="s">
        <v>4712</v>
      </c>
      <c r="F2494" s="1493"/>
      <c r="G2494" s="1493"/>
      <c r="H2494" s="1493"/>
      <c r="K2494" t="s">
        <v>4713</v>
      </c>
      <c r="V2494">
        <v>43</v>
      </c>
    </row>
    <row r="2495" spans="1:22" customFormat="1" ht="15" x14ac:dyDescent="0.25">
      <c r="A2495" t="s">
        <v>214</v>
      </c>
      <c r="B2495" t="s">
        <v>4707</v>
      </c>
      <c r="E2495" s="1516" t="s">
        <v>4714</v>
      </c>
      <c r="F2495" s="1516"/>
      <c r="G2495" s="1516"/>
      <c r="H2495" s="1516"/>
      <c r="K2495" t="s">
        <v>4713</v>
      </c>
      <c r="V2495">
        <v>329</v>
      </c>
    </row>
    <row r="2496" spans="1:22" customFormat="1" ht="15" x14ac:dyDescent="0.25">
      <c r="A2496" t="s">
        <v>214</v>
      </c>
      <c r="B2496" t="s">
        <v>4707</v>
      </c>
      <c r="E2496" s="1515" t="s">
        <v>950</v>
      </c>
      <c r="F2496" s="1516"/>
      <c r="G2496" s="1516"/>
      <c r="H2496" s="1516"/>
      <c r="K2496" t="s">
        <v>974</v>
      </c>
      <c r="V2496">
        <v>11</v>
      </c>
    </row>
    <row r="2497" spans="1:22" customFormat="1" ht="15" x14ac:dyDescent="0.25">
      <c r="A2497" t="s">
        <v>214</v>
      </c>
      <c r="B2497" t="s">
        <v>4707</v>
      </c>
      <c r="E2497" s="1516" t="s">
        <v>951</v>
      </c>
      <c r="F2497" s="1516"/>
      <c r="G2497" s="1516"/>
      <c r="H2497" s="1516"/>
      <c r="K2497" t="s">
        <v>4713</v>
      </c>
      <c r="V2497">
        <v>280</v>
      </c>
    </row>
    <row r="2498" spans="1:22" customFormat="1" ht="15" x14ac:dyDescent="0.25">
      <c r="A2498" t="s">
        <v>214</v>
      </c>
      <c r="B2498" t="s">
        <v>4707</v>
      </c>
      <c r="E2498" s="1516" t="s">
        <v>952</v>
      </c>
      <c r="F2498" s="1516"/>
      <c r="G2498" s="1516"/>
      <c r="H2498" s="1516"/>
      <c r="K2498" t="s">
        <v>4713</v>
      </c>
      <c r="V2498">
        <v>411</v>
      </c>
    </row>
    <row r="2499" spans="1:22" customFormat="1" ht="15" x14ac:dyDescent="0.25">
      <c r="A2499" t="s">
        <v>214</v>
      </c>
      <c r="B2499" t="s">
        <v>4707</v>
      </c>
      <c r="E2499" s="1516" t="s">
        <v>953</v>
      </c>
      <c r="F2499" s="1516"/>
      <c r="G2499" s="1516"/>
      <c r="H2499" s="1516"/>
      <c r="K2499" t="s">
        <v>4713</v>
      </c>
      <c r="V2499">
        <v>386</v>
      </c>
    </row>
    <row r="2500" spans="1:22" customFormat="1" ht="15" x14ac:dyDescent="0.25">
      <c r="A2500" t="s">
        <v>214</v>
      </c>
      <c r="B2500" t="s">
        <v>4707</v>
      </c>
      <c r="E2500" s="1516" t="s">
        <v>3762</v>
      </c>
      <c r="F2500" s="1516"/>
      <c r="G2500" s="1516"/>
      <c r="H2500" s="1516"/>
      <c r="K2500" t="s">
        <v>4713</v>
      </c>
      <c r="V2500">
        <v>247</v>
      </c>
    </row>
    <row r="2501" spans="1:22" customFormat="1" ht="15" x14ac:dyDescent="0.25">
      <c r="A2501" t="s">
        <v>214</v>
      </c>
      <c r="B2501" t="s">
        <v>4707</v>
      </c>
      <c r="E2501" s="1515" t="s">
        <v>956</v>
      </c>
      <c r="F2501" s="1516"/>
      <c r="G2501" s="1516"/>
      <c r="H2501" s="1516"/>
      <c r="K2501" t="s">
        <v>975</v>
      </c>
      <c r="V2501">
        <v>46</v>
      </c>
    </row>
    <row r="2502" spans="1:22" customFormat="1" ht="15" x14ac:dyDescent="0.25">
      <c r="A2502" t="s">
        <v>214</v>
      </c>
      <c r="B2502" t="s">
        <v>4707</v>
      </c>
      <c r="E2502" s="1507" t="s">
        <v>3773</v>
      </c>
      <c r="F2502" s="1507"/>
      <c r="G2502" s="584" t="s">
        <v>777</v>
      </c>
      <c r="H2502" s="576">
        <v>57.92</v>
      </c>
      <c r="K2502" t="s">
        <v>4713</v>
      </c>
      <c r="L2502" t="s">
        <v>690</v>
      </c>
      <c r="P2502" t="s">
        <v>4715</v>
      </c>
      <c r="V2502">
        <v>14</v>
      </c>
    </row>
    <row r="2503" spans="1:22" customFormat="1" ht="15" x14ac:dyDescent="0.25">
      <c r="A2503" t="s">
        <v>214</v>
      </c>
      <c r="B2503" t="s">
        <v>4707</v>
      </c>
      <c r="E2503" s="1507" t="s">
        <v>6638</v>
      </c>
      <c r="F2503" s="1507"/>
      <c r="G2503" s="584" t="s">
        <v>777</v>
      </c>
      <c r="H2503" s="576">
        <v>0.99</v>
      </c>
      <c r="K2503" t="s">
        <v>4713</v>
      </c>
      <c r="L2503" t="s">
        <v>690</v>
      </c>
      <c r="P2503" t="s">
        <v>6643</v>
      </c>
      <c r="V2503">
        <v>164</v>
      </c>
    </row>
    <row r="2504" spans="1:22" customFormat="1" ht="15" x14ac:dyDescent="0.25">
      <c r="A2504" t="s">
        <v>214</v>
      </c>
      <c r="B2504" t="s">
        <v>4707</v>
      </c>
      <c r="E2504" s="1507" t="s">
        <v>6640</v>
      </c>
      <c r="F2504" s="1507"/>
      <c r="G2504" s="584" t="s">
        <v>777</v>
      </c>
      <c r="H2504" s="576">
        <v>0.25</v>
      </c>
      <c r="K2504" t="s">
        <v>4713</v>
      </c>
      <c r="L2504" t="s">
        <v>690</v>
      </c>
      <c r="P2504" t="s">
        <v>6644</v>
      </c>
      <c r="V2504">
        <v>140</v>
      </c>
    </row>
    <row r="2505" spans="1:22" customFormat="1" ht="15" x14ac:dyDescent="0.25">
      <c r="A2505" t="s">
        <v>214</v>
      </c>
      <c r="B2505" t="s">
        <v>4707</v>
      </c>
      <c r="E2505" s="1507" t="s">
        <v>4711</v>
      </c>
      <c r="F2505" s="1507"/>
      <c r="G2505" s="584" t="s">
        <v>777</v>
      </c>
      <c r="H2505" s="576">
        <v>3.22</v>
      </c>
      <c r="K2505" t="s">
        <v>4713</v>
      </c>
      <c r="L2505" t="s">
        <v>690</v>
      </c>
      <c r="P2505" t="s">
        <v>6645</v>
      </c>
      <c r="V2505">
        <v>134</v>
      </c>
    </row>
    <row r="2506" spans="1:22" customFormat="1" ht="15" x14ac:dyDescent="0.25">
      <c r="A2506" t="s">
        <v>214</v>
      </c>
      <c r="B2506" t="s">
        <v>4707</v>
      </c>
      <c r="E2506" s="1507" t="s">
        <v>960</v>
      </c>
      <c r="F2506" s="1507"/>
      <c r="G2506" s="584" t="s">
        <v>777</v>
      </c>
      <c r="H2506" s="576">
        <v>0.42</v>
      </c>
      <c r="K2506" t="s">
        <v>4713</v>
      </c>
      <c r="L2506" t="s">
        <v>692</v>
      </c>
      <c r="P2506" t="s">
        <v>4716</v>
      </c>
      <c r="V2506">
        <v>64</v>
      </c>
    </row>
    <row r="2507" spans="1:22" customFormat="1" ht="15" x14ac:dyDescent="0.25">
      <c r="A2507" t="s">
        <v>214</v>
      </c>
      <c r="B2507" t="s">
        <v>4707</v>
      </c>
      <c r="E2507" s="1507" t="s">
        <v>910</v>
      </c>
      <c r="F2507" s="1507"/>
      <c r="G2507" s="584" t="s">
        <v>845</v>
      </c>
      <c r="H2507" s="577">
        <v>1.9E-3</v>
      </c>
      <c r="K2507" t="s">
        <v>4713</v>
      </c>
      <c r="L2507" t="s">
        <v>692</v>
      </c>
      <c r="P2507" t="s">
        <v>4717</v>
      </c>
      <c r="V2507">
        <v>24</v>
      </c>
    </row>
    <row r="2508" spans="1:22" customFormat="1" ht="15" x14ac:dyDescent="0.25">
      <c r="A2508" t="s">
        <v>214</v>
      </c>
      <c r="B2508" t="s">
        <v>4707</v>
      </c>
      <c r="E2508" s="1507" t="s">
        <v>243</v>
      </c>
      <c r="F2508" s="1507"/>
      <c r="G2508" s="584" t="s">
        <v>845</v>
      </c>
      <c r="H2508" s="577">
        <v>1.18E-2</v>
      </c>
      <c r="K2508" t="s">
        <v>4713</v>
      </c>
      <c r="L2508" t="s">
        <v>694</v>
      </c>
      <c r="P2508" t="s">
        <v>4718</v>
      </c>
      <c r="V2508">
        <v>47</v>
      </c>
    </row>
    <row r="2509" spans="1:22" customFormat="1" ht="15" x14ac:dyDescent="0.25">
      <c r="A2509" t="s">
        <v>214</v>
      </c>
      <c r="B2509" t="s">
        <v>4707</v>
      </c>
      <c r="E2509" s="1507" t="s">
        <v>175</v>
      </c>
      <c r="F2509" s="1507"/>
      <c r="G2509" s="584" t="s">
        <v>845</v>
      </c>
      <c r="H2509" s="577">
        <v>9.9000000000000008E-3</v>
      </c>
      <c r="K2509" t="s">
        <v>4713</v>
      </c>
      <c r="L2509" t="s">
        <v>694</v>
      </c>
      <c r="P2509" t="s">
        <v>4719</v>
      </c>
      <c r="V2509">
        <v>74</v>
      </c>
    </row>
    <row r="2510" spans="1:22" customFormat="1" ht="15" x14ac:dyDescent="0.25">
      <c r="A2510" t="s">
        <v>214</v>
      </c>
      <c r="B2510" t="s">
        <v>4707</v>
      </c>
      <c r="E2510" s="1515" t="s">
        <v>967</v>
      </c>
      <c r="F2510" s="1507"/>
      <c r="G2510" s="584"/>
      <c r="H2510" s="584"/>
      <c r="K2510" t="s">
        <v>985</v>
      </c>
      <c r="V2510">
        <v>48</v>
      </c>
    </row>
    <row r="2511" spans="1:22" customFormat="1" ht="15" x14ac:dyDescent="0.25">
      <c r="A2511" t="s">
        <v>214</v>
      </c>
      <c r="B2511" t="s">
        <v>4707</v>
      </c>
      <c r="E2511" s="1507" t="s">
        <v>844</v>
      </c>
      <c r="F2511" s="1507"/>
      <c r="G2511" s="584" t="s">
        <v>845</v>
      </c>
      <c r="H2511" s="577">
        <v>4.1000000000000003E-3</v>
      </c>
      <c r="K2511" t="s">
        <v>4713</v>
      </c>
      <c r="L2511" t="s">
        <v>968</v>
      </c>
      <c r="P2511" t="s">
        <v>4720</v>
      </c>
      <c r="V2511">
        <v>55</v>
      </c>
    </row>
    <row r="2512" spans="1:22" customFormat="1" ht="15" x14ac:dyDescent="0.25">
      <c r="A2512" t="s">
        <v>214</v>
      </c>
      <c r="B2512" t="s">
        <v>4707</v>
      </c>
      <c r="E2512" s="1507" t="s">
        <v>846</v>
      </c>
      <c r="F2512" s="1507"/>
      <c r="G2512" s="584" t="s">
        <v>845</v>
      </c>
      <c r="H2512" s="577">
        <v>4.0000000000000002E-4</v>
      </c>
      <c r="K2512" t="s">
        <v>4713</v>
      </c>
      <c r="L2512" t="s">
        <v>968</v>
      </c>
      <c r="P2512" t="s">
        <v>4720</v>
      </c>
      <c r="V2512">
        <v>65</v>
      </c>
    </row>
    <row r="2513" spans="1:22" customFormat="1" ht="15" x14ac:dyDescent="0.25">
      <c r="A2513" t="s">
        <v>214</v>
      </c>
      <c r="B2513" t="s">
        <v>4707</v>
      </c>
      <c r="E2513" s="1507" t="s">
        <v>847</v>
      </c>
      <c r="F2513" s="1507"/>
      <c r="G2513" s="584" t="s">
        <v>845</v>
      </c>
      <c r="H2513" s="577">
        <v>1.5E-3</v>
      </c>
      <c r="K2513" t="s">
        <v>4713</v>
      </c>
      <c r="L2513" t="s">
        <v>968</v>
      </c>
      <c r="P2513" t="s">
        <v>4721</v>
      </c>
      <c r="V2513">
        <v>57</v>
      </c>
    </row>
    <row r="2514" spans="1:22" customFormat="1" ht="15" x14ac:dyDescent="0.25">
      <c r="A2514" t="s">
        <v>214</v>
      </c>
      <c r="B2514" t="s">
        <v>4707</v>
      </c>
      <c r="E2514" s="1507" t="s">
        <v>848</v>
      </c>
      <c r="F2514" s="1507"/>
      <c r="G2514" s="584" t="s">
        <v>777</v>
      </c>
      <c r="H2514" s="576">
        <v>0.25</v>
      </c>
      <c r="K2514" t="s">
        <v>4713</v>
      </c>
      <c r="L2514" t="s">
        <v>968</v>
      </c>
      <c r="P2514" t="s">
        <v>4722</v>
      </c>
      <c r="V2514">
        <v>63</v>
      </c>
    </row>
    <row r="2515" spans="1:22" customFormat="1" x14ac:dyDescent="0.25">
      <c r="A2515" t="s">
        <v>214</v>
      </c>
      <c r="B2515" t="s">
        <v>4707</v>
      </c>
      <c r="E2515" s="1492" t="s">
        <v>174</v>
      </c>
      <c r="F2515" s="1493"/>
      <c r="G2515" s="1493"/>
      <c r="H2515" s="1493"/>
      <c r="K2515" t="s">
        <v>4723</v>
      </c>
      <c r="V2515">
        <v>54</v>
      </c>
    </row>
    <row r="2516" spans="1:22" customFormat="1" ht="15" x14ac:dyDescent="0.25">
      <c r="A2516" t="s">
        <v>214</v>
      </c>
      <c r="B2516" t="s">
        <v>4707</v>
      </c>
      <c r="E2516" s="1516" t="s">
        <v>4724</v>
      </c>
      <c r="F2516" s="1516"/>
      <c r="G2516" s="1516"/>
      <c r="H2516" s="1516"/>
      <c r="K2516" t="s">
        <v>4723</v>
      </c>
      <c r="V2516">
        <v>293</v>
      </c>
    </row>
    <row r="2517" spans="1:22" customFormat="1" ht="15" x14ac:dyDescent="0.25">
      <c r="A2517" t="s">
        <v>214</v>
      </c>
      <c r="B2517" t="s">
        <v>4707</v>
      </c>
      <c r="E2517" s="1515" t="s">
        <v>950</v>
      </c>
      <c r="F2517" s="1516"/>
      <c r="G2517" s="1516"/>
      <c r="H2517" s="1516"/>
      <c r="K2517" t="s">
        <v>992</v>
      </c>
      <c r="V2517">
        <v>11</v>
      </c>
    </row>
    <row r="2518" spans="1:22" customFormat="1" ht="15" x14ac:dyDescent="0.25">
      <c r="A2518" t="s">
        <v>214</v>
      </c>
      <c r="B2518" t="s">
        <v>4707</v>
      </c>
      <c r="E2518" s="1516" t="s">
        <v>951</v>
      </c>
      <c r="F2518" s="1516"/>
      <c r="G2518" s="1516"/>
      <c r="H2518" s="1516"/>
      <c r="K2518" t="s">
        <v>4723</v>
      </c>
      <c r="V2518">
        <v>280</v>
      </c>
    </row>
    <row r="2519" spans="1:22" customFormat="1" ht="15" x14ac:dyDescent="0.25">
      <c r="A2519" t="s">
        <v>214</v>
      </c>
      <c r="B2519" t="s">
        <v>4707</v>
      </c>
      <c r="E2519" s="1516" t="s">
        <v>952</v>
      </c>
      <c r="F2519" s="1516"/>
      <c r="G2519" s="1516"/>
      <c r="H2519" s="1516"/>
      <c r="K2519" t="s">
        <v>4723</v>
      </c>
      <c r="V2519">
        <v>411</v>
      </c>
    </row>
    <row r="2520" spans="1:22" customFormat="1" ht="15" x14ac:dyDescent="0.25">
      <c r="A2520" t="s">
        <v>214</v>
      </c>
      <c r="B2520" t="s">
        <v>4707</v>
      </c>
      <c r="E2520" s="1516" t="s">
        <v>3761</v>
      </c>
      <c r="F2520" s="1516"/>
      <c r="G2520" s="1516"/>
      <c r="H2520" s="1516"/>
      <c r="K2520" t="s">
        <v>4723</v>
      </c>
      <c r="V2520">
        <v>387</v>
      </c>
    </row>
    <row r="2521" spans="1:22" customFormat="1" ht="15" x14ac:dyDescent="0.25">
      <c r="A2521" t="s">
        <v>214</v>
      </c>
      <c r="B2521" t="s">
        <v>4707</v>
      </c>
      <c r="E2521" s="1516" t="s">
        <v>3762</v>
      </c>
      <c r="F2521" s="1516"/>
      <c r="G2521" s="1516"/>
      <c r="H2521" s="1516"/>
      <c r="K2521" t="s">
        <v>4723</v>
      </c>
      <c r="V2521">
        <v>247</v>
      </c>
    </row>
    <row r="2522" spans="1:22" customFormat="1" ht="15" x14ac:dyDescent="0.25">
      <c r="A2522" t="s">
        <v>214</v>
      </c>
      <c r="B2522" t="s">
        <v>4707</v>
      </c>
      <c r="E2522" s="1515" t="s">
        <v>956</v>
      </c>
      <c r="F2522" s="1516"/>
      <c r="G2522" s="1516"/>
      <c r="H2522" s="1516"/>
      <c r="K2522" t="s">
        <v>995</v>
      </c>
      <c r="V2522">
        <v>46</v>
      </c>
    </row>
    <row r="2523" spans="1:22" customFormat="1" ht="15" x14ac:dyDescent="0.25">
      <c r="A2523" t="s">
        <v>214</v>
      </c>
      <c r="B2523" t="s">
        <v>4707</v>
      </c>
      <c r="E2523" s="1507" t="s">
        <v>3773</v>
      </c>
      <c r="F2523" s="1507"/>
      <c r="G2523" s="584" t="s">
        <v>777</v>
      </c>
      <c r="H2523" s="576">
        <v>20.56</v>
      </c>
      <c r="K2523" t="s">
        <v>4723</v>
      </c>
      <c r="L2523" t="s">
        <v>690</v>
      </c>
      <c r="P2523" t="s">
        <v>4725</v>
      </c>
      <c r="V2523">
        <v>14</v>
      </c>
    </row>
    <row r="2524" spans="1:22" customFormat="1" ht="15" x14ac:dyDescent="0.25">
      <c r="A2524" t="s">
        <v>214</v>
      </c>
      <c r="B2524" t="s">
        <v>4707</v>
      </c>
      <c r="E2524" s="1507" t="s">
        <v>6638</v>
      </c>
      <c r="F2524" s="1507"/>
      <c r="G2524" s="584" t="s">
        <v>777</v>
      </c>
      <c r="H2524" s="576">
        <v>0.35</v>
      </c>
      <c r="K2524" t="s">
        <v>4723</v>
      </c>
      <c r="L2524" t="s">
        <v>690</v>
      </c>
      <c r="P2524" t="s">
        <v>6646</v>
      </c>
      <c r="V2524">
        <v>164</v>
      </c>
    </row>
    <row r="2525" spans="1:22" customFormat="1" ht="15" x14ac:dyDescent="0.25">
      <c r="A2525" t="s">
        <v>214</v>
      </c>
      <c r="B2525" t="s">
        <v>4707</v>
      </c>
      <c r="E2525" s="1507" t="s">
        <v>6640</v>
      </c>
      <c r="F2525" s="1507"/>
      <c r="G2525" s="584" t="s">
        <v>777</v>
      </c>
      <c r="H2525" s="576">
        <v>0.31</v>
      </c>
      <c r="K2525" t="s">
        <v>4723</v>
      </c>
      <c r="L2525" t="s">
        <v>690</v>
      </c>
      <c r="P2525" t="s">
        <v>6647</v>
      </c>
      <c r="V2525">
        <v>140</v>
      </c>
    </row>
    <row r="2526" spans="1:22" customFormat="1" ht="15" x14ac:dyDescent="0.25">
      <c r="A2526" t="s">
        <v>214</v>
      </c>
      <c r="B2526" t="s">
        <v>4707</v>
      </c>
      <c r="E2526" s="1507" t="s">
        <v>4726</v>
      </c>
      <c r="F2526" s="1507"/>
      <c r="G2526" s="584" t="s">
        <v>777</v>
      </c>
      <c r="H2526" s="576">
        <v>1.1399999999999999</v>
      </c>
      <c r="K2526" t="s">
        <v>4723</v>
      </c>
      <c r="L2526" t="s">
        <v>690</v>
      </c>
      <c r="P2526" t="s">
        <v>6648</v>
      </c>
      <c r="V2526">
        <v>135</v>
      </c>
    </row>
    <row r="2527" spans="1:22" customFormat="1" ht="15" x14ac:dyDescent="0.25">
      <c r="A2527" t="s">
        <v>214</v>
      </c>
      <c r="B2527" t="s">
        <v>4707</v>
      </c>
      <c r="E2527" s="1507" t="s">
        <v>960</v>
      </c>
      <c r="F2527" s="1507"/>
      <c r="G2527" s="584" t="s">
        <v>777</v>
      </c>
      <c r="H2527" s="576">
        <v>0.42</v>
      </c>
      <c r="K2527" t="s">
        <v>4723</v>
      </c>
      <c r="L2527" t="s">
        <v>692</v>
      </c>
      <c r="P2527" t="s">
        <v>4727</v>
      </c>
      <c r="V2527">
        <v>64</v>
      </c>
    </row>
    <row r="2528" spans="1:22" customFormat="1" ht="15" x14ac:dyDescent="0.25">
      <c r="A2528" t="s">
        <v>214</v>
      </c>
      <c r="B2528" t="s">
        <v>4707</v>
      </c>
      <c r="E2528" s="1507" t="s">
        <v>3688</v>
      </c>
      <c r="F2528" s="1507"/>
      <c r="G2528" s="584" t="s">
        <v>845</v>
      </c>
      <c r="H2528" s="577">
        <v>2.07E-2</v>
      </c>
      <c r="K2528" t="s">
        <v>4723</v>
      </c>
      <c r="L2528" t="s">
        <v>690</v>
      </c>
      <c r="P2528" t="s">
        <v>4728</v>
      </c>
      <c r="V2528">
        <v>28</v>
      </c>
    </row>
    <row r="2529" spans="1:22" customFormat="1" ht="15" x14ac:dyDescent="0.25">
      <c r="A2529" t="s">
        <v>214</v>
      </c>
      <c r="B2529" t="s">
        <v>4707</v>
      </c>
      <c r="E2529" s="1507" t="s">
        <v>910</v>
      </c>
      <c r="F2529" s="1507"/>
      <c r="G2529" s="584" t="s">
        <v>845</v>
      </c>
      <c r="H2529" s="577">
        <v>1.4E-3</v>
      </c>
      <c r="K2529" t="s">
        <v>4723</v>
      </c>
      <c r="L2529" t="s">
        <v>692</v>
      </c>
      <c r="P2529" t="s">
        <v>4729</v>
      </c>
      <c r="V2529">
        <v>24</v>
      </c>
    </row>
    <row r="2530" spans="1:22" customFormat="1" ht="15" x14ac:dyDescent="0.25">
      <c r="A2530" t="s">
        <v>214</v>
      </c>
      <c r="B2530" t="s">
        <v>4707</v>
      </c>
      <c r="E2530" s="1507" t="s">
        <v>4726</v>
      </c>
      <c r="F2530" s="1507"/>
      <c r="G2530" s="584" t="s">
        <v>845</v>
      </c>
      <c r="H2530" s="577">
        <v>1.1000000000000001E-3</v>
      </c>
      <c r="K2530" t="s">
        <v>4723</v>
      </c>
      <c r="L2530" t="s">
        <v>690</v>
      </c>
      <c r="P2530" t="s">
        <v>6649</v>
      </c>
      <c r="V2530">
        <v>135</v>
      </c>
    </row>
    <row r="2531" spans="1:22" customFormat="1" ht="15" x14ac:dyDescent="0.25">
      <c r="A2531" t="s">
        <v>214</v>
      </c>
      <c r="B2531" t="s">
        <v>4707</v>
      </c>
      <c r="E2531" s="1507" t="s">
        <v>6627</v>
      </c>
      <c r="F2531" s="1507"/>
      <c r="G2531" s="584" t="s">
        <v>845</v>
      </c>
      <c r="H2531" s="577">
        <v>4.0000000000000002E-4</v>
      </c>
      <c r="K2531" t="s">
        <v>4723</v>
      </c>
      <c r="L2531" t="s">
        <v>690</v>
      </c>
      <c r="P2531" t="s">
        <v>6650</v>
      </c>
      <c r="T2531">
        <v>46022</v>
      </c>
      <c r="V2531">
        <v>88</v>
      </c>
    </row>
    <row r="2532" spans="1:22" customFormat="1" ht="15" x14ac:dyDescent="0.25">
      <c r="A2532" t="s">
        <v>214</v>
      </c>
      <c r="B2532" t="s">
        <v>4707</v>
      </c>
      <c r="E2532" s="1507" t="s">
        <v>6638</v>
      </c>
      <c r="F2532" s="1507"/>
      <c r="G2532" s="584" t="s">
        <v>845</v>
      </c>
      <c r="H2532" s="577">
        <v>4.0000000000000002E-4</v>
      </c>
      <c r="K2532" t="s">
        <v>4723</v>
      </c>
      <c r="L2532" t="s">
        <v>690</v>
      </c>
      <c r="P2532" t="s">
        <v>6651</v>
      </c>
      <c r="V2532">
        <v>164</v>
      </c>
    </row>
    <row r="2533" spans="1:22" customFormat="1" ht="15" x14ac:dyDescent="0.25">
      <c r="A2533" t="s">
        <v>214</v>
      </c>
      <c r="B2533" t="s">
        <v>4707</v>
      </c>
      <c r="E2533" s="1507" t="s">
        <v>243</v>
      </c>
      <c r="F2533" s="1507"/>
      <c r="G2533" s="584" t="s">
        <v>845</v>
      </c>
      <c r="H2533" s="577">
        <v>1.03E-2</v>
      </c>
      <c r="K2533" t="s">
        <v>4723</v>
      </c>
      <c r="L2533" t="s">
        <v>694</v>
      </c>
      <c r="P2533" t="s">
        <v>4733</v>
      </c>
      <c r="V2533">
        <v>47</v>
      </c>
    </row>
    <row r="2534" spans="1:22" customFormat="1" ht="15" x14ac:dyDescent="0.25">
      <c r="A2534" t="s">
        <v>214</v>
      </c>
      <c r="B2534" t="s">
        <v>4707</v>
      </c>
      <c r="E2534" s="1507" t="s">
        <v>175</v>
      </c>
      <c r="F2534" s="1507"/>
      <c r="G2534" s="584" t="s">
        <v>845</v>
      </c>
      <c r="H2534" s="577">
        <v>7.1999999999999998E-3</v>
      </c>
      <c r="K2534" t="s">
        <v>4723</v>
      </c>
      <c r="L2534" t="s">
        <v>694</v>
      </c>
      <c r="P2534" t="s">
        <v>4734</v>
      </c>
      <c r="V2534">
        <v>74</v>
      </c>
    </row>
    <row r="2535" spans="1:22" customFormat="1" ht="15" x14ac:dyDescent="0.25">
      <c r="A2535" t="s">
        <v>214</v>
      </c>
      <c r="B2535" t="s">
        <v>4707</v>
      </c>
      <c r="E2535" s="1515" t="s">
        <v>967</v>
      </c>
      <c r="F2535" s="1507"/>
      <c r="G2535" s="584"/>
      <c r="H2535" s="584"/>
      <c r="K2535" t="s">
        <v>1003</v>
      </c>
      <c r="V2535">
        <v>48</v>
      </c>
    </row>
    <row r="2536" spans="1:22" customFormat="1" ht="15" x14ac:dyDescent="0.25">
      <c r="A2536" t="s">
        <v>214</v>
      </c>
      <c r="B2536" t="s">
        <v>4707</v>
      </c>
      <c r="E2536" s="1507" t="s">
        <v>844</v>
      </c>
      <c r="F2536" s="1507"/>
      <c r="G2536" s="584" t="s">
        <v>845</v>
      </c>
      <c r="H2536" s="577">
        <v>4.1000000000000003E-3</v>
      </c>
      <c r="K2536" t="s">
        <v>4723</v>
      </c>
      <c r="L2536" t="s">
        <v>968</v>
      </c>
      <c r="P2536" t="s">
        <v>4735</v>
      </c>
      <c r="V2536">
        <v>55</v>
      </c>
    </row>
    <row r="2537" spans="1:22" customFormat="1" ht="15" x14ac:dyDescent="0.25">
      <c r="A2537" t="s">
        <v>214</v>
      </c>
      <c r="B2537" t="s">
        <v>4707</v>
      </c>
      <c r="E2537" s="1507" t="s">
        <v>846</v>
      </c>
      <c r="F2537" s="1507"/>
      <c r="G2537" s="584" t="s">
        <v>845</v>
      </c>
      <c r="H2537" s="577">
        <v>4.0000000000000002E-4</v>
      </c>
      <c r="K2537" t="s">
        <v>4723</v>
      </c>
      <c r="L2537" t="s">
        <v>968</v>
      </c>
      <c r="P2537" t="s">
        <v>4735</v>
      </c>
      <c r="V2537">
        <v>65</v>
      </c>
    </row>
    <row r="2538" spans="1:22" customFormat="1" ht="15" x14ac:dyDescent="0.25">
      <c r="A2538" t="s">
        <v>214</v>
      </c>
      <c r="B2538" t="s">
        <v>4707</v>
      </c>
      <c r="E2538" s="1507" t="s">
        <v>847</v>
      </c>
      <c r="F2538" s="1507"/>
      <c r="G2538" s="584" t="s">
        <v>845</v>
      </c>
      <c r="H2538" s="577">
        <v>1.5E-3</v>
      </c>
      <c r="K2538" t="s">
        <v>4723</v>
      </c>
      <c r="L2538" t="s">
        <v>968</v>
      </c>
      <c r="P2538" t="s">
        <v>4736</v>
      </c>
      <c r="V2538">
        <v>57</v>
      </c>
    </row>
    <row r="2539" spans="1:22" customFormat="1" ht="15" x14ac:dyDescent="0.25">
      <c r="A2539" t="s">
        <v>214</v>
      </c>
      <c r="B2539" t="s">
        <v>4707</v>
      </c>
      <c r="E2539" s="1507" t="s">
        <v>848</v>
      </c>
      <c r="F2539" s="1507"/>
      <c r="G2539" s="584" t="s">
        <v>777</v>
      </c>
      <c r="H2539" s="576">
        <v>0.25</v>
      </c>
      <c r="K2539" t="s">
        <v>4723</v>
      </c>
      <c r="L2539" t="s">
        <v>968</v>
      </c>
      <c r="P2539" t="s">
        <v>4737</v>
      </c>
      <c r="V2539">
        <v>63</v>
      </c>
    </row>
    <row r="2540" spans="1:22" customFormat="1" x14ac:dyDescent="0.25">
      <c r="A2540" t="s">
        <v>214</v>
      </c>
      <c r="B2540" t="s">
        <v>4707</v>
      </c>
      <c r="E2540" s="1492" t="s">
        <v>4738</v>
      </c>
      <c r="F2540" s="1493"/>
      <c r="G2540" s="1493"/>
      <c r="H2540" s="1493"/>
      <c r="K2540" t="s">
        <v>4739</v>
      </c>
      <c r="V2540">
        <v>53</v>
      </c>
    </row>
    <row r="2541" spans="1:22" customFormat="1" ht="15" x14ac:dyDescent="0.25">
      <c r="A2541" t="s">
        <v>214</v>
      </c>
      <c r="B2541" t="s">
        <v>4707</v>
      </c>
      <c r="E2541" s="1516" t="s">
        <v>4740</v>
      </c>
      <c r="F2541" s="1516"/>
      <c r="G2541" s="1516"/>
      <c r="H2541" s="1516"/>
      <c r="K2541" t="s">
        <v>4739</v>
      </c>
      <c r="V2541">
        <v>386</v>
      </c>
    </row>
    <row r="2542" spans="1:22" customFormat="1" ht="15" x14ac:dyDescent="0.25">
      <c r="A2542" t="s">
        <v>214</v>
      </c>
      <c r="B2542" t="s">
        <v>4707</v>
      </c>
      <c r="E2542" s="1515" t="s">
        <v>950</v>
      </c>
      <c r="F2542" s="1516"/>
      <c r="G2542" s="1516"/>
      <c r="H2542" s="1516"/>
      <c r="K2542" t="s">
        <v>1010</v>
      </c>
      <c r="V2542">
        <v>11</v>
      </c>
    </row>
    <row r="2543" spans="1:22" customFormat="1" ht="15" x14ac:dyDescent="0.25">
      <c r="A2543" t="s">
        <v>214</v>
      </c>
      <c r="B2543" t="s">
        <v>4707</v>
      </c>
      <c r="E2543" s="1516" t="s">
        <v>951</v>
      </c>
      <c r="F2543" s="1516"/>
      <c r="G2543" s="1516"/>
      <c r="H2543" s="1516"/>
      <c r="K2543" t="s">
        <v>4739</v>
      </c>
      <c r="V2543">
        <v>280</v>
      </c>
    </row>
    <row r="2544" spans="1:22" customFormat="1" ht="15" x14ac:dyDescent="0.25">
      <c r="A2544" t="s">
        <v>214</v>
      </c>
      <c r="B2544" t="s">
        <v>4707</v>
      </c>
      <c r="E2544" s="1516" t="s">
        <v>952</v>
      </c>
      <c r="F2544" s="1516"/>
      <c r="G2544" s="1516"/>
      <c r="H2544" s="1516"/>
      <c r="K2544" t="s">
        <v>4739</v>
      </c>
      <c r="V2544">
        <v>411</v>
      </c>
    </row>
    <row r="2545" spans="1:22" customFormat="1" ht="15" x14ac:dyDescent="0.25">
      <c r="A2545" t="s">
        <v>214</v>
      </c>
      <c r="B2545" t="s">
        <v>4707</v>
      </c>
      <c r="E2545" s="1516" t="s">
        <v>3761</v>
      </c>
      <c r="F2545" s="1516"/>
      <c r="G2545" s="1516"/>
      <c r="H2545" s="1516"/>
      <c r="K2545" t="s">
        <v>4739</v>
      </c>
      <c r="V2545">
        <v>387</v>
      </c>
    </row>
    <row r="2546" spans="1:22" customFormat="1" ht="15" x14ac:dyDescent="0.25">
      <c r="A2546" t="s">
        <v>214</v>
      </c>
      <c r="B2546" t="s">
        <v>4707</v>
      </c>
      <c r="E2546" s="1516" t="s">
        <v>3771</v>
      </c>
      <c r="F2546" s="1516"/>
      <c r="G2546" s="1516"/>
      <c r="H2546" s="1516"/>
      <c r="K2546" t="s">
        <v>4739</v>
      </c>
      <c r="V2546">
        <v>677</v>
      </c>
    </row>
    <row r="2547" spans="1:22" customFormat="1" ht="15" x14ac:dyDescent="0.25">
      <c r="A2547" t="s">
        <v>214</v>
      </c>
      <c r="B2547" t="s">
        <v>4707</v>
      </c>
      <c r="E2547" s="1516" t="s">
        <v>4741</v>
      </c>
      <c r="F2547" s="1516"/>
      <c r="G2547" s="1516"/>
      <c r="H2547" s="1516"/>
      <c r="K2547" t="s">
        <v>4739</v>
      </c>
      <c r="V2547">
        <v>684</v>
      </c>
    </row>
    <row r="2548" spans="1:22" customFormat="1" ht="15" x14ac:dyDescent="0.25">
      <c r="A2548" t="s">
        <v>214</v>
      </c>
      <c r="B2548" t="s">
        <v>4707</v>
      </c>
      <c r="E2548" s="1516" t="s">
        <v>3762</v>
      </c>
      <c r="F2548" s="1516"/>
      <c r="G2548" s="1516"/>
      <c r="H2548" s="1516"/>
      <c r="K2548" t="s">
        <v>4739</v>
      </c>
      <c r="V2548">
        <v>247</v>
      </c>
    </row>
    <row r="2549" spans="1:22" customFormat="1" ht="15" x14ac:dyDescent="0.25">
      <c r="A2549" t="s">
        <v>214</v>
      </c>
      <c r="B2549" t="s">
        <v>4707</v>
      </c>
      <c r="E2549" s="1515" t="s">
        <v>956</v>
      </c>
      <c r="F2549" s="1516"/>
      <c r="G2549" s="1516"/>
      <c r="H2549" s="1516"/>
      <c r="K2549" t="s">
        <v>1011</v>
      </c>
      <c r="V2549">
        <v>46</v>
      </c>
    </row>
    <row r="2550" spans="1:22" customFormat="1" ht="15" x14ac:dyDescent="0.25">
      <c r="A2550" t="s">
        <v>214</v>
      </c>
      <c r="B2550" t="s">
        <v>4707</v>
      </c>
      <c r="E2550" s="1507" t="s">
        <v>3773</v>
      </c>
      <c r="F2550" s="1507"/>
      <c r="G2550" s="584" t="s">
        <v>777</v>
      </c>
      <c r="H2550" s="576">
        <v>131.37</v>
      </c>
      <c r="K2550" t="s">
        <v>4739</v>
      </c>
      <c r="L2550" t="s">
        <v>690</v>
      </c>
      <c r="P2550" t="s">
        <v>4742</v>
      </c>
      <c r="V2550">
        <v>14</v>
      </c>
    </row>
    <row r="2551" spans="1:22" customFormat="1" ht="15" x14ac:dyDescent="0.25">
      <c r="A2551" t="s">
        <v>214</v>
      </c>
      <c r="B2551" t="s">
        <v>4707</v>
      </c>
      <c r="E2551" s="1507" t="s">
        <v>6638</v>
      </c>
      <c r="F2551" s="1507"/>
      <c r="G2551" s="584" t="s">
        <v>777</v>
      </c>
      <c r="H2551" s="576">
        <v>2.25</v>
      </c>
      <c r="K2551" t="s">
        <v>4739</v>
      </c>
      <c r="L2551" t="s">
        <v>690</v>
      </c>
      <c r="P2551" t="s">
        <v>6652</v>
      </c>
      <c r="V2551">
        <v>164</v>
      </c>
    </row>
    <row r="2552" spans="1:22" customFormat="1" ht="15" x14ac:dyDescent="0.25">
      <c r="A2552" t="s">
        <v>214</v>
      </c>
      <c r="B2552" t="s">
        <v>4707</v>
      </c>
      <c r="E2552" s="1507" t="s">
        <v>6640</v>
      </c>
      <c r="F2552" s="1507"/>
      <c r="G2552" s="584" t="s">
        <v>777</v>
      </c>
      <c r="H2552" s="576">
        <v>3.75</v>
      </c>
      <c r="K2552" t="s">
        <v>4739</v>
      </c>
      <c r="L2552" t="s">
        <v>690</v>
      </c>
      <c r="P2552" t="s">
        <v>6653</v>
      </c>
      <c r="V2552">
        <v>140</v>
      </c>
    </row>
    <row r="2553" spans="1:22" customFormat="1" ht="15" x14ac:dyDescent="0.25">
      <c r="A2553" t="s">
        <v>214</v>
      </c>
      <c r="B2553" t="s">
        <v>4707</v>
      </c>
      <c r="E2553" s="1507" t="s">
        <v>4726</v>
      </c>
      <c r="F2553" s="1507"/>
      <c r="G2553" s="584" t="s">
        <v>777</v>
      </c>
      <c r="H2553" s="576">
        <v>7.3</v>
      </c>
      <c r="K2553" t="s">
        <v>4739</v>
      </c>
      <c r="L2553" t="s">
        <v>690</v>
      </c>
      <c r="P2553" t="s">
        <v>6654</v>
      </c>
      <c r="V2553">
        <v>135</v>
      </c>
    </row>
    <row r="2554" spans="1:22" customFormat="1" ht="15" x14ac:dyDescent="0.25">
      <c r="A2554" t="s">
        <v>214</v>
      </c>
      <c r="B2554" t="s">
        <v>4707</v>
      </c>
      <c r="E2554" s="1507" t="s">
        <v>3688</v>
      </c>
      <c r="F2554" s="1507"/>
      <c r="G2554" s="584" t="s">
        <v>3775</v>
      </c>
      <c r="H2554" s="577">
        <v>4.0529999999999999</v>
      </c>
      <c r="K2554" t="s">
        <v>4739</v>
      </c>
      <c r="L2554" t="s">
        <v>690</v>
      </c>
      <c r="P2554" t="s">
        <v>4743</v>
      </c>
      <c r="V2554">
        <v>28</v>
      </c>
    </row>
    <row r="2555" spans="1:22" customFormat="1" ht="15" x14ac:dyDescent="0.25">
      <c r="A2555" t="s">
        <v>214</v>
      </c>
      <c r="B2555" t="s">
        <v>4707</v>
      </c>
      <c r="E2555" s="1507" t="s">
        <v>910</v>
      </c>
      <c r="F2555" s="1507"/>
      <c r="G2555" s="584" t="s">
        <v>3775</v>
      </c>
      <c r="H2555" s="577">
        <v>0.59770000000000001</v>
      </c>
      <c r="K2555" t="s">
        <v>4739</v>
      </c>
      <c r="L2555" t="s">
        <v>692</v>
      </c>
      <c r="P2555" t="s">
        <v>4744</v>
      </c>
      <c r="V2555">
        <v>24</v>
      </c>
    </row>
    <row r="2556" spans="1:22" customFormat="1" ht="15" x14ac:dyDescent="0.25">
      <c r="A2556" t="s">
        <v>214</v>
      </c>
      <c r="B2556" t="s">
        <v>4707</v>
      </c>
      <c r="E2556" s="1507" t="s">
        <v>4726</v>
      </c>
      <c r="F2556" s="1507"/>
      <c r="G2556" s="584" t="s">
        <v>3775</v>
      </c>
      <c r="H2556" s="577">
        <v>0.22509999999999999</v>
      </c>
      <c r="K2556" t="s">
        <v>4739</v>
      </c>
      <c r="L2556" t="s">
        <v>690</v>
      </c>
      <c r="P2556" t="s">
        <v>6655</v>
      </c>
      <c r="V2556">
        <v>135</v>
      </c>
    </row>
    <row r="2557" spans="1:22" customFormat="1" ht="15" x14ac:dyDescent="0.25">
      <c r="A2557" t="s">
        <v>214</v>
      </c>
      <c r="B2557" t="s">
        <v>4707</v>
      </c>
      <c r="E2557" s="1507" t="s">
        <v>6627</v>
      </c>
      <c r="F2557" s="1507"/>
      <c r="G2557" s="584" t="s">
        <v>3775</v>
      </c>
      <c r="H2557" s="577">
        <v>0.14710000000000001</v>
      </c>
      <c r="K2557" t="s">
        <v>4739</v>
      </c>
      <c r="L2557" t="s">
        <v>690</v>
      </c>
      <c r="P2557" t="s">
        <v>6656</v>
      </c>
      <c r="T2557">
        <v>46022</v>
      </c>
      <c r="V2557">
        <v>88</v>
      </c>
    </row>
    <row r="2558" spans="1:22" customFormat="1" ht="15" x14ac:dyDescent="0.25">
      <c r="A2558" t="s">
        <v>214</v>
      </c>
      <c r="B2558" t="s">
        <v>4707</v>
      </c>
      <c r="E2558" s="1507" t="s">
        <v>6638</v>
      </c>
      <c r="F2558" s="1507"/>
      <c r="G2558" s="584" t="s">
        <v>3775</v>
      </c>
      <c r="H2558" s="577">
        <v>6.9500000000000006E-2</v>
      </c>
      <c r="K2558" t="s">
        <v>4739</v>
      </c>
      <c r="L2558" t="s">
        <v>690</v>
      </c>
      <c r="P2558" t="s">
        <v>6657</v>
      </c>
      <c r="V2558">
        <v>164</v>
      </c>
    </row>
    <row r="2559" spans="1:22" customFormat="1" ht="15" x14ac:dyDescent="0.25">
      <c r="A2559" t="s">
        <v>214</v>
      </c>
      <c r="B2559" t="s">
        <v>4707</v>
      </c>
      <c r="E2559" s="1507" t="s">
        <v>243</v>
      </c>
      <c r="F2559" s="1507"/>
      <c r="G2559" s="584" t="s">
        <v>3775</v>
      </c>
      <c r="H2559" s="577">
        <v>5.0382999999999996</v>
      </c>
      <c r="K2559" t="s">
        <v>4739</v>
      </c>
      <c r="L2559" t="s">
        <v>694</v>
      </c>
      <c r="P2559" t="s">
        <v>4745</v>
      </c>
      <c r="V2559">
        <v>47</v>
      </c>
    </row>
    <row r="2560" spans="1:22" customFormat="1" ht="15" x14ac:dyDescent="0.25">
      <c r="A2560" t="s">
        <v>214</v>
      </c>
      <c r="B2560" t="s">
        <v>4707</v>
      </c>
      <c r="E2560" s="1507" t="s">
        <v>175</v>
      </c>
      <c r="F2560" s="1507"/>
      <c r="G2560" s="584" t="s">
        <v>3775</v>
      </c>
      <c r="H2560" s="577">
        <v>3.3349000000000002</v>
      </c>
      <c r="K2560" t="s">
        <v>4739</v>
      </c>
      <c r="L2560" t="s">
        <v>694</v>
      </c>
      <c r="P2560" t="s">
        <v>4746</v>
      </c>
      <c r="V2560">
        <v>74</v>
      </c>
    </row>
    <row r="2561" spans="1:22" customFormat="1" ht="15" x14ac:dyDescent="0.25">
      <c r="A2561" t="s">
        <v>214</v>
      </c>
      <c r="B2561" t="s">
        <v>4707</v>
      </c>
      <c r="E2561" s="1515" t="s">
        <v>967</v>
      </c>
      <c r="F2561" s="1507"/>
      <c r="G2561" s="584"/>
      <c r="H2561" s="584"/>
      <c r="K2561" t="s">
        <v>1019</v>
      </c>
      <c r="V2561">
        <v>48</v>
      </c>
    </row>
    <row r="2562" spans="1:22" customFormat="1" ht="15" x14ac:dyDescent="0.25">
      <c r="A2562" t="s">
        <v>214</v>
      </c>
      <c r="B2562" t="s">
        <v>4707</v>
      </c>
      <c r="E2562" s="1507" t="s">
        <v>844</v>
      </c>
      <c r="F2562" s="1507"/>
      <c r="G2562" s="584" t="s">
        <v>845</v>
      </c>
      <c r="H2562" s="577">
        <v>4.1000000000000003E-3</v>
      </c>
      <c r="K2562" t="s">
        <v>4739</v>
      </c>
      <c r="L2562" t="s">
        <v>968</v>
      </c>
      <c r="P2562" t="s">
        <v>4747</v>
      </c>
      <c r="V2562">
        <v>55</v>
      </c>
    </row>
    <row r="2563" spans="1:22" customFormat="1" ht="15" x14ac:dyDescent="0.25">
      <c r="A2563" t="s">
        <v>214</v>
      </c>
      <c r="B2563" t="s">
        <v>4707</v>
      </c>
      <c r="E2563" s="1507" t="s">
        <v>846</v>
      </c>
      <c r="F2563" s="1507"/>
      <c r="G2563" s="584" t="s">
        <v>845</v>
      </c>
      <c r="H2563" s="577">
        <v>4.0000000000000002E-4</v>
      </c>
      <c r="K2563" t="s">
        <v>4739</v>
      </c>
      <c r="L2563" t="s">
        <v>968</v>
      </c>
      <c r="P2563" t="s">
        <v>4747</v>
      </c>
      <c r="V2563">
        <v>65</v>
      </c>
    </row>
    <row r="2564" spans="1:22" customFormat="1" ht="15" x14ac:dyDescent="0.25">
      <c r="A2564" t="s">
        <v>214</v>
      </c>
      <c r="B2564" t="s">
        <v>4707</v>
      </c>
      <c r="E2564" s="1507" t="s">
        <v>847</v>
      </c>
      <c r="F2564" s="1507"/>
      <c r="G2564" s="584" t="s">
        <v>845</v>
      </c>
      <c r="H2564" s="577">
        <v>1.5E-3</v>
      </c>
      <c r="K2564" t="s">
        <v>4739</v>
      </c>
      <c r="L2564" t="s">
        <v>968</v>
      </c>
      <c r="P2564" t="s">
        <v>4748</v>
      </c>
      <c r="V2564">
        <v>57</v>
      </c>
    </row>
    <row r="2565" spans="1:22" customFormat="1" ht="15" x14ac:dyDescent="0.25">
      <c r="A2565" t="s">
        <v>214</v>
      </c>
      <c r="B2565" t="s">
        <v>4707</v>
      </c>
      <c r="E2565" s="1507" t="s">
        <v>848</v>
      </c>
      <c r="F2565" s="1507"/>
      <c r="G2565" s="584" t="s">
        <v>777</v>
      </c>
      <c r="H2565" s="576">
        <v>0.25</v>
      </c>
      <c r="K2565" t="s">
        <v>4739</v>
      </c>
      <c r="L2565" t="s">
        <v>968</v>
      </c>
      <c r="P2565" t="s">
        <v>4749</v>
      </c>
      <c r="V2565">
        <v>63</v>
      </c>
    </row>
    <row r="2566" spans="1:22" customFormat="1" x14ac:dyDescent="0.25">
      <c r="A2566" t="s">
        <v>214</v>
      </c>
      <c r="B2566" t="s">
        <v>4707</v>
      </c>
      <c r="E2566" s="1492" t="s">
        <v>4750</v>
      </c>
      <c r="F2566" s="1493"/>
      <c r="G2566" s="1493"/>
      <c r="H2566" s="1493"/>
      <c r="K2566" t="s">
        <v>4751</v>
      </c>
      <c r="V2566">
        <v>56</v>
      </c>
    </row>
    <row r="2567" spans="1:22" customFormat="1" ht="15" x14ac:dyDescent="0.25">
      <c r="A2567" t="s">
        <v>214</v>
      </c>
      <c r="B2567" t="s">
        <v>4707</v>
      </c>
      <c r="E2567" s="1516" t="s">
        <v>4752</v>
      </c>
      <c r="F2567" s="1516"/>
      <c r="G2567" s="1516"/>
      <c r="H2567" s="1516"/>
      <c r="K2567" t="s">
        <v>4751</v>
      </c>
      <c r="V2567">
        <v>401</v>
      </c>
    </row>
    <row r="2568" spans="1:22" customFormat="1" ht="15" x14ac:dyDescent="0.25">
      <c r="A2568" t="s">
        <v>214</v>
      </c>
      <c r="B2568" t="s">
        <v>4707</v>
      </c>
      <c r="E2568" s="1515" t="s">
        <v>950</v>
      </c>
      <c r="F2568" s="1516"/>
      <c r="G2568" s="1516"/>
      <c r="H2568" s="1516"/>
      <c r="K2568" t="s">
        <v>1025</v>
      </c>
      <c r="V2568">
        <v>11</v>
      </c>
    </row>
    <row r="2569" spans="1:22" customFormat="1" ht="15" x14ac:dyDescent="0.25">
      <c r="A2569" t="s">
        <v>214</v>
      </c>
      <c r="B2569" t="s">
        <v>4707</v>
      </c>
      <c r="E2569" s="1516" t="s">
        <v>951</v>
      </c>
      <c r="F2569" s="1516"/>
      <c r="G2569" s="1516"/>
      <c r="H2569" s="1516"/>
      <c r="K2569" t="s">
        <v>4751</v>
      </c>
      <c r="V2569">
        <v>280</v>
      </c>
    </row>
    <row r="2570" spans="1:22" customFormat="1" ht="15" x14ac:dyDescent="0.25">
      <c r="A2570" t="s">
        <v>214</v>
      </c>
      <c r="B2570" t="s">
        <v>4707</v>
      </c>
      <c r="E2570" s="1516" t="s">
        <v>952</v>
      </c>
      <c r="F2570" s="1516"/>
      <c r="G2570" s="1516"/>
      <c r="H2570" s="1516"/>
      <c r="K2570" t="s">
        <v>4751</v>
      </c>
      <c r="V2570">
        <v>411</v>
      </c>
    </row>
    <row r="2571" spans="1:22" customFormat="1" ht="15" x14ac:dyDescent="0.25">
      <c r="A2571" t="s">
        <v>214</v>
      </c>
      <c r="B2571" t="s">
        <v>4707</v>
      </c>
      <c r="E2571" s="1516" t="s">
        <v>3761</v>
      </c>
      <c r="F2571" s="1516"/>
      <c r="G2571" s="1516"/>
      <c r="H2571" s="1516"/>
      <c r="K2571" t="s">
        <v>4751</v>
      </c>
      <c r="V2571">
        <v>387</v>
      </c>
    </row>
    <row r="2572" spans="1:22" customFormat="1" ht="15" x14ac:dyDescent="0.25">
      <c r="A2572" t="s">
        <v>214</v>
      </c>
      <c r="B2572" t="s">
        <v>4707</v>
      </c>
      <c r="E2572" s="1516" t="s">
        <v>3771</v>
      </c>
      <c r="F2572" s="1516"/>
      <c r="G2572" s="1516"/>
      <c r="H2572" s="1516"/>
      <c r="K2572" t="s">
        <v>4751</v>
      </c>
      <c r="V2572">
        <v>677</v>
      </c>
    </row>
    <row r="2573" spans="1:22" customFormat="1" ht="15" x14ac:dyDescent="0.25">
      <c r="A2573" t="s">
        <v>214</v>
      </c>
      <c r="B2573" t="s">
        <v>4707</v>
      </c>
      <c r="E2573" s="1516" t="s">
        <v>4741</v>
      </c>
      <c r="F2573" s="1516"/>
      <c r="G2573" s="1516"/>
      <c r="H2573" s="1516"/>
      <c r="K2573" t="s">
        <v>4751</v>
      </c>
      <c r="V2573">
        <v>684</v>
      </c>
    </row>
    <row r="2574" spans="1:22" customFormat="1" ht="15" x14ac:dyDescent="0.25">
      <c r="A2574" t="s">
        <v>214</v>
      </c>
      <c r="B2574" t="s">
        <v>4707</v>
      </c>
      <c r="E2574" s="1516" t="s">
        <v>3762</v>
      </c>
      <c r="F2574" s="1516"/>
      <c r="G2574" s="1516"/>
      <c r="H2574" s="1516"/>
      <c r="K2574" t="s">
        <v>4751</v>
      </c>
      <c r="V2574">
        <v>247</v>
      </c>
    </row>
    <row r="2575" spans="1:22" customFormat="1" ht="15" x14ac:dyDescent="0.25">
      <c r="A2575" t="s">
        <v>214</v>
      </c>
      <c r="B2575" t="s">
        <v>4707</v>
      </c>
      <c r="E2575" s="1515" t="s">
        <v>956</v>
      </c>
      <c r="F2575" s="1516"/>
      <c r="G2575" s="1516"/>
      <c r="H2575" s="1516"/>
      <c r="K2575" t="s">
        <v>1026</v>
      </c>
      <c r="V2575">
        <v>46</v>
      </c>
    </row>
    <row r="2576" spans="1:22" customFormat="1" ht="15" x14ac:dyDescent="0.25">
      <c r="A2576" t="s">
        <v>214</v>
      </c>
      <c r="B2576" t="s">
        <v>4707</v>
      </c>
      <c r="E2576" s="1507" t="s">
        <v>3773</v>
      </c>
      <c r="F2576" s="1507"/>
      <c r="G2576" s="584" t="s">
        <v>777</v>
      </c>
      <c r="H2576" s="576">
        <v>6902.97</v>
      </c>
      <c r="K2576" t="s">
        <v>4751</v>
      </c>
      <c r="L2576" t="s">
        <v>690</v>
      </c>
      <c r="P2576" t="s">
        <v>4753</v>
      </c>
      <c r="V2576">
        <v>14</v>
      </c>
    </row>
    <row r="2577" spans="1:22" customFormat="1" ht="15" x14ac:dyDescent="0.25">
      <c r="A2577" t="s">
        <v>214</v>
      </c>
      <c r="B2577" t="s">
        <v>4707</v>
      </c>
      <c r="E2577" s="1507" t="s">
        <v>6638</v>
      </c>
      <c r="F2577" s="1507"/>
      <c r="G2577" s="584" t="s">
        <v>777</v>
      </c>
      <c r="H2577" s="576">
        <v>118.34</v>
      </c>
      <c r="K2577" t="s">
        <v>4751</v>
      </c>
      <c r="L2577" t="s">
        <v>690</v>
      </c>
      <c r="P2577" t="s">
        <v>6658</v>
      </c>
      <c r="V2577">
        <v>164</v>
      </c>
    </row>
    <row r="2578" spans="1:22" customFormat="1" ht="15" x14ac:dyDescent="0.25">
      <c r="A2578" t="s">
        <v>214</v>
      </c>
      <c r="B2578" t="s">
        <v>4707</v>
      </c>
      <c r="E2578" s="1507" t="s">
        <v>6640</v>
      </c>
      <c r="F2578" s="1507"/>
      <c r="G2578" s="584" t="s">
        <v>777</v>
      </c>
      <c r="H2578" s="576">
        <v>51.58</v>
      </c>
      <c r="K2578" t="s">
        <v>4751</v>
      </c>
      <c r="L2578" t="s">
        <v>690</v>
      </c>
      <c r="P2578" t="s">
        <v>6659</v>
      </c>
      <c r="V2578">
        <v>140</v>
      </c>
    </row>
    <row r="2579" spans="1:22" customFormat="1" ht="15" x14ac:dyDescent="0.25">
      <c r="A2579" t="s">
        <v>214</v>
      </c>
      <c r="B2579" t="s">
        <v>4707</v>
      </c>
      <c r="E2579" s="1507" t="s">
        <v>4711</v>
      </c>
      <c r="F2579" s="1507"/>
      <c r="G2579" s="584" t="s">
        <v>777</v>
      </c>
      <c r="H2579" s="576">
        <v>383.39</v>
      </c>
      <c r="K2579" t="s">
        <v>4751</v>
      </c>
      <c r="L2579" t="s">
        <v>690</v>
      </c>
      <c r="P2579" t="s">
        <v>6660</v>
      </c>
      <c r="V2579">
        <v>134</v>
      </c>
    </row>
    <row r="2580" spans="1:22" customFormat="1" ht="15" x14ac:dyDescent="0.25">
      <c r="A2580" t="s">
        <v>214</v>
      </c>
      <c r="B2580" t="s">
        <v>4707</v>
      </c>
      <c r="E2580" s="1507" t="s">
        <v>3688</v>
      </c>
      <c r="F2580" s="1507"/>
      <c r="G2580" s="584" t="s">
        <v>3775</v>
      </c>
      <c r="H2580" s="577">
        <v>2.5676000000000001</v>
      </c>
      <c r="K2580" t="s">
        <v>4751</v>
      </c>
      <c r="L2580" t="s">
        <v>690</v>
      </c>
      <c r="P2580" t="s">
        <v>4754</v>
      </c>
      <c r="V2580">
        <v>28</v>
      </c>
    </row>
    <row r="2581" spans="1:22" customFormat="1" ht="15" x14ac:dyDescent="0.25">
      <c r="A2581" t="s">
        <v>214</v>
      </c>
      <c r="B2581" t="s">
        <v>4707</v>
      </c>
      <c r="E2581" s="1507" t="s">
        <v>910</v>
      </c>
      <c r="F2581" s="1507"/>
      <c r="G2581" s="584" t="s">
        <v>3775</v>
      </c>
      <c r="H2581" s="577">
        <v>0.65639999999999998</v>
      </c>
      <c r="K2581" t="s">
        <v>4751</v>
      </c>
      <c r="L2581" t="s">
        <v>692</v>
      </c>
      <c r="P2581" t="s">
        <v>4755</v>
      </c>
      <c r="V2581">
        <v>24</v>
      </c>
    </row>
    <row r="2582" spans="1:22" customFormat="1" ht="15" x14ac:dyDescent="0.25">
      <c r="A2582" t="s">
        <v>214</v>
      </c>
      <c r="B2582" t="s">
        <v>4707</v>
      </c>
      <c r="E2582" s="1507" t="s">
        <v>4711</v>
      </c>
      <c r="F2582" s="1507"/>
      <c r="G2582" s="584" t="s">
        <v>3775</v>
      </c>
      <c r="H2582" s="577">
        <v>0.1426</v>
      </c>
      <c r="K2582" t="s">
        <v>4751</v>
      </c>
      <c r="L2582" t="s">
        <v>690</v>
      </c>
      <c r="P2582" t="s">
        <v>6661</v>
      </c>
      <c r="V2582">
        <v>134</v>
      </c>
    </row>
    <row r="2583" spans="1:22" customFormat="1" ht="15" x14ac:dyDescent="0.25">
      <c r="A2583" t="s">
        <v>214</v>
      </c>
      <c r="B2583" t="s">
        <v>4707</v>
      </c>
      <c r="E2583" s="1507" t="s">
        <v>6627</v>
      </c>
      <c r="F2583" s="1507"/>
      <c r="G2583" s="584" t="s">
        <v>3775</v>
      </c>
      <c r="H2583" s="577">
        <v>8.3000000000000004E-2</v>
      </c>
      <c r="K2583" t="s">
        <v>4751</v>
      </c>
      <c r="L2583" t="s">
        <v>690</v>
      </c>
      <c r="P2583" t="s">
        <v>6662</v>
      </c>
      <c r="T2583">
        <v>46022</v>
      </c>
      <c r="V2583">
        <v>88</v>
      </c>
    </row>
    <row r="2584" spans="1:22" customFormat="1" ht="15" x14ac:dyDescent="0.25">
      <c r="A2584" t="s">
        <v>214</v>
      </c>
      <c r="B2584" t="s">
        <v>4707</v>
      </c>
      <c r="E2584" s="1507" t="s">
        <v>6638</v>
      </c>
      <c r="F2584" s="1507"/>
      <c r="G2584" s="584" t="s">
        <v>3775</v>
      </c>
      <c r="H2584" s="577">
        <v>4.3999999999999997E-2</v>
      </c>
      <c r="K2584" t="s">
        <v>4751</v>
      </c>
      <c r="L2584" t="s">
        <v>690</v>
      </c>
      <c r="P2584" t="s">
        <v>6663</v>
      </c>
      <c r="V2584">
        <v>164</v>
      </c>
    </row>
    <row r="2585" spans="1:22" customFormat="1" ht="15" x14ac:dyDescent="0.25">
      <c r="A2585" t="s">
        <v>214</v>
      </c>
      <c r="B2585" t="s">
        <v>4707</v>
      </c>
      <c r="E2585" s="1507" t="s">
        <v>243</v>
      </c>
      <c r="F2585" s="1507"/>
      <c r="G2585" s="584" t="s">
        <v>3775</v>
      </c>
      <c r="H2585" s="577">
        <v>5.5510000000000002</v>
      </c>
      <c r="K2585" t="s">
        <v>4751</v>
      </c>
      <c r="L2585" t="s">
        <v>694</v>
      </c>
      <c r="P2585" t="s">
        <v>4756</v>
      </c>
      <c r="V2585">
        <v>47</v>
      </c>
    </row>
    <row r="2586" spans="1:22" customFormat="1" ht="15" x14ac:dyDescent="0.25">
      <c r="A2586" t="s">
        <v>214</v>
      </c>
      <c r="B2586" t="s">
        <v>4707</v>
      </c>
      <c r="E2586" s="1507" t="s">
        <v>4121</v>
      </c>
      <c r="F2586" s="1507"/>
      <c r="G2586" s="584" t="s">
        <v>3775</v>
      </c>
      <c r="H2586" s="577">
        <v>3.6625000000000001</v>
      </c>
      <c r="K2586" t="s">
        <v>4751</v>
      </c>
      <c r="L2586" t="s">
        <v>694</v>
      </c>
      <c r="P2586" t="s">
        <v>4757</v>
      </c>
      <c r="V2586">
        <v>75</v>
      </c>
    </row>
    <row r="2587" spans="1:22" customFormat="1" ht="15" x14ac:dyDescent="0.25">
      <c r="A2587" t="s">
        <v>214</v>
      </c>
      <c r="B2587" t="s">
        <v>4707</v>
      </c>
      <c r="E2587" s="1515" t="s">
        <v>967</v>
      </c>
      <c r="F2587" s="1507"/>
      <c r="G2587" s="584"/>
      <c r="H2587" s="584"/>
      <c r="K2587" t="s">
        <v>1035</v>
      </c>
      <c r="V2587">
        <v>48</v>
      </c>
    </row>
    <row r="2588" spans="1:22" customFormat="1" ht="15" x14ac:dyDescent="0.25">
      <c r="A2588" t="s">
        <v>214</v>
      </c>
      <c r="B2588" t="s">
        <v>4707</v>
      </c>
      <c r="E2588" s="1507" t="s">
        <v>844</v>
      </c>
      <c r="F2588" s="1507"/>
      <c r="G2588" s="584" t="s">
        <v>845</v>
      </c>
      <c r="H2588" s="577">
        <v>4.1000000000000003E-3</v>
      </c>
      <c r="K2588" t="s">
        <v>4751</v>
      </c>
      <c r="L2588" t="s">
        <v>968</v>
      </c>
      <c r="P2588" t="s">
        <v>4758</v>
      </c>
      <c r="V2588">
        <v>55</v>
      </c>
    </row>
    <row r="2589" spans="1:22" customFormat="1" ht="15" x14ac:dyDescent="0.25">
      <c r="A2589" t="s">
        <v>214</v>
      </c>
      <c r="B2589" t="s">
        <v>4707</v>
      </c>
      <c r="E2589" s="1507" t="s">
        <v>846</v>
      </c>
      <c r="F2589" s="1507"/>
      <c r="G2589" s="584" t="s">
        <v>845</v>
      </c>
      <c r="H2589" s="577">
        <v>4.0000000000000002E-4</v>
      </c>
      <c r="K2589" t="s">
        <v>4751</v>
      </c>
      <c r="L2589" t="s">
        <v>968</v>
      </c>
      <c r="P2589" t="s">
        <v>4758</v>
      </c>
      <c r="V2589">
        <v>65</v>
      </c>
    </row>
    <row r="2590" spans="1:22" customFormat="1" ht="15" x14ac:dyDescent="0.25">
      <c r="A2590" t="s">
        <v>214</v>
      </c>
      <c r="B2590" t="s">
        <v>4707</v>
      </c>
      <c r="E2590" s="1507" t="s">
        <v>847</v>
      </c>
      <c r="F2590" s="1507"/>
      <c r="G2590" s="584" t="s">
        <v>845</v>
      </c>
      <c r="H2590" s="577">
        <v>1.5E-3</v>
      </c>
      <c r="K2590" t="s">
        <v>4751</v>
      </c>
      <c r="L2590" t="s">
        <v>968</v>
      </c>
      <c r="P2590" t="s">
        <v>4759</v>
      </c>
      <c r="V2590">
        <v>57</v>
      </c>
    </row>
    <row r="2591" spans="1:22" customFormat="1" ht="15" x14ac:dyDescent="0.25">
      <c r="A2591" t="s">
        <v>214</v>
      </c>
      <c r="B2591" t="s">
        <v>4707</v>
      </c>
      <c r="E2591" s="1507" t="s">
        <v>848</v>
      </c>
      <c r="F2591" s="1507"/>
      <c r="G2591" s="584" t="s">
        <v>777</v>
      </c>
      <c r="H2591" s="576">
        <v>0.25</v>
      </c>
      <c r="K2591" t="s">
        <v>4751</v>
      </c>
      <c r="L2591" t="s">
        <v>968</v>
      </c>
      <c r="P2591" t="s">
        <v>4760</v>
      </c>
      <c r="V2591">
        <v>63</v>
      </c>
    </row>
    <row r="2592" spans="1:22" customFormat="1" x14ac:dyDescent="0.25">
      <c r="A2592" t="s">
        <v>214</v>
      </c>
      <c r="B2592" t="s">
        <v>4707</v>
      </c>
      <c r="E2592" s="1492" t="s">
        <v>189</v>
      </c>
      <c r="F2592" s="1493"/>
      <c r="G2592" s="1493"/>
      <c r="H2592" s="1493"/>
      <c r="K2592" t="s">
        <v>4761</v>
      </c>
      <c r="V2592">
        <v>32</v>
      </c>
    </row>
    <row r="2593" spans="1:22" customFormat="1" ht="15" x14ac:dyDescent="0.25">
      <c r="A2593" t="s">
        <v>214</v>
      </c>
      <c r="B2593" t="s">
        <v>4707</v>
      </c>
      <c r="E2593" s="1516" t="s">
        <v>4762</v>
      </c>
      <c r="F2593" s="1516"/>
      <c r="G2593" s="1516"/>
      <c r="H2593" s="1516"/>
      <c r="K2593" t="s">
        <v>4761</v>
      </c>
      <c r="V2593">
        <v>327</v>
      </c>
    </row>
    <row r="2594" spans="1:22" customFormat="1" ht="15" x14ac:dyDescent="0.25">
      <c r="A2594" t="s">
        <v>214</v>
      </c>
      <c r="B2594" t="s">
        <v>4707</v>
      </c>
      <c r="E2594" s="1515" t="s">
        <v>950</v>
      </c>
      <c r="F2594" s="1516"/>
      <c r="G2594" s="1516"/>
      <c r="H2594" s="1516"/>
      <c r="K2594" t="s">
        <v>1041</v>
      </c>
      <c r="V2594">
        <v>11</v>
      </c>
    </row>
    <row r="2595" spans="1:22" customFormat="1" ht="15" x14ac:dyDescent="0.25">
      <c r="A2595" t="s">
        <v>214</v>
      </c>
      <c r="B2595" t="s">
        <v>4707</v>
      </c>
      <c r="E2595" s="1516" t="s">
        <v>951</v>
      </c>
      <c r="F2595" s="1516"/>
      <c r="G2595" s="1516"/>
      <c r="H2595" s="1516"/>
      <c r="K2595" t="s">
        <v>4761</v>
      </c>
      <c r="V2595">
        <v>280</v>
      </c>
    </row>
    <row r="2596" spans="1:22" customFormat="1" ht="15" x14ac:dyDescent="0.25">
      <c r="A2596" t="s">
        <v>214</v>
      </c>
      <c r="B2596" t="s">
        <v>4707</v>
      </c>
      <c r="E2596" s="1516" t="s">
        <v>952</v>
      </c>
      <c r="F2596" s="1516"/>
      <c r="G2596" s="1516"/>
      <c r="H2596" s="1516"/>
      <c r="K2596" t="s">
        <v>4761</v>
      </c>
      <c r="V2596">
        <v>411</v>
      </c>
    </row>
    <row r="2597" spans="1:22" customFormat="1" ht="15" x14ac:dyDescent="0.25">
      <c r="A2597" t="s">
        <v>214</v>
      </c>
      <c r="B2597" t="s">
        <v>4707</v>
      </c>
      <c r="E2597" s="1516" t="s">
        <v>3761</v>
      </c>
      <c r="F2597" s="1516"/>
      <c r="G2597" s="1516"/>
      <c r="H2597" s="1516"/>
      <c r="K2597" t="s">
        <v>4761</v>
      </c>
      <c r="V2597">
        <v>387</v>
      </c>
    </row>
    <row r="2598" spans="1:22" customFormat="1" ht="15" x14ac:dyDescent="0.25">
      <c r="A2598" t="s">
        <v>214</v>
      </c>
      <c r="B2598" t="s">
        <v>4707</v>
      </c>
      <c r="E2598" s="1516" t="s">
        <v>3771</v>
      </c>
      <c r="F2598" s="1516"/>
      <c r="G2598" s="1516"/>
      <c r="H2598" s="1516"/>
      <c r="K2598" t="s">
        <v>4761</v>
      </c>
      <c r="V2598">
        <v>677</v>
      </c>
    </row>
    <row r="2599" spans="1:22" customFormat="1" ht="15" x14ac:dyDescent="0.25">
      <c r="A2599" t="s">
        <v>214</v>
      </c>
      <c r="B2599" t="s">
        <v>4707</v>
      </c>
      <c r="E2599" s="1516" t="s">
        <v>4741</v>
      </c>
      <c r="F2599" s="1516"/>
      <c r="G2599" s="1516"/>
      <c r="H2599" s="1516"/>
      <c r="K2599" t="s">
        <v>4761</v>
      </c>
      <c r="V2599">
        <v>684</v>
      </c>
    </row>
    <row r="2600" spans="1:22" customFormat="1" ht="15" x14ac:dyDescent="0.25">
      <c r="A2600" t="s">
        <v>214</v>
      </c>
      <c r="B2600" t="s">
        <v>4707</v>
      </c>
      <c r="E2600" s="1516" t="s">
        <v>3762</v>
      </c>
      <c r="F2600" s="1516"/>
      <c r="G2600" s="1516"/>
      <c r="H2600" s="1516"/>
      <c r="K2600" t="s">
        <v>4761</v>
      </c>
      <c r="V2600">
        <v>247</v>
      </c>
    </row>
    <row r="2601" spans="1:22" customFormat="1" ht="15" x14ac:dyDescent="0.25">
      <c r="A2601" t="s">
        <v>214</v>
      </c>
      <c r="B2601" t="s">
        <v>4707</v>
      </c>
      <c r="E2601" s="1515" t="s">
        <v>956</v>
      </c>
      <c r="F2601" s="1516"/>
      <c r="G2601" s="1516"/>
      <c r="H2601" s="1516"/>
      <c r="K2601" t="s">
        <v>1042</v>
      </c>
      <c r="V2601">
        <v>46</v>
      </c>
    </row>
    <row r="2602" spans="1:22" customFormat="1" ht="15" x14ac:dyDescent="0.25">
      <c r="A2602" t="s">
        <v>214</v>
      </c>
      <c r="B2602" t="s">
        <v>4707</v>
      </c>
      <c r="E2602" s="1507" t="s">
        <v>3773</v>
      </c>
      <c r="F2602" s="1507"/>
      <c r="G2602" s="584" t="s">
        <v>777</v>
      </c>
      <c r="H2602" s="576">
        <v>10369.67</v>
      </c>
      <c r="K2602" t="s">
        <v>4761</v>
      </c>
      <c r="L2602" t="s">
        <v>690</v>
      </c>
      <c r="P2602" t="s">
        <v>4763</v>
      </c>
      <c r="V2602">
        <v>14</v>
      </c>
    </row>
    <row r="2603" spans="1:22" customFormat="1" ht="15" x14ac:dyDescent="0.25">
      <c r="A2603" t="s">
        <v>214</v>
      </c>
      <c r="B2603" t="s">
        <v>4707</v>
      </c>
      <c r="E2603" s="1507" t="s">
        <v>6638</v>
      </c>
      <c r="F2603" s="1507"/>
      <c r="G2603" s="584" t="s">
        <v>777</v>
      </c>
      <c r="H2603" s="576">
        <v>177.77</v>
      </c>
      <c r="K2603" t="s">
        <v>4761</v>
      </c>
      <c r="L2603" t="s">
        <v>690</v>
      </c>
      <c r="P2603" t="s">
        <v>6664</v>
      </c>
      <c r="V2603">
        <v>164</v>
      </c>
    </row>
    <row r="2604" spans="1:22" customFormat="1" ht="15" x14ac:dyDescent="0.25">
      <c r="A2604" t="s">
        <v>214</v>
      </c>
      <c r="B2604" t="s">
        <v>4707</v>
      </c>
      <c r="E2604" s="1507" t="s">
        <v>6640</v>
      </c>
      <c r="F2604" s="1507"/>
      <c r="G2604" s="584" t="s">
        <v>777</v>
      </c>
      <c r="H2604" s="576">
        <v>70.27</v>
      </c>
      <c r="K2604" t="s">
        <v>4761</v>
      </c>
      <c r="L2604" t="s">
        <v>690</v>
      </c>
      <c r="P2604" t="s">
        <v>6665</v>
      </c>
      <c r="V2604">
        <v>140</v>
      </c>
    </row>
    <row r="2605" spans="1:22" customFormat="1" ht="15" x14ac:dyDescent="0.25">
      <c r="A2605" t="s">
        <v>214</v>
      </c>
      <c r="B2605" t="s">
        <v>4707</v>
      </c>
      <c r="E2605" s="1507" t="s">
        <v>4711</v>
      </c>
      <c r="F2605" s="1507"/>
      <c r="G2605" s="584" t="s">
        <v>777</v>
      </c>
      <c r="H2605" s="576">
        <v>575.92999999999995</v>
      </c>
      <c r="K2605" t="s">
        <v>4761</v>
      </c>
      <c r="L2605" t="s">
        <v>690</v>
      </c>
      <c r="P2605" t="s">
        <v>6666</v>
      </c>
      <c r="V2605">
        <v>134</v>
      </c>
    </row>
    <row r="2606" spans="1:22" customFormat="1" ht="15" x14ac:dyDescent="0.25">
      <c r="A2606" t="s">
        <v>214</v>
      </c>
      <c r="B2606" t="s">
        <v>4707</v>
      </c>
      <c r="E2606" s="1507" t="s">
        <v>3688</v>
      </c>
      <c r="F2606" s="1507"/>
      <c r="G2606" s="584" t="s">
        <v>3775</v>
      </c>
      <c r="H2606" s="577">
        <v>3.6162999999999998</v>
      </c>
      <c r="K2606" t="s">
        <v>4761</v>
      </c>
      <c r="L2606" t="s">
        <v>690</v>
      </c>
      <c r="P2606" t="s">
        <v>4764</v>
      </c>
      <c r="V2606">
        <v>28</v>
      </c>
    </row>
    <row r="2607" spans="1:22" customFormat="1" ht="15" x14ac:dyDescent="0.25">
      <c r="A2607" t="s">
        <v>214</v>
      </c>
      <c r="B2607" t="s">
        <v>4707</v>
      </c>
      <c r="E2607" s="1507" t="s">
        <v>910</v>
      </c>
      <c r="F2607" s="1507"/>
      <c r="G2607" s="584" t="s">
        <v>3775</v>
      </c>
      <c r="H2607" s="577">
        <v>0.65639999999999998</v>
      </c>
      <c r="K2607" t="s">
        <v>4761</v>
      </c>
      <c r="L2607" t="s">
        <v>692</v>
      </c>
      <c r="P2607" t="s">
        <v>4765</v>
      </c>
      <c r="V2607">
        <v>24</v>
      </c>
    </row>
    <row r="2608" spans="1:22" customFormat="1" ht="15" x14ac:dyDescent="0.25">
      <c r="A2608" t="s">
        <v>214</v>
      </c>
      <c r="B2608" t="s">
        <v>4707</v>
      </c>
      <c r="E2608" s="1507" t="s">
        <v>4711</v>
      </c>
      <c r="F2608" s="1507"/>
      <c r="G2608" s="584" t="s">
        <v>3775</v>
      </c>
      <c r="H2608" s="577">
        <v>0.20080000000000001</v>
      </c>
      <c r="K2608" t="s">
        <v>4761</v>
      </c>
      <c r="L2608" t="s">
        <v>690</v>
      </c>
      <c r="P2608" t="s">
        <v>6667</v>
      </c>
      <c r="V2608">
        <v>134</v>
      </c>
    </row>
    <row r="2609" spans="1:22" customFormat="1" ht="15" x14ac:dyDescent="0.25">
      <c r="A2609" t="s">
        <v>214</v>
      </c>
      <c r="B2609" t="s">
        <v>4707</v>
      </c>
      <c r="E2609" s="1507" t="s">
        <v>6627</v>
      </c>
      <c r="F2609" s="1507"/>
      <c r="G2609" s="584" t="s">
        <v>3775</v>
      </c>
      <c r="H2609" s="577">
        <v>0.22589999999999999</v>
      </c>
      <c r="K2609" t="s">
        <v>4761</v>
      </c>
      <c r="L2609" t="s">
        <v>690</v>
      </c>
      <c r="P2609" t="s">
        <v>6668</v>
      </c>
      <c r="T2609">
        <v>46022</v>
      </c>
      <c r="V2609">
        <v>88</v>
      </c>
    </row>
    <row r="2610" spans="1:22" customFormat="1" ht="15" x14ac:dyDescent="0.25">
      <c r="A2610" t="s">
        <v>214</v>
      </c>
      <c r="B2610" t="s">
        <v>4707</v>
      </c>
      <c r="E2610" s="1507" t="s">
        <v>6638</v>
      </c>
      <c r="F2610" s="1507"/>
      <c r="G2610" s="584" t="s">
        <v>3775</v>
      </c>
      <c r="H2610" s="577">
        <v>6.2E-2</v>
      </c>
      <c r="K2610" t="s">
        <v>4761</v>
      </c>
      <c r="L2610" t="s">
        <v>690</v>
      </c>
      <c r="P2610" t="s">
        <v>6669</v>
      </c>
      <c r="V2610">
        <v>164</v>
      </c>
    </row>
    <row r="2611" spans="1:22" customFormat="1" ht="15" x14ac:dyDescent="0.25">
      <c r="A2611" t="s">
        <v>214</v>
      </c>
      <c r="B2611" t="s">
        <v>4707</v>
      </c>
      <c r="E2611" s="1507" t="s">
        <v>243</v>
      </c>
      <c r="F2611" s="1507"/>
      <c r="G2611" s="584" t="s">
        <v>3775</v>
      </c>
      <c r="H2611" s="577">
        <v>5.5510000000000002</v>
      </c>
      <c r="K2611" t="s">
        <v>4761</v>
      </c>
      <c r="L2611" t="s">
        <v>694</v>
      </c>
      <c r="P2611" t="s">
        <v>4767</v>
      </c>
      <c r="V2611">
        <v>47</v>
      </c>
    </row>
    <row r="2612" spans="1:22" customFormat="1" ht="15" x14ac:dyDescent="0.25">
      <c r="A2612" t="s">
        <v>214</v>
      </c>
      <c r="B2612" t="s">
        <v>4707</v>
      </c>
      <c r="E2612" s="1507" t="s">
        <v>4121</v>
      </c>
      <c r="F2612" s="1507"/>
      <c r="G2612" s="584" t="s">
        <v>3775</v>
      </c>
      <c r="H2612" s="577">
        <v>3.6625000000000001</v>
      </c>
      <c r="K2612" t="s">
        <v>4761</v>
      </c>
      <c r="L2612" t="s">
        <v>694</v>
      </c>
      <c r="P2612" t="s">
        <v>4768</v>
      </c>
      <c r="V2612">
        <v>75</v>
      </c>
    </row>
    <row r="2613" spans="1:22" customFormat="1" ht="15" x14ac:dyDescent="0.25">
      <c r="A2613" t="s">
        <v>214</v>
      </c>
      <c r="B2613" t="s">
        <v>4707</v>
      </c>
      <c r="E2613" s="1515" t="s">
        <v>967</v>
      </c>
      <c r="F2613" s="1507"/>
      <c r="G2613" s="584"/>
      <c r="H2613" s="584"/>
      <c r="K2613" t="s">
        <v>1049</v>
      </c>
      <c r="V2613">
        <v>48</v>
      </c>
    </row>
    <row r="2614" spans="1:22" customFormat="1" ht="15" x14ac:dyDescent="0.25">
      <c r="A2614" t="s">
        <v>214</v>
      </c>
      <c r="B2614" t="s">
        <v>4707</v>
      </c>
      <c r="E2614" s="1507" t="s">
        <v>844</v>
      </c>
      <c r="F2614" s="1507"/>
      <c r="G2614" s="584" t="s">
        <v>845</v>
      </c>
      <c r="H2614" s="577">
        <v>4.1000000000000003E-3</v>
      </c>
      <c r="K2614" t="s">
        <v>4761</v>
      </c>
      <c r="L2614" t="s">
        <v>968</v>
      </c>
      <c r="P2614" t="s">
        <v>4769</v>
      </c>
      <c r="V2614">
        <v>55</v>
      </c>
    </row>
    <row r="2615" spans="1:22" customFormat="1" ht="15" x14ac:dyDescent="0.25">
      <c r="A2615" t="s">
        <v>214</v>
      </c>
      <c r="B2615" t="s">
        <v>4707</v>
      </c>
      <c r="E2615" s="1507" t="s">
        <v>846</v>
      </c>
      <c r="F2615" s="1507"/>
      <c r="G2615" s="584" t="s">
        <v>845</v>
      </c>
      <c r="H2615" s="577">
        <v>4.0000000000000002E-4</v>
      </c>
      <c r="K2615" t="s">
        <v>4761</v>
      </c>
      <c r="L2615" t="s">
        <v>968</v>
      </c>
      <c r="P2615" t="s">
        <v>4769</v>
      </c>
      <c r="V2615">
        <v>65</v>
      </c>
    </row>
    <row r="2616" spans="1:22" customFormat="1" ht="15" x14ac:dyDescent="0.25">
      <c r="A2616" t="s">
        <v>214</v>
      </c>
      <c r="B2616" t="s">
        <v>4707</v>
      </c>
      <c r="E2616" s="1507" t="s">
        <v>847</v>
      </c>
      <c r="F2616" s="1507"/>
      <c r="G2616" s="584" t="s">
        <v>845</v>
      </c>
      <c r="H2616" s="577">
        <v>1.5E-3</v>
      </c>
      <c r="K2616" t="s">
        <v>4761</v>
      </c>
      <c r="L2616" t="s">
        <v>968</v>
      </c>
      <c r="P2616" t="s">
        <v>4770</v>
      </c>
      <c r="V2616">
        <v>57</v>
      </c>
    </row>
    <row r="2617" spans="1:22" customFormat="1" ht="15" x14ac:dyDescent="0.25">
      <c r="A2617" t="s">
        <v>214</v>
      </c>
      <c r="B2617" t="s">
        <v>4707</v>
      </c>
      <c r="E2617" s="1507" t="s">
        <v>848</v>
      </c>
      <c r="F2617" s="1507"/>
      <c r="G2617" s="584" t="s">
        <v>777</v>
      </c>
      <c r="H2617" s="576">
        <v>0.25</v>
      </c>
      <c r="K2617" t="s">
        <v>4761</v>
      </c>
      <c r="L2617" t="s">
        <v>968</v>
      </c>
      <c r="P2617" t="s">
        <v>4771</v>
      </c>
      <c r="V2617">
        <v>63</v>
      </c>
    </row>
    <row r="2618" spans="1:22" customFormat="1" x14ac:dyDescent="0.25">
      <c r="A2618" t="s">
        <v>214</v>
      </c>
      <c r="B2618" t="s">
        <v>4707</v>
      </c>
      <c r="E2618" s="1492" t="s">
        <v>194</v>
      </c>
      <c r="F2618" s="1493"/>
      <c r="G2618" s="1493"/>
      <c r="H2618" s="1493"/>
      <c r="K2618" t="s">
        <v>4265</v>
      </c>
      <c r="V2618">
        <v>47</v>
      </c>
    </row>
    <row r="2619" spans="1:22" customFormat="1" ht="15" x14ac:dyDescent="0.25">
      <c r="A2619" t="s">
        <v>214</v>
      </c>
      <c r="B2619" t="s">
        <v>4707</v>
      </c>
      <c r="E2619" s="1516" t="s">
        <v>4772</v>
      </c>
      <c r="F2619" s="1516"/>
      <c r="G2619" s="1516"/>
      <c r="H2619" s="1516"/>
      <c r="K2619" t="s">
        <v>4265</v>
      </c>
      <c r="V2619">
        <v>598</v>
      </c>
    </row>
    <row r="2620" spans="1:22" customFormat="1" ht="15" x14ac:dyDescent="0.25">
      <c r="A2620" t="s">
        <v>214</v>
      </c>
      <c r="B2620" t="s">
        <v>4707</v>
      </c>
      <c r="E2620" s="1515" t="s">
        <v>950</v>
      </c>
      <c r="F2620" s="1516"/>
      <c r="G2620" s="1516"/>
      <c r="H2620" s="1516"/>
      <c r="K2620" t="s">
        <v>1055</v>
      </c>
      <c r="V2620">
        <v>11</v>
      </c>
    </row>
    <row r="2621" spans="1:22" customFormat="1" ht="15" x14ac:dyDescent="0.25">
      <c r="A2621" t="s">
        <v>214</v>
      </c>
      <c r="B2621" t="s">
        <v>4707</v>
      </c>
      <c r="E2621" s="1516" t="s">
        <v>951</v>
      </c>
      <c r="F2621" s="1516"/>
      <c r="G2621" s="1516"/>
      <c r="H2621" s="1516"/>
      <c r="K2621" t="s">
        <v>4265</v>
      </c>
      <c r="V2621">
        <v>280</v>
      </c>
    </row>
    <row r="2622" spans="1:22" customFormat="1" ht="15" x14ac:dyDescent="0.25">
      <c r="A2622" t="s">
        <v>214</v>
      </c>
      <c r="B2622" t="s">
        <v>4707</v>
      </c>
      <c r="E2622" s="1516" t="s">
        <v>952</v>
      </c>
      <c r="F2622" s="1516"/>
      <c r="G2622" s="1516"/>
      <c r="H2622" s="1516"/>
      <c r="K2622" t="s">
        <v>4265</v>
      </c>
      <c r="V2622">
        <v>411</v>
      </c>
    </row>
    <row r="2623" spans="1:22" customFormat="1" ht="15" x14ac:dyDescent="0.25">
      <c r="A2623" t="s">
        <v>214</v>
      </c>
      <c r="B2623" t="s">
        <v>4707</v>
      </c>
      <c r="E2623" s="1516" t="s">
        <v>3761</v>
      </c>
      <c r="F2623" s="1516"/>
      <c r="G2623" s="1516"/>
      <c r="H2623" s="1516"/>
      <c r="K2623" t="s">
        <v>4265</v>
      </c>
      <c r="V2623">
        <v>387</v>
      </c>
    </row>
    <row r="2624" spans="1:22" customFormat="1" ht="15" x14ac:dyDescent="0.25">
      <c r="A2624" t="s">
        <v>214</v>
      </c>
      <c r="B2624" t="s">
        <v>4707</v>
      </c>
      <c r="E2624" s="1516" t="s">
        <v>3762</v>
      </c>
      <c r="F2624" s="1516"/>
      <c r="G2624" s="1516"/>
      <c r="H2624" s="1516"/>
      <c r="K2624" t="s">
        <v>4265</v>
      </c>
      <c r="V2624">
        <v>247</v>
      </c>
    </row>
    <row r="2625" spans="1:22" customFormat="1" ht="15" x14ac:dyDescent="0.25">
      <c r="A2625" t="s">
        <v>214</v>
      </c>
      <c r="B2625" t="s">
        <v>4707</v>
      </c>
      <c r="E2625" s="1515" t="s">
        <v>956</v>
      </c>
      <c r="F2625" s="1516"/>
      <c r="G2625" s="1516"/>
      <c r="H2625" s="1516"/>
      <c r="K2625" t="s">
        <v>1056</v>
      </c>
      <c r="V2625">
        <v>46</v>
      </c>
    </row>
    <row r="2626" spans="1:22" customFormat="1" ht="15" x14ac:dyDescent="0.25">
      <c r="A2626" t="s">
        <v>214</v>
      </c>
      <c r="B2626" t="s">
        <v>4707</v>
      </c>
      <c r="E2626" s="1507" t="s">
        <v>3874</v>
      </c>
      <c r="F2626" s="1507"/>
      <c r="G2626" s="584" t="s">
        <v>777</v>
      </c>
      <c r="H2626" s="576">
        <v>8.39</v>
      </c>
      <c r="K2626" t="s">
        <v>4265</v>
      </c>
      <c r="L2626" t="s">
        <v>690</v>
      </c>
      <c r="P2626" t="s">
        <v>4267</v>
      </c>
      <c r="V2626">
        <v>31</v>
      </c>
    </row>
    <row r="2627" spans="1:22" customFormat="1" ht="15" x14ac:dyDescent="0.25">
      <c r="A2627" t="s">
        <v>214</v>
      </c>
      <c r="B2627" t="s">
        <v>4707</v>
      </c>
      <c r="E2627" s="1507" t="s">
        <v>6638</v>
      </c>
      <c r="F2627" s="1507"/>
      <c r="G2627" s="584" t="s">
        <v>777</v>
      </c>
      <c r="H2627" s="576">
        <v>0.14000000000000001</v>
      </c>
      <c r="K2627" t="s">
        <v>4265</v>
      </c>
      <c r="L2627" t="s">
        <v>690</v>
      </c>
      <c r="P2627" t="s">
        <v>6670</v>
      </c>
      <c r="V2627">
        <v>164</v>
      </c>
    </row>
    <row r="2628" spans="1:22" customFormat="1" ht="15" x14ac:dyDescent="0.25">
      <c r="A2628" t="s">
        <v>214</v>
      </c>
      <c r="B2628" t="s">
        <v>4707</v>
      </c>
      <c r="E2628" s="1507" t="s">
        <v>6671</v>
      </c>
      <c r="F2628" s="1507"/>
      <c r="G2628" s="584" t="s">
        <v>777</v>
      </c>
      <c r="H2628" s="576">
        <v>0.08</v>
      </c>
      <c r="K2628" t="s">
        <v>4265</v>
      </c>
      <c r="L2628" t="s">
        <v>690</v>
      </c>
      <c r="P2628" t="s">
        <v>6672</v>
      </c>
      <c r="V2628">
        <v>146</v>
      </c>
    </row>
    <row r="2629" spans="1:22" customFormat="1" ht="15" x14ac:dyDescent="0.25">
      <c r="A2629" t="s">
        <v>214</v>
      </c>
      <c r="B2629" t="s">
        <v>4707</v>
      </c>
      <c r="E2629" s="1507" t="s">
        <v>4711</v>
      </c>
      <c r="F2629" s="1507"/>
      <c r="G2629" s="584" t="s">
        <v>777</v>
      </c>
      <c r="H2629" s="576">
        <v>0.47</v>
      </c>
      <c r="K2629" t="s">
        <v>4265</v>
      </c>
      <c r="L2629" t="s">
        <v>690</v>
      </c>
      <c r="P2629" t="s">
        <v>6673</v>
      </c>
      <c r="V2629">
        <v>134</v>
      </c>
    </row>
    <row r="2630" spans="1:22" customFormat="1" ht="15" x14ac:dyDescent="0.25">
      <c r="A2630" t="s">
        <v>214</v>
      </c>
      <c r="B2630" t="s">
        <v>4707</v>
      </c>
      <c r="E2630" s="1507" t="s">
        <v>3688</v>
      </c>
      <c r="F2630" s="1507"/>
      <c r="G2630" s="584" t="s">
        <v>845</v>
      </c>
      <c r="H2630" s="577">
        <v>2.06E-2</v>
      </c>
      <c r="K2630" t="s">
        <v>4265</v>
      </c>
      <c r="L2630" t="s">
        <v>690</v>
      </c>
      <c r="P2630" t="s">
        <v>4268</v>
      </c>
      <c r="V2630">
        <v>28</v>
      </c>
    </row>
    <row r="2631" spans="1:22" customFormat="1" ht="15" x14ac:dyDescent="0.25">
      <c r="A2631" t="s">
        <v>214</v>
      </c>
      <c r="B2631" t="s">
        <v>4707</v>
      </c>
      <c r="E2631" s="1507" t="s">
        <v>910</v>
      </c>
      <c r="F2631" s="1507"/>
      <c r="G2631" s="584" t="s">
        <v>845</v>
      </c>
      <c r="H2631" s="577">
        <v>1.4E-3</v>
      </c>
      <c r="K2631" t="s">
        <v>4265</v>
      </c>
      <c r="L2631" t="s">
        <v>692</v>
      </c>
      <c r="P2631" t="s">
        <v>4269</v>
      </c>
      <c r="V2631">
        <v>24</v>
      </c>
    </row>
    <row r="2632" spans="1:22" customFormat="1" ht="15" x14ac:dyDescent="0.25">
      <c r="A2632" t="s">
        <v>214</v>
      </c>
      <c r="B2632" t="s">
        <v>4707</v>
      </c>
      <c r="E2632" s="1507" t="s">
        <v>4711</v>
      </c>
      <c r="F2632" s="1507"/>
      <c r="G2632" s="584" t="s">
        <v>845</v>
      </c>
      <c r="H2632" s="577">
        <v>1.1000000000000001E-3</v>
      </c>
      <c r="K2632" t="s">
        <v>4265</v>
      </c>
      <c r="L2632" t="s">
        <v>690</v>
      </c>
      <c r="P2632" t="s">
        <v>6674</v>
      </c>
      <c r="V2632">
        <v>134</v>
      </c>
    </row>
    <row r="2633" spans="1:22" customFormat="1" ht="15" x14ac:dyDescent="0.25">
      <c r="A2633" t="s">
        <v>214</v>
      </c>
      <c r="B2633" t="s">
        <v>4707</v>
      </c>
      <c r="E2633" s="1507" t="s">
        <v>6638</v>
      </c>
      <c r="F2633" s="1507"/>
      <c r="G2633" s="584" t="s">
        <v>845</v>
      </c>
      <c r="H2633" s="577">
        <v>4.0000000000000002E-4</v>
      </c>
      <c r="K2633" t="s">
        <v>4265</v>
      </c>
      <c r="L2633" t="s">
        <v>690</v>
      </c>
      <c r="P2633" t="s">
        <v>6675</v>
      </c>
      <c r="V2633">
        <v>164</v>
      </c>
    </row>
    <row r="2634" spans="1:22" customFormat="1" ht="15" x14ac:dyDescent="0.25">
      <c r="A2634" t="s">
        <v>214</v>
      </c>
      <c r="B2634" t="s">
        <v>4707</v>
      </c>
      <c r="E2634" s="1507" t="s">
        <v>243</v>
      </c>
      <c r="F2634" s="1507"/>
      <c r="G2634" s="584" t="s">
        <v>845</v>
      </c>
      <c r="H2634" s="577">
        <v>1.03E-2</v>
      </c>
      <c r="K2634" t="s">
        <v>4265</v>
      </c>
      <c r="L2634" t="s">
        <v>694</v>
      </c>
      <c r="P2634" t="s">
        <v>4274</v>
      </c>
      <c r="V2634">
        <v>47</v>
      </c>
    </row>
    <row r="2635" spans="1:22" customFormat="1" ht="15" x14ac:dyDescent="0.25">
      <c r="A2635" t="s">
        <v>214</v>
      </c>
      <c r="B2635" t="s">
        <v>4707</v>
      </c>
      <c r="E2635" s="1507" t="s">
        <v>175</v>
      </c>
      <c r="F2635" s="1507"/>
      <c r="G2635" s="584" t="s">
        <v>845</v>
      </c>
      <c r="H2635" s="577">
        <v>7.1999999999999998E-3</v>
      </c>
      <c r="K2635" t="s">
        <v>4265</v>
      </c>
      <c r="L2635" t="s">
        <v>694</v>
      </c>
      <c r="P2635" t="s">
        <v>4275</v>
      </c>
      <c r="V2635">
        <v>74</v>
      </c>
    </row>
    <row r="2636" spans="1:22" customFormat="1" ht="15" x14ac:dyDescent="0.25">
      <c r="A2636" t="s">
        <v>214</v>
      </c>
      <c r="B2636" t="s">
        <v>4707</v>
      </c>
      <c r="E2636" s="1515" t="s">
        <v>967</v>
      </c>
      <c r="F2636" s="1507"/>
      <c r="G2636" s="584"/>
      <c r="H2636" s="584"/>
      <c r="K2636" t="s">
        <v>1065</v>
      </c>
      <c r="V2636">
        <v>48</v>
      </c>
    </row>
    <row r="2637" spans="1:22" customFormat="1" ht="15" x14ac:dyDescent="0.25">
      <c r="A2637" t="s">
        <v>214</v>
      </c>
      <c r="B2637" t="s">
        <v>4707</v>
      </c>
      <c r="E2637" s="1507" t="s">
        <v>844</v>
      </c>
      <c r="F2637" s="1507"/>
      <c r="G2637" s="584" t="s">
        <v>845</v>
      </c>
      <c r="H2637" s="577">
        <v>4.1000000000000003E-3</v>
      </c>
      <c r="K2637" t="s">
        <v>4265</v>
      </c>
      <c r="L2637" t="s">
        <v>968</v>
      </c>
      <c r="P2637" t="s">
        <v>4276</v>
      </c>
      <c r="V2637">
        <v>55</v>
      </c>
    </row>
    <row r="2638" spans="1:22" customFormat="1" ht="15" x14ac:dyDescent="0.25">
      <c r="A2638" t="s">
        <v>214</v>
      </c>
      <c r="B2638" t="s">
        <v>4707</v>
      </c>
      <c r="E2638" s="1507" t="s">
        <v>846</v>
      </c>
      <c r="F2638" s="1507"/>
      <c r="G2638" s="584" t="s">
        <v>845</v>
      </c>
      <c r="H2638" s="577">
        <v>4.0000000000000002E-4</v>
      </c>
      <c r="K2638" t="s">
        <v>4265</v>
      </c>
      <c r="L2638" t="s">
        <v>968</v>
      </c>
      <c r="P2638" t="s">
        <v>4276</v>
      </c>
      <c r="V2638">
        <v>65</v>
      </c>
    </row>
    <row r="2639" spans="1:22" customFormat="1" ht="15" x14ac:dyDescent="0.25">
      <c r="A2639" t="s">
        <v>214</v>
      </c>
      <c r="B2639" t="s">
        <v>4707</v>
      </c>
      <c r="E2639" s="1507" t="s">
        <v>847</v>
      </c>
      <c r="F2639" s="1507"/>
      <c r="G2639" s="584" t="s">
        <v>845</v>
      </c>
      <c r="H2639" s="577">
        <v>1.5E-3</v>
      </c>
      <c r="K2639" t="s">
        <v>4265</v>
      </c>
      <c r="L2639" t="s">
        <v>968</v>
      </c>
      <c r="P2639" t="s">
        <v>4277</v>
      </c>
      <c r="V2639">
        <v>57</v>
      </c>
    </row>
    <row r="2640" spans="1:22" customFormat="1" ht="15" x14ac:dyDescent="0.25">
      <c r="A2640" t="s">
        <v>214</v>
      </c>
      <c r="B2640" t="s">
        <v>4707</v>
      </c>
      <c r="E2640" s="1507" t="s">
        <v>848</v>
      </c>
      <c r="F2640" s="1507"/>
      <c r="G2640" s="584" t="s">
        <v>777</v>
      </c>
      <c r="H2640" s="576">
        <v>0.25</v>
      </c>
      <c r="K2640" t="s">
        <v>4265</v>
      </c>
      <c r="L2640" t="s">
        <v>968</v>
      </c>
      <c r="P2640" t="s">
        <v>4278</v>
      </c>
      <c r="V2640">
        <v>63</v>
      </c>
    </row>
    <row r="2641" spans="1:22" customFormat="1" x14ac:dyDescent="0.25">
      <c r="A2641" t="s">
        <v>214</v>
      </c>
      <c r="B2641" t="s">
        <v>4707</v>
      </c>
      <c r="E2641" s="1492" t="s">
        <v>198</v>
      </c>
      <c r="F2641" s="1493"/>
      <c r="G2641" s="1493"/>
      <c r="H2641" s="1493"/>
      <c r="K2641" t="s">
        <v>4179</v>
      </c>
      <c r="V2641">
        <v>40</v>
      </c>
    </row>
    <row r="2642" spans="1:22" customFormat="1" ht="15" x14ac:dyDescent="0.25">
      <c r="A2642" t="s">
        <v>214</v>
      </c>
      <c r="B2642" t="s">
        <v>4707</v>
      </c>
      <c r="E2642" s="1516" t="s">
        <v>4773</v>
      </c>
      <c r="F2642" s="1516"/>
      <c r="G2642" s="1516"/>
      <c r="H2642" s="1516"/>
      <c r="K2642" t="s">
        <v>4179</v>
      </c>
      <c r="V2642">
        <v>288</v>
      </c>
    </row>
    <row r="2643" spans="1:22" customFormat="1" ht="15" x14ac:dyDescent="0.25">
      <c r="A2643" t="s">
        <v>214</v>
      </c>
      <c r="B2643" t="s">
        <v>4707</v>
      </c>
      <c r="E2643" s="1515" t="s">
        <v>950</v>
      </c>
      <c r="F2643" s="1516"/>
      <c r="G2643" s="1516"/>
      <c r="H2643" s="1516"/>
      <c r="K2643" t="s">
        <v>1071</v>
      </c>
      <c r="V2643">
        <v>11</v>
      </c>
    </row>
    <row r="2644" spans="1:22" customFormat="1" ht="15" x14ac:dyDescent="0.25">
      <c r="A2644" t="s">
        <v>214</v>
      </c>
      <c r="B2644" t="s">
        <v>4707</v>
      </c>
      <c r="E2644" s="1516" t="s">
        <v>951</v>
      </c>
      <c r="F2644" s="1516"/>
      <c r="G2644" s="1516"/>
      <c r="H2644" s="1516"/>
      <c r="K2644" t="s">
        <v>4179</v>
      </c>
      <c r="V2644">
        <v>280</v>
      </c>
    </row>
    <row r="2645" spans="1:22" customFormat="1" ht="15" x14ac:dyDescent="0.25">
      <c r="A2645" t="s">
        <v>214</v>
      </c>
      <c r="B2645" t="s">
        <v>4707</v>
      </c>
      <c r="E2645" s="1516" t="s">
        <v>952</v>
      </c>
      <c r="F2645" s="1516"/>
      <c r="G2645" s="1516"/>
      <c r="H2645" s="1516"/>
      <c r="K2645" t="s">
        <v>4179</v>
      </c>
      <c r="V2645">
        <v>411</v>
      </c>
    </row>
    <row r="2646" spans="1:22" customFormat="1" ht="15" x14ac:dyDescent="0.25">
      <c r="A2646" t="s">
        <v>214</v>
      </c>
      <c r="B2646" t="s">
        <v>4707</v>
      </c>
      <c r="E2646" s="1516" t="s">
        <v>3761</v>
      </c>
      <c r="F2646" s="1516"/>
      <c r="G2646" s="1516"/>
      <c r="H2646" s="1516"/>
      <c r="K2646" t="s">
        <v>4179</v>
      </c>
      <c r="V2646">
        <v>387</v>
      </c>
    </row>
    <row r="2647" spans="1:22" customFormat="1" ht="15" x14ac:dyDescent="0.25">
      <c r="A2647" t="s">
        <v>214</v>
      </c>
      <c r="B2647" t="s">
        <v>4707</v>
      </c>
      <c r="E2647" s="1516" t="s">
        <v>3762</v>
      </c>
      <c r="F2647" s="1516"/>
      <c r="G2647" s="1516"/>
      <c r="H2647" s="1516"/>
      <c r="K2647" t="s">
        <v>4179</v>
      </c>
      <c r="V2647">
        <v>247</v>
      </c>
    </row>
    <row r="2648" spans="1:22" customFormat="1" ht="15" x14ac:dyDescent="0.25">
      <c r="A2648" t="s">
        <v>214</v>
      </c>
      <c r="B2648" t="s">
        <v>4707</v>
      </c>
      <c r="E2648" s="1515" t="s">
        <v>956</v>
      </c>
      <c r="F2648" s="1516"/>
      <c r="G2648" s="1516"/>
      <c r="H2648" s="1516"/>
      <c r="K2648" t="s">
        <v>1075</v>
      </c>
      <c r="V2648">
        <v>46</v>
      </c>
    </row>
    <row r="2649" spans="1:22" customFormat="1" ht="15" x14ac:dyDescent="0.25">
      <c r="A2649" t="s">
        <v>214</v>
      </c>
      <c r="B2649" t="s">
        <v>4707</v>
      </c>
      <c r="E2649" s="1507" t="s">
        <v>4695</v>
      </c>
      <c r="F2649" s="1507"/>
      <c r="G2649" s="584" t="s">
        <v>777</v>
      </c>
      <c r="H2649" s="576">
        <v>5.52</v>
      </c>
      <c r="K2649" t="s">
        <v>4179</v>
      </c>
      <c r="L2649" t="s">
        <v>690</v>
      </c>
      <c r="P2649" t="s">
        <v>4181</v>
      </c>
      <c r="V2649">
        <v>26</v>
      </c>
    </row>
    <row r="2650" spans="1:22" customFormat="1" ht="15" x14ac:dyDescent="0.25">
      <c r="A2650" t="s">
        <v>214</v>
      </c>
      <c r="B2650" t="s">
        <v>4707</v>
      </c>
      <c r="E2650" s="1507" t="s">
        <v>6638</v>
      </c>
      <c r="F2650" s="1507"/>
      <c r="G2650" s="584" t="s">
        <v>777</v>
      </c>
      <c r="H2650" s="576">
        <v>0.09</v>
      </c>
      <c r="K2650" t="s">
        <v>4179</v>
      </c>
      <c r="L2650" t="s">
        <v>690</v>
      </c>
      <c r="P2650" t="s">
        <v>6676</v>
      </c>
      <c r="V2650">
        <v>164</v>
      </c>
    </row>
    <row r="2651" spans="1:22" customFormat="1" ht="15" x14ac:dyDescent="0.25">
      <c r="A2651" t="s">
        <v>214</v>
      </c>
      <c r="B2651" t="s">
        <v>4707</v>
      </c>
      <c r="E2651" s="1507" t="s">
        <v>6640</v>
      </c>
      <c r="F2651" s="1507"/>
      <c r="G2651" s="584" t="s">
        <v>777</v>
      </c>
      <c r="H2651" s="576">
        <v>0.08</v>
      </c>
      <c r="K2651" t="s">
        <v>4179</v>
      </c>
      <c r="L2651" t="s">
        <v>690</v>
      </c>
      <c r="P2651" t="s">
        <v>6677</v>
      </c>
      <c r="V2651">
        <v>140</v>
      </c>
    </row>
    <row r="2652" spans="1:22" customFormat="1" ht="15" x14ac:dyDescent="0.25">
      <c r="A2652" t="s">
        <v>214</v>
      </c>
      <c r="B2652" t="s">
        <v>4707</v>
      </c>
      <c r="E2652" s="1507" t="s">
        <v>4711</v>
      </c>
      <c r="F2652" s="1507"/>
      <c r="G2652" s="584" t="s">
        <v>777</v>
      </c>
      <c r="H2652" s="576">
        <v>0.31</v>
      </c>
      <c r="K2652" t="s">
        <v>4179</v>
      </c>
      <c r="L2652" t="s">
        <v>690</v>
      </c>
      <c r="P2652" t="s">
        <v>6678</v>
      </c>
      <c r="V2652">
        <v>134</v>
      </c>
    </row>
    <row r="2653" spans="1:22" customFormat="1" ht="15" x14ac:dyDescent="0.25">
      <c r="A2653" t="s">
        <v>214</v>
      </c>
      <c r="B2653" t="s">
        <v>4707</v>
      </c>
      <c r="E2653" s="1507" t="s">
        <v>3688</v>
      </c>
      <c r="F2653" s="1507"/>
      <c r="G2653" s="584" t="s">
        <v>3775</v>
      </c>
      <c r="H2653" s="577">
        <v>16.695</v>
      </c>
      <c r="K2653" t="s">
        <v>4179</v>
      </c>
      <c r="L2653" t="s">
        <v>690</v>
      </c>
      <c r="P2653" t="s">
        <v>4183</v>
      </c>
      <c r="V2653">
        <v>28</v>
      </c>
    </row>
    <row r="2654" spans="1:22" customFormat="1" ht="15" x14ac:dyDescent="0.25">
      <c r="A2654" t="s">
        <v>214</v>
      </c>
      <c r="B2654" t="s">
        <v>4707</v>
      </c>
      <c r="E2654" s="1507" t="s">
        <v>910</v>
      </c>
      <c r="F2654" s="1507"/>
      <c r="G2654" s="584" t="s">
        <v>3775</v>
      </c>
      <c r="H2654" s="577">
        <v>0.37569999999999998</v>
      </c>
      <c r="K2654" t="s">
        <v>4179</v>
      </c>
      <c r="L2654" t="s">
        <v>692</v>
      </c>
      <c r="P2654" t="s">
        <v>4184</v>
      </c>
      <c r="V2654">
        <v>24</v>
      </c>
    </row>
    <row r="2655" spans="1:22" customFormat="1" ht="15" x14ac:dyDescent="0.25">
      <c r="A2655" t="s">
        <v>214</v>
      </c>
      <c r="B2655" t="s">
        <v>4707</v>
      </c>
      <c r="E2655" s="1507" t="s">
        <v>4711</v>
      </c>
      <c r="F2655" s="1507"/>
      <c r="G2655" s="584" t="s">
        <v>3775</v>
      </c>
      <c r="H2655" s="577">
        <v>0.92720000000000002</v>
      </c>
      <c r="K2655" t="s">
        <v>4179</v>
      </c>
      <c r="L2655" t="s">
        <v>690</v>
      </c>
      <c r="P2655" t="s">
        <v>6679</v>
      </c>
      <c r="V2655">
        <v>134</v>
      </c>
    </row>
    <row r="2656" spans="1:22" customFormat="1" ht="15" x14ac:dyDescent="0.25">
      <c r="A2656" t="s">
        <v>214</v>
      </c>
      <c r="B2656" t="s">
        <v>4707</v>
      </c>
      <c r="E2656" s="1507" t="s">
        <v>6638</v>
      </c>
      <c r="F2656" s="1507"/>
      <c r="G2656" s="584" t="s">
        <v>3775</v>
      </c>
      <c r="H2656" s="577">
        <v>0.28620000000000001</v>
      </c>
      <c r="K2656" t="s">
        <v>4179</v>
      </c>
      <c r="L2656" t="s">
        <v>690</v>
      </c>
      <c r="P2656" t="s">
        <v>6680</v>
      </c>
      <c r="V2656">
        <v>164</v>
      </c>
    </row>
    <row r="2657" spans="1:22" customFormat="1" ht="15" x14ac:dyDescent="0.25">
      <c r="A2657" t="s">
        <v>214</v>
      </c>
      <c r="B2657" t="s">
        <v>4707</v>
      </c>
      <c r="E2657" s="1507" t="s">
        <v>243</v>
      </c>
      <c r="F2657" s="1507"/>
      <c r="G2657" s="584" t="s">
        <v>3775</v>
      </c>
      <c r="H2657" s="577">
        <v>3.1425999999999998</v>
      </c>
      <c r="K2657" t="s">
        <v>4179</v>
      </c>
      <c r="L2657" t="s">
        <v>694</v>
      </c>
      <c r="P2657" t="s">
        <v>4187</v>
      </c>
      <c r="V2657">
        <v>47</v>
      </c>
    </row>
    <row r="2658" spans="1:22" customFormat="1" ht="15" x14ac:dyDescent="0.25">
      <c r="A2658" t="s">
        <v>214</v>
      </c>
      <c r="B2658" t="s">
        <v>4707</v>
      </c>
      <c r="E2658" s="1507" t="s">
        <v>175</v>
      </c>
      <c r="F2658" s="1507"/>
      <c r="G2658" s="584" t="s">
        <v>3775</v>
      </c>
      <c r="H2658" s="577">
        <v>2.0966999999999998</v>
      </c>
      <c r="K2658" t="s">
        <v>4179</v>
      </c>
      <c r="L2658" t="s">
        <v>694</v>
      </c>
      <c r="P2658" t="s">
        <v>4188</v>
      </c>
      <c r="V2658">
        <v>74</v>
      </c>
    </row>
    <row r="2659" spans="1:22" customFormat="1" ht="15" x14ac:dyDescent="0.25">
      <c r="A2659" t="s">
        <v>214</v>
      </c>
      <c r="B2659" t="s">
        <v>4707</v>
      </c>
      <c r="E2659" s="1515" t="s">
        <v>967</v>
      </c>
      <c r="F2659" s="1507"/>
      <c r="G2659" s="584"/>
      <c r="H2659" s="584"/>
      <c r="K2659" t="s">
        <v>3898</v>
      </c>
      <c r="V2659">
        <v>48</v>
      </c>
    </row>
    <row r="2660" spans="1:22" customFormat="1" ht="15" x14ac:dyDescent="0.25">
      <c r="A2660" t="s">
        <v>214</v>
      </c>
      <c r="B2660" t="s">
        <v>4707</v>
      </c>
      <c r="E2660" s="1507" t="s">
        <v>844</v>
      </c>
      <c r="F2660" s="1507"/>
      <c r="G2660" s="584" t="s">
        <v>845</v>
      </c>
      <c r="H2660" s="577">
        <v>4.1000000000000003E-3</v>
      </c>
      <c r="K2660" t="s">
        <v>4179</v>
      </c>
      <c r="L2660" t="s">
        <v>968</v>
      </c>
      <c r="P2660" t="s">
        <v>4189</v>
      </c>
      <c r="V2660">
        <v>55</v>
      </c>
    </row>
    <row r="2661" spans="1:22" customFormat="1" ht="15" x14ac:dyDescent="0.25">
      <c r="A2661" t="s">
        <v>214</v>
      </c>
      <c r="B2661" t="s">
        <v>4707</v>
      </c>
      <c r="E2661" s="1507" t="s">
        <v>846</v>
      </c>
      <c r="F2661" s="1507"/>
      <c r="G2661" s="584" t="s">
        <v>845</v>
      </c>
      <c r="H2661" s="577">
        <v>4.0000000000000002E-4</v>
      </c>
      <c r="K2661" t="s">
        <v>4179</v>
      </c>
      <c r="L2661" t="s">
        <v>968</v>
      </c>
      <c r="P2661" t="s">
        <v>4189</v>
      </c>
      <c r="V2661">
        <v>65</v>
      </c>
    </row>
    <row r="2662" spans="1:22" customFormat="1" ht="15" x14ac:dyDescent="0.25">
      <c r="A2662" t="s">
        <v>214</v>
      </c>
      <c r="B2662" t="s">
        <v>4707</v>
      </c>
      <c r="E2662" s="1507" t="s">
        <v>847</v>
      </c>
      <c r="F2662" s="1507"/>
      <c r="G2662" s="584" t="s">
        <v>845</v>
      </c>
      <c r="H2662" s="577">
        <v>1.5E-3</v>
      </c>
      <c r="K2662" t="s">
        <v>4179</v>
      </c>
      <c r="L2662" t="s">
        <v>968</v>
      </c>
      <c r="P2662" t="s">
        <v>4190</v>
      </c>
      <c r="V2662">
        <v>57</v>
      </c>
    </row>
    <row r="2663" spans="1:22" customFormat="1" ht="15" x14ac:dyDescent="0.25">
      <c r="A2663" t="s">
        <v>214</v>
      </c>
      <c r="B2663" t="s">
        <v>4707</v>
      </c>
      <c r="E2663" s="1507" t="s">
        <v>848</v>
      </c>
      <c r="F2663" s="1507"/>
      <c r="G2663" s="584" t="s">
        <v>777</v>
      </c>
      <c r="H2663" s="576">
        <v>0.25</v>
      </c>
      <c r="K2663" t="s">
        <v>4179</v>
      </c>
      <c r="L2663" t="s">
        <v>968</v>
      </c>
      <c r="P2663" t="s">
        <v>4191</v>
      </c>
      <c r="V2663">
        <v>63</v>
      </c>
    </row>
    <row r="2664" spans="1:22" customFormat="1" x14ac:dyDescent="0.25">
      <c r="A2664" t="s">
        <v>214</v>
      </c>
      <c r="B2664" t="s">
        <v>4707</v>
      </c>
      <c r="E2664" s="1492" t="s">
        <v>202</v>
      </c>
      <c r="F2664" s="1493"/>
      <c r="G2664" s="1493"/>
      <c r="H2664" s="1493"/>
      <c r="K2664" t="s">
        <v>4192</v>
      </c>
      <c r="V2664">
        <v>38</v>
      </c>
    </row>
    <row r="2665" spans="1:22" customFormat="1" ht="15" x14ac:dyDescent="0.25">
      <c r="A2665" t="s">
        <v>214</v>
      </c>
      <c r="B2665" t="s">
        <v>4707</v>
      </c>
      <c r="E2665" s="1516" t="s">
        <v>4774</v>
      </c>
      <c r="F2665" s="1516"/>
      <c r="G2665" s="1516"/>
      <c r="H2665" s="1516"/>
      <c r="K2665" t="s">
        <v>4192</v>
      </c>
      <c r="V2665">
        <v>326</v>
      </c>
    </row>
    <row r="2666" spans="1:22" customFormat="1" ht="15" x14ac:dyDescent="0.25">
      <c r="A2666" t="s">
        <v>214</v>
      </c>
      <c r="B2666" t="s">
        <v>4707</v>
      </c>
      <c r="E2666" s="1515" t="s">
        <v>950</v>
      </c>
      <c r="F2666" s="1516"/>
      <c r="G2666" s="1516"/>
      <c r="H2666" s="1516"/>
      <c r="K2666" t="s">
        <v>3904</v>
      </c>
      <c r="V2666">
        <v>11</v>
      </c>
    </row>
    <row r="2667" spans="1:22" customFormat="1" ht="15" x14ac:dyDescent="0.25">
      <c r="A2667" t="s">
        <v>214</v>
      </c>
      <c r="B2667" t="s">
        <v>4707</v>
      </c>
      <c r="E2667" s="1516" t="s">
        <v>951</v>
      </c>
      <c r="F2667" s="1516"/>
      <c r="G2667" s="1516"/>
      <c r="H2667" s="1516"/>
      <c r="K2667" t="s">
        <v>4192</v>
      </c>
      <c r="V2667">
        <v>280</v>
      </c>
    </row>
    <row r="2668" spans="1:22" customFormat="1" ht="15" x14ac:dyDescent="0.25">
      <c r="A2668" t="s">
        <v>214</v>
      </c>
      <c r="B2668" t="s">
        <v>4707</v>
      </c>
      <c r="E2668" s="1516" t="s">
        <v>952</v>
      </c>
      <c r="F2668" s="1516"/>
      <c r="G2668" s="1516"/>
      <c r="H2668" s="1516"/>
      <c r="K2668" t="s">
        <v>4192</v>
      </c>
      <c r="V2668">
        <v>411</v>
      </c>
    </row>
    <row r="2669" spans="1:22" customFormat="1" ht="15" x14ac:dyDescent="0.25">
      <c r="A2669" t="s">
        <v>214</v>
      </c>
      <c r="B2669" t="s">
        <v>4707</v>
      </c>
      <c r="E2669" s="1516" t="s">
        <v>3761</v>
      </c>
      <c r="F2669" s="1516"/>
      <c r="G2669" s="1516"/>
      <c r="H2669" s="1516"/>
      <c r="K2669" t="s">
        <v>4192</v>
      </c>
      <c r="V2669">
        <v>387</v>
      </c>
    </row>
    <row r="2670" spans="1:22" customFormat="1" ht="15" x14ac:dyDescent="0.25">
      <c r="A2670" t="s">
        <v>214</v>
      </c>
      <c r="B2670" t="s">
        <v>4707</v>
      </c>
      <c r="E2670" s="1516" t="s">
        <v>3762</v>
      </c>
      <c r="F2670" s="1516"/>
      <c r="G2670" s="1516"/>
      <c r="H2670" s="1516"/>
      <c r="K2670" t="s">
        <v>4192</v>
      </c>
      <c r="V2670">
        <v>247</v>
      </c>
    </row>
    <row r="2671" spans="1:22" customFormat="1" ht="15" x14ac:dyDescent="0.25">
      <c r="A2671" t="s">
        <v>214</v>
      </c>
      <c r="B2671" t="s">
        <v>4707</v>
      </c>
      <c r="E2671" s="1515" t="s">
        <v>956</v>
      </c>
      <c r="F2671" s="1516"/>
      <c r="G2671" s="1516"/>
      <c r="H2671" s="1516"/>
      <c r="K2671" t="s">
        <v>3905</v>
      </c>
      <c r="V2671">
        <v>46</v>
      </c>
    </row>
    <row r="2672" spans="1:22" customFormat="1" ht="15" x14ac:dyDescent="0.25">
      <c r="A2672" t="s">
        <v>214</v>
      </c>
      <c r="B2672" t="s">
        <v>4707</v>
      </c>
      <c r="E2672" s="1507" t="s">
        <v>4695</v>
      </c>
      <c r="F2672" s="1507"/>
      <c r="G2672" s="584" t="s">
        <v>777</v>
      </c>
      <c r="H2672" s="576">
        <v>0.86</v>
      </c>
      <c r="K2672" t="s">
        <v>4192</v>
      </c>
      <c r="L2672" t="s">
        <v>690</v>
      </c>
      <c r="P2672" t="s">
        <v>4194</v>
      </c>
      <c r="V2672">
        <v>26</v>
      </c>
    </row>
    <row r="2673" spans="1:22" customFormat="1" ht="15" x14ac:dyDescent="0.25">
      <c r="A2673" t="s">
        <v>214</v>
      </c>
      <c r="B2673" t="s">
        <v>4707</v>
      </c>
      <c r="E2673" s="1507" t="s">
        <v>6638</v>
      </c>
      <c r="F2673" s="1507"/>
      <c r="G2673" s="584" t="s">
        <v>777</v>
      </c>
      <c r="H2673" s="576">
        <v>0.01</v>
      </c>
      <c r="K2673" t="s">
        <v>4192</v>
      </c>
      <c r="L2673" t="s">
        <v>690</v>
      </c>
      <c r="P2673" t="s">
        <v>6681</v>
      </c>
      <c r="V2673">
        <v>164</v>
      </c>
    </row>
    <row r="2674" spans="1:22" customFormat="1" ht="15" x14ac:dyDescent="0.25">
      <c r="A2674" t="s">
        <v>214</v>
      </c>
      <c r="B2674" t="s">
        <v>4707</v>
      </c>
      <c r="E2674" s="1507" t="s">
        <v>6640</v>
      </c>
      <c r="F2674" s="1507"/>
      <c r="G2674" s="584" t="s">
        <v>777</v>
      </c>
      <c r="H2674" s="576">
        <v>0.01</v>
      </c>
      <c r="K2674" t="s">
        <v>4192</v>
      </c>
      <c r="L2674" t="s">
        <v>690</v>
      </c>
      <c r="P2674" t="s">
        <v>6682</v>
      </c>
      <c r="V2674">
        <v>140</v>
      </c>
    </row>
    <row r="2675" spans="1:22" customFormat="1" ht="15" x14ac:dyDescent="0.25">
      <c r="A2675" t="s">
        <v>214</v>
      </c>
      <c r="B2675" t="s">
        <v>4707</v>
      </c>
      <c r="E2675" s="1507" t="s">
        <v>4711</v>
      </c>
      <c r="F2675" s="1507"/>
      <c r="G2675" s="584" t="s">
        <v>777</v>
      </c>
      <c r="H2675" s="576">
        <v>0.05</v>
      </c>
      <c r="K2675" t="s">
        <v>4192</v>
      </c>
      <c r="L2675" t="s">
        <v>690</v>
      </c>
      <c r="P2675" t="s">
        <v>6683</v>
      </c>
      <c r="V2675">
        <v>134</v>
      </c>
    </row>
    <row r="2676" spans="1:22" customFormat="1" ht="15" x14ac:dyDescent="0.25">
      <c r="A2676" t="s">
        <v>214</v>
      </c>
      <c r="B2676" t="s">
        <v>4707</v>
      </c>
      <c r="E2676" s="1507" t="s">
        <v>3688</v>
      </c>
      <c r="F2676" s="1507"/>
      <c r="G2676" s="584" t="s">
        <v>3775</v>
      </c>
      <c r="H2676" s="577">
        <v>4.5650000000000004</v>
      </c>
      <c r="K2676" t="s">
        <v>4192</v>
      </c>
      <c r="L2676" t="s">
        <v>690</v>
      </c>
      <c r="P2676" t="s">
        <v>4196</v>
      </c>
      <c r="V2676">
        <v>28</v>
      </c>
    </row>
    <row r="2677" spans="1:22" customFormat="1" ht="15" x14ac:dyDescent="0.25">
      <c r="A2677" t="s">
        <v>214</v>
      </c>
      <c r="B2677" t="s">
        <v>4707</v>
      </c>
      <c r="E2677" s="1507" t="s">
        <v>910</v>
      </c>
      <c r="F2677" s="1507"/>
      <c r="G2677" s="584" t="s">
        <v>3775</v>
      </c>
      <c r="H2677" s="577">
        <v>0.3926</v>
      </c>
      <c r="K2677" t="s">
        <v>4192</v>
      </c>
      <c r="L2677" t="s">
        <v>692</v>
      </c>
      <c r="P2677" t="s">
        <v>4197</v>
      </c>
      <c r="V2677">
        <v>24</v>
      </c>
    </row>
    <row r="2678" spans="1:22" customFormat="1" ht="15" x14ac:dyDescent="0.25">
      <c r="A2678" t="s">
        <v>214</v>
      </c>
      <c r="B2678" t="s">
        <v>4707</v>
      </c>
      <c r="E2678" s="1507" t="s">
        <v>4711</v>
      </c>
      <c r="F2678" s="1507"/>
      <c r="G2678" s="584" t="s">
        <v>3775</v>
      </c>
      <c r="H2678" s="577">
        <v>0.2535</v>
      </c>
      <c r="K2678" t="s">
        <v>4192</v>
      </c>
      <c r="L2678" t="s">
        <v>690</v>
      </c>
      <c r="P2678" t="s">
        <v>6684</v>
      </c>
      <c r="V2678">
        <v>134</v>
      </c>
    </row>
    <row r="2679" spans="1:22" customFormat="1" ht="15" x14ac:dyDescent="0.25">
      <c r="A2679" t="s">
        <v>214</v>
      </c>
      <c r="B2679" t="s">
        <v>4707</v>
      </c>
      <c r="E2679" s="1507" t="s">
        <v>6627</v>
      </c>
      <c r="F2679" s="1507"/>
      <c r="G2679" s="584" t="s">
        <v>3775</v>
      </c>
      <c r="H2679" s="577">
        <v>3.0451000000000001</v>
      </c>
      <c r="K2679" t="s">
        <v>4192</v>
      </c>
      <c r="L2679" t="s">
        <v>690</v>
      </c>
      <c r="P2679" t="s">
        <v>6685</v>
      </c>
      <c r="T2679">
        <v>46022</v>
      </c>
      <c r="V2679">
        <v>88</v>
      </c>
    </row>
    <row r="2680" spans="1:22" customFormat="1" ht="15" x14ac:dyDescent="0.25">
      <c r="A2680" t="s">
        <v>214</v>
      </c>
      <c r="B2680" t="s">
        <v>4707</v>
      </c>
      <c r="E2680" s="1507" t="s">
        <v>6638</v>
      </c>
      <c r="F2680" s="1507"/>
      <c r="G2680" s="584" t="s">
        <v>3775</v>
      </c>
      <c r="H2680" s="577">
        <v>7.8299999999999995E-2</v>
      </c>
      <c r="K2680" t="s">
        <v>4192</v>
      </c>
      <c r="L2680" t="s">
        <v>690</v>
      </c>
      <c r="P2680" t="s">
        <v>6686</v>
      </c>
      <c r="V2680">
        <v>164</v>
      </c>
    </row>
    <row r="2681" spans="1:22" customFormat="1" ht="15" x14ac:dyDescent="0.25">
      <c r="A2681" t="s">
        <v>214</v>
      </c>
      <c r="B2681" t="s">
        <v>4707</v>
      </c>
      <c r="E2681" s="1507" t="s">
        <v>243</v>
      </c>
      <c r="F2681" s="1507"/>
      <c r="G2681" s="584" t="s">
        <v>3775</v>
      </c>
      <c r="H2681" s="577">
        <v>3.3089</v>
      </c>
      <c r="K2681" t="s">
        <v>4192</v>
      </c>
      <c r="L2681" t="s">
        <v>694</v>
      </c>
      <c r="P2681" t="s">
        <v>4203</v>
      </c>
      <c r="V2681">
        <v>47</v>
      </c>
    </row>
    <row r="2682" spans="1:22" customFormat="1" ht="15" x14ac:dyDescent="0.25">
      <c r="A2682" t="s">
        <v>214</v>
      </c>
      <c r="B2682" t="s">
        <v>4707</v>
      </c>
      <c r="E2682" s="1507" t="s">
        <v>175</v>
      </c>
      <c r="F2682" s="1507"/>
      <c r="G2682" s="584" t="s">
        <v>3775</v>
      </c>
      <c r="H2682" s="577">
        <v>2.1909000000000001</v>
      </c>
      <c r="K2682" t="s">
        <v>4192</v>
      </c>
      <c r="L2682" t="s">
        <v>694</v>
      </c>
      <c r="P2682" t="s">
        <v>4204</v>
      </c>
      <c r="V2682">
        <v>74</v>
      </c>
    </row>
    <row r="2683" spans="1:22" customFormat="1" ht="15" x14ac:dyDescent="0.25">
      <c r="A2683" t="s">
        <v>214</v>
      </c>
      <c r="B2683" t="s">
        <v>4707</v>
      </c>
      <c r="E2683" s="1515" t="s">
        <v>967</v>
      </c>
      <c r="F2683" s="1507"/>
      <c r="G2683" s="584"/>
      <c r="H2683" s="584"/>
      <c r="K2683" t="s">
        <v>4015</v>
      </c>
      <c r="V2683">
        <v>48</v>
      </c>
    </row>
    <row r="2684" spans="1:22" customFormat="1" ht="15" x14ac:dyDescent="0.25">
      <c r="A2684" t="s">
        <v>214</v>
      </c>
      <c r="B2684" t="s">
        <v>4707</v>
      </c>
      <c r="E2684" s="1507" t="s">
        <v>844</v>
      </c>
      <c r="F2684" s="1507"/>
      <c r="G2684" s="584" t="s">
        <v>845</v>
      </c>
      <c r="H2684" s="577">
        <v>4.1000000000000003E-3</v>
      </c>
      <c r="K2684" t="s">
        <v>4192</v>
      </c>
      <c r="L2684" t="s">
        <v>968</v>
      </c>
      <c r="P2684" t="s">
        <v>4205</v>
      </c>
      <c r="V2684">
        <v>55</v>
      </c>
    </row>
    <row r="2685" spans="1:22" customFormat="1" ht="15" x14ac:dyDescent="0.25">
      <c r="A2685" t="s">
        <v>214</v>
      </c>
      <c r="B2685" t="s">
        <v>4707</v>
      </c>
      <c r="E2685" s="1507" t="s">
        <v>846</v>
      </c>
      <c r="F2685" s="1507"/>
      <c r="G2685" s="584" t="s">
        <v>845</v>
      </c>
      <c r="H2685" s="577">
        <v>4.0000000000000002E-4</v>
      </c>
      <c r="K2685" t="s">
        <v>4192</v>
      </c>
      <c r="L2685" t="s">
        <v>968</v>
      </c>
      <c r="P2685" t="s">
        <v>4205</v>
      </c>
      <c r="V2685">
        <v>65</v>
      </c>
    </row>
    <row r="2686" spans="1:22" customFormat="1" ht="15" x14ac:dyDescent="0.25">
      <c r="A2686" t="s">
        <v>214</v>
      </c>
      <c r="B2686" t="s">
        <v>4707</v>
      </c>
      <c r="E2686" s="1507" t="s">
        <v>847</v>
      </c>
      <c r="F2686" s="1507"/>
      <c r="G2686" s="584" t="s">
        <v>845</v>
      </c>
      <c r="H2686" s="577">
        <v>1.5E-3</v>
      </c>
      <c r="K2686" t="s">
        <v>4192</v>
      </c>
      <c r="L2686" t="s">
        <v>968</v>
      </c>
      <c r="P2686" t="s">
        <v>4206</v>
      </c>
      <c r="V2686">
        <v>57</v>
      </c>
    </row>
    <row r="2687" spans="1:22" customFormat="1" ht="15" x14ac:dyDescent="0.25">
      <c r="A2687" t="s">
        <v>214</v>
      </c>
      <c r="B2687" t="s">
        <v>4707</v>
      </c>
      <c r="E2687" s="1507" t="s">
        <v>848</v>
      </c>
      <c r="F2687" s="1507"/>
      <c r="G2687" s="584" t="s">
        <v>777</v>
      </c>
      <c r="H2687" s="576">
        <v>0.25</v>
      </c>
      <c r="K2687" t="s">
        <v>4192</v>
      </c>
      <c r="L2687" t="s">
        <v>968</v>
      </c>
      <c r="P2687" t="s">
        <v>4207</v>
      </c>
      <c r="V2687">
        <v>63</v>
      </c>
    </row>
    <row r="2688" spans="1:22" customFormat="1" x14ac:dyDescent="0.25">
      <c r="A2688" t="s">
        <v>214</v>
      </c>
      <c r="B2688" t="s">
        <v>4707</v>
      </c>
      <c r="E2688" s="1492" t="s">
        <v>207</v>
      </c>
      <c r="F2688" s="1493"/>
      <c r="G2688" s="1493"/>
      <c r="H2688" s="1493"/>
      <c r="K2688" t="s">
        <v>4208</v>
      </c>
      <c r="V2688">
        <v>31</v>
      </c>
    </row>
    <row r="2689" spans="1:22" customFormat="1" ht="15" x14ac:dyDescent="0.25">
      <c r="A2689" t="s">
        <v>214</v>
      </c>
      <c r="B2689" t="s">
        <v>4707</v>
      </c>
      <c r="E2689" s="1516" t="s">
        <v>4775</v>
      </c>
      <c r="F2689" s="1516"/>
      <c r="G2689" s="1516"/>
      <c r="H2689" s="1516"/>
      <c r="K2689" t="s">
        <v>4208</v>
      </c>
      <c r="V2689">
        <v>286</v>
      </c>
    </row>
    <row r="2690" spans="1:22" customFormat="1" ht="15" x14ac:dyDescent="0.25">
      <c r="A2690" t="s">
        <v>214</v>
      </c>
      <c r="B2690" t="s">
        <v>4707</v>
      </c>
      <c r="E2690" s="1515" t="s">
        <v>950</v>
      </c>
      <c r="F2690" s="1516"/>
      <c r="G2690" s="1516"/>
      <c r="H2690" s="1516"/>
      <c r="K2690" t="s">
        <v>4022</v>
      </c>
      <c r="V2690">
        <v>11</v>
      </c>
    </row>
    <row r="2691" spans="1:22" customFormat="1" ht="15" x14ac:dyDescent="0.25">
      <c r="A2691" t="s">
        <v>214</v>
      </c>
      <c r="B2691" t="s">
        <v>4707</v>
      </c>
      <c r="E2691" s="1516" t="s">
        <v>951</v>
      </c>
      <c r="F2691" s="1516"/>
      <c r="G2691" s="1516"/>
      <c r="H2691" s="1516"/>
      <c r="K2691" t="s">
        <v>4208</v>
      </c>
      <c r="V2691">
        <v>280</v>
      </c>
    </row>
    <row r="2692" spans="1:22" customFormat="1" ht="15" x14ac:dyDescent="0.25">
      <c r="A2692" t="s">
        <v>214</v>
      </c>
      <c r="B2692" t="s">
        <v>4707</v>
      </c>
      <c r="E2692" s="1516" t="s">
        <v>952</v>
      </c>
      <c r="F2692" s="1516"/>
      <c r="G2692" s="1516"/>
      <c r="H2692" s="1516"/>
      <c r="K2692" t="s">
        <v>4208</v>
      </c>
      <c r="V2692">
        <v>411</v>
      </c>
    </row>
    <row r="2693" spans="1:22" customFormat="1" ht="15" x14ac:dyDescent="0.25">
      <c r="A2693" t="s">
        <v>214</v>
      </c>
      <c r="B2693" t="s">
        <v>4707</v>
      </c>
      <c r="E2693" s="1516" t="s">
        <v>1103</v>
      </c>
      <c r="F2693" s="1516"/>
      <c r="G2693" s="1516"/>
      <c r="H2693" s="1516"/>
      <c r="K2693" t="s">
        <v>4208</v>
      </c>
      <c r="V2693">
        <v>211</v>
      </c>
    </row>
    <row r="2694" spans="1:22" customFormat="1" ht="15" x14ac:dyDescent="0.25">
      <c r="A2694" t="s">
        <v>214</v>
      </c>
      <c r="B2694" t="s">
        <v>4707</v>
      </c>
      <c r="E2694" s="1516" t="s">
        <v>3762</v>
      </c>
      <c r="F2694" s="1516"/>
      <c r="G2694" s="1516"/>
      <c r="H2694" s="1516"/>
      <c r="K2694" t="s">
        <v>4208</v>
      </c>
      <c r="V2694">
        <v>247</v>
      </c>
    </row>
    <row r="2695" spans="1:22" customFormat="1" ht="15" x14ac:dyDescent="0.25">
      <c r="A2695" t="s">
        <v>214</v>
      </c>
      <c r="B2695" t="s">
        <v>4707</v>
      </c>
      <c r="E2695" s="1515" t="s">
        <v>956</v>
      </c>
      <c r="F2695" s="1516"/>
      <c r="G2695" s="1516"/>
      <c r="H2695" s="1516"/>
      <c r="K2695" t="s">
        <v>4023</v>
      </c>
      <c r="V2695">
        <v>46</v>
      </c>
    </row>
    <row r="2696" spans="1:22" customFormat="1" ht="15" x14ac:dyDescent="0.25">
      <c r="A2696" t="s">
        <v>214</v>
      </c>
      <c r="B2696" t="s">
        <v>4707</v>
      </c>
      <c r="E2696" s="1507" t="s">
        <v>3773</v>
      </c>
      <c r="F2696" s="1507"/>
      <c r="G2696" s="584" t="s">
        <v>777</v>
      </c>
      <c r="H2696" s="576">
        <v>5</v>
      </c>
      <c r="K2696" t="s">
        <v>4208</v>
      </c>
      <c r="L2696" t="s">
        <v>690</v>
      </c>
      <c r="P2696" t="s">
        <v>4211</v>
      </c>
      <c r="V2696">
        <v>14</v>
      </c>
    </row>
    <row r="2697" spans="1:22" customFormat="1" ht="18.75" x14ac:dyDescent="0.25">
      <c r="A2697" t="s">
        <v>214</v>
      </c>
      <c r="B2697" t="s">
        <v>4707</v>
      </c>
      <c r="E2697" s="836" t="s">
        <v>3825</v>
      </c>
      <c r="F2697" s="476"/>
      <c r="G2697" s="476"/>
      <c r="H2697" s="475"/>
      <c r="K2697" t="s">
        <v>4776</v>
      </c>
      <c r="V2697">
        <v>10</v>
      </c>
    </row>
    <row r="2698" spans="1:22" customFormat="1" ht="15" x14ac:dyDescent="0.25">
      <c r="A2698" t="s">
        <v>214</v>
      </c>
      <c r="B2698" t="s">
        <v>4707</v>
      </c>
      <c r="E2698" s="1507" t="s">
        <v>1078</v>
      </c>
      <c r="F2698" s="1507"/>
      <c r="G2698" s="584" t="s">
        <v>3775</v>
      </c>
      <c r="H2698" s="577">
        <v>-0.6</v>
      </c>
      <c r="V2698">
        <v>68</v>
      </c>
    </row>
    <row r="2699" spans="1:22" customFormat="1" ht="15" x14ac:dyDescent="0.25">
      <c r="A2699" t="s">
        <v>214</v>
      </c>
      <c r="B2699" t="s">
        <v>4707</v>
      </c>
      <c r="E2699" s="1507" t="s">
        <v>1079</v>
      </c>
      <c r="F2699" s="1507"/>
      <c r="G2699" s="584" t="s">
        <v>1118</v>
      </c>
      <c r="H2699" s="576">
        <v>-1</v>
      </c>
      <c r="V2699">
        <v>87</v>
      </c>
    </row>
    <row r="2700" spans="1:22" customFormat="1" ht="36" x14ac:dyDescent="0.25">
      <c r="A2700" t="s">
        <v>214</v>
      </c>
      <c r="B2700" t="s">
        <v>4707</v>
      </c>
      <c r="E2700" s="836" t="s">
        <v>3828</v>
      </c>
      <c r="F2700" s="476"/>
      <c r="G2700" s="476"/>
      <c r="H2700" s="475"/>
      <c r="K2700" t="s">
        <v>4777</v>
      </c>
      <c r="V2700">
        <v>24</v>
      </c>
    </row>
    <row r="2701" spans="1:22" customFormat="1" ht="15" x14ac:dyDescent="0.25">
      <c r="A2701" t="s">
        <v>214</v>
      </c>
      <c r="B2701" t="s">
        <v>4707</v>
      </c>
      <c r="E2701" s="1516" t="s">
        <v>951</v>
      </c>
      <c r="F2701" s="1516"/>
      <c r="G2701" s="1516"/>
      <c r="H2701" s="1516"/>
      <c r="V2701">
        <v>280</v>
      </c>
    </row>
    <row r="2702" spans="1:22" customFormat="1" ht="15" x14ac:dyDescent="0.25">
      <c r="A2702" t="s">
        <v>214</v>
      </c>
      <c r="B2702" t="s">
        <v>4707</v>
      </c>
      <c r="E2702" s="1516" t="s">
        <v>1081</v>
      </c>
      <c r="F2702" s="1516"/>
      <c r="G2702" s="1516"/>
      <c r="H2702" s="1516"/>
      <c r="V2702">
        <v>353</v>
      </c>
    </row>
    <row r="2703" spans="1:22" customFormat="1" ht="15" x14ac:dyDescent="0.25">
      <c r="A2703" t="s">
        <v>214</v>
      </c>
      <c r="B2703" t="s">
        <v>4707</v>
      </c>
      <c r="E2703" s="1516" t="s">
        <v>3762</v>
      </c>
      <c r="F2703" s="1516"/>
      <c r="G2703" s="1516"/>
      <c r="H2703" s="1516"/>
      <c r="V2703">
        <v>247</v>
      </c>
    </row>
    <row r="2704" spans="1:22" customFormat="1" ht="15" x14ac:dyDescent="0.25">
      <c r="A2704" t="s">
        <v>214</v>
      </c>
      <c r="B2704" t="s">
        <v>4707</v>
      </c>
      <c r="E2704" s="835" t="s">
        <v>3830</v>
      </c>
      <c r="F2704" s="838"/>
      <c r="G2704" s="838"/>
      <c r="H2704" s="433"/>
      <c r="K2704" t="s">
        <v>4778</v>
      </c>
      <c r="V2704">
        <v>23</v>
      </c>
    </row>
    <row r="2705" spans="1:22" customFormat="1" ht="15" x14ac:dyDescent="0.25">
      <c r="A2705" t="s">
        <v>214</v>
      </c>
      <c r="B2705" t="s">
        <v>4707</v>
      </c>
      <c r="E2705" s="1517" t="s">
        <v>3832</v>
      </c>
      <c r="F2705" s="1517"/>
      <c r="G2705" s="584" t="s">
        <v>777</v>
      </c>
      <c r="H2705" s="576">
        <v>15</v>
      </c>
      <c r="V2705">
        <v>19</v>
      </c>
    </row>
    <row r="2706" spans="1:22" customFormat="1" ht="15" x14ac:dyDescent="0.25">
      <c r="A2706" t="s">
        <v>214</v>
      </c>
      <c r="B2706" t="s">
        <v>4707</v>
      </c>
      <c r="E2706" s="1517" t="s">
        <v>3833</v>
      </c>
      <c r="F2706" s="1517"/>
      <c r="G2706" s="584" t="s">
        <v>777</v>
      </c>
      <c r="H2706" s="576">
        <v>15</v>
      </c>
      <c r="V2706">
        <v>20</v>
      </c>
    </row>
    <row r="2707" spans="1:22" customFormat="1" ht="15" x14ac:dyDescent="0.25">
      <c r="A2707" t="s">
        <v>214</v>
      </c>
      <c r="B2707" t="s">
        <v>4707</v>
      </c>
      <c r="E2707" s="1517" t="s">
        <v>4055</v>
      </c>
      <c r="F2707" s="1517"/>
      <c r="G2707" s="584" t="s">
        <v>777</v>
      </c>
      <c r="H2707" s="576">
        <v>15</v>
      </c>
      <c r="V2707">
        <v>37</v>
      </c>
    </row>
    <row r="2708" spans="1:22" customFormat="1" ht="15" x14ac:dyDescent="0.25">
      <c r="A2708" t="s">
        <v>214</v>
      </c>
      <c r="B2708" t="s">
        <v>4707</v>
      </c>
      <c r="E2708" s="1517" t="s">
        <v>4056</v>
      </c>
      <c r="F2708" s="1517"/>
      <c r="G2708" s="584" t="s">
        <v>777</v>
      </c>
      <c r="H2708" s="576">
        <v>15</v>
      </c>
      <c r="V2708">
        <v>15</v>
      </c>
    </row>
    <row r="2709" spans="1:22" customFormat="1" ht="15" x14ac:dyDescent="0.25">
      <c r="A2709" t="s">
        <v>214</v>
      </c>
      <c r="B2709" t="s">
        <v>4707</v>
      </c>
      <c r="E2709" s="1517" t="s">
        <v>4058</v>
      </c>
      <c r="F2709" s="1517"/>
      <c r="G2709" s="584" t="s">
        <v>777</v>
      </c>
      <c r="H2709" s="576">
        <v>15</v>
      </c>
      <c r="V2709">
        <v>15</v>
      </c>
    </row>
    <row r="2710" spans="1:22" customFormat="1" ht="15" x14ac:dyDescent="0.25">
      <c r="A2710" t="s">
        <v>214</v>
      </c>
      <c r="B2710" t="s">
        <v>4707</v>
      </c>
      <c r="E2710" s="1517" t="s">
        <v>3835</v>
      </c>
      <c r="F2710" s="1517"/>
      <c r="G2710" s="584" t="s">
        <v>777</v>
      </c>
      <c r="H2710" s="576">
        <v>15</v>
      </c>
      <c r="V2710">
        <v>56</v>
      </c>
    </row>
    <row r="2711" spans="1:22" customFormat="1" ht="15" x14ac:dyDescent="0.25">
      <c r="A2711" t="s">
        <v>214</v>
      </c>
      <c r="B2711" t="s">
        <v>4707</v>
      </c>
      <c r="E2711" s="1517" t="s">
        <v>3836</v>
      </c>
      <c r="F2711" s="1517"/>
      <c r="G2711" s="584" t="s">
        <v>777</v>
      </c>
      <c r="H2711" s="576">
        <v>15</v>
      </c>
      <c r="V2711">
        <v>35</v>
      </c>
    </row>
    <row r="2712" spans="1:22" customFormat="1" ht="15" x14ac:dyDescent="0.25">
      <c r="A2712" t="s">
        <v>214</v>
      </c>
      <c r="B2712" t="s">
        <v>4707</v>
      </c>
      <c r="E2712" s="1517" t="s">
        <v>3837</v>
      </c>
      <c r="F2712" s="1517"/>
      <c r="G2712" s="584" t="s">
        <v>777</v>
      </c>
      <c r="H2712" s="576">
        <v>30</v>
      </c>
      <c r="V2712">
        <v>89</v>
      </c>
    </row>
    <row r="2713" spans="1:22" customFormat="1" ht="15" x14ac:dyDescent="0.25">
      <c r="A2713" t="s">
        <v>214</v>
      </c>
      <c r="B2713" t="s">
        <v>4707</v>
      </c>
      <c r="E2713" s="1517" t="s">
        <v>3914</v>
      </c>
      <c r="F2713" s="1517"/>
      <c r="G2713" s="584" t="s">
        <v>777</v>
      </c>
      <c r="H2713" s="576">
        <v>30</v>
      </c>
      <c r="V2713">
        <v>19</v>
      </c>
    </row>
    <row r="2714" spans="1:22" customFormat="1" ht="15" x14ac:dyDescent="0.25">
      <c r="A2714" t="s">
        <v>214</v>
      </c>
      <c r="B2714" t="s">
        <v>4707</v>
      </c>
      <c r="E2714" s="1517" t="s">
        <v>3838</v>
      </c>
      <c r="F2714" s="1517"/>
      <c r="G2714" s="584" t="s">
        <v>777</v>
      </c>
      <c r="H2714" s="576">
        <v>30</v>
      </c>
      <c r="V2714">
        <v>74</v>
      </c>
    </row>
    <row r="2715" spans="1:22" customFormat="1" ht="15" x14ac:dyDescent="0.25">
      <c r="A2715" t="s">
        <v>214</v>
      </c>
      <c r="B2715" t="s">
        <v>4707</v>
      </c>
      <c r="E2715" s="847" t="s">
        <v>4062</v>
      </c>
      <c r="F2715" s="838"/>
      <c r="G2715" s="838"/>
      <c r="H2715" s="433"/>
      <c r="K2715" t="s">
        <v>4779</v>
      </c>
      <c r="V2715">
        <v>22</v>
      </c>
    </row>
    <row r="2716" spans="1:22" customFormat="1" ht="15" x14ac:dyDescent="0.25">
      <c r="A2716" t="s">
        <v>214</v>
      </c>
      <c r="B2716" t="s">
        <v>4707</v>
      </c>
      <c r="E2716" s="1517" t="s">
        <v>3841</v>
      </c>
      <c r="F2716" s="1517"/>
      <c r="G2716" s="584" t="s">
        <v>1118</v>
      </c>
      <c r="H2716" s="576">
        <v>1.5</v>
      </c>
      <c r="V2716">
        <v>100</v>
      </c>
    </row>
    <row r="2717" spans="1:22" customFormat="1" ht="15" x14ac:dyDescent="0.25">
      <c r="A2717" t="s">
        <v>214</v>
      </c>
      <c r="B2717" t="s">
        <v>4707</v>
      </c>
      <c r="E2717" s="1517" t="s">
        <v>3842</v>
      </c>
      <c r="F2717" s="1517"/>
      <c r="G2717" s="584" t="s">
        <v>777</v>
      </c>
      <c r="H2717" s="576">
        <v>65</v>
      </c>
      <c r="V2717">
        <v>44</v>
      </c>
    </row>
    <row r="2718" spans="1:22" customFormat="1" ht="15" x14ac:dyDescent="0.25">
      <c r="A2718" t="s">
        <v>214</v>
      </c>
      <c r="B2718" t="s">
        <v>4707</v>
      </c>
      <c r="E2718" s="1517" t="s">
        <v>3843</v>
      </c>
      <c r="F2718" s="1517"/>
      <c r="G2718" s="584" t="s">
        <v>777</v>
      </c>
      <c r="H2718" s="576">
        <v>185</v>
      </c>
      <c r="V2718">
        <v>43</v>
      </c>
    </row>
    <row r="2719" spans="1:22" customFormat="1" ht="15" x14ac:dyDescent="0.25">
      <c r="A2719" t="s">
        <v>214</v>
      </c>
      <c r="B2719" t="s">
        <v>4707</v>
      </c>
      <c r="E2719" s="835" t="s">
        <v>3846</v>
      </c>
      <c r="F2719" s="585"/>
      <c r="G2719" s="585"/>
      <c r="H2719" s="651"/>
      <c r="V2719">
        <v>5</v>
      </c>
    </row>
    <row r="2720" spans="1:22" customFormat="1" ht="15" x14ac:dyDescent="0.25">
      <c r="A2720" t="s">
        <v>214</v>
      </c>
      <c r="B2720" t="s">
        <v>4707</v>
      </c>
      <c r="E2720" s="1517" t="s">
        <v>3848</v>
      </c>
      <c r="F2720" s="1517"/>
      <c r="G2720" s="584" t="s">
        <v>777</v>
      </c>
      <c r="H2720" s="576">
        <v>500</v>
      </c>
      <c r="V2720">
        <v>64</v>
      </c>
    </row>
    <row r="2721" spans="1:22" customFormat="1" ht="15" x14ac:dyDescent="0.25">
      <c r="A2721" t="s">
        <v>214</v>
      </c>
      <c r="B2721" t="s">
        <v>4707</v>
      </c>
      <c r="E2721" s="1517" t="s">
        <v>3849</v>
      </c>
      <c r="F2721" s="1517"/>
      <c r="G2721" s="584" t="s">
        <v>777</v>
      </c>
      <c r="H2721" s="576">
        <v>1000</v>
      </c>
      <c r="V2721">
        <v>66</v>
      </c>
    </row>
    <row r="2722" spans="1:22" customFormat="1" ht="15" x14ac:dyDescent="0.25">
      <c r="A2722" t="s">
        <v>214</v>
      </c>
      <c r="B2722" t="s">
        <v>4707</v>
      </c>
      <c r="E2722" s="1517" t="s">
        <v>3842</v>
      </c>
      <c r="F2722" s="1517"/>
      <c r="G2722" s="584" t="s">
        <v>777</v>
      </c>
      <c r="H2722" s="576">
        <v>65</v>
      </c>
      <c r="V2722">
        <v>44</v>
      </c>
    </row>
    <row r="2723" spans="1:22" customFormat="1" ht="15" x14ac:dyDescent="0.25">
      <c r="A2723" t="s">
        <v>214</v>
      </c>
      <c r="B2723" t="s">
        <v>4707</v>
      </c>
      <c r="E2723" s="1517" t="s">
        <v>3843</v>
      </c>
      <c r="F2723" s="1517"/>
      <c r="G2723" s="584" t="s">
        <v>777</v>
      </c>
      <c r="H2723" s="576">
        <v>185</v>
      </c>
      <c r="V2723">
        <v>43</v>
      </c>
    </row>
    <row r="2724" spans="1:22" customFormat="1" ht="15" x14ac:dyDescent="0.25">
      <c r="A2724" t="s">
        <v>214</v>
      </c>
      <c r="B2724" t="s">
        <v>4707</v>
      </c>
      <c r="E2724" s="1517" t="s">
        <v>4560</v>
      </c>
      <c r="F2724" s="1517"/>
      <c r="G2724" s="584" t="s">
        <v>777</v>
      </c>
      <c r="H2724" s="576">
        <v>39.14</v>
      </c>
      <c r="V2724">
        <v>104</v>
      </c>
    </row>
    <row r="2725" spans="1:22" customFormat="1" ht="15" x14ac:dyDescent="0.25">
      <c r="A2725" t="s">
        <v>214</v>
      </c>
      <c r="B2725" t="s">
        <v>4707</v>
      </c>
      <c r="E2725" s="1517" t="s">
        <v>4780</v>
      </c>
      <c r="F2725" s="1517"/>
      <c r="G2725" s="584" t="s">
        <v>777</v>
      </c>
      <c r="H2725" s="576">
        <v>905</v>
      </c>
      <c r="V2725">
        <v>43</v>
      </c>
    </row>
    <row r="2726" spans="1:22" customFormat="1" ht="18.75" x14ac:dyDescent="0.3">
      <c r="A2726" t="s">
        <v>214</v>
      </c>
      <c r="B2726" t="s">
        <v>4707</v>
      </c>
      <c r="E2726" s="833" t="s">
        <v>3851</v>
      </c>
      <c r="F2726" s="381"/>
      <c r="G2726" s="381"/>
      <c r="H2726" s="382"/>
      <c r="K2726" t="s">
        <v>4781</v>
      </c>
      <c r="V2726">
        <v>38</v>
      </c>
    </row>
    <row r="2727" spans="1:22" customFormat="1" ht="15" x14ac:dyDescent="0.25">
      <c r="A2727" t="s">
        <v>214</v>
      </c>
      <c r="B2727" t="s">
        <v>4707</v>
      </c>
      <c r="E2727" s="1516" t="s">
        <v>951</v>
      </c>
      <c r="F2727" s="1516"/>
      <c r="G2727" s="1516"/>
      <c r="H2727" s="1516"/>
      <c r="V2727">
        <v>280</v>
      </c>
    </row>
    <row r="2728" spans="1:22" customFormat="1" ht="15" x14ac:dyDescent="0.25">
      <c r="A2728" t="s">
        <v>214</v>
      </c>
      <c r="B2728" t="s">
        <v>4707</v>
      </c>
      <c r="E2728" s="1516" t="s">
        <v>952</v>
      </c>
      <c r="F2728" s="1516"/>
      <c r="G2728" s="1516"/>
      <c r="H2728" s="1516"/>
      <c r="V2728">
        <v>411</v>
      </c>
    </row>
    <row r="2729" spans="1:22" customFormat="1" ht="15" x14ac:dyDescent="0.25">
      <c r="A2729" t="s">
        <v>214</v>
      </c>
      <c r="B2729" t="s">
        <v>4707</v>
      </c>
      <c r="E2729" s="1516" t="s">
        <v>1103</v>
      </c>
      <c r="F2729" s="1516"/>
      <c r="G2729" s="1516"/>
      <c r="H2729" s="1516"/>
      <c r="V2729">
        <v>211</v>
      </c>
    </row>
    <row r="2730" spans="1:22" customFormat="1" ht="15" x14ac:dyDescent="0.25">
      <c r="A2730" t="s">
        <v>214</v>
      </c>
      <c r="B2730" t="s">
        <v>4707</v>
      </c>
      <c r="E2730" s="1516" t="s">
        <v>3762</v>
      </c>
      <c r="F2730" s="1516"/>
      <c r="G2730" s="1516"/>
      <c r="H2730" s="1516"/>
      <c r="V2730">
        <v>247</v>
      </c>
    </row>
    <row r="2731" spans="1:22" customFormat="1" ht="15" x14ac:dyDescent="0.25">
      <c r="A2731" t="s">
        <v>214</v>
      </c>
      <c r="B2731" t="s">
        <v>4707</v>
      </c>
      <c r="E2731" s="1516" t="s">
        <v>1104</v>
      </c>
      <c r="F2731" s="1516"/>
      <c r="G2731" s="1516"/>
      <c r="H2731" s="1516"/>
      <c r="V2731">
        <v>142</v>
      </c>
    </row>
    <row r="2732" spans="1:22" customFormat="1" ht="15" x14ac:dyDescent="0.25">
      <c r="A2732" t="s">
        <v>214</v>
      </c>
      <c r="B2732" t="s">
        <v>4707</v>
      </c>
      <c r="E2732" s="1507" t="s">
        <v>849</v>
      </c>
      <c r="F2732" s="1507"/>
      <c r="G2732" s="268" t="s">
        <v>777</v>
      </c>
      <c r="H2732" s="576">
        <v>121.23</v>
      </c>
      <c r="V2732">
        <v>106</v>
      </c>
    </row>
    <row r="2733" spans="1:22" customFormat="1" ht="15" x14ac:dyDescent="0.25">
      <c r="A2733" t="s">
        <v>214</v>
      </c>
      <c r="B2733" t="s">
        <v>4707</v>
      </c>
      <c r="E2733" s="1507" t="s">
        <v>850</v>
      </c>
      <c r="F2733" s="1507"/>
      <c r="G2733" s="585" t="s">
        <v>777</v>
      </c>
      <c r="H2733" s="349">
        <v>48.5</v>
      </c>
      <c r="V2733">
        <v>34</v>
      </c>
    </row>
    <row r="2734" spans="1:22" customFormat="1" ht="15" x14ac:dyDescent="0.25">
      <c r="A2734" t="s">
        <v>214</v>
      </c>
      <c r="B2734" t="s">
        <v>4707</v>
      </c>
      <c r="E2734" s="1507" t="s">
        <v>851</v>
      </c>
      <c r="F2734" s="1507"/>
      <c r="G2734" s="585" t="s">
        <v>852</v>
      </c>
      <c r="H2734" s="349">
        <v>1.2</v>
      </c>
      <c r="V2734">
        <v>51</v>
      </c>
    </row>
    <row r="2735" spans="1:22" customFormat="1" ht="15" x14ac:dyDescent="0.25">
      <c r="A2735" t="s">
        <v>214</v>
      </c>
      <c r="B2735" t="s">
        <v>4707</v>
      </c>
      <c r="E2735" s="1507" t="s">
        <v>853</v>
      </c>
      <c r="F2735" s="1507"/>
      <c r="G2735" s="585" t="s">
        <v>852</v>
      </c>
      <c r="H2735" s="349">
        <v>0.71</v>
      </c>
      <c r="V2735">
        <v>75</v>
      </c>
    </row>
    <row r="2736" spans="1:22" customFormat="1" ht="15" x14ac:dyDescent="0.25">
      <c r="A2736" t="s">
        <v>214</v>
      </c>
      <c r="B2736" t="s">
        <v>4707</v>
      </c>
      <c r="E2736" s="1507" t="s">
        <v>854</v>
      </c>
      <c r="F2736" s="1507"/>
      <c r="G2736" s="585" t="s">
        <v>852</v>
      </c>
      <c r="H2736" s="349">
        <v>-0.71</v>
      </c>
      <c r="V2736">
        <v>72</v>
      </c>
    </row>
    <row r="2737" spans="1:22" customFormat="1" ht="15" x14ac:dyDescent="0.25">
      <c r="A2737" t="s">
        <v>214</v>
      </c>
      <c r="B2737" t="s">
        <v>4707</v>
      </c>
      <c r="E2737" s="1507" t="s">
        <v>855</v>
      </c>
      <c r="F2737" s="1507"/>
      <c r="G2737" s="585"/>
      <c r="H2737" s="651"/>
      <c r="V2737">
        <v>34</v>
      </c>
    </row>
    <row r="2738" spans="1:22" customFormat="1" ht="15" x14ac:dyDescent="0.25">
      <c r="A2738" t="s">
        <v>214</v>
      </c>
      <c r="B2738" t="s">
        <v>4707</v>
      </c>
      <c r="E2738" s="1511" t="s">
        <v>1106</v>
      </c>
      <c r="F2738" s="1511"/>
      <c r="G2738" s="268" t="s">
        <v>777</v>
      </c>
      <c r="H2738" s="576">
        <v>0.61</v>
      </c>
      <c r="V2738">
        <v>57</v>
      </c>
    </row>
    <row r="2739" spans="1:22" customFormat="1" ht="15" x14ac:dyDescent="0.25">
      <c r="A2739" t="s">
        <v>214</v>
      </c>
      <c r="B2739" t="s">
        <v>4707</v>
      </c>
      <c r="E2739" s="1511" t="s">
        <v>1107</v>
      </c>
      <c r="F2739" s="1511"/>
      <c r="G2739" s="268" t="s">
        <v>777</v>
      </c>
      <c r="H2739" s="576">
        <v>1.2</v>
      </c>
      <c r="V2739">
        <v>60</v>
      </c>
    </row>
    <row r="2740" spans="1:22" customFormat="1" ht="15" x14ac:dyDescent="0.25">
      <c r="A2740" t="s">
        <v>214</v>
      </c>
      <c r="B2740" t="s">
        <v>4707</v>
      </c>
      <c r="E2740" s="1507" t="s">
        <v>1108</v>
      </c>
      <c r="F2740" s="1507"/>
      <c r="G2740" s="268"/>
      <c r="H2740" s="650"/>
      <c r="V2740">
        <v>91</v>
      </c>
    </row>
    <row r="2741" spans="1:22" customFormat="1" ht="15" x14ac:dyDescent="0.25">
      <c r="A2741" t="s">
        <v>214</v>
      </c>
      <c r="B2741" t="s">
        <v>4707</v>
      </c>
      <c r="E2741" s="1507" t="s">
        <v>1109</v>
      </c>
      <c r="F2741" s="1507"/>
      <c r="G2741" s="268"/>
      <c r="H2741" s="650"/>
      <c r="V2741">
        <v>96</v>
      </c>
    </row>
    <row r="2742" spans="1:22" customFormat="1" ht="15" x14ac:dyDescent="0.25">
      <c r="A2742" t="s">
        <v>214</v>
      </c>
      <c r="B2742" t="s">
        <v>4707</v>
      </c>
      <c r="E2742" s="1507" t="s">
        <v>856</v>
      </c>
      <c r="F2742" s="1507"/>
      <c r="G2742" s="268"/>
      <c r="H2742" s="650"/>
      <c r="V2742">
        <v>77</v>
      </c>
    </row>
    <row r="2743" spans="1:22" customFormat="1" ht="15" x14ac:dyDescent="0.25">
      <c r="A2743" t="s">
        <v>214</v>
      </c>
      <c r="B2743" t="s">
        <v>4707</v>
      </c>
      <c r="E2743" s="1511" t="s">
        <v>1111</v>
      </c>
      <c r="F2743" s="1511"/>
      <c r="G2743" s="268" t="s">
        <v>777</v>
      </c>
      <c r="H2743" s="650" t="s">
        <v>857</v>
      </c>
      <c r="V2743">
        <v>18</v>
      </c>
    </row>
    <row r="2744" spans="1:22" customFormat="1" ht="15" x14ac:dyDescent="0.25">
      <c r="A2744" t="s">
        <v>214</v>
      </c>
      <c r="B2744" t="s">
        <v>4707</v>
      </c>
      <c r="E2744" s="1511" t="s">
        <v>1112</v>
      </c>
      <c r="F2744" s="1511"/>
      <c r="G2744" s="268" t="s">
        <v>777</v>
      </c>
      <c r="H2744" s="576">
        <v>4.8499999999999996</v>
      </c>
      <c r="V2744">
        <v>69</v>
      </c>
    </row>
    <row r="2745" spans="1:22" customFormat="1" ht="15" x14ac:dyDescent="0.25">
      <c r="A2745" t="s">
        <v>214</v>
      </c>
      <c r="B2745" t="s">
        <v>4707</v>
      </c>
      <c r="E2745" s="1507" t="s">
        <v>858</v>
      </c>
      <c r="F2745" s="1507"/>
      <c r="G2745" s="268" t="s">
        <v>777</v>
      </c>
      <c r="H2745" s="576">
        <v>2.42</v>
      </c>
      <c r="V2745">
        <v>199</v>
      </c>
    </row>
    <row r="2746" spans="1:22" customFormat="1" ht="18.75" x14ac:dyDescent="0.25">
      <c r="A2746" t="s">
        <v>214</v>
      </c>
      <c r="B2746" t="s">
        <v>4707</v>
      </c>
      <c r="E2746" s="836" t="s">
        <v>3853</v>
      </c>
      <c r="F2746" s="476"/>
      <c r="G2746" s="476"/>
      <c r="H2746" s="475"/>
      <c r="K2746" t="s">
        <v>4782</v>
      </c>
      <c r="V2746">
        <v>12</v>
      </c>
    </row>
    <row r="2747" spans="1:22" customFormat="1" ht="15" x14ac:dyDescent="0.25">
      <c r="A2747" t="s">
        <v>214</v>
      </c>
      <c r="B2747" t="s">
        <v>4707</v>
      </c>
      <c r="E2747" s="1507" t="s">
        <v>1114</v>
      </c>
      <c r="F2747" s="1507"/>
      <c r="G2747" s="1507"/>
      <c r="H2747" s="1507"/>
      <c r="V2747">
        <v>203</v>
      </c>
    </row>
    <row r="2748" spans="1:22" customFormat="1" ht="15" x14ac:dyDescent="0.25">
      <c r="A2748" t="s">
        <v>214</v>
      </c>
      <c r="B2748" t="s">
        <v>4707</v>
      </c>
      <c r="E2748" s="1507" t="s">
        <v>1115</v>
      </c>
      <c r="F2748" s="1507"/>
      <c r="G2748" s="584"/>
      <c r="H2748" s="650">
        <v>1.0482</v>
      </c>
      <c r="V2748">
        <v>57</v>
      </c>
    </row>
    <row r="2749" spans="1:22" customFormat="1" ht="15" x14ac:dyDescent="0.25">
      <c r="A2749" t="s">
        <v>214</v>
      </c>
      <c r="B2749" t="s">
        <v>4707</v>
      </c>
      <c r="E2749" s="1507" t="s">
        <v>4072</v>
      </c>
      <c r="F2749" s="1507"/>
      <c r="G2749" s="584"/>
      <c r="H2749" s="650">
        <v>1.0145999999999999</v>
      </c>
      <c r="V2749">
        <v>57</v>
      </c>
    </row>
    <row r="2750" spans="1:22" customFormat="1" ht="15" x14ac:dyDescent="0.25">
      <c r="A2750" t="s">
        <v>214</v>
      </c>
      <c r="B2750" t="s">
        <v>4707</v>
      </c>
      <c r="E2750" s="1507" t="s">
        <v>1117</v>
      </c>
      <c r="F2750" s="1507"/>
      <c r="G2750" s="584"/>
      <c r="H2750" s="650">
        <v>1.0344</v>
      </c>
      <c r="V2750">
        <v>55</v>
      </c>
    </row>
    <row r="2751" spans="1:22" customFormat="1" ht="15" x14ac:dyDescent="0.25">
      <c r="A2751" t="s">
        <v>214</v>
      </c>
      <c r="B2751" t="s">
        <v>4707</v>
      </c>
      <c r="E2751" s="1507" t="s">
        <v>4073</v>
      </c>
      <c r="F2751" s="1507"/>
      <c r="G2751" s="584"/>
      <c r="H2751" s="650">
        <v>1.0044999999999999</v>
      </c>
      <c r="J2751" t="s">
        <v>4783</v>
      </c>
      <c r="V2751">
        <v>55</v>
      </c>
    </row>
    <row r="2752" spans="1:22" customFormat="1" ht="23.25" x14ac:dyDescent="0.25">
      <c r="A2752" t="s">
        <v>214</v>
      </c>
      <c r="B2752" t="s">
        <v>4784</v>
      </c>
      <c r="C2752" t="s">
        <v>3755</v>
      </c>
      <c r="E2752" s="1727" t="s">
        <v>214</v>
      </c>
      <c r="F2752" s="1728"/>
      <c r="G2752" s="1728"/>
      <c r="H2752" s="1728"/>
      <c r="I2752" t="s">
        <v>94</v>
      </c>
      <c r="J2752" t="s">
        <v>4785</v>
      </c>
      <c r="K2752" t="s">
        <v>214</v>
      </c>
      <c r="M2752">
        <v>7</v>
      </c>
      <c r="V2752">
        <v>20</v>
      </c>
    </row>
    <row r="2753" spans="1:22" customFormat="1" x14ac:dyDescent="0.25">
      <c r="A2753" t="s">
        <v>214</v>
      </c>
      <c r="B2753" t="s">
        <v>4784</v>
      </c>
      <c r="C2753" t="s">
        <v>3757</v>
      </c>
      <c r="E2753" s="1729" t="s">
        <v>216</v>
      </c>
      <c r="F2753" s="1730"/>
      <c r="G2753" s="1730"/>
      <c r="H2753" s="1730"/>
      <c r="V2753">
        <v>16</v>
      </c>
    </row>
    <row r="2754" spans="1:22" customFormat="1" x14ac:dyDescent="0.25">
      <c r="A2754" t="s">
        <v>214</v>
      </c>
      <c r="B2754" t="s">
        <v>4784</v>
      </c>
      <c r="C2754" t="s">
        <v>3758</v>
      </c>
      <c r="E2754" s="1729" t="s">
        <v>944</v>
      </c>
      <c r="F2754" s="1730"/>
      <c r="G2754" s="1730"/>
      <c r="H2754" s="1730"/>
      <c r="V2754">
        <v>27</v>
      </c>
    </row>
    <row r="2755" spans="1:22" customFormat="1" ht="15.75" x14ac:dyDescent="0.25">
      <c r="A2755" t="s">
        <v>214</v>
      </c>
      <c r="B2755" t="s">
        <v>4784</v>
      </c>
      <c r="C2755" t="s">
        <v>3759</v>
      </c>
      <c r="E2755" s="1731" t="s">
        <v>6511</v>
      </c>
      <c r="F2755" s="1732"/>
      <c r="G2755" s="1732"/>
      <c r="H2755" s="1732"/>
      <c r="S2755">
        <v>45658</v>
      </c>
      <c r="V2755">
        <v>49</v>
      </c>
    </row>
    <row r="2756" spans="1:22" customFormat="1" ht="15" x14ac:dyDescent="0.25">
      <c r="A2756" t="s">
        <v>214</v>
      </c>
      <c r="B2756" t="s">
        <v>4784</v>
      </c>
      <c r="E2756" s="1733" t="s">
        <v>945</v>
      </c>
      <c r="F2756" s="1734"/>
      <c r="G2756" s="1734"/>
      <c r="H2756" s="1734"/>
      <c r="V2756">
        <v>52</v>
      </c>
    </row>
    <row r="2757" spans="1:22" customFormat="1" ht="15" x14ac:dyDescent="0.25">
      <c r="A2757" t="s">
        <v>214</v>
      </c>
      <c r="B2757" t="s">
        <v>4784</v>
      </c>
      <c r="E2757" s="1733" t="s">
        <v>946</v>
      </c>
      <c r="F2757" s="1734"/>
      <c r="G2757" s="1734"/>
      <c r="H2757" s="1734"/>
      <c r="V2757">
        <v>53</v>
      </c>
    </row>
    <row r="2758" spans="1:22" customFormat="1" ht="15" x14ac:dyDescent="0.25">
      <c r="A2758" t="s">
        <v>214</v>
      </c>
      <c r="B2758" t="s">
        <v>4784</v>
      </c>
      <c r="E2758" s="1735" t="s">
        <v>6637</v>
      </c>
      <c r="F2758" s="1735"/>
      <c r="G2758" s="1735"/>
      <c r="H2758" s="1735"/>
      <c r="K2758" t="s">
        <v>6637</v>
      </c>
      <c r="V2758">
        <v>12</v>
      </c>
    </row>
    <row r="2759" spans="1:22" customFormat="1" ht="15" x14ac:dyDescent="0.25">
      <c r="A2759" t="s">
        <v>214</v>
      </c>
      <c r="B2759" t="s">
        <v>4784</v>
      </c>
      <c r="E2759" s="1619" t="s">
        <v>170</v>
      </c>
      <c r="F2759" s="1605"/>
      <c r="G2759" s="1605"/>
      <c r="H2759" s="1605"/>
      <c r="K2759" t="s">
        <v>947</v>
      </c>
      <c r="V2759">
        <v>34</v>
      </c>
    </row>
    <row r="2760" spans="1:22" customFormat="1" ht="15" x14ac:dyDescent="0.25">
      <c r="A2760" t="s">
        <v>214</v>
      </c>
      <c r="B2760" t="s">
        <v>4784</v>
      </c>
      <c r="E2760" s="1605" t="s">
        <v>4786</v>
      </c>
      <c r="F2760" s="1605"/>
      <c r="G2760" s="1605"/>
      <c r="H2760" s="1605"/>
      <c r="K2760" t="s">
        <v>947</v>
      </c>
      <c r="V2760">
        <v>411</v>
      </c>
    </row>
    <row r="2761" spans="1:22" customFormat="1" ht="15" x14ac:dyDescent="0.25">
      <c r="A2761" t="s">
        <v>214</v>
      </c>
      <c r="B2761" t="s">
        <v>4784</v>
      </c>
      <c r="E2761" s="1621" t="s">
        <v>950</v>
      </c>
      <c r="F2761" s="1605"/>
      <c r="G2761" s="1605"/>
      <c r="H2761" s="1605"/>
      <c r="K2761" t="s">
        <v>949</v>
      </c>
      <c r="V2761">
        <v>11</v>
      </c>
    </row>
    <row r="2762" spans="1:22" customFormat="1" ht="15" x14ac:dyDescent="0.25">
      <c r="A2762" t="s">
        <v>214</v>
      </c>
      <c r="B2762" t="s">
        <v>4784</v>
      </c>
      <c r="E2762" s="1605" t="s">
        <v>951</v>
      </c>
      <c r="F2762" s="1605"/>
      <c r="G2762" s="1605"/>
      <c r="H2762" s="1605"/>
      <c r="K2762" t="s">
        <v>947</v>
      </c>
      <c r="V2762">
        <v>280</v>
      </c>
    </row>
    <row r="2763" spans="1:22" customFormat="1" ht="15" x14ac:dyDescent="0.25">
      <c r="A2763" t="s">
        <v>214</v>
      </c>
      <c r="B2763" t="s">
        <v>4784</v>
      </c>
      <c r="E2763" s="1605" t="s">
        <v>952</v>
      </c>
      <c r="F2763" s="1605"/>
      <c r="G2763" s="1605"/>
      <c r="H2763" s="1605"/>
      <c r="K2763" t="s">
        <v>947</v>
      </c>
      <c r="V2763">
        <v>411</v>
      </c>
    </row>
    <row r="2764" spans="1:22" customFormat="1" ht="15" x14ac:dyDescent="0.25">
      <c r="A2764" t="s">
        <v>214</v>
      </c>
      <c r="B2764" t="s">
        <v>4784</v>
      </c>
      <c r="E2764" s="1605" t="s">
        <v>3761</v>
      </c>
      <c r="F2764" s="1605"/>
      <c r="G2764" s="1605"/>
      <c r="H2764" s="1605"/>
      <c r="K2764" t="s">
        <v>947</v>
      </c>
      <c r="V2764">
        <v>387</v>
      </c>
    </row>
    <row r="2765" spans="1:22" customFormat="1" ht="15" x14ac:dyDescent="0.25">
      <c r="A2765" t="s">
        <v>214</v>
      </c>
      <c r="B2765" t="s">
        <v>4784</v>
      </c>
      <c r="E2765" s="1605" t="s">
        <v>3762</v>
      </c>
      <c r="F2765" s="1605"/>
      <c r="G2765" s="1605"/>
      <c r="H2765" s="1605"/>
      <c r="K2765" t="s">
        <v>947</v>
      </c>
      <c r="V2765">
        <v>247</v>
      </c>
    </row>
    <row r="2766" spans="1:22" customFormat="1" ht="15" x14ac:dyDescent="0.25">
      <c r="A2766" t="s">
        <v>214</v>
      </c>
      <c r="B2766" t="s">
        <v>4784</v>
      </c>
      <c r="E2766" s="1621" t="s">
        <v>956</v>
      </c>
      <c r="F2766" s="1605"/>
      <c r="G2766" s="1605"/>
      <c r="H2766" s="1605"/>
      <c r="K2766" t="s">
        <v>955</v>
      </c>
      <c r="V2766">
        <v>46</v>
      </c>
    </row>
    <row r="2767" spans="1:22" customFormat="1" ht="15" x14ac:dyDescent="0.25">
      <c r="A2767" t="s">
        <v>214</v>
      </c>
      <c r="B2767" t="s">
        <v>4784</v>
      </c>
      <c r="E2767" s="1547" t="s">
        <v>3773</v>
      </c>
      <c r="F2767" s="1547"/>
      <c r="G2767" s="578" t="s">
        <v>777</v>
      </c>
      <c r="H2767" s="576">
        <v>37.29</v>
      </c>
      <c r="K2767" t="s">
        <v>947</v>
      </c>
      <c r="L2767" t="s">
        <v>690</v>
      </c>
      <c r="P2767" t="s">
        <v>957</v>
      </c>
      <c r="V2767">
        <v>14</v>
      </c>
    </row>
    <row r="2768" spans="1:22" customFormat="1" ht="15" x14ac:dyDescent="0.25">
      <c r="A2768" t="s">
        <v>214</v>
      </c>
      <c r="B2768" t="s">
        <v>4784</v>
      </c>
      <c r="E2768" s="1547" t="s">
        <v>6638</v>
      </c>
      <c r="F2768" s="1507"/>
      <c r="G2768" s="578" t="s">
        <v>777</v>
      </c>
      <c r="H2768" s="576">
        <v>0.56000000000000005</v>
      </c>
      <c r="K2768" t="s">
        <v>947</v>
      </c>
      <c r="L2768" t="s">
        <v>690</v>
      </c>
      <c r="P2768" t="s">
        <v>6687</v>
      </c>
      <c r="V2768">
        <v>164</v>
      </c>
    </row>
    <row r="2769" spans="1:22" customFormat="1" ht="15" x14ac:dyDescent="0.25">
      <c r="A2769" t="s">
        <v>214</v>
      </c>
      <c r="B2769" t="s">
        <v>4784</v>
      </c>
      <c r="E2769" s="1547" t="s">
        <v>4710</v>
      </c>
      <c r="F2769" s="1507"/>
      <c r="G2769" s="578" t="s">
        <v>777</v>
      </c>
      <c r="H2769" s="576">
        <v>0.08</v>
      </c>
      <c r="K2769" t="s">
        <v>947</v>
      </c>
      <c r="L2769" t="s">
        <v>690</v>
      </c>
      <c r="P2769" t="s">
        <v>6688</v>
      </c>
      <c r="V2769">
        <v>133</v>
      </c>
    </row>
    <row r="2770" spans="1:22" customFormat="1" ht="15" x14ac:dyDescent="0.25">
      <c r="A2770" t="s">
        <v>214</v>
      </c>
      <c r="B2770" t="s">
        <v>4784</v>
      </c>
      <c r="E2770" s="1547" t="s">
        <v>960</v>
      </c>
      <c r="F2770" s="1547"/>
      <c r="G2770" s="578" t="s">
        <v>777</v>
      </c>
      <c r="H2770" s="580">
        <v>0.42</v>
      </c>
      <c r="K2770" t="s">
        <v>947</v>
      </c>
      <c r="L2770" t="s">
        <v>692</v>
      </c>
      <c r="P2770" t="s">
        <v>959</v>
      </c>
      <c r="V2770">
        <v>64</v>
      </c>
    </row>
    <row r="2771" spans="1:22" customFormat="1" ht="15" x14ac:dyDescent="0.25">
      <c r="A2771" t="s">
        <v>214</v>
      </c>
      <c r="B2771" t="s">
        <v>4784</v>
      </c>
      <c r="E2771" s="1547" t="s">
        <v>6625</v>
      </c>
      <c r="F2771" s="1510"/>
      <c r="G2771" s="578" t="s">
        <v>777</v>
      </c>
      <c r="H2771" s="580">
        <v>-0.06</v>
      </c>
      <c r="K2771" t="s">
        <v>947</v>
      </c>
      <c r="L2771" t="s">
        <v>690</v>
      </c>
      <c r="P2771" t="s">
        <v>4787</v>
      </c>
      <c r="T2771">
        <v>46022</v>
      </c>
      <c r="V2771">
        <v>83</v>
      </c>
    </row>
    <row r="2772" spans="1:22" customFormat="1" ht="15" x14ac:dyDescent="0.25">
      <c r="A2772" t="s">
        <v>214</v>
      </c>
      <c r="B2772" t="s">
        <v>4784</v>
      </c>
      <c r="E2772" s="1547" t="s">
        <v>910</v>
      </c>
      <c r="F2772" s="1547"/>
      <c r="G2772" s="578" t="s">
        <v>845</v>
      </c>
      <c r="H2772" s="579">
        <v>1.1000000000000001E-3</v>
      </c>
      <c r="K2772" t="s">
        <v>947</v>
      </c>
      <c r="L2772" t="s">
        <v>692</v>
      </c>
      <c r="P2772" t="s">
        <v>961</v>
      </c>
      <c r="V2772">
        <v>24</v>
      </c>
    </row>
    <row r="2773" spans="1:22" customFormat="1" ht="15" x14ac:dyDescent="0.25">
      <c r="A2773" t="s">
        <v>214</v>
      </c>
      <c r="B2773" t="s">
        <v>4784</v>
      </c>
      <c r="E2773" s="1547" t="s">
        <v>243</v>
      </c>
      <c r="F2773" s="1507"/>
      <c r="G2773" s="578" t="s">
        <v>845</v>
      </c>
      <c r="H2773" s="577">
        <v>1.34E-2</v>
      </c>
      <c r="K2773" t="s">
        <v>947</v>
      </c>
      <c r="L2773" t="s">
        <v>694</v>
      </c>
      <c r="P2773" t="s">
        <v>964</v>
      </c>
      <c r="V2773">
        <v>47</v>
      </c>
    </row>
    <row r="2774" spans="1:22" customFormat="1" ht="15" x14ac:dyDescent="0.25">
      <c r="A2774" t="s">
        <v>214</v>
      </c>
      <c r="B2774" t="s">
        <v>4784</v>
      </c>
      <c r="E2774" s="1547" t="s">
        <v>175</v>
      </c>
      <c r="F2774" s="1507"/>
      <c r="G2774" s="578" t="s">
        <v>845</v>
      </c>
      <c r="H2774" s="577">
        <v>0.01</v>
      </c>
      <c r="K2774" t="s">
        <v>947</v>
      </c>
      <c r="L2774" t="s">
        <v>694</v>
      </c>
      <c r="P2774" t="s">
        <v>965</v>
      </c>
      <c r="V2774">
        <v>74</v>
      </c>
    </row>
    <row r="2775" spans="1:22" customFormat="1" ht="15" x14ac:dyDescent="0.25">
      <c r="A2775" t="s">
        <v>214</v>
      </c>
      <c r="B2775" t="s">
        <v>4784</v>
      </c>
      <c r="E2775" s="1621" t="s">
        <v>967</v>
      </c>
      <c r="F2775" s="1547"/>
      <c r="G2775" s="578"/>
      <c r="H2775" s="578"/>
      <c r="K2775" t="s">
        <v>966</v>
      </c>
      <c r="V2775">
        <v>48</v>
      </c>
    </row>
    <row r="2776" spans="1:22" customFormat="1" ht="15" x14ac:dyDescent="0.25">
      <c r="A2776" t="s">
        <v>214</v>
      </c>
      <c r="B2776" t="s">
        <v>4784</v>
      </c>
      <c r="E2776" s="1547" t="s">
        <v>844</v>
      </c>
      <c r="F2776" s="1547"/>
      <c r="G2776" s="578" t="s">
        <v>845</v>
      </c>
      <c r="H2776" s="579">
        <v>4.1000000000000003E-3</v>
      </c>
      <c r="K2776" t="s">
        <v>947</v>
      </c>
      <c r="L2776" t="s">
        <v>968</v>
      </c>
      <c r="P2776" t="s">
        <v>969</v>
      </c>
      <c r="V2776">
        <v>55</v>
      </c>
    </row>
    <row r="2777" spans="1:22" customFormat="1" ht="15" x14ac:dyDescent="0.25">
      <c r="A2777" t="s">
        <v>214</v>
      </c>
      <c r="B2777" t="s">
        <v>4784</v>
      </c>
      <c r="E2777" s="1547" t="s">
        <v>846</v>
      </c>
      <c r="F2777" s="1547"/>
      <c r="G2777" s="578" t="s">
        <v>845</v>
      </c>
      <c r="H2777" s="579">
        <v>4.0000000000000002E-4</v>
      </c>
      <c r="K2777" t="s">
        <v>947</v>
      </c>
      <c r="L2777" t="s">
        <v>968</v>
      </c>
      <c r="P2777" t="s">
        <v>969</v>
      </c>
      <c r="V2777">
        <v>65</v>
      </c>
    </row>
    <row r="2778" spans="1:22" customFormat="1" ht="15" x14ac:dyDescent="0.25">
      <c r="A2778" t="s">
        <v>214</v>
      </c>
      <c r="B2778" t="s">
        <v>4784</v>
      </c>
      <c r="E2778" s="1547" t="s">
        <v>847</v>
      </c>
      <c r="F2778" s="1547"/>
      <c r="G2778" s="578" t="s">
        <v>845</v>
      </c>
      <c r="H2778" s="579">
        <v>1.5E-3</v>
      </c>
      <c r="K2778" t="s">
        <v>947</v>
      </c>
      <c r="L2778" t="s">
        <v>968</v>
      </c>
      <c r="P2778" t="s">
        <v>970</v>
      </c>
      <c r="V2778">
        <v>57</v>
      </c>
    </row>
    <row r="2779" spans="1:22" customFormat="1" ht="15" x14ac:dyDescent="0.25">
      <c r="A2779" t="s">
        <v>214</v>
      </c>
      <c r="B2779" t="s">
        <v>4784</v>
      </c>
      <c r="E2779" s="1547" t="s">
        <v>848</v>
      </c>
      <c r="F2779" s="1547"/>
      <c r="G2779" s="578" t="s">
        <v>777</v>
      </c>
      <c r="H2779" s="580">
        <v>0.25</v>
      </c>
      <c r="K2779" t="s">
        <v>947</v>
      </c>
      <c r="L2779" t="s">
        <v>968</v>
      </c>
      <c r="P2779" t="s">
        <v>971</v>
      </c>
      <c r="V2779">
        <v>63</v>
      </c>
    </row>
    <row r="2780" spans="1:22" customFormat="1" x14ac:dyDescent="0.25">
      <c r="A2780" t="s">
        <v>214</v>
      </c>
      <c r="B2780" t="s">
        <v>4784</v>
      </c>
      <c r="E2780" s="1619" t="s">
        <v>174</v>
      </c>
      <c r="F2780" s="1620"/>
      <c r="G2780" s="1620"/>
      <c r="H2780" s="1620"/>
      <c r="K2780" t="s">
        <v>972</v>
      </c>
      <c r="V2780">
        <v>54</v>
      </c>
    </row>
    <row r="2781" spans="1:22" customFormat="1" ht="15" x14ac:dyDescent="0.25">
      <c r="A2781" t="s">
        <v>214</v>
      </c>
      <c r="B2781" t="s">
        <v>4784</v>
      </c>
      <c r="E2781" s="1605" t="s">
        <v>4788</v>
      </c>
      <c r="F2781" s="1605"/>
      <c r="G2781" s="1605"/>
      <c r="H2781" s="1605"/>
      <c r="K2781" t="s">
        <v>972</v>
      </c>
      <c r="V2781">
        <v>403</v>
      </c>
    </row>
    <row r="2782" spans="1:22" customFormat="1" ht="15" x14ac:dyDescent="0.25">
      <c r="A2782" t="s">
        <v>214</v>
      </c>
      <c r="B2782" t="s">
        <v>4784</v>
      </c>
      <c r="E2782" s="1621" t="s">
        <v>950</v>
      </c>
      <c r="F2782" s="1605"/>
      <c r="G2782" s="1605"/>
      <c r="H2782" s="1605"/>
      <c r="K2782" t="s">
        <v>974</v>
      </c>
      <c r="V2782">
        <v>11</v>
      </c>
    </row>
    <row r="2783" spans="1:22" customFormat="1" ht="15" x14ac:dyDescent="0.25">
      <c r="A2783" t="s">
        <v>214</v>
      </c>
      <c r="B2783" t="s">
        <v>4784</v>
      </c>
      <c r="E2783" s="1605" t="s">
        <v>951</v>
      </c>
      <c r="F2783" s="1605"/>
      <c r="G2783" s="1605"/>
      <c r="H2783" s="1605"/>
      <c r="K2783" t="s">
        <v>972</v>
      </c>
      <c r="V2783">
        <v>280</v>
      </c>
    </row>
    <row r="2784" spans="1:22" customFormat="1" ht="15" x14ac:dyDescent="0.25">
      <c r="A2784" t="s">
        <v>214</v>
      </c>
      <c r="B2784" t="s">
        <v>4784</v>
      </c>
      <c r="E2784" s="1605" t="s">
        <v>952</v>
      </c>
      <c r="F2784" s="1605"/>
      <c r="G2784" s="1605"/>
      <c r="H2784" s="1605"/>
      <c r="K2784" t="s">
        <v>972</v>
      </c>
      <c r="V2784">
        <v>411</v>
      </c>
    </row>
    <row r="2785" spans="1:22" customFormat="1" ht="15" x14ac:dyDescent="0.25">
      <c r="A2785" t="s">
        <v>214</v>
      </c>
      <c r="B2785" t="s">
        <v>4784</v>
      </c>
      <c r="E2785" s="1605" t="s">
        <v>4789</v>
      </c>
      <c r="F2785" s="1605"/>
      <c r="G2785" s="1605"/>
      <c r="H2785" s="1605"/>
      <c r="K2785" t="s">
        <v>972</v>
      </c>
      <c r="V2785">
        <v>388</v>
      </c>
    </row>
    <row r="2786" spans="1:22" customFormat="1" ht="15" x14ac:dyDescent="0.25">
      <c r="A2786" t="s">
        <v>214</v>
      </c>
      <c r="B2786" t="s">
        <v>4784</v>
      </c>
      <c r="E2786" s="1605" t="s">
        <v>3762</v>
      </c>
      <c r="F2786" s="1605"/>
      <c r="G2786" s="1605"/>
      <c r="H2786" s="1605"/>
      <c r="K2786" t="s">
        <v>972</v>
      </c>
      <c r="V2786">
        <v>247</v>
      </c>
    </row>
    <row r="2787" spans="1:22" customFormat="1" ht="15" x14ac:dyDescent="0.25">
      <c r="A2787" t="s">
        <v>214</v>
      </c>
      <c r="B2787" t="s">
        <v>4784</v>
      </c>
      <c r="E2787" s="1621" t="s">
        <v>956</v>
      </c>
      <c r="F2787" s="1605"/>
      <c r="G2787" s="1605"/>
      <c r="H2787" s="1605"/>
      <c r="K2787" t="s">
        <v>975</v>
      </c>
      <c r="V2787">
        <v>46</v>
      </c>
    </row>
    <row r="2788" spans="1:22" customFormat="1" ht="15" x14ac:dyDescent="0.25">
      <c r="A2788" t="s">
        <v>214</v>
      </c>
      <c r="B2788" t="s">
        <v>4784</v>
      </c>
      <c r="E2788" s="1547" t="s">
        <v>3773</v>
      </c>
      <c r="F2788" s="1547"/>
      <c r="G2788" s="578" t="s">
        <v>777</v>
      </c>
      <c r="H2788" s="576">
        <v>31.34</v>
      </c>
      <c r="K2788" t="s">
        <v>972</v>
      </c>
      <c r="L2788" t="s">
        <v>690</v>
      </c>
      <c r="P2788" t="s">
        <v>976</v>
      </c>
      <c r="V2788">
        <v>14</v>
      </c>
    </row>
    <row r="2789" spans="1:22" customFormat="1" ht="15" x14ac:dyDescent="0.25">
      <c r="A2789" t="s">
        <v>214</v>
      </c>
      <c r="B2789" t="s">
        <v>4784</v>
      </c>
      <c r="E2789" s="1547" t="s">
        <v>6638</v>
      </c>
      <c r="F2789" s="1507"/>
      <c r="G2789" s="578" t="s">
        <v>777</v>
      </c>
      <c r="H2789" s="576">
        <v>0.47</v>
      </c>
      <c r="K2789" t="s">
        <v>972</v>
      </c>
      <c r="L2789" t="s">
        <v>690</v>
      </c>
      <c r="P2789" t="s">
        <v>6689</v>
      </c>
      <c r="V2789">
        <v>164</v>
      </c>
    </row>
    <row r="2790" spans="1:22" customFormat="1" ht="15" x14ac:dyDescent="0.25">
      <c r="A2790" t="s">
        <v>214</v>
      </c>
      <c r="B2790" t="s">
        <v>4784</v>
      </c>
      <c r="E2790" s="1547" t="s">
        <v>4710</v>
      </c>
      <c r="F2790" s="1507"/>
      <c r="G2790" s="578" t="s">
        <v>777</v>
      </c>
      <c r="H2790" s="576">
        <v>0.23</v>
      </c>
      <c r="K2790" t="s">
        <v>972</v>
      </c>
      <c r="L2790" t="s">
        <v>690</v>
      </c>
      <c r="P2790" t="s">
        <v>6690</v>
      </c>
      <c r="V2790">
        <v>133</v>
      </c>
    </row>
    <row r="2791" spans="1:22" customFormat="1" ht="15" x14ac:dyDescent="0.25">
      <c r="A2791" t="s">
        <v>214</v>
      </c>
      <c r="B2791" t="s">
        <v>4784</v>
      </c>
      <c r="E2791" s="1547" t="s">
        <v>960</v>
      </c>
      <c r="F2791" s="1547"/>
      <c r="G2791" s="578" t="s">
        <v>777</v>
      </c>
      <c r="H2791" s="580">
        <v>0.42</v>
      </c>
      <c r="K2791" t="s">
        <v>972</v>
      </c>
      <c r="L2791" t="s">
        <v>692</v>
      </c>
      <c r="P2791" t="s">
        <v>977</v>
      </c>
      <c r="V2791">
        <v>64</v>
      </c>
    </row>
    <row r="2792" spans="1:22" customFormat="1" ht="15" x14ac:dyDescent="0.25">
      <c r="A2792" t="s">
        <v>214</v>
      </c>
      <c r="B2792" t="s">
        <v>4784</v>
      </c>
      <c r="E2792" s="1547" t="s">
        <v>3688</v>
      </c>
      <c r="F2792" s="1547"/>
      <c r="G2792" s="578" t="s">
        <v>845</v>
      </c>
      <c r="H2792" s="577">
        <v>2.3199999999999998E-2</v>
      </c>
      <c r="K2792" t="s">
        <v>972</v>
      </c>
      <c r="L2792" t="s">
        <v>690</v>
      </c>
      <c r="P2792" t="s">
        <v>978</v>
      </c>
      <c r="V2792">
        <v>28</v>
      </c>
    </row>
    <row r="2793" spans="1:22" customFormat="1" ht="15" x14ac:dyDescent="0.25">
      <c r="A2793" t="s">
        <v>214</v>
      </c>
      <c r="B2793" t="s">
        <v>4784</v>
      </c>
      <c r="E2793" s="1547" t="s">
        <v>910</v>
      </c>
      <c r="F2793" s="1547"/>
      <c r="G2793" s="578" t="s">
        <v>845</v>
      </c>
      <c r="H2793" s="579">
        <v>1.1000000000000001E-3</v>
      </c>
      <c r="K2793" t="s">
        <v>972</v>
      </c>
      <c r="L2793" t="s">
        <v>692</v>
      </c>
      <c r="P2793" t="s">
        <v>980</v>
      </c>
      <c r="V2793">
        <v>24</v>
      </c>
    </row>
    <row r="2794" spans="1:22" customFormat="1" ht="15" x14ac:dyDescent="0.25">
      <c r="A2794" t="s">
        <v>214</v>
      </c>
      <c r="B2794" t="s">
        <v>4784</v>
      </c>
      <c r="E2794" s="1547" t="s">
        <v>4790</v>
      </c>
      <c r="F2794" s="1507"/>
      <c r="G2794" s="578" t="s">
        <v>845</v>
      </c>
      <c r="H2794" s="579">
        <v>6.9999999999999999E-4</v>
      </c>
      <c r="K2794" t="s">
        <v>972</v>
      </c>
      <c r="L2794" t="s">
        <v>690</v>
      </c>
      <c r="P2794" t="s">
        <v>3931</v>
      </c>
      <c r="T2794">
        <v>46022</v>
      </c>
      <c r="V2794">
        <v>136</v>
      </c>
    </row>
    <row r="2795" spans="1:22" customFormat="1" ht="15" x14ac:dyDescent="0.25">
      <c r="A2795" t="s">
        <v>214</v>
      </c>
      <c r="B2795" t="s">
        <v>4784</v>
      </c>
      <c r="E2795" s="1547" t="s">
        <v>6625</v>
      </c>
      <c r="F2795" s="1510"/>
      <c r="G2795" s="578" t="s">
        <v>845</v>
      </c>
      <c r="H2795" s="579">
        <v>-1E-4</v>
      </c>
      <c r="K2795" t="s">
        <v>972</v>
      </c>
      <c r="L2795" t="s">
        <v>690</v>
      </c>
      <c r="P2795" t="s">
        <v>4791</v>
      </c>
      <c r="T2795">
        <v>46022</v>
      </c>
      <c r="V2795">
        <v>83</v>
      </c>
    </row>
    <row r="2796" spans="1:22" customFormat="1" ht="15" x14ac:dyDescent="0.25">
      <c r="A2796" t="s">
        <v>214</v>
      </c>
      <c r="B2796" t="s">
        <v>4784</v>
      </c>
      <c r="E2796" s="1547" t="s">
        <v>6627</v>
      </c>
      <c r="F2796" s="1507"/>
      <c r="G2796" s="578" t="s">
        <v>845</v>
      </c>
      <c r="H2796" s="579">
        <v>4.0000000000000002E-4</v>
      </c>
      <c r="K2796" t="s">
        <v>972</v>
      </c>
      <c r="L2796" t="s">
        <v>690</v>
      </c>
      <c r="P2796" t="s">
        <v>6691</v>
      </c>
      <c r="T2796">
        <v>46022</v>
      </c>
      <c r="V2796">
        <v>88</v>
      </c>
    </row>
    <row r="2797" spans="1:22" customFormat="1" ht="15" x14ac:dyDescent="0.25">
      <c r="A2797" t="s">
        <v>214</v>
      </c>
      <c r="B2797" t="s">
        <v>4784</v>
      </c>
      <c r="E2797" s="1547" t="s">
        <v>6638</v>
      </c>
      <c r="F2797" s="1507"/>
      <c r="G2797" s="578" t="s">
        <v>845</v>
      </c>
      <c r="H2797" s="579">
        <v>2.9999999999999997E-4</v>
      </c>
      <c r="K2797" t="s">
        <v>972</v>
      </c>
      <c r="L2797" t="s">
        <v>690</v>
      </c>
      <c r="P2797" t="s">
        <v>6692</v>
      </c>
      <c r="V2797">
        <v>164</v>
      </c>
    </row>
    <row r="2798" spans="1:22" customFormat="1" ht="15" x14ac:dyDescent="0.25">
      <c r="A2798" t="s">
        <v>214</v>
      </c>
      <c r="B2798" t="s">
        <v>4784</v>
      </c>
      <c r="E2798" s="1547" t="s">
        <v>243</v>
      </c>
      <c r="F2798" s="1547"/>
      <c r="G2798" s="578" t="s">
        <v>845</v>
      </c>
      <c r="H2798" s="577">
        <v>1.23E-2</v>
      </c>
      <c r="K2798" t="s">
        <v>972</v>
      </c>
      <c r="L2798" t="s">
        <v>694</v>
      </c>
      <c r="P2798" t="s">
        <v>983</v>
      </c>
      <c r="V2798">
        <v>47</v>
      </c>
    </row>
    <row r="2799" spans="1:22" customFormat="1" ht="15" x14ac:dyDescent="0.25">
      <c r="A2799" t="s">
        <v>214</v>
      </c>
      <c r="B2799" t="s">
        <v>4784</v>
      </c>
      <c r="E2799" s="1547" t="s">
        <v>175</v>
      </c>
      <c r="F2799" s="1547"/>
      <c r="G2799" s="578" t="s">
        <v>845</v>
      </c>
      <c r="H2799" s="577">
        <v>9.4000000000000004E-3</v>
      </c>
      <c r="K2799" t="s">
        <v>972</v>
      </c>
      <c r="L2799" t="s">
        <v>694</v>
      </c>
      <c r="P2799" t="s">
        <v>984</v>
      </c>
      <c r="V2799">
        <v>74</v>
      </c>
    </row>
    <row r="2800" spans="1:22" customFormat="1" ht="15" x14ac:dyDescent="0.25">
      <c r="A2800" t="s">
        <v>214</v>
      </c>
      <c r="B2800" t="s">
        <v>4784</v>
      </c>
      <c r="E2800" s="1621" t="s">
        <v>967</v>
      </c>
      <c r="F2800" s="1547"/>
      <c r="G2800" s="578"/>
      <c r="H2800" s="578"/>
      <c r="K2800" t="s">
        <v>985</v>
      </c>
      <c r="V2800">
        <v>48</v>
      </c>
    </row>
    <row r="2801" spans="1:22" customFormat="1" ht="15" x14ac:dyDescent="0.25">
      <c r="A2801" t="s">
        <v>214</v>
      </c>
      <c r="B2801" t="s">
        <v>4784</v>
      </c>
      <c r="E2801" s="1547" t="s">
        <v>844</v>
      </c>
      <c r="F2801" s="1547"/>
      <c r="G2801" s="578" t="s">
        <v>845</v>
      </c>
      <c r="H2801" s="579">
        <v>4.1000000000000003E-3</v>
      </c>
      <c r="K2801" t="s">
        <v>972</v>
      </c>
      <c r="L2801" t="s">
        <v>968</v>
      </c>
      <c r="P2801" t="s">
        <v>986</v>
      </c>
      <c r="V2801">
        <v>55</v>
      </c>
    </row>
    <row r="2802" spans="1:22" customFormat="1" ht="15" x14ac:dyDescent="0.25">
      <c r="A2802" t="s">
        <v>214</v>
      </c>
      <c r="B2802" t="s">
        <v>4784</v>
      </c>
      <c r="E2802" s="1622" t="s">
        <v>846</v>
      </c>
      <c r="F2802" s="1622"/>
      <c r="G2802" s="578" t="s">
        <v>845</v>
      </c>
      <c r="H2802" s="579">
        <v>4.0000000000000002E-4</v>
      </c>
      <c r="K2802" t="s">
        <v>972</v>
      </c>
      <c r="L2802" t="s">
        <v>968</v>
      </c>
      <c r="P2802" t="s">
        <v>986</v>
      </c>
      <c r="V2802">
        <v>65</v>
      </c>
    </row>
    <row r="2803" spans="1:22" customFormat="1" ht="15" x14ac:dyDescent="0.25">
      <c r="A2803" t="s">
        <v>214</v>
      </c>
      <c r="B2803" t="s">
        <v>4784</v>
      </c>
      <c r="E2803" s="1547" t="s">
        <v>847</v>
      </c>
      <c r="F2803" s="1547"/>
      <c r="G2803" s="578" t="s">
        <v>845</v>
      </c>
      <c r="H2803" s="579">
        <v>1.5E-3</v>
      </c>
      <c r="K2803" t="s">
        <v>972</v>
      </c>
      <c r="L2803" t="s">
        <v>968</v>
      </c>
      <c r="P2803" t="s">
        <v>987</v>
      </c>
      <c r="V2803">
        <v>57</v>
      </c>
    </row>
    <row r="2804" spans="1:22" customFormat="1" ht="15" x14ac:dyDescent="0.25">
      <c r="A2804" t="s">
        <v>214</v>
      </c>
      <c r="B2804" t="s">
        <v>4784</v>
      </c>
      <c r="E2804" s="1547" t="s">
        <v>848</v>
      </c>
      <c r="F2804" s="1547"/>
      <c r="G2804" s="578" t="s">
        <v>777</v>
      </c>
      <c r="H2804" s="580">
        <v>0.25</v>
      </c>
      <c r="K2804" t="s">
        <v>972</v>
      </c>
      <c r="L2804" t="s">
        <v>968</v>
      </c>
      <c r="P2804" t="s">
        <v>988</v>
      </c>
      <c r="V2804">
        <v>63</v>
      </c>
    </row>
    <row r="2805" spans="1:22" customFormat="1" x14ac:dyDescent="0.25">
      <c r="A2805" t="s">
        <v>214</v>
      </c>
      <c r="B2805" t="s">
        <v>4784</v>
      </c>
      <c r="E2805" s="1619" t="s">
        <v>3767</v>
      </c>
      <c r="F2805" s="1620"/>
      <c r="G2805" s="1620"/>
      <c r="H2805" s="1620"/>
      <c r="K2805" t="s">
        <v>3768</v>
      </c>
      <c r="V2805">
        <v>53</v>
      </c>
    </row>
    <row r="2806" spans="1:22" customFormat="1" ht="15" x14ac:dyDescent="0.25">
      <c r="A2806" t="s">
        <v>214</v>
      </c>
      <c r="B2806" t="s">
        <v>4784</v>
      </c>
      <c r="E2806" s="1605" t="s">
        <v>4792</v>
      </c>
      <c r="F2806" s="1605"/>
      <c r="G2806" s="1605"/>
      <c r="H2806" s="1605"/>
      <c r="K2806" t="s">
        <v>3768</v>
      </c>
      <c r="V2806">
        <v>479</v>
      </c>
    </row>
    <row r="2807" spans="1:22" customFormat="1" ht="15" x14ac:dyDescent="0.25">
      <c r="A2807" t="s">
        <v>214</v>
      </c>
      <c r="B2807" t="s">
        <v>4784</v>
      </c>
      <c r="E2807" s="1621" t="s">
        <v>950</v>
      </c>
      <c r="F2807" s="1605"/>
      <c r="G2807" s="1605"/>
      <c r="H2807" s="1605"/>
      <c r="K2807" t="s">
        <v>992</v>
      </c>
      <c r="V2807">
        <v>11</v>
      </c>
    </row>
    <row r="2808" spans="1:22" customFormat="1" ht="15" x14ac:dyDescent="0.25">
      <c r="A2808" t="s">
        <v>214</v>
      </c>
      <c r="B2808" t="s">
        <v>4784</v>
      </c>
      <c r="E2808" s="1605" t="s">
        <v>951</v>
      </c>
      <c r="F2808" s="1605"/>
      <c r="G2808" s="1605"/>
      <c r="H2808" s="1605"/>
      <c r="K2808" t="s">
        <v>3768</v>
      </c>
      <c r="V2808">
        <v>280</v>
      </c>
    </row>
    <row r="2809" spans="1:22" customFormat="1" ht="15" x14ac:dyDescent="0.25">
      <c r="A2809" t="s">
        <v>214</v>
      </c>
      <c r="B2809" t="s">
        <v>4784</v>
      </c>
      <c r="E2809" s="1605" t="s">
        <v>952</v>
      </c>
      <c r="F2809" s="1605"/>
      <c r="G2809" s="1605"/>
      <c r="H2809" s="1605"/>
      <c r="K2809" t="s">
        <v>3768</v>
      </c>
      <c r="V2809">
        <v>411</v>
      </c>
    </row>
    <row r="2810" spans="1:22" customFormat="1" ht="15" x14ac:dyDescent="0.25">
      <c r="A2810" t="s">
        <v>214</v>
      </c>
      <c r="B2810" t="s">
        <v>4784</v>
      </c>
      <c r="E2810" s="1605" t="s">
        <v>4793</v>
      </c>
      <c r="F2810" s="1605"/>
      <c r="G2810" s="1605"/>
      <c r="H2810" s="1605"/>
      <c r="K2810" t="s">
        <v>3768</v>
      </c>
      <c r="V2810">
        <v>388</v>
      </c>
    </row>
    <row r="2811" spans="1:22" customFormat="1" ht="15" x14ac:dyDescent="0.25">
      <c r="A2811" t="s">
        <v>214</v>
      </c>
      <c r="B2811" t="s">
        <v>4784</v>
      </c>
      <c r="E2811" s="1516" t="s">
        <v>3771</v>
      </c>
      <c r="F2811" s="1516"/>
      <c r="G2811" s="1516"/>
      <c r="H2811" s="1516"/>
      <c r="K2811" t="s">
        <v>3768</v>
      </c>
      <c r="V2811">
        <v>677</v>
      </c>
    </row>
    <row r="2812" spans="1:22" customFormat="1" ht="15" x14ac:dyDescent="0.25">
      <c r="A2812" t="s">
        <v>214</v>
      </c>
      <c r="B2812" t="s">
        <v>4784</v>
      </c>
      <c r="E2812" s="1516" t="s">
        <v>3772</v>
      </c>
      <c r="F2812" s="1516"/>
      <c r="G2812" s="1516"/>
      <c r="H2812" s="1516"/>
      <c r="K2812" t="s">
        <v>3768</v>
      </c>
      <c r="V2812">
        <v>693</v>
      </c>
    </row>
    <row r="2813" spans="1:22" customFormat="1" ht="15" x14ac:dyDescent="0.25">
      <c r="A2813" t="s">
        <v>214</v>
      </c>
      <c r="B2813" t="s">
        <v>4784</v>
      </c>
      <c r="E2813" s="1605" t="s">
        <v>3762</v>
      </c>
      <c r="F2813" s="1605"/>
      <c r="G2813" s="1605"/>
      <c r="H2813" s="1605"/>
      <c r="K2813" t="s">
        <v>3768</v>
      </c>
      <c r="V2813">
        <v>247</v>
      </c>
    </row>
    <row r="2814" spans="1:22" customFormat="1" ht="15" x14ac:dyDescent="0.25">
      <c r="A2814" t="s">
        <v>214</v>
      </c>
      <c r="B2814" t="s">
        <v>4784</v>
      </c>
      <c r="E2814" s="1621" t="s">
        <v>956</v>
      </c>
      <c r="F2814" s="1605"/>
      <c r="G2814" s="1605"/>
      <c r="H2814" s="1605"/>
      <c r="K2814" t="s">
        <v>995</v>
      </c>
      <c r="V2814">
        <v>46</v>
      </c>
    </row>
    <row r="2815" spans="1:22" customFormat="1" ht="15" x14ac:dyDescent="0.25">
      <c r="A2815" t="s">
        <v>214</v>
      </c>
      <c r="B2815" t="s">
        <v>4784</v>
      </c>
      <c r="E2815" s="1547" t="s">
        <v>3773</v>
      </c>
      <c r="F2815" s="1547"/>
      <c r="G2815" s="578" t="s">
        <v>777</v>
      </c>
      <c r="H2815" s="576">
        <v>238.73</v>
      </c>
      <c r="K2815" t="s">
        <v>3768</v>
      </c>
      <c r="L2815" t="s">
        <v>690</v>
      </c>
      <c r="P2815" t="s">
        <v>3774</v>
      </c>
      <c r="V2815">
        <v>14</v>
      </c>
    </row>
    <row r="2816" spans="1:22" customFormat="1" ht="15" x14ac:dyDescent="0.25">
      <c r="A2816" t="s">
        <v>214</v>
      </c>
      <c r="B2816" t="s">
        <v>4784</v>
      </c>
      <c r="E2816" s="1547" t="s">
        <v>6638</v>
      </c>
      <c r="F2816" s="1507"/>
      <c r="G2816" s="578" t="s">
        <v>777</v>
      </c>
      <c r="H2816" s="576">
        <v>3.6</v>
      </c>
      <c r="K2816" t="s">
        <v>3768</v>
      </c>
      <c r="L2816" t="s">
        <v>690</v>
      </c>
      <c r="P2816" t="s">
        <v>6693</v>
      </c>
      <c r="V2816">
        <v>164</v>
      </c>
    </row>
    <row r="2817" spans="1:22" customFormat="1" ht="15" x14ac:dyDescent="0.25">
      <c r="A2817" t="s">
        <v>214</v>
      </c>
      <c r="B2817" t="s">
        <v>4784</v>
      </c>
      <c r="E2817" s="1547" t="s">
        <v>4710</v>
      </c>
      <c r="F2817" s="1507"/>
      <c r="G2817" s="578" t="s">
        <v>777</v>
      </c>
      <c r="H2817" s="576">
        <v>3.14</v>
      </c>
      <c r="K2817" t="s">
        <v>3768</v>
      </c>
      <c r="L2817" t="s">
        <v>690</v>
      </c>
      <c r="P2817" t="s">
        <v>6694</v>
      </c>
      <c r="V2817">
        <v>133</v>
      </c>
    </row>
    <row r="2818" spans="1:22" customFormat="1" ht="15" x14ac:dyDescent="0.25">
      <c r="A2818" t="s">
        <v>214</v>
      </c>
      <c r="B2818" t="s">
        <v>4784</v>
      </c>
      <c r="E2818" s="1547" t="s">
        <v>3688</v>
      </c>
      <c r="F2818" s="1547"/>
      <c r="G2818" s="578" t="s">
        <v>3775</v>
      </c>
      <c r="H2818" s="577">
        <v>4.7679999999999998</v>
      </c>
      <c r="K2818" t="s">
        <v>3768</v>
      </c>
      <c r="L2818" t="s">
        <v>690</v>
      </c>
      <c r="P2818" t="s">
        <v>3776</v>
      </c>
      <c r="V2818">
        <v>28</v>
      </c>
    </row>
    <row r="2819" spans="1:22" customFormat="1" ht="15" x14ac:dyDescent="0.25">
      <c r="A2819" t="s">
        <v>214</v>
      </c>
      <c r="B2819" t="s">
        <v>4784</v>
      </c>
      <c r="E2819" s="1547" t="s">
        <v>910</v>
      </c>
      <c r="F2819" s="1547"/>
      <c r="G2819" s="578" t="s">
        <v>3775</v>
      </c>
      <c r="H2819" s="579">
        <v>0.3886</v>
      </c>
      <c r="K2819" t="s">
        <v>3768</v>
      </c>
      <c r="L2819" t="s">
        <v>692</v>
      </c>
      <c r="P2819" t="s">
        <v>3777</v>
      </c>
      <c r="V2819">
        <v>24</v>
      </c>
    </row>
    <row r="2820" spans="1:22" customFormat="1" ht="15" x14ac:dyDescent="0.25">
      <c r="A2820" t="s">
        <v>214</v>
      </c>
      <c r="B2820" t="s">
        <v>4784</v>
      </c>
      <c r="E2820" s="1547" t="s">
        <v>6695</v>
      </c>
      <c r="F2820" s="1507"/>
      <c r="G2820" s="578" t="s">
        <v>3775</v>
      </c>
      <c r="H2820" s="579">
        <v>0.26900000000000002</v>
      </c>
      <c r="K2820" t="s">
        <v>3768</v>
      </c>
      <c r="L2820" t="s">
        <v>690</v>
      </c>
      <c r="P2820" t="s">
        <v>4233</v>
      </c>
      <c r="T2820">
        <v>46022</v>
      </c>
      <c r="V2820">
        <v>138</v>
      </c>
    </row>
    <row r="2821" spans="1:22" customFormat="1" ht="15" x14ac:dyDescent="0.25">
      <c r="A2821" t="s">
        <v>214</v>
      </c>
      <c r="B2821" t="s">
        <v>4784</v>
      </c>
      <c r="E2821" s="1547" t="s">
        <v>6625</v>
      </c>
      <c r="F2821" s="1510"/>
      <c r="G2821" s="578" t="s">
        <v>3775</v>
      </c>
      <c r="H2821" s="579">
        <v>-1.3100000000000001E-2</v>
      </c>
      <c r="K2821" t="s">
        <v>3768</v>
      </c>
      <c r="L2821" t="s">
        <v>690</v>
      </c>
      <c r="P2821" t="s">
        <v>4794</v>
      </c>
      <c r="T2821">
        <v>46022</v>
      </c>
      <c r="V2821">
        <v>83</v>
      </c>
    </row>
    <row r="2822" spans="1:22" customFormat="1" ht="15" x14ac:dyDescent="0.25">
      <c r="A2822" t="s">
        <v>214</v>
      </c>
      <c r="B2822" t="s">
        <v>4784</v>
      </c>
      <c r="E2822" s="1547" t="s">
        <v>6627</v>
      </c>
      <c r="F2822" s="1507"/>
      <c r="G2822" s="578" t="s">
        <v>3775</v>
      </c>
      <c r="H2822" s="579">
        <v>0.2467</v>
      </c>
      <c r="K2822" t="s">
        <v>3768</v>
      </c>
      <c r="L2822" t="s">
        <v>690</v>
      </c>
      <c r="P2822" t="s">
        <v>6696</v>
      </c>
      <c r="T2822">
        <v>46022</v>
      </c>
      <c r="V2822">
        <v>88</v>
      </c>
    </row>
    <row r="2823" spans="1:22" customFormat="1" ht="15" x14ac:dyDescent="0.25">
      <c r="A2823" t="s">
        <v>214</v>
      </c>
      <c r="B2823" t="s">
        <v>4784</v>
      </c>
      <c r="E2823" s="1547" t="s">
        <v>6638</v>
      </c>
      <c r="F2823" s="1507"/>
      <c r="G2823" s="578" t="s">
        <v>3775</v>
      </c>
      <c r="H2823" s="579">
        <v>7.1800000000000003E-2</v>
      </c>
      <c r="K2823" t="s">
        <v>3768</v>
      </c>
      <c r="L2823" t="s">
        <v>690</v>
      </c>
      <c r="P2823" t="s">
        <v>6697</v>
      </c>
      <c r="V2823">
        <v>164</v>
      </c>
    </row>
    <row r="2824" spans="1:22" customFormat="1" ht="15" x14ac:dyDescent="0.25">
      <c r="A2824" t="s">
        <v>214</v>
      </c>
      <c r="B2824" t="s">
        <v>4784</v>
      </c>
      <c r="E2824" s="1547" t="s">
        <v>243</v>
      </c>
      <c r="F2824" s="1547"/>
      <c r="G2824" s="578" t="s">
        <v>3775</v>
      </c>
      <c r="H2824" s="577">
        <v>4.8532000000000002</v>
      </c>
      <c r="K2824" t="s">
        <v>3768</v>
      </c>
      <c r="L2824" t="s">
        <v>694</v>
      </c>
      <c r="P2824" t="s">
        <v>3780</v>
      </c>
      <c r="V2824">
        <v>47</v>
      </c>
    </row>
    <row r="2825" spans="1:22" customFormat="1" ht="15" x14ac:dyDescent="0.25">
      <c r="A2825" t="s">
        <v>214</v>
      </c>
      <c r="B2825" t="s">
        <v>4784</v>
      </c>
      <c r="E2825" s="1547" t="s">
        <v>175</v>
      </c>
      <c r="F2825" s="1547"/>
      <c r="G2825" s="578" t="s">
        <v>3775</v>
      </c>
      <c r="H2825" s="577">
        <v>3.57</v>
      </c>
      <c r="K2825" t="s">
        <v>3768</v>
      </c>
      <c r="L2825" t="s">
        <v>694</v>
      </c>
      <c r="P2825" t="s">
        <v>3781</v>
      </c>
      <c r="V2825">
        <v>74</v>
      </c>
    </row>
    <row r="2826" spans="1:22" customFormat="1" ht="15" x14ac:dyDescent="0.25">
      <c r="A2826" t="s">
        <v>214</v>
      </c>
      <c r="B2826" t="s">
        <v>4784</v>
      </c>
      <c r="E2826" s="1621" t="s">
        <v>967</v>
      </c>
      <c r="F2826" s="1547"/>
      <c r="G2826" s="578"/>
      <c r="H2826" s="578"/>
      <c r="K2826" t="s">
        <v>1003</v>
      </c>
      <c r="V2826">
        <v>48</v>
      </c>
    </row>
    <row r="2827" spans="1:22" customFormat="1" ht="15" x14ac:dyDescent="0.25">
      <c r="A2827" t="s">
        <v>214</v>
      </c>
      <c r="B2827" t="s">
        <v>4784</v>
      </c>
      <c r="E2827" s="1547" t="s">
        <v>844</v>
      </c>
      <c r="F2827" s="1547"/>
      <c r="G2827" s="578" t="s">
        <v>845</v>
      </c>
      <c r="H2827" s="579">
        <v>4.1000000000000003E-3</v>
      </c>
      <c r="K2827" t="s">
        <v>3768</v>
      </c>
      <c r="L2827" t="s">
        <v>968</v>
      </c>
      <c r="P2827" t="s">
        <v>3782</v>
      </c>
      <c r="V2827">
        <v>55</v>
      </c>
    </row>
    <row r="2828" spans="1:22" customFormat="1" ht="15" x14ac:dyDescent="0.25">
      <c r="A2828" t="s">
        <v>214</v>
      </c>
      <c r="B2828" t="s">
        <v>4784</v>
      </c>
      <c r="E2828" s="1622" t="s">
        <v>846</v>
      </c>
      <c r="F2828" s="1622"/>
      <c r="G2828" s="578" t="s">
        <v>845</v>
      </c>
      <c r="H2828" s="579">
        <v>4.0000000000000002E-4</v>
      </c>
      <c r="K2828" t="s">
        <v>3768</v>
      </c>
      <c r="L2828" t="s">
        <v>968</v>
      </c>
      <c r="P2828" t="s">
        <v>3782</v>
      </c>
      <c r="V2828">
        <v>65</v>
      </c>
    </row>
    <row r="2829" spans="1:22" customFormat="1" ht="15" x14ac:dyDescent="0.25">
      <c r="A2829" t="s">
        <v>214</v>
      </c>
      <c r="B2829" t="s">
        <v>4784</v>
      </c>
      <c r="E2829" s="1547" t="s">
        <v>847</v>
      </c>
      <c r="F2829" s="1547"/>
      <c r="G2829" s="578" t="s">
        <v>845</v>
      </c>
      <c r="H2829" s="579">
        <v>1.5E-3</v>
      </c>
      <c r="K2829" t="s">
        <v>3768</v>
      </c>
      <c r="L2829" t="s">
        <v>968</v>
      </c>
      <c r="P2829" t="s">
        <v>3783</v>
      </c>
      <c r="V2829">
        <v>57</v>
      </c>
    </row>
    <row r="2830" spans="1:22" customFormat="1" ht="15" x14ac:dyDescent="0.25">
      <c r="A2830" t="s">
        <v>214</v>
      </c>
      <c r="B2830" t="s">
        <v>4784</v>
      </c>
      <c r="E2830" s="1547" t="s">
        <v>848</v>
      </c>
      <c r="F2830" s="1547"/>
      <c r="G2830" s="578" t="s">
        <v>777</v>
      </c>
      <c r="H2830" s="580">
        <v>0.25</v>
      </c>
      <c r="K2830" t="s">
        <v>3768</v>
      </c>
      <c r="L2830" t="s">
        <v>968</v>
      </c>
      <c r="P2830" t="s">
        <v>3784</v>
      </c>
      <c r="V2830">
        <v>63</v>
      </c>
    </row>
    <row r="2831" spans="1:22" customFormat="1" x14ac:dyDescent="0.25">
      <c r="A2831" t="s">
        <v>214</v>
      </c>
      <c r="B2831" t="s">
        <v>4784</v>
      </c>
      <c r="E2831" s="1619" t="s">
        <v>194</v>
      </c>
      <c r="F2831" s="1620"/>
      <c r="G2831" s="1620"/>
      <c r="H2831" s="1620"/>
      <c r="K2831" t="s">
        <v>3785</v>
      </c>
      <c r="V2831">
        <v>47</v>
      </c>
    </row>
    <row r="2832" spans="1:22" customFormat="1" ht="15" x14ac:dyDescent="0.25">
      <c r="A2832" t="s">
        <v>214</v>
      </c>
      <c r="B2832" t="s">
        <v>4784</v>
      </c>
      <c r="E2832" s="1605" t="s">
        <v>4795</v>
      </c>
      <c r="F2832" s="1605"/>
      <c r="G2832" s="1605"/>
      <c r="H2832" s="1605"/>
      <c r="K2832" t="s">
        <v>3785</v>
      </c>
      <c r="V2832">
        <v>713</v>
      </c>
    </row>
    <row r="2833" spans="1:22" customFormat="1" ht="15" x14ac:dyDescent="0.25">
      <c r="A2833" t="s">
        <v>214</v>
      </c>
      <c r="B2833" t="s">
        <v>4784</v>
      </c>
      <c r="E2833" s="1621" t="s">
        <v>950</v>
      </c>
      <c r="F2833" s="1605"/>
      <c r="G2833" s="1605"/>
      <c r="H2833" s="1605"/>
      <c r="K2833" t="s">
        <v>1010</v>
      </c>
      <c r="V2833">
        <v>11</v>
      </c>
    </row>
    <row r="2834" spans="1:22" customFormat="1" ht="15" x14ac:dyDescent="0.25">
      <c r="A2834" t="s">
        <v>214</v>
      </c>
      <c r="B2834" t="s">
        <v>4784</v>
      </c>
      <c r="E2834" s="1605" t="s">
        <v>951</v>
      </c>
      <c r="F2834" s="1605"/>
      <c r="G2834" s="1605"/>
      <c r="H2834" s="1605"/>
      <c r="K2834" t="s">
        <v>3785</v>
      </c>
      <c r="V2834">
        <v>280</v>
      </c>
    </row>
    <row r="2835" spans="1:22" customFormat="1" ht="15" x14ac:dyDescent="0.25">
      <c r="A2835" t="s">
        <v>214</v>
      </c>
      <c r="B2835" t="s">
        <v>4784</v>
      </c>
      <c r="E2835" s="1605" t="s">
        <v>952</v>
      </c>
      <c r="F2835" s="1605"/>
      <c r="G2835" s="1605"/>
      <c r="H2835" s="1605"/>
      <c r="K2835" t="s">
        <v>3785</v>
      </c>
      <c r="V2835">
        <v>411</v>
      </c>
    </row>
    <row r="2836" spans="1:22" customFormat="1" ht="15" x14ac:dyDescent="0.25">
      <c r="A2836" t="s">
        <v>214</v>
      </c>
      <c r="B2836" t="s">
        <v>4784</v>
      </c>
      <c r="E2836" s="1605" t="s">
        <v>4793</v>
      </c>
      <c r="F2836" s="1605"/>
      <c r="G2836" s="1605"/>
      <c r="H2836" s="1605"/>
      <c r="K2836" t="s">
        <v>3785</v>
      </c>
      <c r="V2836">
        <v>388</v>
      </c>
    </row>
    <row r="2837" spans="1:22" customFormat="1" ht="15" x14ac:dyDescent="0.25">
      <c r="A2837" t="s">
        <v>214</v>
      </c>
      <c r="B2837" t="s">
        <v>4784</v>
      </c>
      <c r="E2837" s="1605" t="s">
        <v>3762</v>
      </c>
      <c r="F2837" s="1605"/>
      <c r="G2837" s="1605"/>
      <c r="H2837" s="1605"/>
      <c r="K2837" t="s">
        <v>3785</v>
      </c>
      <c r="V2837">
        <v>247</v>
      </c>
    </row>
    <row r="2838" spans="1:22" customFormat="1" ht="15" x14ac:dyDescent="0.25">
      <c r="A2838" t="s">
        <v>214</v>
      </c>
      <c r="B2838" t="s">
        <v>4784</v>
      </c>
      <c r="E2838" s="1621" t="s">
        <v>956</v>
      </c>
      <c r="F2838" s="1605"/>
      <c r="G2838" s="1605"/>
      <c r="H2838" s="1605"/>
      <c r="K2838" t="s">
        <v>1011</v>
      </c>
      <c r="V2838">
        <v>46</v>
      </c>
    </row>
    <row r="2839" spans="1:22" customFormat="1" ht="15" x14ac:dyDescent="0.25">
      <c r="A2839" t="s">
        <v>214</v>
      </c>
      <c r="B2839" t="s">
        <v>4784</v>
      </c>
      <c r="E2839" s="1547" t="s">
        <v>3874</v>
      </c>
      <c r="F2839" s="1547"/>
      <c r="G2839" s="578" t="s">
        <v>777</v>
      </c>
      <c r="H2839" s="576">
        <v>11.6</v>
      </c>
      <c r="K2839" t="s">
        <v>3785</v>
      </c>
      <c r="L2839" t="s">
        <v>690</v>
      </c>
      <c r="P2839" t="s">
        <v>3788</v>
      </c>
      <c r="V2839">
        <v>31</v>
      </c>
    </row>
    <row r="2840" spans="1:22" customFormat="1" ht="15" x14ac:dyDescent="0.25">
      <c r="A2840" t="s">
        <v>214</v>
      </c>
      <c r="B2840" t="s">
        <v>4784</v>
      </c>
      <c r="E2840" s="1547" t="s">
        <v>6638</v>
      </c>
      <c r="F2840" s="1507"/>
      <c r="G2840" s="578" t="s">
        <v>777</v>
      </c>
      <c r="H2840" s="576">
        <v>0.17</v>
      </c>
      <c r="K2840" t="s">
        <v>3785</v>
      </c>
      <c r="L2840" t="s">
        <v>690</v>
      </c>
      <c r="P2840" t="s">
        <v>6698</v>
      </c>
      <c r="V2840">
        <v>164</v>
      </c>
    </row>
    <row r="2841" spans="1:22" customFormat="1" ht="15" x14ac:dyDescent="0.25">
      <c r="A2841" t="s">
        <v>214</v>
      </c>
      <c r="B2841" t="s">
        <v>4784</v>
      </c>
      <c r="E2841" s="1547" t="s">
        <v>4710</v>
      </c>
      <c r="F2841" s="1507"/>
      <c r="G2841" s="578" t="s">
        <v>777</v>
      </c>
      <c r="H2841" s="576">
        <v>0.09</v>
      </c>
      <c r="K2841" t="s">
        <v>3785</v>
      </c>
      <c r="L2841" t="s">
        <v>690</v>
      </c>
      <c r="P2841" t="s">
        <v>6699</v>
      </c>
      <c r="V2841">
        <v>133</v>
      </c>
    </row>
    <row r="2842" spans="1:22" customFormat="1" ht="15" x14ac:dyDescent="0.25">
      <c r="A2842" t="s">
        <v>214</v>
      </c>
      <c r="B2842" t="s">
        <v>4784</v>
      </c>
      <c r="E2842" s="1547" t="s">
        <v>3688</v>
      </c>
      <c r="F2842" s="1547"/>
      <c r="G2842" s="578" t="s">
        <v>845</v>
      </c>
      <c r="H2842" s="577">
        <v>3.6999999999999998E-2</v>
      </c>
      <c r="K2842" t="s">
        <v>3785</v>
      </c>
      <c r="L2842" t="s">
        <v>690</v>
      </c>
      <c r="P2842" t="s">
        <v>3789</v>
      </c>
      <c r="V2842">
        <v>28</v>
      </c>
    </row>
    <row r="2843" spans="1:22" customFormat="1" ht="15" x14ac:dyDescent="0.25">
      <c r="A2843" t="s">
        <v>214</v>
      </c>
      <c r="B2843" t="s">
        <v>4784</v>
      </c>
      <c r="E2843" s="1547" t="s">
        <v>910</v>
      </c>
      <c r="F2843" s="1547"/>
      <c r="G2843" s="578" t="s">
        <v>845</v>
      </c>
      <c r="H2843" s="579">
        <v>1.1000000000000001E-3</v>
      </c>
      <c r="K2843" t="s">
        <v>3785</v>
      </c>
      <c r="L2843" t="s">
        <v>692</v>
      </c>
      <c r="P2843" t="s">
        <v>3790</v>
      </c>
      <c r="V2843">
        <v>24</v>
      </c>
    </row>
    <row r="2844" spans="1:22" customFormat="1" ht="15" x14ac:dyDescent="0.25">
      <c r="A2844" t="s">
        <v>214</v>
      </c>
      <c r="B2844" t="s">
        <v>4784</v>
      </c>
      <c r="E2844" s="1547" t="s">
        <v>6625</v>
      </c>
      <c r="F2844" s="1510"/>
      <c r="G2844" s="578" t="s">
        <v>845</v>
      </c>
      <c r="H2844" s="579">
        <v>-1E-4</v>
      </c>
      <c r="K2844" t="s">
        <v>3785</v>
      </c>
      <c r="L2844" t="s">
        <v>690</v>
      </c>
      <c r="P2844" t="s">
        <v>4796</v>
      </c>
      <c r="T2844">
        <v>46022</v>
      </c>
      <c r="V2844">
        <v>83</v>
      </c>
    </row>
    <row r="2845" spans="1:22" customFormat="1" ht="15" x14ac:dyDescent="0.25">
      <c r="A2845" t="s">
        <v>214</v>
      </c>
      <c r="B2845" t="s">
        <v>4784</v>
      </c>
      <c r="E2845" s="1547" t="s">
        <v>6638</v>
      </c>
      <c r="F2845" s="1507"/>
      <c r="G2845" s="578" t="s">
        <v>845</v>
      </c>
      <c r="H2845" s="579">
        <v>5.9999999999999995E-4</v>
      </c>
      <c r="K2845" t="s">
        <v>3785</v>
      </c>
      <c r="L2845" t="s">
        <v>690</v>
      </c>
      <c r="P2845" t="s">
        <v>6700</v>
      </c>
      <c r="V2845">
        <v>164</v>
      </c>
    </row>
    <row r="2846" spans="1:22" customFormat="1" ht="15" x14ac:dyDescent="0.25">
      <c r="A2846" t="s">
        <v>214</v>
      </c>
      <c r="B2846" t="s">
        <v>4784</v>
      </c>
      <c r="E2846" s="1547" t="s">
        <v>243</v>
      </c>
      <c r="F2846" s="1547"/>
      <c r="G2846" s="578" t="s">
        <v>845</v>
      </c>
      <c r="H2846" s="577">
        <v>1.23E-2</v>
      </c>
      <c r="K2846" t="s">
        <v>3785</v>
      </c>
      <c r="L2846" t="s">
        <v>694</v>
      </c>
      <c r="P2846" t="s">
        <v>3793</v>
      </c>
      <c r="V2846">
        <v>47</v>
      </c>
    </row>
    <row r="2847" spans="1:22" customFormat="1" ht="15" x14ac:dyDescent="0.25">
      <c r="A2847" t="s">
        <v>214</v>
      </c>
      <c r="B2847" t="s">
        <v>4784</v>
      </c>
      <c r="E2847" s="1547" t="s">
        <v>175</v>
      </c>
      <c r="F2847" s="1547"/>
      <c r="G2847" s="578" t="s">
        <v>845</v>
      </c>
      <c r="H2847" s="577">
        <v>9.4000000000000004E-3</v>
      </c>
      <c r="K2847" t="s">
        <v>3785</v>
      </c>
      <c r="L2847" t="s">
        <v>694</v>
      </c>
      <c r="P2847" t="s">
        <v>3794</v>
      </c>
      <c r="V2847">
        <v>74</v>
      </c>
    </row>
    <row r="2848" spans="1:22" customFormat="1" ht="15" x14ac:dyDescent="0.25">
      <c r="A2848" t="s">
        <v>214</v>
      </c>
      <c r="B2848" t="s">
        <v>4784</v>
      </c>
      <c r="E2848" s="1621" t="s">
        <v>967</v>
      </c>
      <c r="F2848" s="1547"/>
      <c r="G2848" s="578"/>
      <c r="H2848" s="578"/>
      <c r="K2848" t="s">
        <v>1019</v>
      </c>
      <c r="V2848">
        <v>48</v>
      </c>
    </row>
    <row r="2849" spans="1:22" customFormat="1" ht="15" x14ac:dyDescent="0.25">
      <c r="A2849" t="s">
        <v>214</v>
      </c>
      <c r="B2849" t="s">
        <v>4784</v>
      </c>
      <c r="E2849" s="1547" t="s">
        <v>844</v>
      </c>
      <c r="F2849" s="1547"/>
      <c r="G2849" s="578" t="s">
        <v>845</v>
      </c>
      <c r="H2849" s="579">
        <v>4.1000000000000003E-3</v>
      </c>
      <c r="K2849" t="s">
        <v>3785</v>
      </c>
      <c r="L2849" t="s">
        <v>968</v>
      </c>
      <c r="P2849" t="s">
        <v>3795</v>
      </c>
      <c r="V2849">
        <v>55</v>
      </c>
    </row>
    <row r="2850" spans="1:22" customFormat="1" ht="15" x14ac:dyDescent="0.25">
      <c r="A2850" t="s">
        <v>214</v>
      </c>
      <c r="B2850" t="s">
        <v>4784</v>
      </c>
      <c r="E2850" s="1622" t="s">
        <v>846</v>
      </c>
      <c r="F2850" s="1622"/>
      <c r="G2850" s="578" t="s">
        <v>845</v>
      </c>
      <c r="H2850" s="579">
        <v>4.0000000000000002E-4</v>
      </c>
      <c r="K2850" t="s">
        <v>3785</v>
      </c>
      <c r="L2850" t="s">
        <v>968</v>
      </c>
      <c r="P2850" t="s">
        <v>3795</v>
      </c>
      <c r="V2850">
        <v>65</v>
      </c>
    </row>
    <row r="2851" spans="1:22" customFormat="1" ht="15" x14ac:dyDescent="0.25">
      <c r="A2851" t="s">
        <v>214</v>
      </c>
      <c r="B2851" t="s">
        <v>4784</v>
      </c>
      <c r="E2851" s="1547" t="s">
        <v>847</v>
      </c>
      <c r="F2851" s="1547"/>
      <c r="G2851" s="578" t="s">
        <v>845</v>
      </c>
      <c r="H2851" s="579">
        <v>1.5E-3</v>
      </c>
      <c r="K2851" t="s">
        <v>3785</v>
      </c>
      <c r="L2851" t="s">
        <v>968</v>
      </c>
      <c r="P2851" t="s">
        <v>3796</v>
      </c>
      <c r="V2851">
        <v>57</v>
      </c>
    </row>
    <row r="2852" spans="1:22" customFormat="1" ht="15" x14ac:dyDescent="0.25">
      <c r="A2852" t="s">
        <v>214</v>
      </c>
      <c r="B2852" t="s">
        <v>4784</v>
      </c>
      <c r="E2852" s="1547" t="s">
        <v>848</v>
      </c>
      <c r="F2852" s="1507"/>
      <c r="G2852" s="578" t="s">
        <v>777</v>
      </c>
      <c r="H2852" s="580">
        <v>0.25</v>
      </c>
      <c r="K2852" t="s">
        <v>3785</v>
      </c>
      <c r="L2852" t="s">
        <v>968</v>
      </c>
      <c r="P2852" t="s">
        <v>3797</v>
      </c>
      <c r="V2852">
        <v>63</v>
      </c>
    </row>
    <row r="2853" spans="1:22" customFormat="1" x14ac:dyDescent="0.25">
      <c r="A2853" t="s">
        <v>214</v>
      </c>
      <c r="B2853" t="s">
        <v>4784</v>
      </c>
      <c r="E2853" s="1619" t="s">
        <v>198</v>
      </c>
      <c r="F2853" s="1620"/>
      <c r="G2853" s="1620"/>
      <c r="H2853" s="1620"/>
      <c r="K2853" t="s">
        <v>3798</v>
      </c>
      <c r="V2853">
        <v>40</v>
      </c>
    </row>
    <row r="2854" spans="1:22" customFormat="1" ht="15" x14ac:dyDescent="0.25">
      <c r="A2854" t="s">
        <v>214</v>
      </c>
      <c r="B2854" t="s">
        <v>4784</v>
      </c>
      <c r="E2854" s="1605" t="s">
        <v>4693</v>
      </c>
      <c r="F2854" s="1605"/>
      <c r="G2854" s="1605"/>
      <c r="H2854" s="1605"/>
      <c r="K2854" t="s">
        <v>3798</v>
      </c>
      <c r="V2854">
        <v>253</v>
      </c>
    </row>
    <row r="2855" spans="1:22" customFormat="1" ht="15" x14ac:dyDescent="0.25">
      <c r="A2855" t="s">
        <v>214</v>
      </c>
      <c r="B2855" t="s">
        <v>4784</v>
      </c>
      <c r="E2855" s="1621" t="s">
        <v>950</v>
      </c>
      <c r="F2855" s="1605"/>
      <c r="G2855" s="1605"/>
      <c r="H2855" s="1605"/>
      <c r="K2855" t="s">
        <v>1025</v>
      </c>
      <c r="V2855">
        <v>11</v>
      </c>
    </row>
    <row r="2856" spans="1:22" customFormat="1" ht="15" x14ac:dyDescent="0.25">
      <c r="A2856" t="s">
        <v>214</v>
      </c>
      <c r="B2856" t="s">
        <v>4784</v>
      </c>
      <c r="E2856" s="1605" t="s">
        <v>951</v>
      </c>
      <c r="F2856" s="1605"/>
      <c r="G2856" s="1605"/>
      <c r="H2856" s="1605"/>
      <c r="K2856" t="s">
        <v>3798</v>
      </c>
      <c r="V2856">
        <v>280</v>
      </c>
    </row>
    <row r="2857" spans="1:22" customFormat="1" ht="15" x14ac:dyDescent="0.25">
      <c r="A2857" t="s">
        <v>214</v>
      </c>
      <c r="B2857" t="s">
        <v>4784</v>
      </c>
      <c r="E2857" s="1605" t="s">
        <v>952</v>
      </c>
      <c r="F2857" s="1605"/>
      <c r="G2857" s="1605"/>
      <c r="H2857" s="1605"/>
      <c r="K2857" t="s">
        <v>3798</v>
      </c>
      <c r="V2857">
        <v>411</v>
      </c>
    </row>
    <row r="2858" spans="1:22" customFormat="1" ht="15" x14ac:dyDescent="0.25">
      <c r="A2858" t="s">
        <v>214</v>
      </c>
      <c r="B2858" t="s">
        <v>4784</v>
      </c>
      <c r="E2858" s="1605" t="s">
        <v>4793</v>
      </c>
      <c r="F2858" s="1605"/>
      <c r="G2858" s="1605"/>
      <c r="H2858" s="1605"/>
      <c r="K2858" t="s">
        <v>3798</v>
      </c>
      <c r="V2858">
        <v>388</v>
      </c>
    </row>
    <row r="2859" spans="1:22" customFormat="1" ht="15" x14ac:dyDescent="0.25">
      <c r="A2859" t="s">
        <v>214</v>
      </c>
      <c r="B2859" t="s">
        <v>4784</v>
      </c>
      <c r="E2859" s="1605" t="s">
        <v>3762</v>
      </c>
      <c r="F2859" s="1605"/>
      <c r="G2859" s="1605"/>
      <c r="H2859" s="1605"/>
      <c r="K2859" t="s">
        <v>3798</v>
      </c>
      <c r="V2859">
        <v>247</v>
      </c>
    </row>
    <row r="2860" spans="1:22" customFormat="1" ht="15" x14ac:dyDescent="0.25">
      <c r="A2860" t="s">
        <v>214</v>
      </c>
      <c r="B2860" t="s">
        <v>4784</v>
      </c>
      <c r="E2860" s="1621" t="s">
        <v>956</v>
      </c>
      <c r="F2860" s="1605"/>
      <c r="G2860" s="1605"/>
      <c r="H2860" s="1605"/>
      <c r="K2860" t="s">
        <v>1026</v>
      </c>
      <c r="V2860">
        <v>46</v>
      </c>
    </row>
    <row r="2861" spans="1:22" customFormat="1" ht="15" x14ac:dyDescent="0.25">
      <c r="A2861" t="s">
        <v>214</v>
      </c>
      <c r="B2861" t="s">
        <v>4784</v>
      </c>
      <c r="E2861" s="1547" t="s">
        <v>4695</v>
      </c>
      <c r="F2861" s="1547"/>
      <c r="G2861" s="578" t="s">
        <v>777</v>
      </c>
      <c r="H2861" s="576">
        <v>6.82</v>
      </c>
      <c r="K2861" t="s">
        <v>3798</v>
      </c>
      <c r="L2861" t="s">
        <v>690</v>
      </c>
      <c r="P2861" t="s">
        <v>3801</v>
      </c>
      <c r="V2861">
        <v>26</v>
      </c>
    </row>
    <row r="2862" spans="1:22" customFormat="1" ht="15" x14ac:dyDescent="0.25">
      <c r="A2862" t="s">
        <v>214</v>
      </c>
      <c r="B2862" t="s">
        <v>4784</v>
      </c>
      <c r="E2862" s="1547" t="s">
        <v>6638</v>
      </c>
      <c r="F2862" s="1507"/>
      <c r="G2862" s="578" t="s">
        <v>777</v>
      </c>
      <c r="H2862" s="576">
        <v>0.1</v>
      </c>
      <c r="K2862" t="s">
        <v>3798</v>
      </c>
      <c r="L2862" t="s">
        <v>690</v>
      </c>
      <c r="P2862" t="s">
        <v>6701</v>
      </c>
      <c r="V2862">
        <v>164</v>
      </c>
    </row>
    <row r="2863" spans="1:22" customFormat="1" ht="15" x14ac:dyDescent="0.25">
      <c r="A2863" t="s">
        <v>214</v>
      </c>
      <c r="B2863" t="s">
        <v>4784</v>
      </c>
      <c r="E2863" s="1547" t="s">
        <v>4710</v>
      </c>
      <c r="F2863" s="1507"/>
      <c r="G2863" s="578" t="s">
        <v>777</v>
      </c>
      <c r="H2863" s="576">
        <v>0.02</v>
      </c>
      <c r="K2863" t="s">
        <v>3798</v>
      </c>
      <c r="L2863" t="s">
        <v>690</v>
      </c>
      <c r="P2863" t="s">
        <v>6702</v>
      </c>
      <c r="V2863">
        <v>133</v>
      </c>
    </row>
    <row r="2864" spans="1:22" customFormat="1" ht="15" x14ac:dyDescent="0.25">
      <c r="A2864" t="s">
        <v>214</v>
      </c>
      <c r="B2864" t="s">
        <v>4784</v>
      </c>
      <c r="E2864" s="1547" t="s">
        <v>3688</v>
      </c>
      <c r="F2864" s="1547"/>
      <c r="G2864" s="578" t="s">
        <v>3775</v>
      </c>
      <c r="H2864" s="577">
        <v>18.3566</v>
      </c>
      <c r="K2864" t="s">
        <v>3798</v>
      </c>
      <c r="L2864" t="s">
        <v>690</v>
      </c>
      <c r="P2864" t="s">
        <v>3802</v>
      </c>
      <c r="V2864">
        <v>28</v>
      </c>
    </row>
    <row r="2865" spans="1:22" customFormat="1" ht="15" x14ac:dyDescent="0.25">
      <c r="A2865" t="s">
        <v>214</v>
      </c>
      <c r="B2865" t="s">
        <v>4784</v>
      </c>
      <c r="E2865" s="1547" t="s">
        <v>910</v>
      </c>
      <c r="F2865" s="1507"/>
      <c r="G2865" s="578" t="s">
        <v>3775</v>
      </c>
      <c r="H2865" s="577">
        <v>0.30669999999999997</v>
      </c>
      <c r="K2865" t="s">
        <v>3798</v>
      </c>
      <c r="L2865" t="s">
        <v>692</v>
      </c>
      <c r="P2865" t="s">
        <v>3803</v>
      </c>
      <c r="V2865">
        <v>24</v>
      </c>
    </row>
    <row r="2866" spans="1:22" customFormat="1" ht="15" x14ac:dyDescent="0.25">
      <c r="A2866" t="s">
        <v>214</v>
      </c>
      <c r="B2866" t="s">
        <v>4784</v>
      </c>
      <c r="E2866" s="1547" t="s">
        <v>6625</v>
      </c>
      <c r="F2866" s="1510"/>
      <c r="G2866" s="578" t="s">
        <v>3775</v>
      </c>
      <c r="H2866" s="577">
        <v>-8.6199999999999999E-2</v>
      </c>
      <c r="K2866" t="s">
        <v>3798</v>
      </c>
      <c r="L2866" t="s">
        <v>690</v>
      </c>
      <c r="P2866" t="s">
        <v>4797</v>
      </c>
      <c r="T2866">
        <v>46022</v>
      </c>
      <c r="V2866">
        <v>83</v>
      </c>
    </row>
    <row r="2867" spans="1:22" customFormat="1" ht="15" x14ac:dyDescent="0.25">
      <c r="A2867" t="s">
        <v>214</v>
      </c>
      <c r="B2867" t="s">
        <v>4784</v>
      </c>
      <c r="E2867" s="1547" t="s">
        <v>6638</v>
      </c>
      <c r="F2867" s="1507"/>
      <c r="G2867" s="578" t="s">
        <v>3775</v>
      </c>
      <c r="H2867" s="577">
        <v>0.27650000000000002</v>
      </c>
      <c r="K2867" t="s">
        <v>3798</v>
      </c>
      <c r="L2867" t="s">
        <v>690</v>
      </c>
      <c r="P2867" t="s">
        <v>6703</v>
      </c>
      <c r="V2867">
        <v>164</v>
      </c>
    </row>
    <row r="2868" spans="1:22" customFormat="1" ht="15" x14ac:dyDescent="0.25">
      <c r="A2868" t="s">
        <v>214</v>
      </c>
      <c r="B2868" t="s">
        <v>4784</v>
      </c>
      <c r="E2868" s="1547" t="s">
        <v>243</v>
      </c>
      <c r="F2868" s="1547"/>
      <c r="G2868" s="578" t="s">
        <v>3775</v>
      </c>
      <c r="H2868" s="577">
        <v>3.6781000000000001</v>
      </c>
      <c r="K2868" t="s">
        <v>3798</v>
      </c>
      <c r="L2868" t="s">
        <v>694</v>
      </c>
      <c r="P2868" t="s">
        <v>3806</v>
      </c>
      <c r="V2868">
        <v>47</v>
      </c>
    </row>
    <row r="2869" spans="1:22" customFormat="1" ht="15" x14ac:dyDescent="0.25">
      <c r="A2869" t="s">
        <v>214</v>
      </c>
      <c r="B2869" t="s">
        <v>4784</v>
      </c>
      <c r="E2869" s="1547" t="s">
        <v>175</v>
      </c>
      <c r="F2869" s="1547"/>
      <c r="G2869" s="578" t="s">
        <v>3775</v>
      </c>
      <c r="H2869" s="577">
        <v>2.8176999999999999</v>
      </c>
      <c r="K2869" t="s">
        <v>3798</v>
      </c>
      <c r="L2869" t="s">
        <v>694</v>
      </c>
      <c r="P2869" t="s">
        <v>3807</v>
      </c>
      <c r="V2869">
        <v>74</v>
      </c>
    </row>
    <row r="2870" spans="1:22" customFormat="1" ht="15" x14ac:dyDescent="0.25">
      <c r="A2870" t="s">
        <v>214</v>
      </c>
      <c r="B2870" t="s">
        <v>4784</v>
      </c>
      <c r="E2870" s="1621" t="s">
        <v>967</v>
      </c>
      <c r="F2870" s="1547"/>
      <c r="G2870" s="578"/>
      <c r="H2870" s="578"/>
      <c r="K2870" t="s">
        <v>1035</v>
      </c>
      <c r="V2870">
        <v>48</v>
      </c>
    </row>
    <row r="2871" spans="1:22" customFormat="1" ht="15" x14ac:dyDescent="0.25">
      <c r="A2871" t="s">
        <v>214</v>
      </c>
      <c r="B2871" t="s">
        <v>4784</v>
      </c>
      <c r="E2871" s="1547" t="s">
        <v>844</v>
      </c>
      <c r="F2871" s="1547"/>
      <c r="G2871" s="578" t="s">
        <v>845</v>
      </c>
      <c r="H2871" s="579">
        <v>4.1000000000000003E-3</v>
      </c>
      <c r="K2871" t="s">
        <v>3798</v>
      </c>
      <c r="L2871" t="s">
        <v>968</v>
      </c>
      <c r="P2871" t="s">
        <v>3808</v>
      </c>
      <c r="V2871">
        <v>55</v>
      </c>
    </row>
    <row r="2872" spans="1:22" customFormat="1" ht="15" x14ac:dyDescent="0.25">
      <c r="A2872" t="s">
        <v>214</v>
      </c>
      <c r="B2872" t="s">
        <v>4784</v>
      </c>
      <c r="E2872" s="1622" t="s">
        <v>846</v>
      </c>
      <c r="F2872" s="1622"/>
      <c r="G2872" s="578" t="s">
        <v>845</v>
      </c>
      <c r="H2872" s="579">
        <v>4.0000000000000002E-4</v>
      </c>
      <c r="K2872" t="s">
        <v>3798</v>
      </c>
      <c r="L2872" t="s">
        <v>968</v>
      </c>
      <c r="P2872" t="s">
        <v>3808</v>
      </c>
      <c r="V2872">
        <v>65</v>
      </c>
    </row>
    <row r="2873" spans="1:22" customFormat="1" ht="15" x14ac:dyDescent="0.25">
      <c r="A2873" t="s">
        <v>214</v>
      </c>
      <c r="B2873" t="s">
        <v>4784</v>
      </c>
      <c r="E2873" s="1547" t="s">
        <v>847</v>
      </c>
      <c r="F2873" s="1547"/>
      <c r="G2873" s="578" t="s">
        <v>845</v>
      </c>
      <c r="H2873" s="579">
        <v>1.5E-3</v>
      </c>
      <c r="K2873" t="s">
        <v>3798</v>
      </c>
      <c r="L2873" t="s">
        <v>968</v>
      </c>
      <c r="P2873" t="s">
        <v>3809</v>
      </c>
      <c r="V2873">
        <v>57</v>
      </c>
    </row>
    <row r="2874" spans="1:22" customFormat="1" ht="15" x14ac:dyDescent="0.25">
      <c r="A2874" t="s">
        <v>214</v>
      </c>
      <c r="B2874" t="s">
        <v>4784</v>
      </c>
      <c r="E2874" s="1547" t="s">
        <v>848</v>
      </c>
      <c r="F2874" s="1547"/>
      <c r="G2874" s="578" t="s">
        <v>777</v>
      </c>
      <c r="H2874" s="580">
        <v>0.25</v>
      </c>
      <c r="K2874" t="s">
        <v>3798</v>
      </c>
      <c r="L2874" t="s">
        <v>968</v>
      </c>
      <c r="P2874" t="s">
        <v>3810</v>
      </c>
      <c r="V2874">
        <v>63</v>
      </c>
    </row>
    <row r="2875" spans="1:22" customFormat="1" x14ac:dyDescent="0.25">
      <c r="A2875" t="s">
        <v>214</v>
      </c>
      <c r="B2875" t="s">
        <v>4784</v>
      </c>
      <c r="E2875" s="1619" t="s">
        <v>202</v>
      </c>
      <c r="F2875" s="1620"/>
      <c r="G2875" s="1620"/>
      <c r="H2875" s="1620"/>
      <c r="K2875" t="s">
        <v>3811</v>
      </c>
      <c r="V2875">
        <v>38</v>
      </c>
    </row>
    <row r="2876" spans="1:22" customFormat="1" ht="15" x14ac:dyDescent="0.25">
      <c r="A2876" t="s">
        <v>214</v>
      </c>
      <c r="B2876" t="s">
        <v>4784</v>
      </c>
      <c r="E2876" s="1605" t="s">
        <v>4798</v>
      </c>
      <c r="F2876" s="1605"/>
      <c r="G2876" s="1605"/>
      <c r="H2876" s="1605"/>
      <c r="K2876" t="s">
        <v>3811</v>
      </c>
      <c r="V2876">
        <v>469</v>
      </c>
    </row>
    <row r="2877" spans="1:22" customFormat="1" ht="15" x14ac:dyDescent="0.25">
      <c r="A2877" t="s">
        <v>214</v>
      </c>
      <c r="B2877" t="s">
        <v>4784</v>
      </c>
      <c r="E2877" s="1621" t="s">
        <v>950</v>
      </c>
      <c r="F2877" s="1605"/>
      <c r="G2877" s="1605"/>
      <c r="H2877" s="1605"/>
      <c r="K2877" t="s">
        <v>1041</v>
      </c>
      <c r="V2877">
        <v>11</v>
      </c>
    </row>
    <row r="2878" spans="1:22" customFormat="1" ht="15" x14ac:dyDescent="0.25">
      <c r="A2878" t="s">
        <v>214</v>
      </c>
      <c r="B2878" t="s">
        <v>4784</v>
      </c>
      <c r="E2878" s="1605" t="s">
        <v>951</v>
      </c>
      <c r="F2878" s="1605"/>
      <c r="G2878" s="1605"/>
      <c r="H2878" s="1605"/>
      <c r="K2878" t="s">
        <v>3811</v>
      </c>
      <c r="V2878">
        <v>280</v>
      </c>
    </row>
    <row r="2879" spans="1:22" customFormat="1" ht="15" x14ac:dyDescent="0.25">
      <c r="A2879" t="s">
        <v>214</v>
      </c>
      <c r="B2879" t="s">
        <v>4784</v>
      </c>
      <c r="E2879" s="1605" t="s">
        <v>952</v>
      </c>
      <c r="F2879" s="1605"/>
      <c r="G2879" s="1605"/>
      <c r="H2879" s="1605"/>
      <c r="K2879" t="s">
        <v>3811</v>
      </c>
      <c r="V2879">
        <v>411</v>
      </c>
    </row>
    <row r="2880" spans="1:22" customFormat="1" ht="15" x14ac:dyDescent="0.25">
      <c r="A2880" t="s">
        <v>214</v>
      </c>
      <c r="B2880" t="s">
        <v>4784</v>
      </c>
      <c r="E2880" s="1605" t="s">
        <v>953</v>
      </c>
      <c r="F2880" s="1605"/>
      <c r="G2880" s="1605"/>
      <c r="H2880" s="1605"/>
      <c r="K2880" t="s">
        <v>3811</v>
      </c>
      <c r="V2880">
        <v>386</v>
      </c>
    </row>
    <row r="2881" spans="1:22" customFormat="1" ht="15" x14ac:dyDescent="0.25">
      <c r="A2881" t="s">
        <v>214</v>
      </c>
      <c r="B2881" t="s">
        <v>4784</v>
      </c>
      <c r="E2881" s="1605" t="s">
        <v>3762</v>
      </c>
      <c r="F2881" s="1605"/>
      <c r="G2881" s="1605"/>
      <c r="H2881" s="1605"/>
      <c r="K2881" t="s">
        <v>3811</v>
      </c>
      <c r="V2881">
        <v>247</v>
      </c>
    </row>
    <row r="2882" spans="1:22" customFormat="1" ht="15" x14ac:dyDescent="0.25">
      <c r="A2882" t="s">
        <v>214</v>
      </c>
      <c r="B2882" t="s">
        <v>4784</v>
      </c>
      <c r="E2882" s="1621" t="s">
        <v>956</v>
      </c>
      <c r="F2882" s="1605"/>
      <c r="G2882" s="1605"/>
      <c r="H2882" s="1605"/>
      <c r="K2882" t="s">
        <v>1042</v>
      </c>
      <c r="V2882">
        <v>46</v>
      </c>
    </row>
    <row r="2883" spans="1:22" customFormat="1" ht="15" x14ac:dyDescent="0.25">
      <c r="A2883" t="s">
        <v>214</v>
      </c>
      <c r="B2883" t="s">
        <v>4784</v>
      </c>
      <c r="E2883" s="1547" t="s">
        <v>4695</v>
      </c>
      <c r="F2883" s="1547"/>
      <c r="G2883" s="578" t="s">
        <v>777</v>
      </c>
      <c r="H2883" s="576">
        <v>2.1</v>
      </c>
      <c r="K2883" t="s">
        <v>3811</v>
      </c>
      <c r="L2883" t="s">
        <v>690</v>
      </c>
      <c r="P2883" t="s">
        <v>3813</v>
      </c>
      <c r="V2883">
        <v>26</v>
      </c>
    </row>
    <row r="2884" spans="1:22" customFormat="1" ht="15" x14ac:dyDescent="0.25">
      <c r="A2884" t="s">
        <v>214</v>
      </c>
      <c r="B2884" t="s">
        <v>4784</v>
      </c>
      <c r="E2884" s="1547" t="s">
        <v>6638</v>
      </c>
      <c r="F2884" s="1507"/>
      <c r="G2884" s="578" t="s">
        <v>777</v>
      </c>
      <c r="H2884" s="576">
        <v>0.03</v>
      </c>
      <c r="K2884" t="s">
        <v>3811</v>
      </c>
      <c r="L2884" t="s">
        <v>690</v>
      </c>
      <c r="P2884" t="s">
        <v>6704</v>
      </c>
      <c r="V2884">
        <v>164</v>
      </c>
    </row>
    <row r="2885" spans="1:22" customFormat="1" ht="15" x14ac:dyDescent="0.25">
      <c r="A2885" t="s">
        <v>214</v>
      </c>
      <c r="B2885" t="s">
        <v>4784</v>
      </c>
      <c r="E2885" s="1547" t="s">
        <v>4710</v>
      </c>
      <c r="F2885" s="1507"/>
      <c r="G2885" s="578" t="s">
        <v>777</v>
      </c>
      <c r="H2885" s="576">
        <v>0.01</v>
      </c>
      <c r="K2885" t="s">
        <v>3811</v>
      </c>
      <c r="L2885" t="s">
        <v>690</v>
      </c>
      <c r="P2885" t="s">
        <v>6705</v>
      </c>
      <c r="V2885">
        <v>133</v>
      </c>
    </row>
    <row r="2886" spans="1:22" customFormat="1" ht="15" x14ac:dyDescent="0.25">
      <c r="A2886" t="s">
        <v>214</v>
      </c>
      <c r="B2886" t="s">
        <v>4784</v>
      </c>
      <c r="E2886" s="1547" t="s">
        <v>3688</v>
      </c>
      <c r="F2886" s="1547"/>
      <c r="G2886" s="578" t="s">
        <v>3775</v>
      </c>
      <c r="H2886" s="577">
        <v>8.0317000000000007</v>
      </c>
      <c r="K2886" t="s">
        <v>3811</v>
      </c>
      <c r="L2886" t="s">
        <v>690</v>
      </c>
      <c r="P2886" t="s">
        <v>3814</v>
      </c>
      <c r="V2886">
        <v>28</v>
      </c>
    </row>
    <row r="2887" spans="1:22" customFormat="1" ht="15" x14ac:dyDescent="0.25">
      <c r="A2887" t="s">
        <v>214</v>
      </c>
      <c r="B2887" t="s">
        <v>4784</v>
      </c>
      <c r="E2887" s="1547" t="s">
        <v>910</v>
      </c>
      <c r="F2887" s="1547"/>
      <c r="G2887" s="578" t="s">
        <v>3775</v>
      </c>
      <c r="H2887" s="579">
        <v>0.3004</v>
      </c>
      <c r="K2887" t="s">
        <v>3811</v>
      </c>
      <c r="L2887" t="s">
        <v>692</v>
      </c>
      <c r="P2887" t="s">
        <v>3815</v>
      </c>
      <c r="V2887">
        <v>24</v>
      </c>
    </row>
    <row r="2888" spans="1:22" customFormat="1" ht="15" x14ac:dyDescent="0.25">
      <c r="A2888" t="s">
        <v>214</v>
      </c>
      <c r="B2888" t="s">
        <v>4784</v>
      </c>
      <c r="E2888" s="1547" t="s">
        <v>4790</v>
      </c>
      <c r="F2888" s="1507"/>
      <c r="G2888" s="578" t="s">
        <v>3775</v>
      </c>
      <c r="H2888" s="579">
        <v>8.8138000000000005</v>
      </c>
      <c r="K2888" t="s">
        <v>3811</v>
      </c>
      <c r="L2888" t="s">
        <v>690</v>
      </c>
      <c r="P2888" t="s">
        <v>4799</v>
      </c>
      <c r="T2888">
        <v>46022</v>
      </c>
      <c r="V2888">
        <v>136</v>
      </c>
    </row>
    <row r="2889" spans="1:22" customFormat="1" ht="15" x14ac:dyDescent="0.25">
      <c r="A2889" t="s">
        <v>214</v>
      </c>
      <c r="B2889" t="s">
        <v>4784</v>
      </c>
      <c r="E2889" s="1547" t="s">
        <v>6625</v>
      </c>
      <c r="F2889" s="1510"/>
      <c r="G2889" s="578" t="s">
        <v>3775</v>
      </c>
      <c r="H2889" s="579">
        <v>-8.2699999999999996E-2</v>
      </c>
      <c r="K2889" t="s">
        <v>3811</v>
      </c>
      <c r="L2889" t="s">
        <v>690</v>
      </c>
      <c r="P2889" t="s">
        <v>4800</v>
      </c>
      <c r="T2889">
        <v>46022</v>
      </c>
      <c r="V2889">
        <v>83</v>
      </c>
    </row>
    <row r="2890" spans="1:22" customFormat="1" ht="15" x14ac:dyDescent="0.25">
      <c r="A2890" t="s">
        <v>214</v>
      </c>
      <c r="B2890" t="s">
        <v>4784</v>
      </c>
      <c r="E2890" s="1547" t="s">
        <v>6627</v>
      </c>
      <c r="F2890" s="1507"/>
      <c r="G2890" s="578" t="s">
        <v>3775</v>
      </c>
      <c r="H2890" s="579">
        <v>9.4102999999999994</v>
      </c>
      <c r="K2890" t="s">
        <v>3811</v>
      </c>
      <c r="L2890" t="s">
        <v>690</v>
      </c>
      <c r="P2890" t="s">
        <v>6706</v>
      </c>
      <c r="T2890">
        <v>46022</v>
      </c>
      <c r="V2890">
        <v>88</v>
      </c>
    </row>
    <row r="2891" spans="1:22" customFormat="1" ht="15" x14ac:dyDescent="0.25">
      <c r="A2891" t="s">
        <v>214</v>
      </c>
      <c r="B2891" t="s">
        <v>4784</v>
      </c>
      <c r="E2891" s="1547" t="s">
        <v>6638</v>
      </c>
      <c r="F2891" s="1507"/>
      <c r="G2891" s="578" t="s">
        <v>3775</v>
      </c>
      <c r="H2891" s="579">
        <v>0.121</v>
      </c>
      <c r="K2891" t="s">
        <v>3811</v>
      </c>
      <c r="L2891" t="s">
        <v>690</v>
      </c>
      <c r="P2891" t="s">
        <v>6707</v>
      </c>
      <c r="V2891">
        <v>164</v>
      </c>
    </row>
    <row r="2892" spans="1:22" customFormat="1" ht="15" x14ac:dyDescent="0.25">
      <c r="A2892" t="s">
        <v>214</v>
      </c>
      <c r="B2892" t="s">
        <v>4784</v>
      </c>
      <c r="E2892" s="1547" t="s">
        <v>243</v>
      </c>
      <c r="F2892" s="1547"/>
      <c r="G2892" s="578" t="s">
        <v>3775</v>
      </c>
      <c r="H2892" s="577">
        <v>3.6602999999999999</v>
      </c>
      <c r="K2892" t="s">
        <v>3811</v>
      </c>
      <c r="L2892" t="s">
        <v>694</v>
      </c>
      <c r="P2892" t="s">
        <v>3818</v>
      </c>
      <c r="V2892">
        <v>47</v>
      </c>
    </row>
    <row r="2893" spans="1:22" customFormat="1" ht="15" x14ac:dyDescent="0.25">
      <c r="A2893" t="s">
        <v>214</v>
      </c>
      <c r="B2893" t="s">
        <v>4784</v>
      </c>
      <c r="E2893" s="1547" t="s">
        <v>175</v>
      </c>
      <c r="F2893" s="1547"/>
      <c r="G2893" s="578" t="s">
        <v>3775</v>
      </c>
      <c r="H2893" s="577">
        <v>2.76</v>
      </c>
      <c r="K2893" t="s">
        <v>3811</v>
      </c>
      <c r="L2893" t="s">
        <v>694</v>
      </c>
      <c r="P2893" t="s">
        <v>3819</v>
      </c>
      <c r="V2893">
        <v>74</v>
      </c>
    </row>
    <row r="2894" spans="1:22" customFormat="1" ht="15" x14ac:dyDescent="0.25">
      <c r="A2894" t="s">
        <v>214</v>
      </c>
      <c r="B2894" t="s">
        <v>4784</v>
      </c>
      <c r="E2894" s="1621" t="s">
        <v>967</v>
      </c>
      <c r="F2894" s="1547"/>
      <c r="G2894" s="578"/>
      <c r="H2894" s="578"/>
      <c r="K2894" t="s">
        <v>1049</v>
      </c>
      <c r="V2894">
        <v>48</v>
      </c>
    </row>
    <row r="2895" spans="1:22" customFormat="1" ht="15" x14ac:dyDescent="0.25">
      <c r="A2895" t="s">
        <v>214</v>
      </c>
      <c r="B2895" t="s">
        <v>4784</v>
      </c>
      <c r="E2895" s="1547" t="s">
        <v>844</v>
      </c>
      <c r="F2895" s="1547"/>
      <c r="G2895" s="578" t="s">
        <v>845</v>
      </c>
      <c r="H2895" s="579">
        <v>4.1000000000000003E-3</v>
      </c>
      <c r="K2895" t="s">
        <v>3811</v>
      </c>
      <c r="L2895" t="s">
        <v>968</v>
      </c>
      <c r="P2895" t="s">
        <v>3820</v>
      </c>
      <c r="V2895">
        <v>55</v>
      </c>
    </row>
    <row r="2896" spans="1:22" customFormat="1" ht="15" x14ac:dyDescent="0.25">
      <c r="A2896" t="s">
        <v>214</v>
      </c>
      <c r="B2896" t="s">
        <v>4784</v>
      </c>
      <c r="E2896" s="1622" t="s">
        <v>846</v>
      </c>
      <c r="F2896" s="1622"/>
      <c r="G2896" s="578" t="s">
        <v>845</v>
      </c>
      <c r="H2896" s="579">
        <v>4.0000000000000002E-4</v>
      </c>
      <c r="K2896" t="s">
        <v>3811</v>
      </c>
      <c r="L2896" t="s">
        <v>968</v>
      </c>
      <c r="P2896" t="s">
        <v>3820</v>
      </c>
      <c r="V2896">
        <v>65</v>
      </c>
    </row>
    <row r="2897" spans="1:22" customFormat="1" ht="15" x14ac:dyDescent="0.25">
      <c r="A2897" t="s">
        <v>214</v>
      </c>
      <c r="B2897" t="s">
        <v>4784</v>
      </c>
      <c r="E2897" s="1547" t="s">
        <v>847</v>
      </c>
      <c r="F2897" s="1547"/>
      <c r="G2897" s="578" t="s">
        <v>845</v>
      </c>
      <c r="H2897" s="579">
        <v>1.5E-3</v>
      </c>
      <c r="K2897" t="s">
        <v>3811</v>
      </c>
      <c r="L2897" t="s">
        <v>968</v>
      </c>
      <c r="P2897" t="s">
        <v>3821</v>
      </c>
      <c r="V2897">
        <v>57</v>
      </c>
    </row>
    <row r="2898" spans="1:22" customFormat="1" ht="15" x14ac:dyDescent="0.25">
      <c r="A2898" t="s">
        <v>214</v>
      </c>
      <c r="B2898" t="s">
        <v>4784</v>
      </c>
      <c r="E2898" s="1547" t="s">
        <v>848</v>
      </c>
      <c r="F2898" s="1547"/>
      <c r="G2898" s="578" t="s">
        <v>777</v>
      </c>
      <c r="H2898" s="580">
        <v>0.25</v>
      </c>
      <c r="K2898" t="s">
        <v>3811</v>
      </c>
      <c r="L2898" t="s">
        <v>968</v>
      </c>
      <c r="P2898" t="s">
        <v>3822</v>
      </c>
      <c r="V2898">
        <v>63</v>
      </c>
    </row>
    <row r="2899" spans="1:22" customFormat="1" x14ac:dyDescent="0.25">
      <c r="A2899" t="s">
        <v>214</v>
      </c>
      <c r="B2899" t="s">
        <v>4784</v>
      </c>
      <c r="E2899" s="1619" t="s">
        <v>207</v>
      </c>
      <c r="F2899" s="1620"/>
      <c r="G2899" s="1620"/>
      <c r="H2899" s="1620"/>
      <c r="K2899" t="s">
        <v>3823</v>
      </c>
      <c r="V2899">
        <v>31</v>
      </c>
    </row>
    <row r="2900" spans="1:22" customFormat="1" ht="15" x14ac:dyDescent="0.25">
      <c r="A2900" t="s">
        <v>214</v>
      </c>
      <c r="B2900" t="s">
        <v>4784</v>
      </c>
      <c r="E2900" s="1605" t="s">
        <v>4801</v>
      </c>
      <c r="F2900" s="1605"/>
      <c r="G2900" s="1605"/>
      <c r="H2900" s="1605"/>
      <c r="K2900" t="s">
        <v>3823</v>
      </c>
      <c r="V2900">
        <v>286</v>
      </c>
    </row>
    <row r="2901" spans="1:22" customFormat="1" ht="15" x14ac:dyDescent="0.25">
      <c r="A2901" t="s">
        <v>214</v>
      </c>
      <c r="B2901" t="s">
        <v>4784</v>
      </c>
      <c r="E2901" s="1621" t="s">
        <v>950</v>
      </c>
      <c r="F2901" s="1605"/>
      <c r="G2901" s="1605"/>
      <c r="H2901" s="1605"/>
      <c r="K2901" t="s">
        <v>1055</v>
      </c>
      <c r="V2901">
        <v>11</v>
      </c>
    </row>
    <row r="2902" spans="1:22" customFormat="1" ht="15" x14ac:dyDescent="0.25">
      <c r="A2902" t="s">
        <v>214</v>
      </c>
      <c r="B2902" t="s">
        <v>4784</v>
      </c>
      <c r="E2902" s="1605" t="s">
        <v>951</v>
      </c>
      <c r="F2902" s="1605"/>
      <c r="G2902" s="1605"/>
      <c r="H2902" s="1605"/>
      <c r="K2902" t="s">
        <v>3823</v>
      </c>
      <c r="V2902">
        <v>280</v>
      </c>
    </row>
    <row r="2903" spans="1:22" customFormat="1" ht="15" x14ac:dyDescent="0.25">
      <c r="A2903" t="s">
        <v>214</v>
      </c>
      <c r="B2903" t="s">
        <v>4784</v>
      </c>
      <c r="E2903" s="1605" t="s">
        <v>952</v>
      </c>
      <c r="F2903" s="1605"/>
      <c r="G2903" s="1605"/>
      <c r="H2903" s="1605"/>
      <c r="K2903" t="s">
        <v>3823</v>
      </c>
      <c r="V2903">
        <v>411</v>
      </c>
    </row>
    <row r="2904" spans="1:22" customFormat="1" ht="15" x14ac:dyDescent="0.25">
      <c r="A2904" t="s">
        <v>214</v>
      </c>
      <c r="B2904" t="s">
        <v>4784</v>
      </c>
      <c r="E2904" s="1605" t="s">
        <v>1103</v>
      </c>
      <c r="F2904" s="1605"/>
      <c r="G2904" s="1605"/>
      <c r="H2904" s="1605"/>
      <c r="K2904" t="s">
        <v>3823</v>
      </c>
      <c r="V2904">
        <v>211</v>
      </c>
    </row>
    <row r="2905" spans="1:22" customFormat="1" ht="15" x14ac:dyDescent="0.25">
      <c r="A2905" t="s">
        <v>214</v>
      </c>
      <c r="B2905" t="s">
        <v>4784</v>
      </c>
      <c r="E2905" s="1605" t="s">
        <v>3762</v>
      </c>
      <c r="F2905" s="1605"/>
      <c r="G2905" s="1605"/>
      <c r="H2905" s="1605"/>
      <c r="K2905" t="s">
        <v>3823</v>
      </c>
      <c r="V2905">
        <v>247</v>
      </c>
    </row>
    <row r="2906" spans="1:22" customFormat="1" ht="15" x14ac:dyDescent="0.25">
      <c r="A2906" t="s">
        <v>214</v>
      </c>
      <c r="B2906" t="s">
        <v>4784</v>
      </c>
      <c r="E2906" s="1621" t="s">
        <v>956</v>
      </c>
      <c r="F2906" s="1605"/>
      <c r="G2906" s="1605"/>
      <c r="H2906" s="1605"/>
      <c r="K2906" t="s">
        <v>1056</v>
      </c>
      <c r="V2906">
        <v>46</v>
      </c>
    </row>
    <row r="2907" spans="1:22" customFormat="1" ht="15" x14ac:dyDescent="0.25">
      <c r="A2907" t="s">
        <v>214</v>
      </c>
      <c r="B2907" t="s">
        <v>4784</v>
      </c>
      <c r="E2907" s="1547" t="s">
        <v>3773</v>
      </c>
      <c r="F2907" s="1547"/>
      <c r="G2907" s="578" t="s">
        <v>777</v>
      </c>
      <c r="H2907" s="576">
        <v>5</v>
      </c>
      <c r="K2907" t="s">
        <v>3823</v>
      </c>
      <c r="L2907" t="s">
        <v>690</v>
      </c>
      <c r="P2907" t="s">
        <v>3824</v>
      </c>
      <c r="V2907">
        <v>14</v>
      </c>
    </row>
    <row r="2908" spans="1:22" customFormat="1" ht="18.75" x14ac:dyDescent="0.3">
      <c r="A2908" t="s">
        <v>214</v>
      </c>
      <c r="B2908" t="s">
        <v>4784</v>
      </c>
      <c r="E2908" s="685" t="s">
        <v>3825</v>
      </c>
      <c r="F2908" s="727"/>
      <c r="G2908" s="727"/>
      <c r="H2908" s="727"/>
      <c r="K2908" t="s">
        <v>4776</v>
      </c>
      <c r="V2908">
        <v>10</v>
      </c>
    </row>
    <row r="2909" spans="1:22" customFormat="1" ht="15" x14ac:dyDescent="0.25">
      <c r="A2909" t="s">
        <v>214</v>
      </c>
      <c r="B2909" t="s">
        <v>4784</v>
      </c>
      <c r="E2909" s="1547" t="s">
        <v>1078</v>
      </c>
      <c r="F2909" s="1547"/>
      <c r="G2909" s="578" t="s">
        <v>3775</v>
      </c>
      <c r="H2909" s="608">
        <v>-0.6</v>
      </c>
      <c r="V2909">
        <v>68</v>
      </c>
    </row>
    <row r="2910" spans="1:22" customFormat="1" ht="15" x14ac:dyDescent="0.25">
      <c r="A2910" t="s">
        <v>214</v>
      </c>
      <c r="B2910" t="s">
        <v>4784</v>
      </c>
      <c r="E2910" s="1547" t="s">
        <v>1079</v>
      </c>
      <c r="F2910" s="1547"/>
      <c r="G2910" s="578" t="s">
        <v>1118</v>
      </c>
      <c r="H2910" s="580">
        <v>-1</v>
      </c>
      <c r="V2910">
        <v>87</v>
      </c>
    </row>
    <row r="2911" spans="1:22" customFormat="1" ht="36" x14ac:dyDescent="0.25">
      <c r="A2911" t="s">
        <v>214</v>
      </c>
      <c r="B2911" t="s">
        <v>4784</v>
      </c>
      <c r="E2911" s="845" t="s">
        <v>3828</v>
      </c>
      <c r="F2911" s="900"/>
      <c r="G2911" s="900"/>
      <c r="H2911" s="900"/>
      <c r="K2911" t="s">
        <v>4777</v>
      </c>
      <c r="V2911">
        <v>24</v>
      </c>
    </row>
    <row r="2912" spans="1:22" customFormat="1" ht="15" x14ac:dyDescent="0.25">
      <c r="A2912" t="s">
        <v>214</v>
      </c>
      <c r="B2912" t="s">
        <v>4784</v>
      </c>
      <c r="E2912" s="1605" t="s">
        <v>951</v>
      </c>
      <c r="F2912" s="1605"/>
      <c r="G2912" s="1605"/>
      <c r="H2912" s="1605"/>
      <c r="V2912">
        <v>280</v>
      </c>
    </row>
    <row r="2913" spans="1:22" customFormat="1" ht="15" x14ac:dyDescent="0.25">
      <c r="A2913" t="s">
        <v>214</v>
      </c>
      <c r="B2913" t="s">
        <v>4784</v>
      </c>
      <c r="E2913" s="1605" t="s">
        <v>1081</v>
      </c>
      <c r="F2913" s="1605"/>
      <c r="G2913" s="1605"/>
      <c r="H2913" s="1605"/>
      <c r="V2913">
        <v>353</v>
      </c>
    </row>
    <row r="2914" spans="1:22" customFormat="1" ht="15" x14ac:dyDescent="0.25">
      <c r="A2914" t="s">
        <v>214</v>
      </c>
      <c r="B2914" t="s">
        <v>4784</v>
      </c>
      <c r="E2914" s="1605" t="s">
        <v>3762</v>
      </c>
      <c r="F2914" s="1605"/>
      <c r="G2914" s="1605"/>
      <c r="H2914" s="1605"/>
      <c r="V2914">
        <v>247</v>
      </c>
    </row>
    <row r="2915" spans="1:22" customFormat="1" ht="15" x14ac:dyDescent="0.25">
      <c r="A2915" t="s">
        <v>214</v>
      </c>
      <c r="B2915" t="s">
        <v>4784</v>
      </c>
      <c r="E2915" s="947" t="s">
        <v>3830</v>
      </c>
      <c r="F2915" s="900"/>
      <c r="G2915" s="900"/>
      <c r="H2915" s="900"/>
      <c r="K2915" t="s">
        <v>4778</v>
      </c>
      <c r="V2915">
        <v>23</v>
      </c>
    </row>
    <row r="2916" spans="1:22" customFormat="1" ht="15" x14ac:dyDescent="0.25">
      <c r="A2916" t="s">
        <v>214</v>
      </c>
      <c r="B2916" t="s">
        <v>4784</v>
      </c>
      <c r="E2916" s="1617" t="s">
        <v>3832</v>
      </c>
      <c r="F2916" s="1617"/>
      <c r="G2916" s="578" t="s">
        <v>777</v>
      </c>
      <c r="H2916" s="580">
        <v>15</v>
      </c>
      <c r="V2916">
        <v>19</v>
      </c>
    </row>
    <row r="2917" spans="1:22" customFormat="1" ht="15" x14ac:dyDescent="0.25">
      <c r="A2917" t="s">
        <v>214</v>
      </c>
      <c r="B2917" t="s">
        <v>4784</v>
      </c>
      <c r="E2917" s="1617" t="s">
        <v>3833</v>
      </c>
      <c r="F2917" s="1617"/>
      <c r="G2917" s="578" t="s">
        <v>777</v>
      </c>
      <c r="H2917" s="580">
        <v>15</v>
      </c>
      <c r="V2917">
        <v>20</v>
      </c>
    </row>
    <row r="2918" spans="1:22" customFormat="1" ht="15" x14ac:dyDescent="0.25">
      <c r="A2918" t="s">
        <v>214</v>
      </c>
      <c r="B2918" t="s">
        <v>4784</v>
      </c>
      <c r="E2918" s="1617" t="s">
        <v>4054</v>
      </c>
      <c r="F2918" s="1617"/>
      <c r="G2918" s="578" t="s">
        <v>777</v>
      </c>
      <c r="H2918" s="580">
        <v>15</v>
      </c>
      <c r="V2918">
        <v>26</v>
      </c>
    </row>
    <row r="2919" spans="1:22" customFormat="1" ht="15" x14ac:dyDescent="0.25">
      <c r="A2919" t="s">
        <v>214</v>
      </c>
      <c r="B2919" t="s">
        <v>4784</v>
      </c>
      <c r="E2919" s="1617" t="s">
        <v>4625</v>
      </c>
      <c r="F2919" s="1617"/>
      <c r="G2919" s="578" t="s">
        <v>777</v>
      </c>
      <c r="H2919" s="580">
        <v>15</v>
      </c>
      <c r="V2919">
        <v>15</v>
      </c>
    </row>
    <row r="2920" spans="1:22" customFormat="1" ht="15" x14ac:dyDescent="0.25">
      <c r="A2920" t="s">
        <v>214</v>
      </c>
      <c r="B2920" t="s">
        <v>4784</v>
      </c>
      <c r="E2920" s="1617" t="s">
        <v>4058</v>
      </c>
      <c r="F2920" s="1617"/>
      <c r="G2920" s="578" t="s">
        <v>777</v>
      </c>
      <c r="H2920" s="580">
        <v>15</v>
      </c>
      <c r="V2920">
        <v>15</v>
      </c>
    </row>
    <row r="2921" spans="1:22" customFormat="1" ht="15" x14ac:dyDescent="0.25">
      <c r="A2921" t="s">
        <v>214</v>
      </c>
      <c r="B2921" t="s">
        <v>4784</v>
      </c>
      <c r="E2921" s="1617" t="s">
        <v>3835</v>
      </c>
      <c r="F2921" s="1617"/>
      <c r="G2921" s="578" t="s">
        <v>777</v>
      </c>
      <c r="H2921" s="580">
        <v>15</v>
      </c>
      <c r="V2921">
        <v>56</v>
      </c>
    </row>
    <row r="2922" spans="1:22" customFormat="1" ht="15" x14ac:dyDescent="0.25">
      <c r="A2922" t="s">
        <v>214</v>
      </c>
      <c r="B2922" t="s">
        <v>4784</v>
      </c>
      <c r="E2922" s="1617" t="s">
        <v>3837</v>
      </c>
      <c r="F2922" s="1617"/>
      <c r="G2922" s="578" t="s">
        <v>777</v>
      </c>
      <c r="H2922" s="580">
        <v>30</v>
      </c>
      <c r="V2922">
        <v>89</v>
      </c>
    </row>
    <row r="2923" spans="1:22" customFormat="1" ht="15" x14ac:dyDescent="0.25">
      <c r="A2923" t="s">
        <v>214</v>
      </c>
      <c r="B2923" t="s">
        <v>4784</v>
      </c>
      <c r="E2923" s="1617" t="s">
        <v>4802</v>
      </c>
      <c r="F2923" s="1617"/>
      <c r="G2923" s="578" t="s">
        <v>777</v>
      </c>
      <c r="H2923" s="580">
        <v>15</v>
      </c>
      <c r="V2923">
        <v>35</v>
      </c>
    </row>
    <row r="2924" spans="1:22" customFormat="1" ht="15" x14ac:dyDescent="0.25">
      <c r="A2924" t="s">
        <v>214</v>
      </c>
      <c r="B2924" t="s">
        <v>4784</v>
      </c>
      <c r="E2924" s="1617" t="s">
        <v>3914</v>
      </c>
      <c r="F2924" s="1617"/>
      <c r="G2924" s="578" t="s">
        <v>777</v>
      </c>
      <c r="H2924" s="580">
        <v>30</v>
      </c>
      <c r="V2924">
        <v>19</v>
      </c>
    </row>
    <row r="2925" spans="1:22" customFormat="1" ht="15" x14ac:dyDescent="0.25">
      <c r="A2925" t="s">
        <v>214</v>
      </c>
      <c r="B2925" t="s">
        <v>4784</v>
      </c>
      <c r="E2925" s="1617" t="s">
        <v>3838</v>
      </c>
      <c r="F2925" s="1617"/>
      <c r="G2925" s="578" t="s">
        <v>777</v>
      </c>
      <c r="H2925" s="580">
        <v>30</v>
      </c>
      <c r="V2925">
        <v>74</v>
      </c>
    </row>
    <row r="2926" spans="1:22" customFormat="1" ht="15" x14ac:dyDescent="0.25">
      <c r="A2926" t="s">
        <v>214</v>
      </c>
      <c r="B2926" t="s">
        <v>4784</v>
      </c>
      <c r="E2926" s="1617" t="s">
        <v>4059</v>
      </c>
      <c r="F2926" s="1617"/>
      <c r="G2926" s="578" t="s">
        <v>777</v>
      </c>
      <c r="H2926" s="580">
        <v>15</v>
      </c>
      <c r="V2926">
        <v>19</v>
      </c>
    </row>
    <row r="2927" spans="1:22" customFormat="1" ht="15" x14ac:dyDescent="0.25">
      <c r="A2927" t="s">
        <v>214</v>
      </c>
      <c r="B2927" t="s">
        <v>4784</v>
      </c>
      <c r="E2927" s="947" t="s">
        <v>4062</v>
      </c>
      <c r="F2927" s="900"/>
      <c r="G2927" s="900"/>
      <c r="H2927" s="900"/>
      <c r="K2927" t="s">
        <v>4779</v>
      </c>
      <c r="V2927">
        <v>22</v>
      </c>
    </row>
    <row r="2928" spans="1:22" customFormat="1" ht="15" x14ac:dyDescent="0.25">
      <c r="A2928" t="s">
        <v>214</v>
      </c>
      <c r="B2928" t="s">
        <v>4784</v>
      </c>
      <c r="E2928" s="1628" t="s">
        <v>4064</v>
      </c>
      <c r="F2928" s="1629"/>
      <c r="G2928" s="897" t="s">
        <v>1118</v>
      </c>
      <c r="H2928" s="899">
        <v>1.5</v>
      </c>
      <c r="V2928">
        <v>99</v>
      </c>
    </row>
    <row r="2929" spans="1:22" customFormat="1" ht="15" x14ac:dyDescent="0.25">
      <c r="A2929" t="s">
        <v>214</v>
      </c>
      <c r="B2929" t="s">
        <v>4784</v>
      </c>
      <c r="E2929" s="1617" t="s">
        <v>4803</v>
      </c>
      <c r="F2929" s="1625"/>
      <c r="G2929" s="897" t="s">
        <v>777</v>
      </c>
      <c r="H2929" s="899">
        <v>65</v>
      </c>
      <c r="V2929">
        <v>53</v>
      </c>
    </row>
    <row r="2930" spans="1:22" customFormat="1" ht="15" x14ac:dyDescent="0.25">
      <c r="A2930" t="s">
        <v>214</v>
      </c>
      <c r="B2930" t="s">
        <v>4784</v>
      </c>
      <c r="E2930" s="1617" t="s">
        <v>4804</v>
      </c>
      <c r="F2930" s="1625"/>
      <c r="G2930" s="897" t="s">
        <v>777</v>
      </c>
      <c r="H2930" s="899">
        <v>185</v>
      </c>
      <c r="V2930">
        <v>52</v>
      </c>
    </row>
    <row r="2931" spans="1:22" customFormat="1" ht="15" x14ac:dyDescent="0.25">
      <c r="A2931" t="s">
        <v>214</v>
      </c>
      <c r="B2931" t="s">
        <v>4784</v>
      </c>
      <c r="E2931" s="1617" t="s">
        <v>4805</v>
      </c>
      <c r="F2931" s="1625"/>
      <c r="G2931" s="897" t="s">
        <v>777</v>
      </c>
      <c r="H2931" s="899">
        <v>185</v>
      </c>
      <c r="V2931">
        <v>52</v>
      </c>
    </row>
    <row r="2932" spans="1:22" customFormat="1" ht="15" x14ac:dyDescent="0.25">
      <c r="A2932" t="s">
        <v>214</v>
      </c>
      <c r="B2932" t="s">
        <v>4784</v>
      </c>
      <c r="E2932" s="1617" t="s">
        <v>4806</v>
      </c>
      <c r="F2932" s="1625"/>
      <c r="G2932" s="897" t="s">
        <v>777</v>
      </c>
      <c r="H2932" s="899">
        <v>415</v>
      </c>
      <c r="V2932">
        <v>51</v>
      </c>
    </row>
    <row r="2933" spans="1:22" customFormat="1" ht="15" x14ac:dyDescent="0.25">
      <c r="A2933" t="s">
        <v>214</v>
      </c>
      <c r="B2933" t="s">
        <v>4784</v>
      </c>
      <c r="E2933" s="888" t="s">
        <v>4807</v>
      </c>
      <c r="F2933" s="901"/>
      <c r="G2933" s="901"/>
      <c r="H2933" s="901"/>
      <c r="V2933">
        <v>6</v>
      </c>
    </row>
    <row r="2934" spans="1:22" customFormat="1" ht="15" x14ac:dyDescent="0.25">
      <c r="A2934" t="s">
        <v>214</v>
      </c>
      <c r="B2934" t="s">
        <v>4784</v>
      </c>
      <c r="E2934" s="1617" t="s">
        <v>3848</v>
      </c>
      <c r="F2934" s="1625"/>
      <c r="G2934" s="897" t="s">
        <v>777</v>
      </c>
      <c r="H2934" s="899">
        <v>500</v>
      </c>
      <c r="V2934">
        <v>64</v>
      </c>
    </row>
    <row r="2935" spans="1:22" customFormat="1" ht="15" x14ac:dyDescent="0.25">
      <c r="A2935" t="s">
        <v>214</v>
      </c>
      <c r="B2935" t="s">
        <v>4784</v>
      </c>
      <c r="E2935" s="1617" t="s">
        <v>4808</v>
      </c>
      <c r="F2935" s="1625"/>
      <c r="G2935" s="897" t="s">
        <v>777</v>
      </c>
      <c r="H2935" s="899">
        <v>300</v>
      </c>
      <c r="V2935">
        <v>67</v>
      </c>
    </row>
    <row r="2936" spans="1:22" customFormat="1" ht="15" x14ac:dyDescent="0.25">
      <c r="A2936" t="s">
        <v>214</v>
      </c>
      <c r="B2936" t="s">
        <v>4784</v>
      </c>
      <c r="E2936" s="1617" t="s">
        <v>3849</v>
      </c>
      <c r="F2936" s="1625"/>
      <c r="G2936" s="897" t="s">
        <v>777</v>
      </c>
      <c r="H2936" s="899">
        <v>1000</v>
      </c>
      <c r="V2936">
        <v>66</v>
      </c>
    </row>
    <row r="2937" spans="1:22" customFormat="1" ht="15" x14ac:dyDescent="0.25">
      <c r="A2937" t="s">
        <v>214</v>
      </c>
      <c r="B2937" t="s">
        <v>4784</v>
      </c>
      <c r="E2937" s="1617" t="s">
        <v>4217</v>
      </c>
      <c r="F2937" s="1625"/>
      <c r="G2937" s="897" t="s">
        <v>777</v>
      </c>
      <c r="H2937" s="899">
        <v>30</v>
      </c>
      <c r="V2937">
        <v>39</v>
      </c>
    </row>
    <row r="2938" spans="1:22" customFormat="1" ht="15" x14ac:dyDescent="0.25">
      <c r="A2938" t="s">
        <v>214</v>
      </c>
      <c r="B2938" t="s">
        <v>4784</v>
      </c>
      <c r="E2938" s="1617" t="s">
        <v>3847</v>
      </c>
      <c r="F2938" s="1625"/>
      <c r="G2938" s="897" t="s">
        <v>777</v>
      </c>
      <c r="H2938" s="899">
        <v>165</v>
      </c>
      <c r="V2938">
        <v>34</v>
      </c>
    </row>
    <row r="2939" spans="1:22" customFormat="1" ht="15" x14ac:dyDescent="0.25">
      <c r="A2939" t="s">
        <v>214</v>
      </c>
      <c r="B2939" t="s">
        <v>4784</v>
      </c>
      <c r="E2939" s="1617" t="s">
        <v>4560</v>
      </c>
      <c r="F2939" s="1625"/>
      <c r="G2939" s="897" t="s">
        <v>777</v>
      </c>
      <c r="H2939" s="899">
        <v>39.14</v>
      </c>
      <c r="V2939">
        <v>104</v>
      </c>
    </row>
    <row r="2940" spans="1:22" customFormat="1" ht="18.75" x14ac:dyDescent="0.3">
      <c r="A2940" t="s">
        <v>214</v>
      </c>
      <c r="B2940" t="s">
        <v>4784</v>
      </c>
      <c r="E2940" s="1619" t="s">
        <v>3851</v>
      </c>
      <c r="F2940" s="1619"/>
      <c r="G2940" s="727"/>
      <c r="H2940" s="727"/>
      <c r="K2940" t="s">
        <v>4781</v>
      </c>
      <c r="V2940">
        <v>38</v>
      </c>
    </row>
    <row r="2941" spans="1:22" customFormat="1" ht="15" x14ac:dyDescent="0.25">
      <c r="A2941" t="s">
        <v>214</v>
      </c>
      <c r="B2941" t="s">
        <v>4784</v>
      </c>
      <c r="E2941" s="1605" t="s">
        <v>951</v>
      </c>
      <c r="F2941" s="1605"/>
      <c r="G2941" s="1605"/>
      <c r="H2941" s="1605"/>
      <c r="V2941">
        <v>280</v>
      </c>
    </row>
    <row r="2942" spans="1:22" customFormat="1" ht="15" x14ac:dyDescent="0.25">
      <c r="A2942" t="s">
        <v>214</v>
      </c>
      <c r="B2942" t="s">
        <v>4784</v>
      </c>
      <c r="E2942" s="1605" t="s">
        <v>952</v>
      </c>
      <c r="F2942" s="1605"/>
      <c r="G2942" s="1605"/>
      <c r="H2942" s="1605"/>
      <c r="V2942">
        <v>411</v>
      </c>
    </row>
    <row r="2943" spans="1:22" customFormat="1" ht="15" x14ac:dyDescent="0.25">
      <c r="A2943" t="s">
        <v>214</v>
      </c>
      <c r="B2943" t="s">
        <v>4784</v>
      </c>
      <c r="E2943" s="1605" t="s">
        <v>1103</v>
      </c>
      <c r="F2943" s="1605"/>
      <c r="G2943" s="1605"/>
      <c r="H2943" s="1605"/>
      <c r="V2943">
        <v>211</v>
      </c>
    </row>
    <row r="2944" spans="1:22" customFormat="1" ht="15" x14ac:dyDescent="0.25">
      <c r="A2944" t="s">
        <v>214</v>
      </c>
      <c r="B2944" t="s">
        <v>4784</v>
      </c>
      <c r="E2944" s="1605" t="s">
        <v>4809</v>
      </c>
      <c r="F2944" s="1605"/>
      <c r="G2944" s="1605"/>
      <c r="H2944" s="1605"/>
      <c r="V2944">
        <v>248</v>
      </c>
    </row>
    <row r="2945" spans="1:22" customFormat="1" ht="15" x14ac:dyDescent="0.25">
      <c r="A2945" t="s">
        <v>214</v>
      </c>
      <c r="B2945" t="s">
        <v>4784</v>
      </c>
      <c r="E2945" s="1605" t="s">
        <v>1104</v>
      </c>
      <c r="F2945" s="1605"/>
      <c r="G2945" s="1605"/>
      <c r="H2945" s="1605"/>
      <c r="V2945">
        <v>142</v>
      </c>
    </row>
    <row r="2946" spans="1:22" customFormat="1" ht="15" x14ac:dyDescent="0.25">
      <c r="A2946" t="s">
        <v>214</v>
      </c>
      <c r="B2946" t="s">
        <v>4784</v>
      </c>
      <c r="E2946" s="1547" t="s">
        <v>849</v>
      </c>
      <c r="F2946" s="1547"/>
      <c r="G2946" s="901" t="s">
        <v>777</v>
      </c>
      <c r="H2946" s="899">
        <v>121.23</v>
      </c>
      <c r="V2946">
        <v>106</v>
      </c>
    </row>
    <row r="2947" spans="1:22" customFormat="1" ht="15" x14ac:dyDescent="0.25">
      <c r="A2947" t="s">
        <v>214</v>
      </c>
      <c r="B2947" t="s">
        <v>4784</v>
      </c>
      <c r="E2947" s="1547" t="s">
        <v>850</v>
      </c>
      <c r="F2947" s="1547"/>
      <c r="G2947" s="901" t="s">
        <v>777</v>
      </c>
      <c r="H2947" s="899">
        <v>48.5</v>
      </c>
      <c r="V2947">
        <v>34</v>
      </c>
    </row>
    <row r="2948" spans="1:22" customFormat="1" ht="15" x14ac:dyDescent="0.25">
      <c r="A2948" t="s">
        <v>214</v>
      </c>
      <c r="B2948" t="s">
        <v>4784</v>
      </c>
      <c r="E2948" s="1547" t="s">
        <v>851</v>
      </c>
      <c r="F2948" s="1547"/>
      <c r="G2948" s="901" t="s">
        <v>852</v>
      </c>
      <c r="H2948" s="899">
        <v>1.2</v>
      </c>
      <c r="V2948">
        <v>51</v>
      </c>
    </row>
    <row r="2949" spans="1:22" customFormat="1" ht="15" x14ac:dyDescent="0.25">
      <c r="A2949" t="s">
        <v>214</v>
      </c>
      <c r="B2949" t="s">
        <v>4784</v>
      </c>
      <c r="E2949" s="1547" t="s">
        <v>853</v>
      </c>
      <c r="F2949" s="1547"/>
      <c r="G2949" s="901" t="s">
        <v>852</v>
      </c>
      <c r="H2949" s="899">
        <v>0.71</v>
      </c>
      <c r="V2949">
        <v>75</v>
      </c>
    </row>
    <row r="2950" spans="1:22" customFormat="1" ht="15" x14ac:dyDescent="0.25">
      <c r="A2950" t="s">
        <v>214</v>
      </c>
      <c r="B2950" t="s">
        <v>4784</v>
      </c>
      <c r="E2950" s="1547" t="s">
        <v>854</v>
      </c>
      <c r="F2950" s="1547"/>
      <c r="G2950" s="901" t="s">
        <v>852</v>
      </c>
      <c r="H2950" s="899">
        <v>-0.71</v>
      </c>
      <c r="V2950">
        <v>72</v>
      </c>
    </row>
    <row r="2951" spans="1:22" customFormat="1" ht="15" x14ac:dyDescent="0.25">
      <c r="A2951" t="s">
        <v>214</v>
      </c>
      <c r="B2951" t="s">
        <v>4784</v>
      </c>
      <c r="E2951" s="1547" t="s">
        <v>855</v>
      </c>
      <c r="F2951" s="1547"/>
      <c r="G2951" s="901"/>
      <c r="H2951" s="902"/>
      <c r="V2951">
        <v>34</v>
      </c>
    </row>
    <row r="2952" spans="1:22" customFormat="1" ht="15" x14ac:dyDescent="0.25">
      <c r="A2952" t="s">
        <v>214</v>
      </c>
      <c r="B2952" t="s">
        <v>4784</v>
      </c>
      <c r="E2952" s="1623" t="s">
        <v>1106</v>
      </c>
      <c r="F2952" s="1623"/>
      <c r="G2952" s="901" t="s">
        <v>777</v>
      </c>
      <c r="H2952" s="899">
        <v>0.61</v>
      </c>
      <c r="V2952">
        <v>57</v>
      </c>
    </row>
    <row r="2953" spans="1:22" customFormat="1" ht="15" x14ac:dyDescent="0.25">
      <c r="A2953" t="s">
        <v>214</v>
      </c>
      <c r="B2953" t="s">
        <v>4784</v>
      </c>
      <c r="E2953" s="1623" t="s">
        <v>1107</v>
      </c>
      <c r="F2953" s="1623"/>
      <c r="G2953" s="901" t="s">
        <v>777</v>
      </c>
      <c r="H2953" s="899">
        <v>1.2</v>
      </c>
      <c r="V2953">
        <v>60</v>
      </c>
    </row>
    <row r="2954" spans="1:22" customFormat="1" ht="15" x14ac:dyDescent="0.25">
      <c r="A2954" t="s">
        <v>214</v>
      </c>
      <c r="B2954" t="s">
        <v>4784</v>
      </c>
      <c r="E2954" s="1547" t="s">
        <v>1108</v>
      </c>
      <c r="F2954" s="1547"/>
      <c r="G2954" s="901"/>
      <c r="H2954" s="902"/>
      <c r="V2954">
        <v>91</v>
      </c>
    </row>
    <row r="2955" spans="1:22" customFormat="1" ht="15" x14ac:dyDescent="0.25">
      <c r="A2955" t="s">
        <v>214</v>
      </c>
      <c r="B2955" t="s">
        <v>4784</v>
      </c>
      <c r="E2955" s="1547" t="s">
        <v>1109</v>
      </c>
      <c r="F2955" s="1547"/>
      <c r="G2955" s="901"/>
      <c r="H2955" s="902"/>
      <c r="V2955">
        <v>96</v>
      </c>
    </row>
    <row r="2956" spans="1:22" customFormat="1" ht="15" x14ac:dyDescent="0.25">
      <c r="A2956" t="s">
        <v>214</v>
      </c>
      <c r="B2956" t="s">
        <v>4784</v>
      </c>
      <c r="E2956" s="1547" t="s">
        <v>856</v>
      </c>
      <c r="F2956" s="1547"/>
      <c r="G2956" s="901"/>
      <c r="H2956" s="902"/>
      <c r="V2956">
        <v>77</v>
      </c>
    </row>
    <row r="2957" spans="1:22" customFormat="1" ht="15" x14ac:dyDescent="0.25">
      <c r="A2957" t="s">
        <v>214</v>
      </c>
      <c r="B2957" t="s">
        <v>4784</v>
      </c>
      <c r="E2957" s="1623" t="s">
        <v>1111</v>
      </c>
      <c r="F2957" s="1623"/>
      <c r="G2957" s="901" t="s">
        <v>777</v>
      </c>
      <c r="H2957" s="902" t="s">
        <v>857</v>
      </c>
      <c r="V2957">
        <v>18</v>
      </c>
    </row>
    <row r="2958" spans="1:22" customFormat="1" ht="15" x14ac:dyDescent="0.25">
      <c r="A2958" t="s">
        <v>214</v>
      </c>
      <c r="B2958" t="s">
        <v>4784</v>
      </c>
      <c r="E2958" s="1623" t="s">
        <v>1112</v>
      </c>
      <c r="F2958" s="1623"/>
      <c r="G2958" s="901" t="s">
        <v>777</v>
      </c>
      <c r="H2958" s="899">
        <v>4.8499999999999996</v>
      </c>
      <c r="V2958">
        <v>69</v>
      </c>
    </row>
    <row r="2959" spans="1:22" customFormat="1" ht="15" x14ac:dyDescent="0.25">
      <c r="A2959" t="s">
        <v>214</v>
      </c>
      <c r="B2959" t="s">
        <v>4784</v>
      </c>
      <c r="E2959" s="1626" t="s">
        <v>4810</v>
      </c>
      <c r="F2959" s="1627"/>
      <c r="G2959" s="901" t="s">
        <v>777</v>
      </c>
      <c r="H2959" s="899">
        <v>2.42</v>
      </c>
      <c r="V2959">
        <v>204</v>
      </c>
    </row>
    <row r="2960" spans="1:22" customFormat="1" ht="18.75" x14ac:dyDescent="0.3">
      <c r="A2960" t="s">
        <v>214</v>
      </c>
      <c r="B2960" t="s">
        <v>4784</v>
      </c>
      <c r="E2960" s="845" t="s">
        <v>3853</v>
      </c>
      <c r="F2960" s="727"/>
      <c r="G2960" s="727"/>
      <c r="H2960" s="727"/>
      <c r="K2960" t="s">
        <v>4782</v>
      </c>
      <c r="V2960">
        <v>12</v>
      </c>
    </row>
    <row r="2961" spans="1:22" customFormat="1" ht="15" x14ac:dyDescent="0.25">
      <c r="A2961" t="s">
        <v>214</v>
      </c>
      <c r="B2961" t="s">
        <v>4784</v>
      </c>
      <c r="E2961" s="1547" t="s">
        <v>1114</v>
      </c>
      <c r="F2961" s="1547"/>
      <c r="G2961" s="1547"/>
      <c r="H2961" s="1547"/>
      <c r="V2961">
        <v>203</v>
      </c>
    </row>
    <row r="2962" spans="1:22" customFormat="1" ht="15" x14ac:dyDescent="0.25">
      <c r="A2962" t="s">
        <v>214</v>
      </c>
      <c r="B2962" t="s">
        <v>4784</v>
      </c>
      <c r="E2962" s="1547" t="s">
        <v>1115</v>
      </c>
      <c r="F2962" s="1547"/>
      <c r="G2962" s="578"/>
      <c r="H2962" s="729">
        <v>1.0454000000000001</v>
      </c>
      <c r="V2962">
        <v>57</v>
      </c>
    </row>
    <row r="2963" spans="1:22" customFormat="1" ht="15" x14ac:dyDescent="0.25">
      <c r="A2963" t="s">
        <v>214</v>
      </c>
      <c r="B2963" t="s">
        <v>4784</v>
      </c>
      <c r="E2963" s="1547" t="s">
        <v>1117</v>
      </c>
      <c r="F2963" s="1547"/>
      <c r="G2963" s="578"/>
      <c r="H2963" s="729">
        <v>1.0348999999999999</v>
      </c>
      <c r="J2963" t="s">
        <v>4811</v>
      </c>
      <c r="V2963">
        <v>55</v>
      </c>
    </row>
    <row r="2964" spans="1:22" customFormat="1" ht="23.25" x14ac:dyDescent="0.25">
      <c r="A2964" t="s">
        <v>217</v>
      </c>
      <c r="B2964" t="s">
        <v>4535</v>
      </c>
      <c r="C2964" t="s">
        <v>3755</v>
      </c>
      <c r="E2964" s="1550" t="s">
        <v>217</v>
      </c>
      <c r="F2964" s="1550"/>
      <c r="G2964" s="1550"/>
      <c r="H2964" s="1550"/>
      <c r="I2964" t="s">
        <v>94</v>
      </c>
      <c r="J2964" t="s">
        <v>4536</v>
      </c>
      <c r="K2964" t="s">
        <v>217</v>
      </c>
      <c r="M2964">
        <v>9</v>
      </c>
      <c r="V2964">
        <v>17</v>
      </c>
    </row>
    <row r="2965" spans="1:22" customFormat="1" ht="23.25" x14ac:dyDescent="0.25">
      <c r="A2965" t="s">
        <v>217</v>
      </c>
      <c r="B2965" t="s">
        <v>4535</v>
      </c>
      <c r="C2965" t="s">
        <v>3757</v>
      </c>
      <c r="E2965" s="1550" t="s">
        <v>281</v>
      </c>
      <c r="F2965" s="1550"/>
      <c r="G2965" s="1550"/>
      <c r="H2965" s="1550"/>
      <c r="V2965">
        <v>32</v>
      </c>
    </row>
    <row r="2966" spans="1:22" customFormat="1" x14ac:dyDescent="0.25">
      <c r="A2966" t="s">
        <v>217</v>
      </c>
      <c r="B2966" t="s">
        <v>4535</v>
      </c>
      <c r="C2966" t="s">
        <v>3758</v>
      </c>
      <c r="E2966" s="1551" t="s">
        <v>944</v>
      </c>
      <c r="F2966" s="1551"/>
      <c r="G2966" s="1551"/>
      <c r="H2966" s="1551"/>
      <c r="V2966">
        <v>27</v>
      </c>
    </row>
    <row r="2967" spans="1:22" customFormat="1" ht="15.75" x14ac:dyDescent="0.25">
      <c r="A2967" t="s">
        <v>217</v>
      </c>
      <c r="B2967" t="s">
        <v>4535</v>
      </c>
      <c r="C2967" t="s">
        <v>3759</v>
      </c>
      <c r="E2967" s="1543" t="s">
        <v>6511</v>
      </c>
      <c r="F2967" s="1543"/>
      <c r="G2967" s="1543"/>
      <c r="H2967" s="1543"/>
      <c r="S2967">
        <v>45658</v>
      </c>
      <c r="V2967">
        <v>49</v>
      </c>
    </row>
    <row r="2968" spans="1:22" customFormat="1" ht="15" x14ac:dyDescent="0.25">
      <c r="A2968" t="s">
        <v>217</v>
      </c>
      <c r="B2968" t="s">
        <v>4535</v>
      </c>
      <c r="E2968" s="1544" t="s">
        <v>945</v>
      </c>
      <c r="F2968" s="1544"/>
      <c r="G2968" s="1544"/>
      <c r="H2968" s="1544"/>
      <c r="V2968">
        <v>52</v>
      </c>
    </row>
    <row r="2969" spans="1:22" customFormat="1" ht="15" x14ac:dyDescent="0.25">
      <c r="A2969" t="s">
        <v>217</v>
      </c>
      <c r="B2969" t="s">
        <v>4535</v>
      </c>
      <c r="E2969" s="1544" t="s">
        <v>946</v>
      </c>
      <c r="F2969" s="1544"/>
      <c r="G2969" s="1544"/>
      <c r="H2969" s="1544"/>
      <c r="V2969">
        <v>53</v>
      </c>
    </row>
    <row r="2970" spans="1:22" customFormat="1" ht="15" x14ac:dyDescent="0.25">
      <c r="A2970" t="s">
        <v>217</v>
      </c>
      <c r="B2970" t="s">
        <v>4535</v>
      </c>
      <c r="E2970" s="1513" t="s">
        <v>6708</v>
      </c>
      <c r="F2970" s="1513"/>
      <c r="G2970" s="1513"/>
      <c r="H2970" s="1513"/>
      <c r="K2970" t="s">
        <v>6708</v>
      </c>
      <c r="V2970">
        <v>12</v>
      </c>
    </row>
    <row r="2971" spans="1:22" customFormat="1" ht="15" x14ac:dyDescent="0.25">
      <c r="A2971" t="s">
        <v>217</v>
      </c>
      <c r="B2971" t="s">
        <v>4535</v>
      </c>
      <c r="E2971" s="1492" t="s">
        <v>170</v>
      </c>
      <c r="F2971" s="1516"/>
      <c r="G2971" s="1516"/>
      <c r="H2971" s="1516"/>
      <c r="K2971" t="s">
        <v>947</v>
      </c>
      <c r="V2971">
        <v>34</v>
      </c>
    </row>
    <row r="2972" spans="1:22" customFormat="1" ht="15" x14ac:dyDescent="0.25">
      <c r="A2972" t="s">
        <v>217</v>
      </c>
      <c r="B2972" t="s">
        <v>4535</v>
      </c>
      <c r="E2972" s="1516" t="s">
        <v>4537</v>
      </c>
      <c r="F2972" s="1516"/>
      <c r="G2972" s="1516"/>
      <c r="H2972" s="1516"/>
      <c r="K2972" t="s">
        <v>947</v>
      </c>
      <c r="V2972">
        <v>652</v>
      </c>
    </row>
    <row r="2973" spans="1:22" customFormat="1" ht="15" x14ac:dyDescent="0.25">
      <c r="A2973" t="s">
        <v>217</v>
      </c>
      <c r="B2973" t="s">
        <v>4535</v>
      </c>
      <c r="E2973" s="1515" t="s">
        <v>950</v>
      </c>
      <c r="F2973" s="1516"/>
      <c r="G2973" s="1516"/>
      <c r="H2973" s="1516"/>
      <c r="K2973" t="s">
        <v>949</v>
      </c>
      <c r="V2973">
        <v>11</v>
      </c>
    </row>
    <row r="2974" spans="1:22" customFormat="1" ht="15" x14ac:dyDescent="0.25">
      <c r="A2974" t="s">
        <v>217</v>
      </c>
      <c r="B2974" t="s">
        <v>4535</v>
      </c>
      <c r="E2974" s="1516" t="s">
        <v>951</v>
      </c>
      <c r="F2974" s="1516"/>
      <c r="G2974" s="1516"/>
      <c r="H2974" s="1516"/>
      <c r="K2974" t="s">
        <v>947</v>
      </c>
      <c r="V2974">
        <v>280</v>
      </c>
    </row>
    <row r="2975" spans="1:22" customFormat="1" ht="15" x14ac:dyDescent="0.25">
      <c r="A2975" t="s">
        <v>217</v>
      </c>
      <c r="B2975" t="s">
        <v>4535</v>
      </c>
      <c r="E2975" s="1516" t="s">
        <v>952</v>
      </c>
      <c r="F2975" s="1516"/>
      <c r="G2975" s="1516"/>
      <c r="H2975" s="1516"/>
      <c r="K2975" t="s">
        <v>947</v>
      </c>
      <c r="V2975">
        <v>411</v>
      </c>
    </row>
    <row r="2976" spans="1:22" customFormat="1" ht="15" x14ac:dyDescent="0.25">
      <c r="A2976" t="s">
        <v>217</v>
      </c>
      <c r="B2976" t="s">
        <v>4535</v>
      </c>
      <c r="E2976" s="1516" t="s">
        <v>3761</v>
      </c>
      <c r="F2976" s="1516"/>
      <c r="G2976" s="1516"/>
      <c r="H2976" s="1516"/>
      <c r="K2976" t="s">
        <v>947</v>
      </c>
      <c r="V2976">
        <v>387</v>
      </c>
    </row>
    <row r="2977" spans="1:22" customFormat="1" ht="15" x14ac:dyDescent="0.25">
      <c r="A2977" t="s">
        <v>217</v>
      </c>
      <c r="B2977" t="s">
        <v>4535</v>
      </c>
      <c r="E2977" s="1516" t="s">
        <v>3762</v>
      </c>
      <c r="F2977" s="1516"/>
      <c r="G2977" s="1516"/>
      <c r="H2977" s="1516"/>
      <c r="K2977" t="s">
        <v>947</v>
      </c>
      <c r="V2977">
        <v>247</v>
      </c>
    </row>
    <row r="2978" spans="1:22" customFormat="1" ht="15" x14ac:dyDescent="0.25">
      <c r="A2978" t="s">
        <v>217</v>
      </c>
      <c r="B2978" t="s">
        <v>4535</v>
      </c>
      <c r="E2978" s="1515" t="s">
        <v>956</v>
      </c>
      <c r="F2978" s="1516"/>
      <c r="G2978" s="1516"/>
      <c r="H2978" s="1516"/>
      <c r="K2978" t="s">
        <v>955</v>
      </c>
      <c r="V2978">
        <v>46</v>
      </c>
    </row>
    <row r="2979" spans="1:22" customFormat="1" ht="15" x14ac:dyDescent="0.25">
      <c r="A2979" t="s">
        <v>217</v>
      </c>
      <c r="B2979" t="s">
        <v>4535</v>
      </c>
      <c r="E2979" s="1507" t="s">
        <v>3773</v>
      </c>
      <c r="F2979" s="1507"/>
      <c r="G2979" s="584" t="s">
        <v>777</v>
      </c>
      <c r="H2979" s="576">
        <v>26.44</v>
      </c>
      <c r="K2979" t="s">
        <v>947</v>
      </c>
      <c r="L2979" t="s">
        <v>690</v>
      </c>
      <c r="P2979" t="s">
        <v>957</v>
      </c>
      <c r="V2979">
        <v>14</v>
      </c>
    </row>
    <row r="2980" spans="1:22" customFormat="1" ht="15" x14ac:dyDescent="0.25">
      <c r="A2980" t="s">
        <v>217</v>
      </c>
      <c r="B2980" t="s">
        <v>4535</v>
      </c>
      <c r="E2980" s="1507" t="s">
        <v>960</v>
      </c>
      <c r="F2980" s="1507"/>
      <c r="G2980" s="584" t="s">
        <v>777</v>
      </c>
      <c r="H2980" s="576">
        <v>0.42</v>
      </c>
      <c r="K2980" t="s">
        <v>947</v>
      </c>
      <c r="L2980" t="s">
        <v>692</v>
      </c>
      <c r="P2980" t="s">
        <v>959</v>
      </c>
      <c r="V2980">
        <v>64</v>
      </c>
    </row>
    <row r="2981" spans="1:22" customFormat="1" ht="15" x14ac:dyDescent="0.25">
      <c r="A2981" t="s">
        <v>217</v>
      </c>
      <c r="B2981" t="s">
        <v>4535</v>
      </c>
      <c r="E2981" s="1507" t="s">
        <v>6617</v>
      </c>
      <c r="F2981" s="1510"/>
      <c r="G2981" s="584" t="s">
        <v>845</v>
      </c>
      <c r="H2981" s="577">
        <v>2.0000000000000001E-4</v>
      </c>
      <c r="K2981" t="s">
        <v>947</v>
      </c>
      <c r="L2981" t="s">
        <v>692</v>
      </c>
      <c r="P2981" t="s">
        <v>3764</v>
      </c>
      <c r="V2981">
        <v>149</v>
      </c>
    </row>
    <row r="2982" spans="1:22" customFormat="1" ht="15" x14ac:dyDescent="0.25">
      <c r="A2982" t="s">
        <v>217</v>
      </c>
      <c r="B2982" t="s">
        <v>4535</v>
      </c>
      <c r="E2982" s="1507" t="s">
        <v>6519</v>
      </c>
      <c r="F2982" s="1510"/>
      <c r="G2982" s="584" t="s">
        <v>845</v>
      </c>
      <c r="H2982" s="577">
        <v>2.8999999999999998E-3</v>
      </c>
      <c r="K2982" t="s">
        <v>947</v>
      </c>
      <c r="L2982" t="s">
        <v>692</v>
      </c>
      <c r="P2982" t="s">
        <v>962</v>
      </c>
      <c r="T2982">
        <v>46022</v>
      </c>
      <c r="V2982">
        <v>142</v>
      </c>
    </row>
    <row r="2983" spans="1:22" customFormat="1" ht="15" x14ac:dyDescent="0.25">
      <c r="A2983" t="s">
        <v>217</v>
      </c>
      <c r="B2983" t="s">
        <v>4535</v>
      </c>
      <c r="E2983" s="1507" t="s">
        <v>6520</v>
      </c>
      <c r="F2983" s="1510"/>
      <c r="G2983" s="584" t="s">
        <v>845</v>
      </c>
      <c r="H2983" s="577">
        <v>-1.4E-3</v>
      </c>
      <c r="K2983" t="s">
        <v>947</v>
      </c>
      <c r="L2983" t="s">
        <v>692</v>
      </c>
      <c r="P2983" t="s">
        <v>963</v>
      </c>
      <c r="T2983">
        <v>46022</v>
      </c>
      <c r="V2983">
        <v>99</v>
      </c>
    </row>
    <row r="2984" spans="1:22" customFormat="1" ht="15" x14ac:dyDescent="0.25">
      <c r="A2984" t="s">
        <v>217</v>
      </c>
      <c r="B2984" t="s">
        <v>4535</v>
      </c>
      <c r="E2984" s="1507" t="s">
        <v>243</v>
      </c>
      <c r="F2984" s="1507"/>
      <c r="G2984" s="584" t="s">
        <v>845</v>
      </c>
      <c r="H2984" s="577">
        <v>1.12E-2</v>
      </c>
      <c r="K2984" t="s">
        <v>947</v>
      </c>
      <c r="L2984" t="s">
        <v>694</v>
      </c>
      <c r="P2984" t="s">
        <v>964</v>
      </c>
      <c r="V2984">
        <v>47</v>
      </c>
    </row>
    <row r="2985" spans="1:22" customFormat="1" ht="15" x14ac:dyDescent="0.25">
      <c r="A2985" t="s">
        <v>217</v>
      </c>
      <c r="B2985" t="s">
        <v>4535</v>
      </c>
      <c r="E2985" s="1507" t="s">
        <v>175</v>
      </c>
      <c r="F2985" s="1507"/>
      <c r="G2985" s="584" t="s">
        <v>845</v>
      </c>
      <c r="H2985" s="577">
        <v>1.6999999999999999E-3</v>
      </c>
      <c r="K2985" t="s">
        <v>947</v>
      </c>
      <c r="L2985" t="s">
        <v>694</v>
      </c>
      <c r="P2985" t="s">
        <v>965</v>
      </c>
      <c r="V2985">
        <v>74</v>
      </c>
    </row>
    <row r="2986" spans="1:22" customFormat="1" ht="15" x14ac:dyDescent="0.25">
      <c r="A2986" t="s">
        <v>217</v>
      </c>
      <c r="B2986" t="s">
        <v>4535</v>
      </c>
      <c r="E2986" s="1515" t="s">
        <v>967</v>
      </c>
      <c r="F2986" s="1507"/>
      <c r="G2986" s="584"/>
      <c r="H2986" s="584"/>
      <c r="K2986" t="s">
        <v>966</v>
      </c>
      <c r="V2986">
        <v>48</v>
      </c>
    </row>
    <row r="2987" spans="1:22" customFormat="1" ht="15" x14ac:dyDescent="0.25">
      <c r="A2987" t="s">
        <v>217</v>
      </c>
      <c r="B2987" t="s">
        <v>4535</v>
      </c>
      <c r="E2987" s="1507" t="s">
        <v>844</v>
      </c>
      <c r="F2987" s="1507"/>
      <c r="G2987" s="584" t="s">
        <v>845</v>
      </c>
      <c r="H2987" s="577">
        <v>4.1000000000000003E-3</v>
      </c>
      <c r="K2987" t="s">
        <v>947</v>
      </c>
      <c r="L2987" t="s">
        <v>968</v>
      </c>
      <c r="P2987" t="s">
        <v>969</v>
      </c>
      <c r="V2987">
        <v>55</v>
      </c>
    </row>
    <row r="2988" spans="1:22" customFormat="1" ht="15" x14ac:dyDescent="0.25">
      <c r="A2988" t="s">
        <v>217</v>
      </c>
      <c r="B2988" t="s">
        <v>4535</v>
      </c>
      <c r="E2988" s="1507" t="s">
        <v>846</v>
      </c>
      <c r="F2988" s="1507"/>
      <c r="G2988" s="584" t="s">
        <v>845</v>
      </c>
      <c r="H2988" s="577">
        <v>4.0000000000000002E-4</v>
      </c>
      <c r="K2988" t="s">
        <v>947</v>
      </c>
      <c r="L2988" t="s">
        <v>968</v>
      </c>
      <c r="P2988" t="s">
        <v>969</v>
      </c>
      <c r="V2988">
        <v>65</v>
      </c>
    </row>
    <row r="2989" spans="1:22" customFormat="1" ht="15" x14ac:dyDescent="0.25">
      <c r="A2989" t="s">
        <v>217</v>
      </c>
      <c r="B2989" t="s">
        <v>4535</v>
      </c>
      <c r="E2989" s="1507" t="s">
        <v>847</v>
      </c>
      <c r="F2989" s="1507"/>
      <c r="G2989" s="584" t="s">
        <v>845</v>
      </c>
      <c r="H2989" s="577">
        <v>1.5E-3</v>
      </c>
      <c r="K2989" t="s">
        <v>947</v>
      </c>
      <c r="L2989" t="s">
        <v>968</v>
      </c>
      <c r="P2989" t="s">
        <v>970</v>
      </c>
      <c r="V2989">
        <v>57</v>
      </c>
    </row>
    <row r="2990" spans="1:22" customFormat="1" ht="15" x14ac:dyDescent="0.25">
      <c r="A2990" t="s">
        <v>217</v>
      </c>
      <c r="B2990" t="s">
        <v>4535</v>
      </c>
      <c r="E2990" s="1507" t="s">
        <v>848</v>
      </c>
      <c r="F2990" s="1507"/>
      <c r="G2990" s="584" t="s">
        <v>777</v>
      </c>
      <c r="H2990" s="576">
        <v>0.25</v>
      </c>
      <c r="K2990" t="s">
        <v>947</v>
      </c>
      <c r="L2990" t="s">
        <v>968</v>
      </c>
      <c r="P2990" t="s">
        <v>971</v>
      </c>
      <c r="V2990">
        <v>63</v>
      </c>
    </row>
    <row r="2991" spans="1:22" customFormat="1" ht="15" x14ac:dyDescent="0.25">
      <c r="A2991" t="s">
        <v>217</v>
      </c>
      <c r="B2991" t="s">
        <v>4535</v>
      </c>
      <c r="E2991" s="1513" t="s">
        <v>6708</v>
      </c>
      <c r="F2991" s="1513"/>
      <c r="G2991" s="1513"/>
      <c r="H2991" s="1513"/>
      <c r="K2991" t="s">
        <v>6708</v>
      </c>
      <c r="V2991">
        <v>12</v>
      </c>
    </row>
    <row r="2992" spans="1:22" customFormat="1" x14ac:dyDescent="0.25">
      <c r="A2992" t="s">
        <v>217</v>
      </c>
      <c r="B2992" t="s">
        <v>4535</v>
      </c>
      <c r="E2992" s="1492" t="s">
        <v>174</v>
      </c>
      <c r="F2992" s="1493"/>
      <c r="G2992" s="1493"/>
      <c r="H2992" s="1493"/>
      <c r="K2992" t="s">
        <v>972</v>
      </c>
      <c r="V2992">
        <v>54</v>
      </c>
    </row>
    <row r="2993" spans="1:22" customFormat="1" ht="15" x14ac:dyDescent="0.25">
      <c r="A2993" t="s">
        <v>217</v>
      </c>
      <c r="B2993" t="s">
        <v>4535</v>
      </c>
      <c r="E2993" s="1516" t="s">
        <v>4538</v>
      </c>
      <c r="F2993" s="1516"/>
      <c r="G2993" s="1516"/>
      <c r="H2993" s="1516"/>
      <c r="K2993" t="s">
        <v>972</v>
      </c>
      <c r="V2993">
        <v>335</v>
      </c>
    </row>
    <row r="2994" spans="1:22" customFormat="1" ht="15" x14ac:dyDescent="0.25">
      <c r="A2994" t="s">
        <v>217</v>
      </c>
      <c r="B2994" t="s">
        <v>4535</v>
      </c>
      <c r="E2994" s="1515" t="s">
        <v>950</v>
      </c>
      <c r="F2994" s="1516"/>
      <c r="G2994" s="1516"/>
      <c r="H2994" s="1516"/>
      <c r="K2994" t="s">
        <v>974</v>
      </c>
      <c r="V2994">
        <v>11</v>
      </c>
    </row>
    <row r="2995" spans="1:22" customFormat="1" ht="15" x14ac:dyDescent="0.25">
      <c r="A2995" t="s">
        <v>217</v>
      </c>
      <c r="B2995" t="s">
        <v>4535</v>
      </c>
      <c r="E2995" s="1516" t="s">
        <v>951</v>
      </c>
      <c r="F2995" s="1516"/>
      <c r="G2995" s="1516"/>
      <c r="H2995" s="1516"/>
      <c r="K2995" t="s">
        <v>972</v>
      </c>
      <c r="V2995">
        <v>280</v>
      </c>
    </row>
    <row r="2996" spans="1:22" customFormat="1" ht="15" x14ac:dyDescent="0.25">
      <c r="A2996" t="s">
        <v>217</v>
      </c>
      <c r="B2996" t="s">
        <v>4535</v>
      </c>
      <c r="E2996" s="1516" t="s">
        <v>952</v>
      </c>
      <c r="F2996" s="1516"/>
      <c r="G2996" s="1516"/>
      <c r="H2996" s="1516"/>
      <c r="K2996" t="s">
        <v>972</v>
      </c>
      <c r="V2996">
        <v>411</v>
      </c>
    </row>
    <row r="2997" spans="1:22" customFormat="1" ht="15" x14ac:dyDescent="0.25">
      <c r="A2997" t="s">
        <v>217</v>
      </c>
      <c r="B2997" t="s">
        <v>4535</v>
      </c>
      <c r="E2997" s="1516" t="s">
        <v>3761</v>
      </c>
      <c r="F2997" s="1516"/>
      <c r="G2997" s="1516"/>
      <c r="H2997" s="1516"/>
      <c r="K2997" t="s">
        <v>972</v>
      </c>
      <c r="V2997">
        <v>387</v>
      </c>
    </row>
    <row r="2998" spans="1:22" customFormat="1" ht="15" x14ac:dyDescent="0.25">
      <c r="A2998" t="s">
        <v>217</v>
      </c>
      <c r="B2998" t="s">
        <v>4535</v>
      </c>
      <c r="E2998" s="1516" t="s">
        <v>3762</v>
      </c>
      <c r="F2998" s="1516"/>
      <c r="G2998" s="1516"/>
      <c r="H2998" s="1516"/>
      <c r="K2998" t="s">
        <v>972</v>
      </c>
      <c r="V2998">
        <v>247</v>
      </c>
    </row>
    <row r="2999" spans="1:22" customFormat="1" ht="15" x14ac:dyDescent="0.25">
      <c r="A2999" t="s">
        <v>217</v>
      </c>
      <c r="B2999" t="s">
        <v>4535</v>
      </c>
      <c r="E2999" s="1515" t="s">
        <v>956</v>
      </c>
      <c r="F2999" s="1516"/>
      <c r="G2999" s="1516"/>
      <c r="H2999" s="1516"/>
      <c r="K2999" t="s">
        <v>975</v>
      </c>
      <c r="V2999">
        <v>46</v>
      </c>
    </row>
    <row r="3000" spans="1:22" customFormat="1" ht="15" x14ac:dyDescent="0.25">
      <c r="A3000" t="s">
        <v>217</v>
      </c>
      <c r="B3000" t="s">
        <v>4535</v>
      </c>
      <c r="E3000" s="1507" t="s">
        <v>3773</v>
      </c>
      <c r="F3000" s="1507"/>
      <c r="G3000" s="584" t="s">
        <v>777</v>
      </c>
      <c r="H3000" s="576">
        <v>32.36</v>
      </c>
      <c r="K3000" t="s">
        <v>972</v>
      </c>
      <c r="L3000" t="s">
        <v>690</v>
      </c>
      <c r="P3000" t="s">
        <v>976</v>
      </c>
      <c r="V3000">
        <v>14</v>
      </c>
    </row>
    <row r="3001" spans="1:22" customFormat="1" ht="15" x14ac:dyDescent="0.25">
      <c r="A3001" t="s">
        <v>217</v>
      </c>
      <c r="B3001" t="s">
        <v>4535</v>
      </c>
      <c r="E3001" s="1507" t="s">
        <v>960</v>
      </c>
      <c r="F3001" s="1507"/>
      <c r="G3001" s="584" t="s">
        <v>777</v>
      </c>
      <c r="H3001" s="576">
        <v>0.42</v>
      </c>
      <c r="K3001" t="s">
        <v>972</v>
      </c>
      <c r="L3001" t="s">
        <v>692</v>
      </c>
      <c r="P3001" t="s">
        <v>977</v>
      </c>
      <c r="V3001">
        <v>64</v>
      </c>
    </row>
    <row r="3002" spans="1:22" customFormat="1" ht="15" x14ac:dyDescent="0.25">
      <c r="A3002" t="s">
        <v>217</v>
      </c>
      <c r="B3002" t="s">
        <v>4535</v>
      </c>
      <c r="E3002" s="1507" t="s">
        <v>3688</v>
      </c>
      <c r="F3002" s="1507"/>
      <c r="G3002" s="584" t="s">
        <v>845</v>
      </c>
      <c r="H3002" s="577">
        <v>1.55E-2</v>
      </c>
      <c r="K3002" t="s">
        <v>972</v>
      </c>
      <c r="L3002" t="s">
        <v>690</v>
      </c>
      <c r="P3002" t="s">
        <v>978</v>
      </c>
      <c r="V3002">
        <v>28</v>
      </c>
    </row>
    <row r="3003" spans="1:22" customFormat="1" ht="15" x14ac:dyDescent="0.25">
      <c r="A3003" t="s">
        <v>217</v>
      </c>
      <c r="B3003" t="s">
        <v>4535</v>
      </c>
      <c r="E3003" s="1507" t="s">
        <v>6617</v>
      </c>
      <c r="F3003" s="1510"/>
      <c r="G3003" s="584" t="s">
        <v>845</v>
      </c>
      <c r="H3003" s="577">
        <v>2.0000000000000001E-4</v>
      </c>
      <c r="K3003" t="s">
        <v>972</v>
      </c>
      <c r="L3003" t="s">
        <v>692</v>
      </c>
      <c r="P3003" t="s">
        <v>3766</v>
      </c>
      <c r="V3003">
        <v>149</v>
      </c>
    </row>
    <row r="3004" spans="1:22" customFormat="1" ht="15" x14ac:dyDescent="0.25">
      <c r="A3004" t="s">
        <v>217</v>
      </c>
      <c r="B3004" t="s">
        <v>4535</v>
      </c>
      <c r="E3004" s="1507" t="s">
        <v>6519</v>
      </c>
      <c r="F3004" s="1510"/>
      <c r="G3004" s="584" t="s">
        <v>845</v>
      </c>
      <c r="H3004" s="577">
        <v>2.8999999999999998E-3</v>
      </c>
      <c r="K3004" t="s">
        <v>972</v>
      </c>
      <c r="L3004" t="s">
        <v>692</v>
      </c>
      <c r="P3004" t="s">
        <v>981</v>
      </c>
      <c r="T3004">
        <v>46022</v>
      </c>
      <c r="V3004">
        <v>142</v>
      </c>
    </row>
    <row r="3005" spans="1:22" customFormat="1" ht="15" x14ac:dyDescent="0.25">
      <c r="A3005" t="s">
        <v>217</v>
      </c>
      <c r="B3005" t="s">
        <v>4535</v>
      </c>
      <c r="E3005" s="1507" t="s">
        <v>6520</v>
      </c>
      <c r="F3005" s="1510"/>
      <c r="G3005" s="584" t="s">
        <v>845</v>
      </c>
      <c r="H3005" s="577">
        <v>-1.1999999999999999E-3</v>
      </c>
      <c r="K3005" t="s">
        <v>972</v>
      </c>
      <c r="L3005" t="s">
        <v>692</v>
      </c>
      <c r="P3005" t="s">
        <v>982</v>
      </c>
      <c r="T3005">
        <v>46022</v>
      </c>
      <c r="V3005">
        <v>99</v>
      </c>
    </row>
    <row r="3006" spans="1:22" customFormat="1" ht="15" x14ac:dyDescent="0.25">
      <c r="A3006" t="s">
        <v>217</v>
      </c>
      <c r="B3006" t="s">
        <v>4535</v>
      </c>
      <c r="E3006" s="1507" t="s">
        <v>243</v>
      </c>
      <c r="F3006" s="1507"/>
      <c r="G3006" s="584" t="s">
        <v>845</v>
      </c>
      <c r="H3006" s="577">
        <v>9.7000000000000003E-3</v>
      </c>
      <c r="K3006" t="s">
        <v>972</v>
      </c>
      <c r="L3006" t="s">
        <v>694</v>
      </c>
      <c r="P3006" t="s">
        <v>983</v>
      </c>
      <c r="V3006">
        <v>47</v>
      </c>
    </row>
    <row r="3007" spans="1:22" customFormat="1" ht="15" x14ac:dyDescent="0.25">
      <c r="A3007" t="s">
        <v>217</v>
      </c>
      <c r="B3007" t="s">
        <v>4535</v>
      </c>
      <c r="E3007" s="1507" t="s">
        <v>175</v>
      </c>
      <c r="F3007" s="1507"/>
      <c r="G3007" s="584" t="s">
        <v>845</v>
      </c>
      <c r="H3007" s="577">
        <v>1.6000000000000001E-3</v>
      </c>
      <c r="K3007" t="s">
        <v>972</v>
      </c>
      <c r="L3007" t="s">
        <v>694</v>
      </c>
      <c r="P3007" t="s">
        <v>984</v>
      </c>
      <c r="V3007">
        <v>74</v>
      </c>
    </row>
    <row r="3008" spans="1:22" customFormat="1" ht="15" x14ac:dyDescent="0.25">
      <c r="A3008" t="s">
        <v>217</v>
      </c>
      <c r="B3008" t="s">
        <v>4535</v>
      </c>
      <c r="E3008" s="1515" t="s">
        <v>967</v>
      </c>
      <c r="F3008" s="1507"/>
      <c r="G3008" s="584"/>
      <c r="H3008" s="584"/>
      <c r="K3008" t="s">
        <v>985</v>
      </c>
      <c r="V3008">
        <v>48</v>
      </c>
    </row>
    <row r="3009" spans="1:22" customFormat="1" ht="15" x14ac:dyDescent="0.25">
      <c r="A3009" t="s">
        <v>217</v>
      </c>
      <c r="B3009" t="s">
        <v>4535</v>
      </c>
      <c r="E3009" s="1507" t="s">
        <v>844</v>
      </c>
      <c r="F3009" s="1507"/>
      <c r="G3009" s="584" t="s">
        <v>845</v>
      </c>
      <c r="H3009" s="577">
        <v>4.1000000000000003E-3</v>
      </c>
      <c r="K3009" t="s">
        <v>972</v>
      </c>
      <c r="L3009" t="s">
        <v>968</v>
      </c>
      <c r="P3009" t="s">
        <v>986</v>
      </c>
      <c r="V3009">
        <v>55</v>
      </c>
    </row>
    <row r="3010" spans="1:22" customFormat="1" ht="15" x14ac:dyDescent="0.25">
      <c r="A3010" t="s">
        <v>217</v>
      </c>
      <c r="B3010" t="s">
        <v>4535</v>
      </c>
      <c r="E3010" s="1507" t="s">
        <v>846</v>
      </c>
      <c r="F3010" s="1507"/>
      <c r="G3010" s="584" t="s">
        <v>845</v>
      </c>
      <c r="H3010" s="577">
        <v>4.0000000000000002E-4</v>
      </c>
      <c r="K3010" t="s">
        <v>972</v>
      </c>
      <c r="L3010" t="s">
        <v>968</v>
      </c>
      <c r="P3010" t="s">
        <v>986</v>
      </c>
      <c r="V3010">
        <v>65</v>
      </c>
    </row>
    <row r="3011" spans="1:22" customFormat="1" ht="15" x14ac:dyDescent="0.25">
      <c r="A3011" t="s">
        <v>217</v>
      </c>
      <c r="B3011" t="s">
        <v>4535</v>
      </c>
      <c r="E3011" s="1507" t="s">
        <v>847</v>
      </c>
      <c r="F3011" s="1507"/>
      <c r="G3011" s="584" t="s">
        <v>845</v>
      </c>
      <c r="H3011" s="577">
        <v>1.5E-3</v>
      </c>
      <c r="K3011" t="s">
        <v>972</v>
      </c>
      <c r="L3011" t="s">
        <v>968</v>
      </c>
      <c r="P3011" t="s">
        <v>987</v>
      </c>
      <c r="V3011">
        <v>57</v>
      </c>
    </row>
    <row r="3012" spans="1:22" customFormat="1" ht="15" x14ac:dyDescent="0.25">
      <c r="A3012" t="s">
        <v>217</v>
      </c>
      <c r="B3012" t="s">
        <v>4535</v>
      </c>
      <c r="E3012" s="1507" t="s">
        <v>848</v>
      </c>
      <c r="F3012" s="1507"/>
      <c r="G3012" s="584" t="s">
        <v>777</v>
      </c>
      <c r="H3012" s="576">
        <v>0.25</v>
      </c>
      <c r="K3012" t="s">
        <v>972</v>
      </c>
      <c r="L3012" t="s">
        <v>968</v>
      </c>
      <c r="P3012" t="s">
        <v>988</v>
      </c>
      <c r="V3012">
        <v>63</v>
      </c>
    </row>
    <row r="3013" spans="1:22" customFormat="1" ht="15" x14ac:dyDescent="0.25">
      <c r="A3013" t="s">
        <v>217</v>
      </c>
      <c r="B3013" t="s">
        <v>4535</v>
      </c>
      <c r="E3013" s="1513" t="s">
        <v>6708</v>
      </c>
      <c r="F3013" s="1513"/>
      <c r="G3013" s="1513"/>
      <c r="H3013" s="1513"/>
      <c r="K3013" t="s">
        <v>6708</v>
      </c>
      <c r="V3013">
        <v>12</v>
      </c>
    </row>
    <row r="3014" spans="1:22" customFormat="1" x14ac:dyDescent="0.25">
      <c r="A3014" t="s">
        <v>217</v>
      </c>
      <c r="B3014" t="s">
        <v>4535</v>
      </c>
      <c r="E3014" s="1492" t="s">
        <v>3767</v>
      </c>
      <c r="F3014" s="1493"/>
      <c r="G3014" s="1493"/>
      <c r="H3014" s="1493"/>
      <c r="K3014" t="s">
        <v>3768</v>
      </c>
      <c r="V3014">
        <v>53</v>
      </c>
    </row>
    <row r="3015" spans="1:22" customFormat="1" ht="15" x14ac:dyDescent="0.25">
      <c r="A3015" t="s">
        <v>217</v>
      </c>
      <c r="B3015" t="s">
        <v>4535</v>
      </c>
      <c r="E3015" s="1516" t="s">
        <v>4539</v>
      </c>
      <c r="F3015" s="1516"/>
      <c r="G3015" s="1516"/>
      <c r="H3015" s="1516"/>
      <c r="K3015" t="s">
        <v>3768</v>
      </c>
      <c r="V3015">
        <v>749</v>
      </c>
    </row>
    <row r="3016" spans="1:22" customFormat="1" ht="15" x14ac:dyDescent="0.25">
      <c r="A3016" t="s">
        <v>217</v>
      </c>
      <c r="B3016" t="s">
        <v>4535</v>
      </c>
      <c r="E3016" s="1515" t="s">
        <v>950</v>
      </c>
      <c r="F3016" s="1516"/>
      <c r="G3016" s="1516"/>
      <c r="H3016" s="1516"/>
      <c r="K3016" t="s">
        <v>992</v>
      </c>
      <c r="V3016">
        <v>11</v>
      </c>
    </row>
    <row r="3017" spans="1:22" customFormat="1" ht="15" x14ac:dyDescent="0.25">
      <c r="A3017" t="s">
        <v>217</v>
      </c>
      <c r="B3017" t="s">
        <v>4535</v>
      </c>
      <c r="E3017" s="1516" t="s">
        <v>951</v>
      </c>
      <c r="F3017" s="1516"/>
      <c r="G3017" s="1516"/>
      <c r="H3017" s="1516"/>
      <c r="K3017" t="s">
        <v>3768</v>
      </c>
      <c r="V3017">
        <v>280</v>
      </c>
    </row>
    <row r="3018" spans="1:22" customFormat="1" ht="15" x14ac:dyDescent="0.25">
      <c r="A3018" t="s">
        <v>217</v>
      </c>
      <c r="B3018" t="s">
        <v>4535</v>
      </c>
      <c r="E3018" s="1516" t="s">
        <v>952</v>
      </c>
      <c r="F3018" s="1516"/>
      <c r="G3018" s="1516"/>
      <c r="H3018" s="1516"/>
      <c r="K3018" t="s">
        <v>3768</v>
      </c>
      <c r="V3018">
        <v>411</v>
      </c>
    </row>
    <row r="3019" spans="1:22" customFormat="1" ht="15" x14ac:dyDescent="0.25">
      <c r="A3019" t="s">
        <v>217</v>
      </c>
      <c r="B3019" t="s">
        <v>4535</v>
      </c>
      <c r="E3019" s="1516" t="s">
        <v>3761</v>
      </c>
      <c r="F3019" s="1516"/>
      <c r="G3019" s="1516"/>
      <c r="H3019" s="1516"/>
      <c r="K3019" t="s">
        <v>3768</v>
      </c>
      <c r="V3019">
        <v>387</v>
      </c>
    </row>
    <row r="3020" spans="1:22" customFormat="1" ht="15" x14ac:dyDescent="0.25">
      <c r="A3020" t="s">
        <v>217</v>
      </c>
      <c r="B3020" t="s">
        <v>4535</v>
      </c>
      <c r="E3020" s="1516" t="s">
        <v>3771</v>
      </c>
      <c r="F3020" s="1516"/>
      <c r="G3020" s="1516"/>
      <c r="H3020" s="1516"/>
      <c r="K3020" t="s">
        <v>3768</v>
      </c>
      <c r="V3020">
        <v>677</v>
      </c>
    </row>
    <row r="3021" spans="1:22" customFormat="1" ht="15" x14ac:dyDescent="0.25">
      <c r="A3021" t="s">
        <v>217</v>
      </c>
      <c r="B3021" t="s">
        <v>4535</v>
      </c>
      <c r="E3021" s="1516" t="s">
        <v>3772</v>
      </c>
      <c r="F3021" s="1516"/>
      <c r="G3021" s="1516"/>
      <c r="H3021" s="1516"/>
      <c r="K3021" t="s">
        <v>3768</v>
      </c>
      <c r="V3021">
        <v>693</v>
      </c>
    </row>
    <row r="3022" spans="1:22" customFormat="1" ht="15" x14ac:dyDescent="0.25">
      <c r="A3022" t="s">
        <v>217</v>
      </c>
      <c r="B3022" t="s">
        <v>4535</v>
      </c>
      <c r="E3022" s="1516" t="s">
        <v>3762</v>
      </c>
      <c r="F3022" s="1516"/>
      <c r="G3022" s="1516"/>
      <c r="H3022" s="1516"/>
      <c r="K3022" t="s">
        <v>3768</v>
      </c>
      <c r="V3022">
        <v>247</v>
      </c>
    </row>
    <row r="3023" spans="1:22" customFormat="1" ht="15" x14ac:dyDescent="0.25">
      <c r="A3023" t="s">
        <v>217</v>
      </c>
      <c r="B3023" t="s">
        <v>4535</v>
      </c>
      <c r="E3023" s="1513" t="s">
        <v>6708</v>
      </c>
      <c r="F3023" s="1513"/>
      <c r="G3023" s="1513"/>
      <c r="H3023" s="1513"/>
      <c r="K3023" t="s">
        <v>6708</v>
      </c>
      <c r="V3023">
        <v>12</v>
      </c>
    </row>
    <row r="3024" spans="1:22" customFormat="1" ht="15" x14ac:dyDescent="0.25">
      <c r="A3024" t="s">
        <v>217</v>
      </c>
      <c r="B3024" t="s">
        <v>4535</v>
      </c>
      <c r="E3024" s="1515" t="s">
        <v>956</v>
      </c>
      <c r="F3024" s="1516"/>
      <c r="G3024" s="1516"/>
      <c r="H3024" s="1516"/>
      <c r="K3024" t="s">
        <v>995</v>
      </c>
      <c r="V3024">
        <v>46</v>
      </c>
    </row>
    <row r="3025" spans="1:22" customFormat="1" ht="15" x14ac:dyDescent="0.25">
      <c r="A3025" t="s">
        <v>217</v>
      </c>
      <c r="B3025" t="s">
        <v>4535</v>
      </c>
      <c r="E3025" s="1507" t="s">
        <v>3773</v>
      </c>
      <c r="F3025" s="1507"/>
      <c r="G3025" s="584" t="s">
        <v>777</v>
      </c>
      <c r="H3025" s="576">
        <v>215.61</v>
      </c>
      <c r="K3025" t="s">
        <v>3768</v>
      </c>
      <c r="L3025" t="s">
        <v>690</v>
      </c>
      <c r="P3025" t="s">
        <v>3774</v>
      </c>
      <c r="V3025">
        <v>14</v>
      </c>
    </row>
    <row r="3026" spans="1:22" customFormat="1" ht="15" x14ac:dyDescent="0.25">
      <c r="A3026" t="s">
        <v>217</v>
      </c>
      <c r="B3026" t="s">
        <v>4535</v>
      </c>
      <c r="E3026" s="1507" t="s">
        <v>3688</v>
      </c>
      <c r="F3026" s="1507"/>
      <c r="G3026" s="584" t="s">
        <v>3775</v>
      </c>
      <c r="H3026" s="577">
        <v>5.5507</v>
      </c>
      <c r="K3026" t="s">
        <v>3768</v>
      </c>
      <c r="L3026" t="s">
        <v>690</v>
      </c>
      <c r="P3026" t="s">
        <v>3776</v>
      </c>
      <c r="V3026">
        <v>28</v>
      </c>
    </row>
    <row r="3027" spans="1:22" customFormat="1" ht="15" x14ac:dyDescent="0.25">
      <c r="A3027" t="s">
        <v>217</v>
      </c>
      <c r="B3027" t="s">
        <v>4535</v>
      </c>
      <c r="E3027" s="1507" t="s">
        <v>6617</v>
      </c>
      <c r="F3027" s="1510"/>
      <c r="G3027" s="584" t="s">
        <v>3775</v>
      </c>
      <c r="H3027" s="577">
        <v>6.6799999999999998E-2</v>
      </c>
      <c r="K3027" t="s">
        <v>3768</v>
      </c>
      <c r="L3027" t="s">
        <v>692</v>
      </c>
      <c r="P3027" t="s">
        <v>3778</v>
      </c>
      <c r="V3027">
        <v>149</v>
      </c>
    </row>
    <row r="3028" spans="1:22" customFormat="1" ht="15" x14ac:dyDescent="0.25">
      <c r="A3028" t="s">
        <v>217</v>
      </c>
      <c r="B3028" t="s">
        <v>4535</v>
      </c>
      <c r="E3028" s="1507" t="s">
        <v>6519</v>
      </c>
      <c r="F3028" s="1510"/>
      <c r="G3028" s="584" t="s">
        <v>845</v>
      </c>
      <c r="H3028" s="577">
        <v>2.8999999999999998E-3</v>
      </c>
      <c r="K3028" t="s">
        <v>3768</v>
      </c>
      <c r="L3028" t="s">
        <v>692</v>
      </c>
      <c r="P3028" t="s">
        <v>4232</v>
      </c>
      <c r="T3028">
        <v>46022</v>
      </c>
      <c r="V3028">
        <v>142</v>
      </c>
    </row>
    <row r="3029" spans="1:22" customFormat="1" ht="15" x14ac:dyDescent="0.25">
      <c r="A3029" t="s">
        <v>217</v>
      </c>
      <c r="B3029" t="s">
        <v>4535</v>
      </c>
      <c r="E3029" s="1507" t="s">
        <v>6525</v>
      </c>
      <c r="F3029" s="1510"/>
      <c r="G3029" s="584" t="s">
        <v>3775</v>
      </c>
      <c r="H3029" s="577">
        <v>-0.64019999999999999</v>
      </c>
      <c r="K3029" t="s">
        <v>3768</v>
      </c>
      <c r="L3029" t="s">
        <v>692</v>
      </c>
      <c r="P3029" t="s">
        <v>3779</v>
      </c>
      <c r="T3029">
        <v>46022</v>
      </c>
      <c r="V3029">
        <v>159</v>
      </c>
    </row>
    <row r="3030" spans="1:22" customFormat="1" ht="15" x14ac:dyDescent="0.25">
      <c r="A3030" t="s">
        <v>217</v>
      </c>
      <c r="B3030" t="s">
        <v>4535</v>
      </c>
      <c r="E3030" s="1507" t="s">
        <v>6520</v>
      </c>
      <c r="F3030" s="1510"/>
      <c r="G3030" s="584" t="s">
        <v>3775</v>
      </c>
      <c r="H3030" s="577">
        <v>0.20219999999999999</v>
      </c>
      <c r="K3030" t="s">
        <v>3768</v>
      </c>
      <c r="L3030" t="s">
        <v>692</v>
      </c>
      <c r="P3030" t="s">
        <v>3779</v>
      </c>
      <c r="T3030">
        <v>46022</v>
      </c>
      <c r="V3030">
        <v>99</v>
      </c>
    </row>
    <row r="3031" spans="1:22" customFormat="1" ht="15" x14ac:dyDescent="0.25">
      <c r="A3031" t="s">
        <v>217</v>
      </c>
      <c r="B3031" t="s">
        <v>4535</v>
      </c>
      <c r="E3031" s="1507" t="s">
        <v>243</v>
      </c>
      <c r="F3031" s="1507"/>
      <c r="G3031" s="584" t="s">
        <v>3775</v>
      </c>
      <c r="H3031" s="577">
        <v>5.1548999999999996</v>
      </c>
      <c r="K3031" t="s">
        <v>3768</v>
      </c>
      <c r="L3031" t="s">
        <v>694</v>
      </c>
      <c r="P3031" t="s">
        <v>3780</v>
      </c>
      <c r="V3031">
        <v>47</v>
      </c>
    </row>
    <row r="3032" spans="1:22" customFormat="1" ht="15" x14ac:dyDescent="0.25">
      <c r="A3032" t="s">
        <v>217</v>
      </c>
      <c r="B3032" t="s">
        <v>4535</v>
      </c>
      <c r="E3032" s="1507" t="s">
        <v>175</v>
      </c>
      <c r="F3032" s="1507"/>
      <c r="G3032" s="584" t="s">
        <v>3775</v>
      </c>
      <c r="H3032" s="577">
        <v>0.9103</v>
      </c>
      <c r="K3032" t="s">
        <v>3768</v>
      </c>
      <c r="L3032" t="s">
        <v>694</v>
      </c>
      <c r="P3032" t="s">
        <v>3781</v>
      </c>
      <c r="V3032">
        <v>74</v>
      </c>
    </row>
    <row r="3033" spans="1:22" customFormat="1" ht="15" x14ac:dyDescent="0.25">
      <c r="A3033" t="s">
        <v>217</v>
      </c>
      <c r="B3033" t="s">
        <v>4535</v>
      </c>
      <c r="E3033" s="1515" t="s">
        <v>967</v>
      </c>
      <c r="F3033" s="1507"/>
      <c r="G3033" s="584"/>
      <c r="H3033" s="584"/>
      <c r="K3033" t="s">
        <v>1003</v>
      </c>
      <c r="V3033">
        <v>48</v>
      </c>
    </row>
    <row r="3034" spans="1:22" customFormat="1" ht="15" x14ac:dyDescent="0.25">
      <c r="A3034" t="s">
        <v>217</v>
      </c>
      <c r="B3034" t="s">
        <v>4535</v>
      </c>
      <c r="E3034" s="1507" t="s">
        <v>844</v>
      </c>
      <c r="F3034" s="1507"/>
      <c r="G3034" s="584" t="s">
        <v>845</v>
      </c>
      <c r="H3034" s="577">
        <v>4.1000000000000003E-3</v>
      </c>
      <c r="K3034" t="s">
        <v>3768</v>
      </c>
      <c r="L3034" t="s">
        <v>968</v>
      </c>
      <c r="P3034" t="s">
        <v>3782</v>
      </c>
      <c r="V3034">
        <v>55</v>
      </c>
    </row>
    <row r="3035" spans="1:22" customFormat="1" ht="15" x14ac:dyDescent="0.25">
      <c r="A3035" t="s">
        <v>217</v>
      </c>
      <c r="B3035" t="s">
        <v>4535</v>
      </c>
      <c r="E3035" s="1507" t="s">
        <v>846</v>
      </c>
      <c r="F3035" s="1507"/>
      <c r="G3035" s="584" t="s">
        <v>845</v>
      </c>
      <c r="H3035" s="577">
        <v>4.0000000000000002E-4</v>
      </c>
      <c r="K3035" t="s">
        <v>3768</v>
      </c>
      <c r="L3035" t="s">
        <v>968</v>
      </c>
      <c r="P3035" t="s">
        <v>3782</v>
      </c>
      <c r="V3035">
        <v>65</v>
      </c>
    </row>
    <row r="3036" spans="1:22" customFormat="1" ht="15" x14ac:dyDescent="0.25">
      <c r="A3036" t="s">
        <v>217</v>
      </c>
      <c r="B3036" t="s">
        <v>4535</v>
      </c>
      <c r="E3036" s="1507" t="s">
        <v>847</v>
      </c>
      <c r="F3036" s="1507"/>
      <c r="G3036" s="584" t="s">
        <v>845</v>
      </c>
      <c r="H3036" s="577">
        <v>1.5E-3</v>
      </c>
      <c r="K3036" t="s">
        <v>3768</v>
      </c>
      <c r="L3036" t="s">
        <v>968</v>
      </c>
      <c r="P3036" t="s">
        <v>3783</v>
      </c>
      <c r="V3036">
        <v>57</v>
      </c>
    </row>
    <row r="3037" spans="1:22" customFormat="1" ht="15" x14ac:dyDescent="0.25">
      <c r="A3037" t="s">
        <v>217</v>
      </c>
      <c r="B3037" t="s">
        <v>4535</v>
      </c>
      <c r="E3037" s="1507" t="s">
        <v>848</v>
      </c>
      <c r="F3037" s="1507"/>
      <c r="G3037" s="584" t="s">
        <v>777</v>
      </c>
      <c r="H3037" s="576">
        <v>0.25</v>
      </c>
      <c r="K3037" t="s">
        <v>3768</v>
      </c>
      <c r="L3037" t="s">
        <v>968</v>
      </c>
      <c r="P3037" t="s">
        <v>3784</v>
      </c>
      <c r="V3037">
        <v>63</v>
      </c>
    </row>
    <row r="3038" spans="1:22" customFormat="1" ht="15" x14ac:dyDescent="0.25">
      <c r="A3038" t="s">
        <v>217</v>
      </c>
      <c r="B3038" t="s">
        <v>4535</v>
      </c>
      <c r="E3038" s="1513" t="s">
        <v>6708</v>
      </c>
      <c r="F3038" s="1513"/>
      <c r="G3038" s="1513"/>
      <c r="H3038" s="1513"/>
      <c r="K3038" t="s">
        <v>6708</v>
      </c>
      <c r="V3038">
        <v>12</v>
      </c>
    </row>
    <row r="3039" spans="1:22" customFormat="1" x14ac:dyDescent="0.25">
      <c r="A3039" t="s">
        <v>217</v>
      </c>
      <c r="B3039" t="s">
        <v>4535</v>
      </c>
      <c r="E3039" s="1492" t="s">
        <v>189</v>
      </c>
      <c r="F3039" s="1493"/>
      <c r="G3039" s="1493"/>
      <c r="H3039" s="1493"/>
      <c r="K3039" t="s">
        <v>4234</v>
      </c>
      <c r="V3039">
        <v>32</v>
      </c>
    </row>
    <row r="3040" spans="1:22" customFormat="1" ht="15" x14ac:dyDescent="0.25">
      <c r="A3040" t="s">
        <v>217</v>
      </c>
      <c r="B3040" t="s">
        <v>4535</v>
      </c>
      <c r="E3040" s="1516" t="s">
        <v>4540</v>
      </c>
      <c r="F3040" s="1516"/>
      <c r="G3040" s="1516"/>
      <c r="H3040" s="1516"/>
      <c r="K3040" t="s">
        <v>4234</v>
      </c>
      <c r="V3040">
        <v>351</v>
      </c>
    </row>
    <row r="3041" spans="1:22" customFormat="1" ht="15" x14ac:dyDescent="0.25">
      <c r="A3041" t="s">
        <v>217</v>
      </c>
      <c r="B3041" t="s">
        <v>4535</v>
      </c>
      <c r="E3041" s="1515" t="s">
        <v>950</v>
      </c>
      <c r="F3041" s="1516"/>
      <c r="G3041" s="1516"/>
      <c r="H3041" s="1516"/>
      <c r="K3041" t="s">
        <v>1010</v>
      </c>
      <c r="V3041">
        <v>11</v>
      </c>
    </row>
    <row r="3042" spans="1:22" customFormat="1" ht="15" x14ac:dyDescent="0.25">
      <c r="A3042" t="s">
        <v>217</v>
      </c>
      <c r="B3042" t="s">
        <v>4535</v>
      </c>
      <c r="E3042" s="1516" t="s">
        <v>951</v>
      </c>
      <c r="F3042" s="1516"/>
      <c r="G3042" s="1516"/>
      <c r="H3042" s="1516"/>
      <c r="K3042" t="s">
        <v>4234</v>
      </c>
      <c r="V3042">
        <v>280</v>
      </c>
    </row>
    <row r="3043" spans="1:22" customFormat="1" ht="15" x14ac:dyDescent="0.25">
      <c r="A3043" t="s">
        <v>217</v>
      </c>
      <c r="B3043" t="s">
        <v>4535</v>
      </c>
      <c r="E3043" s="1516" t="s">
        <v>952</v>
      </c>
      <c r="F3043" s="1516"/>
      <c r="G3043" s="1516"/>
      <c r="H3043" s="1516"/>
      <c r="K3043" t="s">
        <v>4234</v>
      </c>
      <c r="V3043">
        <v>411</v>
      </c>
    </row>
    <row r="3044" spans="1:22" customFormat="1" ht="15" x14ac:dyDescent="0.25">
      <c r="A3044" t="s">
        <v>217</v>
      </c>
      <c r="B3044" t="s">
        <v>4535</v>
      </c>
      <c r="E3044" s="1516" t="s">
        <v>3761</v>
      </c>
      <c r="F3044" s="1516"/>
      <c r="G3044" s="1516"/>
      <c r="H3044" s="1516"/>
      <c r="K3044" t="s">
        <v>4234</v>
      </c>
      <c r="V3044">
        <v>387</v>
      </c>
    </row>
    <row r="3045" spans="1:22" customFormat="1" ht="15" x14ac:dyDescent="0.25">
      <c r="A3045" t="s">
        <v>217</v>
      </c>
      <c r="B3045" t="s">
        <v>4535</v>
      </c>
      <c r="E3045" s="1516" t="s">
        <v>3762</v>
      </c>
      <c r="F3045" s="1516"/>
      <c r="G3045" s="1516"/>
      <c r="H3045" s="1516"/>
      <c r="K3045" t="s">
        <v>4234</v>
      </c>
      <c r="V3045">
        <v>247</v>
      </c>
    </row>
    <row r="3046" spans="1:22" customFormat="1" ht="15" x14ac:dyDescent="0.25">
      <c r="A3046" t="s">
        <v>217</v>
      </c>
      <c r="B3046" t="s">
        <v>4535</v>
      </c>
      <c r="E3046" s="1515" t="s">
        <v>956</v>
      </c>
      <c r="F3046" s="1516"/>
      <c r="G3046" s="1516"/>
      <c r="H3046" s="1516"/>
      <c r="K3046" t="s">
        <v>1011</v>
      </c>
      <c r="V3046">
        <v>46</v>
      </c>
    </row>
    <row r="3047" spans="1:22" customFormat="1" ht="15" x14ac:dyDescent="0.25">
      <c r="A3047" t="s">
        <v>217</v>
      </c>
      <c r="B3047" t="s">
        <v>4535</v>
      </c>
      <c r="E3047" s="1507" t="s">
        <v>3773</v>
      </c>
      <c r="F3047" s="1507"/>
      <c r="G3047" s="584" t="s">
        <v>777</v>
      </c>
      <c r="H3047" s="576">
        <v>20054.28</v>
      </c>
      <c r="K3047" t="s">
        <v>4234</v>
      </c>
      <c r="L3047" t="s">
        <v>690</v>
      </c>
      <c r="P3047" t="s">
        <v>4236</v>
      </c>
      <c r="V3047">
        <v>14</v>
      </c>
    </row>
    <row r="3048" spans="1:22" customFormat="1" ht="15" x14ac:dyDescent="0.25">
      <c r="A3048" t="s">
        <v>217</v>
      </c>
      <c r="B3048" t="s">
        <v>4535</v>
      </c>
      <c r="E3048" s="1507" t="s">
        <v>3688</v>
      </c>
      <c r="F3048" s="1507"/>
      <c r="G3048" s="584" t="s">
        <v>3775</v>
      </c>
      <c r="H3048" s="577">
        <v>1.8419000000000001</v>
      </c>
      <c r="K3048" t="s">
        <v>4234</v>
      </c>
      <c r="L3048" t="s">
        <v>690</v>
      </c>
      <c r="P3048" t="s">
        <v>4237</v>
      </c>
      <c r="V3048">
        <v>28</v>
      </c>
    </row>
    <row r="3049" spans="1:22" customFormat="1" ht="15" x14ac:dyDescent="0.25">
      <c r="A3049" t="s">
        <v>217</v>
      </c>
      <c r="B3049" t="s">
        <v>4535</v>
      </c>
      <c r="E3049" s="1507" t="s">
        <v>6520</v>
      </c>
      <c r="F3049" s="1510"/>
      <c r="G3049" s="584" t="s">
        <v>3775</v>
      </c>
      <c r="H3049" s="577">
        <v>-0.45219999999999999</v>
      </c>
      <c r="K3049" t="s">
        <v>4234</v>
      </c>
      <c r="L3049" t="s">
        <v>692</v>
      </c>
      <c r="P3049" t="s">
        <v>4240</v>
      </c>
      <c r="T3049">
        <v>46022</v>
      </c>
      <c r="V3049">
        <v>99</v>
      </c>
    </row>
    <row r="3050" spans="1:22" customFormat="1" ht="15" x14ac:dyDescent="0.25">
      <c r="A3050" t="s">
        <v>217</v>
      </c>
      <c r="B3050" t="s">
        <v>4535</v>
      </c>
      <c r="E3050" s="1507" t="s">
        <v>251</v>
      </c>
      <c r="F3050" s="1507"/>
      <c r="G3050" s="584" t="s">
        <v>3775</v>
      </c>
      <c r="H3050" s="577">
        <v>4.8449999999999998</v>
      </c>
      <c r="K3050" t="s">
        <v>4234</v>
      </c>
      <c r="L3050" t="s">
        <v>694</v>
      </c>
      <c r="P3050" t="s">
        <v>4241</v>
      </c>
      <c r="V3050">
        <v>66</v>
      </c>
    </row>
    <row r="3051" spans="1:22" customFormat="1" ht="15" x14ac:dyDescent="0.25">
      <c r="A3051" t="s">
        <v>217</v>
      </c>
      <c r="B3051" t="s">
        <v>4535</v>
      </c>
      <c r="E3051" s="1507" t="s">
        <v>185</v>
      </c>
      <c r="F3051" s="1507"/>
      <c r="G3051" s="584" t="s">
        <v>3775</v>
      </c>
      <c r="H3051" s="577">
        <v>0.85570000000000002</v>
      </c>
      <c r="K3051" t="s">
        <v>4234</v>
      </c>
      <c r="L3051" t="s">
        <v>694</v>
      </c>
      <c r="P3051" t="s">
        <v>4242</v>
      </c>
      <c r="V3051">
        <v>93</v>
      </c>
    </row>
    <row r="3052" spans="1:22" customFormat="1" ht="15" x14ac:dyDescent="0.25">
      <c r="A3052" t="s">
        <v>217</v>
      </c>
      <c r="B3052" t="s">
        <v>4535</v>
      </c>
      <c r="E3052" s="1515" t="s">
        <v>967</v>
      </c>
      <c r="F3052" s="1507"/>
      <c r="G3052" s="584"/>
      <c r="H3052" s="584"/>
      <c r="K3052" t="s">
        <v>1019</v>
      </c>
      <c r="V3052">
        <v>48</v>
      </c>
    </row>
    <row r="3053" spans="1:22" customFormat="1" ht="15" x14ac:dyDescent="0.25">
      <c r="A3053" t="s">
        <v>217</v>
      </c>
      <c r="B3053" t="s">
        <v>4535</v>
      </c>
      <c r="E3053" s="1507" t="s">
        <v>844</v>
      </c>
      <c r="F3053" s="1507"/>
      <c r="G3053" s="584" t="s">
        <v>845</v>
      </c>
      <c r="H3053" s="577">
        <v>4.1000000000000003E-3</v>
      </c>
      <c r="K3053" t="s">
        <v>4234</v>
      </c>
      <c r="L3053" t="s">
        <v>968</v>
      </c>
      <c r="P3053" t="s">
        <v>4243</v>
      </c>
      <c r="V3053">
        <v>55</v>
      </c>
    </row>
    <row r="3054" spans="1:22" customFormat="1" ht="15" x14ac:dyDescent="0.25">
      <c r="A3054" t="s">
        <v>217</v>
      </c>
      <c r="B3054" t="s">
        <v>4535</v>
      </c>
      <c r="E3054" s="1507" t="s">
        <v>846</v>
      </c>
      <c r="F3054" s="1507"/>
      <c r="G3054" s="584" t="s">
        <v>845</v>
      </c>
      <c r="H3054" s="577">
        <v>4.0000000000000002E-4</v>
      </c>
      <c r="K3054" t="s">
        <v>4234</v>
      </c>
      <c r="L3054" t="s">
        <v>968</v>
      </c>
      <c r="P3054" t="s">
        <v>4243</v>
      </c>
      <c r="V3054">
        <v>65</v>
      </c>
    </row>
    <row r="3055" spans="1:22" customFormat="1" ht="15" x14ac:dyDescent="0.25">
      <c r="A3055" t="s">
        <v>217</v>
      </c>
      <c r="B3055" t="s">
        <v>4535</v>
      </c>
      <c r="E3055" s="1507" t="s">
        <v>847</v>
      </c>
      <c r="F3055" s="1507"/>
      <c r="G3055" s="584" t="s">
        <v>845</v>
      </c>
      <c r="H3055" s="577">
        <v>1.5E-3</v>
      </c>
      <c r="K3055" t="s">
        <v>4234</v>
      </c>
      <c r="L3055" t="s">
        <v>968</v>
      </c>
      <c r="P3055" t="s">
        <v>4244</v>
      </c>
      <c r="V3055">
        <v>57</v>
      </c>
    </row>
    <row r="3056" spans="1:22" customFormat="1" ht="15" x14ac:dyDescent="0.25">
      <c r="A3056" t="s">
        <v>217</v>
      </c>
      <c r="B3056" t="s">
        <v>4535</v>
      </c>
      <c r="E3056" s="1507" t="s">
        <v>848</v>
      </c>
      <c r="F3056" s="1507"/>
      <c r="G3056" s="584" t="s">
        <v>777</v>
      </c>
      <c r="H3056" s="576">
        <v>0.25</v>
      </c>
      <c r="K3056" t="s">
        <v>4234</v>
      </c>
      <c r="L3056" t="s">
        <v>968</v>
      </c>
      <c r="P3056" t="s">
        <v>4245</v>
      </c>
      <c r="V3056">
        <v>63</v>
      </c>
    </row>
    <row r="3057" spans="1:22" customFormat="1" ht="15" x14ac:dyDescent="0.25">
      <c r="A3057" t="s">
        <v>217</v>
      </c>
      <c r="B3057" t="s">
        <v>4535</v>
      </c>
      <c r="E3057" s="1513" t="s">
        <v>6708</v>
      </c>
      <c r="F3057" s="1513"/>
      <c r="G3057" s="1513"/>
      <c r="H3057" s="1513"/>
      <c r="K3057" t="s">
        <v>6708</v>
      </c>
      <c r="V3057">
        <v>12</v>
      </c>
    </row>
    <row r="3058" spans="1:22" customFormat="1" x14ac:dyDescent="0.25">
      <c r="A3058" t="s">
        <v>217</v>
      </c>
      <c r="B3058" t="s">
        <v>4535</v>
      </c>
      <c r="E3058" s="1492" t="s">
        <v>194</v>
      </c>
      <c r="F3058" s="1493"/>
      <c r="G3058" s="1493"/>
      <c r="H3058" s="1493"/>
      <c r="K3058" t="s">
        <v>1023</v>
      </c>
      <c r="V3058">
        <v>47</v>
      </c>
    </row>
    <row r="3059" spans="1:22" customFormat="1" ht="15" x14ac:dyDescent="0.25">
      <c r="A3059" t="s">
        <v>217</v>
      </c>
      <c r="B3059" t="s">
        <v>4535</v>
      </c>
      <c r="E3059" s="1516" t="s">
        <v>4541</v>
      </c>
      <c r="F3059" s="1516"/>
      <c r="G3059" s="1516"/>
      <c r="H3059" s="1516"/>
      <c r="K3059" t="s">
        <v>1023</v>
      </c>
      <c r="V3059">
        <v>720</v>
      </c>
    </row>
    <row r="3060" spans="1:22" customFormat="1" ht="15" x14ac:dyDescent="0.25">
      <c r="A3060" t="s">
        <v>217</v>
      </c>
      <c r="B3060" t="s">
        <v>4535</v>
      </c>
      <c r="E3060" s="1515" t="s">
        <v>950</v>
      </c>
      <c r="F3060" s="1516"/>
      <c r="G3060" s="1516"/>
      <c r="H3060" s="1516"/>
      <c r="K3060" t="s">
        <v>1025</v>
      </c>
      <c r="V3060">
        <v>11</v>
      </c>
    </row>
    <row r="3061" spans="1:22" customFormat="1" ht="15" x14ac:dyDescent="0.25">
      <c r="A3061" t="s">
        <v>217</v>
      </c>
      <c r="B3061" t="s">
        <v>4535</v>
      </c>
      <c r="E3061" s="1516" t="s">
        <v>951</v>
      </c>
      <c r="F3061" s="1516"/>
      <c r="G3061" s="1516"/>
      <c r="H3061" s="1516"/>
      <c r="K3061" t="s">
        <v>1023</v>
      </c>
      <c r="V3061">
        <v>280</v>
      </c>
    </row>
    <row r="3062" spans="1:22" customFormat="1" ht="15" x14ac:dyDescent="0.25">
      <c r="A3062" t="s">
        <v>217</v>
      </c>
      <c r="B3062" t="s">
        <v>4535</v>
      </c>
      <c r="E3062" s="1516" t="s">
        <v>952</v>
      </c>
      <c r="F3062" s="1516"/>
      <c r="G3062" s="1516"/>
      <c r="H3062" s="1516"/>
      <c r="K3062" t="s">
        <v>1023</v>
      </c>
      <c r="V3062">
        <v>411</v>
      </c>
    </row>
    <row r="3063" spans="1:22" customFormat="1" ht="15" x14ac:dyDescent="0.25">
      <c r="A3063" t="s">
        <v>217</v>
      </c>
      <c r="B3063" t="s">
        <v>4535</v>
      </c>
      <c r="E3063" s="1516" t="s">
        <v>3761</v>
      </c>
      <c r="F3063" s="1516"/>
      <c r="G3063" s="1516"/>
      <c r="H3063" s="1516"/>
      <c r="K3063" t="s">
        <v>1023</v>
      </c>
      <c r="V3063">
        <v>387</v>
      </c>
    </row>
    <row r="3064" spans="1:22" customFormat="1" ht="15" x14ac:dyDescent="0.25">
      <c r="A3064" t="s">
        <v>217</v>
      </c>
      <c r="B3064" t="s">
        <v>4535</v>
      </c>
      <c r="E3064" s="1516" t="s">
        <v>3762</v>
      </c>
      <c r="F3064" s="1516"/>
      <c r="G3064" s="1516"/>
      <c r="H3064" s="1516"/>
      <c r="K3064" t="s">
        <v>1023</v>
      </c>
      <c r="V3064">
        <v>247</v>
      </c>
    </row>
    <row r="3065" spans="1:22" customFormat="1" ht="15" x14ac:dyDescent="0.25">
      <c r="A3065" t="s">
        <v>217</v>
      </c>
      <c r="B3065" t="s">
        <v>4535</v>
      </c>
      <c r="E3065" s="1515" t="s">
        <v>956</v>
      </c>
      <c r="F3065" s="1516"/>
      <c r="G3065" s="1516"/>
      <c r="H3065" s="1516"/>
      <c r="K3065" t="s">
        <v>1026</v>
      </c>
      <c r="V3065">
        <v>46</v>
      </c>
    </row>
    <row r="3066" spans="1:22" customFormat="1" ht="15" x14ac:dyDescent="0.25">
      <c r="A3066" t="s">
        <v>217</v>
      </c>
      <c r="B3066" t="s">
        <v>4535</v>
      </c>
      <c r="E3066" s="1507" t="s">
        <v>3874</v>
      </c>
      <c r="F3066" s="1507"/>
      <c r="G3066" s="584" t="s">
        <v>777</v>
      </c>
      <c r="H3066" s="576">
        <v>8.68</v>
      </c>
      <c r="K3066" t="s">
        <v>1023</v>
      </c>
      <c r="L3066" t="s">
        <v>690</v>
      </c>
      <c r="P3066" t="s">
        <v>1027</v>
      </c>
      <c r="V3066">
        <v>31</v>
      </c>
    </row>
    <row r="3067" spans="1:22" customFormat="1" ht="15" x14ac:dyDescent="0.25">
      <c r="A3067" t="s">
        <v>217</v>
      </c>
      <c r="B3067" t="s">
        <v>4535</v>
      </c>
      <c r="E3067" s="1507" t="s">
        <v>3688</v>
      </c>
      <c r="F3067" s="1507"/>
      <c r="G3067" s="584" t="s">
        <v>845</v>
      </c>
      <c r="H3067" s="577">
        <v>1.6799999999999999E-2</v>
      </c>
      <c r="K3067" t="s">
        <v>1023</v>
      </c>
      <c r="L3067" t="s">
        <v>690</v>
      </c>
      <c r="P3067" t="s">
        <v>1029</v>
      </c>
      <c r="V3067">
        <v>28</v>
      </c>
    </row>
    <row r="3068" spans="1:22" customFormat="1" ht="15" x14ac:dyDescent="0.25">
      <c r="A3068" t="s">
        <v>217</v>
      </c>
      <c r="B3068" t="s">
        <v>4535</v>
      </c>
      <c r="E3068" s="1507" t="s">
        <v>6617</v>
      </c>
      <c r="F3068" s="1510"/>
      <c r="G3068" s="584" t="s">
        <v>845</v>
      </c>
      <c r="H3068" s="577">
        <v>2.0000000000000001E-4</v>
      </c>
      <c r="K3068" t="s">
        <v>1023</v>
      </c>
      <c r="L3068" t="s">
        <v>692</v>
      </c>
      <c r="P3068" t="s">
        <v>4520</v>
      </c>
      <c r="V3068">
        <v>149</v>
      </c>
    </row>
    <row r="3069" spans="1:22" customFormat="1" ht="15" x14ac:dyDescent="0.25">
      <c r="A3069" t="s">
        <v>217</v>
      </c>
      <c r="B3069" t="s">
        <v>4535</v>
      </c>
      <c r="E3069" s="1507" t="s">
        <v>6520</v>
      </c>
      <c r="F3069" s="1510"/>
      <c r="G3069" s="584" t="s">
        <v>845</v>
      </c>
      <c r="H3069" s="577">
        <v>-1.1999999999999999E-3</v>
      </c>
      <c r="K3069" t="s">
        <v>1023</v>
      </c>
      <c r="L3069" t="s">
        <v>692</v>
      </c>
      <c r="P3069" t="s">
        <v>1032</v>
      </c>
      <c r="T3069">
        <v>46022</v>
      </c>
      <c r="V3069">
        <v>99</v>
      </c>
    </row>
    <row r="3070" spans="1:22" customFormat="1" ht="15" x14ac:dyDescent="0.25">
      <c r="A3070" t="s">
        <v>217</v>
      </c>
      <c r="B3070" t="s">
        <v>4535</v>
      </c>
      <c r="E3070" s="1507" t="s">
        <v>243</v>
      </c>
      <c r="F3070" s="1507"/>
      <c r="G3070" s="584" t="s">
        <v>845</v>
      </c>
      <c r="H3070" s="577">
        <v>9.7000000000000003E-3</v>
      </c>
      <c r="K3070" t="s">
        <v>1023</v>
      </c>
      <c r="L3070" t="s">
        <v>694</v>
      </c>
      <c r="P3070" t="s">
        <v>1033</v>
      </c>
      <c r="V3070">
        <v>47</v>
      </c>
    </row>
    <row r="3071" spans="1:22" customFormat="1" ht="15" x14ac:dyDescent="0.25">
      <c r="A3071" t="s">
        <v>217</v>
      </c>
      <c r="B3071" t="s">
        <v>4535</v>
      </c>
      <c r="E3071" s="1507" t="s">
        <v>175</v>
      </c>
      <c r="F3071" s="1507"/>
      <c r="G3071" s="584" t="s">
        <v>845</v>
      </c>
      <c r="H3071" s="577">
        <v>1.6000000000000001E-3</v>
      </c>
      <c r="K3071" t="s">
        <v>1023</v>
      </c>
      <c r="L3071" t="s">
        <v>694</v>
      </c>
      <c r="P3071" t="s">
        <v>1034</v>
      </c>
      <c r="V3071">
        <v>74</v>
      </c>
    </row>
    <row r="3072" spans="1:22" customFormat="1" ht="15" x14ac:dyDescent="0.25">
      <c r="A3072" t="s">
        <v>217</v>
      </c>
      <c r="B3072" t="s">
        <v>4535</v>
      </c>
      <c r="E3072" s="1515" t="s">
        <v>967</v>
      </c>
      <c r="F3072" s="1507"/>
      <c r="G3072" s="584"/>
      <c r="H3072" s="584"/>
      <c r="K3072" t="s">
        <v>1035</v>
      </c>
      <c r="V3072">
        <v>48</v>
      </c>
    </row>
    <row r="3073" spans="1:22" customFormat="1" ht="15" x14ac:dyDescent="0.25">
      <c r="A3073" t="s">
        <v>217</v>
      </c>
      <c r="B3073" t="s">
        <v>4535</v>
      </c>
      <c r="E3073" s="1507" t="s">
        <v>844</v>
      </c>
      <c r="F3073" s="1507"/>
      <c r="G3073" s="584" t="s">
        <v>845</v>
      </c>
      <c r="H3073" s="577">
        <v>4.1000000000000003E-3</v>
      </c>
      <c r="K3073" t="s">
        <v>1023</v>
      </c>
      <c r="L3073" t="s">
        <v>968</v>
      </c>
      <c r="P3073" t="s">
        <v>1036</v>
      </c>
      <c r="V3073">
        <v>55</v>
      </c>
    </row>
    <row r="3074" spans="1:22" customFormat="1" ht="15" x14ac:dyDescent="0.25">
      <c r="A3074" t="s">
        <v>217</v>
      </c>
      <c r="B3074" t="s">
        <v>4535</v>
      </c>
      <c r="E3074" s="1507" t="s">
        <v>846</v>
      </c>
      <c r="F3074" s="1507"/>
      <c r="G3074" s="584" t="s">
        <v>845</v>
      </c>
      <c r="H3074" s="577">
        <v>4.0000000000000002E-4</v>
      </c>
      <c r="K3074" t="s">
        <v>1023</v>
      </c>
      <c r="L3074" t="s">
        <v>968</v>
      </c>
      <c r="P3074" t="s">
        <v>1036</v>
      </c>
      <c r="V3074">
        <v>65</v>
      </c>
    </row>
    <row r="3075" spans="1:22" customFormat="1" ht="15" x14ac:dyDescent="0.25">
      <c r="A3075" t="s">
        <v>217</v>
      </c>
      <c r="B3075" t="s">
        <v>4535</v>
      </c>
      <c r="E3075" s="1507" t="s">
        <v>847</v>
      </c>
      <c r="F3075" s="1507"/>
      <c r="G3075" s="584" t="s">
        <v>845</v>
      </c>
      <c r="H3075" s="577">
        <v>1.5E-3</v>
      </c>
      <c r="K3075" t="s">
        <v>1023</v>
      </c>
      <c r="L3075" t="s">
        <v>968</v>
      </c>
      <c r="P3075" t="s">
        <v>1037</v>
      </c>
      <c r="V3075">
        <v>57</v>
      </c>
    </row>
    <row r="3076" spans="1:22" customFormat="1" ht="15" x14ac:dyDescent="0.25">
      <c r="A3076" t="s">
        <v>217</v>
      </c>
      <c r="B3076" t="s">
        <v>4535</v>
      </c>
      <c r="E3076" s="1507" t="s">
        <v>848</v>
      </c>
      <c r="F3076" s="1507"/>
      <c r="G3076" s="584" t="s">
        <v>777</v>
      </c>
      <c r="H3076" s="576">
        <v>0.25</v>
      </c>
      <c r="K3076" t="s">
        <v>1023</v>
      </c>
      <c r="L3076" t="s">
        <v>968</v>
      </c>
      <c r="P3076" t="s">
        <v>1038</v>
      </c>
      <c r="V3076">
        <v>63</v>
      </c>
    </row>
    <row r="3077" spans="1:22" customFormat="1" ht="15" x14ac:dyDescent="0.25">
      <c r="A3077" t="s">
        <v>217</v>
      </c>
      <c r="B3077" t="s">
        <v>4535</v>
      </c>
      <c r="E3077" s="1513" t="s">
        <v>6708</v>
      </c>
      <c r="F3077" s="1513"/>
      <c r="G3077" s="1513"/>
      <c r="H3077" s="1513"/>
      <c r="K3077" t="s">
        <v>6708</v>
      </c>
      <c r="V3077">
        <v>12</v>
      </c>
    </row>
    <row r="3078" spans="1:22" customFormat="1" x14ac:dyDescent="0.25">
      <c r="A3078" t="s">
        <v>217</v>
      </c>
      <c r="B3078" t="s">
        <v>4535</v>
      </c>
      <c r="E3078" s="1492" t="s">
        <v>202</v>
      </c>
      <c r="F3078" s="1493"/>
      <c r="G3078" s="1493"/>
      <c r="H3078" s="1493"/>
      <c r="K3078" t="s">
        <v>3811</v>
      </c>
      <c r="V3078">
        <v>38</v>
      </c>
    </row>
    <row r="3079" spans="1:22" customFormat="1" ht="15" x14ac:dyDescent="0.25">
      <c r="A3079" t="s">
        <v>217</v>
      </c>
      <c r="B3079" t="s">
        <v>4535</v>
      </c>
      <c r="E3079" s="1516" t="s">
        <v>4542</v>
      </c>
      <c r="F3079" s="1516"/>
      <c r="G3079" s="1516"/>
      <c r="H3079" s="1516"/>
      <c r="K3079" t="s">
        <v>3811</v>
      </c>
      <c r="V3079">
        <v>542</v>
      </c>
    </row>
    <row r="3080" spans="1:22" customFormat="1" ht="15" x14ac:dyDescent="0.25">
      <c r="A3080" t="s">
        <v>217</v>
      </c>
      <c r="B3080" t="s">
        <v>4535</v>
      </c>
      <c r="E3080" s="1515" t="s">
        <v>950</v>
      </c>
      <c r="F3080" s="1516"/>
      <c r="G3080" s="1516"/>
      <c r="H3080" s="1516"/>
      <c r="K3080" t="s">
        <v>1041</v>
      </c>
      <c r="V3080">
        <v>11</v>
      </c>
    </row>
    <row r="3081" spans="1:22" customFormat="1" ht="15" x14ac:dyDescent="0.25">
      <c r="A3081" t="s">
        <v>217</v>
      </c>
      <c r="B3081" t="s">
        <v>4535</v>
      </c>
      <c r="E3081" s="1516" t="s">
        <v>951</v>
      </c>
      <c r="F3081" s="1516"/>
      <c r="G3081" s="1516"/>
      <c r="H3081" s="1516"/>
      <c r="K3081" t="s">
        <v>3811</v>
      </c>
      <c r="V3081">
        <v>280</v>
      </c>
    </row>
    <row r="3082" spans="1:22" customFormat="1" ht="15" x14ac:dyDescent="0.25">
      <c r="A3082" t="s">
        <v>217</v>
      </c>
      <c r="B3082" t="s">
        <v>4535</v>
      </c>
      <c r="E3082" s="1516" t="s">
        <v>952</v>
      </c>
      <c r="F3082" s="1516"/>
      <c r="G3082" s="1516"/>
      <c r="H3082" s="1516"/>
      <c r="K3082" t="s">
        <v>3811</v>
      </c>
      <c r="V3082">
        <v>411</v>
      </c>
    </row>
    <row r="3083" spans="1:22" customFormat="1" ht="15" x14ac:dyDescent="0.25">
      <c r="A3083" t="s">
        <v>217</v>
      </c>
      <c r="B3083" t="s">
        <v>4535</v>
      </c>
      <c r="E3083" s="1516" t="s">
        <v>3761</v>
      </c>
      <c r="F3083" s="1516"/>
      <c r="G3083" s="1516"/>
      <c r="H3083" s="1516"/>
      <c r="K3083" t="s">
        <v>3811</v>
      </c>
      <c r="V3083">
        <v>387</v>
      </c>
    </row>
    <row r="3084" spans="1:22" customFormat="1" ht="15" x14ac:dyDescent="0.25">
      <c r="A3084" t="s">
        <v>217</v>
      </c>
      <c r="B3084" t="s">
        <v>4535</v>
      </c>
      <c r="E3084" s="1516" t="s">
        <v>3762</v>
      </c>
      <c r="F3084" s="1516"/>
      <c r="G3084" s="1516"/>
      <c r="H3084" s="1516"/>
      <c r="K3084" t="s">
        <v>3811</v>
      </c>
      <c r="V3084">
        <v>247</v>
      </c>
    </row>
    <row r="3085" spans="1:22" customFormat="1" ht="15" x14ac:dyDescent="0.25">
      <c r="A3085" t="s">
        <v>217</v>
      </c>
      <c r="B3085" t="s">
        <v>4535</v>
      </c>
      <c r="E3085" s="1515" t="s">
        <v>956</v>
      </c>
      <c r="F3085" s="1516"/>
      <c r="G3085" s="1516"/>
      <c r="H3085" s="1516"/>
      <c r="K3085" t="s">
        <v>1042</v>
      </c>
      <c r="V3085">
        <v>46</v>
      </c>
    </row>
    <row r="3086" spans="1:22" customFormat="1" ht="15" x14ac:dyDescent="0.25">
      <c r="A3086" t="s">
        <v>217</v>
      </c>
      <c r="B3086" t="s">
        <v>4535</v>
      </c>
      <c r="E3086" s="1507" t="s">
        <v>3773</v>
      </c>
      <c r="F3086" s="1507"/>
      <c r="G3086" s="584" t="s">
        <v>777</v>
      </c>
      <c r="H3086" s="576">
        <v>0.81</v>
      </c>
      <c r="K3086" t="s">
        <v>3811</v>
      </c>
      <c r="L3086" t="s">
        <v>690</v>
      </c>
      <c r="P3086" t="s">
        <v>3813</v>
      </c>
      <c r="V3086">
        <v>14</v>
      </c>
    </row>
    <row r="3087" spans="1:22" customFormat="1" ht="15" x14ac:dyDescent="0.25">
      <c r="A3087" t="s">
        <v>217</v>
      </c>
      <c r="B3087" t="s">
        <v>4535</v>
      </c>
      <c r="E3087" s="1507" t="s">
        <v>3688</v>
      </c>
      <c r="F3087" s="1507"/>
      <c r="G3087" s="584" t="s">
        <v>3775</v>
      </c>
      <c r="H3087" s="577">
        <v>5.4611999999999998</v>
      </c>
      <c r="K3087" t="s">
        <v>3811</v>
      </c>
      <c r="L3087" t="s">
        <v>690</v>
      </c>
      <c r="P3087" t="s">
        <v>3814</v>
      </c>
      <c r="V3087">
        <v>28</v>
      </c>
    </row>
    <row r="3088" spans="1:22" customFormat="1" ht="15" x14ac:dyDescent="0.25">
      <c r="A3088" t="s">
        <v>217</v>
      </c>
      <c r="B3088" t="s">
        <v>4535</v>
      </c>
      <c r="E3088" s="1507" t="s">
        <v>6617</v>
      </c>
      <c r="F3088" s="1510"/>
      <c r="G3088" s="584" t="s">
        <v>3775</v>
      </c>
      <c r="H3088" s="577">
        <v>6.4799999999999996E-2</v>
      </c>
      <c r="K3088" t="s">
        <v>3811</v>
      </c>
      <c r="L3088" t="s">
        <v>692</v>
      </c>
      <c r="P3088" t="s">
        <v>3816</v>
      </c>
      <c r="V3088">
        <v>149</v>
      </c>
    </row>
    <row r="3089" spans="1:22" customFormat="1" ht="15" x14ac:dyDescent="0.25">
      <c r="A3089" t="s">
        <v>217</v>
      </c>
      <c r="B3089" t="s">
        <v>4535</v>
      </c>
      <c r="E3089" s="1507" t="s">
        <v>6519</v>
      </c>
      <c r="F3089" s="1510"/>
      <c r="G3089" s="584" t="s">
        <v>845</v>
      </c>
      <c r="H3089" s="577">
        <v>2.8999999999999998E-3</v>
      </c>
      <c r="K3089" t="s">
        <v>3811</v>
      </c>
      <c r="L3089" t="s">
        <v>692</v>
      </c>
      <c r="P3089" t="s">
        <v>4543</v>
      </c>
      <c r="T3089">
        <v>46022</v>
      </c>
      <c r="V3089">
        <v>142</v>
      </c>
    </row>
    <row r="3090" spans="1:22" customFormat="1" ht="15" x14ac:dyDescent="0.25">
      <c r="A3090" t="s">
        <v>217</v>
      </c>
      <c r="B3090" t="s">
        <v>4535</v>
      </c>
      <c r="E3090" s="1507" t="s">
        <v>6520</v>
      </c>
      <c r="F3090" s="1510"/>
      <c r="G3090" s="584" t="s">
        <v>3775</v>
      </c>
      <c r="H3090" s="577">
        <v>-0.41520000000000001</v>
      </c>
      <c r="K3090" t="s">
        <v>3811</v>
      </c>
      <c r="L3090" t="s">
        <v>692</v>
      </c>
      <c r="P3090" t="s">
        <v>3817</v>
      </c>
      <c r="T3090">
        <v>46022</v>
      </c>
      <c r="V3090">
        <v>99</v>
      </c>
    </row>
    <row r="3091" spans="1:22" customFormat="1" ht="15" x14ac:dyDescent="0.25">
      <c r="A3091" t="s">
        <v>217</v>
      </c>
      <c r="B3091" t="s">
        <v>4535</v>
      </c>
      <c r="E3091" s="1507" t="s">
        <v>243</v>
      </c>
      <c r="F3091" s="1507"/>
      <c r="G3091" s="584" t="s">
        <v>3775</v>
      </c>
      <c r="H3091" s="577">
        <v>3.1345999999999998</v>
      </c>
      <c r="K3091" t="s">
        <v>3811</v>
      </c>
      <c r="L3091" t="s">
        <v>694</v>
      </c>
      <c r="P3091" t="s">
        <v>3818</v>
      </c>
      <c r="V3091">
        <v>47</v>
      </c>
    </row>
    <row r="3092" spans="1:22" customFormat="1" ht="15" x14ac:dyDescent="0.25">
      <c r="A3092" t="s">
        <v>217</v>
      </c>
      <c r="B3092" t="s">
        <v>4535</v>
      </c>
      <c r="E3092" s="1507" t="s">
        <v>175</v>
      </c>
      <c r="F3092" s="1507"/>
      <c r="G3092" s="584" t="s">
        <v>3775</v>
      </c>
      <c r="H3092" s="577">
        <v>0.55410000000000004</v>
      </c>
      <c r="K3092" t="s">
        <v>3811</v>
      </c>
      <c r="L3092" t="s">
        <v>694</v>
      </c>
      <c r="P3092" t="s">
        <v>3819</v>
      </c>
      <c r="V3092">
        <v>74</v>
      </c>
    </row>
    <row r="3093" spans="1:22" customFormat="1" ht="15" x14ac:dyDescent="0.25">
      <c r="A3093" t="s">
        <v>217</v>
      </c>
      <c r="B3093" t="s">
        <v>4535</v>
      </c>
      <c r="E3093" s="1515" t="s">
        <v>967</v>
      </c>
      <c r="F3093" s="1507"/>
      <c r="G3093" s="584"/>
      <c r="H3093" s="584"/>
      <c r="K3093" t="s">
        <v>1049</v>
      </c>
      <c r="V3093">
        <v>48</v>
      </c>
    </row>
    <row r="3094" spans="1:22" customFormat="1" ht="15" x14ac:dyDescent="0.25">
      <c r="A3094" t="s">
        <v>217</v>
      </c>
      <c r="B3094" t="s">
        <v>4535</v>
      </c>
      <c r="E3094" s="1507" t="s">
        <v>844</v>
      </c>
      <c r="F3094" s="1507"/>
      <c r="G3094" s="584" t="s">
        <v>845</v>
      </c>
      <c r="H3094" s="577">
        <v>4.1000000000000003E-3</v>
      </c>
      <c r="K3094" t="s">
        <v>3811</v>
      </c>
      <c r="L3094" t="s">
        <v>968</v>
      </c>
      <c r="P3094" t="s">
        <v>3820</v>
      </c>
      <c r="V3094">
        <v>55</v>
      </c>
    </row>
    <row r="3095" spans="1:22" customFormat="1" ht="15" x14ac:dyDescent="0.25">
      <c r="A3095" t="s">
        <v>217</v>
      </c>
      <c r="B3095" t="s">
        <v>4535</v>
      </c>
      <c r="E3095" s="1507" t="s">
        <v>846</v>
      </c>
      <c r="F3095" s="1507"/>
      <c r="G3095" s="584" t="s">
        <v>845</v>
      </c>
      <c r="H3095" s="577">
        <v>4.0000000000000002E-4</v>
      </c>
      <c r="K3095" t="s">
        <v>3811</v>
      </c>
      <c r="L3095" t="s">
        <v>968</v>
      </c>
      <c r="P3095" t="s">
        <v>3820</v>
      </c>
      <c r="V3095">
        <v>65</v>
      </c>
    </row>
    <row r="3096" spans="1:22" customFormat="1" ht="15" x14ac:dyDescent="0.25">
      <c r="A3096" t="s">
        <v>217</v>
      </c>
      <c r="B3096" t="s">
        <v>4535</v>
      </c>
      <c r="E3096" s="1507" t="s">
        <v>847</v>
      </c>
      <c r="F3096" s="1507"/>
      <c r="G3096" s="584" t="s">
        <v>845</v>
      </c>
      <c r="H3096" s="577">
        <v>1.5E-3</v>
      </c>
      <c r="K3096" t="s">
        <v>3811</v>
      </c>
      <c r="L3096" t="s">
        <v>968</v>
      </c>
      <c r="P3096" t="s">
        <v>3821</v>
      </c>
      <c r="V3096">
        <v>57</v>
      </c>
    </row>
    <row r="3097" spans="1:22" customFormat="1" ht="15" x14ac:dyDescent="0.25">
      <c r="A3097" t="s">
        <v>217</v>
      </c>
      <c r="B3097" t="s">
        <v>4535</v>
      </c>
      <c r="E3097" s="1507" t="s">
        <v>848</v>
      </c>
      <c r="F3097" s="1507"/>
      <c r="G3097" s="584" t="s">
        <v>777</v>
      </c>
      <c r="H3097" s="576">
        <v>0.25</v>
      </c>
      <c r="K3097" t="s">
        <v>3811</v>
      </c>
      <c r="L3097" t="s">
        <v>968</v>
      </c>
      <c r="P3097" t="s">
        <v>3822</v>
      </c>
      <c r="V3097">
        <v>63</v>
      </c>
    </row>
    <row r="3098" spans="1:22" customFormat="1" ht="15" x14ac:dyDescent="0.25">
      <c r="A3098" t="s">
        <v>217</v>
      </c>
      <c r="B3098" t="s">
        <v>4535</v>
      </c>
      <c r="E3098" s="1513" t="s">
        <v>6708</v>
      </c>
      <c r="F3098" s="1513"/>
      <c r="G3098" s="1513"/>
      <c r="H3098" s="1513"/>
      <c r="K3098" t="s">
        <v>6708</v>
      </c>
      <c r="V3098">
        <v>12</v>
      </c>
    </row>
    <row r="3099" spans="1:22" customFormat="1" x14ac:dyDescent="0.25">
      <c r="A3099" t="s">
        <v>217</v>
      </c>
      <c r="B3099" t="s">
        <v>4535</v>
      </c>
      <c r="E3099" s="1492" t="s">
        <v>4007</v>
      </c>
      <c r="F3099" s="1492"/>
      <c r="G3099" s="1492"/>
      <c r="H3099" s="1492"/>
      <c r="K3099" t="s">
        <v>4544</v>
      </c>
      <c r="V3099">
        <v>43</v>
      </c>
    </row>
    <row r="3100" spans="1:22" customFormat="1" ht="15" x14ac:dyDescent="0.25">
      <c r="A3100" t="s">
        <v>217</v>
      </c>
      <c r="B3100" t="s">
        <v>4535</v>
      </c>
      <c r="E3100" s="1516" t="s">
        <v>4545</v>
      </c>
      <c r="F3100" s="1516"/>
      <c r="G3100" s="1516"/>
      <c r="H3100" s="1516"/>
      <c r="K3100" t="s">
        <v>4544</v>
      </c>
      <c r="V3100">
        <v>250</v>
      </c>
    </row>
    <row r="3101" spans="1:22" customFormat="1" ht="15" x14ac:dyDescent="0.25">
      <c r="A3101" t="s">
        <v>217</v>
      </c>
      <c r="B3101" t="s">
        <v>4535</v>
      </c>
      <c r="E3101" s="1515" t="s">
        <v>950</v>
      </c>
      <c r="F3101" s="1516"/>
      <c r="G3101" s="1516"/>
      <c r="H3101" s="1516"/>
      <c r="K3101" t="s">
        <v>1055</v>
      </c>
      <c r="V3101">
        <v>11</v>
      </c>
    </row>
    <row r="3102" spans="1:22" customFormat="1" ht="15" x14ac:dyDescent="0.25">
      <c r="A3102" t="s">
        <v>217</v>
      </c>
      <c r="B3102" t="s">
        <v>4535</v>
      </c>
      <c r="E3102" s="1516" t="s">
        <v>951</v>
      </c>
      <c r="F3102" s="1516"/>
      <c r="G3102" s="1516"/>
      <c r="H3102" s="1516"/>
      <c r="K3102" t="s">
        <v>4544</v>
      </c>
      <c r="V3102">
        <v>280</v>
      </c>
    </row>
    <row r="3103" spans="1:22" customFormat="1" ht="15" x14ac:dyDescent="0.25">
      <c r="A3103" t="s">
        <v>217</v>
      </c>
      <c r="B3103" t="s">
        <v>4535</v>
      </c>
      <c r="E3103" s="1516" t="s">
        <v>952</v>
      </c>
      <c r="F3103" s="1516"/>
      <c r="G3103" s="1516"/>
      <c r="H3103" s="1516"/>
      <c r="K3103" t="s">
        <v>4544</v>
      </c>
      <c r="V3103">
        <v>411</v>
      </c>
    </row>
    <row r="3104" spans="1:22" customFormat="1" ht="15" x14ac:dyDescent="0.25">
      <c r="A3104" t="s">
        <v>217</v>
      </c>
      <c r="B3104" t="s">
        <v>4535</v>
      </c>
      <c r="E3104" s="1516" t="s">
        <v>1103</v>
      </c>
      <c r="F3104" s="1516"/>
      <c r="G3104" s="1516"/>
      <c r="H3104" s="1516"/>
      <c r="K3104" t="s">
        <v>4544</v>
      </c>
      <c r="V3104">
        <v>211</v>
      </c>
    </row>
    <row r="3105" spans="1:22" customFormat="1" ht="15" x14ac:dyDescent="0.25">
      <c r="A3105" t="s">
        <v>217</v>
      </c>
      <c r="B3105" t="s">
        <v>4535</v>
      </c>
      <c r="E3105" s="1516" t="s">
        <v>3762</v>
      </c>
      <c r="F3105" s="1516"/>
      <c r="G3105" s="1516"/>
      <c r="H3105" s="1516"/>
      <c r="K3105" t="s">
        <v>4544</v>
      </c>
      <c r="V3105">
        <v>247</v>
      </c>
    </row>
    <row r="3106" spans="1:22" customFormat="1" ht="15" x14ac:dyDescent="0.25">
      <c r="A3106" t="s">
        <v>217</v>
      </c>
      <c r="B3106" t="s">
        <v>4535</v>
      </c>
      <c r="E3106" s="1515" t="s">
        <v>956</v>
      </c>
      <c r="F3106" s="1516"/>
      <c r="G3106" s="1516"/>
      <c r="H3106" s="1516"/>
      <c r="K3106" t="s">
        <v>1056</v>
      </c>
      <c r="V3106">
        <v>46</v>
      </c>
    </row>
    <row r="3107" spans="1:22" customFormat="1" ht="15" x14ac:dyDescent="0.25">
      <c r="A3107" t="s">
        <v>217</v>
      </c>
      <c r="B3107" t="s">
        <v>4535</v>
      </c>
      <c r="E3107" s="1507" t="s">
        <v>6520</v>
      </c>
      <c r="F3107" s="1624"/>
      <c r="G3107" s="942" t="s">
        <v>3775</v>
      </c>
      <c r="H3107" s="866">
        <v>0.22370000000000001</v>
      </c>
      <c r="K3107" t="s">
        <v>4544</v>
      </c>
      <c r="L3107" t="s">
        <v>692</v>
      </c>
      <c r="P3107" t="s">
        <v>4548</v>
      </c>
      <c r="T3107">
        <v>46022</v>
      </c>
      <c r="V3107">
        <v>99</v>
      </c>
    </row>
    <row r="3108" spans="1:22" customFormat="1" ht="15" x14ac:dyDescent="0.25">
      <c r="A3108" t="s">
        <v>217</v>
      </c>
      <c r="B3108" t="s">
        <v>4535</v>
      </c>
      <c r="E3108" s="1507" t="s">
        <v>4546</v>
      </c>
      <c r="F3108" s="1507"/>
      <c r="G3108" s="584" t="s">
        <v>3775</v>
      </c>
      <c r="H3108" s="577">
        <v>2.8451</v>
      </c>
      <c r="K3108" t="s">
        <v>4544</v>
      </c>
      <c r="L3108" t="s">
        <v>690</v>
      </c>
      <c r="P3108" t="s">
        <v>4547</v>
      </c>
      <c r="V3108">
        <v>62</v>
      </c>
    </row>
    <row r="3109" spans="1:22" customFormat="1" ht="15" x14ac:dyDescent="0.25">
      <c r="A3109" t="s">
        <v>217</v>
      </c>
      <c r="B3109" t="s">
        <v>4535</v>
      </c>
      <c r="E3109" s="1507" t="s">
        <v>243</v>
      </c>
      <c r="F3109" s="1507"/>
      <c r="G3109" s="584" t="s">
        <v>3775</v>
      </c>
      <c r="H3109" s="577">
        <v>4.8604000000000003</v>
      </c>
      <c r="K3109" t="s">
        <v>4544</v>
      </c>
      <c r="L3109" t="s">
        <v>694</v>
      </c>
      <c r="P3109" t="s">
        <v>4549</v>
      </c>
      <c r="V3109">
        <v>47</v>
      </c>
    </row>
    <row r="3110" spans="1:22" customFormat="1" ht="15" x14ac:dyDescent="0.25">
      <c r="A3110" t="s">
        <v>217</v>
      </c>
      <c r="B3110" t="s">
        <v>4535</v>
      </c>
      <c r="E3110" s="1507" t="s">
        <v>175</v>
      </c>
      <c r="F3110" s="1507"/>
      <c r="G3110" s="584" t="s">
        <v>3775</v>
      </c>
      <c r="H3110" s="577">
        <v>0.85860000000000003</v>
      </c>
      <c r="K3110" t="s">
        <v>4544</v>
      </c>
      <c r="L3110" t="s">
        <v>694</v>
      </c>
      <c r="P3110" t="s">
        <v>4550</v>
      </c>
      <c r="V3110">
        <v>74</v>
      </c>
    </row>
    <row r="3111" spans="1:22" customFormat="1" ht="15" x14ac:dyDescent="0.25">
      <c r="A3111" t="s">
        <v>217</v>
      </c>
      <c r="B3111" t="s">
        <v>4535</v>
      </c>
      <c r="E3111" s="1513" t="s">
        <v>6708</v>
      </c>
      <c r="F3111" s="1513"/>
      <c r="G3111" s="1513"/>
      <c r="H3111" s="1513"/>
      <c r="K3111" t="s">
        <v>6708</v>
      </c>
      <c r="V3111">
        <v>12</v>
      </c>
    </row>
    <row r="3112" spans="1:22" customFormat="1" x14ac:dyDescent="0.25">
      <c r="A3112" t="s">
        <v>217</v>
      </c>
      <c r="B3112" t="s">
        <v>4535</v>
      </c>
      <c r="E3112" s="1492" t="s">
        <v>207</v>
      </c>
      <c r="F3112" s="1493"/>
      <c r="G3112" s="1493"/>
      <c r="H3112" s="1493"/>
      <c r="K3112" t="s">
        <v>1069</v>
      </c>
      <c r="V3112">
        <v>31</v>
      </c>
    </row>
    <row r="3113" spans="1:22" customFormat="1" ht="15" x14ac:dyDescent="0.25">
      <c r="A3113" t="s">
        <v>217</v>
      </c>
      <c r="B3113" t="s">
        <v>4535</v>
      </c>
      <c r="E3113" s="1516" t="s">
        <v>4551</v>
      </c>
      <c r="F3113" s="1516"/>
      <c r="G3113" s="1516"/>
      <c r="H3113" s="1516"/>
      <c r="K3113" t="s">
        <v>1069</v>
      </c>
      <c r="V3113">
        <v>285</v>
      </c>
    </row>
    <row r="3114" spans="1:22" customFormat="1" ht="15" x14ac:dyDescent="0.25">
      <c r="A3114" t="s">
        <v>217</v>
      </c>
      <c r="B3114" t="s">
        <v>4535</v>
      </c>
      <c r="E3114" s="1515" t="s">
        <v>950</v>
      </c>
      <c r="F3114" s="1516"/>
      <c r="G3114" s="1516"/>
      <c r="H3114" s="1516"/>
      <c r="K3114" t="s">
        <v>1071</v>
      </c>
      <c r="V3114">
        <v>11</v>
      </c>
    </row>
    <row r="3115" spans="1:22" customFormat="1" ht="15" x14ac:dyDescent="0.25">
      <c r="A3115" t="s">
        <v>217</v>
      </c>
      <c r="B3115" t="s">
        <v>4535</v>
      </c>
      <c r="E3115" s="1516" t="s">
        <v>951</v>
      </c>
      <c r="F3115" s="1516"/>
      <c r="G3115" s="1516"/>
      <c r="H3115" s="1516"/>
      <c r="K3115" t="s">
        <v>1069</v>
      </c>
      <c r="V3115">
        <v>280</v>
      </c>
    </row>
    <row r="3116" spans="1:22" customFormat="1" ht="15" x14ac:dyDescent="0.25">
      <c r="A3116" t="s">
        <v>217</v>
      </c>
      <c r="B3116" t="s">
        <v>4535</v>
      </c>
      <c r="E3116" s="1516" t="s">
        <v>952</v>
      </c>
      <c r="F3116" s="1516"/>
      <c r="G3116" s="1516"/>
      <c r="H3116" s="1516"/>
      <c r="K3116" t="s">
        <v>1069</v>
      </c>
      <c r="V3116">
        <v>411</v>
      </c>
    </row>
    <row r="3117" spans="1:22" customFormat="1" ht="15" x14ac:dyDescent="0.25">
      <c r="A3117" t="s">
        <v>217</v>
      </c>
      <c r="B3117" t="s">
        <v>4535</v>
      </c>
      <c r="E3117" s="1516" t="s">
        <v>1103</v>
      </c>
      <c r="F3117" s="1516"/>
      <c r="G3117" s="1516"/>
      <c r="H3117" s="1516"/>
      <c r="K3117" t="s">
        <v>1069</v>
      </c>
      <c r="V3117">
        <v>211</v>
      </c>
    </row>
    <row r="3118" spans="1:22" customFormat="1" ht="15" x14ac:dyDescent="0.25">
      <c r="A3118" t="s">
        <v>217</v>
      </c>
      <c r="B3118" t="s">
        <v>4535</v>
      </c>
      <c r="E3118" s="1516" t="s">
        <v>3762</v>
      </c>
      <c r="F3118" s="1516"/>
      <c r="G3118" s="1516"/>
      <c r="H3118" s="1516"/>
      <c r="K3118" t="s">
        <v>1069</v>
      </c>
      <c r="V3118">
        <v>247</v>
      </c>
    </row>
    <row r="3119" spans="1:22" customFormat="1" ht="15" x14ac:dyDescent="0.25">
      <c r="A3119" t="s">
        <v>217</v>
      </c>
      <c r="B3119" t="s">
        <v>4535</v>
      </c>
      <c r="E3119" s="1515" t="s">
        <v>956</v>
      </c>
      <c r="F3119" s="1516"/>
      <c r="G3119" s="1516"/>
      <c r="H3119" s="1516"/>
      <c r="K3119" t="s">
        <v>1075</v>
      </c>
      <c r="V3119">
        <v>46</v>
      </c>
    </row>
    <row r="3120" spans="1:22" customFormat="1" ht="15" x14ac:dyDescent="0.25">
      <c r="A3120" t="s">
        <v>217</v>
      </c>
      <c r="B3120" t="s">
        <v>4535</v>
      </c>
      <c r="E3120" s="1507" t="s">
        <v>3773</v>
      </c>
      <c r="F3120" s="1507"/>
      <c r="G3120" s="584" t="s">
        <v>777</v>
      </c>
      <c r="H3120" s="576">
        <v>5</v>
      </c>
      <c r="K3120" t="s">
        <v>1069</v>
      </c>
      <c r="L3120" t="s">
        <v>690</v>
      </c>
      <c r="P3120" t="s">
        <v>1076</v>
      </c>
      <c r="V3120">
        <v>14</v>
      </c>
    </row>
    <row r="3121" spans="1:22" customFormat="1" ht="15" x14ac:dyDescent="0.25">
      <c r="A3121" t="s">
        <v>217</v>
      </c>
      <c r="B3121" t="s">
        <v>4535</v>
      </c>
      <c r="E3121" s="1513" t="s">
        <v>6708</v>
      </c>
      <c r="F3121" s="1513"/>
      <c r="G3121" s="1513"/>
      <c r="H3121" s="1513"/>
      <c r="K3121" t="s">
        <v>6708</v>
      </c>
      <c r="V3121">
        <v>12</v>
      </c>
    </row>
    <row r="3122" spans="1:22" customFormat="1" x14ac:dyDescent="0.25">
      <c r="A3122" t="s">
        <v>217</v>
      </c>
      <c r="B3122" t="s">
        <v>4535</v>
      </c>
      <c r="E3122" s="1492" t="s">
        <v>4002</v>
      </c>
      <c r="F3122" s="1493"/>
      <c r="G3122" s="1493"/>
      <c r="H3122" s="1493"/>
      <c r="K3122" t="s">
        <v>4552</v>
      </c>
      <c r="V3122">
        <v>36</v>
      </c>
    </row>
    <row r="3123" spans="1:22" customFormat="1" ht="15" x14ac:dyDescent="0.25">
      <c r="A3123" t="s">
        <v>217</v>
      </c>
      <c r="B3123" t="s">
        <v>4535</v>
      </c>
      <c r="E3123" s="1516" t="s">
        <v>4553</v>
      </c>
      <c r="F3123" s="1516"/>
      <c r="G3123" s="1516"/>
      <c r="H3123" s="1516"/>
      <c r="K3123" t="s">
        <v>4552</v>
      </c>
      <c r="V3123">
        <v>495</v>
      </c>
    </row>
    <row r="3124" spans="1:22" customFormat="1" ht="15" x14ac:dyDescent="0.25">
      <c r="A3124" t="s">
        <v>217</v>
      </c>
      <c r="B3124" t="s">
        <v>4535</v>
      </c>
      <c r="E3124" s="1515" t="s">
        <v>950</v>
      </c>
      <c r="F3124" s="1516"/>
      <c r="G3124" s="1516"/>
      <c r="H3124" s="1516"/>
      <c r="K3124" t="s">
        <v>3904</v>
      </c>
      <c r="V3124">
        <v>11</v>
      </c>
    </row>
    <row r="3125" spans="1:22" customFormat="1" ht="15" x14ac:dyDescent="0.25">
      <c r="A3125" t="s">
        <v>217</v>
      </c>
      <c r="B3125" t="s">
        <v>4535</v>
      </c>
      <c r="E3125" s="1516" t="s">
        <v>951</v>
      </c>
      <c r="F3125" s="1516"/>
      <c r="G3125" s="1516"/>
      <c r="H3125" s="1516"/>
      <c r="K3125" t="s">
        <v>4552</v>
      </c>
      <c r="V3125">
        <v>280</v>
      </c>
    </row>
    <row r="3126" spans="1:22" customFormat="1" ht="15" x14ac:dyDescent="0.25">
      <c r="A3126" t="s">
        <v>217</v>
      </c>
      <c r="B3126" t="s">
        <v>4535</v>
      </c>
      <c r="E3126" s="1516" t="s">
        <v>952</v>
      </c>
      <c r="F3126" s="1516"/>
      <c r="G3126" s="1516"/>
      <c r="H3126" s="1516"/>
      <c r="K3126" t="s">
        <v>4552</v>
      </c>
      <c r="V3126">
        <v>411</v>
      </c>
    </row>
    <row r="3127" spans="1:22" customFormat="1" ht="15" x14ac:dyDescent="0.25">
      <c r="A3127" t="s">
        <v>217</v>
      </c>
      <c r="B3127" t="s">
        <v>4535</v>
      </c>
      <c r="E3127" s="1516" t="s">
        <v>1103</v>
      </c>
      <c r="F3127" s="1516"/>
      <c r="G3127" s="1516"/>
      <c r="H3127" s="1516"/>
      <c r="K3127" t="s">
        <v>4552</v>
      </c>
      <c r="V3127">
        <v>211</v>
      </c>
    </row>
    <row r="3128" spans="1:22" customFormat="1" ht="15" x14ac:dyDescent="0.25">
      <c r="A3128" t="s">
        <v>217</v>
      </c>
      <c r="B3128" t="s">
        <v>4535</v>
      </c>
      <c r="E3128" s="1516" t="s">
        <v>3762</v>
      </c>
      <c r="F3128" s="1516"/>
      <c r="G3128" s="1516"/>
      <c r="H3128" s="1516"/>
      <c r="K3128" t="s">
        <v>4552</v>
      </c>
      <c r="V3128">
        <v>247</v>
      </c>
    </row>
    <row r="3129" spans="1:22" customFormat="1" ht="15" x14ac:dyDescent="0.25">
      <c r="A3129" t="s">
        <v>217</v>
      </c>
      <c r="B3129" t="s">
        <v>4535</v>
      </c>
      <c r="E3129" s="1515" t="s">
        <v>4005</v>
      </c>
      <c r="F3129" s="1516"/>
      <c r="G3129" s="1516"/>
      <c r="H3129" s="1516"/>
      <c r="K3129" t="s">
        <v>3905</v>
      </c>
      <c r="V3129">
        <v>77</v>
      </c>
    </row>
    <row r="3130" spans="1:22" customFormat="1" ht="15" x14ac:dyDescent="0.25">
      <c r="A3130" t="s">
        <v>217</v>
      </c>
      <c r="B3130" t="s">
        <v>4535</v>
      </c>
      <c r="E3130" s="1507" t="s">
        <v>4554</v>
      </c>
      <c r="F3130" s="1507"/>
      <c r="G3130" s="1507"/>
      <c r="H3130" s="1507"/>
      <c r="K3130" t="s">
        <v>4552</v>
      </c>
      <c r="V3130">
        <v>259</v>
      </c>
    </row>
    <row r="3131" spans="1:22" customFormat="1" ht="15" x14ac:dyDescent="0.25">
      <c r="A3131" t="s">
        <v>217</v>
      </c>
      <c r="B3131" t="s">
        <v>4535</v>
      </c>
      <c r="E3131" s="1513" t="s">
        <v>6708</v>
      </c>
      <c r="F3131" s="1513"/>
      <c r="G3131" s="1513"/>
      <c r="H3131" s="1513"/>
      <c r="K3131" t="s">
        <v>6708</v>
      </c>
      <c r="V3131">
        <v>12</v>
      </c>
    </row>
    <row r="3132" spans="1:22" customFormat="1" ht="18.75" x14ac:dyDescent="0.25">
      <c r="A3132" t="s">
        <v>217</v>
      </c>
      <c r="B3132" t="s">
        <v>4535</v>
      </c>
      <c r="E3132" s="685" t="s">
        <v>3825</v>
      </c>
      <c r="F3132" s="386"/>
      <c r="G3132" s="386"/>
      <c r="H3132" s="655"/>
      <c r="K3132" t="s">
        <v>4555</v>
      </c>
      <c r="V3132">
        <v>10</v>
      </c>
    </row>
    <row r="3133" spans="1:22" customFormat="1" ht="15" x14ac:dyDescent="0.25">
      <c r="A3133" t="s">
        <v>217</v>
      </c>
      <c r="B3133" t="s">
        <v>4535</v>
      </c>
      <c r="E3133" s="1507" t="s">
        <v>1078</v>
      </c>
      <c r="F3133" s="1507"/>
      <c r="G3133" s="584" t="s">
        <v>3775</v>
      </c>
      <c r="H3133" s="577">
        <v>-0.6</v>
      </c>
      <c r="V3133">
        <v>68</v>
      </c>
    </row>
    <row r="3134" spans="1:22" customFormat="1" ht="15" x14ac:dyDescent="0.25">
      <c r="A3134" t="s">
        <v>217</v>
      </c>
      <c r="B3134" t="s">
        <v>4535</v>
      </c>
      <c r="E3134" s="1507" t="s">
        <v>1079</v>
      </c>
      <c r="F3134" s="1507"/>
      <c r="G3134" s="584" t="s">
        <v>1118</v>
      </c>
      <c r="H3134" s="576">
        <v>-1</v>
      </c>
      <c r="V3134">
        <v>87</v>
      </c>
    </row>
    <row r="3135" spans="1:22" customFormat="1" ht="36" x14ac:dyDescent="0.25">
      <c r="A3135" t="s">
        <v>217</v>
      </c>
      <c r="B3135" t="s">
        <v>4535</v>
      </c>
      <c r="E3135" s="836" t="s">
        <v>3828</v>
      </c>
      <c r="F3135" s="386"/>
      <c r="G3135" s="386"/>
      <c r="H3135" s="655"/>
      <c r="K3135" t="s">
        <v>4556</v>
      </c>
      <c r="V3135">
        <v>24</v>
      </c>
    </row>
    <row r="3136" spans="1:22" customFormat="1" ht="15" x14ac:dyDescent="0.25">
      <c r="A3136" t="s">
        <v>217</v>
      </c>
      <c r="B3136" t="s">
        <v>4535</v>
      </c>
      <c r="E3136" s="1549" t="s">
        <v>950</v>
      </c>
      <c r="F3136" s="1516"/>
      <c r="G3136" s="1516"/>
      <c r="H3136" s="1516"/>
      <c r="V3136">
        <v>11</v>
      </c>
    </row>
    <row r="3137" spans="1:22" customFormat="1" ht="15" x14ac:dyDescent="0.25">
      <c r="A3137" t="s">
        <v>217</v>
      </c>
      <c r="B3137" t="s">
        <v>4535</v>
      </c>
      <c r="E3137" s="1516" t="s">
        <v>951</v>
      </c>
      <c r="F3137" s="1516"/>
      <c r="G3137" s="1516"/>
      <c r="H3137" s="1516"/>
      <c r="V3137">
        <v>280</v>
      </c>
    </row>
    <row r="3138" spans="1:22" customFormat="1" ht="15" x14ac:dyDescent="0.25">
      <c r="A3138" t="s">
        <v>217</v>
      </c>
      <c r="B3138" t="s">
        <v>4535</v>
      </c>
      <c r="E3138" s="1516" t="s">
        <v>1081</v>
      </c>
      <c r="F3138" s="1516"/>
      <c r="G3138" s="1516"/>
      <c r="H3138" s="1516"/>
      <c r="V3138">
        <v>353</v>
      </c>
    </row>
    <row r="3139" spans="1:22" customFormat="1" ht="15" x14ac:dyDescent="0.25">
      <c r="A3139" t="s">
        <v>217</v>
      </c>
      <c r="B3139" t="s">
        <v>4535</v>
      </c>
      <c r="E3139" s="1516" t="s">
        <v>3762</v>
      </c>
      <c r="F3139" s="1516"/>
      <c r="G3139" s="1516"/>
      <c r="H3139" s="1516"/>
      <c r="V3139">
        <v>247</v>
      </c>
    </row>
    <row r="3140" spans="1:22" customFormat="1" ht="15" x14ac:dyDescent="0.25">
      <c r="A3140" t="s">
        <v>217</v>
      </c>
      <c r="B3140" t="s">
        <v>4535</v>
      </c>
      <c r="E3140" s="835" t="s">
        <v>3830</v>
      </c>
      <c r="F3140" s="359"/>
      <c r="G3140" s="359"/>
      <c r="H3140" s="692"/>
      <c r="K3140" t="s">
        <v>4557</v>
      </c>
      <c r="V3140">
        <v>23</v>
      </c>
    </row>
    <row r="3141" spans="1:22" customFormat="1" ht="15" x14ac:dyDescent="0.25">
      <c r="A3141" t="s">
        <v>217</v>
      </c>
      <c r="B3141" t="s">
        <v>4535</v>
      </c>
      <c r="E3141" s="1517" t="s">
        <v>3836</v>
      </c>
      <c r="F3141" s="1517"/>
      <c r="G3141" s="584" t="s">
        <v>777</v>
      </c>
      <c r="H3141" s="576">
        <v>15</v>
      </c>
      <c r="V3141">
        <v>35</v>
      </c>
    </row>
    <row r="3142" spans="1:22" customFormat="1" ht="15" x14ac:dyDescent="0.25">
      <c r="A3142" t="s">
        <v>217</v>
      </c>
      <c r="B3142" t="s">
        <v>4535</v>
      </c>
      <c r="E3142" s="1517" t="s">
        <v>3837</v>
      </c>
      <c r="F3142" s="1517"/>
      <c r="G3142" s="584" t="s">
        <v>777</v>
      </c>
      <c r="H3142" s="576">
        <v>20</v>
      </c>
      <c r="V3142">
        <v>89</v>
      </c>
    </row>
    <row r="3143" spans="1:22" customFormat="1" ht="15" x14ac:dyDescent="0.25">
      <c r="A3143" t="s">
        <v>217</v>
      </c>
      <c r="B3143" t="s">
        <v>4535</v>
      </c>
      <c r="E3143" s="1517" t="s">
        <v>3838</v>
      </c>
      <c r="F3143" s="1517"/>
      <c r="G3143" s="584" t="s">
        <v>777</v>
      </c>
      <c r="H3143" s="576">
        <v>30</v>
      </c>
      <c r="V3143">
        <v>74</v>
      </c>
    </row>
    <row r="3144" spans="1:22" customFormat="1" ht="15" x14ac:dyDescent="0.25">
      <c r="A3144" t="s">
        <v>217</v>
      </c>
      <c r="B3144" t="s">
        <v>4535</v>
      </c>
      <c r="E3144" s="835" t="s">
        <v>4062</v>
      </c>
      <c r="F3144" s="359"/>
      <c r="G3144" s="359"/>
      <c r="H3144" s="692"/>
      <c r="K3144" t="s">
        <v>4558</v>
      </c>
      <c r="V3144">
        <v>22</v>
      </c>
    </row>
    <row r="3145" spans="1:22" customFormat="1" ht="15" x14ac:dyDescent="0.25">
      <c r="A3145" t="s">
        <v>217</v>
      </c>
      <c r="B3145" t="s">
        <v>4535</v>
      </c>
      <c r="E3145" s="1517" t="s">
        <v>4064</v>
      </c>
      <c r="F3145" s="1517"/>
      <c r="G3145" s="584" t="s">
        <v>1118</v>
      </c>
      <c r="H3145" s="576">
        <v>1.5</v>
      </c>
      <c r="V3145">
        <v>99</v>
      </c>
    </row>
    <row r="3146" spans="1:22" customFormat="1" ht="15" x14ac:dyDescent="0.25">
      <c r="A3146" t="s">
        <v>217</v>
      </c>
      <c r="B3146" t="s">
        <v>4535</v>
      </c>
      <c r="E3146" s="1517" t="s">
        <v>3842</v>
      </c>
      <c r="F3146" s="1517"/>
      <c r="G3146" s="584" t="s">
        <v>777</v>
      </c>
      <c r="H3146" s="576">
        <v>65</v>
      </c>
      <c r="V3146">
        <v>44</v>
      </c>
    </row>
    <row r="3147" spans="1:22" customFormat="1" ht="15" x14ac:dyDescent="0.25">
      <c r="A3147" t="s">
        <v>217</v>
      </c>
      <c r="B3147" t="s">
        <v>4535</v>
      </c>
      <c r="E3147" s="1517" t="s">
        <v>3843</v>
      </c>
      <c r="F3147" s="1517"/>
      <c r="G3147" s="584" t="s">
        <v>777</v>
      </c>
      <c r="H3147" s="576">
        <v>185</v>
      </c>
      <c r="V3147">
        <v>43</v>
      </c>
    </row>
    <row r="3148" spans="1:22" customFormat="1" ht="15" x14ac:dyDescent="0.25">
      <c r="A3148" t="s">
        <v>217</v>
      </c>
      <c r="B3148" t="s">
        <v>4535</v>
      </c>
      <c r="E3148" s="1517" t="s">
        <v>3844</v>
      </c>
      <c r="F3148" s="1517"/>
      <c r="G3148" s="584" t="s">
        <v>777</v>
      </c>
      <c r="H3148" s="576">
        <v>95</v>
      </c>
      <c r="V3148">
        <v>43</v>
      </c>
    </row>
    <row r="3149" spans="1:22" customFormat="1" ht="15" x14ac:dyDescent="0.25">
      <c r="A3149" t="s">
        <v>217</v>
      </c>
      <c r="B3149" t="s">
        <v>4535</v>
      </c>
      <c r="E3149" s="835" t="s">
        <v>3846</v>
      </c>
      <c r="F3149" s="359"/>
      <c r="G3149" s="359"/>
      <c r="H3149" s="692"/>
      <c r="V3149">
        <v>5</v>
      </c>
    </row>
    <row r="3150" spans="1:22" customFormat="1" ht="15" x14ac:dyDescent="0.25">
      <c r="A3150" t="s">
        <v>217</v>
      </c>
      <c r="B3150" t="s">
        <v>4535</v>
      </c>
      <c r="E3150" s="1517" t="s">
        <v>4559</v>
      </c>
      <c r="F3150" s="1517"/>
      <c r="G3150" s="584" t="s">
        <v>777</v>
      </c>
      <c r="H3150" s="576">
        <v>355</v>
      </c>
      <c r="V3150">
        <v>35</v>
      </c>
    </row>
    <row r="3151" spans="1:22" customFormat="1" ht="15" x14ac:dyDescent="0.25">
      <c r="A3151" t="s">
        <v>217</v>
      </c>
      <c r="B3151" t="s">
        <v>4535</v>
      </c>
      <c r="E3151" s="1517" t="s">
        <v>3847</v>
      </c>
      <c r="F3151" s="1517"/>
      <c r="G3151" s="584" t="s">
        <v>777</v>
      </c>
      <c r="H3151" s="576">
        <v>105</v>
      </c>
      <c r="V3151">
        <v>34</v>
      </c>
    </row>
    <row r="3152" spans="1:22" customFormat="1" ht="15" x14ac:dyDescent="0.25">
      <c r="A3152" t="s">
        <v>217</v>
      </c>
      <c r="B3152" t="s">
        <v>4535</v>
      </c>
      <c r="E3152" s="1517" t="s">
        <v>4560</v>
      </c>
      <c r="F3152" s="1517"/>
      <c r="G3152" s="389" t="s">
        <v>777</v>
      </c>
      <c r="H3152" s="391">
        <v>39.14</v>
      </c>
      <c r="V3152">
        <v>104</v>
      </c>
    </row>
    <row r="3153" spans="1:22" customFormat="1" ht="15" x14ac:dyDescent="0.25">
      <c r="A3153" t="s">
        <v>217</v>
      </c>
      <c r="B3153" t="s">
        <v>4535</v>
      </c>
      <c r="E3153" s="1513" t="s">
        <v>6708</v>
      </c>
      <c r="F3153" s="1513"/>
      <c r="G3153" s="1513"/>
      <c r="H3153" s="1513"/>
      <c r="K3153" t="s">
        <v>6708</v>
      </c>
      <c r="V3153">
        <v>12</v>
      </c>
    </row>
    <row r="3154" spans="1:22" customFormat="1" x14ac:dyDescent="0.25">
      <c r="A3154" t="s">
        <v>217</v>
      </c>
      <c r="B3154" t="s">
        <v>4535</v>
      </c>
      <c r="E3154" s="1492" t="s">
        <v>3851</v>
      </c>
      <c r="F3154" s="1493"/>
      <c r="G3154" s="1493"/>
      <c r="H3154" s="1493"/>
      <c r="K3154" t="s">
        <v>4561</v>
      </c>
      <c r="V3154">
        <v>38</v>
      </c>
    </row>
    <row r="3155" spans="1:22" customFormat="1" ht="15" x14ac:dyDescent="0.25">
      <c r="A3155" t="s">
        <v>217</v>
      </c>
      <c r="B3155" t="s">
        <v>4535</v>
      </c>
      <c r="E3155" s="1549" t="s">
        <v>950</v>
      </c>
      <c r="F3155" s="1516"/>
      <c r="G3155" s="1516"/>
      <c r="H3155" s="1516"/>
      <c r="K3155" t="s">
        <v>3904</v>
      </c>
      <c r="V3155">
        <v>11</v>
      </c>
    </row>
    <row r="3156" spans="1:22" customFormat="1" ht="15" x14ac:dyDescent="0.25">
      <c r="A3156" t="s">
        <v>217</v>
      </c>
      <c r="B3156" t="s">
        <v>4535</v>
      </c>
      <c r="E3156" s="1516" t="s">
        <v>951</v>
      </c>
      <c r="F3156" s="1516"/>
      <c r="G3156" s="1516"/>
      <c r="H3156" s="1516"/>
      <c r="V3156">
        <v>280</v>
      </c>
    </row>
    <row r="3157" spans="1:22" customFormat="1" ht="15" x14ac:dyDescent="0.25">
      <c r="A3157" t="s">
        <v>217</v>
      </c>
      <c r="B3157" t="s">
        <v>4535</v>
      </c>
      <c r="E3157" s="1516" t="s">
        <v>952</v>
      </c>
      <c r="F3157" s="1516"/>
      <c r="G3157" s="1516"/>
      <c r="H3157" s="1516"/>
      <c r="V3157">
        <v>411</v>
      </c>
    </row>
    <row r="3158" spans="1:22" customFormat="1" ht="15" x14ac:dyDescent="0.25">
      <c r="A3158" t="s">
        <v>217</v>
      </c>
      <c r="B3158" t="s">
        <v>4535</v>
      </c>
      <c r="E3158" s="1516" t="s">
        <v>1103</v>
      </c>
      <c r="F3158" s="1516"/>
      <c r="G3158" s="1516"/>
      <c r="H3158" s="1516"/>
      <c r="V3158">
        <v>211</v>
      </c>
    </row>
    <row r="3159" spans="1:22" customFormat="1" ht="15" x14ac:dyDescent="0.25">
      <c r="A3159" t="s">
        <v>217</v>
      </c>
      <c r="B3159" t="s">
        <v>4535</v>
      </c>
      <c r="E3159" s="1516" t="s">
        <v>3762</v>
      </c>
      <c r="F3159" s="1516"/>
      <c r="G3159" s="1516"/>
      <c r="H3159" s="1516"/>
      <c r="V3159">
        <v>247</v>
      </c>
    </row>
    <row r="3160" spans="1:22" customFormat="1" ht="15" x14ac:dyDescent="0.25">
      <c r="A3160" t="s">
        <v>217</v>
      </c>
      <c r="B3160" t="s">
        <v>4535</v>
      </c>
      <c r="E3160" s="1507" t="s">
        <v>1104</v>
      </c>
      <c r="F3160" s="1507"/>
      <c r="G3160" s="1507"/>
      <c r="H3160" s="1507"/>
      <c r="V3160">
        <v>142</v>
      </c>
    </row>
    <row r="3161" spans="1:22" customFormat="1" ht="15" x14ac:dyDescent="0.25">
      <c r="A3161" t="s">
        <v>217</v>
      </c>
      <c r="B3161" t="s">
        <v>4535</v>
      </c>
      <c r="E3161" s="1507" t="s">
        <v>849</v>
      </c>
      <c r="F3161" s="1507"/>
      <c r="G3161" s="584" t="s">
        <v>777</v>
      </c>
      <c r="H3161" s="576">
        <v>121.23</v>
      </c>
      <c r="V3161">
        <v>106</v>
      </c>
    </row>
    <row r="3162" spans="1:22" customFormat="1" ht="15" x14ac:dyDescent="0.25">
      <c r="A3162" t="s">
        <v>217</v>
      </c>
      <c r="B3162" t="s">
        <v>4535</v>
      </c>
      <c r="E3162" s="1507" t="s">
        <v>850</v>
      </c>
      <c r="F3162" s="1507"/>
      <c r="G3162" s="582" t="s">
        <v>777</v>
      </c>
      <c r="H3162" s="267">
        <v>48.5</v>
      </c>
      <c r="V3162">
        <v>34</v>
      </c>
    </row>
    <row r="3163" spans="1:22" customFormat="1" ht="15" x14ac:dyDescent="0.25">
      <c r="A3163" t="s">
        <v>217</v>
      </c>
      <c r="B3163" t="s">
        <v>4535</v>
      </c>
      <c r="E3163" s="1507" t="s">
        <v>851</v>
      </c>
      <c r="F3163" s="1507"/>
      <c r="G3163" s="582" t="s">
        <v>852</v>
      </c>
      <c r="H3163" s="267">
        <v>1.2</v>
      </c>
      <c r="V3163">
        <v>51</v>
      </c>
    </row>
    <row r="3164" spans="1:22" customFormat="1" ht="15" x14ac:dyDescent="0.25">
      <c r="A3164" t="s">
        <v>217</v>
      </c>
      <c r="B3164" t="s">
        <v>4535</v>
      </c>
      <c r="E3164" s="1507" t="s">
        <v>853</v>
      </c>
      <c r="F3164" s="1507"/>
      <c r="G3164" s="582" t="s">
        <v>852</v>
      </c>
      <c r="H3164" s="267">
        <v>0.71</v>
      </c>
      <c r="V3164">
        <v>75</v>
      </c>
    </row>
    <row r="3165" spans="1:22" customFormat="1" ht="33.75" x14ac:dyDescent="0.25">
      <c r="A3165" t="s">
        <v>217</v>
      </c>
      <c r="B3165" t="s">
        <v>4535</v>
      </c>
      <c r="E3165" s="887" t="s">
        <v>6709</v>
      </c>
      <c r="F3165" s="853"/>
      <c r="G3165" s="582" t="s">
        <v>852</v>
      </c>
      <c r="H3165" s="267">
        <v>-0.71</v>
      </c>
      <c r="V3165">
        <v>108</v>
      </c>
    </row>
    <row r="3166" spans="1:22" customFormat="1" ht="15" x14ac:dyDescent="0.25">
      <c r="A3166" t="s">
        <v>217</v>
      </c>
      <c r="B3166" t="s">
        <v>4535</v>
      </c>
      <c r="E3166" s="1598" t="s">
        <v>6710</v>
      </c>
      <c r="F3166" s="1598"/>
      <c r="G3166" s="582" t="s">
        <v>777</v>
      </c>
      <c r="H3166" s="267">
        <v>0.61</v>
      </c>
      <c r="V3166">
        <v>73</v>
      </c>
    </row>
    <row r="3167" spans="1:22" customFormat="1" ht="15" x14ac:dyDescent="0.25">
      <c r="A3167" t="s">
        <v>217</v>
      </c>
      <c r="B3167" t="s">
        <v>4535</v>
      </c>
      <c r="E3167" s="1598" t="s">
        <v>6711</v>
      </c>
      <c r="F3167" s="1598"/>
      <c r="G3167" s="582" t="s">
        <v>777</v>
      </c>
      <c r="H3167" s="267">
        <v>1.2</v>
      </c>
      <c r="V3167">
        <v>76</v>
      </c>
    </row>
    <row r="3168" spans="1:22" customFormat="1" ht="15" x14ac:dyDescent="0.25">
      <c r="A3168" t="s">
        <v>217</v>
      </c>
      <c r="B3168" t="s">
        <v>4535</v>
      </c>
      <c r="E3168" s="1507" t="s">
        <v>1108</v>
      </c>
      <c r="F3168" s="1507"/>
      <c r="G3168" s="582"/>
      <c r="H3168" s="657"/>
      <c r="V3168">
        <v>91</v>
      </c>
    </row>
    <row r="3169" spans="1:22" customFormat="1" ht="15" x14ac:dyDescent="0.25">
      <c r="A3169" t="s">
        <v>217</v>
      </c>
      <c r="B3169" t="s">
        <v>4535</v>
      </c>
      <c r="E3169" s="319" t="s">
        <v>1109</v>
      </c>
      <c r="F3169" s="319"/>
      <c r="G3169" s="582"/>
      <c r="H3169" s="657"/>
      <c r="V3169">
        <v>96</v>
      </c>
    </row>
    <row r="3170" spans="1:22" customFormat="1" ht="15" x14ac:dyDescent="0.25">
      <c r="A3170" t="s">
        <v>217</v>
      </c>
      <c r="B3170" t="s">
        <v>4535</v>
      </c>
      <c r="E3170" s="319" t="s">
        <v>856</v>
      </c>
      <c r="F3170" s="319"/>
      <c r="G3170" s="582"/>
      <c r="H3170" s="657"/>
      <c r="V3170">
        <v>77</v>
      </c>
    </row>
    <row r="3171" spans="1:22" customFormat="1" ht="15" x14ac:dyDescent="0.25">
      <c r="A3171" t="s">
        <v>217</v>
      </c>
      <c r="B3171" t="s">
        <v>4535</v>
      </c>
      <c r="E3171" s="1511" t="s">
        <v>1111</v>
      </c>
      <c r="F3171" s="1511"/>
      <c r="G3171" s="582" t="s">
        <v>777</v>
      </c>
      <c r="H3171" s="657" t="s">
        <v>857</v>
      </c>
      <c r="V3171">
        <v>18</v>
      </c>
    </row>
    <row r="3172" spans="1:22" customFormat="1" ht="15" x14ac:dyDescent="0.25">
      <c r="A3172" t="s">
        <v>217</v>
      </c>
      <c r="B3172" t="s">
        <v>4535</v>
      </c>
      <c r="E3172" s="1511" t="s">
        <v>1112</v>
      </c>
      <c r="F3172" s="1511"/>
      <c r="G3172" s="582" t="s">
        <v>777</v>
      </c>
      <c r="H3172" s="267">
        <v>4.8499999999999996</v>
      </c>
      <c r="V3172">
        <v>69</v>
      </c>
    </row>
    <row r="3173" spans="1:22" customFormat="1" ht="45" x14ac:dyDescent="0.25">
      <c r="A3173" t="s">
        <v>217</v>
      </c>
      <c r="B3173" t="s">
        <v>4535</v>
      </c>
      <c r="E3173" s="853" t="s">
        <v>4562</v>
      </c>
      <c r="F3173" s="862"/>
      <c r="G3173" s="584" t="s">
        <v>777</v>
      </c>
      <c r="H3173" s="576">
        <v>2.42</v>
      </c>
      <c r="V3173">
        <v>199</v>
      </c>
    </row>
    <row r="3174" spans="1:22" customFormat="1" ht="18.75" x14ac:dyDescent="0.25">
      <c r="A3174" t="s">
        <v>217</v>
      </c>
      <c r="B3174" t="s">
        <v>4535</v>
      </c>
      <c r="E3174" s="836" t="s">
        <v>3853</v>
      </c>
      <c r="F3174" s="386"/>
      <c r="G3174" s="386"/>
      <c r="H3174" s="655"/>
      <c r="K3174" t="s">
        <v>4563</v>
      </c>
      <c r="V3174">
        <v>12</v>
      </c>
    </row>
    <row r="3175" spans="1:22" customFormat="1" ht="15" x14ac:dyDescent="0.25">
      <c r="A3175" t="s">
        <v>217</v>
      </c>
      <c r="B3175" t="s">
        <v>4535</v>
      </c>
      <c r="E3175" s="1507" t="s">
        <v>1114</v>
      </c>
      <c r="F3175" s="1507"/>
      <c r="G3175" s="1507"/>
      <c r="H3175" s="1507"/>
      <c r="V3175">
        <v>203</v>
      </c>
    </row>
    <row r="3176" spans="1:22" customFormat="1" ht="15" x14ac:dyDescent="0.25">
      <c r="A3176" t="s">
        <v>217</v>
      </c>
      <c r="B3176" t="s">
        <v>4535</v>
      </c>
      <c r="E3176" s="1507" t="s">
        <v>1115</v>
      </c>
      <c r="F3176" s="1507"/>
      <c r="G3176" s="584"/>
      <c r="H3176" s="650">
        <v>1.0349999999999999</v>
      </c>
      <c r="V3176">
        <v>57</v>
      </c>
    </row>
    <row r="3177" spans="1:22" customFormat="1" ht="15" x14ac:dyDescent="0.25">
      <c r="A3177" t="s">
        <v>217</v>
      </c>
      <c r="B3177" t="s">
        <v>4535</v>
      </c>
      <c r="E3177" s="1507" t="s">
        <v>4072</v>
      </c>
      <c r="F3177" s="1507"/>
      <c r="G3177" s="584"/>
      <c r="H3177" s="650">
        <v>1.0154000000000001</v>
      </c>
      <c r="V3177">
        <v>57</v>
      </c>
    </row>
    <row r="3178" spans="1:22" customFormat="1" ht="15" x14ac:dyDescent="0.25">
      <c r="A3178" t="s">
        <v>217</v>
      </c>
      <c r="B3178" t="s">
        <v>4535</v>
      </c>
      <c r="E3178" s="1507" t="s">
        <v>1117</v>
      </c>
      <c r="F3178" s="1507"/>
      <c r="G3178" s="584"/>
      <c r="H3178" s="650">
        <v>1.0226</v>
      </c>
      <c r="V3178">
        <v>55</v>
      </c>
    </row>
    <row r="3179" spans="1:22" customFormat="1" ht="15" x14ac:dyDescent="0.25">
      <c r="A3179" t="s">
        <v>217</v>
      </c>
      <c r="B3179" t="s">
        <v>4535</v>
      </c>
      <c r="E3179" s="1507" t="s">
        <v>4073</v>
      </c>
      <c r="F3179" s="1507"/>
      <c r="G3179" s="584"/>
      <c r="H3179" s="650">
        <v>1.0053000000000001</v>
      </c>
      <c r="J3179" t="s">
        <v>4564</v>
      </c>
      <c r="V3179">
        <v>55</v>
      </c>
    </row>
    <row r="3180" spans="1:22" customFormat="1" ht="23.25" x14ac:dyDescent="0.25">
      <c r="A3180" t="s">
        <v>217</v>
      </c>
      <c r="B3180" t="s">
        <v>4565</v>
      </c>
      <c r="C3180" t="s">
        <v>3755</v>
      </c>
      <c r="E3180" s="1550" t="s">
        <v>217</v>
      </c>
      <c r="F3180" s="1550"/>
      <c r="G3180" s="1550"/>
      <c r="H3180" s="1550"/>
      <c r="I3180" t="s">
        <v>94</v>
      </c>
      <c r="J3180" t="s">
        <v>4566</v>
      </c>
      <c r="K3180" t="s">
        <v>217</v>
      </c>
      <c r="M3180">
        <v>8</v>
      </c>
      <c r="V3180">
        <v>17</v>
      </c>
    </row>
    <row r="3181" spans="1:22" customFormat="1" ht="23.25" x14ac:dyDescent="0.25">
      <c r="A3181" t="s">
        <v>217</v>
      </c>
      <c r="B3181" t="s">
        <v>4565</v>
      </c>
      <c r="C3181" t="s">
        <v>3757</v>
      </c>
      <c r="E3181" s="1540" t="s">
        <v>284</v>
      </c>
      <c r="F3181" s="1540"/>
      <c r="G3181" s="1540"/>
      <c r="H3181" s="1540"/>
      <c r="V3181">
        <v>24</v>
      </c>
    </row>
    <row r="3182" spans="1:22" customFormat="1" x14ac:dyDescent="0.25">
      <c r="A3182" t="s">
        <v>217</v>
      </c>
      <c r="B3182" t="s">
        <v>4565</v>
      </c>
      <c r="C3182" t="s">
        <v>3758</v>
      </c>
      <c r="E3182" s="1542" t="s">
        <v>944</v>
      </c>
      <c r="F3182" s="1542"/>
      <c r="G3182" s="1542"/>
      <c r="H3182" s="1542"/>
      <c r="V3182">
        <v>27</v>
      </c>
    </row>
    <row r="3183" spans="1:22" customFormat="1" ht="15.75" x14ac:dyDescent="0.25">
      <c r="A3183" t="s">
        <v>217</v>
      </c>
      <c r="B3183" t="s">
        <v>4565</v>
      </c>
      <c r="C3183" t="s">
        <v>3759</v>
      </c>
      <c r="E3183" s="1669" t="s">
        <v>6511</v>
      </c>
      <c r="F3183" s="1669"/>
      <c r="G3183" s="1669"/>
      <c r="H3183" s="1669"/>
      <c r="S3183">
        <v>45658</v>
      </c>
      <c r="V3183">
        <v>49</v>
      </c>
    </row>
    <row r="3184" spans="1:22" customFormat="1" ht="15" x14ac:dyDescent="0.25">
      <c r="A3184" t="s">
        <v>217</v>
      </c>
      <c r="B3184" t="s">
        <v>4565</v>
      </c>
      <c r="E3184" s="1630" t="s">
        <v>3921</v>
      </c>
      <c r="F3184" s="1630"/>
      <c r="G3184" s="1630"/>
      <c r="H3184" s="1630"/>
      <c r="V3184">
        <v>53</v>
      </c>
    </row>
    <row r="3185" spans="1:22" customFormat="1" ht="15" x14ac:dyDescent="0.25">
      <c r="A3185" t="s">
        <v>217</v>
      </c>
      <c r="B3185" t="s">
        <v>4565</v>
      </c>
      <c r="E3185" s="1630" t="s">
        <v>946</v>
      </c>
      <c r="F3185" s="1630"/>
      <c r="G3185" s="1630"/>
      <c r="H3185" s="1630"/>
      <c r="V3185">
        <v>53</v>
      </c>
    </row>
    <row r="3186" spans="1:22" customFormat="1" ht="15" x14ac:dyDescent="0.25">
      <c r="A3186" t="s">
        <v>217</v>
      </c>
      <c r="B3186" t="s">
        <v>4565</v>
      </c>
      <c r="E3186" s="1514" t="s">
        <v>6708</v>
      </c>
      <c r="F3186" s="1514"/>
      <c r="G3186" s="1514"/>
      <c r="H3186" s="1514"/>
      <c r="K3186" t="s">
        <v>6708</v>
      </c>
      <c r="V3186">
        <v>12</v>
      </c>
    </row>
    <row r="3187" spans="1:22" customFormat="1" ht="15" x14ac:dyDescent="0.25">
      <c r="A3187" t="s">
        <v>217</v>
      </c>
      <c r="B3187" t="s">
        <v>4565</v>
      </c>
      <c r="E3187" s="1527" t="s">
        <v>170</v>
      </c>
      <c r="F3187" s="1516"/>
      <c r="G3187" s="1516"/>
      <c r="H3187" s="1516"/>
      <c r="K3187" t="s">
        <v>947</v>
      </c>
      <c r="V3187">
        <v>34</v>
      </c>
    </row>
    <row r="3188" spans="1:22" customFormat="1" ht="15" x14ac:dyDescent="0.25">
      <c r="A3188" t="s">
        <v>217</v>
      </c>
      <c r="B3188" t="s">
        <v>4565</v>
      </c>
      <c r="E3188" s="1516" t="s">
        <v>4537</v>
      </c>
      <c r="F3188" s="1516"/>
      <c r="G3188" s="1516"/>
      <c r="H3188" s="1516"/>
      <c r="K3188" t="s">
        <v>947</v>
      </c>
      <c r="V3188">
        <v>652</v>
      </c>
    </row>
    <row r="3189" spans="1:22" customFormat="1" ht="15" x14ac:dyDescent="0.25">
      <c r="A3189" t="s">
        <v>217</v>
      </c>
      <c r="B3189" t="s">
        <v>4565</v>
      </c>
      <c r="E3189" s="1515" t="s">
        <v>950</v>
      </c>
      <c r="F3189" s="1516"/>
      <c r="G3189" s="1516"/>
      <c r="H3189" s="1516"/>
      <c r="K3189" t="s">
        <v>949</v>
      </c>
      <c r="V3189">
        <v>11</v>
      </c>
    </row>
    <row r="3190" spans="1:22" customFormat="1" ht="15" x14ac:dyDescent="0.25">
      <c r="A3190" t="s">
        <v>217</v>
      </c>
      <c r="B3190" t="s">
        <v>4565</v>
      </c>
      <c r="E3190" s="1516" t="s">
        <v>951</v>
      </c>
      <c r="F3190" s="1516"/>
      <c r="G3190" s="1516"/>
      <c r="H3190" s="1516"/>
      <c r="K3190" t="s">
        <v>947</v>
      </c>
      <c r="V3190">
        <v>280</v>
      </c>
    </row>
    <row r="3191" spans="1:22" customFormat="1" ht="15" x14ac:dyDescent="0.25">
      <c r="A3191" t="s">
        <v>217</v>
      </c>
      <c r="B3191" t="s">
        <v>4565</v>
      </c>
      <c r="E3191" s="1516" t="s">
        <v>952</v>
      </c>
      <c r="F3191" s="1516"/>
      <c r="G3191" s="1516"/>
      <c r="H3191" s="1516"/>
      <c r="K3191" t="s">
        <v>947</v>
      </c>
      <c r="V3191">
        <v>411</v>
      </c>
    </row>
    <row r="3192" spans="1:22" customFormat="1" ht="15" x14ac:dyDescent="0.25">
      <c r="A3192" t="s">
        <v>217</v>
      </c>
      <c r="B3192" t="s">
        <v>4565</v>
      </c>
      <c r="E3192" s="1516" t="s">
        <v>4567</v>
      </c>
      <c r="F3192" s="1516"/>
      <c r="G3192" s="1516"/>
      <c r="H3192" s="1516"/>
      <c r="K3192" t="s">
        <v>947</v>
      </c>
      <c r="V3192">
        <v>385</v>
      </c>
    </row>
    <row r="3193" spans="1:22" customFormat="1" ht="15" x14ac:dyDescent="0.25">
      <c r="A3193" t="s">
        <v>217</v>
      </c>
      <c r="B3193" t="s">
        <v>4565</v>
      </c>
      <c r="E3193" s="1516" t="s">
        <v>954</v>
      </c>
      <c r="F3193" s="1516"/>
      <c r="G3193" s="1516"/>
      <c r="H3193" s="1516"/>
      <c r="K3193" t="s">
        <v>947</v>
      </c>
      <c r="V3193">
        <v>246</v>
      </c>
    </row>
    <row r="3194" spans="1:22" customFormat="1" ht="15" x14ac:dyDescent="0.25">
      <c r="A3194" t="s">
        <v>217</v>
      </c>
      <c r="B3194" t="s">
        <v>4565</v>
      </c>
      <c r="E3194" s="1515" t="s">
        <v>956</v>
      </c>
      <c r="F3194" s="1516"/>
      <c r="G3194" s="1516"/>
      <c r="H3194" s="1516"/>
      <c r="K3194" t="s">
        <v>955</v>
      </c>
      <c r="V3194">
        <v>46</v>
      </c>
    </row>
    <row r="3195" spans="1:22" customFormat="1" ht="15" x14ac:dyDescent="0.25">
      <c r="A3195" t="s">
        <v>217</v>
      </c>
      <c r="B3195" t="s">
        <v>4565</v>
      </c>
      <c r="E3195" s="1526" t="s">
        <v>3773</v>
      </c>
      <c r="F3195" s="1507"/>
      <c r="G3195" s="387" t="s">
        <v>777</v>
      </c>
      <c r="H3195" s="576">
        <v>37.630000000000003</v>
      </c>
      <c r="K3195" t="s">
        <v>947</v>
      </c>
      <c r="L3195" t="s">
        <v>690</v>
      </c>
      <c r="P3195" t="s">
        <v>957</v>
      </c>
      <c r="V3195">
        <v>14</v>
      </c>
    </row>
    <row r="3196" spans="1:22" customFormat="1" ht="15" x14ac:dyDescent="0.25">
      <c r="A3196" t="s">
        <v>217</v>
      </c>
      <c r="B3196" t="s">
        <v>4565</v>
      </c>
      <c r="E3196" s="1526" t="s">
        <v>960</v>
      </c>
      <c r="F3196" s="1507"/>
      <c r="G3196" s="387" t="s">
        <v>777</v>
      </c>
      <c r="H3196" s="576">
        <v>0.42</v>
      </c>
      <c r="K3196" t="s">
        <v>947</v>
      </c>
      <c r="L3196" t="s">
        <v>692</v>
      </c>
      <c r="P3196" t="s">
        <v>959</v>
      </c>
      <c r="V3196">
        <v>64</v>
      </c>
    </row>
    <row r="3197" spans="1:22" customFormat="1" ht="15" x14ac:dyDescent="0.25">
      <c r="A3197" t="s">
        <v>217</v>
      </c>
      <c r="B3197" t="s">
        <v>4565</v>
      </c>
      <c r="E3197" s="1526" t="s">
        <v>910</v>
      </c>
      <c r="F3197" s="1507"/>
      <c r="G3197" s="387" t="s">
        <v>845</v>
      </c>
      <c r="H3197" s="577">
        <v>4.0000000000000002E-4</v>
      </c>
      <c r="K3197" t="s">
        <v>947</v>
      </c>
      <c r="L3197" t="s">
        <v>692</v>
      </c>
      <c r="P3197" t="s">
        <v>961</v>
      </c>
      <c r="V3197">
        <v>24</v>
      </c>
    </row>
    <row r="3198" spans="1:22" customFormat="1" ht="15" x14ac:dyDescent="0.25">
      <c r="A3198" t="s">
        <v>217</v>
      </c>
      <c r="B3198" t="s">
        <v>4565</v>
      </c>
      <c r="E3198" s="1526" t="s">
        <v>6617</v>
      </c>
      <c r="F3198" s="1510"/>
      <c r="G3198" s="387" t="s">
        <v>845</v>
      </c>
      <c r="H3198" s="577">
        <v>2.0000000000000001E-4</v>
      </c>
      <c r="K3198" t="s">
        <v>947</v>
      </c>
      <c r="L3198" t="s">
        <v>692</v>
      </c>
      <c r="P3198" t="s">
        <v>3764</v>
      </c>
      <c r="V3198">
        <v>149</v>
      </c>
    </row>
    <row r="3199" spans="1:22" customFormat="1" ht="15" x14ac:dyDescent="0.25">
      <c r="A3199" t="s">
        <v>217</v>
      </c>
      <c r="B3199" t="s">
        <v>4565</v>
      </c>
      <c r="E3199" s="1526" t="s">
        <v>6519</v>
      </c>
      <c r="F3199" s="1510"/>
      <c r="G3199" s="387" t="s">
        <v>845</v>
      </c>
      <c r="H3199" s="577">
        <v>2.7000000000000001E-3</v>
      </c>
      <c r="K3199" t="s">
        <v>947</v>
      </c>
      <c r="L3199" t="s">
        <v>692</v>
      </c>
      <c r="P3199" t="s">
        <v>962</v>
      </c>
      <c r="T3199">
        <v>46022</v>
      </c>
      <c r="V3199">
        <v>142</v>
      </c>
    </row>
    <row r="3200" spans="1:22" customFormat="1" ht="15" x14ac:dyDescent="0.25">
      <c r="A3200" t="s">
        <v>217</v>
      </c>
      <c r="B3200" t="s">
        <v>4565</v>
      </c>
      <c r="E3200" s="1526" t="s">
        <v>6520</v>
      </c>
      <c r="F3200" s="1510"/>
      <c r="G3200" s="387" t="s">
        <v>845</v>
      </c>
      <c r="H3200" s="577">
        <v>-6.9999999999999999E-4</v>
      </c>
      <c r="K3200" t="s">
        <v>947</v>
      </c>
      <c r="L3200" t="s">
        <v>692</v>
      </c>
      <c r="P3200" t="s">
        <v>963</v>
      </c>
      <c r="T3200">
        <v>46022</v>
      </c>
      <c r="V3200">
        <v>99</v>
      </c>
    </row>
    <row r="3201" spans="1:22" customFormat="1" ht="15" x14ac:dyDescent="0.25">
      <c r="A3201" t="s">
        <v>217</v>
      </c>
      <c r="B3201" t="s">
        <v>4565</v>
      </c>
      <c r="E3201" s="1526" t="s">
        <v>243</v>
      </c>
      <c r="F3201" s="1507"/>
      <c r="G3201" s="387" t="s">
        <v>845</v>
      </c>
      <c r="H3201" s="577">
        <v>1.14E-2</v>
      </c>
      <c r="K3201" t="s">
        <v>947</v>
      </c>
      <c r="L3201" t="s">
        <v>694</v>
      </c>
      <c r="P3201" t="s">
        <v>964</v>
      </c>
      <c r="V3201">
        <v>47</v>
      </c>
    </row>
    <row r="3202" spans="1:22" customFormat="1" ht="15" x14ac:dyDescent="0.25">
      <c r="A3202" t="s">
        <v>217</v>
      </c>
      <c r="B3202" t="s">
        <v>4565</v>
      </c>
      <c r="E3202" s="1526" t="s">
        <v>175</v>
      </c>
      <c r="F3202" s="1507"/>
      <c r="G3202" s="387" t="s">
        <v>845</v>
      </c>
      <c r="H3202" s="577">
        <v>2.8E-3</v>
      </c>
      <c r="K3202" t="s">
        <v>947</v>
      </c>
      <c r="L3202" t="s">
        <v>694</v>
      </c>
      <c r="P3202" t="s">
        <v>965</v>
      </c>
      <c r="V3202">
        <v>74</v>
      </c>
    </row>
    <row r="3203" spans="1:22" customFormat="1" ht="15" x14ac:dyDescent="0.25">
      <c r="A3203" t="s">
        <v>217</v>
      </c>
      <c r="B3203" t="s">
        <v>4565</v>
      </c>
      <c r="E3203" s="1515" t="s">
        <v>967</v>
      </c>
      <c r="F3203" s="1507"/>
      <c r="G3203" s="1507"/>
      <c r="H3203" s="1507"/>
      <c r="K3203" t="s">
        <v>966</v>
      </c>
      <c r="V3203">
        <v>48</v>
      </c>
    </row>
    <row r="3204" spans="1:22" customFormat="1" ht="15" x14ac:dyDescent="0.25">
      <c r="A3204" t="s">
        <v>217</v>
      </c>
      <c r="B3204" t="s">
        <v>4565</v>
      </c>
      <c r="E3204" s="1526" t="s">
        <v>844</v>
      </c>
      <c r="F3204" s="1507"/>
      <c r="G3204" s="387" t="s">
        <v>845</v>
      </c>
      <c r="H3204" s="577">
        <v>4.1000000000000003E-3</v>
      </c>
      <c r="K3204" t="s">
        <v>947</v>
      </c>
      <c r="L3204" t="s">
        <v>968</v>
      </c>
      <c r="P3204" t="s">
        <v>969</v>
      </c>
      <c r="V3204">
        <v>55</v>
      </c>
    </row>
    <row r="3205" spans="1:22" customFormat="1" ht="15" x14ac:dyDescent="0.25">
      <c r="A3205" t="s">
        <v>217</v>
      </c>
      <c r="B3205" t="s">
        <v>4565</v>
      </c>
      <c r="E3205" s="1526" t="s">
        <v>846</v>
      </c>
      <c r="F3205" s="1507"/>
      <c r="G3205" s="387" t="s">
        <v>845</v>
      </c>
      <c r="H3205" s="577">
        <v>4.0000000000000002E-4</v>
      </c>
      <c r="K3205" t="s">
        <v>947</v>
      </c>
      <c r="L3205" t="s">
        <v>968</v>
      </c>
      <c r="P3205" t="s">
        <v>969</v>
      </c>
      <c r="V3205">
        <v>65</v>
      </c>
    </row>
    <row r="3206" spans="1:22" customFormat="1" ht="15" x14ac:dyDescent="0.25">
      <c r="A3206" t="s">
        <v>217</v>
      </c>
      <c r="B3206" t="s">
        <v>4565</v>
      </c>
      <c r="E3206" s="1526" t="s">
        <v>847</v>
      </c>
      <c r="F3206" s="1507"/>
      <c r="G3206" s="387" t="s">
        <v>845</v>
      </c>
      <c r="H3206" s="577">
        <v>1.5E-3</v>
      </c>
      <c r="K3206" t="s">
        <v>947</v>
      </c>
      <c r="L3206" t="s">
        <v>968</v>
      </c>
      <c r="P3206" t="s">
        <v>970</v>
      </c>
      <c r="V3206">
        <v>57</v>
      </c>
    </row>
    <row r="3207" spans="1:22" customFormat="1" ht="15" x14ac:dyDescent="0.25">
      <c r="A3207" t="s">
        <v>217</v>
      </c>
      <c r="B3207" t="s">
        <v>4565</v>
      </c>
      <c r="E3207" s="1526" t="s">
        <v>848</v>
      </c>
      <c r="F3207" s="1507"/>
      <c r="G3207" s="387" t="s">
        <v>777</v>
      </c>
      <c r="H3207" s="576">
        <v>0.25</v>
      </c>
      <c r="K3207" t="s">
        <v>947</v>
      </c>
      <c r="L3207" t="s">
        <v>968</v>
      </c>
      <c r="P3207" t="s">
        <v>971</v>
      </c>
      <c r="V3207">
        <v>63</v>
      </c>
    </row>
    <row r="3208" spans="1:22" customFormat="1" ht="15" x14ac:dyDescent="0.25">
      <c r="A3208" t="s">
        <v>217</v>
      </c>
      <c r="B3208" t="s">
        <v>4565</v>
      </c>
      <c r="E3208" s="1514" t="s">
        <v>6708</v>
      </c>
      <c r="F3208" s="1514"/>
      <c r="G3208" s="1514"/>
      <c r="H3208" s="1514"/>
      <c r="K3208" t="s">
        <v>6708</v>
      </c>
      <c r="V3208">
        <v>12</v>
      </c>
    </row>
    <row r="3209" spans="1:22" customFormat="1" x14ac:dyDescent="0.25">
      <c r="A3209" t="s">
        <v>217</v>
      </c>
      <c r="B3209" t="s">
        <v>4565</v>
      </c>
      <c r="E3209" s="1527" t="s">
        <v>174</v>
      </c>
      <c r="F3209" s="1493"/>
      <c r="G3209" s="1493"/>
      <c r="H3209" s="1493"/>
      <c r="K3209" t="s">
        <v>972</v>
      </c>
      <c r="V3209">
        <v>54</v>
      </c>
    </row>
    <row r="3210" spans="1:22" customFormat="1" ht="15" x14ac:dyDescent="0.25">
      <c r="A3210" t="s">
        <v>217</v>
      </c>
      <c r="B3210" t="s">
        <v>4565</v>
      </c>
      <c r="E3210" s="1516" t="s">
        <v>4568</v>
      </c>
      <c r="F3210" s="1516"/>
      <c r="G3210" s="1516"/>
      <c r="H3210" s="1516"/>
      <c r="K3210" t="s">
        <v>972</v>
      </c>
      <c r="V3210">
        <v>336</v>
      </c>
    </row>
    <row r="3211" spans="1:22" customFormat="1" ht="15" x14ac:dyDescent="0.25">
      <c r="A3211" t="s">
        <v>217</v>
      </c>
      <c r="B3211" t="s">
        <v>4565</v>
      </c>
      <c r="E3211" s="1515" t="s">
        <v>950</v>
      </c>
      <c r="F3211" s="1516"/>
      <c r="G3211" s="1516"/>
      <c r="H3211" s="1516"/>
      <c r="K3211" t="s">
        <v>974</v>
      </c>
      <c r="V3211">
        <v>11</v>
      </c>
    </row>
    <row r="3212" spans="1:22" customFormat="1" ht="15" x14ac:dyDescent="0.25">
      <c r="A3212" t="s">
        <v>217</v>
      </c>
      <c r="B3212" t="s">
        <v>4565</v>
      </c>
      <c r="E3212" s="1516" t="s">
        <v>951</v>
      </c>
      <c r="F3212" s="1516"/>
      <c r="G3212" s="1516"/>
      <c r="H3212" s="1516"/>
      <c r="K3212" t="s">
        <v>972</v>
      </c>
      <c r="V3212">
        <v>280</v>
      </c>
    </row>
    <row r="3213" spans="1:22" customFormat="1" ht="15" x14ac:dyDescent="0.25">
      <c r="A3213" t="s">
        <v>217</v>
      </c>
      <c r="B3213" t="s">
        <v>4565</v>
      </c>
      <c r="E3213" s="1516" t="s">
        <v>952</v>
      </c>
      <c r="F3213" s="1516"/>
      <c r="G3213" s="1516"/>
      <c r="H3213" s="1516"/>
      <c r="K3213" t="s">
        <v>972</v>
      </c>
      <c r="V3213">
        <v>411</v>
      </c>
    </row>
    <row r="3214" spans="1:22" customFormat="1" ht="15" x14ac:dyDescent="0.25">
      <c r="A3214" t="s">
        <v>217</v>
      </c>
      <c r="B3214" t="s">
        <v>4565</v>
      </c>
      <c r="E3214" s="1516" t="s">
        <v>4567</v>
      </c>
      <c r="F3214" s="1516"/>
      <c r="G3214" s="1516"/>
      <c r="H3214" s="1516"/>
      <c r="K3214" t="s">
        <v>972</v>
      </c>
      <c r="V3214">
        <v>385</v>
      </c>
    </row>
    <row r="3215" spans="1:22" customFormat="1" ht="15" x14ac:dyDescent="0.25">
      <c r="A3215" t="s">
        <v>217</v>
      </c>
      <c r="B3215" t="s">
        <v>4565</v>
      </c>
      <c r="E3215" s="1516" t="s">
        <v>954</v>
      </c>
      <c r="F3215" s="1516"/>
      <c r="G3215" s="1516"/>
      <c r="H3215" s="1516"/>
      <c r="K3215" t="s">
        <v>972</v>
      </c>
      <c r="V3215">
        <v>246</v>
      </c>
    </row>
    <row r="3216" spans="1:22" customFormat="1" ht="15" x14ac:dyDescent="0.25">
      <c r="A3216" t="s">
        <v>217</v>
      </c>
      <c r="B3216" t="s">
        <v>4565</v>
      </c>
      <c r="E3216" s="1515" t="s">
        <v>956</v>
      </c>
      <c r="F3216" s="1516"/>
      <c r="G3216" s="1516"/>
      <c r="H3216" s="1516"/>
      <c r="K3216" t="s">
        <v>975</v>
      </c>
      <c r="V3216">
        <v>46</v>
      </c>
    </row>
    <row r="3217" spans="1:22" customFormat="1" ht="15" x14ac:dyDescent="0.25">
      <c r="A3217" t="s">
        <v>217</v>
      </c>
      <c r="B3217" t="s">
        <v>4565</v>
      </c>
      <c r="E3217" s="1526" t="s">
        <v>3773</v>
      </c>
      <c r="F3217" s="1507"/>
      <c r="G3217" s="387" t="s">
        <v>777</v>
      </c>
      <c r="H3217" s="576">
        <v>33.71</v>
      </c>
      <c r="K3217" t="s">
        <v>972</v>
      </c>
      <c r="L3217" t="s">
        <v>690</v>
      </c>
      <c r="P3217" t="s">
        <v>976</v>
      </c>
      <c r="V3217">
        <v>14</v>
      </c>
    </row>
    <row r="3218" spans="1:22" customFormat="1" ht="15" x14ac:dyDescent="0.25">
      <c r="A3218" t="s">
        <v>217</v>
      </c>
      <c r="B3218" t="s">
        <v>4565</v>
      </c>
      <c r="E3218" s="1526" t="s">
        <v>960</v>
      </c>
      <c r="F3218" s="1507"/>
      <c r="G3218" s="387" t="s">
        <v>777</v>
      </c>
      <c r="H3218" s="576">
        <v>0.42</v>
      </c>
      <c r="K3218" t="s">
        <v>972</v>
      </c>
      <c r="L3218" t="s">
        <v>692</v>
      </c>
      <c r="P3218" t="s">
        <v>977</v>
      </c>
      <c r="V3218">
        <v>64</v>
      </c>
    </row>
    <row r="3219" spans="1:22" customFormat="1" ht="15" x14ac:dyDescent="0.25">
      <c r="A3219" t="s">
        <v>217</v>
      </c>
      <c r="B3219" t="s">
        <v>4565</v>
      </c>
      <c r="E3219" s="1526" t="s">
        <v>3688</v>
      </c>
      <c r="F3219" s="1507"/>
      <c r="G3219" s="387" t="s">
        <v>845</v>
      </c>
      <c r="H3219" s="577">
        <v>2.1700000000000001E-2</v>
      </c>
      <c r="K3219" t="s">
        <v>972</v>
      </c>
      <c r="L3219" t="s">
        <v>690</v>
      </c>
      <c r="P3219" t="s">
        <v>978</v>
      </c>
      <c r="V3219">
        <v>28</v>
      </c>
    </row>
    <row r="3220" spans="1:22" customFormat="1" ht="15" x14ac:dyDescent="0.25">
      <c r="A3220" t="s">
        <v>217</v>
      </c>
      <c r="B3220" t="s">
        <v>4565</v>
      </c>
      <c r="E3220" s="1526" t="s">
        <v>910</v>
      </c>
      <c r="F3220" s="1507"/>
      <c r="G3220" s="387" t="s">
        <v>845</v>
      </c>
      <c r="H3220" s="577">
        <v>4.0000000000000002E-4</v>
      </c>
      <c r="K3220" t="s">
        <v>972</v>
      </c>
      <c r="L3220" t="s">
        <v>692</v>
      </c>
      <c r="P3220" t="s">
        <v>980</v>
      </c>
      <c r="V3220">
        <v>24</v>
      </c>
    </row>
    <row r="3221" spans="1:22" customFormat="1" ht="15" x14ac:dyDescent="0.25">
      <c r="A3221" t="s">
        <v>217</v>
      </c>
      <c r="B3221" t="s">
        <v>4565</v>
      </c>
      <c r="E3221" s="1526" t="s">
        <v>6617</v>
      </c>
      <c r="F3221" s="1510"/>
      <c r="G3221" s="387" t="s">
        <v>845</v>
      </c>
      <c r="H3221" s="577">
        <v>2.0000000000000001E-4</v>
      </c>
      <c r="K3221" t="s">
        <v>972</v>
      </c>
      <c r="L3221" t="s">
        <v>692</v>
      </c>
      <c r="P3221" t="s">
        <v>3766</v>
      </c>
      <c r="V3221">
        <v>149</v>
      </c>
    </row>
    <row r="3222" spans="1:22" customFormat="1" ht="15" x14ac:dyDescent="0.25">
      <c r="A3222" t="s">
        <v>217</v>
      </c>
      <c r="B3222" t="s">
        <v>4565</v>
      </c>
      <c r="E3222" s="1526" t="s">
        <v>6519</v>
      </c>
      <c r="F3222" s="1510"/>
      <c r="G3222" s="387" t="s">
        <v>845</v>
      </c>
      <c r="H3222" s="577">
        <v>2.7000000000000001E-3</v>
      </c>
      <c r="K3222" t="s">
        <v>972</v>
      </c>
      <c r="L3222" t="s">
        <v>692</v>
      </c>
      <c r="P3222" t="s">
        <v>981</v>
      </c>
      <c r="T3222">
        <v>46022</v>
      </c>
      <c r="V3222">
        <v>142</v>
      </c>
    </row>
    <row r="3223" spans="1:22" customFormat="1" ht="15" x14ac:dyDescent="0.25">
      <c r="A3223" t="s">
        <v>217</v>
      </c>
      <c r="B3223" t="s">
        <v>4565</v>
      </c>
      <c r="E3223" s="1526" t="s">
        <v>6520</v>
      </c>
      <c r="F3223" s="1510"/>
      <c r="G3223" s="387" t="s">
        <v>845</v>
      </c>
      <c r="H3223" s="577">
        <v>-5.0000000000000001E-4</v>
      </c>
      <c r="K3223" t="s">
        <v>972</v>
      </c>
      <c r="L3223" t="s">
        <v>692</v>
      </c>
      <c r="P3223" t="s">
        <v>982</v>
      </c>
      <c r="T3223">
        <v>46022</v>
      </c>
      <c r="V3223">
        <v>99</v>
      </c>
    </row>
    <row r="3224" spans="1:22" customFormat="1" ht="15" x14ac:dyDescent="0.25">
      <c r="A3224" t="s">
        <v>217</v>
      </c>
      <c r="B3224" t="s">
        <v>4565</v>
      </c>
      <c r="E3224" s="1526" t="s">
        <v>243</v>
      </c>
      <c r="F3224" s="1507"/>
      <c r="G3224" s="387" t="s">
        <v>845</v>
      </c>
      <c r="H3224" s="577">
        <v>1.06E-2</v>
      </c>
      <c r="K3224" t="s">
        <v>972</v>
      </c>
      <c r="L3224" t="s">
        <v>694</v>
      </c>
      <c r="P3224" t="s">
        <v>983</v>
      </c>
      <c r="V3224">
        <v>47</v>
      </c>
    </row>
    <row r="3225" spans="1:22" customFormat="1" ht="15" x14ac:dyDescent="0.25">
      <c r="A3225" t="s">
        <v>217</v>
      </c>
      <c r="B3225" t="s">
        <v>4565</v>
      </c>
      <c r="E3225" s="1526" t="s">
        <v>175</v>
      </c>
      <c r="F3225" s="1507"/>
      <c r="G3225" s="387" t="s">
        <v>845</v>
      </c>
      <c r="H3225" s="577">
        <v>2.5999999999999999E-3</v>
      </c>
      <c r="K3225" t="s">
        <v>972</v>
      </c>
      <c r="L3225" t="s">
        <v>694</v>
      </c>
      <c r="P3225" t="s">
        <v>984</v>
      </c>
      <c r="V3225">
        <v>74</v>
      </c>
    </row>
    <row r="3226" spans="1:22" customFormat="1" ht="15" x14ac:dyDescent="0.25">
      <c r="A3226" t="s">
        <v>217</v>
      </c>
      <c r="B3226" t="s">
        <v>4565</v>
      </c>
      <c r="E3226" s="1515" t="s">
        <v>967</v>
      </c>
      <c r="F3226" s="1507"/>
      <c r="G3226" s="1507"/>
      <c r="H3226" s="1507"/>
      <c r="K3226" t="s">
        <v>985</v>
      </c>
      <c r="V3226">
        <v>48</v>
      </c>
    </row>
    <row r="3227" spans="1:22" customFormat="1" ht="15" x14ac:dyDescent="0.25">
      <c r="A3227" t="s">
        <v>217</v>
      </c>
      <c r="B3227" t="s">
        <v>4565</v>
      </c>
      <c r="E3227" s="1526" t="s">
        <v>844</v>
      </c>
      <c r="F3227" s="1507"/>
      <c r="G3227" s="387" t="s">
        <v>845</v>
      </c>
      <c r="H3227" s="577">
        <v>4.1000000000000003E-3</v>
      </c>
      <c r="K3227" t="s">
        <v>972</v>
      </c>
      <c r="L3227" t="s">
        <v>968</v>
      </c>
      <c r="P3227" t="s">
        <v>986</v>
      </c>
      <c r="V3227">
        <v>55</v>
      </c>
    </row>
    <row r="3228" spans="1:22" customFormat="1" ht="15" x14ac:dyDescent="0.25">
      <c r="A3228" t="s">
        <v>217</v>
      </c>
      <c r="B3228" t="s">
        <v>4565</v>
      </c>
      <c r="E3228" s="1526" t="s">
        <v>846</v>
      </c>
      <c r="F3228" s="1507"/>
      <c r="G3228" s="387" t="s">
        <v>845</v>
      </c>
      <c r="H3228" s="577">
        <v>4.0000000000000002E-4</v>
      </c>
      <c r="K3228" t="s">
        <v>972</v>
      </c>
      <c r="L3228" t="s">
        <v>968</v>
      </c>
      <c r="P3228" t="s">
        <v>986</v>
      </c>
      <c r="V3228">
        <v>65</v>
      </c>
    </row>
    <row r="3229" spans="1:22" customFormat="1" ht="15" x14ac:dyDescent="0.25">
      <c r="A3229" t="s">
        <v>217</v>
      </c>
      <c r="B3229" t="s">
        <v>4565</v>
      </c>
      <c r="E3229" s="1526" t="s">
        <v>847</v>
      </c>
      <c r="F3229" s="1507"/>
      <c r="G3229" s="387" t="s">
        <v>845</v>
      </c>
      <c r="H3229" s="577">
        <v>1.5E-3</v>
      </c>
      <c r="K3229" t="s">
        <v>972</v>
      </c>
      <c r="L3229" t="s">
        <v>968</v>
      </c>
      <c r="P3229" t="s">
        <v>987</v>
      </c>
      <c r="V3229">
        <v>57</v>
      </c>
    </row>
    <row r="3230" spans="1:22" customFormat="1" ht="15" x14ac:dyDescent="0.25">
      <c r="A3230" t="s">
        <v>217</v>
      </c>
      <c r="B3230" t="s">
        <v>4565</v>
      </c>
      <c r="E3230" s="1526" t="s">
        <v>848</v>
      </c>
      <c r="F3230" s="1507"/>
      <c r="G3230" s="387" t="s">
        <v>777</v>
      </c>
      <c r="H3230" s="576">
        <v>0.25</v>
      </c>
      <c r="K3230" t="s">
        <v>972</v>
      </c>
      <c r="L3230" t="s">
        <v>968</v>
      </c>
      <c r="P3230" t="s">
        <v>988</v>
      </c>
      <c r="V3230">
        <v>63</v>
      </c>
    </row>
    <row r="3231" spans="1:22" customFormat="1" ht="15" x14ac:dyDescent="0.25">
      <c r="A3231" t="s">
        <v>217</v>
      </c>
      <c r="B3231" t="s">
        <v>4565</v>
      </c>
      <c r="E3231" s="1514" t="s">
        <v>6708</v>
      </c>
      <c r="F3231" s="1514"/>
      <c r="G3231" s="1514"/>
      <c r="H3231" s="1514"/>
      <c r="K3231" t="s">
        <v>6708</v>
      </c>
      <c r="V3231">
        <v>12</v>
      </c>
    </row>
    <row r="3232" spans="1:22" customFormat="1" x14ac:dyDescent="0.25">
      <c r="A3232" t="s">
        <v>217</v>
      </c>
      <c r="B3232" t="s">
        <v>4565</v>
      </c>
      <c r="E3232" s="1527" t="s">
        <v>3767</v>
      </c>
      <c r="F3232" s="1493"/>
      <c r="G3232" s="1493"/>
      <c r="H3232" s="1493"/>
      <c r="K3232" t="s">
        <v>3768</v>
      </c>
      <c r="V3232">
        <v>53</v>
      </c>
    </row>
    <row r="3233" spans="1:22" customFormat="1" ht="15" x14ac:dyDescent="0.25">
      <c r="A3233" t="s">
        <v>217</v>
      </c>
      <c r="B3233" t="s">
        <v>4565</v>
      </c>
      <c r="E3233" s="1516" t="s">
        <v>4569</v>
      </c>
      <c r="F3233" s="1516"/>
      <c r="G3233" s="1516"/>
      <c r="H3233" s="1516"/>
      <c r="K3233" t="s">
        <v>3768</v>
      </c>
      <c r="V3233">
        <v>750</v>
      </c>
    </row>
    <row r="3234" spans="1:22" customFormat="1" ht="15" x14ac:dyDescent="0.25">
      <c r="A3234" t="s">
        <v>217</v>
      </c>
      <c r="B3234" t="s">
        <v>4565</v>
      </c>
      <c r="E3234" s="1515" t="s">
        <v>950</v>
      </c>
      <c r="F3234" s="1516"/>
      <c r="G3234" s="1516"/>
      <c r="H3234" s="1516"/>
      <c r="K3234" t="s">
        <v>992</v>
      </c>
      <c r="V3234">
        <v>11</v>
      </c>
    </row>
    <row r="3235" spans="1:22" customFormat="1" ht="15" x14ac:dyDescent="0.25">
      <c r="A3235" t="s">
        <v>217</v>
      </c>
      <c r="B3235" t="s">
        <v>4565</v>
      </c>
      <c r="E3235" s="1516" t="s">
        <v>951</v>
      </c>
      <c r="F3235" s="1516"/>
      <c r="G3235" s="1516"/>
      <c r="H3235" s="1516"/>
      <c r="K3235" t="s">
        <v>3768</v>
      </c>
      <c r="V3235">
        <v>280</v>
      </c>
    </row>
    <row r="3236" spans="1:22" customFormat="1" ht="15" x14ac:dyDescent="0.25">
      <c r="A3236" t="s">
        <v>217</v>
      </c>
      <c r="B3236" t="s">
        <v>4565</v>
      </c>
      <c r="E3236" s="1516" t="s">
        <v>952</v>
      </c>
      <c r="F3236" s="1516"/>
      <c r="G3236" s="1516"/>
      <c r="H3236" s="1516"/>
      <c r="K3236" t="s">
        <v>3768</v>
      </c>
      <c r="V3236">
        <v>411</v>
      </c>
    </row>
    <row r="3237" spans="1:22" customFormat="1" ht="15" x14ac:dyDescent="0.25">
      <c r="A3237" t="s">
        <v>217</v>
      </c>
      <c r="B3237" t="s">
        <v>4565</v>
      </c>
      <c r="E3237" s="1516" t="s">
        <v>4567</v>
      </c>
      <c r="F3237" s="1516"/>
      <c r="G3237" s="1516"/>
      <c r="H3237" s="1516"/>
      <c r="K3237" t="s">
        <v>3768</v>
      </c>
      <c r="V3237">
        <v>385</v>
      </c>
    </row>
    <row r="3238" spans="1:22" customFormat="1" ht="15" x14ac:dyDescent="0.25">
      <c r="A3238" t="s">
        <v>217</v>
      </c>
      <c r="B3238" t="s">
        <v>4565</v>
      </c>
      <c r="E3238" s="1516" t="s">
        <v>3771</v>
      </c>
      <c r="F3238" s="1516"/>
      <c r="G3238" s="1516"/>
      <c r="H3238" s="1516"/>
      <c r="K3238" t="s">
        <v>3768</v>
      </c>
      <c r="V3238">
        <v>677</v>
      </c>
    </row>
    <row r="3239" spans="1:22" customFormat="1" ht="15" x14ac:dyDescent="0.25">
      <c r="A3239" t="s">
        <v>217</v>
      </c>
      <c r="B3239" t="s">
        <v>4565</v>
      </c>
      <c r="E3239" s="1516" t="s">
        <v>3772</v>
      </c>
      <c r="F3239" s="1516"/>
      <c r="G3239" s="1516"/>
      <c r="H3239" s="1516"/>
      <c r="K3239" t="s">
        <v>3768</v>
      </c>
      <c r="V3239">
        <v>693</v>
      </c>
    </row>
    <row r="3240" spans="1:22" customFormat="1" ht="15" x14ac:dyDescent="0.25">
      <c r="A3240" t="s">
        <v>217</v>
      </c>
      <c r="B3240" t="s">
        <v>4565</v>
      </c>
      <c r="E3240" s="1516" t="s">
        <v>954</v>
      </c>
      <c r="F3240" s="1516"/>
      <c r="G3240" s="1516"/>
      <c r="H3240" s="1516"/>
      <c r="K3240" t="s">
        <v>3768</v>
      </c>
      <c r="V3240">
        <v>246</v>
      </c>
    </row>
    <row r="3241" spans="1:22" customFormat="1" ht="15" x14ac:dyDescent="0.25">
      <c r="A3241" t="s">
        <v>217</v>
      </c>
      <c r="B3241" t="s">
        <v>4565</v>
      </c>
      <c r="E3241" s="1514" t="s">
        <v>6708</v>
      </c>
      <c r="F3241" s="1514"/>
      <c r="G3241" s="1514"/>
      <c r="H3241" s="1514"/>
      <c r="K3241" t="s">
        <v>6708</v>
      </c>
      <c r="V3241">
        <v>12</v>
      </c>
    </row>
    <row r="3242" spans="1:22" customFormat="1" ht="15" x14ac:dyDescent="0.25">
      <c r="A3242" t="s">
        <v>217</v>
      </c>
      <c r="B3242" t="s">
        <v>4565</v>
      </c>
      <c r="E3242" s="1515" t="s">
        <v>956</v>
      </c>
      <c r="F3242" s="1516"/>
      <c r="G3242" s="1516"/>
      <c r="H3242" s="1516"/>
      <c r="K3242" t="s">
        <v>995</v>
      </c>
      <c r="V3242">
        <v>46</v>
      </c>
    </row>
    <row r="3243" spans="1:22" customFormat="1" ht="15" x14ac:dyDescent="0.25">
      <c r="A3243" t="s">
        <v>217</v>
      </c>
      <c r="B3243" t="s">
        <v>4565</v>
      </c>
      <c r="E3243" s="1526" t="s">
        <v>3773</v>
      </c>
      <c r="F3243" s="1507"/>
      <c r="G3243" s="387" t="s">
        <v>777</v>
      </c>
      <c r="H3243" s="576">
        <v>125.96</v>
      </c>
      <c r="K3243" t="s">
        <v>3768</v>
      </c>
      <c r="L3243" t="s">
        <v>690</v>
      </c>
      <c r="P3243" t="s">
        <v>3774</v>
      </c>
      <c r="V3243">
        <v>14</v>
      </c>
    </row>
    <row r="3244" spans="1:22" customFormat="1" ht="15" x14ac:dyDescent="0.25">
      <c r="A3244" t="s">
        <v>217</v>
      </c>
      <c r="B3244" t="s">
        <v>4565</v>
      </c>
      <c r="E3244" s="1526" t="s">
        <v>3688</v>
      </c>
      <c r="F3244" s="1507"/>
      <c r="G3244" s="387" t="s">
        <v>3775</v>
      </c>
      <c r="H3244" s="577">
        <v>6.3460000000000001</v>
      </c>
      <c r="K3244" t="s">
        <v>3768</v>
      </c>
      <c r="L3244" t="s">
        <v>690</v>
      </c>
      <c r="P3244" t="s">
        <v>3776</v>
      </c>
      <c r="V3244">
        <v>28</v>
      </c>
    </row>
    <row r="3245" spans="1:22" customFormat="1" ht="15" x14ac:dyDescent="0.25">
      <c r="A3245" t="s">
        <v>217</v>
      </c>
      <c r="B3245" t="s">
        <v>4565</v>
      </c>
      <c r="E3245" s="1526" t="s">
        <v>910</v>
      </c>
      <c r="F3245" s="1507"/>
      <c r="G3245" s="387" t="s">
        <v>3775</v>
      </c>
      <c r="H3245" s="577">
        <v>0.1956</v>
      </c>
      <c r="K3245" t="s">
        <v>3768</v>
      </c>
      <c r="L3245" t="s">
        <v>692</v>
      </c>
      <c r="P3245" t="s">
        <v>3777</v>
      </c>
      <c r="V3245">
        <v>24</v>
      </c>
    </row>
    <row r="3246" spans="1:22" customFormat="1" ht="15" x14ac:dyDescent="0.25">
      <c r="A3246" t="s">
        <v>217</v>
      </c>
      <c r="B3246" t="s">
        <v>4565</v>
      </c>
      <c r="E3246" s="1526" t="s">
        <v>6617</v>
      </c>
      <c r="F3246" s="1510"/>
      <c r="G3246" s="387" t="s">
        <v>3775</v>
      </c>
      <c r="H3246" s="577">
        <v>6.4100000000000004E-2</v>
      </c>
      <c r="K3246" t="s">
        <v>3768</v>
      </c>
      <c r="L3246" t="s">
        <v>692</v>
      </c>
      <c r="P3246" t="s">
        <v>3778</v>
      </c>
      <c r="V3246">
        <v>149</v>
      </c>
    </row>
    <row r="3247" spans="1:22" customFormat="1" ht="15" x14ac:dyDescent="0.25">
      <c r="A3247" t="s">
        <v>217</v>
      </c>
      <c r="B3247" t="s">
        <v>4565</v>
      </c>
      <c r="E3247" s="1526" t="s">
        <v>6519</v>
      </c>
      <c r="F3247" s="1510"/>
      <c r="G3247" s="387" t="s">
        <v>845</v>
      </c>
      <c r="H3247" s="577">
        <v>2.7000000000000001E-3</v>
      </c>
      <c r="K3247" t="s">
        <v>3768</v>
      </c>
      <c r="L3247" t="s">
        <v>692</v>
      </c>
      <c r="P3247" t="s">
        <v>4232</v>
      </c>
      <c r="T3247">
        <v>46022</v>
      </c>
      <c r="V3247">
        <v>142</v>
      </c>
    </row>
    <row r="3248" spans="1:22" customFormat="1" ht="15" x14ac:dyDescent="0.25">
      <c r="A3248" t="s">
        <v>217</v>
      </c>
      <c r="B3248" t="s">
        <v>4565</v>
      </c>
      <c r="E3248" s="1526" t="s">
        <v>6525</v>
      </c>
      <c r="F3248" s="1510"/>
      <c r="G3248" s="387" t="s">
        <v>3775</v>
      </c>
      <c r="H3248" s="577">
        <v>-0.34549999999999997</v>
      </c>
      <c r="K3248" t="s">
        <v>3768</v>
      </c>
      <c r="L3248" t="s">
        <v>692</v>
      </c>
      <c r="P3248" t="s">
        <v>3779</v>
      </c>
      <c r="T3248">
        <v>46022</v>
      </c>
      <c r="V3248">
        <v>159</v>
      </c>
    </row>
    <row r="3249" spans="1:22" customFormat="1" ht="15" x14ac:dyDescent="0.25">
      <c r="A3249" t="s">
        <v>217</v>
      </c>
      <c r="B3249" t="s">
        <v>4565</v>
      </c>
      <c r="E3249" s="1526" t="s">
        <v>6520</v>
      </c>
      <c r="F3249" s="1510"/>
      <c r="G3249" s="387" t="s">
        <v>3775</v>
      </c>
      <c r="H3249" s="577">
        <v>0.19009999999999999</v>
      </c>
      <c r="K3249" t="s">
        <v>3768</v>
      </c>
      <c r="L3249" t="s">
        <v>692</v>
      </c>
      <c r="P3249" t="s">
        <v>3779</v>
      </c>
      <c r="T3249">
        <v>46022</v>
      </c>
      <c r="V3249">
        <v>99</v>
      </c>
    </row>
    <row r="3250" spans="1:22" customFormat="1" ht="15" x14ac:dyDescent="0.25">
      <c r="A3250" t="s">
        <v>217</v>
      </c>
      <c r="B3250" t="s">
        <v>4565</v>
      </c>
      <c r="E3250" s="1526" t="s">
        <v>4571</v>
      </c>
      <c r="F3250" s="1507"/>
      <c r="G3250" s="387" t="s">
        <v>3775</v>
      </c>
      <c r="H3250" s="577">
        <v>4.6456</v>
      </c>
      <c r="K3250" t="s">
        <v>3768</v>
      </c>
      <c r="L3250" t="s">
        <v>694</v>
      </c>
      <c r="P3250" t="s">
        <v>3780</v>
      </c>
      <c r="V3250">
        <v>88</v>
      </c>
    </row>
    <row r="3251" spans="1:22" customFormat="1" ht="15" x14ac:dyDescent="0.25">
      <c r="A3251" t="s">
        <v>217</v>
      </c>
      <c r="B3251" t="s">
        <v>4565</v>
      </c>
      <c r="E3251" s="1526" t="s">
        <v>4572</v>
      </c>
      <c r="F3251" s="1507"/>
      <c r="G3251" s="387" t="s">
        <v>3775</v>
      </c>
      <c r="H3251" s="577">
        <v>4.6394000000000002</v>
      </c>
      <c r="K3251" t="s">
        <v>3768</v>
      </c>
      <c r="L3251" t="s">
        <v>694</v>
      </c>
      <c r="P3251" t="s">
        <v>3780</v>
      </c>
      <c r="V3251">
        <v>87</v>
      </c>
    </row>
    <row r="3252" spans="1:22" customFormat="1" ht="15" x14ac:dyDescent="0.25">
      <c r="A3252" t="s">
        <v>217</v>
      </c>
      <c r="B3252" t="s">
        <v>4565</v>
      </c>
      <c r="E3252" s="1526" t="s">
        <v>6712</v>
      </c>
      <c r="F3252" s="1507"/>
      <c r="G3252" s="387" t="s">
        <v>3775</v>
      </c>
      <c r="H3252" s="577">
        <v>1.2555000000000001</v>
      </c>
      <c r="K3252" t="s">
        <v>3768</v>
      </c>
      <c r="L3252" t="s">
        <v>694</v>
      </c>
      <c r="V3252">
        <v>142</v>
      </c>
    </row>
    <row r="3253" spans="1:22" customFormat="1" ht="15" x14ac:dyDescent="0.25">
      <c r="A3253" t="s">
        <v>217</v>
      </c>
      <c r="B3253" t="s">
        <v>4565</v>
      </c>
      <c r="E3253" s="1526" t="s">
        <v>4573</v>
      </c>
      <c r="F3253" s="1507"/>
      <c r="G3253" s="387" t="s">
        <v>3775</v>
      </c>
      <c r="H3253" s="577">
        <v>1.2544999999999999</v>
      </c>
      <c r="K3253" t="s">
        <v>3768</v>
      </c>
      <c r="L3253" t="s">
        <v>694</v>
      </c>
      <c r="V3253">
        <v>142</v>
      </c>
    </row>
    <row r="3254" spans="1:22" customFormat="1" ht="15" x14ac:dyDescent="0.25">
      <c r="A3254" t="s">
        <v>217</v>
      </c>
      <c r="B3254" t="s">
        <v>4565</v>
      </c>
      <c r="E3254" s="1515" t="s">
        <v>967</v>
      </c>
      <c r="F3254" s="1507"/>
      <c r="G3254" s="1507"/>
      <c r="H3254" s="1507"/>
      <c r="K3254" t="s">
        <v>1003</v>
      </c>
      <c r="V3254">
        <v>48</v>
      </c>
    </row>
    <row r="3255" spans="1:22" customFormat="1" ht="15" x14ac:dyDescent="0.25">
      <c r="A3255" t="s">
        <v>217</v>
      </c>
      <c r="B3255" t="s">
        <v>4565</v>
      </c>
      <c r="E3255" s="1526" t="s">
        <v>844</v>
      </c>
      <c r="F3255" s="1507"/>
      <c r="G3255" s="387" t="s">
        <v>845</v>
      </c>
      <c r="H3255" s="577">
        <v>4.1000000000000003E-3</v>
      </c>
      <c r="K3255" t="s">
        <v>3768</v>
      </c>
      <c r="L3255" t="s">
        <v>968</v>
      </c>
      <c r="P3255" t="s">
        <v>3782</v>
      </c>
      <c r="V3255">
        <v>55</v>
      </c>
    </row>
    <row r="3256" spans="1:22" customFormat="1" ht="15" x14ac:dyDescent="0.25">
      <c r="A3256" t="s">
        <v>217</v>
      </c>
      <c r="B3256" t="s">
        <v>4565</v>
      </c>
      <c r="E3256" s="1526" t="s">
        <v>846</v>
      </c>
      <c r="F3256" s="1507"/>
      <c r="G3256" s="387" t="s">
        <v>845</v>
      </c>
      <c r="H3256" s="577">
        <v>4.0000000000000002E-4</v>
      </c>
      <c r="K3256" t="s">
        <v>3768</v>
      </c>
      <c r="L3256" t="s">
        <v>968</v>
      </c>
      <c r="P3256" t="s">
        <v>3782</v>
      </c>
      <c r="V3256">
        <v>65</v>
      </c>
    </row>
    <row r="3257" spans="1:22" customFormat="1" ht="15" x14ac:dyDescent="0.25">
      <c r="A3257" t="s">
        <v>217</v>
      </c>
      <c r="B3257" t="s">
        <v>4565</v>
      </c>
      <c r="E3257" s="1526" t="s">
        <v>847</v>
      </c>
      <c r="F3257" s="1507"/>
      <c r="G3257" s="387" t="s">
        <v>845</v>
      </c>
      <c r="H3257" s="577">
        <v>1.5E-3</v>
      </c>
      <c r="K3257" t="s">
        <v>3768</v>
      </c>
      <c r="L3257" t="s">
        <v>968</v>
      </c>
      <c r="P3257" t="s">
        <v>3783</v>
      </c>
      <c r="V3257">
        <v>57</v>
      </c>
    </row>
    <row r="3258" spans="1:22" customFormat="1" ht="15" x14ac:dyDescent="0.25">
      <c r="A3258" t="s">
        <v>217</v>
      </c>
      <c r="B3258" t="s">
        <v>4565</v>
      </c>
      <c r="E3258" s="1526" t="s">
        <v>848</v>
      </c>
      <c r="F3258" s="1507"/>
      <c r="G3258" s="387" t="s">
        <v>777</v>
      </c>
      <c r="H3258" s="576">
        <v>0.25</v>
      </c>
      <c r="K3258" t="s">
        <v>3768</v>
      </c>
      <c r="L3258" t="s">
        <v>968</v>
      </c>
      <c r="P3258" t="s">
        <v>3784</v>
      </c>
      <c r="V3258">
        <v>63</v>
      </c>
    </row>
    <row r="3259" spans="1:22" customFormat="1" ht="15" x14ac:dyDescent="0.25">
      <c r="A3259" t="s">
        <v>217</v>
      </c>
      <c r="B3259" t="s">
        <v>4565</v>
      </c>
      <c r="E3259" s="1612" t="s">
        <v>4574</v>
      </c>
      <c r="F3259" s="1507"/>
      <c r="G3259" s="1507"/>
      <c r="H3259" s="1507"/>
      <c r="K3259" t="s">
        <v>3768</v>
      </c>
      <c r="V3259">
        <v>23</v>
      </c>
    </row>
    <row r="3260" spans="1:22" customFormat="1" ht="15" x14ac:dyDescent="0.25">
      <c r="A3260" t="s">
        <v>217</v>
      </c>
      <c r="B3260" t="s">
        <v>4565</v>
      </c>
      <c r="E3260" s="1524" t="s">
        <v>4575</v>
      </c>
      <c r="F3260" s="1524"/>
      <c r="G3260" s="1524"/>
      <c r="H3260" s="1524"/>
      <c r="K3260" t="s">
        <v>3768</v>
      </c>
      <c r="V3260">
        <v>714</v>
      </c>
    </row>
    <row r="3261" spans="1:22" customFormat="1" ht="15" x14ac:dyDescent="0.25">
      <c r="A3261" t="s">
        <v>217</v>
      </c>
      <c r="B3261" t="s">
        <v>4565</v>
      </c>
      <c r="E3261" s="1514" t="s">
        <v>6708</v>
      </c>
      <c r="F3261" s="1514"/>
      <c r="G3261" s="1514"/>
      <c r="H3261" s="1514"/>
      <c r="K3261" t="s">
        <v>6708</v>
      </c>
      <c r="V3261">
        <v>12</v>
      </c>
    </row>
    <row r="3262" spans="1:22" customFormat="1" x14ac:dyDescent="0.25">
      <c r="A3262" t="s">
        <v>217</v>
      </c>
      <c r="B3262" t="s">
        <v>4565</v>
      </c>
      <c r="E3262" s="1527" t="s">
        <v>189</v>
      </c>
      <c r="F3262" s="1493"/>
      <c r="G3262" s="1493"/>
      <c r="H3262" s="1493"/>
      <c r="K3262" t="s">
        <v>4234</v>
      </c>
      <c r="V3262">
        <v>32</v>
      </c>
    </row>
    <row r="3263" spans="1:22" customFormat="1" ht="15" x14ac:dyDescent="0.25">
      <c r="A3263" t="s">
        <v>217</v>
      </c>
      <c r="B3263" t="s">
        <v>4565</v>
      </c>
      <c r="E3263" s="1516" t="s">
        <v>4576</v>
      </c>
      <c r="F3263" s="1516"/>
      <c r="G3263" s="1516"/>
      <c r="H3263" s="1516"/>
      <c r="K3263" t="s">
        <v>4234</v>
      </c>
      <c r="V3263">
        <v>352</v>
      </c>
    </row>
    <row r="3264" spans="1:22" customFormat="1" ht="15" x14ac:dyDescent="0.25">
      <c r="A3264" t="s">
        <v>217</v>
      </c>
      <c r="B3264" t="s">
        <v>4565</v>
      </c>
      <c r="E3264" s="1515" t="s">
        <v>950</v>
      </c>
      <c r="F3264" s="1516"/>
      <c r="G3264" s="1516"/>
      <c r="H3264" s="1516"/>
      <c r="K3264" t="s">
        <v>1010</v>
      </c>
      <c r="V3264">
        <v>11</v>
      </c>
    </row>
    <row r="3265" spans="1:22" customFormat="1" ht="15" x14ac:dyDescent="0.25">
      <c r="A3265" t="s">
        <v>217</v>
      </c>
      <c r="B3265" t="s">
        <v>4565</v>
      </c>
      <c r="E3265" s="1516" t="s">
        <v>951</v>
      </c>
      <c r="F3265" s="1516"/>
      <c r="G3265" s="1516"/>
      <c r="H3265" s="1516"/>
      <c r="K3265" t="s">
        <v>4234</v>
      </c>
      <c r="V3265">
        <v>280</v>
      </c>
    </row>
    <row r="3266" spans="1:22" customFormat="1" ht="15" x14ac:dyDescent="0.25">
      <c r="A3266" t="s">
        <v>217</v>
      </c>
      <c r="B3266" t="s">
        <v>4565</v>
      </c>
      <c r="E3266" s="1516" t="s">
        <v>952</v>
      </c>
      <c r="F3266" s="1516"/>
      <c r="G3266" s="1516"/>
      <c r="H3266" s="1516"/>
      <c r="K3266" t="s">
        <v>4234</v>
      </c>
      <c r="V3266">
        <v>411</v>
      </c>
    </row>
    <row r="3267" spans="1:22" customFormat="1" ht="15" x14ac:dyDescent="0.25">
      <c r="A3267" t="s">
        <v>217</v>
      </c>
      <c r="B3267" t="s">
        <v>4565</v>
      </c>
      <c r="E3267" s="1516" t="s">
        <v>4567</v>
      </c>
      <c r="F3267" s="1516"/>
      <c r="G3267" s="1516"/>
      <c r="H3267" s="1516"/>
      <c r="K3267" t="s">
        <v>4234</v>
      </c>
      <c r="V3267">
        <v>385</v>
      </c>
    </row>
    <row r="3268" spans="1:22" customFormat="1" ht="15" x14ac:dyDescent="0.25">
      <c r="A3268" t="s">
        <v>217</v>
      </c>
      <c r="B3268" t="s">
        <v>4565</v>
      </c>
      <c r="E3268" s="1516" t="s">
        <v>3771</v>
      </c>
      <c r="F3268" s="1516"/>
      <c r="G3268" s="1516"/>
      <c r="H3268" s="1516"/>
      <c r="K3268" t="s">
        <v>4234</v>
      </c>
      <c r="V3268">
        <v>677</v>
      </c>
    </row>
    <row r="3269" spans="1:22" customFormat="1" ht="15" x14ac:dyDescent="0.25">
      <c r="A3269" t="s">
        <v>217</v>
      </c>
      <c r="B3269" t="s">
        <v>4565</v>
      </c>
      <c r="E3269" s="1516" t="s">
        <v>3772</v>
      </c>
      <c r="F3269" s="1516"/>
      <c r="G3269" s="1516"/>
      <c r="H3269" s="1516"/>
      <c r="K3269" t="s">
        <v>4234</v>
      </c>
      <c r="V3269">
        <v>693</v>
      </c>
    </row>
    <row r="3270" spans="1:22" customFormat="1" ht="15" x14ac:dyDescent="0.25">
      <c r="A3270" t="s">
        <v>217</v>
      </c>
      <c r="B3270" t="s">
        <v>4565</v>
      </c>
      <c r="E3270" s="1516" t="s">
        <v>954</v>
      </c>
      <c r="F3270" s="1516"/>
      <c r="G3270" s="1516"/>
      <c r="H3270" s="1516"/>
      <c r="K3270" t="s">
        <v>4234</v>
      </c>
      <c r="V3270">
        <v>246</v>
      </c>
    </row>
    <row r="3271" spans="1:22" customFormat="1" ht="15" x14ac:dyDescent="0.25">
      <c r="A3271" t="s">
        <v>217</v>
      </c>
      <c r="B3271" t="s">
        <v>4565</v>
      </c>
      <c r="E3271" s="1515" t="s">
        <v>956</v>
      </c>
      <c r="F3271" s="1516"/>
      <c r="G3271" s="1516"/>
      <c r="H3271" s="1516"/>
      <c r="K3271" t="s">
        <v>1011</v>
      </c>
      <c r="V3271">
        <v>46</v>
      </c>
    </row>
    <row r="3272" spans="1:22" customFormat="1" ht="15" x14ac:dyDescent="0.25">
      <c r="A3272" t="s">
        <v>217</v>
      </c>
      <c r="B3272" t="s">
        <v>4565</v>
      </c>
      <c r="E3272" s="1526" t="s">
        <v>3773</v>
      </c>
      <c r="F3272" s="1507"/>
      <c r="G3272" s="387" t="s">
        <v>777</v>
      </c>
      <c r="H3272" s="576">
        <v>7359.96</v>
      </c>
      <c r="K3272" t="s">
        <v>4234</v>
      </c>
      <c r="L3272" t="s">
        <v>690</v>
      </c>
      <c r="P3272" t="s">
        <v>4236</v>
      </c>
      <c r="V3272">
        <v>14</v>
      </c>
    </row>
    <row r="3273" spans="1:22" customFormat="1" ht="15" x14ac:dyDescent="0.25">
      <c r="A3273" t="s">
        <v>217</v>
      </c>
      <c r="B3273" t="s">
        <v>4565</v>
      </c>
      <c r="E3273" s="1526" t="s">
        <v>3688</v>
      </c>
      <c r="F3273" s="1507"/>
      <c r="G3273" s="387" t="s">
        <v>3775</v>
      </c>
      <c r="H3273" s="577">
        <v>5.0494000000000003</v>
      </c>
      <c r="K3273" t="s">
        <v>4234</v>
      </c>
      <c r="L3273" t="s">
        <v>690</v>
      </c>
      <c r="P3273" t="s">
        <v>4237</v>
      </c>
      <c r="V3273">
        <v>28</v>
      </c>
    </row>
    <row r="3274" spans="1:22" customFormat="1" ht="15" x14ac:dyDescent="0.25">
      <c r="A3274" t="s">
        <v>217</v>
      </c>
      <c r="B3274" t="s">
        <v>4565</v>
      </c>
      <c r="E3274" s="1526" t="s">
        <v>910</v>
      </c>
      <c r="F3274" s="1507"/>
      <c r="G3274" s="387" t="s">
        <v>3775</v>
      </c>
      <c r="H3274" s="577">
        <v>0.1963</v>
      </c>
      <c r="K3274" t="s">
        <v>4234</v>
      </c>
      <c r="L3274" t="s">
        <v>692</v>
      </c>
      <c r="P3274" t="s">
        <v>4238</v>
      </c>
      <c r="V3274">
        <v>24</v>
      </c>
    </row>
    <row r="3275" spans="1:22" customFormat="1" ht="15" x14ac:dyDescent="0.25">
      <c r="A3275" t="s">
        <v>217</v>
      </c>
      <c r="B3275" t="s">
        <v>4565</v>
      </c>
      <c r="E3275" s="1526" t="s">
        <v>6520</v>
      </c>
      <c r="F3275" s="1510"/>
      <c r="G3275" s="387" t="s">
        <v>3775</v>
      </c>
      <c r="H3275" s="577">
        <v>-0.22589999999999999</v>
      </c>
      <c r="K3275" t="s">
        <v>4234</v>
      </c>
      <c r="L3275" t="s">
        <v>692</v>
      </c>
      <c r="P3275" t="s">
        <v>4240</v>
      </c>
      <c r="T3275">
        <v>46022</v>
      </c>
      <c r="V3275">
        <v>99</v>
      </c>
    </row>
    <row r="3276" spans="1:22" customFormat="1" ht="15" x14ac:dyDescent="0.25">
      <c r="A3276" t="s">
        <v>217</v>
      </c>
      <c r="B3276" t="s">
        <v>4565</v>
      </c>
      <c r="E3276" s="1526" t="s">
        <v>251</v>
      </c>
      <c r="F3276" s="1507"/>
      <c r="G3276" s="387" t="s">
        <v>3775</v>
      </c>
      <c r="H3276" s="577">
        <v>5.1436000000000002</v>
      </c>
      <c r="K3276" t="s">
        <v>4234</v>
      </c>
      <c r="L3276" t="s">
        <v>694</v>
      </c>
      <c r="P3276" t="s">
        <v>4241</v>
      </c>
      <c r="V3276">
        <v>66</v>
      </c>
    </row>
    <row r="3277" spans="1:22" customFormat="1" ht="15" x14ac:dyDescent="0.25">
      <c r="A3277" t="s">
        <v>217</v>
      </c>
      <c r="B3277" t="s">
        <v>4565</v>
      </c>
      <c r="E3277" s="1526" t="s">
        <v>4577</v>
      </c>
      <c r="F3277" s="1507"/>
      <c r="G3277" s="387" t="s">
        <v>3775</v>
      </c>
      <c r="H3277" s="577">
        <v>1.2601</v>
      </c>
      <c r="K3277" t="s">
        <v>4234</v>
      </c>
      <c r="L3277" t="s">
        <v>694</v>
      </c>
      <c r="P3277" t="s">
        <v>4242</v>
      </c>
      <c r="V3277">
        <v>130</v>
      </c>
    </row>
    <row r="3278" spans="1:22" customFormat="1" ht="15" x14ac:dyDescent="0.25">
      <c r="A3278" t="s">
        <v>217</v>
      </c>
      <c r="B3278" t="s">
        <v>4565</v>
      </c>
      <c r="E3278" s="1514" t="s">
        <v>6708</v>
      </c>
      <c r="F3278" s="1514"/>
      <c r="G3278" s="1514"/>
      <c r="H3278" s="1514"/>
      <c r="K3278" t="s">
        <v>6708</v>
      </c>
      <c r="V3278">
        <v>12</v>
      </c>
    </row>
    <row r="3279" spans="1:22" customFormat="1" ht="15" x14ac:dyDescent="0.25">
      <c r="A3279" t="s">
        <v>217</v>
      </c>
      <c r="B3279" t="s">
        <v>4565</v>
      </c>
      <c r="E3279" s="1515" t="s">
        <v>967</v>
      </c>
      <c r="F3279" s="1507"/>
      <c r="G3279" s="1507"/>
      <c r="H3279" s="1507"/>
      <c r="K3279" t="s">
        <v>1019</v>
      </c>
      <c r="V3279">
        <v>48</v>
      </c>
    </row>
    <row r="3280" spans="1:22" customFormat="1" ht="15" x14ac:dyDescent="0.25">
      <c r="A3280" t="s">
        <v>217</v>
      </c>
      <c r="B3280" t="s">
        <v>4565</v>
      </c>
      <c r="E3280" s="1526" t="s">
        <v>844</v>
      </c>
      <c r="F3280" s="1507"/>
      <c r="G3280" s="387" t="s">
        <v>845</v>
      </c>
      <c r="H3280" s="577">
        <v>4.1000000000000003E-3</v>
      </c>
      <c r="K3280" t="s">
        <v>4234</v>
      </c>
      <c r="L3280" t="s">
        <v>968</v>
      </c>
      <c r="P3280" t="s">
        <v>4243</v>
      </c>
      <c r="V3280">
        <v>55</v>
      </c>
    </row>
    <row r="3281" spans="1:22" customFormat="1" ht="15" x14ac:dyDescent="0.25">
      <c r="A3281" t="s">
        <v>217</v>
      </c>
      <c r="B3281" t="s">
        <v>4565</v>
      </c>
      <c r="E3281" s="1526" t="s">
        <v>846</v>
      </c>
      <c r="F3281" s="1507"/>
      <c r="G3281" s="387" t="s">
        <v>845</v>
      </c>
      <c r="H3281" s="577">
        <v>4.0000000000000002E-4</v>
      </c>
      <c r="K3281" t="s">
        <v>4234</v>
      </c>
      <c r="L3281" t="s">
        <v>968</v>
      </c>
      <c r="P3281" t="s">
        <v>4243</v>
      </c>
      <c r="V3281">
        <v>65</v>
      </c>
    </row>
    <row r="3282" spans="1:22" customFormat="1" ht="15" x14ac:dyDescent="0.25">
      <c r="A3282" t="s">
        <v>217</v>
      </c>
      <c r="B3282" t="s">
        <v>4565</v>
      </c>
      <c r="E3282" s="1526" t="s">
        <v>847</v>
      </c>
      <c r="F3282" s="1507"/>
      <c r="G3282" s="387" t="s">
        <v>845</v>
      </c>
      <c r="H3282" s="577">
        <v>1.5E-3</v>
      </c>
      <c r="K3282" t="s">
        <v>4234</v>
      </c>
      <c r="L3282" t="s">
        <v>968</v>
      </c>
      <c r="P3282" t="s">
        <v>4244</v>
      </c>
      <c r="V3282">
        <v>57</v>
      </c>
    </row>
    <row r="3283" spans="1:22" customFormat="1" ht="15" x14ac:dyDescent="0.25">
      <c r="A3283" t="s">
        <v>217</v>
      </c>
      <c r="B3283" t="s">
        <v>4565</v>
      </c>
      <c r="E3283" s="1526" t="s">
        <v>848</v>
      </c>
      <c r="F3283" s="1507"/>
      <c r="G3283" s="387" t="s">
        <v>777</v>
      </c>
      <c r="H3283" s="576">
        <v>0.25</v>
      </c>
      <c r="K3283" t="s">
        <v>4234</v>
      </c>
      <c r="L3283" t="s">
        <v>968</v>
      </c>
      <c r="P3283" t="s">
        <v>4245</v>
      </c>
      <c r="V3283">
        <v>63</v>
      </c>
    </row>
    <row r="3284" spans="1:22" customFormat="1" ht="15" x14ac:dyDescent="0.25">
      <c r="A3284" t="s">
        <v>217</v>
      </c>
      <c r="B3284" t="s">
        <v>4565</v>
      </c>
      <c r="E3284" s="1612" t="s">
        <v>4574</v>
      </c>
      <c r="F3284" s="1507"/>
      <c r="G3284" s="1507"/>
      <c r="H3284" s="1507"/>
      <c r="K3284" t="s">
        <v>4234</v>
      </c>
      <c r="V3284">
        <v>23</v>
      </c>
    </row>
    <row r="3285" spans="1:22" customFormat="1" ht="15" x14ac:dyDescent="0.25">
      <c r="A3285" t="s">
        <v>217</v>
      </c>
      <c r="B3285" t="s">
        <v>4565</v>
      </c>
      <c r="E3285" s="1524" t="s">
        <v>4575</v>
      </c>
      <c r="F3285" s="1524"/>
      <c r="G3285" s="1524"/>
      <c r="H3285" s="1524"/>
      <c r="K3285" t="s">
        <v>4234</v>
      </c>
      <c r="V3285">
        <v>714</v>
      </c>
    </row>
    <row r="3286" spans="1:22" customFormat="1" ht="15" x14ac:dyDescent="0.25">
      <c r="A3286" t="s">
        <v>217</v>
      </c>
      <c r="B3286" t="s">
        <v>4565</v>
      </c>
      <c r="E3286" s="1514" t="s">
        <v>6708</v>
      </c>
      <c r="F3286" s="1514"/>
      <c r="G3286" s="1514"/>
      <c r="H3286" s="1514"/>
      <c r="K3286" t="s">
        <v>6708</v>
      </c>
      <c r="V3286">
        <v>12</v>
      </c>
    </row>
    <row r="3287" spans="1:22" customFormat="1" x14ac:dyDescent="0.25">
      <c r="A3287" t="s">
        <v>217</v>
      </c>
      <c r="B3287" t="s">
        <v>4565</v>
      </c>
      <c r="E3287" s="1527" t="s">
        <v>194</v>
      </c>
      <c r="F3287" s="1493"/>
      <c r="G3287" s="1493"/>
      <c r="H3287" s="1493"/>
      <c r="K3287" t="s">
        <v>1023</v>
      </c>
      <c r="V3287">
        <v>47</v>
      </c>
    </row>
    <row r="3288" spans="1:22" customFormat="1" ht="15" x14ac:dyDescent="0.25">
      <c r="A3288" t="s">
        <v>217</v>
      </c>
      <c r="B3288" t="s">
        <v>4565</v>
      </c>
      <c r="E3288" s="1516" t="s">
        <v>4578</v>
      </c>
      <c r="F3288" s="1516"/>
      <c r="G3288" s="1516"/>
      <c r="H3288" s="1516"/>
      <c r="K3288" t="s">
        <v>1023</v>
      </c>
      <c r="V3288">
        <v>723</v>
      </c>
    </row>
    <row r="3289" spans="1:22" customFormat="1" ht="15" x14ac:dyDescent="0.25">
      <c r="A3289" t="s">
        <v>217</v>
      </c>
      <c r="B3289" t="s">
        <v>4565</v>
      </c>
      <c r="E3289" s="1515" t="s">
        <v>950</v>
      </c>
      <c r="F3289" s="1516"/>
      <c r="G3289" s="1516"/>
      <c r="H3289" s="1516"/>
      <c r="K3289" t="s">
        <v>1025</v>
      </c>
      <c r="V3289">
        <v>11</v>
      </c>
    </row>
    <row r="3290" spans="1:22" customFormat="1" ht="15" x14ac:dyDescent="0.25">
      <c r="A3290" t="s">
        <v>217</v>
      </c>
      <c r="B3290" t="s">
        <v>4565</v>
      </c>
      <c r="E3290" s="1516" t="s">
        <v>951</v>
      </c>
      <c r="F3290" s="1516"/>
      <c r="G3290" s="1516"/>
      <c r="H3290" s="1516"/>
      <c r="K3290" t="s">
        <v>1023</v>
      </c>
      <c r="V3290">
        <v>280</v>
      </c>
    </row>
    <row r="3291" spans="1:22" customFormat="1" ht="15" x14ac:dyDescent="0.25">
      <c r="A3291" t="s">
        <v>217</v>
      </c>
      <c r="B3291" t="s">
        <v>4565</v>
      </c>
      <c r="E3291" s="1516" t="s">
        <v>952</v>
      </c>
      <c r="F3291" s="1516"/>
      <c r="G3291" s="1516"/>
      <c r="H3291" s="1516"/>
      <c r="K3291" t="s">
        <v>1023</v>
      </c>
      <c r="V3291">
        <v>411</v>
      </c>
    </row>
    <row r="3292" spans="1:22" customFormat="1" ht="15" x14ac:dyDescent="0.25">
      <c r="A3292" t="s">
        <v>217</v>
      </c>
      <c r="B3292" t="s">
        <v>4565</v>
      </c>
      <c r="E3292" s="1516" t="s">
        <v>4567</v>
      </c>
      <c r="F3292" s="1516"/>
      <c r="G3292" s="1516"/>
      <c r="H3292" s="1516"/>
      <c r="K3292" t="s">
        <v>1023</v>
      </c>
      <c r="V3292">
        <v>385</v>
      </c>
    </row>
    <row r="3293" spans="1:22" customFormat="1" ht="15" x14ac:dyDescent="0.25">
      <c r="A3293" t="s">
        <v>217</v>
      </c>
      <c r="B3293" t="s">
        <v>4565</v>
      </c>
      <c r="E3293" s="1516" t="s">
        <v>954</v>
      </c>
      <c r="F3293" s="1516"/>
      <c r="G3293" s="1516"/>
      <c r="H3293" s="1516"/>
      <c r="K3293" t="s">
        <v>1023</v>
      </c>
      <c r="V3293">
        <v>246</v>
      </c>
    </row>
    <row r="3294" spans="1:22" customFormat="1" ht="15" x14ac:dyDescent="0.25">
      <c r="A3294" t="s">
        <v>217</v>
      </c>
      <c r="B3294" t="s">
        <v>4565</v>
      </c>
      <c r="E3294" s="1515" t="s">
        <v>956</v>
      </c>
      <c r="F3294" s="1516"/>
      <c r="G3294" s="1516"/>
      <c r="H3294" s="1516"/>
      <c r="K3294" t="s">
        <v>1026</v>
      </c>
      <c r="V3294">
        <v>46</v>
      </c>
    </row>
    <row r="3295" spans="1:22" customFormat="1" ht="15" x14ac:dyDescent="0.25">
      <c r="A3295" t="s">
        <v>217</v>
      </c>
      <c r="B3295" t="s">
        <v>4565</v>
      </c>
      <c r="E3295" s="1526" t="s">
        <v>3874</v>
      </c>
      <c r="F3295" s="1507"/>
      <c r="G3295" s="387" t="s">
        <v>777</v>
      </c>
      <c r="H3295" s="576">
        <v>11.2</v>
      </c>
      <c r="K3295" t="s">
        <v>1023</v>
      </c>
      <c r="L3295" t="s">
        <v>690</v>
      </c>
      <c r="P3295" t="s">
        <v>1027</v>
      </c>
      <c r="V3295">
        <v>31</v>
      </c>
    </row>
    <row r="3296" spans="1:22" customFormat="1" ht="15" x14ac:dyDescent="0.25">
      <c r="A3296" t="s">
        <v>217</v>
      </c>
      <c r="B3296" t="s">
        <v>4565</v>
      </c>
      <c r="E3296" s="1526" t="s">
        <v>3688</v>
      </c>
      <c r="F3296" s="1507"/>
      <c r="G3296" s="387" t="s">
        <v>845</v>
      </c>
      <c r="H3296" s="577">
        <v>2.0199999999999999E-2</v>
      </c>
      <c r="K3296" t="s">
        <v>1023</v>
      </c>
      <c r="L3296" t="s">
        <v>690</v>
      </c>
      <c r="P3296" t="s">
        <v>1029</v>
      </c>
      <c r="V3296">
        <v>28</v>
      </c>
    </row>
    <row r="3297" spans="1:22" customFormat="1" ht="15" x14ac:dyDescent="0.25">
      <c r="A3297" t="s">
        <v>217</v>
      </c>
      <c r="B3297" t="s">
        <v>4565</v>
      </c>
      <c r="E3297" s="1526" t="s">
        <v>910</v>
      </c>
      <c r="F3297" s="1507"/>
      <c r="G3297" s="387" t="s">
        <v>845</v>
      </c>
      <c r="H3297" s="399">
        <v>4.0000000000000002E-4</v>
      </c>
      <c r="K3297" t="s">
        <v>1023</v>
      </c>
      <c r="L3297" t="s">
        <v>692</v>
      </c>
      <c r="P3297" t="s">
        <v>1030</v>
      </c>
      <c r="V3297">
        <v>24</v>
      </c>
    </row>
    <row r="3298" spans="1:22" customFormat="1" ht="15" x14ac:dyDescent="0.25">
      <c r="A3298" t="s">
        <v>217</v>
      </c>
      <c r="B3298" t="s">
        <v>4565</v>
      </c>
      <c r="E3298" s="1526" t="s">
        <v>6617</v>
      </c>
      <c r="F3298" s="1510"/>
      <c r="G3298" s="387" t="s">
        <v>845</v>
      </c>
      <c r="H3298" s="399">
        <v>2.0000000000000001E-4</v>
      </c>
      <c r="K3298" t="s">
        <v>1023</v>
      </c>
      <c r="L3298" t="s">
        <v>692</v>
      </c>
      <c r="P3298" t="s">
        <v>4520</v>
      </c>
      <c r="V3298">
        <v>149</v>
      </c>
    </row>
    <row r="3299" spans="1:22" customFormat="1" ht="15" x14ac:dyDescent="0.25">
      <c r="A3299" t="s">
        <v>217</v>
      </c>
      <c r="B3299" t="s">
        <v>4565</v>
      </c>
      <c r="E3299" s="1526" t="s">
        <v>6520</v>
      </c>
      <c r="F3299" s="1510"/>
      <c r="G3299" s="387" t="s">
        <v>845</v>
      </c>
      <c r="H3299" s="399">
        <v>-4.0000000000000002E-4</v>
      </c>
      <c r="K3299" t="s">
        <v>1023</v>
      </c>
      <c r="L3299" t="s">
        <v>692</v>
      </c>
      <c r="P3299" t="s">
        <v>1032</v>
      </c>
      <c r="T3299">
        <v>46022</v>
      </c>
      <c r="V3299">
        <v>99</v>
      </c>
    </row>
    <row r="3300" spans="1:22" customFormat="1" ht="15" x14ac:dyDescent="0.25">
      <c r="A3300" t="s">
        <v>217</v>
      </c>
      <c r="B3300" t="s">
        <v>4565</v>
      </c>
      <c r="E3300" s="1526" t="s">
        <v>243</v>
      </c>
      <c r="F3300" s="1507"/>
      <c r="G3300" s="387" t="s">
        <v>845</v>
      </c>
      <c r="H3300" s="577">
        <v>1.06E-2</v>
      </c>
      <c r="K3300" t="s">
        <v>1023</v>
      </c>
      <c r="L3300" t="s">
        <v>694</v>
      </c>
      <c r="P3300" t="s">
        <v>1033</v>
      </c>
      <c r="V3300">
        <v>47</v>
      </c>
    </row>
    <row r="3301" spans="1:22" customFormat="1" ht="15" x14ac:dyDescent="0.25">
      <c r="A3301" t="s">
        <v>217</v>
      </c>
      <c r="B3301" t="s">
        <v>4565</v>
      </c>
      <c r="E3301" s="1526" t="s">
        <v>175</v>
      </c>
      <c r="F3301" s="1507"/>
      <c r="G3301" s="387" t="s">
        <v>845</v>
      </c>
      <c r="H3301" s="577">
        <v>2.5999999999999999E-3</v>
      </c>
      <c r="K3301" t="s">
        <v>1023</v>
      </c>
      <c r="L3301" t="s">
        <v>694</v>
      </c>
      <c r="P3301" t="s">
        <v>1034</v>
      </c>
      <c r="V3301">
        <v>74</v>
      </c>
    </row>
    <row r="3302" spans="1:22" customFormat="1" ht="15" x14ac:dyDescent="0.25">
      <c r="A3302" t="s">
        <v>217</v>
      </c>
      <c r="B3302" t="s">
        <v>4565</v>
      </c>
      <c r="E3302" s="1515" t="s">
        <v>967</v>
      </c>
      <c r="F3302" s="1507"/>
      <c r="G3302" s="1507"/>
      <c r="H3302" s="1507"/>
      <c r="K3302" t="s">
        <v>1035</v>
      </c>
      <c r="V3302">
        <v>48</v>
      </c>
    </row>
    <row r="3303" spans="1:22" customFormat="1" ht="15" x14ac:dyDescent="0.25">
      <c r="A3303" t="s">
        <v>217</v>
      </c>
      <c r="B3303" t="s">
        <v>4565</v>
      </c>
      <c r="E3303" s="1526" t="s">
        <v>844</v>
      </c>
      <c r="F3303" s="1507"/>
      <c r="G3303" s="387" t="s">
        <v>845</v>
      </c>
      <c r="H3303" s="399">
        <v>4.1000000000000003E-3</v>
      </c>
      <c r="K3303" t="s">
        <v>1023</v>
      </c>
      <c r="L3303" t="s">
        <v>968</v>
      </c>
      <c r="P3303" t="s">
        <v>1036</v>
      </c>
      <c r="V3303">
        <v>55</v>
      </c>
    </row>
    <row r="3304" spans="1:22" customFormat="1" ht="15" x14ac:dyDescent="0.25">
      <c r="A3304" t="s">
        <v>217</v>
      </c>
      <c r="B3304" t="s">
        <v>4565</v>
      </c>
      <c r="E3304" s="1526" t="s">
        <v>846</v>
      </c>
      <c r="F3304" s="1507"/>
      <c r="G3304" s="387" t="s">
        <v>845</v>
      </c>
      <c r="H3304" s="399">
        <v>4.0000000000000002E-4</v>
      </c>
      <c r="K3304" t="s">
        <v>1023</v>
      </c>
      <c r="L3304" t="s">
        <v>968</v>
      </c>
      <c r="P3304" t="s">
        <v>1036</v>
      </c>
      <c r="V3304">
        <v>65</v>
      </c>
    </row>
    <row r="3305" spans="1:22" customFormat="1" ht="15" x14ac:dyDescent="0.25">
      <c r="A3305" t="s">
        <v>217</v>
      </c>
      <c r="B3305" t="s">
        <v>4565</v>
      </c>
      <c r="E3305" s="1526" t="s">
        <v>847</v>
      </c>
      <c r="F3305" s="1507"/>
      <c r="G3305" s="387" t="s">
        <v>845</v>
      </c>
      <c r="H3305" s="399">
        <v>1.5E-3</v>
      </c>
      <c r="K3305" t="s">
        <v>1023</v>
      </c>
      <c r="L3305" t="s">
        <v>968</v>
      </c>
      <c r="P3305" t="s">
        <v>1037</v>
      </c>
      <c r="V3305">
        <v>57</v>
      </c>
    </row>
    <row r="3306" spans="1:22" customFormat="1" ht="15" x14ac:dyDescent="0.25">
      <c r="A3306" t="s">
        <v>217</v>
      </c>
      <c r="B3306" t="s">
        <v>4565</v>
      </c>
      <c r="E3306" s="1526" t="s">
        <v>848</v>
      </c>
      <c r="F3306" s="1507"/>
      <c r="G3306" s="387" t="s">
        <v>777</v>
      </c>
      <c r="H3306" s="398">
        <v>0.25</v>
      </c>
      <c r="K3306" t="s">
        <v>1023</v>
      </c>
      <c r="L3306" t="s">
        <v>968</v>
      </c>
      <c r="P3306" t="s">
        <v>1038</v>
      </c>
      <c r="V3306">
        <v>63</v>
      </c>
    </row>
    <row r="3307" spans="1:22" customFormat="1" ht="15" x14ac:dyDescent="0.25">
      <c r="A3307" t="s">
        <v>217</v>
      </c>
      <c r="B3307" t="s">
        <v>4565</v>
      </c>
      <c r="E3307" s="1514" t="s">
        <v>6708</v>
      </c>
      <c r="F3307" s="1514"/>
      <c r="G3307" s="1514"/>
      <c r="H3307" s="1514"/>
      <c r="K3307" t="s">
        <v>6708</v>
      </c>
      <c r="V3307">
        <v>12</v>
      </c>
    </row>
    <row r="3308" spans="1:22" customFormat="1" x14ac:dyDescent="0.25">
      <c r="A3308" t="s">
        <v>217</v>
      </c>
      <c r="B3308" t="s">
        <v>4565</v>
      </c>
      <c r="E3308" s="1527" t="s">
        <v>202</v>
      </c>
      <c r="F3308" s="1493"/>
      <c r="G3308" s="1493"/>
      <c r="H3308" s="1493"/>
      <c r="K3308" t="s">
        <v>3811</v>
      </c>
      <c r="V3308">
        <v>38</v>
      </c>
    </row>
    <row r="3309" spans="1:22" customFormat="1" ht="15" x14ac:dyDescent="0.25">
      <c r="A3309" t="s">
        <v>217</v>
      </c>
      <c r="B3309" t="s">
        <v>4565</v>
      </c>
      <c r="E3309" s="1516" t="s">
        <v>4579</v>
      </c>
      <c r="F3309" s="1516"/>
      <c r="G3309" s="1516"/>
      <c r="H3309" s="1516"/>
      <c r="K3309" t="s">
        <v>3811</v>
      </c>
      <c r="V3309">
        <v>543</v>
      </c>
    </row>
    <row r="3310" spans="1:22" customFormat="1" ht="15" x14ac:dyDescent="0.25">
      <c r="A3310" t="s">
        <v>217</v>
      </c>
      <c r="B3310" t="s">
        <v>4565</v>
      </c>
      <c r="E3310" s="1515" t="s">
        <v>950</v>
      </c>
      <c r="F3310" s="1516"/>
      <c r="G3310" s="1516"/>
      <c r="H3310" s="1516"/>
      <c r="K3310" t="s">
        <v>1041</v>
      </c>
      <c r="V3310">
        <v>11</v>
      </c>
    </row>
    <row r="3311" spans="1:22" customFormat="1" ht="15" x14ac:dyDescent="0.25">
      <c r="A3311" t="s">
        <v>217</v>
      </c>
      <c r="B3311" t="s">
        <v>4565</v>
      </c>
      <c r="E3311" s="1516" t="s">
        <v>951</v>
      </c>
      <c r="F3311" s="1516"/>
      <c r="G3311" s="1516"/>
      <c r="H3311" s="1516"/>
      <c r="K3311" t="s">
        <v>3811</v>
      </c>
      <c r="V3311">
        <v>280</v>
      </c>
    </row>
    <row r="3312" spans="1:22" customFormat="1" ht="15" x14ac:dyDescent="0.25">
      <c r="A3312" t="s">
        <v>217</v>
      </c>
      <c r="B3312" t="s">
        <v>4565</v>
      </c>
      <c r="E3312" s="1516" t="s">
        <v>952</v>
      </c>
      <c r="F3312" s="1516"/>
      <c r="G3312" s="1516"/>
      <c r="H3312" s="1516"/>
      <c r="K3312" t="s">
        <v>3811</v>
      </c>
      <c r="V3312">
        <v>411</v>
      </c>
    </row>
    <row r="3313" spans="1:22" customFormat="1" ht="15" x14ac:dyDescent="0.25">
      <c r="A3313" t="s">
        <v>217</v>
      </c>
      <c r="B3313" t="s">
        <v>4565</v>
      </c>
      <c r="E3313" s="1516" t="s">
        <v>4567</v>
      </c>
      <c r="F3313" s="1516"/>
      <c r="G3313" s="1516"/>
      <c r="H3313" s="1516"/>
      <c r="K3313" t="s">
        <v>3811</v>
      </c>
      <c r="V3313">
        <v>385</v>
      </c>
    </row>
    <row r="3314" spans="1:22" customFormat="1" ht="15" x14ac:dyDescent="0.25">
      <c r="A3314" t="s">
        <v>217</v>
      </c>
      <c r="B3314" t="s">
        <v>4565</v>
      </c>
      <c r="E3314" s="1516" t="s">
        <v>954</v>
      </c>
      <c r="F3314" s="1516"/>
      <c r="G3314" s="1516"/>
      <c r="H3314" s="1516"/>
      <c r="K3314" t="s">
        <v>3811</v>
      </c>
      <c r="V3314">
        <v>246</v>
      </c>
    </row>
    <row r="3315" spans="1:22" customFormat="1" ht="15" x14ac:dyDescent="0.25">
      <c r="A3315" t="s">
        <v>217</v>
      </c>
      <c r="B3315" t="s">
        <v>4565</v>
      </c>
      <c r="E3315" s="1515" t="s">
        <v>956</v>
      </c>
      <c r="F3315" s="1516"/>
      <c r="G3315" s="1516"/>
      <c r="H3315" s="1516"/>
      <c r="K3315" t="s">
        <v>1042</v>
      </c>
      <c r="V3315">
        <v>46</v>
      </c>
    </row>
    <row r="3316" spans="1:22" customFormat="1" ht="15" x14ac:dyDescent="0.25">
      <c r="A3316" t="s">
        <v>217</v>
      </c>
      <c r="B3316" t="s">
        <v>4565</v>
      </c>
      <c r="E3316" s="1526" t="s">
        <v>4449</v>
      </c>
      <c r="F3316" s="1507"/>
      <c r="G3316" s="387" t="s">
        <v>777</v>
      </c>
      <c r="H3316" s="576">
        <v>0.41</v>
      </c>
      <c r="K3316" t="s">
        <v>3811</v>
      </c>
      <c r="L3316" t="s">
        <v>690</v>
      </c>
      <c r="P3316" t="s">
        <v>3813</v>
      </c>
      <c r="V3316">
        <v>27</v>
      </c>
    </row>
    <row r="3317" spans="1:22" customFormat="1" ht="15" x14ac:dyDescent="0.25">
      <c r="A3317" t="s">
        <v>217</v>
      </c>
      <c r="B3317" t="s">
        <v>4565</v>
      </c>
      <c r="E3317" s="1526" t="s">
        <v>3688</v>
      </c>
      <c r="F3317" s="1507"/>
      <c r="G3317" s="387" t="s">
        <v>3775</v>
      </c>
      <c r="H3317" s="577">
        <v>11.6145</v>
      </c>
      <c r="K3317" t="s">
        <v>3811</v>
      </c>
      <c r="L3317" t="s">
        <v>690</v>
      </c>
      <c r="P3317" t="s">
        <v>3814</v>
      </c>
      <c r="V3317">
        <v>28</v>
      </c>
    </row>
    <row r="3318" spans="1:22" customFormat="1" ht="15" x14ac:dyDescent="0.25">
      <c r="A3318" t="s">
        <v>217</v>
      </c>
      <c r="B3318" t="s">
        <v>4565</v>
      </c>
      <c r="E3318" s="1526" t="s">
        <v>910</v>
      </c>
      <c r="F3318" s="1507"/>
      <c r="G3318" s="387" t="s">
        <v>3775</v>
      </c>
      <c r="H3318" s="399">
        <v>0.1211</v>
      </c>
      <c r="K3318" t="s">
        <v>3811</v>
      </c>
      <c r="L3318" t="s">
        <v>692</v>
      </c>
      <c r="P3318" t="s">
        <v>3815</v>
      </c>
      <c r="V3318">
        <v>24</v>
      </c>
    </row>
    <row r="3319" spans="1:22" customFormat="1" ht="15" x14ac:dyDescent="0.25">
      <c r="A3319" t="s">
        <v>217</v>
      </c>
      <c r="B3319" t="s">
        <v>4565</v>
      </c>
      <c r="E3319" s="1526" t="s">
        <v>6617</v>
      </c>
      <c r="F3319" s="1510"/>
      <c r="G3319" s="387" t="s">
        <v>3775</v>
      </c>
      <c r="H3319" s="399">
        <v>6.2899999999999998E-2</v>
      </c>
      <c r="K3319" t="s">
        <v>3811</v>
      </c>
      <c r="L3319" t="s">
        <v>692</v>
      </c>
      <c r="P3319" t="s">
        <v>3816</v>
      </c>
      <c r="V3319">
        <v>149</v>
      </c>
    </row>
    <row r="3320" spans="1:22" customFormat="1" ht="15" x14ac:dyDescent="0.25">
      <c r="A3320" t="s">
        <v>217</v>
      </c>
      <c r="B3320" t="s">
        <v>4565</v>
      </c>
      <c r="E3320" s="1526" t="s">
        <v>6519</v>
      </c>
      <c r="F3320" s="1510"/>
      <c r="G3320" s="387" t="s">
        <v>845</v>
      </c>
      <c r="H3320" s="399">
        <v>2.7000000000000001E-3</v>
      </c>
      <c r="K3320" t="s">
        <v>3811</v>
      </c>
      <c r="L3320" t="s">
        <v>692</v>
      </c>
      <c r="P3320" t="s">
        <v>4543</v>
      </c>
      <c r="T3320">
        <v>46022</v>
      </c>
      <c r="V3320">
        <v>142</v>
      </c>
    </row>
    <row r="3321" spans="1:22" customFormat="1" ht="15" x14ac:dyDescent="0.25">
      <c r="A3321" t="s">
        <v>217</v>
      </c>
      <c r="B3321" t="s">
        <v>4565</v>
      </c>
      <c r="E3321" s="1526" t="s">
        <v>6520</v>
      </c>
      <c r="F3321" s="1510"/>
      <c r="G3321" s="387" t="s">
        <v>3775</v>
      </c>
      <c r="H3321" s="399">
        <v>-0.1434</v>
      </c>
      <c r="K3321" t="s">
        <v>3811</v>
      </c>
      <c r="L3321" t="s">
        <v>692</v>
      </c>
      <c r="P3321" t="s">
        <v>3817</v>
      </c>
      <c r="T3321">
        <v>46022</v>
      </c>
      <c r="V3321">
        <v>99</v>
      </c>
    </row>
    <row r="3322" spans="1:22" customFormat="1" ht="15" x14ac:dyDescent="0.25">
      <c r="A3322" t="s">
        <v>217</v>
      </c>
      <c r="B3322" t="s">
        <v>4565</v>
      </c>
      <c r="E3322" s="1526" t="s">
        <v>243</v>
      </c>
      <c r="F3322" s="1507"/>
      <c r="G3322" s="387" t="s">
        <v>3775</v>
      </c>
      <c r="H3322" s="577">
        <v>3.2988</v>
      </c>
      <c r="K3322" t="s">
        <v>3811</v>
      </c>
      <c r="L3322" t="s">
        <v>694</v>
      </c>
      <c r="P3322" t="s">
        <v>3818</v>
      </c>
      <c r="V3322">
        <v>47</v>
      </c>
    </row>
    <row r="3323" spans="1:22" customFormat="1" ht="15" x14ac:dyDescent="0.25">
      <c r="A3323" t="s">
        <v>217</v>
      </c>
      <c r="B3323" t="s">
        <v>4565</v>
      </c>
      <c r="E3323" s="1526" t="s">
        <v>175</v>
      </c>
      <c r="F3323" s="1507"/>
      <c r="G3323" s="387" t="s">
        <v>3775</v>
      </c>
      <c r="H3323" s="577">
        <v>0.77700000000000002</v>
      </c>
      <c r="K3323" t="s">
        <v>3811</v>
      </c>
      <c r="L3323" t="s">
        <v>694</v>
      </c>
      <c r="P3323" t="s">
        <v>3819</v>
      </c>
      <c r="V3323">
        <v>74</v>
      </c>
    </row>
    <row r="3324" spans="1:22" customFormat="1" ht="15" x14ac:dyDescent="0.25">
      <c r="A3324" t="s">
        <v>217</v>
      </c>
      <c r="B3324" t="s">
        <v>4565</v>
      </c>
      <c r="E3324" s="1515" t="s">
        <v>967</v>
      </c>
      <c r="F3324" s="1507"/>
      <c r="G3324" s="1507"/>
      <c r="H3324" s="1507"/>
      <c r="K3324" t="s">
        <v>1049</v>
      </c>
      <c r="V3324">
        <v>48</v>
      </c>
    </row>
    <row r="3325" spans="1:22" customFormat="1" ht="15" x14ac:dyDescent="0.25">
      <c r="A3325" t="s">
        <v>217</v>
      </c>
      <c r="B3325" t="s">
        <v>4565</v>
      </c>
      <c r="E3325" s="1526" t="s">
        <v>844</v>
      </c>
      <c r="F3325" s="1507"/>
      <c r="G3325" s="387" t="s">
        <v>845</v>
      </c>
      <c r="H3325" s="399">
        <v>4.1000000000000003E-3</v>
      </c>
      <c r="K3325" t="s">
        <v>3811</v>
      </c>
      <c r="L3325" t="s">
        <v>968</v>
      </c>
      <c r="P3325" t="s">
        <v>3820</v>
      </c>
      <c r="V3325">
        <v>55</v>
      </c>
    </row>
    <row r="3326" spans="1:22" customFormat="1" ht="15" x14ac:dyDescent="0.25">
      <c r="A3326" t="s">
        <v>217</v>
      </c>
      <c r="B3326" t="s">
        <v>4565</v>
      </c>
      <c r="E3326" s="1526" t="s">
        <v>846</v>
      </c>
      <c r="F3326" s="1507"/>
      <c r="G3326" s="387" t="s">
        <v>845</v>
      </c>
      <c r="H3326" s="399">
        <v>4.0000000000000002E-4</v>
      </c>
      <c r="K3326" t="s">
        <v>3811</v>
      </c>
      <c r="L3326" t="s">
        <v>968</v>
      </c>
      <c r="P3326" t="s">
        <v>3820</v>
      </c>
      <c r="V3326">
        <v>65</v>
      </c>
    </row>
    <row r="3327" spans="1:22" customFormat="1" ht="15" x14ac:dyDescent="0.25">
      <c r="A3327" t="s">
        <v>217</v>
      </c>
      <c r="B3327" t="s">
        <v>4565</v>
      </c>
      <c r="E3327" s="1526" t="s">
        <v>847</v>
      </c>
      <c r="F3327" s="1507"/>
      <c r="G3327" s="387" t="s">
        <v>845</v>
      </c>
      <c r="H3327" s="399">
        <v>1.5E-3</v>
      </c>
      <c r="K3327" t="s">
        <v>3811</v>
      </c>
      <c r="L3327" t="s">
        <v>968</v>
      </c>
      <c r="P3327" t="s">
        <v>3821</v>
      </c>
      <c r="V3327">
        <v>57</v>
      </c>
    </row>
    <row r="3328" spans="1:22" customFormat="1" ht="15" x14ac:dyDescent="0.25">
      <c r="A3328" t="s">
        <v>217</v>
      </c>
      <c r="B3328" t="s">
        <v>4565</v>
      </c>
      <c r="E3328" s="1526" t="s">
        <v>848</v>
      </c>
      <c r="F3328" s="1507"/>
      <c r="G3328" s="387" t="s">
        <v>777</v>
      </c>
      <c r="H3328" s="398">
        <v>0.25</v>
      </c>
      <c r="K3328" t="s">
        <v>3811</v>
      </c>
      <c r="L3328" t="s">
        <v>968</v>
      </c>
      <c r="P3328" t="s">
        <v>3822</v>
      </c>
      <c r="V3328">
        <v>63</v>
      </c>
    </row>
    <row r="3329" spans="1:22" customFormat="1" ht="15" x14ac:dyDescent="0.25">
      <c r="A3329" t="s">
        <v>217</v>
      </c>
      <c r="B3329" t="s">
        <v>4565</v>
      </c>
      <c r="E3329" s="1514" t="s">
        <v>6708</v>
      </c>
      <c r="F3329" s="1514"/>
      <c r="G3329" s="1514"/>
      <c r="H3329" s="1514"/>
      <c r="K3329" t="s">
        <v>6708</v>
      </c>
      <c r="V3329">
        <v>12</v>
      </c>
    </row>
    <row r="3330" spans="1:22" customFormat="1" x14ac:dyDescent="0.25">
      <c r="A3330" t="s">
        <v>217</v>
      </c>
      <c r="B3330" t="s">
        <v>4565</v>
      </c>
      <c r="E3330" s="1492" t="s">
        <v>4007</v>
      </c>
      <c r="F3330" s="1493"/>
      <c r="G3330" s="1493"/>
      <c r="H3330" s="1493"/>
      <c r="K3330" t="s">
        <v>4544</v>
      </c>
      <c r="V3330">
        <v>43</v>
      </c>
    </row>
    <row r="3331" spans="1:22" customFormat="1" ht="15" x14ac:dyDescent="0.25">
      <c r="A3331" t="s">
        <v>217</v>
      </c>
      <c r="B3331" t="s">
        <v>4565</v>
      </c>
      <c r="E3331" s="1516" t="s">
        <v>4507</v>
      </c>
      <c r="F3331" s="1516"/>
      <c r="G3331" s="1516"/>
      <c r="H3331" s="1516"/>
      <c r="K3331" t="s">
        <v>4544</v>
      </c>
      <c r="V3331">
        <v>315</v>
      </c>
    </row>
    <row r="3332" spans="1:22" customFormat="1" ht="15" x14ac:dyDescent="0.25">
      <c r="A3332" t="s">
        <v>217</v>
      </c>
      <c r="B3332" t="s">
        <v>4565</v>
      </c>
      <c r="E3332" s="1515" t="s">
        <v>950</v>
      </c>
      <c r="F3332" s="1516"/>
      <c r="G3332" s="1516"/>
      <c r="H3332" s="1516"/>
      <c r="K3332" t="s">
        <v>1055</v>
      </c>
      <c r="V3332">
        <v>11</v>
      </c>
    </row>
    <row r="3333" spans="1:22" customFormat="1" ht="15" x14ac:dyDescent="0.25">
      <c r="A3333" t="s">
        <v>217</v>
      </c>
      <c r="B3333" t="s">
        <v>4565</v>
      </c>
      <c r="E3333" s="1516" t="s">
        <v>951</v>
      </c>
      <c r="F3333" s="1516"/>
      <c r="G3333" s="1516"/>
      <c r="H3333" s="1516"/>
      <c r="K3333" t="s">
        <v>4544</v>
      </c>
      <c r="V3333">
        <v>280</v>
      </c>
    </row>
    <row r="3334" spans="1:22" customFormat="1" ht="15" x14ac:dyDescent="0.25">
      <c r="A3334" t="s">
        <v>217</v>
      </c>
      <c r="B3334" t="s">
        <v>4565</v>
      </c>
      <c r="E3334" s="1516" t="s">
        <v>952</v>
      </c>
      <c r="F3334" s="1516"/>
      <c r="G3334" s="1516"/>
      <c r="H3334" s="1516"/>
      <c r="K3334" t="s">
        <v>4544</v>
      </c>
      <c r="V3334">
        <v>411</v>
      </c>
    </row>
    <row r="3335" spans="1:22" customFormat="1" ht="15" x14ac:dyDescent="0.25">
      <c r="A3335" t="s">
        <v>217</v>
      </c>
      <c r="B3335" t="s">
        <v>4565</v>
      </c>
      <c r="E3335" s="1516" t="s">
        <v>4567</v>
      </c>
      <c r="F3335" s="1516"/>
      <c r="G3335" s="1516"/>
      <c r="H3335" s="1516"/>
      <c r="K3335" t="s">
        <v>4544</v>
      </c>
      <c r="V3335">
        <v>385</v>
      </c>
    </row>
    <row r="3336" spans="1:22" customFormat="1" ht="15" x14ac:dyDescent="0.25">
      <c r="A3336" t="s">
        <v>217</v>
      </c>
      <c r="B3336" t="s">
        <v>4565</v>
      </c>
      <c r="E3336" s="1516" t="s">
        <v>954</v>
      </c>
      <c r="F3336" s="1516"/>
      <c r="G3336" s="1516"/>
      <c r="H3336" s="1516"/>
      <c r="K3336" t="s">
        <v>4544</v>
      </c>
      <c r="V3336">
        <v>246</v>
      </c>
    </row>
    <row r="3337" spans="1:22" customFormat="1" ht="15" x14ac:dyDescent="0.25">
      <c r="A3337" t="s">
        <v>217</v>
      </c>
      <c r="B3337" t="s">
        <v>4565</v>
      </c>
      <c r="E3337" s="1515" t="s">
        <v>956</v>
      </c>
      <c r="F3337" s="1516"/>
      <c r="G3337" s="1516"/>
      <c r="H3337" s="1516"/>
      <c r="K3337" t="s">
        <v>1056</v>
      </c>
      <c r="V3337">
        <v>46</v>
      </c>
    </row>
    <row r="3338" spans="1:22" customFormat="1" ht="15" x14ac:dyDescent="0.25">
      <c r="A3338" t="s">
        <v>217</v>
      </c>
      <c r="B3338" t="s">
        <v>4565</v>
      </c>
      <c r="E3338" s="1526" t="s">
        <v>3688</v>
      </c>
      <c r="F3338" s="1507"/>
      <c r="G3338" s="387" t="s">
        <v>3775</v>
      </c>
      <c r="H3338" s="577">
        <v>2.47E-2</v>
      </c>
      <c r="K3338" t="s">
        <v>4544</v>
      </c>
      <c r="L3338" t="s">
        <v>690</v>
      </c>
      <c r="P3338" t="s">
        <v>4580</v>
      </c>
      <c r="V3338">
        <v>28</v>
      </c>
    </row>
    <row r="3339" spans="1:22" customFormat="1" ht="15" x14ac:dyDescent="0.25">
      <c r="A3339" t="s">
        <v>217</v>
      </c>
      <c r="B3339" t="s">
        <v>4565</v>
      </c>
      <c r="E3339" s="1526" t="s">
        <v>6521</v>
      </c>
      <c r="F3339" s="1510"/>
      <c r="G3339" s="387" t="s">
        <v>3775</v>
      </c>
      <c r="H3339" s="577">
        <v>8.1100000000000005E-2</v>
      </c>
      <c r="K3339" t="s">
        <v>4544</v>
      </c>
      <c r="L3339" t="s">
        <v>692</v>
      </c>
      <c r="P3339" t="s">
        <v>4582</v>
      </c>
      <c r="T3339">
        <v>46022</v>
      </c>
      <c r="V3339">
        <v>149</v>
      </c>
    </row>
    <row r="3340" spans="1:22" customFormat="1" ht="15" x14ac:dyDescent="0.25">
      <c r="A3340" t="s">
        <v>217</v>
      </c>
      <c r="B3340" t="s">
        <v>4565</v>
      </c>
      <c r="E3340" s="1526" t="s">
        <v>6519</v>
      </c>
      <c r="F3340" s="1510"/>
      <c r="G3340" s="387" t="s">
        <v>845</v>
      </c>
      <c r="H3340" s="577">
        <v>2.7000000000000001E-3</v>
      </c>
      <c r="K3340" t="s">
        <v>4544</v>
      </c>
      <c r="L3340" t="s">
        <v>692</v>
      </c>
      <c r="P3340" t="s">
        <v>4581</v>
      </c>
      <c r="T3340">
        <v>46022</v>
      </c>
      <c r="V3340">
        <v>142</v>
      </c>
    </row>
    <row r="3341" spans="1:22" customFormat="1" ht="15" x14ac:dyDescent="0.25">
      <c r="A3341" t="s">
        <v>217</v>
      </c>
      <c r="B3341" t="s">
        <v>4565</v>
      </c>
      <c r="E3341" s="1526" t="s">
        <v>6520</v>
      </c>
      <c r="F3341" s="1510"/>
      <c r="G3341" s="387" t="s">
        <v>3775</v>
      </c>
      <c r="H3341" s="577">
        <v>-0.18329999999999999</v>
      </c>
      <c r="K3341" t="s">
        <v>4544</v>
      </c>
      <c r="L3341" t="s">
        <v>692</v>
      </c>
      <c r="P3341" t="s">
        <v>4548</v>
      </c>
      <c r="T3341">
        <v>46022</v>
      </c>
      <c r="V3341">
        <v>99</v>
      </c>
    </row>
    <row r="3342" spans="1:22" customFormat="1" ht="15" x14ac:dyDescent="0.25">
      <c r="A3342" t="s">
        <v>217</v>
      </c>
      <c r="B3342" t="s">
        <v>4565</v>
      </c>
      <c r="E3342" s="1515" t="s">
        <v>967</v>
      </c>
      <c r="F3342" s="1507"/>
      <c r="G3342" s="1507"/>
      <c r="H3342" s="1507"/>
      <c r="K3342" t="s">
        <v>1065</v>
      </c>
      <c r="V3342">
        <v>48</v>
      </c>
    </row>
    <row r="3343" spans="1:22" customFormat="1" ht="15" x14ac:dyDescent="0.25">
      <c r="A3343" t="s">
        <v>217</v>
      </c>
      <c r="B3343" t="s">
        <v>4565</v>
      </c>
      <c r="E3343" s="1526" t="s">
        <v>844</v>
      </c>
      <c r="F3343" s="1507"/>
      <c r="G3343" s="387" t="s">
        <v>845</v>
      </c>
      <c r="H3343" s="399">
        <v>4.1000000000000003E-3</v>
      </c>
      <c r="K3343" t="s">
        <v>4544</v>
      </c>
      <c r="L3343" t="s">
        <v>968</v>
      </c>
      <c r="P3343" t="s">
        <v>4583</v>
      </c>
      <c r="V3343">
        <v>55</v>
      </c>
    </row>
    <row r="3344" spans="1:22" customFormat="1" ht="15" x14ac:dyDescent="0.25">
      <c r="A3344" t="s">
        <v>217</v>
      </c>
      <c r="B3344" t="s">
        <v>4565</v>
      </c>
      <c r="E3344" s="1526" t="s">
        <v>846</v>
      </c>
      <c r="F3344" s="1507"/>
      <c r="G3344" s="387" t="s">
        <v>845</v>
      </c>
      <c r="H3344" s="399">
        <v>4.0000000000000002E-4</v>
      </c>
      <c r="K3344" t="s">
        <v>4544</v>
      </c>
      <c r="L3344" t="s">
        <v>968</v>
      </c>
      <c r="P3344" t="s">
        <v>4583</v>
      </c>
      <c r="V3344">
        <v>65</v>
      </c>
    </row>
    <row r="3345" spans="1:22" customFormat="1" ht="15" x14ac:dyDescent="0.25">
      <c r="A3345" t="s">
        <v>217</v>
      </c>
      <c r="B3345" t="s">
        <v>4565</v>
      </c>
      <c r="E3345" s="1526" t="s">
        <v>847</v>
      </c>
      <c r="F3345" s="1507"/>
      <c r="G3345" s="387" t="s">
        <v>845</v>
      </c>
      <c r="H3345" s="399">
        <v>1.5E-3</v>
      </c>
      <c r="K3345" t="s">
        <v>4544</v>
      </c>
      <c r="L3345" t="s">
        <v>968</v>
      </c>
      <c r="P3345" t="s">
        <v>4584</v>
      </c>
      <c r="V3345">
        <v>57</v>
      </c>
    </row>
    <row r="3346" spans="1:22" customFormat="1" ht="15" x14ac:dyDescent="0.25">
      <c r="A3346" t="s">
        <v>217</v>
      </c>
      <c r="B3346" t="s">
        <v>4565</v>
      </c>
      <c r="E3346" s="1526" t="s">
        <v>848</v>
      </c>
      <c r="F3346" s="1507"/>
      <c r="G3346" s="387" t="s">
        <v>777</v>
      </c>
      <c r="H3346" s="398">
        <v>0.25</v>
      </c>
      <c r="K3346" t="s">
        <v>4544</v>
      </c>
      <c r="L3346" t="s">
        <v>968</v>
      </c>
      <c r="P3346" t="s">
        <v>4585</v>
      </c>
      <c r="V3346">
        <v>63</v>
      </c>
    </row>
    <row r="3347" spans="1:22" customFormat="1" ht="15" x14ac:dyDescent="0.25">
      <c r="A3347" t="s">
        <v>217</v>
      </c>
      <c r="B3347" t="s">
        <v>4565</v>
      </c>
      <c r="E3347" s="1514" t="s">
        <v>6708</v>
      </c>
      <c r="F3347" s="1514"/>
      <c r="G3347" s="1514"/>
      <c r="H3347" s="1514"/>
      <c r="K3347" t="s">
        <v>6708</v>
      </c>
      <c r="V3347">
        <v>12</v>
      </c>
    </row>
    <row r="3348" spans="1:22" customFormat="1" x14ac:dyDescent="0.25">
      <c r="A3348" t="s">
        <v>217</v>
      </c>
      <c r="B3348" t="s">
        <v>4565</v>
      </c>
      <c r="E3348" s="1492" t="s">
        <v>207</v>
      </c>
      <c r="F3348" s="1492"/>
      <c r="G3348" s="1492"/>
      <c r="H3348" s="1492"/>
      <c r="K3348" t="s">
        <v>1069</v>
      </c>
      <c r="V3348">
        <v>31</v>
      </c>
    </row>
    <row r="3349" spans="1:22" customFormat="1" ht="15" x14ac:dyDescent="0.25">
      <c r="A3349" t="s">
        <v>217</v>
      </c>
      <c r="B3349" t="s">
        <v>4565</v>
      </c>
      <c r="E3349" s="1516" t="s">
        <v>4150</v>
      </c>
      <c r="F3349" s="1516"/>
      <c r="G3349" s="1516"/>
      <c r="H3349" s="1516"/>
      <c r="K3349" t="s">
        <v>1069</v>
      </c>
      <c r="V3349">
        <v>286</v>
      </c>
    </row>
    <row r="3350" spans="1:22" customFormat="1" ht="15" x14ac:dyDescent="0.25">
      <c r="A3350" t="s">
        <v>217</v>
      </c>
      <c r="B3350" t="s">
        <v>4565</v>
      </c>
      <c r="E3350" s="1515" t="s">
        <v>950</v>
      </c>
      <c r="F3350" s="1549"/>
      <c r="G3350" s="1549"/>
      <c r="H3350" s="1549"/>
      <c r="K3350" t="s">
        <v>1071</v>
      </c>
      <c r="V3350">
        <v>11</v>
      </c>
    </row>
    <row r="3351" spans="1:22" customFormat="1" ht="15" x14ac:dyDescent="0.25">
      <c r="A3351" t="s">
        <v>217</v>
      </c>
      <c r="B3351" t="s">
        <v>4565</v>
      </c>
      <c r="E3351" s="1516" t="s">
        <v>951</v>
      </c>
      <c r="F3351" s="1516"/>
      <c r="G3351" s="1516"/>
      <c r="H3351" s="1516"/>
      <c r="K3351" t="s">
        <v>1069</v>
      </c>
      <c r="V3351">
        <v>280</v>
      </c>
    </row>
    <row r="3352" spans="1:22" customFormat="1" ht="15" x14ac:dyDescent="0.25">
      <c r="A3352" t="s">
        <v>217</v>
      </c>
      <c r="B3352" t="s">
        <v>4565</v>
      </c>
      <c r="E3352" s="1516" t="s">
        <v>952</v>
      </c>
      <c r="F3352" s="1516"/>
      <c r="G3352" s="1516"/>
      <c r="H3352" s="1516"/>
      <c r="K3352" t="s">
        <v>1069</v>
      </c>
      <c r="V3352">
        <v>411</v>
      </c>
    </row>
    <row r="3353" spans="1:22" customFormat="1" ht="15" x14ac:dyDescent="0.25">
      <c r="A3353" t="s">
        <v>217</v>
      </c>
      <c r="B3353" t="s">
        <v>4565</v>
      </c>
      <c r="E3353" s="1516" t="s">
        <v>1103</v>
      </c>
      <c r="F3353" s="1516"/>
      <c r="G3353" s="1516"/>
      <c r="H3353" s="1516"/>
      <c r="K3353" t="s">
        <v>1069</v>
      </c>
      <c r="V3353">
        <v>211</v>
      </c>
    </row>
    <row r="3354" spans="1:22" customFormat="1" ht="15" x14ac:dyDescent="0.25">
      <c r="A3354" t="s">
        <v>217</v>
      </c>
      <c r="B3354" t="s">
        <v>4565</v>
      </c>
      <c r="E3354" s="1516" t="s">
        <v>954</v>
      </c>
      <c r="F3354" s="1516"/>
      <c r="G3354" s="1516"/>
      <c r="H3354" s="1516"/>
      <c r="K3354" t="s">
        <v>1069</v>
      </c>
      <c r="V3354">
        <v>246</v>
      </c>
    </row>
    <row r="3355" spans="1:22" customFormat="1" ht="15" x14ac:dyDescent="0.25">
      <c r="A3355" t="s">
        <v>217</v>
      </c>
      <c r="B3355" t="s">
        <v>4565</v>
      </c>
      <c r="E3355" s="1515" t="s">
        <v>956</v>
      </c>
      <c r="F3355" s="1549"/>
      <c r="G3355" s="1549"/>
      <c r="H3355" s="1549"/>
      <c r="K3355" t="s">
        <v>1075</v>
      </c>
      <c r="V3355">
        <v>46</v>
      </c>
    </row>
    <row r="3356" spans="1:22" customFormat="1" ht="15" x14ac:dyDescent="0.25">
      <c r="A3356" t="s">
        <v>217</v>
      </c>
      <c r="B3356" t="s">
        <v>4565</v>
      </c>
      <c r="E3356" s="1526" t="s">
        <v>3773</v>
      </c>
      <c r="F3356" s="1526"/>
      <c r="G3356" s="387" t="s">
        <v>777</v>
      </c>
      <c r="H3356" s="576">
        <v>5</v>
      </c>
      <c r="K3356" t="s">
        <v>1069</v>
      </c>
      <c r="L3356" t="s">
        <v>690</v>
      </c>
      <c r="P3356" t="s">
        <v>1076</v>
      </c>
      <c r="V3356">
        <v>14</v>
      </c>
    </row>
    <row r="3357" spans="1:22" customFormat="1" ht="15" x14ac:dyDescent="0.25">
      <c r="A3357" t="s">
        <v>217</v>
      </c>
      <c r="B3357" t="s">
        <v>4565</v>
      </c>
      <c r="E3357" s="1514" t="s">
        <v>6708</v>
      </c>
      <c r="F3357" s="1514"/>
      <c r="G3357" s="1514"/>
      <c r="H3357" s="1514"/>
      <c r="K3357" t="s">
        <v>6708</v>
      </c>
      <c r="V3357">
        <v>12</v>
      </c>
    </row>
    <row r="3358" spans="1:22" customFormat="1" x14ac:dyDescent="0.25">
      <c r="A3358" t="s">
        <v>217</v>
      </c>
      <c r="B3358" t="s">
        <v>4565</v>
      </c>
      <c r="E3358" s="1492" t="s">
        <v>3825</v>
      </c>
      <c r="F3358" s="1492"/>
      <c r="G3358" s="1492"/>
      <c r="H3358" s="1492"/>
      <c r="K3358" t="s">
        <v>4555</v>
      </c>
      <c r="V3358">
        <v>10</v>
      </c>
    </row>
    <row r="3359" spans="1:22" customFormat="1" ht="15" x14ac:dyDescent="0.25">
      <c r="A3359" t="s">
        <v>217</v>
      </c>
      <c r="B3359" t="s">
        <v>4565</v>
      </c>
      <c r="E3359" s="1526" t="s">
        <v>1078</v>
      </c>
      <c r="F3359" s="1526"/>
      <c r="G3359" s="387" t="s">
        <v>3775</v>
      </c>
      <c r="H3359" s="399">
        <v>-0.6</v>
      </c>
      <c r="V3359">
        <v>68</v>
      </c>
    </row>
    <row r="3360" spans="1:22" customFormat="1" ht="15" x14ac:dyDescent="0.25">
      <c r="A3360" t="s">
        <v>217</v>
      </c>
      <c r="B3360" t="s">
        <v>4565</v>
      </c>
      <c r="E3360" s="1526" t="s">
        <v>1079</v>
      </c>
      <c r="F3360" s="1526"/>
      <c r="G3360" s="387" t="s">
        <v>1118</v>
      </c>
      <c r="H3360" s="398">
        <v>-1</v>
      </c>
      <c r="V3360">
        <v>87</v>
      </c>
    </row>
    <row r="3361" spans="1:22" customFormat="1" x14ac:dyDescent="0.25">
      <c r="A3361" t="s">
        <v>217</v>
      </c>
      <c r="B3361" t="s">
        <v>4565</v>
      </c>
      <c r="E3361" s="1736" t="s">
        <v>3828</v>
      </c>
      <c r="F3361" s="1736"/>
      <c r="G3361" s="1736"/>
      <c r="H3361" s="1736"/>
      <c r="K3361" t="s">
        <v>4556</v>
      </c>
      <c r="V3361">
        <v>24</v>
      </c>
    </row>
    <row r="3362" spans="1:22" customFormat="1" ht="15" x14ac:dyDescent="0.25">
      <c r="A3362" t="s">
        <v>217</v>
      </c>
      <c r="B3362" t="s">
        <v>4565</v>
      </c>
      <c r="E3362" s="1549" t="s">
        <v>950</v>
      </c>
      <c r="F3362" s="1549"/>
      <c r="G3362" s="1549"/>
      <c r="H3362" s="1549"/>
      <c r="V3362">
        <v>11</v>
      </c>
    </row>
    <row r="3363" spans="1:22" customFormat="1" ht="15" x14ac:dyDescent="0.25">
      <c r="A3363" t="s">
        <v>217</v>
      </c>
      <c r="B3363" t="s">
        <v>4565</v>
      </c>
      <c r="E3363" s="1516" t="s">
        <v>951</v>
      </c>
      <c r="F3363" s="1516"/>
      <c r="G3363" s="1516"/>
      <c r="H3363" s="1516"/>
      <c r="V3363">
        <v>280</v>
      </c>
    </row>
    <row r="3364" spans="1:22" customFormat="1" ht="15" x14ac:dyDescent="0.25">
      <c r="A3364" t="s">
        <v>217</v>
      </c>
      <c r="B3364" t="s">
        <v>4565</v>
      </c>
      <c r="E3364" s="1516" t="s">
        <v>1081</v>
      </c>
      <c r="F3364" s="1516"/>
      <c r="G3364" s="1516"/>
      <c r="H3364" s="1516"/>
      <c r="V3364">
        <v>353</v>
      </c>
    </row>
    <row r="3365" spans="1:22" customFormat="1" ht="15" x14ac:dyDescent="0.25">
      <c r="A3365" t="s">
        <v>217</v>
      </c>
      <c r="B3365" t="s">
        <v>4565</v>
      </c>
      <c r="E3365" s="1516" t="s">
        <v>954</v>
      </c>
      <c r="F3365" s="1516"/>
      <c r="G3365" s="1516"/>
      <c r="H3365" s="1516"/>
      <c r="V3365">
        <v>246</v>
      </c>
    </row>
    <row r="3366" spans="1:22" customFormat="1" ht="15" x14ac:dyDescent="0.25">
      <c r="A3366" t="s">
        <v>217</v>
      </c>
      <c r="B3366" t="s">
        <v>4565</v>
      </c>
      <c r="E3366" s="1515" t="s">
        <v>3830</v>
      </c>
      <c r="F3366" s="1515"/>
      <c r="G3366" s="1515"/>
      <c r="H3366" s="1515"/>
      <c r="K3366" t="s">
        <v>4557</v>
      </c>
      <c r="V3366">
        <v>23</v>
      </c>
    </row>
    <row r="3367" spans="1:22" customFormat="1" ht="15" x14ac:dyDescent="0.25">
      <c r="A3367" t="s">
        <v>217</v>
      </c>
      <c r="B3367" t="s">
        <v>4565</v>
      </c>
      <c r="E3367" s="1517" t="s">
        <v>4586</v>
      </c>
      <c r="F3367" s="1517"/>
      <c r="G3367" s="389" t="s">
        <v>777</v>
      </c>
      <c r="H3367" s="391">
        <v>15</v>
      </c>
      <c r="V3367">
        <v>17</v>
      </c>
    </row>
    <row r="3368" spans="1:22" customFormat="1" ht="15" x14ac:dyDescent="0.25">
      <c r="A3368" t="s">
        <v>217</v>
      </c>
      <c r="B3368" t="s">
        <v>4565</v>
      </c>
      <c r="E3368" s="1517" t="s">
        <v>4587</v>
      </c>
      <c r="F3368" s="1517"/>
      <c r="G3368" s="389" t="s">
        <v>777</v>
      </c>
      <c r="H3368" s="391">
        <v>15</v>
      </c>
      <c r="V3368">
        <v>37</v>
      </c>
    </row>
    <row r="3369" spans="1:22" customFormat="1" ht="15" x14ac:dyDescent="0.25">
      <c r="A3369" t="s">
        <v>217</v>
      </c>
      <c r="B3369" t="s">
        <v>4565</v>
      </c>
      <c r="E3369" s="1517" t="s">
        <v>4588</v>
      </c>
      <c r="F3369" s="1517"/>
      <c r="G3369" s="389" t="s">
        <v>777</v>
      </c>
      <c r="H3369" s="391">
        <v>15</v>
      </c>
      <c r="V3369">
        <v>41</v>
      </c>
    </row>
    <row r="3370" spans="1:22" customFormat="1" ht="15" x14ac:dyDescent="0.25">
      <c r="A3370" t="s">
        <v>217</v>
      </c>
      <c r="B3370" t="s">
        <v>4565</v>
      </c>
      <c r="E3370" s="1517" t="s">
        <v>4589</v>
      </c>
      <c r="F3370" s="1517"/>
      <c r="G3370" s="389" t="s">
        <v>777</v>
      </c>
      <c r="H3370" s="391">
        <v>15</v>
      </c>
      <c r="V3370">
        <v>19</v>
      </c>
    </row>
    <row r="3371" spans="1:22" customFormat="1" ht="15" x14ac:dyDescent="0.25">
      <c r="A3371" t="s">
        <v>217</v>
      </c>
      <c r="B3371" t="s">
        <v>4565</v>
      </c>
      <c r="E3371" s="1517" t="s">
        <v>4590</v>
      </c>
      <c r="F3371" s="1517"/>
      <c r="G3371" s="389" t="s">
        <v>777</v>
      </c>
      <c r="H3371" s="391">
        <v>30</v>
      </c>
      <c r="V3371">
        <v>93</v>
      </c>
    </row>
    <row r="3372" spans="1:22" customFormat="1" ht="15" x14ac:dyDescent="0.25">
      <c r="A3372" t="s">
        <v>217</v>
      </c>
      <c r="B3372" t="s">
        <v>4565</v>
      </c>
      <c r="E3372" s="1517" t="s">
        <v>4591</v>
      </c>
      <c r="F3372" s="1517"/>
      <c r="G3372" s="389" t="s">
        <v>777</v>
      </c>
      <c r="H3372" s="391">
        <v>30</v>
      </c>
      <c r="V3372">
        <v>76</v>
      </c>
    </row>
    <row r="3373" spans="1:22" customFormat="1" ht="15" x14ac:dyDescent="0.25">
      <c r="A3373" t="s">
        <v>217</v>
      </c>
      <c r="B3373" t="s">
        <v>4565</v>
      </c>
      <c r="E3373" s="1515" t="s">
        <v>4062</v>
      </c>
      <c r="F3373" s="1507"/>
      <c r="G3373" s="1507"/>
      <c r="H3373" s="1507"/>
      <c r="K3373" t="s">
        <v>4558</v>
      </c>
      <c r="V3373">
        <v>22</v>
      </c>
    </row>
    <row r="3374" spans="1:22" customFormat="1" ht="15" x14ac:dyDescent="0.25">
      <c r="A3374" t="s">
        <v>217</v>
      </c>
      <c r="B3374" t="s">
        <v>4565</v>
      </c>
      <c r="E3374" s="1517" t="s">
        <v>4592</v>
      </c>
      <c r="F3374" s="1517"/>
      <c r="G3374" s="389" t="s">
        <v>1118</v>
      </c>
      <c r="H3374" s="391">
        <v>1.5</v>
      </c>
      <c r="V3374">
        <v>101</v>
      </c>
    </row>
    <row r="3375" spans="1:22" customFormat="1" ht="15" x14ac:dyDescent="0.25">
      <c r="A3375" t="s">
        <v>217</v>
      </c>
      <c r="B3375" t="s">
        <v>4565</v>
      </c>
      <c r="E3375" s="1517" t="s">
        <v>4423</v>
      </c>
      <c r="F3375" s="1517"/>
      <c r="G3375" s="389" t="s">
        <v>777</v>
      </c>
      <c r="H3375" s="391">
        <v>65</v>
      </c>
      <c r="V3375">
        <v>45</v>
      </c>
    </row>
    <row r="3376" spans="1:22" customFormat="1" ht="15" x14ac:dyDescent="0.25">
      <c r="A3376" t="s">
        <v>217</v>
      </c>
      <c r="B3376" t="s">
        <v>4565</v>
      </c>
      <c r="E3376" s="1517" t="s">
        <v>4424</v>
      </c>
      <c r="F3376" s="1517"/>
      <c r="G3376" s="389" t="s">
        <v>777</v>
      </c>
      <c r="H3376" s="391">
        <v>185</v>
      </c>
      <c r="V3376">
        <v>44</v>
      </c>
    </row>
    <row r="3377" spans="1:22" customFormat="1" ht="15" x14ac:dyDescent="0.25">
      <c r="A3377" t="s">
        <v>217</v>
      </c>
      <c r="B3377" t="s">
        <v>4565</v>
      </c>
      <c r="E3377" s="1515" t="s">
        <v>3846</v>
      </c>
      <c r="F3377" s="1507"/>
      <c r="G3377" s="1507"/>
      <c r="H3377" s="1507"/>
      <c r="V3377">
        <v>5</v>
      </c>
    </row>
    <row r="3378" spans="1:22" customFormat="1" ht="15" x14ac:dyDescent="0.25">
      <c r="A3378" t="s">
        <v>217</v>
      </c>
      <c r="B3378" t="s">
        <v>4565</v>
      </c>
      <c r="E3378" s="1517" t="s">
        <v>4593</v>
      </c>
      <c r="F3378" s="1517"/>
      <c r="G3378" s="389" t="s">
        <v>777</v>
      </c>
      <c r="H3378" s="391">
        <v>39.14</v>
      </c>
      <c r="V3378">
        <v>105</v>
      </c>
    </row>
    <row r="3379" spans="1:22" customFormat="1" ht="15" x14ac:dyDescent="0.25">
      <c r="A3379" t="s">
        <v>217</v>
      </c>
      <c r="B3379" t="s">
        <v>4565</v>
      </c>
      <c r="E3379" s="1517" t="s">
        <v>4594</v>
      </c>
      <c r="F3379" s="1517"/>
      <c r="G3379" s="389" t="s">
        <v>777</v>
      </c>
      <c r="H3379" s="391">
        <v>130</v>
      </c>
      <c r="V3379">
        <v>74</v>
      </c>
    </row>
    <row r="3380" spans="1:22" customFormat="1" ht="15" x14ac:dyDescent="0.25">
      <c r="A3380" t="s">
        <v>217</v>
      </c>
      <c r="B3380" t="s">
        <v>4565</v>
      </c>
      <c r="E3380" s="1517" t="s">
        <v>4595</v>
      </c>
      <c r="F3380" s="1517"/>
      <c r="G3380" s="389" t="s">
        <v>777</v>
      </c>
      <c r="H3380" s="391">
        <v>335</v>
      </c>
      <c r="V3380">
        <v>73</v>
      </c>
    </row>
    <row r="3381" spans="1:22" customFormat="1" ht="15" x14ac:dyDescent="0.25">
      <c r="A3381" t="s">
        <v>217</v>
      </c>
      <c r="B3381" t="s">
        <v>4565</v>
      </c>
      <c r="E3381" s="1517" t="s">
        <v>4596</v>
      </c>
      <c r="F3381" s="1517"/>
      <c r="G3381" s="389" t="s">
        <v>777</v>
      </c>
      <c r="H3381" s="391">
        <v>310</v>
      </c>
      <c r="V3381">
        <v>85</v>
      </c>
    </row>
    <row r="3382" spans="1:22" customFormat="1" ht="15" x14ac:dyDescent="0.25">
      <c r="A3382" t="s">
        <v>217</v>
      </c>
      <c r="B3382" t="s">
        <v>4565</v>
      </c>
      <c r="E3382" s="1517" t="s">
        <v>4597</v>
      </c>
      <c r="F3382" s="1517"/>
      <c r="G3382" s="389" t="s">
        <v>777</v>
      </c>
      <c r="H3382" s="391">
        <v>685</v>
      </c>
      <c r="V3382">
        <v>84</v>
      </c>
    </row>
    <row r="3383" spans="1:22" customFormat="1" x14ac:dyDescent="0.25">
      <c r="A3383" t="s">
        <v>217</v>
      </c>
      <c r="B3383" t="s">
        <v>4565</v>
      </c>
      <c r="E3383" s="1492" t="s">
        <v>3851</v>
      </c>
      <c r="F3383" s="1493"/>
      <c r="G3383" s="1493"/>
      <c r="H3383" s="1493"/>
      <c r="K3383" t="s">
        <v>4561</v>
      </c>
      <c r="V3383">
        <v>38</v>
      </c>
    </row>
    <row r="3384" spans="1:22" customFormat="1" ht="15" x14ac:dyDescent="0.25">
      <c r="A3384" t="s">
        <v>217</v>
      </c>
      <c r="B3384" t="s">
        <v>4565</v>
      </c>
      <c r="E3384" s="1549" t="s">
        <v>950</v>
      </c>
      <c r="F3384" s="1516"/>
      <c r="G3384" s="1516"/>
      <c r="H3384" s="1516"/>
      <c r="K3384" t="s">
        <v>1071</v>
      </c>
      <c r="V3384">
        <v>11</v>
      </c>
    </row>
    <row r="3385" spans="1:22" customFormat="1" ht="15" x14ac:dyDescent="0.25">
      <c r="A3385" t="s">
        <v>217</v>
      </c>
      <c r="B3385" t="s">
        <v>4565</v>
      </c>
      <c r="E3385" s="1516" t="s">
        <v>951</v>
      </c>
      <c r="F3385" s="1516"/>
      <c r="G3385" s="1516"/>
      <c r="H3385" s="1516"/>
      <c r="V3385">
        <v>280</v>
      </c>
    </row>
    <row r="3386" spans="1:22" customFormat="1" ht="15" x14ac:dyDescent="0.25">
      <c r="A3386" t="s">
        <v>217</v>
      </c>
      <c r="B3386" t="s">
        <v>4565</v>
      </c>
      <c r="E3386" s="1516" t="s">
        <v>952</v>
      </c>
      <c r="F3386" s="1516"/>
      <c r="G3386" s="1516"/>
      <c r="H3386" s="1516"/>
      <c r="V3386">
        <v>411</v>
      </c>
    </row>
    <row r="3387" spans="1:22" customFormat="1" ht="15" x14ac:dyDescent="0.25">
      <c r="A3387" t="s">
        <v>217</v>
      </c>
      <c r="B3387" t="s">
        <v>4565</v>
      </c>
      <c r="E3387" s="1516" t="s">
        <v>1103</v>
      </c>
      <c r="F3387" s="1516"/>
      <c r="G3387" s="1516"/>
      <c r="H3387" s="1516"/>
      <c r="V3387">
        <v>211</v>
      </c>
    </row>
    <row r="3388" spans="1:22" customFormat="1" ht="15" x14ac:dyDescent="0.25">
      <c r="A3388" t="s">
        <v>217</v>
      </c>
      <c r="B3388" t="s">
        <v>4565</v>
      </c>
      <c r="E3388" s="1516" t="s">
        <v>954</v>
      </c>
      <c r="F3388" s="1516"/>
      <c r="G3388" s="1516"/>
      <c r="H3388" s="1516"/>
      <c r="V3388">
        <v>246</v>
      </c>
    </row>
    <row r="3389" spans="1:22" customFormat="1" ht="15" x14ac:dyDescent="0.25">
      <c r="A3389" t="s">
        <v>217</v>
      </c>
      <c r="B3389" t="s">
        <v>4565</v>
      </c>
      <c r="E3389" s="1507" t="s">
        <v>4598</v>
      </c>
      <c r="F3389" s="1507"/>
      <c r="G3389" s="390"/>
      <c r="H3389" s="753"/>
      <c r="V3389">
        <v>141</v>
      </c>
    </row>
    <row r="3390" spans="1:22" customFormat="1" ht="15" x14ac:dyDescent="0.25">
      <c r="A3390" t="s">
        <v>217</v>
      </c>
      <c r="B3390" t="s">
        <v>4565</v>
      </c>
      <c r="E3390" s="1507" t="s">
        <v>849</v>
      </c>
      <c r="F3390" s="1507"/>
      <c r="G3390" s="390" t="s">
        <v>777</v>
      </c>
      <c r="H3390" s="391">
        <v>121.23</v>
      </c>
      <c r="V3390">
        <v>106</v>
      </c>
    </row>
    <row r="3391" spans="1:22" customFormat="1" ht="15" x14ac:dyDescent="0.25">
      <c r="A3391" t="s">
        <v>217</v>
      </c>
      <c r="B3391" t="s">
        <v>4565</v>
      </c>
      <c r="E3391" s="1507" t="s">
        <v>4471</v>
      </c>
      <c r="F3391" s="1507"/>
      <c r="G3391" s="390" t="s">
        <v>777</v>
      </c>
      <c r="H3391" s="391">
        <v>48.5</v>
      </c>
      <c r="V3391">
        <v>34</v>
      </c>
    </row>
    <row r="3392" spans="1:22" customFormat="1" ht="15" x14ac:dyDescent="0.25">
      <c r="A3392" t="s">
        <v>217</v>
      </c>
      <c r="B3392" t="s">
        <v>4565</v>
      </c>
      <c r="E3392" s="1507" t="s">
        <v>4472</v>
      </c>
      <c r="F3392" s="1507"/>
      <c r="G3392" s="390" t="s">
        <v>852</v>
      </c>
      <c r="H3392" s="391">
        <v>1.2</v>
      </c>
      <c r="V3392">
        <v>51</v>
      </c>
    </row>
    <row r="3393" spans="1:22" customFormat="1" ht="15" x14ac:dyDescent="0.25">
      <c r="A3393" t="s">
        <v>217</v>
      </c>
      <c r="B3393" t="s">
        <v>4565</v>
      </c>
      <c r="E3393" s="1507" t="s">
        <v>853</v>
      </c>
      <c r="F3393" s="1507"/>
      <c r="G3393" s="390" t="s">
        <v>852</v>
      </c>
      <c r="H3393" s="391">
        <v>0.71</v>
      </c>
      <c r="V3393">
        <v>75</v>
      </c>
    </row>
    <row r="3394" spans="1:22" customFormat="1" ht="15" x14ac:dyDescent="0.25">
      <c r="A3394" t="s">
        <v>217</v>
      </c>
      <c r="B3394" t="s">
        <v>4565</v>
      </c>
      <c r="E3394" s="319" t="s">
        <v>5662</v>
      </c>
      <c r="F3394" s="319"/>
      <c r="G3394" s="390" t="s">
        <v>852</v>
      </c>
      <c r="H3394" s="391">
        <v>-0.71</v>
      </c>
      <c r="V3394">
        <v>73</v>
      </c>
    </row>
    <row r="3395" spans="1:22" customFormat="1" ht="15" x14ac:dyDescent="0.25">
      <c r="A3395" t="s">
        <v>217</v>
      </c>
      <c r="B3395" t="s">
        <v>4565</v>
      </c>
      <c r="E3395" s="319" t="s">
        <v>855</v>
      </c>
      <c r="F3395" s="319"/>
      <c r="G3395" s="390"/>
      <c r="H3395" s="894"/>
      <c r="V3395">
        <v>34</v>
      </c>
    </row>
    <row r="3396" spans="1:22" customFormat="1" ht="15" x14ac:dyDescent="0.25">
      <c r="A3396" t="s">
        <v>217</v>
      </c>
      <c r="B3396" t="s">
        <v>4565</v>
      </c>
      <c r="E3396" s="1507" t="s">
        <v>6710</v>
      </c>
      <c r="F3396" s="1507"/>
      <c r="G3396" s="390" t="s">
        <v>777</v>
      </c>
      <c r="H3396" s="391">
        <v>0.61</v>
      </c>
      <c r="V3396">
        <v>73</v>
      </c>
    </row>
    <row r="3397" spans="1:22" customFormat="1" ht="15" x14ac:dyDescent="0.25">
      <c r="A3397" t="s">
        <v>217</v>
      </c>
      <c r="B3397" t="s">
        <v>4565</v>
      </c>
      <c r="E3397" s="1507" t="s">
        <v>6711</v>
      </c>
      <c r="F3397" s="1507"/>
      <c r="G3397" s="390" t="s">
        <v>777</v>
      </c>
      <c r="H3397" s="391">
        <v>1.2</v>
      </c>
      <c r="V3397">
        <v>76</v>
      </c>
    </row>
    <row r="3398" spans="1:22" customFormat="1" ht="15" x14ac:dyDescent="0.25">
      <c r="A3398" t="s">
        <v>217</v>
      </c>
      <c r="B3398" t="s">
        <v>4565</v>
      </c>
      <c r="E3398" s="319" t="s">
        <v>4599</v>
      </c>
      <c r="F3398" s="319"/>
      <c r="G3398" s="390"/>
      <c r="H3398" s="894"/>
      <c r="V3398">
        <v>92</v>
      </c>
    </row>
    <row r="3399" spans="1:22" customFormat="1" ht="15" x14ac:dyDescent="0.25">
      <c r="A3399" t="s">
        <v>217</v>
      </c>
      <c r="B3399" t="s">
        <v>4565</v>
      </c>
      <c r="E3399" s="319" t="s">
        <v>4600</v>
      </c>
      <c r="F3399" s="319"/>
      <c r="G3399" s="390"/>
      <c r="H3399" s="894"/>
      <c r="V3399">
        <v>97</v>
      </c>
    </row>
    <row r="3400" spans="1:22" customFormat="1" ht="15" x14ac:dyDescent="0.25">
      <c r="A3400" t="s">
        <v>217</v>
      </c>
      <c r="B3400" t="s">
        <v>4565</v>
      </c>
      <c r="E3400" s="319" t="s">
        <v>856</v>
      </c>
      <c r="F3400" s="319"/>
      <c r="G3400" s="390"/>
      <c r="H3400" s="894"/>
      <c r="V3400">
        <v>77</v>
      </c>
    </row>
    <row r="3401" spans="1:22" customFormat="1" ht="15" x14ac:dyDescent="0.25">
      <c r="A3401" t="s">
        <v>217</v>
      </c>
      <c r="B3401" t="s">
        <v>4565</v>
      </c>
      <c r="E3401" s="1507" t="s">
        <v>6713</v>
      </c>
      <c r="F3401" s="1507"/>
      <c r="G3401" s="390" t="s">
        <v>777</v>
      </c>
      <c r="H3401" s="894" t="s">
        <v>857</v>
      </c>
      <c r="V3401">
        <v>34</v>
      </c>
    </row>
    <row r="3402" spans="1:22" customFormat="1" ht="15" x14ac:dyDescent="0.25">
      <c r="A3402" t="s">
        <v>217</v>
      </c>
      <c r="B3402" t="s">
        <v>4565</v>
      </c>
      <c r="E3402" s="1507" t="s">
        <v>6714</v>
      </c>
      <c r="F3402" s="1507"/>
      <c r="G3402" s="390" t="s">
        <v>777</v>
      </c>
      <c r="H3402" s="391">
        <v>4.8499999999999996</v>
      </c>
      <c r="V3402">
        <v>85</v>
      </c>
    </row>
    <row r="3403" spans="1:22" customFormat="1" ht="15" x14ac:dyDescent="0.25">
      <c r="A3403" t="s">
        <v>217</v>
      </c>
      <c r="B3403" t="s">
        <v>4565</v>
      </c>
      <c r="E3403" s="1507" t="s">
        <v>858</v>
      </c>
      <c r="F3403" s="1507"/>
      <c r="G3403" s="837" t="s">
        <v>777</v>
      </c>
      <c r="H3403" s="397">
        <v>2.42</v>
      </c>
      <c r="V3403">
        <v>199</v>
      </c>
    </row>
    <row r="3404" spans="1:22" customFormat="1" ht="18.75" x14ac:dyDescent="0.25">
      <c r="A3404" t="s">
        <v>217</v>
      </c>
      <c r="B3404" t="s">
        <v>4565</v>
      </c>
      <c r="E3404" s="1492" t="s">
        <v>3853</v>
      </c>
      <c r="F3404" s="1528"/>
      <c r="G3404" s="1528"/>
      <c r="H3404" s="1528"/>
      <c r="K3404" t="s">
        <v>4563</v>
      </c>
      <c r="V3404">
        <v>12</v>
      </c>
    </row>
    <row r="3405" spans="1:22" customFormat="1" ht="15" x14ac:dyDescent="0.25">
      <c r="A3405" t="s">
        <v>217</v>
      </c>
      <c r="B3405" t="s">
        <v>4565</v>
      </c>
      <c r="E3405" s="1507" t="s">
        <v>1114</v>
      </c>
      <c r="F3405" s="1507"/>
      <c r="G3405" s="1507"/>
      <c r="H3405" s="1507"/>
      <c r="V3405">
        <v>203</v>
      </c>
    </row>
    <row r="3406" spans="1:22" customFormat="1" ht="15" x14ac:dyDescent="0.25">
      <c r="A3406" t="s">
        <v>217</v>
      </c>
      <c r="B3406" t="s">
        <v>4565</v>
      </c>
      <c r="E3406" s="1526" t="s">
        <v>1115</v>
      </c>
      <c r="F3406" s="1507"/>
      <c r="G3406" s="387"/>
      <c r="H3406" s="814">
        <v>1.0353000000000001</v>
      </c>
      <c r="V3406">
        <v>57</v>
      </c>
    </row>
    <row r="3407" spans="1:22" customFormat="1" ht="15" x14ac:dyDescent="0.25">
      <c r="A3407" t="s">
        <v>217</v>
      </c>
      <c r="B3407" t="s">
        <v>4565</v>
      </c>
      <c r="E3407" s="1526" t="s">
        <v>4072</v>
      </c>
      <c r="F3407" s="1507"/>
      <c r="G3407" s="387"/>
      <c r="H3407" s="814">
        <v>1.0136000000000001</v>
      </c>
      <c r="V3407">
        <v>57</v>
      </c>
    </row>
    <row r="3408" spans="1:22" customFormat="1" ht="15" x14ac:dyDescent="0.25">
      <c r="A3408" t="s">
        <v>217</v>
      </c>
      <c r="B3408" t="s">
        <v>4565</v>
      </c>
      <c r="E3408" s="1526" t="s">
        <v>1117</v>
      </c>
      <c r="F3408" s="1507"/>
      <c r="G3408" s="387"/>
      <c r="H3408" s="950">
        <v>1.0249999999999999</v>
      </c>
      <c r="V3408">
        <v>55</v>
      </c>
    </row>
    <row r="3409" spans="1:22" customFormat="1" ht="15" x14ac:dyDescent="0.25">
      <c r="A3409" t="s">
        <v>217</v>
      </c>
      <c r="B3409" t="s">
        <v>4565</v>
      </c>
      <c r="E3409" s="1526" t="s">
        <v>4073</v>
      </c>
      <c r="F3409" s="1507"/>
      <c r="G3409" s="387"/>
      <c r="H3409" s="814">
        <v>1.0036</v>
      </c>
      <c r="J3409" t="s">
        <v>4601</v>
      </c>
      <c r="V3409">
        <v>55</v>
      </c>
    </row>
    <row r="3410" spans="1:22" customFormat="1" ht="23.25" x14ac:dyDescent="0.25">
      <c r="A3410" t="s">
        <v>220</v>
      </c>
      <c r="B3410" t="s">
        <v>4602</v>
      </c>
      <c r="C3410" t="s">
        <v>3755</v>
      </c>
      <c r="E3410" s="1550" t="s">
        <v>220</v>
      </c>
      <c r="F3410" s="1540"/>
      <c r="G3410" s="1540"/>
      <c r="H3410" s="1540"/>
      <c r="I3410" t="s">
        <v>94</v>
      </c>
      <c r="J3410" t="s">
        <v>4603</v>
      </c>
      <c r="K3410" t="s">
        <v>220</v>
      </c>
      <c r="M3410">
        <v>6</v>
      </c>
      <c r="V3410">
        <v>24</v>
      </c>
    </row>
    <row r="3411" spans="1:22" customFormat="1" ht="23.25" x14ac:dyDescent="0.25">
      <c r="A3411" t="s">
        <v>220</v>
      </c>
      <c r="B3411" t="s">
        <v>4602</v>
      </c>
      <c r="C3411" t="s">
        <v>3757</v>
      </c>
      <c r="E3411" s="1667" t="s">
        <v>257</v>
      </c>
      <c r="F3411" s="1541"/>
      <c r="G3411" s="1541"/>
      <c r="H3411" s="1541"/>
      <c r="V3411">
        <v>38</v>
      </c>
    </row>
    <row r="3412" spans="1:22" customFormat="1" x14ac:dyDescent="0.25">
      <c r="A3412" t="s">
        <v>220</v>
      </c>
      <c r="B3412" t="s">
        <v>4602</v>
      </c>
      <c r="C3412" t="s">
        <v>3758</v>
      </c>
      <c r="E3412" s="1551" t="s">
        <v>944</v>
      </c>
      <c r="F3412" s="1542"/>
      <c r="G3412" s="1542"/>
      <c r="H3412" s="1542"/>
      <c r="V3412">
        <v>27</v>
      </c>
    </row>
    <row r="3413" spans="1:22" customFormat="1" ht="15.75" x14ac:dyDescent="0.25">
      <c r="A3413" t="s">
        <v>220</v>
      </c>
      <c r="B3413" t="s">
        <v>4602</v>
      </c>
      <c r="C3413" t="s">
        <v>3759</v>
      </c>
      <c r="E3413" s="1543" t="s">
        <v>6511</v>
      </c>
      <c r="F3413" s="1669"/>
      <c r="G3413" s="1669"/>
      <c r="H3413" s="1669"/>
      <c r="S3413">
        <v>45658</v>
      </c>
      <c r="V3413">
        <v>49</v>
      </c>
    </row>
    <row r="3414" spans="1:22" customFormat="1" ht="15" x14ac:dyDescent="0.25">
      <c r="A3414" t="s">
        <v>220</v>
      </c>
      <c r="B3414" t="s">
        <v>4602</v>
      </c>
      <c r="E3414" s="1544" t="s">
        <v>945</v>
      </c>
      <c r="F3414" s="1630"/>
      <c r="G3414" s="1630"/>
      <c r="H3414" s="1630"/>
      <c r="V3414">
        <v>52</v>
      </c>
    </row>
    <row r="3415" spans="1:22" customFormat="1" ht="15" x14ac:dyDescent="0.25">
      <c r="A3415" t="s">
        <v>220</v>
      </c>
      <c r="B3415" t="s">
        <v>4602</v>
      </c>
      <c r="E3415" s="1544" t="s">
        <v>946</v>
      </c>
      <c r="F3415" s="1630"/>
      <c r="G3415" s="1630"/>
      <c r="H3415" s="1630"/>
      <c r="V3415">
        <v>53</v>
      </c>
    </row>
    <row r="3416" spans="1:22" customFormat="1" ht="15" x14ac:dyDescent="0.25">
      <c r="A3416" t="s">
        <v>220</v>
      </c>
      <c r="B3416" t="s">
        <v>4602</v>
      </c>
      <c r="E3416" s="1513" t="s">
        <v>6715</v>
      </c>
      <c r="F3416" s="1513"/>
      <c r="G3416" s="1513"/>
      <c r="H3416" s="1513"/>
      <c r="K3416" t="s">
        <v>6715</v>
      </c>
      <c r="V3416">
        <v>12</v>
      </c>
    </row>
    <row r="3417" spans="1:22" customFormat="1" ht="15" x14ac:dyDescent="0.25">
      <c r="A3417" t="s">
        <v>220</v>
      </c>
      <c r="B3417" t="s">
        <v>4602</v>
      </c>
      <c r="E3417" s="1492" t="s">
        <v>170</v>
      </c>
      <c r="F3417" s="1516"/>
      <c r="G3417" s="1516"/>
      <c r="H3417" s="1516"/>
      <c r="K3417" t="s">
        <v>947</v>
      </c>
      <c r="V3417">
        <v>34</v>
      </c>
    </row>
    <row r="3418" spans="1:22" customFormat="1" ht="15" x14ac:dyDescent="0.25">
      <c r="A3418" t="s">
        <v>220</v>
      </c>
      <c r="B3418" t="s">
        <v>4602</v>
      </c>
      <c r="E3418" s="1516" t="s">
        <v>4604</v>
      </c>
      <c r="F3418" s="1516"/>
      <c r="G3418" s="1516"/>
      <c r="H3418" s="1516"/>
      <c r="K3418" t="s">
        <v>947</v>
      </c>
      <c r="V3418">
        <v>617</v>
      </c>
    </row>
    <row r="3419" spans="1:22" customFormat="1" ht="15" x14ac:dyDescent="0.25">
      <c r="A3419" t="s">
        <v>220</v>
      </c>
      <c r="B3419" t="s">
        <v>4602</v>
      </c>
      <c r="E3419" s="1515" t="s">
        <v>950</v>
      </c>
      <c r="F3419" s="1516"/>
      <c r="G3419" s="1516"/>
      <c r="H3419" s="1516"/>
      <c r="K3419" t="s">
        <v>949</v>
      </c>
      <c r="V3419">
        <v>11</v>
      </c>
    </row>
    <row r="3420" spans="1:22" customFormat="1" ht="15" x14ac:dyDescent="0.25">
      <c r="A3420" t="s">
        <v>220</v>
      </c>
      <c r="B3420" t="s">
        <v>4602</v>
      </c>
      <c r="E3420" s="1516" t="s">
        <v>951</v>
      </c>
      <c r="F3420" s="1516"/>
      <c r="G3420" s="1516"/>
      <c r="H3420" s="1516"/>
      <c r="K3420" t="s">
        <v>947</v>
      </c>
      <c r="V3420">
        <v>280</v>
      </c>
    </row>
    <row r="3421" spans="1:22" customFormat="1" ht="15" x14ac:dyDescent="0.25">
      <c r="A3421" t="s">
        <v>220</v>
      </c>
      <c r="B3421" t="s">
        <v>4602</v>
      </c>
      <c r="E3421" s="1516" t="s">
        <v>952</v>
      </c>
      <c r="F3421" s="1516"/>
      <c r="G3421" s="1516"/>
      <c r="H3421" s="1516"/>
      <c r="K3421" t="s">
        <v>947</v>
      </c>
      <c r="V3421">
        <v>411</v>
      </c>
    </row>
    <row r="3422" spans="1:22" customFormat="1" ht="15" x14ac:dyDescent="0.25">
      <c r="A3422" t="s">
        <v>220</v>
      </c>
      <c r="B3422" t="s">
        <v>4602</v>
      </c>
      <c r="E3422" s="1516" t="s">
        <v>953</v>
      </c>
      <c r="F3422" s="1516"/>
      <c r="G3422" s="1516"/>
      <c r="H3422" s="1516"/>
      <c r="K3422" t="s">
        <v>947</v>
      </c>
      <c r="V3422">
        <v>386</v>
      </c>
    </row>
    <row r="3423" spans="1:22" customFormat="1" ht="15" x14ac:dyDescent="0.25">
      <c r="A3423" t="s">
        <v>220</v>
      </c>
      <c r="B3423" t="s">
        <v>4602</v>
      </c>
      <c r="E3423" s="1516" t="s">
        <v>3762</v>
      </c>
      <c r="F3423" s="1516"/>
      <c r="G3423" s="1516"/>
      <c r="H3423" s="1516"/>
      <c r="K3423" t="s">
        <v>947</v>
      </c>
      <c r="V3423">
        <v>247</v>
      </c>
    </row>
    <row r="3424" spans="1:22" customFormat="1" ht="15" x14ac:dyDescent="0.25">
      <c r="A3424" t="s">
        <v>220</v>
      </c>
      <c r="B3424" t="s">
        <v>4602</v>
      </c>
      <c r="E3424" s="1515" t="s">
        <v>956</v>
      </c>
      <c r="F3424" s="1516"/>
      <c r="G3424" s="1516"/>
      <c r="H3424" s="1516"/>
      <c r="K3424" t="s">
        <v>955</v>
      </c>
      <c r="V3424">
        <v>46</v>
      </c>
    </row>
    <row r="3425" spans="1:22" customFormat="1" ht="15" x14ac:dyDescent="0.25">
      <c r="A3425" t="s">
        <v>220</v>
      </c>
      <c r="B3425" t="s">
        <v>4602</v>
      </c>
      <c r="E3425" s="1507" t="s">
        <v>3773</v>
      </c>
      <c r="F3425" s="1507"/>
      <c r="G3425" s="584" t="s">
        <v>777</v>
      </c>
      <c r="H3425" s="576">
        <v>32.31</v>
      </c>
      <c r="K3425" t="s">
        <v>947</v>
      </c>
      <c r="L3425" t="s">
        <v>690</v>
      </c>
      <c r="P3425" t="s">
        <v>957</v>
      </c>
      <c r="V3425">
        <v>14</v>
      </c>
    </row>
    <row r="3426" spans="1:22" customFormat="1" ht="15" x14ac:dyDescent="0.25">
      <c r="A3426" t="s">
        <v>220</v>
      </c>
      <c r="B3426" t="s">
        <v>4602</v>
      </c>
      <c r="E3426" s="1507" t="s">
        <v>960</v>
      </c>
      <c r="F3426" s="1507"/>
      <c r="G3426" s="584" t="s">
        <v>777</v>
      </c>
      <c r="H3426" s="576">
        <v>0.42</v>
      </c>
      <c r="K3426" t="s">
        <v>947</v>
      </c>
      <c r="L3426" t="s">
        <v>692</v>
      </c>
      <c r="P3426" t="s">
        <v>959</v>
      </c>
      <c r="V3426">
        <v>64</v>
      </c>
    </row>
    <row r="3427" spans="1:22" customFormat="1" ht="15" x14ac:dyDescent="0.25">
      <c r="A3427" t="s">
        <v>220</v>
      </c>
      <c r="B3427" t="s">
        <v>4602</v>
      </c>
      <c r="E3427" s="1507" t="s">
        <v>6519</v>
      </c>
      <c r="F3427" s="1510"/>
      <c r="G3427" s="584" t="s">
        <v>845</v>
      </c>
      <c r="H3427" s="577">
        <v>1.8E-3</v>
      </c>
      <c r="K3427" t="s">
        <v>947</v>
      </c>
      <c r="L3427" t="s">
        <v>692</v>
      </c>
      <c r="P3427" t="s">
        <v>962</v>
      </c>
      <c r="T3427">
        <v>46022</v>
      </c>
      <c r="V3427">
        <v>142</v>
      </c>
    </row>
    <row r="3428" spans="1:22" customFormat="1" ht="15" x14ac:dyDescent="0.25">
      <c r="A3428" t="s">
        <v>220</v>
      </c>
      <c r="B3428" t="s">
        <v>4602</v>
      </c>
      <c r="E3428" s="1507" t="s">
        <v>6520</v>
      </c>
      <c r="F3428" s="1510"/>
      <c r="G3428" s="584" t="s">
        <v>845</v>
      </c>
      <c r="H3428" s="577">
        <v>-1.1000000000000001E-3</v>
      </c>
      <c r="K3428" t="s">
        <v>947</v>
      </c>
      <c r="L3428" t="s">
        <v>692</v>
      </c>
      <c r="P3428" t="s">
        <v>963</v>
      </c>
      <c r="T3428">
        <v>46022</v>
      </c>
      <c r="V3428">
        <v>99</v>
      </c>
    </row>
    <row r="3429" spans="1:22" customFormat="1" ht="15" x14ac:dyDescent="0.25">
      <c r="A3429" t="s">
        <v>220</v>
      </c>
      <c r="B3429" t="s">
        <v>4602</v>
      </c>
      <c r="E3429" s="1507" t="s">
        <v>6521</v>
      </c>
      <c r="F3429" s="1510"/>
      <c r="G3429" s="584" t="s">
        <v>845</v>
      </c>
      <c r="H3429" s="577">
        <v>2.0000000000000001E-4</v>
      </c>
      <c r="K3429" t="s">
        <v>947</v>
      </c>
      <c r="L3429" t="s">
        <v>692</v>
      </c>
      <c r="P3429" t="s">
        <v>3764</v>
      </c>
      <c r="T3429">
        <v>46022</v>
      </c>
      <c r="V3429">
        <v>149</v>
      </c>
    </row>
    <row r="3430" spans="1:22" customFormat="1" ht="15" x14ac:dyDescent="0.25">
      <c r="A3430" t="s">
        <v>220</v>
      </c>
      <c r="B3430" t="s">
        <v>4602</v>
      </c>
      <c r="E3430" s="1507" t="s">
        <v>243</v>
      </c>
      <c r="F3430" s="1507"/>
      <c r="G3430" s="584" t="s">
        <v>845</v>
      </c>
      <c r="H3430" s="577">
        <v>1.18E-2</v>
      </c>
      <c r="K3430" t="s">
        <v>947</v>
      </c>
      <c r="L3430" t="s">
        <v>694</v>
      </c>
      <c r="P3430" t="s">
        <v>964</v>
      </c>
      <c r="V3430">
        <v>47</v>
      </c>
    </row>
    <row r="3431" spans="1:22" customFormat="1" ht="15" x14ac:dyDescent="0.25">
      <c r="A3431" t="s">
        <v>220</v>
      </c>
      <c r="B3431" t="s">
        <v>4602</v>
      </c>
      <c r="E3431" s="1507" t="s">
        <v>175</v>
      </c>
      <c r="F3431" s="1507"/>
      <c r="G3431" s="584" t="s">
        <v>845</v>
      </c>
      <c r="H3431" s="577">
        <v>8.6999999999999994E-3</v>
      </c>
      <c r="K3431" t="s">
        <v>947</v>
      </c>
      <c r="L3431" t="s">
        <v>694</v>
      </c>
      <c r="P3431" t="s">
        <v>965</v>
      </c>
      <c r="V3431">
        <v>74</v>
      </c>
    </row>
    <row r="3432" spans="1:22" customFormat="1" ht="15" x14ac:dyDescent="0.25">
      <c r="A3432" t="s">
        <v>220</v>
      </c>
      <c r="B3432" t="s">
        <v>4602</v>
      </c>
      <c r="E3432" s="1515" t="s">
        <v>967</v>
      </c>
      <c r="F3432" s="1507"/>
      <c r="G3432" s="584"/>
      <c r="H3432" s="584"/>
      <c r="K3432" t="s">
        <v>966</v>
      </c>
      <c r="V3432">
        <v>48</v>
      </c>
    </row>
    <row r="3433" spans="1:22" customFormat="1" ht="15" x14ac:dyDescent="0.25">
      <c r="A3433" t="s">
        <v>220</v>
      </c>
      <c r="B3433" t="s">
        <v>4602</v>
      </c>
      <c r="E3433" s="1507" t="s">
        <v>844</v>
      </c>
      <c r="F3433" s="1507"/>
      <c r="G3433" s="584" t="s">
        <v>845</v>
      </c>
      <c r="H3433" s="577">
        <v>4.1000000000000003E-3</v>
      </c>
      <c r="K3433" t="s">
        <v>947</v>
      </c>
      <c r="L3433" t="s">
        <v>968</v>
      </c>
      <c r="P3433" t="s">
        <v>969</v>
      </c>
      <c r="V3433">
        <v>55</v>
      </c>
    </row>
    <row r="3434" spans="1:22" customFormat="1" ht="15" x14ac:dyDescent="0.25">
      <c r="A3434" t="s">
        <v>220</v>
      </c>
      <c r="B3434" t="s">
        <v>4602</v>
      </c>
      <c r="E3434" s="1507" t="s">
        <v>846</v>
      </c>
      <c r="F3434" s="1507"/>
      <c r="G3434" s="584" t="s">
        <v>845</v>
      </c>
      <c r="H3434" s="577">
        <v>4.0000000000000002E-4</v>
      </c>
      <c r="K3434" t="s">
        <v>947</v>
      </c>
      <c r="L3434" t="s">
        <v>968</v>
      </c>
      <c r="P3434" t="s">
        <v>969</v>
      </c>
      <c r="V3434">
        <v>65</v>
      </c>
    </row>
    <row r="3435" spans="1:22" customFormat="1" ht="15" x14ac:dyDescent="0.25">
      <c r="A3435" t="s">
        <v>220</v>
      </c>
      <c r="B3435" t="s">
        <v>4602</v>
      </c>
      <c r="E3435" s="1507" t="s">
        <v>847</v>
      </c>
      <c r="F3435" s="1507"/>
      <c r="G3435" s="584" t="s">
        <v>845</v>
      </c>
      <c r="H3435" s="577">
        <v>1.5E-3</v>
      </c>
      <c r="K3435" t="s">
        <v>947</v>
      </c>
      <c r="L3435" t="s">
        <v>968</v>
      </c>
      <c r="P3435" t="s">
        <v>970</v>
      </c>
      <c r="V3435">
        <v>57</v>
      </c>
    </row>
    <row r="3436" spans="1:22" customFormat="1" ht="15" x14ac:dyDescent="0.25">
      <c r="A3436" t="s">
        <v>220</v>
      </c>
      <c r="B3436" t="s">
        <v>4602</v>
      </c>
      <c r="E3436" s="1507" t="s">
        <v>848</v>
      </c>
      <c r="F3436" s="1507"/>
      <c r="G3436" s="584" t="s">
        <v>777</v>
      </c>
      <c r="H3436" s="576">
        <v>0.25</v>
      </c>
      <c r="K3436" t="s">
        <v>947</v>
      </c>
      <c r="L3436" t="s">
        <v>968</v>
      </c>
      <c r="P3436" t="s">
        <v>971</v>
      </c>
      <c r="V3436">
        <v>63</v>
      </c>
    </row>
    <row r="3437" spans="1:22" customFormat="1" x14ac:dyDescent="0.25">
      <c r="A3437" t="s">
        <v>220</v>
      </c>
      <c r="B3437" t="s">
        <v>4602</v>
      </c>
      <c r="E3437" s="1492" t="s">
        <v>174</v>
      </c>
      <c r="F3437" s="1493"/>
      <c r="G3437" s="1493"/>
      <c r="H3437" s="1493"/>
      <c r="K3437" t="s">
        <v>972</v>
      </c>
      <c r="V3437">
        <v>54</v>
      </c>
    </row>
    <row r="3438" spans="1:22" customFormat="1" ht="15" x14ac:dyDescent="0.25">
      <c r="A3438" t="s">
        <v>220</v>
      </c>
      <c r="B3438" t="s">
        <v>4602</v>
      </c>
      <c r="E3438" s="1516" t="s">
        <v>4605</v>
      </c>
      <c r="F3438" s="1516"/>
      <c r="G3438" s="1516"/>
      <c r="H3438" s="1516"/>
      <c r="K3438" t="s">
        <v>972</v>
      </c>
      <c r="V3438">
        <v>331</v>
      </c>
    </row>
    <row r="3439" spans="1:22" customFormat="1" ht="15" x14ac:dyDescent="0.25">
      <c r="A3439" t="s">
        <v>220</v>
      </c>
      <c r="B3439" t="s">
        <v>4602</v>
      </c>
      <c r="E3439" s="1515" t="s">
        <v>950</v>
      </c>
      <c r="F3439" s="1516"/>
      <c r="G3439" s="1516"/>
      <c r="H3439" s="1516"/>
      <c r="K3439" t="s">
        <v>974</v>
      </c>
      <c r="V3439">
        <v>11</v>
      </c>
    </row>
    <row r="3440" spans="1:22" customFormat="1" ht="15" x14ac:dyDescent="0.25">
      <c r="A3440" t="s">
        <v>220</v>
      </c>
      <c r="B3440" t="s">
        <v>4602</v>
      </c>
      <c r="E3440" s="1516" t="s">
        <v>951</v>
      </c>
      <c r="F3440" s="1516"/>
      <c r="G3440" s="1516"/>
      <c r="H3440" s="1516"/>
      <c r="K3440" t="s">
        <v>972</v>
      </c>
      <c r="V3440">
        <v>280</v>
      </c>
    </row>
    <row r="3441" spans="1:22" customFormat="1" ht="15" x14ac:dyDescent="0.25">
      <c r="A3441" t="s">
        <v>220</v>
      </c>
      <c r="B3441" t="s">
        <v>4602</v>
      </c>
      <c r="E3441" s="1516" t="s">
        <v>952</v>
      </c>
      <c r="F3441" s="1516"/>
      <c r="G3441" s="1516"/>
      <c r="H3441" s="1516"/>
      <c r="K3441" t="s">
        <v>972</v>
      </c>
      <c r="V3441">
        <v>411</v>
      </c>
    </row>
    <row r="3442" spans="1:22" customFormat="1" ht="15" x14ac:dyDescent="0.25">
      <c r="A3442" t="s">
        <v>220</v>
      </c>
      <c r="B3442" t="s">
        <v>4602</v>
      </c>
      <c r="E3442" s="1516" t="s">
        <v>953</v>
      </c>
      <c r="F3442" s="1516"/>
      <c r="G3442" s="1516"/>
      <c r="H3442" s="1516"/>
      <c r="K3442" t="s">
        <v>972</v>
      </c>
      <c r="V3442">
        <v>386</v>
      </c>
    </row>
    <row r="3443" spans="1:22" customFormat="1" ht="15" x14ac:dyDescent="0.25">
      <c r="A3443" t="s">
        <v>220</v>
      </c>
      <c r="B3443" t="s">
        <v>4602</v>
      </c>
      <c r="E3443" s="1516" t="s">
        <v>3762</v>
      </c>
      <c r="F3443" s="1516"/>
      <c r="G3443" s="1516"/>
      <c r="H3443" s="1516"/>
      <c r="K3443" t="s">
        <v>972</v>
      </c>
      <c r="V3443">
        <v>247</v>
      </c>
    </row>
    <row r="3444" spans="1:22" customFormat="1" ht="15" x14ac:dyDescent="0.25">
      <c r="A3444" t="s">
        <v>220</v>
      </c>
      <c r="B3444" t="s">
        <v>4602</v>
      </c>
      <c r="E3444" s="1515" t="s">
        <v>956</v>
      </c>
      <c r="F3444" s="1516"/>
      <c r="G3444" s="1516"/>
      <c r="H3444" s="1516"/>
      <c r="K3444" t="s">
        <v>975</v>
      </c>
      <c r="V3444">
        <v>46</v>
      </c>
    </row>
    <row r="3445" spans="1:22" customFormat="1" ht="15" x14ac:dyDescent="0.25">
      <c r="A3445" t="s">
        <v>220</v>
      </c>
      <c r="B3445" t="s">
        <v>4602</v>
      </c>
      <c r="E3445" s="1507" t="s">
        <v>3773</v>
      </c>
      <c r="F3445" s="1507"/>
      <c r="G3445" s="584" t="s">
        <v>777</v>
      </c>
      <c r="H3445" s="576">
        <v>29.62</v>
      </c>
      <c r="K3445" t="s">
        <v>972</v>
      </c>
      <c r="L3445" t="s">
        <v>690</v>
      </c>
      <c r="P3445" t="s">
        <v>976</v>
      </c>
      <c r="V3445">
        <v>14</v>
      </c>
    </row>
    <row r="3446" spans="1:22" customFormat="1" ht="15" x14ac:dyDescent="0.25">
      <c r="A3446" t="s">
        <v>220</v>
      </c>
      <c r="B3446" t="s">
        <v>4602</v>
      </c>
      <c r="E3446" s="1507" t="s">
        <v>960</v>
      </c>
      <c r="F3446" s="1507"/>
      <c r="G3446" s="584" t="s">
        <v>777</v>
      </c>
      <c r="H3446" s="576">
        <v>0.42</v>
      </c>
      <c r="K3446" t="s">
        <v>972</v>
      </c>
      <c r="L3446" t="s">
        <v>692</v>
      </c>
      <c r="P3446" t="s">
        <v>977</v>
      </c>
      <c r="V3446">
        <v>64</v>
      </c>
    </row>
    <row r="3447" spans="1:22" customFormat="1" ht="15" x14ac:dyDescent="0.25">
      <c r="A3447" t="s">
        <v>220</v>
      </c>
      <c r="B3447" t="s">
        <v>4602</v>
      </c>
      <c r="E3447" s="1507" t="s">
        <v>3688</v>
      </c>
      <c r="F3447" s="1507"/>
      <c r="G3447" s="584" t="s">
        <v>845</v>
      </c>
      <c r="H3447" s="577">
        <v>2.01E-2</v>
      </c>
      <c r="K3447" t="s">
        <v>972</v>
      </c>
      <c r="L3447" t="s">
        <v>690</v>
      </c>
      <c r="P3447" t="s">
        <v>978</v>
      </c>
      <c r="V3447">
        <v>28</v>
      </c>
    </row>
    <row r="3448" spans="1:22" customFormat="1" ht="15" x14ac:dyDescent="0.25">
      <c r="A3448" t="s">
        <v>220</v>
      </c>
      <c r="B3448" t="s">
        <v>4602</v>
      </c>
      <c r="E3448" s="1507" t="s">
        <v>6519</v>
      </c>
      <c r="F3448" s="1510"/>
      <c r="G3448" s="584" t="s">
        <v>845</v>
      </c>
      <c r="H3448" s="577">
        <v>1.8E-3</v>
      </c>
      <c r="K3448" t="s">
        <v>972</v>
      </c>
      <c r="L3448" t="s">
        <v>692</v>
      </c>
      <c r="P3448" t="s">
        <v>981</v>
      </c>
      <c r="T3448">
        <v>46022</v>
      </c>
      <c r="V3448">
        <v>142</v>
      </c>
    </row>
    <row r="3449" spans="1:22" customFormat="1" ht="15" x14ac:dyDescent="0.25">
      <c r="A3449" t="s">
        <v>220</v>
      </c>
      <c r="B3449" t="s">
        <v>4602</v>
      </c>
      <c r="E3449" s="1507" t="s">
        <v>6520</v>
      </c>
      <c r="F3449" s="1510"/>
      <c r="G3449" s="584" t="s">
        <v>845</v>
      </c>
      <c r="H3449" s="577">
        <v>-8.9999999999999998E-4</v>
      </c>
      <c r="K3449" t="s">
        <v>972</v>
      </c>
      <c r="L3449" t="s">
        <v>692</v>
      </c>
      <c r="P3449" t="s">
        <v>982</v>
      </c>
      <c r="T3449">
        <v>46022</v>
      </c>
      <c r="V3449">
        <v>99</v>
      </c>
    </row>
    <row r="3450" spans="1:22" customFormat="1" ht="15" x14ac:dyDescent="0.25">
      <c r="A3450" t="s">
        <v>220</v>
      </c>
      <c r="B3450" t="s">
        <v>4602</v>
      </c>
      <c r="E3450" s="1507" t="s">
        <v>6521</v>
      </c>
      <c r="F3450" s="1510"/>
      <c r="G3450" s="584" t="s">
        <v>845</v>
      </c>
      <c r="H3450" s="577">
        <v>2.0000000000000001E-4</v>
      </c>
      <c r="K3450" t="s">
        <v>972</v>
      </c>
      <c r="L3450" t="s">
        <v>692</v>
      </c>
      <c r="P3450" t="s">
        <v>3766</v>
      </c>
      <c r="T3450">
        <v>46022</v>
      </c>
      <c r="V3450">
        <v>149</v>
      </c>
    </row>
    <row r="3451" spans="1:22" customFormat="1" ht="15" x14ac:dyDescent="0.25">
      <c r="A3451" t="s">
        <v>220</v>
      </c>
      <c r="B3451" t="s">
        <v>4602</v>
      </c>
      <c r="E3451" s="1507" t="s">
        <v>6716</v>
      </c>
      <c r="F3451" s="1507"/>
      <c r="G3451" s="584" t="s">
        <v>845</v>
      </c>
      <c r="H3451" s="577">
        <v>2.0000000000000001E-4</v>
      </c>
      <c r="K3451" t="s">
        <v>972</v>
      </c>
      <c r="L3451" t="s">
        <v>690</v>
      </c>
      <c r="P3451" t="s">
        <v>6717</v>
      </c>
      <c r="T3451">
        <v>46022</v>
      </c>
      <c r="V3451">
        <v>74</v>
      </c>
    </row>
    <row r="3452" spans="1:22" customFormat="1" ht="15" x14ac:dyDescent="0.25">
      <c r="A3452" t="s">
        <v>220</v>
      </c>
      <c r="B3452" t="s">
        <v>4602</v>
      </c>
      <c r="E3452" s="1507" t="s">
        <v>243</v>
      </c>
      <c r="F3452" s="1507"/>
      <c r="G3452" s="584" t="s">
        <v>845</v>
      </c>
      <c r="H3452" s="577">
        <v>1.18E-2</v>
      </c>
      <c r="K3452" t="s">
        <v>972</v>
      </c>
      <c r="L3452" t="s">
        <v>694</v>
      </c>
      <c r="P3452" t="s">
        <v>983</v>
      </c>
      <c r="V3452">
        <v>47</v>
      </c>
    </row>
    <row r="3453" spans="1:22" customFormat="1" ht="15" x14ac:dyDescent="0.25">
      <c r="A3453" t="s">
        <v>220</v>
      </c>
      <c r="B3453" t="s">
        <v>4602</v>
      </c>
      <c r="E3453" s="1507" t="s">
        <v>175</v>
      </c>
      <c r="F3453" s="1507"/>
      <c r="G3453" s="584" t="s">
        <v>845</v>
      </c>
      <c r="H3453" s="577">
        <v>7.9000000000000008E-3</v>
      </c>
      <c r="K3453" t="s">
        <v>972</v>
      </c>
      <c r="L3453" t="s">
        <v>694</v>
      </c>
      <c r="P3453" t="s">
        <v>984</v>
      </c>
      <c r="V3453">
        <v>74</v>
      </c>
    </row>
    <row r="3454" spans="1:22" customFormat="1" ht="15" x14ac:dyDescent="0.25">
      <c r="A3454" t="s">
        <v>220</v>
      </c>
      <c r="B3454" t="s">
        <v>4602</v>
      </c>
      <c r="E3454" s="1515" t="s">
        <v>967</v>
      </c>
      <c r="F3454" s="1507"/>
      <c r="G3454" s="584"/>
      <c r="H3454" s="584"/>
      <c r="K3454" t="s">
        <v>985</v>
      </c>
      <c r="V3454">
        <v>48</v>
      </c>
    </row>
    <row r="3455" spans="1:22" customFormat="1" ht="15" x14ac:dyDescent="0.25">
      <c r="A3455" t="s">
        <v>220</v>
      </c>
      <c r="B3455" t="s">
        <v>4602</v>
      </c>
      <c r="E3455" s="1507" t="s">
        <v>844</v>
      </c>
      <c r="F3455" s="1507"/>
      <c r="G3455" s="584" t="s">
        <v>845</v>
      </c>
      <c r="H3455" s="577">
        <v>4.1000000000000003E-3</v>
      </c>
      <c r="K3455" t="s">
        <v>972</v>
      </c>
      <c r="L3455" t="s">
        <v>968</v>
      </c>
      <c r="P3455" t="s">
        <v>986</v>
      </c>
      <c r="V3455">
        <v>55</v>
      </c>
    </row>
    <row r="3456" spans="1:22" customFormat="1" ht="15" x14ac:dyDescent="0.25">
      <c r="A3456" t="s">
        <v>220</v>
      </c>
      <c r="B3456" t="s">
        <v>4602</v>
      </c>
      <c r="E3456" s="1507" t="s">
        <v>846</v>
      </c>
      <c r="F3456" s="1507"/>
      <c r="G3456" s="584" t="s">
        <v>845</v>
      </c>
      <c r="H3456" s="577">
        <v>4.0000000000000002E-4</v>
      </c>
      <c r="K3456" t="s">
        <v>972</v>
      </c>
      <c r="L3456" t="s">
        <v>968</v>
      </c>
      <c r="P3456" t="s">
        <v>986</v>
      </c>
      <c r="V3456">
        <v>65</v>
      </c>
    </row>
    <row r="3457" spans="1:22" customFormat="1" ht="15" x14ac:dyDescent="0.25">
      <c r="A3457" t="s">
        <v>220</v>
      </c>
      <c r="B3457" t="s">
        <v>4602</v>
      </c>
      <c r="E3457" s="1507" t="s">
        <v>847</v>
      </c>
      <c r="F3457" s="1507"/>
      <c r="G3457" s="584" t="s">
        <v>845</v>
      </c>
      <c r="H3457" s="577">
        <v>1.5E-3</v>
      </c>
      <c r="K3457" t="s">
        <v>972</v>
      </c>
      <c r="L3457" t="s">
        <v>968</v>
      </c>
      <c r="P3457" t="s">
        <v>987</v>
      </c>
      <c r="V3457">
        <v>57</v>
      </c>
    </row>
    <row r="3458" spans="1:22" customFormat="1" ht="15" x14ac:dyDescent="0.25">
      <c r="A3458" t="s">
        <v>220</v>
      </c>
      <c r="B3458" t="s">
        <v>4602</v>
      </c>
      <c r="E3458" s="1507" t="s">
        <v>848</v>
      </c>
      <c r="F3458" s="1507"/>
      <c r="G3458" s="584" t="s">
        <v>777</v>
      </c>
      <c r="H3458" s="576">
        <v>0.25</v>
      </c>
      <c r="K3458" t="s">
        <v>972</v>
      </c>
      <c r="L3458" t="s">
        <v>968</v>
      </c>
      <c r="P3458" t="s">
        <v>988</v>
      </c>
      <c r="V3458">
        <v>63</v>
      </c>
    </row>
    <row r="3459" spans="1:22" customFormat="1" x14ac:dyDescent="0.25">
      <c r="A3459" t="s">
        <v>220</v>
      </c>
      <c r="B3459" t="s">
        <v>4602</v>
      </c>
      <c r="E3459" s="1492" t="s">
        <v>3767</v>
      </c>
      <c r="F3459" s="1493"/>
      <c r="G3459" s="1493"/>
      <c r="H3459" s="1493"/>
      <c r="K3459" t="s">
        <v>3768</v>
      </c>
      <c r="V3459">
        <v>53</v>
      </c>
    </row>
    <row r="3460" spans="1:22" customFormat="1" ht="15" x14ac:dyDescent="0.25">
      <c r="A3460" t="s">
        <v>220</v>
      </c>
      <c r="B3460" t="s">
        <v>4602</v>
      </c>
      <c r="E3460" s="1516" t="s">
        <v>4606</v>
      </c>
      <c r="F3460" s="1516"/>
      <c r="G3460" s="1516"/>
      <c r="H3460" s="1516"/>
      <c r="K3460" t="s">
        <v>3768</v>
      </c>
      <c r="V3460">
        <v>355</v>
      </c>
    </row>
    <row r="3461" spans="1:22" customFormat="1" ht="15" x14ac:dyDescent="0.25">
      <c r="A3461" t="s">
        <v>220</v>
      </c>
      <c r="B3461" t="s">
        <v>4602</v>
      </c>
      <c r="E3461" s="1515" t="s">
        <v>950</v>
      </c>
      <c r="F3461" s="1516"/>
      <c r="G3461" s="1516"/>
      <c r="H3461" s="1516"/>
      <c r="K3461" t="s">
        <v>992</v>
      </c>
      <c r="V3461">
        <v>11</v>
      </c>
    </row>
    <row r="3462" spans="1:22" customFormat="1" ht="15" x14ac:dyDescent="0.25">
      <c r="A3462" t="s">
        <v>220</v>
      </c>
      <c r="B3462" t="s">
        <v>4602</v>
      </c>
      <c r="E3462" s="1516" t="s">
        <v>951</v>
      </c>
      <c r="F3462" s="1516"/>
      <c r="G3462" s="1516"/>
      <c r="H3462" s="1516"/>
      <c r="K3462" t="s">
        <v>3768</v>
      </c>
      <c r="V3462">
        <v>280</v>
      </c>
    </row>
    <row r="3463" spans="1:22" customFormat="1" ht="15" x14ac:dyDescent="0.25">
      <c r="A3463" t="s">
        <v>220</v>
      </c>
      <c r="B3463" t="s">
        <v>4602</v>
      </c>
      <c r="E3463" s="1516" t="s">
        <v>952</v>
      </c>
      <c r="F3463" s="1516"/>
      <c r="G3463" s="1516"/>
      <c r="H3463" s="1516"/>
      <c r="K3463" t="s">
        <v>3768</v>
      </c>
      <c r="V3463">
        <v>411</v>
      </c>
    </row>
    <row r="3464" spans="1:22" customFormat="1" ht="15" x14ac:dyDescent="0.25">
      <c r="A3464" t="s">
        <v>220</v>
      </c>
      <c r="B3464" t="s">
        <v>4602</v>
      </c>
      <c r="E3464" s="1516" t="s">
        <v>953</v>
      </c>
      <c r="F3464" s="1516"/>
      <c r="G3464" s="1516"/>
      <c r="H3464" s="1516"/>
      <c r="K3464" t="s">
        <v>3768</v>
      </c>
      <c r="V3464">
        <v>386</v>
      </c>
    </row>
    <row r="3465" spans="1:22" customFormat="1" ht="15" x14ac:dyDescent="0.25">
      <c r="A3465" t="s">
        <v>220</v>
      </c>
      <c r="B3465" t="s">
        <v>4602</v>
      </c>
      <c r="E3465" s="1516" t="s">
        <v>3771</v>
      </c>
      <c r="F3465" s="1516"/>
      <c r="G3465" s="1516"/>
      <c r="H3465" s="1516"/>
      <c r="K3465" t="s">
        <v>3768</v>
      </c>
      <c r="V3465">
        <v>677</v>
      </c>
    </row>
    <row r="3466" spans="1:22" customFormat="1" ht="15" x14ac:dyDescent="0.25">
      <c r="A3466" t="s">
        <v>220</v>
      </c>
      <c r="B3466" t="s">
        <v>4602</v>
      </c>
      <c r="E3466" s="1516" t="s">
        <v>3772</v>
      </c>
      <c r="F3466" s="1516"/>
      <c r="G3466" s="1516"/>
      <c r="H3466" s="1516"/>
      <c r="K3466" t="s">
        <v>3768</v>
      </c>
      <c r="V3466">
        <v>693</v>
      </c>
    </row>
    <row r="3467" spans="1:22" customFormat="1" ht="15" x14ac:dyDescent="0.25">
      <c r="A3467" t="s">
        <v>220</v>
      </c>
      <c r="B3467" t="s">
        <v>4602</v>
      </c>
      <c r="E3467" s="1516" t="s">
        <v>3762</v>
      </c>
      <c r="F3467" s="1516"/>
      <c r="G3467" s="1516"/>
      <c r="H3467" s="1516"/>
      <c r="K3467" t="s">
        <v>3768</v>
      </c>
      <c r="V3467">
        <v>247</v>
      </c>
    </row>
    <row r="3468" spans="1:22" customFormat="1" ht="15" x14ac:dyDescent="0.25">
      <c r="A3468" t="s">
        <v>220</v>
      </c>
      <c r="B3468" t="s">
        <v>4602</v>
      </c>
      <c r="E3468" s="1515" t="s">
        <v>956</v>
      </c>
      <c r="F3468" s="1516"/>
      <c r="G3468" s="1516"/>
      <c r="H3468" s="1516"/>
      <c r="K3468" t="s">
        <v>995</v>
      </c>
      <c r="V3468">
        <v>46</v>
      </c>
    </row>
    <row r="3469" spans="1:22" customFormat="1" ht="15" x14ac:dyDescent="0.25">
      <c r="A3469" t="s">
        <v>220</v>
      </c>
      <c r="B3469" t="s">
        <v>4602</v>
      </c>
      <c r="E3469" s="1507" t="s">
        <v>3773</v>
      </c>
      <c r="F3469" s="1507"/>
      <c r="G3469" s="584" t="s">
        <v>777</v>
      </c>
      <c r="H3469" s="576">
        <v>92.31</v>
      </c>
      <c r="K3469" t="s">
        <v>3768</v>
      </c>
      <c r="L3469" t="s">
        <v>690</v>
      </c>
      <c r="P3469" t="s">
        <v>3774</v>
      </c>
      <c r="V3469">
        <v>14</v>
      </c>
    </row>
    <row r="3470" spans="1:22" customFormat="1" ht="15" x14ac:dyDescent="0.25">
      <c r="A3470" t="s">
        <v>220</v>
      </c>
      <c r="B3470" t="s">
        <v>4602</v>
      </c>
      <c r="E3470" s="1507" t="s">
        <v>3688</v>
      </c>
      <c r="F3470" s="1507"/>
      <c r="G3470" s="584" t="s">
        <v>3775</v>
      </c>
      <c r="H3470" s="577">
        <v>4.4195000000000002</v>
      </c>
      <c r="K3470" t="s">
        <v>3768</v>
      </c>
      <c r="L3470" t="s">
        <v>690</v>
      </c>
      <c r="P3470" t="s">
        <v>3776</v>
      </c>
      <c r="V3470">
        <v>28</v>
      </c>
    </row>
    <row r="3471" spans="1:22" customFormat="1" ht="15" x14ac:dyDescent="0.25">
      <c r="A3471" t="s">
        <v>220</v>
      </c>
      <c r="B3471" t="s">
        <v>4602</v>
      </c>
      <c r="E3471" s="1507" t="s">
        <v>6519</v>
      </c>
      <c r="F3471" s="1510"/>
      <c r="G3471" s="584" t="s">
        <v>845</v>
      </c>
      <c r="H3471" s="577">
        <v>1.8E-3</v>
      </c>
      <c r="K3471" t="s">
        <v>3768</v>
      </c>
      <c r="L3471" t="s">
        <v>692</v>
      </c>
      <c r="P3471" t="s">
        <v>4232</v>
      </c>
      <c r="T3471">
        <v>46022</v>
      </c>
      <c r="V3471">
        <v>142</v>
      </c>
    </row>
    <row r="3472" spans="1:22" customFormat="1" ht="15" x14ac:dyDescent="0.25">
      <c r="A3472" t="s">
        <v>220</v>
      </c>
      <c r="B3472" t="s">
        <v>4602</v>
      </c>
      <c r="E3472" s="1507" t="s">
        <v>6525</v>
      </c>
      <c r="F3472" s="1510"/>
      <c r="G3472" s="584" t="s">
        <v>3775</v>
      </c>
      <c r="H3472" s="577">
        <v>-0.58220000000000005</v>
      </c>
      <c r="K3472" t="s">
        <v>3768</v>
      </c>
      <c r="L3472" t="s">
        <v>692</v>
      </c>
      <c r="P3472" t="s">
        <v>3779</v>
      </c>
      <c r="T3472">
        <v>46022</v>
      </c>
      <c r="V3472">
        <v>159</v>
      </c>
    </row>
    <row r="3473" spans="1:22" customFormat="1" ht="15" x14ac:dyDescent="0.25">
      <c r="A3473" t="s">
        <v>220</v>
      </c>
      <c r="B3473" t="s">
        <v>4602</v>
      </c>
      <c r="E3473" s="1507" t="s">
        <v>6520</v>
      </c>
      <c r="F3473" s="1510"/>
      <c r="G3473" s="584" t="s">
        <v>3775</v>
      </c>
      <c r="H3473" s="577">
        <v>0.29480000000000001</v>
      </c>
      <c r="K3473" t="s">
        <v>3768</v>
      </c>
      <c r="L3473" t="s">
        <v>692</v>
      </c>
      <c r="P3473" t="s">
        <v>3779</v>
      </c>
      <c r="T3473">
        <v>46022</v>
      </c>
      <c r="V3473">
        <v>99</v>
      </c>
    </row>
    <row r="3474" spans="1:22" customFormat="1" ht="15" x14ac:dyDescent="0.25">
      <c r="A3474" t="s">
        <v>220</v>
      </c>
      <c r="B3474" t="s">
        <v>4602</v>
      </c>
      <c r="E3474" s="1507" t="s">
        <v>6521</v>
      </c>
      <c r="F3474" s="1510"/>
      <c r="G3474" s="584" t="s">
        <v>3775</v>
      </c>
      <c r="H3474" s="577">
        <v>6.4299999999999996E-2</v>
      </c>
      <c r="K3474" t="s">
        <v>3768</v>
      </c>
      <c r="L3474" t="s">
        <v>692</v>
      </c>
      <c r="P3474" t="s">
        <v>3778</v>
      </c>
      <c r="T3474">
        <v>46022</v>
      </c>
      <c r="V3474">
        <v>149</v>
      </c>
    </row>
    <row r="3475" spans="1:22" customFormat="1" ht="15" x14ac:dyDescent="0.25">
      <c r="A3475" t="s">
        <v>220</v>
      </c>
      <c r="B3475" t="s">
        <v>4602</v>
      </c>
      <c r="E3475" s="1507" t="s">
        <v>6716</v>
      </c>
      <c r="F3475" s="1507"/>
      <c r="G3475" s="584" t="s">
        <v>3775</v>
      </c>
      <c r="H3475" s="577">
        <v>0.1019</v>
      </c>
      <c r="K3475" t="s">
        <v>3768</v>
      </c>
      <c r="L3475" t="s">
        <v>690</v>
      </c>
      <c r="P3475" t="s">
        <v>6718</v>
      </c>
      <c r="T3475">
        <v>46022</v>
      </c>
      <c r="V3475">
        <v>74</v>
      </c>
    </row>
    <row r="3476" spans="1:22" customFormat="1" ht="15" x14ac:dyDescent="0.25">
      <c r="A3476" t="s">
        <v>220</v>
      </c>
      <c r="B3476" t="s">
        <v>4602</v>
      </c>
      <c r="E3476" s="1507" t="s">
        <v>243</v>
      </c>
      <c r="F3476" s="1507"/>
      <c r="G3476" s="584" t="s">
        <v>3775</v>
      </c>
      <c r="H3476" s="577">
        <v>4.7214</v>
      </c>
      <c r="K3476" t="s">
        <v>3768</v>
      </c>
      <c r="L3476" t="s">
        <v>694</v>
      </c>
      <c r="P3476" t="s">
        <v>3780</v>
      </c>
      <c r="V3476">
        <v>47</v>
      </c>
    </row>
    <row r="3477" spans="1:22" customFormat="1" ht="15" x14ac:dyDescent="0.25">
      <c r="A3477" t="s">
        <v>220</v>
      </c>
      <c r="B3477" t="s">
        <v>4602</v>
      </c>
      <c r="E3477" s="1507" t="s">
        <v>175</v>
      </c>
      <c r="F3477" s="1507"/>
      <c r="G3477" s="584" t="s">
        <v>3775</v>
      </c>
      <c r="H3477" s="577">
        <v>3.2784</v>
      </c>
      <c r="K3477" t="s">
        <v>3768</v>
      </c>
      <c r="L3477" t="s">
        <v>694</v>
      </c>
      <c r="P3477" t="s">
        <v>3781</v>
      </c>
      <c r="V3477">
        <v>74</v>
      </c>
    </row>
    <row r="3478" spans="1:22" customFormat="1" ht="15" x14ac:dyDescent="0.25">
      <c r="A3478" t="s">
        <v>220</v>
      </c>
      <c r="B3478" t="s">
        <v>4602</v>
      </c>
      <c r="E3478" s="1515" t="s">
        <v>967</v>
      </c>
      <c r="F3478" s="1507"/>
      <c r="G3478" s="584"/>
      <c r="H3478" s="584"/>
      <c r="K3478" t="s">
        <v>1003</v>
      </c>
      <c r="V3478">
        <v>48</v>
      </c>
    </row>
    <row r="3479" spans="1:22" customFormat="1" ht="15" x14ac:dyDescent="0.25">
      <c r="A3479" t="s">
        <v>220</v>
      </c>
      <c r="B3479" t="s">
        <v>4602</v>
      </c>
      <c r="E3479" s="1507" t="s">
        <v>844</v>
      </c>
      <c r="F3479" s="1507"/>
      <c r="G3479" s="584" t="s">
        <v>845</v>
      </c>
      <c r="H3479" s="577">
        <v>4.1000000000000003E-3</v>
      </c>
      <c r="K3479" t="s">
        <v>3768</v>
      </c>
      <c r="L3479" t="s">
        <v>968</v>
      </c>
      <c r="P3479" t="s">
        <v>3782</v>
      </c>
      <c r="V3479">
        <v>55</v>
      </c>
    </row>
    <row r="3480" spans="1:22" customFormat="1" ht="15" x14ac:dyDescent="0.25">
      <c r="A3480" t="s">
        <v>220</v>
      </c>
      <c r="B3480" t="s">
        <v>4602</v>
      </c>
      <c r="E3480" s="1507" t="s">
        <v>846</v>
      </c>
      <c r="F3480" s="1507"/>
      <c r="G3480" s="584" t="s">
        <v>845</v>
      </c>
      <c r="H3480" s="577">
        <v>4.0000000000000002E-4</v>
      </c>
      <c r="K3480" t="s">
        <v>3768</v>
      </c>
      <c r="L3480" t="s">
        <v>968</v>
      </c>
      <c r="P3480" t="s">
        <v>3782</v>
      </c>
      <c r="V3480">
        <v>65</v>
      </c>
    </row>
    <row r="3481" spans="1:22" customFormat="1" ht="15" x14ac:dyDescent="0.25">
      <c r="A3481" t="s">
        <v>220</v>
      </c>
      <c r="B3481" t="s">
        <v>4602</v>
      </c>
      <c r="E3481" s="1507" t="s">
        <v>847</v>
      </c>
      <c r="F3481" s="1507"/>
      <c r="G3481" s="584" t="s">
        <v>845</v>
      </c>
      <c r="H3481" s="577">
        <v>1.5E-3</v>
      </c>
      <c r="K3481" t="s">
        <v>3768</v>
      </c>
      <c r="L3481" t="s">
        <v>968</v>
      </c>
      <c r="P3481" t="s">
        <v>3783</v>
      </c>
      <c r="V3481">
        <v>57</v>
      </c>
    </row>
    <row r="3482" spans="1:22" customFormat="1" ht="15" x14ac:dyDescent="0.25">
      <c r="A3482" t="s">
        <v>220</v>
      </c>
      <c r="B3482" t="s">
        <v>4602</v>
      </c>
      <c r="E3482" s="1507" t="s">
        <v>848</v>
      </c>
      <c r="F3482" s="1507"/>
      <c r="G3482" s="584" t="s">
        <v>777</v>
      </c>
      <c r="H3482" s="576">
        <v>0.25</v>
      </c>
      <c r="K3482" t="s">
        <v>3768</v>
      </c>
      <c r="L3482" t="s">
        <v>968</v>
      </c>
      <c r="P3482" t="s">
        <v>3784</v>
      </c>
      <c r="V3482">
        <v>63</v>
      </c>
    </row>
    <row r="3483" spans="1:22" customFormat="1" x14ac:dyDescent="0.25">
      <c r="A3483" t="s">
        <v>220</v>
      </c>
      <c r="B3483" t="s">
        <v>4602</v>
      </c>
      <c r="E3483" s="1492" t="s">
        <v>198</v>
      </c>
      <c r="F3483" s="1493"/>
      <c r="G3483" s="1493"/>
      <c r="H3483" s="1493"/>
      <c r="K3483" t="s">
        <v>4607</v>
      </c>
      <c r="V3483">
        <v>40</v>
      </c>
    </row>
    <row r="3484" spans="1:22" customFormat="1" ht="15" x14ac:dyDescent="0.25">
      <c r="A3484" t="s">
        <v>220</v>
      </c>
      <c r="B3484" t="s">
        <v>4602</v>
      </c>
      <c r="E3484" s="1516" t="s">
        <v>4608</v>
      </c>
      <c r="F3484" s="1516"/>
      <c r="G3484" s="1516"/>
      <c r="H3484" s="1516"/>
      <c r="K3484" t="s">
        <v>4607</v>
      </c>
      <c r="V3484">
        <v>463</v>
      </c>
    </row>
    <row r="3485" spans="1:22" customFormat="1" ht="15" x14ac:dyDescent="0.25">
      <c r="A3485" t="s">
        <v>220</v>
      </c>
      <c r="B3485" t="s">
        <v>4602</v>
      </c>
      <c r="E3485" s="1515" t="s">
        <v>950</v>
      </c>
      <c r="F3485" s="1516"/>
      <c r="G3485" s="1516"/>
      <c r="H3485" s="1516"/>
      <c r="K3485" t="s">
        <v>1010</v>
      </c>
      <c r="V3485">
        <v>11</v>
      </c>
    </row>
    <row r="3486" spans="1:22" customFormat="1" ht="15" x14ac:dyDescent="0.25">
      <c r="A3486" t="s">
        <v>220</v>
      </c>
      <c r="B3486" t="s">
        <v>4602</v>
      </c>
      <c r="E3486" s="1516" t="s">
        <v>951</v>
      </c>
      <c r="F3486" s="1516"/>
      <c r="G3486" s="1516"/>
      <c r="H3486" s="1516"/>
      <c r="K3486" t="s">
        <v>4607</v>
      </c>
      <c r="V3486">
        <v>280</v>
      </c>
    </row>
    <row r="3487" spans="1:22" customFormat="1" ht="15" x14ac:dyDescent="0.25">
      <c r="A3487" t="s">
        <v>220</v>
      </c>
      <c r="B3487" t="s">
        <v>4602</v>
      </c>
      <c r="E3487" s="1516" t="s">
        <v>952</v>
      </c>
      <c r="F3487" s="1516"/>
      <c r="G3487" s="1516"/>
      <c r="H3487" s="1516"/>
      <c r="K3487" t="s">
        <v>4607</v>
      </c>
      <c r="V3487">
        <v>411</v>
      </c>
    </row>
    <row r="3488" spans="1:22" customFormat="1" ht="15" x14ac:dyDescent="0.25">
      <c r="A3488" t="s">
        <v>220</v>
      </c>
      <c r="B3488" t="s">
        <v>4602</v>
      </c>
      <c r="E3488" s="1516" t="s">
        <v>953</v>
      </c>
      <c r="F3488" s="1516"/>
      <c r="G3488" s="1516"/>
      <c r="H3488" s="1516"/>
      <c r="K3488" t="s">
        <v>4607</v>
      </c>
      <c r="V3488">
        <v>386</v>
      </c>
    </row>
    <row r="3489" spans="1:22" customFormat="1" ht="15" x14ac:dyDescent="0.25">
      <c r="A3489" t="s">
        <v>220</v>
      </c>
      <c r="B3489" t="s">
        <v>4602</v>
      </c>
      <c r="E3489" s="1516" t="s">
        <v>3762</v>
      </c>
      <c r="F3489" s="1516"/>
      <c r="G3489" s="1516"/>
      <c r="H3489" s="1516"/>
      <c r="K3489" t="s">
        <v>4607</v>
      </c>
      <c r="V3489">
        <v>247</v>
      </c>
    </row>
    <row r="3490" spans="1:22" customFormat="1" ht="15" x14ac:dyDescent="0.25">
      <c r="A3490" t="s">
        <v>220</v>
      </c>
      <c r="B3490" t="s">
        <v>4602</v>
      </c>
      <c r="E3490" s="1515" t="s">
        <v>956</v>
      </c>
      <c r="F3490" s="1516"/>
      <c r="G3490" s="1516"/>
      <c r="H3490" s="1516"/>
      <c r="K3490" t="s">
        <v>1011</v>
      </c>
      <c r="V3490">
        <v>46</v>
      </c>
    </row>
    <row r="3491" spans="1:22" customFormat="1" ht="15" x14ac:dyDescent="0.25">
      <c r="A3491" t="s">
        <v>220</v>
      </c>
      <c r="B3491" t="s">
        <v>4602</v>
      </c>
      <c r="E3491" s="1507" t="s">
        <v>3874</v>
      </c>
      <c r="F3491" s="1507"/>
      <c r="G3491" s="584" t="s">
        <v>777</v>
      </c>
      <c r="H3491" s="576">
        <v>5.97</v>
      </c>
      <c r="K3491" t="s">
        <v>4607</v>
      </c>
      <c r="L3491" t="s">
        <v>690</v>
      </c>
      <c r="P3491" t="s">
        <v>4609</v>
      </c>
      <c r="V3491">
        <v>31</v>
      </c>
    </row>
    <row r="3492" spans="1:22" customFormat="1" ht="15" x14ac:dyDescent="0.25">
      <c r="A3492" t="s">
        <v>220</v>
      </c>
      <c r="B3492" t="s">
        <v>4602</v>
      </c>
      <c r="E3492" s="1507" t="s">
        <v>3688</v>
      </c>
      <c r="F3492" s="1507"/>
      <c r="G3492" s="584" t="s">
        <v>3775</v>
      </c>
      <c r="H3492" s="577">
        <v>7.2274000000000003</v>
      </c>
      <c r="K3492" t="s">
        <v>4607</v>
      </c>
      <c r="L3492" t="s">
        <v>690</v>
      </c>
      <c r="P3492" t="s">
        <v>4610</v>
      </c>
      <c r="V3492">
        <v>28</v>
      </c>
    </row>
    <row r="3493" spans="1:22" customFormat="1" ht="15" x14ac:dyDescent="0.25">
      <c r="A3493" t="s">
        <v>220</v>
      </c>
      <c r="B3493" t="s">
        <v>4602</v>
      </c>
      <c r="E3493" s="1507" t="s">
        <v>6519</v>
      </c>
      <c r="F3493" s="1510"/>
      <c r="G3493" s="584" t="s">
        <v>845</v>
      </c>
      <c r="H3493" s="577">
        <v>1.8E-3</v>
      </c>
      <c r="K3493" t="s">
        <v>4607</v>
      </c>
      <c r="L3493" t="s">
        <v>692</v>
      </c>
      <c r="P3493" t="s">
        <v>4611</v>
      </c>
      <c r="T3493">
        <v>46022</v>
      </c>
      <c r="V3493">
        <v>142</v>
      </c>
    </row>
    <row r="3494" spans="1:22" customFormat="1" ht="15" x14ac:dyDescent="0.25">
      <c r="A3494" t="s">
        <v>220</v>
      </c>
      <c r="B3494" t="s">
        <v>4602</v>
      </c>
      <c r="E3494" s="1507" t="s">
        <v>6520</v>
      </c>
      <c r="F3494" s="1510"/>
      <c r="G3494" s="584" t="s">
        <v>845</v>
      </c>
      <c r="H3494" s="577">
        <v>-8.9999999999999998E-4</v>
      </c>
      <c r="K3494" t="s">
        <v>4607</v>
      </c>
      <c r="L3494" t="s">
        <v>692</v>
      </c>
      <c r="P3494" t="s">
        <v>4612</v>
      </c>
      <c r="T3494">
        <v>46022</v>
      </c>
      <c r="V3494">
        <v>99</v>
      </c>
    </row>
    <row r="3495" spans="1:22" customFormat="1" ht="15" x14ac:dyDescent="0.25">
      <c r="A3495" t="s">
        <v>220</v>
      </c>
      <c r="B3495" t="s">
        <v>4602</v>
      </c>
      <c r="E3495" s="1507" t="s">
        <v>6521</v>
      </c>
      <c r="F3495" s="1510"/>
      <c r="G3495" s="584" t="s">
        <v>845</v>
      </c>
      <c r="H3495" s="577">
        <v>2.0000000000000001E-4</v>
      </c>
      <c r="K3495" t="s">
        <v>4607</v>
      </c>
      <c r="L3495" t="s">
        <v>692</v>
      </c>
      <c r="P3495" t="s">
        <v>4613</v>
      </c>
      <c r="T3495">
        <v>46022</v>
      </c>
      <c r="V3495">
        <v>149</v>
      </c>
    </row>
    <row r="3496" spans="1:22" customFormat="1" ht="15" x14ac:dyDescent="0.25">
      <c r="A3496" t="s">
        <v>220</v>
      </c>
      <c r="B3496" t="s">
        <v>4602</v>
      </c>
      <c r="E3496" s="1507" t="s">
        <v>243</v>
      </c>
      <c r="F3496" s="1507"/>
      <c r="G3496" s="584" t="s">
        <v>3775</v>
      </c>
      <c r="H3496" s="577">
        <v>2.9674</v>
      </c>
      <c r="K3496" t="s">
        <v>4607</v>
      </c>
      <c r="L3496" t="s">
        <v>694</v>
      </c>
      <c r="P3496" t="s">
        <v>4614</v>
      </c>
      <c r="V3496">
        <v>47</v>
      </c>
    </row>
    <row r="3497" spans="1:22" customFormat="1" ht="15" x14ac:dyDescent="0.25">
      <c r="A3497" t="s">
        <v>220</v>
      </c>
      <c r="B3497" t="s">
        <v>4602</v>
      </c>
      <c r="E3497" s="1507" t="s">
        <v>175</v>
      </c>
      <c r="F3497" s="1507"/>
      <c r="G3497" s="584" t="s">
        <v>3775</v>
      </c>
      <c r="H3497" s="577">
        <v>2.0577999999999999</v>
      </c>
      <c r="K3497" t="s">
        <v>4607</v>
      </c>
      <c r="L3497" t="s">
        <v>694</v>
      </c>
      <c r="P3497" t="s">
        <v>4615</v>
      </c>
      <c r="V3497">
        <v>74</v>
      </c>
    </row>
    <row r="3498" spans="1:22" customFormat="1" ht="15" x14ac:dyDescent="0.25">
      <c r="A3498" t="s">
        <v>220</v>
      </c>
      <c r="B3498" t="s">
        <v>4602</v>
      </c>
      <c r="E3498" s="1515" t="s">
        <v>967</v>
      </c>
      <c r="F3498" s="1507"/>
      <c r="G3498" s="584"/>
      <c r="H3498" s="584"/>
      <c r="K3498" t="s">
        <v>1019</v>
      </c>
      <c r="V3498">
        <v>48</v>
      </c>
    </row>
    <row r="3499" spans="1:22" customFormat="1" ht="15" x14ac:dyDescent="0.25">
      <c r="A3499" t="s">
        <v>220</v>
      </c>
      <c r="B3499" t="s">
        <v>4602</v>
      </c>
      <c r="E3499" s="1507" t="s">
        <v>844</v>
      </c>
      <c r="F3499" s="1507"/>
      <c r="G3499" s="584" t="s">
        <v>845</v>
      </c>
      <c r="H3499" s="577">
        <v>4.1000000000000003E-3</v>
      </c>
      <c r="K3499" t="s">
        <v>4607</v>
      </c>
      <c r="L3499" t="s">
        <v>968</v>
      </c>
      <c r="P3499" t="s">
        <v>4616</v>
      </c>
      <c r="V3499">
        <v>55</v>
      </c>
    </row>
    <row r="3500" spans="1:22" customFormat="1" ht="15" x14ac:dyDescent="0.25">
      <c r="A3500" t="s">
        <v>220</v>
      </c>
      <c r="B3500" t="s">
        <v>4602</v>
      </c>
      <c r="E3500" s="1507" t="s">
        <v>846</v>
      </c>
      <c r="F3500" s="1507"/>
      <c r="G3500" s="584" t="s">
        <v>845</v>
      </c>
      <c r="H3500" s="577">
        <v>4.0000000000000002E-4</v>
      </c>
      <c r="K3500" t="s">
        <v>4607</v>
      </c>
      <c r="L3500" t="s">
        <v>968</v>
      </c>
      <c r="P3500" t="s">
        <v>4616</v>
      </c>
      <c r="V3500">
        <v>65</v>
      </c>
    </row>
    <row r="3501" spans="1:22" customFormat="1" ht="15" x14ac:dyDescent="0.25">
      <c r="A3501" t="s">
        <v>220</v>
      </c>
      <c r="B3501" t="s">
        <v>4602</v>
      </c>
      <c r="E3501" s="1507" t="s">
        <v>847</v>
      </c>
      <c r="F3501" s="1507"/>
      <c r="G3501" s="584" t="s">
        <v>845</v>
      </c>
      <c r="H3501" s="577">
        <v>1.5E-3</v>
      </c>
      <c r="K3501" t="s">
        <v>4607</v>
      </c>
      <c r="L3501" t="s">
        <v>968</v>
      </c>
      <c r="P3501" t="s">
        <v>4617</v>
      </c>
      <c r="V3501">
        <v>57</v>
      </c>
    </row>
    <row r="3502" spans="1:22" customFormat="1" ht="15" x14ac:dyDescent="0.25">
      <c r="A3502" t="s">
        <v>220</v>
      </c>
      <c r="B3502" t="s">
        <v>4602</v>
      </c>
      <c r="E3502" s="1507" t="s">
        <v>848</v>
      </c>
      <c r="F3502" s="1507"/>
      <c r="G3502" s="584" t="s">
        <v>777</v>
      </c>
      <c r="H3502" s="576">
        <v>0.25</v>
      </c>
      <c r="K3502" t="s">
        <v>4607</v>
      </c>
      <c r="L3502" t="s">
        <v>968</v>
      </c>
      <c r="P3502" t="s">
        <v>4618</v>
      </c>
      <c r="V3502">
        <v>63</v>
      </c>
    </row>
    <row r="3503" spans="1:22" customFormat="1" x14ac:dyDescent="0.25">
      <c r="A3503" t="s">
        <v>220</v>
      </c>
      <c r="B3503" t="s">
        <v>4602</v>
      </c>
      <c r="E3503" s="1492" t="s">
        <v>202</v>
      </c>
      <c r="F3503" s="1493"/>
      <c r="G3503" s="1493"/>
      <c r="H3503" s="1493"/>
      <c r="K3503" t="s">
        <v>4447</v>
      </c>
      <c r="V3503">
        <v>38</v>
      </c>
    </row>
    <row r="3504" spans="1:22" customFormat="1" ht="15" x14ac:dyDescent="0.25">
      <c r="A3504" t="s">
        <v>220</v>
      </c>
      <c r="B3504" t="s">
        <v>4602</v>
      </c>
      <c r="E3504" s="1516" t="s">
        <v>4619</v>
      </c>
      <c r="F3504" s="1516"/>
      <c r="G3504" s="1516"/>
      <c r="H3504" s="1516"/>
      <c r="K3504" t="s">
        <v>4447</v>
      </c>
      <c r="V3504">
        <v>546</v>
      </c>
    </row>
    <row r="3505" spans="1:22" customFormat="1" ht="15" x14ac:dyDescent="0.25">
      <c r="A3505" t="s">
        <v>220</v>
      </c>
      <c r="B3505" t="s">
        <v>4602</v>
      </c>
      <c r="E3505" s="1515" t="s">
        <v>950</v>
      </c>
      <c r="F3505" s="1516"/>
      <c r="G3505" s="1516"/>
      <c r="H3505" s="1516"/>
      <c r="K3505" t="s">
        <v>1025</v>
      </c>
      <c r="V3505">
        <v>11</v>
      </c>
    </row>
    <row r="3506" spans="1:22" customFormat="1" ht="15" x14ac:dyDescent="0.25">
      <c r="A3506" t="s">
        <v>220</v>
      </c>
      <c r="B3506" t="s">
        <v>4602</v>
      </c>
      <c r="E3506" s="1516" t="s">
        <v>951</v>
      </c>
      <c r="F3506" s="1516"/>
      <c r="G3506" s="1516"/>
      <c r="H3506" s="1516"/>
      <c r="K3506" t="s">
        <v>4447</v>
      </c>
      <c r="V3506">
        <v>280</v>
      </c>
    </row>
    <row r="3507" spans="1:22" customFormat="1" ht="15" x14ac:dyDescent="0.25">
      <c r="A3507" t="s">
        <v>220</v>
      </c>
      <c r="B3507" t="s">
        <v>4602</v>
      </c>
      <c r="E3507" s="1516" t="s">
        <v>952</v>
      </c>
      <c r="F3507" s="1516"/>
      <c r="G3507" s="1516"/>
      <c r="H3507" s="1516"/>
      <c r="K3507" t="s">
        <v>4447</v>
      </c>
      <c r="V3507">
        <v>411</v>
      </c>
    </row>
    <row r="3508" spans="1:22" customFormat="1" ht="15" x14ac:dyDescent="0.25">
      <c r="A3508" t="s">
        <v>220</v>
      </c>
      <c r="B3508" t="s">
        <v>4602</v>
      </c>
      <c r="E3508" s="1516" t="s">
        <v>953</v>
      </c>
      <c r="F3508" s="1516"/>
      <c r="G3508" s="1516"/>
      <c r="H3508" s="1516"/>
      <c r="K3508" t="s">
        <v>4447</v>
      </c>
      <c r="V3508">
        <v>386</v>
      </c>
    </row>
    <row r="3509" spans="1:22" customFormat="1" ht="15" x14ac:dyDescent="0.25">
      <c r="A3509" t="s">
        <v>220</v>
      </c>
      <c r="B3509" t="s">
        <v>4602</v>
      </c>
      <c r="E3509" s="1516" t="s">
        <v>3762</v>
      </c>
      <c r="F3509" s="1516"/>
      <c r="G3509" s="1516"/>
      <c r="H3509" s="1516"/>
      <c r="K3509" t="s">
        <v>4447</v>
      </c>
      <c r="V3509">
        <v>247</v>
      </c>
    </row>
    <row r="3510" spans="1:22" customFormat="1" ht="15" x14ac:dyDescent="0.25">
      <c r="A3510" t="s">
        <v>220</v>
      </c>
      <c r="B3510" t="s">
        <v>4602</v>
      </c>
      <c r="E3510" s="1515" t="s">
        <v>956</v>
      </c>
      <c r="F3510" s="1516"/>
      <c r="G3510" s="1516"/>
      <c r="H3510" s="1516"/>
      <c r="K3510" t="s">
        <v>1026</v>
      </c>
      <c r="V3510">
        <v>46</v>
      </c>
    </row>
    <row r="3511" spans="1:22" customFormat="1" ht="15" x14ac:dyDescent="0.25">
      <c r="A3511" t="s">
        <v>220</v>
      </c>
      <c r="B3511" t="s">
        <v>4602</v>
      </c>
      <c r="E3511" s="1507" t="s">
        <v>3874</v>
      </c>
      <c r="F3511" s="1507"/>
      <c r="G3511" s="584" t="s">
        <v>777</v>
      </c>
      <c r="H3511" s="576">
        <v>4.5599999999999996</v>
      </c>
      <c r="K3511" t="s">
        <v>4447</v>
      </c>
      <c r="L3511" t="s">
        <v>690</v>
      </c>
      <c r="P3511" t="s">
        <v>4450</v>
      </c>
      <c r="V3511">
        <v>31</v>
      </c>
    </row>
    <row r="3512" spans="1:22" customFormat="1" ht="15" x14ac:dyDescent="0.25">
      <c r="A3512" t="s">
        <v>220</v>
      </c>
      <c r="B3512" t="s">
        <v>4602</v>
      </c>
      <c r="E3512" s="1507" t="s">
        <v>3688</v>
      </c>
      <c r="F3512" s="1507"/>
      <c r="G3512" s="584" t="s">
        <v>3775</v>
      </c>
      <c r="H3512" s="577">
        <v>4.4699999999999997E-2</v>
      </c>
      <c r="K3512" t="s">
        <v>4447</v>
      </c>
      <c r="L3512" t="s">
        <v>690</v>
      </c>
      <c r="P3512" t="s">
        <v>4451</v>
      </c>
      <c r="V3512">
        <v>28</v>
      </c>
    </row>
    <row r="3513" spans="1:22" customFormat="1" ht="15" x14ac:dyDescent="0.25">
      <c r="A3513" t="s">
        <v>220</v>
      </c>
      <c r="B3513" t="s">
        <v>4602</v>
      </c>
      <c r="E3513" s="1507" t="s">
        <v>6519</v>
      </c>
      <c r="F3513" s="1510"/>
      <c r="G3513" s="584" t="s">
        <v>845</v>
      </c>
      <c r="H3513" s="577">
        <v>1.8E-3</v>
      </c>
      <c r="K3513" t="s">
        <v>4447</v>
      </c>
      <c r="L3513" t="s">
        <v>692</v>
      </c>
      <c r="P3513" t="s">
        <v>4452</v>
      </c>
      <c r="T3513">
        <v>46022</v>
      </c>
      <c r="V3513">
        <v>142</v>
      </c>
    </row>
    <row r="3514" spans="1:22" customFormat="1" ht="15" x14ac:dyDescent="0.25">
      <c r="A3514" t="s">
        <v>220</v>
      </c>
      <c r="B3514" t="s">
        <v>4602</v>
      </c>
      <c r="E3514" s="1507" t="s">
        <v>6520</v>
      </c>
      <c r="F3514" s="1510"/>
      <c r="G3514" s="584" t="s">
        <v>3775</v>
      </c>
      <c r="H3514" s="577">
        <v>-0.29480000000000001</v>
      </c>
      <c r="K3514" t="s">
        <v>4447</v>
      </c>
      <c r="L3514" t="s">
        <v>692</v>
      </c>
      <c r="P3514" t="s">
        <v>4453</v>
      </c>
      <c r="T3514">
        <v>46022</v>
      </c>
      <c r="V3514">
        <v>99</v>
      </c>
    </row>
    <row r="3515" spans="1:22" customFormat="1" ht="15" x14ac:dyDescent="0.25">
      <c r="A3515" t="s">
        <v>220</v>
      </c>
      <c r="B3515" t="s">
        <v>4602</v>
      </c>
      <c r="E3515" s="1507" t="s">
        <v>6521</v>
      </c>
      <c r="F3515" s="1510"/>
      <c r="G3515" s="584" t="s">
        <v>3775</v>
      </c>
      <c r="H3515" s="577">
        <v>6.4000000000000001E-2</v>
      </c>
      <c r="K3515" t="s">
        <v>4447</v>
      </c>
      <c r="L3515" t="s">
        <v>692</v>
      </c>
      <c r="P3515" t="s">
        <v>4455</v>
      </c>
      <c r="T3515">
        <v>46022</v>
      </c>
      <c r="V3515">
        <v>149</v>
      </c>
    </row>
    <row r="3516" spans="1:22" customFormat="1" ht="15" x14ac:dyDescent="0.25">
      <c r="A3516" t="s">
        <v>220</v>
      </c>
      <c r="B3516" t="s">
        <v>4602</v>
      </c>
      <c r="E3516" s="1507" t="s">
        <v>6716</v>
      </c>
      <c r="F3516" s="1507"/>
      <c r="G3516" s="584" t="s">
        <v>3775</v>
      </c>
      <c r="H3516" s="577">
        <v>1.7100000000000001E-2</v>
      </c>
      <c r="K3516" t="s">
        <v>4447</v>
      </c>
      <c r="L3516" t="s">
        <v>690</v>
      </c>
      <c r="P3516" t="s">
        <v>6719</v>
      </c>
      <c r="T3516">
        <v>46022</v>
      </c>
      <c r="V3516">
        <v>74</v>
      </c>
    </row>
    <row r="3517" spans="1:22" customFormat="1" ht="15" x14ac:dyDescent="0.25">
      <c r="A3517" t="s">
        <v>220</v>
      </c>
      <c r="B3517" t="s">
        <v>4602</v>
      </c>
      <c r="E3517" s="1507" t="s">
        <v>243</v>
      </c>
      <c r="F3517" s="1507"/>
      <c r="G3517" s="584" t="s">
        <v>3775</v>
      </c>
      <c r="H3517" s="577">
        <v>3.6406000000000001</v>
      </c>
      <c r="K3517" t="s">
        <v>4447</v>
      </c>
      <c r="L3517" t="s">
        <v>694</v>
      </c>
      <c r="P3517" t="s">
        <v>4456</v>
      </c>
      <c r="V3517">
        <v>47</v>
      </c>
    </row>
    <row r="3518" spans="1:22" customFormat="1" ht="15" x14ac:dyDescent="0.25">
      <c r="A3518" t="s">
        <v>220</v>
      </c>
      <c r="B3518" t="s">
        <v>4602</v>
      </c>
      <c r="E3518" s="1507" t="s">
        <v>175</v>
      </c>
      <c r="F3518" s="1507"/>
      <c r="G3518" s="584" t="s">
        <v>3775</v>
      </c>
      <c r="H3518" s="577">
        <v>2.528</v>
      </c>
      <c r="K3518" t="s">
        <v>4447</v>
      </c>
      <c r="L3518" t="s">
        <v>694</v>
      </c>
      <c r="P3518" t="s">
        <v>4485</v>
      </c>
      <c r="V3518">
        <v>74</v>
      </c>
    </row>
    <row r="3519" spans="1:22" customFormat="1" ht="15" x14ac:dyDescent="0.25">
      <c r="A3519" t="s">
        <v>220</v>
      </c>
      <c r="B3519" t="s">
        <v>4602</v>
      </c>
      <c r="E3519" s="1515" t="s">
        <v>967</v>
      </c>
      <c r="F3519" s="1507"/>
      <c r="G3519" s="584"/>
      <c r="H3519" s="584"/>
      <c r="K3519" t="s">
        <v>1035</v>
      </c>
      <c r="V3519">
        <v>48</v>
      </c>
    </row>
    <row r="3520" spans="1:22" customFormat="1" ht="15" x14ac:dyDescent="0.25">
      <c r="A3520" t="s">
        <v>220</v>
      </c>
      <c r="B3520" t="s">
        <v>4602</v>
      </c>
      <c r="E3520" s="1507" t="s">
        <v>844</v>
      </c>
      <c r="F3520" s="1507"/>
      <c r="G3520" s="584" t="s">
        <v>845</v>
      </c>
      <c r="H3520" s="577">
        <v>4.1000000000000003E-3</v>
      </c>
      <c r="K3520" t="s">
        <v>4447</v>
      </c>
      <c r="L3520" t="s">
        <v>968</v>
      </c>
      <c r="P3520" t="s">
        <v>4458</v>
      </c>
      <c r="V3520">
        <v>55</v>
      </c>
    </row>
    <row r="3521" spans="1:22" customFormat="1" ht="15" x14ac:dyDescent="0.25">
      <c r="A3521" t="s">
        <v>220</v>
      </c>
      <c r="B3521" t="s">
        <v>4602</v>
      </c>
      <c r="E3521" s="1507" t="s">
        <v>846</v>
      </c>
      <c r="F3521" s="1507"/>
      <c r="G3521" s="584" t="s">
        <v>845</v>
      </c>
      <c r="H3521" s="577">
        <v>4.0000000000000002E-4</v>
      </c>
      <c r="K3521" t="s">
        <v>4447</v>
      </c>
      <c r="L3521" t="s">
        <v>968</v>
      </c>
      <c r="P3521" t="s">
        <v>4458</v>
      </c>
      <c r="V3521">
        <v>65</v>
      </c>
    </row>
    <row r="3522" spans="1:22" customFormat="1" ht="15" x14ac:dyDescent="0.25">
      <c r="A3522" t="s">
        <v>220</v>
      </c>
      <c r="B3522" t="s">
        <v>4602</v>
      </c>
      <c r="E3522" s="1507" t="s">
        <v>847</v>
      </c>
      <c r="F3522" s="1507"/>
      <c r="G3522" s="584" t="s">
        <v>845</v>
      </c>
      <c r="H3522" s="577">
        <v>1.5E-3</v>
      </c>
      <c r="K3522" t="s">
        <v>4447</v>
      </c>
      <c r="L3522" t="s">
        <v>968</v>
      </c>
      <c r="P3522" t="s">
        <v>4459</v>
      </c>
      <c r="V3522">
        <v>57</v>
      </c>
    </row>
    <row r="3523" spans="1:22" customFormat="1" ht="15" x14ac:dyDescent="0.25">
      <c r="A3523" t="s">
        <v>220</v>
      </c>
      <c r="B3523" t="s">
        <v>4602</v>
      </c>
      <c r="E3523" s="1507" t="s">
        <v>848</v>
      </c>
      <c r="F3523" s="1507"/>
      <c r="G3523" s="584" t="s">
        <v>777</v>
      </c>
      <c r="H3523" s="576">
        <v>0.25</v>
      </c>
      <c r="K3523" t="s">
        <v>4447</v>
      </c>
      <c r="L3523" t="s">
        <v>968</v>
      </c>
      <c r="P3523" t="s">
        <v>4460</v>
      </c>
      <c r="V3523">
        <v>63</v>
      </c>
    </row>
    <row r="3524" spans="1:22" customFormat="1" x14ac:dyDescent="0.25">
      <c r="A3524" t="s">
        <v>220</v>
      </c>
      <c r="B3524" t="s">
        <v>4602</v>
      </c>
      <c r="E3524" s="1492" t="s">
        <v>207</v>
      </c>
      <c r="F3524" s="1493"/>
      <c r="G3524" s="1493"/>
      <c r="H3524" s="1493"/>
      <c r="K3524" t="s">
        <v>4461</v>
      </c>
      <c r="V3524">
        <v>31</v>
      </c>
    </row>
    <row r="3525" spans="1:22" customFormat="1" ht="15" x14ac:dyDescent="0.25">
      <c r="A3525" t="s">
        <v>220</v>
      </c>
      <c r="B3525" t="s">
        <v>4602</v>
      </c>
      <c r="E3525" s="1516" t="s">
        <v>4620</v>
      </c>
      <c r="F3525" s="1516"/>
      <c r="G3525" s="1516"/>
      <c r="H3525" s="1516"/>
      <c r="K3525" t="s">
        <v>4461</v>
      </c>
      <c r="V3525">
        <v>285</v>
      </c>
    </row>
    <row r="3526" spans="1:22" customFormat="1" ht="15" x14ac:dyDescent="0.25">
      <c r="A3526" t="s">
        <v>220</v>
      </c>
      <c r="B3526" t="s">
        <v>4602</v>
      </c>
      <c r="E3526" s="1515" t="s">
        <v>950</v>
      </c>
      <c r="F3526" s="1516"/>
      <c r="G3526" s="1516"/>
      <c r="H3526" s="1516"/>
      <c r="K3526" t="s">
        <v>1041</v>
      </c>
      <c r="V3526">
        <v>11</v>
      </c>
    </row>
    <row r="3527" spans="1:22" customFormat="1" ht="15" x14ac:dyDescent="0.25">
      <c r="A3527" t="s">
        <v>220</v>
      </c>
      <c r="B3527" t="s">
        <v>4602</v>
      </c>
      <c r="E3527" s="1516" t="s">
        <v>951</v>
      </c>
      <c r="F3527" s="1516"/>
      <c r="G3527" s="1516"/>
      <c r="H3527" s="1516"/>
      <c r="K3527" t="s">
        <v>4461</v>
      </c>
      <c r="V3527">
        <v>280</v>
      </c>
    </row>
    <row r="3528" spans="1:22" customFormat="1" ht="15" x14ac:dyDescent="0.25">
      <c r="A3528" t="s">
        <v>220</v>
      </c>
      <c r="B3528" t="s">
        <v>4602</v>
      </c>
      <c r="E3528" s="1516" t="s">
        <v>952</v>
      </c>
      <c r="F3528" s="1516"/>
      <c r="G3528" s="1516"/>
      <c r="H3528" s="1516"/>
      <c r="K3528" t="s">
        <v>4461</v>
      </c>
      <c r="V3528">
        <v>411</v>
      </c>
    </row>
    <row r="3529" spans="1:22" customFormat="1" ht="15" x14ac:dyDescent="0.25">
      <c r="A3529" t="s">
        <v>220</v>
      </c>
      <c r="B3529" t="s">
        <v>4602</v>
      </c>
      <c r="E3529" s="1516" t="s">
        <v>1103</v>
      </c>
      <c r="F3529" s="1516"/>
      <c r="G3529" s="1516"/>
      <c r="H3529" s="1516"/>
      <c r="K3529" t="s">
        <v>4461</v>
      </c>
      <c r="V3529">
        <v>211</v>
      </c>
    </row>
    <row r="3530" spans="1:22" customFormat="1" ht="15" x14ac:dyDescent="0.25">
      <c r="A3530" t="s">
        <v>220</v>
      </c>
      <c r="B3530" t="s">
        <v>4602</v>
      </c>
      <c r="E3530" s="1516" t="s">
        <v>3762</v>
      </c>
      <c r="F3530" s="1516"/>
      <c r="G3530" s="1516"/>
      <c r="H3530" s="1516"/>
      <c r="K3530" t="s">
        <v>4461</v>
      </c>
      <c r="V3530">
        <v>247</v>
      </c>
    </row>
    <row r="3531" spans="1:22" customFormat="1" ht="15" x14ac:dyDescent="0.25">
      <c r="A3531" t="s">
        <v>220</v>
      </c>
      <c r="B3531" t="s">
        <v>4602</v>
      </c>
      <c r="E3531" s="1515" t="s">
        <v>956</v>
      </c>
      <c r="F3531" s="1516"/>
      <c r="G3531" s="1516"/>
      <c r="H3531" s="1516"/>
      <c r="K3531" t="s">
        <v>1042</v>
      </c>
      <c r="V3531">
        <v>46</v>
      </c>
    </row>
    <row r="3532" spans="1:22" customFormat="1" ht="15" x14ac:dyDescent="0.25">
      <c r="A3532" t="s">
        <v>220</v>
      </c>
      <c r="B3532" t="s">
        <v>4602</v>
      </c>
      <c r="E3532" s="1507" t="s">
        <v>3773</v>
      </c>
      <c r="F3532" s="1507"/>
      <c r="G3532" s="584" t="s">
        <v>777</v>
      </c>
      <c r="H3532" s="576">
        <v>10</v>
      </c>
      <c r="K3532" t="s">
        <v>4461</v>
      </c>
      <c r="L3532" t="s">
        <v>690</v>
      </c>
      <c r="P3532" t="s">
        <v>4462</v>
      </c>
      <c r="V3532">
        <v>14</v>
      </c>
    </row>
    <row r="3533" spans="1:22" customFormat="1" ht="18.75" x14ac:dyDescent="0.25">
      <c r="A3533" t="s">
        <v>220</v>
      </c>
      <c r="B3533" t="s">
        <v>4602</v>
      </c>
      <c r="E3533" s="685" t="s">
        <v>3825</v>
      </c>
      <c r="F3533" s="476"/>
      <c r="G3533" s="476"/>
      <c r="H3533" s="475"/>
      <c r="K3533" t="s">
        <v>4621</v>
      </c>
      <c r="V3533">
        <v>10</v>
      </c>
    </row>
    <row r="3534" spans="1:22" customFormat="1" ht="15" x14ac:dyDescent="0.25">
      <c r="A3534" t="s">
        <v>220</v>
      </c>
      <c r="B3534" t="s">
        <v>4602</v>
      </c>
      <c r="E3534" s="1507" t="s">
        <v>4622</v>
      </c>
      <c r="F3534" s="1507"/>
      <c r="G3534" s="584" t="s">
        <v>3775</v>
      </c>
      <c r="H3534" s="352">
        <v>-0.6</v>
      </c>
      <c r="V3534">
        <v>70</v>
      </c>
    </row>
    <row r="3535" spans="1:22" customFormat="1" ht="15" x14ac:dyDescent="0.25">
      <c r="A3535" t="s">
        <v>220</v>
      </c>
      <c r="B3535" t="s">
        <v>4602</v>
      </c>
      <c r="E3535" s="1507" t="s">
        <v>1079</v>
      </c>
      <c r="F3535" s="1507"/>
      <c r="G3535" s="584" t="s">
        <v>1118</v>
      </c>
      <c r="H3535" s="350">
        <v>-1</v>
      </c>
      <c r="V3535">
        <v>87</v>
      </c>
    </row>
    <row r="3536" spans="1:22" customFormat="1" ht="36" x14ac:dyDescent="0.25">
      <c r="A3536" t="s">
        <v>220</v>
      </c>
      <c r="B3536" t="s">
        <v>4602</v>
      </c>
      <c r="E3536" s="836" t="s">
        <v>3828</v>
      </c>
      <c r="F3536" s="476"/>
      <c r="G3536" s="476"/>
      <c r="H3536" s="475"/>
      <c r="K3536" t="s">
        <v>4623</v>
      </c>
      <c r="V3536">
        <v>24</v>
      </c>
    </row>
    <row r="3537" spans="1:22" customFormat="1" ht="15" x14ac:dyDescent="0.25">
      <c r="A3537" t="s">
        <v>220</v>
      </c>
      <c r="B3537" t="s">
        <v>4602</v>
      </c>
      <c r="E3537" s="1549" t="s">
        <v>950</v>
      </c>
      <c r="F3537" s="1516"/>
      <c r="G3537" s="1516"/>
      <c r="H3537" s="1516"/>
      <c r="V3537">
        <v>11</v>
      </c>
    </row>
    <row r="3538" spans="1:22" customFormat="1" ht="15" x14ac:dyDescent="0.25">
      <c r="A3538" t="s">
        <v>220</v>
      </c>
      <c r="B3538" t="s">
        <v>4602</v>
      </c>
      <c r="E3538" s="1516" t="s">
        <v>951</v>
      </c>
      <c r="F3538" s="1516"/>
      <c r="G3538" s="1516"/>
      <c r="H3538" s="1516"/>
      <c r="V3538">
        <v>280</v>
      </c>
    </row>
    <row r="3539" spans="1:22" customFormat="1" ht="15" x14ac:dyDescent="0.25">
      <c r="A3539" t="s">
        <v>220</v>
      </c>
      <c r="B3539" t="s">
        <v>4602</v>
      </c>
      <c r="E3539" s="1516" t="s">
        <v>1081</v>
      </c>
      <c r="F3539" s="1516"/>
      <c r="G3539" s="1516"/>
      <c r="H3539" s="1516"/>
      <c r="V3539">
        <v>353</v>
      </c>
    </row>
    <row r="3540" spans="1:22" customFormat="1" ht="15" x14ac:dyDescent="0.25">
      <c r="A3540" t="s">
        <v>220</v>
      </c>
      <c r="B3540" t="s">
        <v>4602</v>
      </c>
      <c r="E3540" s="1516" t="s">
        <v>3762</v>
      </c>
      <c r="F3540" s="1516"/>
      <c r="G3540" s="1516"/>
      <c r="H3540" s="1516"/>
      <c r="V3540">
        <v>247</v>
      </c>
    </row>
    <row r="3541" spans="1:22" customFormat="1" ht="15" x14ac:dyDescent="0.25">
      <c r="A3541" t="s">
        <v>220</v>
      </c>
      <c r="B3541" t="s">
        <v>4602</v>
      </c>
      <c r="E3541" s="835" t="s">
        <v>3830</v>
      </c>
      <c r="F3541" s="838"/>
      <c r="G3541" s="838"/>
      <c r="H3541" s="433"/>
      <c r="K3541" t="s">
        <v>4624</v>
      </c>
      <c r="V3541">
        <v>23</v>
      </c>
    </row>
    <row r="3542" spans="1:22" customFormat="1" ht="15" x14ac:dyDescent="0.25">
      <c r="A3542" t="s">
        <v>220</v>
      </c>
      <c r="B3542" t="s">
        <v>4602</v>
      </c>
      <c r="E3542" s="1517" t="s">
        <v>3832</v>
      </c>
      <c r="F3542" s="1517"/>
      <c r="G3542" s="584" t="s">
        <v>777</v>
      </c>
      <c r="H3542" s="576">
        <v>15</v>
      </c>
      <c r="V3542">
        <v>19</v>
      </c>
    </row>
    <row r="3543" spans="1:22" customFormat="1" ht="15" x14ac:dyDescent="0.25">
      <c r="A3543" t="s">
        <v>220</v>
      </c>
      <c r="B3543" t="s">
        <v>4602</v>
      </c>
      <c r="E3543" s="1517" t="s">
        <v>3833</v>
      </c>
      <c r="F3543" s="1517"/>
      <c r="G3543" s="584" t="s">
        <v>777</v>
      </c>
      <c r="H3543" s="576">
        <v>15</v>
      </c>
      <c r="V3543">
        <v>20</v>
      </c>
    </row>
    <row r="3544" spans="1:22" customFormat="1" ht="15" x14ac:dyDescent="0.25">
      <c r="A3544" t="s">
        <v>220</v>
      </c>
      <c r="B3544" t="s">
        <v>4602</v>
      </c>
      <c r="E3544" s="1517" t="s">
        <v>4054</v>
      </c>
      <c r="F3544" s="1517"/>
      <c r="G3544" s="584" t="s">
        <v>777</v>
      </c>
      <c r="H3544" s="576">
        <v>15</v>
      </c>
      <c r="V3544">
        <v>26</v>
      </c>
    </row>
    <row r="3545" spans="1:22" customFormat="1" ht="15" x14ac:dyDescent="0.25">
      <c r="A3545" t="s">
        <v>220</v>
      </c>
      <c r="B3545" t="s">
        <v>4602</v>
      </c>
      <c r="E3545" s="1517" t="s">
        <v>3834</v>
      </c>
      <c r="F3545" s="1517"/>
      <c r="G3545" s="584" t="s">
        <v>777</v>
      </c>
      <c r="H3545" s="576">
        <v>15</v>
      </c>
      <c r="V3545">
        <v>39</v>
      </c>
    </row>
    <row r="3546" spans="1:22" customFormat="1" ht="15" x14ac:dyDescent="0.25">
      <c r="A3546" t="s">
        <v>220</v>
      </c>
      <c r="B3546" t="s">
        <v>4602</v>
      </c>
      <c r="E3546" s="1517" t="s">
        <v>4055</v>
      </c>
      <c r="F3546" s="1517"/>
      <c r="G3546" s="584" t="s">
        <v>777</v>
      </c>
      <c r="H3546" s="576">
        <v>15</v>
      </c>
      <c r="V3546">
        <v>37</v>
      </c>
    </row>
    <row r="3547" spans="1:22" customFormat="1" ht="15" x14ac:dyDescent="0.25">
      <c r="A3547" t="s">
        <v>220</v>
      </c>
      <c r="B3547" t="s">
        <v>4602</v>
      </c>
      <c r="E3547" s="1517" t="s">
        <v>4625</v>
      </c>
      <c r="F3547" s="1517"/>
      <c r="G3547" s="584" t="s">
        <v>777</v>
      </c>
      <c r="H3547" s="576">
        <v>15</v>
      </c>
      <c r="V3547">
        <v>15</v>
      </c>
    </row>
    <row r="3548" spans="1:22" customFormat="1" ht="15" x14ac:dyDescent="0.25">
      <c r="A3548" t="s">
        <v>220</v>
      </c>
      <c r="B3548" t="s">
        <v>4602</v>
      </c>
      <c r="E3548" s="1517" t="s">
        <v>4057</v>
      </c>
      <c r="F3548" s="1517"/>
      <c r="G3548" s="584" t="s">
        <v>777</v>
      </c>
      <c r="H3548" s="576">
        <v>15</v>
      </c>
      <c r="V3548">
        <v>17</v>
      </c>
    </row>
    <row r="3549" spans="1:22" customFormat="1" ht="15" x14ac:dyDescent="0.25">
      <c r="A3549" t="s">
        <v>220</v>
      </c>
      <c r="B3549" t="s">
        <v>4602</v>
      </c>
      <c r="E3549" s="1517" t="s">
        <v>4419</v>
      </c>
      <c r="F3549" s="1517"/>
      <c r="G3549" s="584" t="s">
        <v>777</v>
      </c>
      <c r="H3549" s="576">
        <v>15</v>
      </c>
      <c r="V3549">
        <v>19</v>
      </c>
    </row>
    <row r="3550" spans="1:22" customFormat="1" ht="15" x14ac:dyDescent="0.25">
      <c r="A3550" t="s">
        <v>220</v>
      </c>
      <c r="B3550" t="s">
        <v>4602</v>
      </c>
      <c r="E3550" s="1517" t="s">
        <v>4058</v>
      </c>
      <c r="F3550" s="1517"/>
      <c r="G3550" s="584" t="s">
        <v>777</v>
      </c>
      <c r="H3550" s="576">
        <v>15</v>
      </c>
      <c r="V3550">
        <v>15</v>
      </c>
    </row>
    <row r="3551" spans="1:22" customFormat="1" ht="15" x14ac:dyDescent="0.25">
      <c r="A3551" t="s">
        <v>220</v>
      </c>
      <c r="B3551" t="s">
        <v>4602</v>
      </c>
      <c r="E3551" s="1517" t="s">
        <v>3835</v>
      </c>
      <c r="F3551" s="1517"/>
      <c r="G3551" s="584" t="s">
        <v>777</v>
      </c>
      <c r="H3551" s="576">
        <v>15</v>
      </c>
      <c r="V3551">
        <v>56</v>
      </c>
    </row>
    <row r="3552" spans="1:22" customFormat="1" ht="15" x14ac:dyDescent="0.25">
      <c r="A3552" t="s">
        <v>220</v>
      </c>
      <c r="B3552" t="s">
        <v>4602</v>
      </c>
      <c r="E3552" s="1517" t="s">
        <v>3836</v>
      </c>
      <c r="F3552" s="1517"/>
      <c r="G3552" s="584" t="s">
        <v>777</v>
      </c>
      <c r="H3552" s="576">
        <v>15</v>
      </c>
      <c r="V3552">
        <v>35</v>
      </c>
    </row>
    <row r="3553" spans="1:22" customFormat="1" ht="15" x14ac:dyDescent="0.25">
      <c r="A3553" t="s">
        <v>220</v>
      </c>
      <c r="B3553" t="s">
        <v>4602</v>
      </c>
      <c r="E3553" s="1517" t="s">
        <v>4420</v>
      </c>
      <c r="F3553" s="1517"/>
      <c r="G3553" s="584" t="s">
        <v>777</v>
      </c>
      <c r="H3553" s="576">
        <v>15</v>
      </c>
      <c r="V3553">
        <v>24</v>
      </c>
    </row>
    <row r="3554" spans="1:22" customFormat="1" ht="15" x14ac:dyDescent="0.25">
      <c r="A3554" t="s">
        <v>220</v>
      </c>
      <c r="B3554" t="s">
        <v>4602</v>
      </c>
      <c r="E3554" s="1517" t="s">
        <v>4059</v>
      </c>
      <c r="F3554" s="1517"/>
      <c r="G3554" s="584" t="s">
        <v>777</v>
      </c>
      <c r="H3554" s="576">
        <v>15</v>
      </c>
      <c r="V3554">
        <v>19</v>
      </c>
    </row>
    <row r="3555" spans="1:22" customFormat="1" ht="15" x14ac:dyDescent="0.25">
      <c r="A3555" t="s">
        <v>220</v>
      </c>
      <c r="B3555" t="s">
        <v>4602</v>
      </c>
      <c r="E3555" s="1517" t="s">
        <v>3837</v>
      </c>
      <c r="F3555" s="1517"/>
      <c r="G3555" s="584" t="s">
        <v>777</v>
      </c>
      <c r="H3555" s="576">
        <v>30</v>
      </c>
      <c r="V3555">
        <v>89</v>
      </c>
    </row>
    <row r="3556" spans="1:22" customFormat="1" ht="15" x14ac:dyDescent="0.25">
      <c r="A3556" t="s">
        <v>220</v>
      </c>
      <c r="B3556" t="s">
        <v>4602</v>
      </c>
      <c r="E3556" s="1517" t="s">
        <v>3914</v>
      </c>
      <c r="F3556" s="1517"/>
      <c r="G3556" s="584" t="s">
        <v>777</v>
      </c>
      <c r="H3556" s="576">
        <v>30</v>
      </c>
      <c r="V3556">
        <v>19</v>
      </c>
    </row>
    <row r="3557" spans="1:22" customFormat="1" ht="15" x14ac:dyDescent="0.25">
      <c r="A3557" t="s">
        <v>220</v>
      </c>
      <c r="B3557" t="s">
        <v>4602</v>
      </c>
      <c r="E3557" s="1517" t="s">
        <v>3838</v>
      </c>
      <c r="F3557" s="1517"/>
      <c r="G3557" s="584" t="s">
        <v>777</v>
      </c>
      <c r="H3557" s="576">
        <v>30</v>
      </c>
      <c r="V3557">
        <v>74</v>
      </c>
    </row>
    <row r="3558" spans="1:22" customFormat="1" ht="15" x14ac:dyDescent="0.25">
      <c r="A3558" t="s">
        <v>220</v>
      </c>
      <c r="B3558" t="s">
        <v>4602</v>
      </c>
      <c r="E3558" s="835" t="s">
        <v>4062</v>
      </c>
      <c r="F3558" s="838"/>
      <c r="G3558" s="838"/>
      <c r="H3558" s="433"/>
      <c r="K3558" t="s">
        <v>4626</v>
      </c>
      <c r="V3558">
        <v>22</v>
      </c>
    </row>
    <row r="3559" spans="1:22" customFormat="1" ht="15" x14ac:dyDescent="0.25">
      <c r="A3559" t="s">
        <v>220</v>
      </c>
      <c r="B3559" t="s">
        <v>4602</v>
      </c>
      <c r="E3559" s="1517" t="s">
        <v>4064</v>
      </c>
      <c r="F3559" s="1517"/>
      <c r="G3559" s="584" t="s">
        <v>1118</v>
      </c>
      <c r="H3559" s="576">
        <v>1.5</v>
      </c>
      <c r="V3559">
        <v>99</v>
      </c>
    </row>
    <row r="3560" spans="1:22" customFormat="1" ht="15" x14ac:dyDescent="0.25">
      <c r="A3560" t="s">
        <v>220</v>
      </c>
      <c r="B3560" t="s">
        <v>4602</v>
      </c>
      <c r="E3560" s="1517" t="s">
        <v>3842</v>
      </c>
      <c r="F3560" s="1517"/>
      <c r="G3560" s="584" t="s">
        <v>777</v>
      </c>
      <c r="H3560" s="576">
        <v>65</v>
      </c>
      <c r="V3560">
        <v>44</v>
      </c>
    </row>
    <row r="3561" spans="1:22" customFormat="1" ht="15" x14ac:dyDescent="0.25">
      <c r="A3561" t="s">
        <v>220</v>
      </c>
      <c r="B3561" t="s">
        <v>4602</v>
      </c>
      <c r="E3561" s="1517" t="s">
        <v>3843</v>
      </c>
      <c r="F3561" s="1517"/>
      <c r="G3561" s="584" t="s">
        <v>777</v>
      </c>
      <c r="H3561" s="576">
        <v>185</v>
      </c>
      <c r="V3561">
        <v>43</v>
      </c>
    </row>
    <row r="3562" spans="1:22" customFormat="1" ht="15" x14ac:dyDescent="0.25">
      <c r="A3562" t="s">
        <v>220</v>
      </c>
      <c r="B3562" t="s">
        <v>4602</v>
      </c>
      <c r="E3562" s="1517" t="s">
        <v>3844</v>
      </c>
      <c r="F3562" s="1517"/>
      <c r="G3562" s="584" t="s">
        <v>777</v>
      </c>
      <c r="H3562" s="576">
        <v>185</v>
      </c>
      <c r="V3562">
        <v>43</v>
      </c>
    </row>
    <row r="3563" spans="1:22" customFormat="1" ht="15" x14ac:dyDescent="0.25">
      <c r="A3563" t="s">
        <v>220</v>
      </c>
      <c r="B3563" t="s">
        <v>4602</v>
      </c>
      <c r="E3563" s="1517" t="s">
        <v>3845</v>
      </c>
      <c r="F3563" s="1517"/>
      <c r="G3563" s="584" t="s">
        <v>777</v>
      </c>
      <c r="H3563" s="576">
        <v>415</v>
      </c>
      <c r="V3563">
        <v>42</v>
      </c>
    </row>
    <row r="3564" spans="1:22" customFormat="1" ht="15" x14ac:dyDescent="0.25">
      <c r="A3564" t="s">
        <v>220</v>
      </c>
      <c r="B3564" t="s">
        <v>4602</v>
      </c>
      <c r="E3564" s="835" t="s">
        <v>3846</v>
      </c>
      <c r="F3564" s="838"/>
      <c r="G3564" s="838"/>
      <c r="H3564" s="433"/>
      <c r="V3564">
        <v>5</v>
      </c>
    </row>
    <row r="3565" spans="1:22" customFormat="1" ht="15" x14ac:dyDescent="0.25">
      <c r="A3565" t="s">
        <v>220</v>
      </c>
      <c r="B3565" t="s">
        <v>4602</v>
      </c>
      <c r="E3565" s="1517" t="s">
        <v>4627</v>
      </c>
      <c r="F3565" s="1517"/>
      <c r="G3565" s="584" t="s">
        <v>777</v>
      </c>
      <c r="H3565" s="576">
        <v>39.14</v>
      </c>
      <c r="V3565">
        <v>105</v>
      </c>
    </row>
    <row r="3566" spans="1:22" customFormat="1" ht="15" x14ac:dyDescent="0.25">
      <c r="A3566" t="s">
        <v>220</v>
      </c>
      <c r="B3566" t="s">
        <v>4602</v>
      </c>
      <c r="E3566" s="1517" t="s">
        <v>4628</v>
      </c>
      <c r="F3566" s="1517"/>
      <c r="G3566" s="584" t="s">
        <v>777</v>
      </c>
      <c r="H3566" s="576">
        <v>65</v>
      </c>
      <c r="V3566">
        <v>74</v>
      </c>
    </row>
    <row r="3567" spans="1:22" customFormat="1" ht="18.75" x14ac:dyDescent="0.25">
      <c r="A3567" t="s">
        <v>220</v>
      </c>
      <c r="B3567" t="s">
        <v>4602</v>
      </c>
      <c r="E3567" s="1492" t="s">
        <v>3851</v>
      </c>
      <c r="F3567" s="1492"/>
      <c r="G3567" s="476"/>
      <c r="H3567" s="476"/>
      <c r="K3567" t="s">
        <v>4629</v>
      </c>
      <c r="V3567">
        <v>38</v>
      </c>
    </row>
    <row r="3568" spans="1:22" customFormat="1" ht="15" x14ac:dyDescent="0.25">
      <c r="A3568" t="s">
        <v>220</v>
      </c>
      <c r="B3568" t="s">
        <v>4602</v>
      </c>
      <c r="E3568" s="1516" t="s">
        <v>951</v>
      </c>
      <c r="F3568" s="1516"/>
      <c r="G3568" s="1516"/>
      <c r="H3568" s="1516"/>
      <c r="V3568">
        <v>280</v>
      </c>
    </row>
    <row r="3569" spans="1:22" customFormat="1" ht="15" x14ac:dyDescent="0.25">
      <c r="A3569" t="s">
        <v>220</v>
      </c>
      <c r="B3569" t="s">
        <v>4602</v>
      </c>
      <c r="E3569" s="1516" t="s">
        <v>952</v>
      </c>
      <c r="F3569" s="1516"/>
      <c r="G3569" s="1516"/>
      <c r="H3569" s="1516"/>
      <c r="V3569">
        <v>411</v>
      </c>
    </row>
    <row r="3570" spans="1:22" customFormat="1" ht="15" x14ac:dyDescent="0.25">
      <c r="A3570" t="s">
        <v>220</v>
      </c>
      <c r="B3570" t="s">
        <v>4602</v>
      </c>
      <c r="E3570" s="1516" t="s">
        <v>1103</v>
      </c>
      <c r="F3570" s="1516"/>
      <c r="G3570" s="1516"/>
      <c r="H3570" s="1516"/>
      <c r="V3570">
        <v>211</v>
      </c>
    </row>
    <row r="3571" spans="1:22" customFormat="1" ht="15" x14ac:dyDescent="0.25">
      <c r="A3571" t="s">
        <v>220</v>
      </c>
      <c r="B3571" t="s">
        <v>4602</v>
      </c>
      <c r="E3571" s="1516" t="s">
        <v>3762</v>
      </c>
      <c r="F3571" s="1516"/>
      <c r="G3571" s="1516"/>
      <c r="H3571" s="1516"/>
      <c r="V3571">
        <v>247</v>
      </c>
    </row>
    <row r="3572" spans="1:22" customFormat="1" ht="15" x14ac:dyDescent="0.25">
      <c r="A3572" t="s">
        <v>220</v>
      </c>
      <c r="B3572" t="s">
        <v>4602</v>
      </c>
      <c r="E3572" s="1516" t="s">
        <v>1104</v>
      </c>
      <c r="F3572" s="1516"/>
      <c r="G3572" s="1516"/>
      <c r="H3572" s="1516"/>
      <c r="V3572">
        <v>142</v>
      </c>
    </row>
    <row r="3573" spans="1:22" customFormat="1" ht="15" x14ac:dyDescent="0.25">
      <c r="A3573" t="s">
        <v>220</v>
      </c>
      <c r="B3573" t="s">
        <v>4602</v>
      </c>
      <c r="E3573" s="1507" t="s">
        <v>849</v>
      </c>
      <c r="F3573" s="1507"/>
      <c r="G3573" s="585" t="s">
        <v>777</v>
      </c>
      <c r="H3573" s="349">
        <v>121.23</v>
      </c>
      <c r="V3573">
        <v>106</v>
      </c>
    </row>
    <row r="3574" spans="1:22" customFormat="1" ht="15" x14ac:dyDescent="0.25">
      <c r="A3574" t="s">
        <v>220</v>
      </c>
      <c r="B3574" t="s">
        <v>4602</v>
      </c>
      <c r="E3574" s="1507" t="s">
        <v>4471</v>
      </c>
      <c r="F3574" s="1507"/>
      <c r="G3574" s="585" t="s">
        <v>777</v>
      </c>
      <c r="H3574" s="349">
        <v>48.5</v>
      </c>
      <c r="V3574">
        <v>34</v>
      </c>
    </row>
    <row r="3575" spans="1:22" customFormat="1" ht="15" x14ac:dyDescent="0.25">
      <c r="A3575" t="s">
        <v>220</v>
      </c>
      <c r="B3575" t="s">
        <v>4602</v>
      </c>
      <c r="E3575" s="1507" t="s">
        <v>4472</v>
      </c>
      <c r="F3575" s="1507"/>
      <c r="G3575" s="585" t="s">
        <v>852</v>
      </c>
      <c r="H3575" s="349">
        <v>1.2</v>
      </c>
      <c r="V3575">
        <v>51</v>
      </c>
    </row>
    <row r="3576" spans="1:22" customFormat="1" ht="15" x14ac:dyDescent="0.25">
      <c r="A3576" t="s">
        <v>220</v>
      </c>
      <c r="B3576" t="s">
        <v>4602</v>
      </c>
      <c r="E3576" s="1507" t="s">
        <v>853</v>
      </c>
      <c r="F3576" s="1507"/>
      <c r="G3576" s="585" t="s">
        <v>852</v>
      </c>
      <c r="H3576" s="349">
        <v>0.71</v>
      </c>
      <c r="V3576">
        <v>75</v>
      </c>
    </row>
    <row r="3577" spans="1:22" customFormat="1" ht="15" x14ac:dyDescent="0.25">
      <c r="A3577" t="s">
        <v>220</v>
      </c>
      <c r="B3577" t="s">
        <v>4602</v>
      </c>
      <c r="E3577" s="1507" t="s">
        <v>854</v>
      </c>
      <c r="F3577" s="1507"/>
      <c r="G3577" s="585" t="s">
        <v>852</v>
      </c>
      <c r="H3577" s="951">
        <v>-0.71</v>
      </c>
      <c r="V3577">
        <v>72</v>
      </c>
    </row>
    <row r="3578" spans="1:22" customFormat="1" ht="15" x14ac:dyDescent="0.25">
      <c r="A3578" t="s">
        <v>220</v>
      </c>
      <c r="B3578" t="s">
        <v>4602</v>
      </c>
      <c r="E3578" s="1507" t="s">
        <v>855</v>
      </c>
      <c r="F3578" s="1507"/>
      <c r="G3578" s="585"/>
      <c r="H3578" s="651"/>
      <c r="V3578">
        <v>34</v>
      </c>
    </row>
    <row r="3579" spans="1:22" customFormat="1" ht="15" x14ac:dyDescent="0.25">
      <c r="A3579" t="s">
        <v>220</v>
      </c>
      <c r="B3579" t="s">
        <v>4602</v>
      </c>
      <c r="E3579" s="1511" t="s">
        <v>1106</v>
      </c>
      <c r="F3579" s="1511"/>
      <c r="G3579" s="585" t="s">
        <v>777</v>
      </c>
      <c r="H3579" s="349">
        <v>0.61</v>
      </c>
      <c r="V3579">
        <v>57</v>
      </c>
    </row>
    <row r="3580" spans="1:22" customFormat="1" ht="15" x14ac:dyDescent="0.25">
      <c r="A3580" t="s">
        <v>220</v>
      </c>
      <c r="B3580" t="s">
        <v>4602</v>
      </c>
      <c r="E3580" s="1511" t="s">
        <v>1107</v>
      </c>
      <c r="F3580" s="1511"/>
      <c r="G3580" s="585" t="s">
        <v>777</v>
      </c>
      <c r="H3580" s="349">
        <v>1.2</v>
      </c>
      <c r="V3580">
        <v>60</v>
      </c>
    </row>
    <row r="3581" spans="1:22" customFormat="1" ht="15" x14ac:dyDescent="0.25">
      <c r="A3581" t="s">
        <v>220</v>
      </c>
      <c r="B3581" t="s">
        <v>4602</v>
      </c>
      <c r="E3581" s="1507" t="s">
        <v>1108</v>
      </c>
      <c r="F3581" s="1507"/>
      <c r="G3581" s="585"/>
      <c r="H3581" s="651"/>
      <c r="V3581">
        <v>91</v>
      </c>
    </row>
    <row r="3582" spans="1:22" customFormat="1" ht="15" x14ac:dyDescent="0.25">
      <c r="A3582" t="s">
        <v>220</v>
      </c>
      <c r="B3582" t="s">
        <v>4602</v>
      </c>
      <c r="E3582" s="1507" t="s">
        <v>1109</v>
      </c>
      <c r="F3582" s="1507"/>
      <c r="G3582" s="585"/>
      <c r="H3582" s="651"/>
      <c r="V3582">
        <v>96</v>
      </c>
    </row>
    <row r="3583" spans="1:22" customFormat="1" ht="15" x14ac:dyDescent="0.25">
      <c r="A3583" t="s">
        <v>220</v>
      </c>
      <c r="B3583" t="s">
        <v>4602</v>
      </c>
      <c r="E3583" s="1507" t="s">
        <v>856</v>
      </c>
      <c r="F3583" s="1507"/>
      <c r="G3583" s="585"/>
      <c r="H3583" s="651"/>
      <c r="V3583">
        <v>77</v>
      </c>
    </row>
    <row r="3584" spans="1:22" customFormat="1" ht="15" x14ac:dyDescent="0.25">
      <c r="A3584" t="s">
        <v>220</v>
      </c>
      <c r="B3584" t="s">
        <v>4602</v>
      </c>
      <c r="E3584" s="1511" t="s">
        <v>1111</v>
      </c>
      <c r="F3584" s="1511"/>
      <c r="G3584" s="585" t="s">
        <v>777</v>
      </c>
      <c r="H3584" s="651" t="s">
        <v>857</v>
      </c>
      <c r="V3584">
        <v>18</v>
      </c>
    </row>
    <row r="3585" spans="1:22" customFormat="1" ht="15" x14ac:dyDescent="0.25">
      <c r="A3585" t="s">
        <v>220</v>
      </c>
      <c r="B3585" t="s">
        <v>4602</v>
      </c>
      <c r="E3585" s="1511" t="s">
        <v>1112</v>
      </c>
      <c r="F3585" s="1511"/>
      <c r="G3585" s="585" t="s">
        <v>777</v>
      </c>
      <c r="H3585" s="349">
        <v>4.8499999999999996</v>
      </c>
      <c r="V3585">
        <v>69</v>
      </c>
    </row>
    <row r="3586" spans="1:22" customFormat="1" ht="15" x14ac:dyDescent="0.25">
      <c r="A3586" t="s">
        <v>220</v>
      </c>
      <c r="B3586" t="s">
        <v>4602</v>
      </c>
      <c r="E3586" s="1507" t="s">
        <v>858</v>
      </c>
      <c r="F3586" s="1507"/>
      <c r="G3586" s="585" t="s">
        <v>777</v>
      </c>
      <c r="H3586" s="349">
        <v>2.42</v>
      </c>
      <c r="V3586">
        <v>199</v>
      </c>
    </row>
    <row r="3587" spans="1:22" customFormat="1" ht="18.75" x14ac:dyDescent="0.25">
      <c r="A3587" t="s">
        <v>220</v>
      </c>
      <c r="B3587" t="s">
        <v>4602</v>
      </c>
      <c r="E3587" s="836" t="s">
        <v>3853</v>
      </c>
      <c r="F3587" s="476"/>
      <c r="G3587" s="476"/>
      <c r="H3587" s="475"/>
      <c r="K3587" t="s">
        <v>4630</v>
      </c>
      <c r="V3587">
        <v>12</v>
      </c>
    </row>
    <row r="3588" spans="1:22" customFormat="1" ht="15" x14ac:dyDescent="0.25">
      <c r="A3588" t="s">
        <v>220</v>
      </c>
      <c r="B3588" t="s">
        <v>4602</v>
      </c>
      <c r="E3588" s="1507" t="s">
        <v>1114</v>
      </c>
      <c r="F3588" s="1507"/>
      <c r="G3588" s="1507"/>
      <c r="H3588" s="1507"/>
      <c r="V3588">
        <v>203</v>
      </c>
    </row>
    <row r="3589" spans="1:22" customFormat="1" ht="15" x14ac:dyDescent="0.25">
      <c r="A3589" t="s">
        <v>220</v>
      </c>
      <c r="B3589" t="s">
        <v>4602</v>
      </c>
      <c r="E3589" s="1507" t="s">
        <v>1115</v>
      </c>
      <c r="F3589" s="1507"/>
      <c r="G3589" s="584"/>
      <c r="H3589" s="650">
        <v>1.0392999999999999</v>
      </c>
      <c r="V3589">
        <v>57</v>
      </c>
    </row>
    <row r="3590" spans="1:22" customFormat="1" ht="15" x14ac:dyDescent="0.25">
      <c r="A3590" t="s">
        <v>220</v>
      </c>
      <c r="B3590" t="s">
        <v>4602</v>
      </c>
      <c r="E3590" s="1507" t="s">
        <v>1117</v>
      </c>
      <c r="F3590" s="1507"/>
      <c r="G3590" s="584"/>
      <c r="H3590" s="650">
        <v>1.0288999999999999</v>
      </c>
      <c r="J3590" t="s">
        <v>4631</v>
      </c>
      <c r="V3590">
        <v>55</v>
      </c>
    </row>
    <row r="3591" spans="1:22" customFormat="1" ht="23.25" x14ac:dyDescent="0.25">
      <c r="A3591" t="s">
        <v>222</v>
      </c>
      <c r="C3591" t="s">
        <v>3755</v>
      </c>
      <c r="E3591" s="1550" t="s">
        <v>222</v>
      </c>
      <c r="F3591" s="1550"/>
      <c r="G3591" s="1550"/>
      <c r="H3591" s="1550"/>
      <c r="I3591" t="s">
        <v>94</v>
      </c>
      <c r="J3591" t="s">
        <v>4632</v>
      </c>
      <c r="K3591" t="s">
        <v>222</v>
      </c>
      <c r="M3591">
        <v>8</v>
      </c>
      <c r="V3591">
        <v>20</v>
      </c>
    </row>
    <row r="3592" spans="1:22" customFormat="1" x14ac:dyDescent="0.25">
      <c r="A3592" t="s">
        <v>222</v>
      </c>
      <c r="C3592" t="s">
        <v>3757</v>
      </c>
      <c r="E3592" s="1551" t="s">
        <v>944</v>
      </c>
      <c r="F3592" s="1551"/>
      <c r="G3592" s="1551"/>
      <c r="H3592" s="1551"/>
      <c r="V3592">
        <v>27</v>
      </c>
    </row>
    <row r="3593" spans="1:22" customFormat="1" ht="15.75" x14ac:dyDescent="0.25">
      <c r="A3593" t="s">
        <v>222</v>
      </c>
      <c r="C3593" t="s">
        <v>3758</v>
      </c>
      <c r="E3593" s="1543" t="s">
        <v>6511</v>
      </c>
      <c r="F3593" s="1543"/>
      <c r="G3593" s="1543"/>
      <c r="H3593" s="1543"/>
      <c r="S3593">
        <v>45658</v>
      </c>
      <c r="V3593">
        <v>49</v>
      </c>
    </row>
    <row r="3594" spans="1:22" customFormat="1" ht="15" x14ac:dyDescent="0.25">
      <c r="A3594" t="s">
        <v>222</v>
      </c>
      <c r="C3594" t="s">
        <v>3759</v>
      </c>
      <c r="E3594" s="1544" t="s">
        <v>945</v>
      </c>
      <c r="F3594" s="1544"/>
      <c r="G3594" s="1544"/>
      <c r="H3594" s="1544"/>
      <c r="V3594">
        <v>52</v>
      </c>
    </row>
    <row r="3595" spans="1:22" customFormat="1" ht="15" x14ac:dyDescent="0.25">
      <c r="A3595" t="s">
        <v>222</v>
      </c>
      <c r="E3595" s="1544" t="s">
        <v>946</v>
      </c>
      <c r="F3595" s="1544"/>
      <c r="G3595" s="1544"/>
      <c r="H3595" s="1544"/>
      <c r="V3595">
        <v>53</v>
      </c>
    </row>
    <row r="3596" spans="1:22" customFormat="1" ht="15" x14ac:dyDescent="0.25">
      <c r="A3596" t="s">
        <v>222</v>
      </c>
      <c r="E3596" s="1513" t="s">
        <v>6720</v>
      </c>
      <c r="F3596" s="1513"/>
      <c r="G3596" s="1513"/>
      <c r="H3596" s="1513"/>
      <c r="K3596" t="s">
        <v>6720</v>
      </c>
      <c r="V3596">
        <v>12</v>
      </c>
    </row>
    <row r="3597" spans="1:22" customFormat="1" ht="15" x14ac:dyDescent="0.25">
      <c r="A3597" t="s">
        <v>222</v>
      </c>
      <c r="E3597" s="1492" t="s">
        <v>170</v>
      </c>
      <c r="F3597" s="1516"/>
      <c r="G3597" s="1516"/>
      <c r="H3597" s="1516"/>
      <c r="K3597" t="s">
        <v>947</v>
      </c>
      <c r="V3597">
        <v>34</v>
      </c>
    </row>
    <row r="3598" spans="1:22" customFormat="1" ht="15" x14ac:dyDescent="0.25">
      <c r="A3598" t="s">
        <v>222</v>
      </c>
      <c r="E3598" s="1516" t="s">
        <v>4633</v>
      </c>
      <c r="F3598" s="1516"/>
      <c r="G3598" s="1516"/>
      <c r="H3598" s="1516"/>
      <c r="K3598" t="s">
        <v>947</v>
      </c>
      <c r="V3598">
        <v>745</v>
      </c>
    </row>
    <row r="3599" spans="1:22" customFormat="1" ht="15" x14ac:dyDescent="0.25">
      <c r="A3599" t="s">
        <v>222</v>
      </c>
      <c r="E3599" s="1515" t="s">
        <v>950</v>
      </c>
      <c r="F3599" s="1516"/>
      <c r="G3599" s="1516"/>
      <c r="H3599" s="1516"/>
      <c r="K3599" t="s">
        <v>949</v>
      </c>
      <c r="V3599">
        <v>11</v>
      </c>
    </row>
    <row r="3600" spans="1:22" customFormat="1" ht="15" x14ac:dyDescent="0.25">
      <c r="A3600" t="s">
        <v>222</v>
      </c>
      <c r="E3600" s="1516" t="s">
        <v>951</v>
      </c>
      <c r="F3600" s="1516"/>
      <c r="G3600" s="1516"/>
      <c r="H3600" s="1516"/>
      <c r="K3600" t="s">
        <v>947</v>
      </c>
      <c r="V3600">
        <v>280</v>
      </c>
    </row>
    <row r="3601" spans="1:22" customFormat="1" ht="15" x14ac:dyDescent="0.25">
      <c r="A3601" t="s">
        <v>222</v>
      </c>
      <c r="E3601" s="1516" t="s">
        <v>952</v>
      </c>
      <c r="F3601" s="1516"/>
      <c r="G3601" s="1516"/>
      <c r="H3601" s="1516"/>
      <c r="K3601" t="s">
        <v>947</v>
      </c>
      <c r="V3601">
        <v>411</v>
      </c>
    </row>
    <row r="3602" spans="1:22" customFormat="1" ht="15" x14ac:dyDescent="0.25">
      <c r="A3602" t="s">
        <v>222</v>
      </c>
      <c r="E3602" s="1516" t="s">
        <v>4634</v>
      </c>
      <c r="F3602" s="1516"/>
      <c r="G3602" s="1516"/>
      <c r="H3602" s="1516"/>
      <c r="K3602" t="s">
        <v>947</v>
      </c>
      <c r="V3602">
        <v>379</v>
      </c>
    </row>
    <row r="3603" spans="1:22" customFormat="1" ht="15" x14ac:dyDescent="0.25">
      <c r="A3603" t="s">
        <v>222</v>
      </c>
      <c r="E3603" s="1516" t="s">
        <v>3762</v>
      </c>
      <c r="F3603" s="1516"/>
      <c r="G3603" s="1516"/>
      <c r="H3603" s="1516"/>
      <c r="K3603" t="s">
        <v>947</v>
      </c>
      <c r="V3603">
        <v>247</v>
      </c>
    </row>
    <row r="3604" spans="1:22" customFormat="1" ht="15" x14ac:dyDescent="0.25">
      <c r="A3604" t="s">
        <v>222</v>
      </c>
      <c r="E3604" s="1515" t="s">
        <v>956</v>
      </c>
      <c r="F3604" s="1516"/>
      <c r="G3604" s="1516"/>
      <c r="H3604" s="1516"/>
      <c r="K3604" t="s">
        <v>955</v>
      </c>
      <c r="V3604">
        <v>46</v>
      </c>
    </row>
    <row r="3605" spans="1:22" customFormat="1" ht="15" x14ac:dyDescent="0.25">
      <c r="A3605" t="s">
        <v>222</v>
      </c>
      <c r="E3605" s="1507" t="s">
        <v>3773</v>
      </c>
      <c r="F3605" s="1507"/>
      <c r="G3605" s="584" t="s">
        <v>777</v>
      </c>
      <c r="H3605" s="576">
        <v>30.93</v>
      </c>
      <c r="K3605" t="s">
        <v>947</v>
      </c>
      <c r="L3605" t="s">
        <v>690</v>
      </c>
      <c r="P3605" t="s">
        <v>957</v>
      </c>
      <c r="V3605">
        <v>14</v>
      </c>
    </row>
    <row r="3606" spans="1:22" customFormat="1" ht="15" x14ac:dyDescent="0.25">
      <c r="A3606" t="s">
        <v>222</v>
      </c>
      <c r="E3606" s="1507" t="s">
        <v>6721</v>
      </c>
      <c r="F3606" s="1507"/>
      <c r="G3606" s="584" t="s">
        <v>777</v>
      </c>
      <c r="H3606" s="576">
        <v>-0.15</v>
      </c>
      <c r="K3606" t="s">
        <v>947</v>
      </c>
      <c r="L3606" t="s">
        <v>692</v>
      </c>
      <c r="P3606" t="s">
        <v>6722</v>
      </c>
      <c r="T3606">
        <v>46022</v>
      </c>
      <c r="V3606">
        <v>124</v>
      </c>
    </row>
    <row r="3607" spans="1:22" customFormat="1" ht="15" x14ac:dyDescent="0.25">
      <c r="A3607" t="s">
        <v>222</v>
      </c>
      <c r="E3607" s="1507" t="s">
        <v>960</v>
      </c>
      <c r="F3607" s="1507"/>
      <c r="G3607" s="584" t="s">
        <v>777</v>
      </c>
      <c r="H3607" s="576">
        <v>0.42</v>
      </c>
      <c r="K3607" t="s">
        <v>947</v>
      </c>
      <c r="L3607" t="s">
        <v>692</v>
      </c>
      <c r="P3607" t="s">
        <v>959</v>
      </c>
      <c r="V3607">
        <v>64</v>
      </c>
    </row>
    <row r="3608" spans="1:22" customFormat="1" ht="15" x14ac:dyDescent="0.25">
      <c r="A3608" t="s">
        <v>222</v>
      </c>
      <c r="E3608" s="1507" t="s">
        <v>6519</v>
      </c>
      <c r="F3608" s="1510"/>
      <c r="G3608" s="584" t="s">
        <v>845</v>
      </c>
      <c r="H3608" s="577">
        <v>2.3999999999999998E-3</v>
      </c>
      <c r="K3608" t="s">
        <v>947</v>
      </c>
      <c r="L3608" t="s">
        <v>692</v>
      </c>
      <c r="P3608" t="s">
        <v>962</v>
      </c>
      <c r="T3608">
        <v>46022</v>
      </c>
      <c r="V3608">
        <v>142</v>
      </c>
    </row>
    <row r="3609" spans="1:22" customFormat="1" ht="15" x14ac:dyDescent="0.25">
      <c r="A3609" t="s">
        <v>222</v>
      </c>
      <c r="E3609" s="1507" t="s">
        <v>6520</v>
      </c>
      <c r="F3609" s="1510"/>
      <c r="G3609" s="584" t="s">
        <v>845</v>
      </c>
      <c r="H3609" s="577">
        <v>5.9999999999999995E-4</v>
      </c>
      <c r="K3609" t="s">
        <v>947</v>
      </c>
      <c r="L3609" t="s">
        <v>692</v>
      </c>
      <c r="P3609" t="s">
        <v>963</v>
      </c>
      <c r="T3609">
        <v>46022</v>
      </c>
      <c r="V3609">
        <v>99</v>
      </c>
    </row>
    <row r="3610" spans="1:22" customFormat="1" ht="15" x14ac:dyDescent="0.25">
      <c r="A3610" t="s">
        <v>222</v>
      </c>
      <c r="E3610" s="1507" t="s">
        <v>243</v>
      </c>
      <c r="F3610" s="1507"/>
      <c r="G3610" s="584" t="s">
        <v>845</v>
      </c>
      <c r="H3610" s="577">
        <v>1.4E-2</v>
      </c>
      <c r="K3610" t="s">
        <v>947</v>
      </c>
      <c r="L3610" t="s">
        <v>694</v>
      </c>
      <c r="P3610" t="s">
        <v>964</v>
      </c>
      <c r="V3610">
        <v>47</v>
      </c>
    </row>
    <row r="3611" spans="1:22" customFormat="1" ht="15" x14ac:dyDescent="0.25">
      <c r="A3611" t="s">
        <v>222</v>
      </c>
      <c r="E3611" s="1507" t="s">
        <v>175</v>
      </c>
      <c r="F3611" s="1507"/>
      <c r="G3611" s="584" t="s">
        <v>845</v>
      </c>
      <c r="H3611" s="577">
        <v>8.5000000000000006E-3</v>
      </c>
      <c r="K3611" t="s">
        <v>947</v>
      </c>
      <c r="L3611" t="s">
        <v>694</v>
      </c>
      <c r="P3611" t="s">
        <v>965</v>
      </c>
      <c r="V3611">
        <v>74</v>
      </c>
    </row>
    <row r="3612" spans="1:22" customFormat="1" ht="15" x14ac:dyDescent="0.25">
      <c r="A3612" t="s">
        <v>222</v>
      </c>
      <c r="E3612" s="1515" t="s">
        <v>967</v>
      </c>
      <c r="F3612" s="1507"/>
      <c r="G3612" s="584"/>
      <c r="H3612" s="584"/>
      <c r="K3612" t="s">
        <v>966</v>
      </c>
      <c r="V3612">
        <v>48</v>
      </c>
    </row>
    <row r="3613" spans="1:22" customFormat="1" ht="15" x14ac:dyDescent="0.25">
      <c r="A3613" t="s">
        <v>222</v>
      </c>
      <c r="E3613" s="1507" t="s">
        <v>844</v>
      </c>
      <c r="F3613" s="1507"/>
      <c r="G3613" s="584" t="s">
        <v>845</v>
      </c>
      <c r="H3613" s="577">
        <v>4.1000000000000003E-3</v>
      </c>
      <c r="K3613" t="s">
        <v>947</v>
      </c>
      <c r="L3613" t="s">
        <v>968</v>
      </c>
      <c r="P3613" t="s">
        <v>969</v>
      </c>
      <c r="V3613">
        <v>55</v>
      </c>
    </row>
    <row r="3614" spans="1:22" customFormat="1" ht="15" x14ac:dyDescent="0.25">
      <c r="A3614" t="s">
        <v>222</v>
      </c>
      <c r="E3614" s="1507" t="s">
        <v>846</v>
      </c>
      <c r="F3614" s="1507"/>
      <c r="G3614" s="584" t="s">
        <v>845</v>
      </c>
      <c r="H3614" s="577">
        <v>4.0000000000000002E-4</v>
      </c>
      <c r="K3614" t="s">
        <v>947</v>
      </c>
      <c r="L3614" t="s">
        <v>968</v>
      </c>
      <c r="P3614" t="s">
        <v>969</v>
      </c>
      <c r="V3614">
        <v>65</v>
      </c>
    </row>
    <row r="3615" spans="1:22" customFormat="1" ht="15" x14ac:dyDescent="0.25">
      <c r="A3615" t="s">
        <v>222</v>
      </c>
      <c r="E3615" s="1507" t="s">
        <v>847</v>
      </c>
      <c r="F3615" s="1507"/>
      <c r="G3615" s="584" t="s">
        <v>845</v>
      </c>
      <c r="H3615" s="577">
        <v>1.5E-3</v>
      </c>
      <c r="K3615" t="s">
        <v>947</v>
      </c>
      <c r="L3615" t="s">
        <v>968</v>
      </c>
      <c r="P3615" t="s">
        <v>970</v>
      </c>
      <c r="V3615">
        <v>57</v>
      </c>
    </row>
    <row r="3616" spans="1:22" customFormat="1" ht="15" x14ac:dyDescent="0.25">
      <c r="A3616" t="s">
        <v>222</v>
      </c>
      <c r="E3616" s="1507" t="s">
        <v>848</v>
      </c>
      <c r="F3616" s="1507"/>
      <c r="G3616" s="584" t="s">
        <v>777</v>
      </c>
      <c r="H3616" s="576">
        <v>0.25</v>
      </c>
      <c r="K3616" t="s">
        <v>947</v>
      </c>
      <c r="L3616" t="s">
        <v>968</v>
      </c>
      <c r="P3616" t="s">
        <v>971</v>
      </c>
      <c r="V3616">
        <v>63</v>
      </c>
    </row>
    <row r="3617" spans="1:22" customFormat="1" x14ac:dyDescent="0.25">
      <c r="A3617" t="s">
        <v>222</v>
      </c>
      <c r="E3617" s="1492" t="s">
        <v>174</v>
      </c>
      <c r="F3617" s="1493"/>
      <c r="G3617" s="1493"/>
      <c r="H3617" s="1493"/>
      <c r="K3617" t="s">
        <v>972</v>
      </c>
      <c r="V3617">
        <v>54</v>
      </c>
    </row>
    <row r="3618" spans="1:22" customFormat="1" ht="15" x14ac:dyDescent="0.25">
      <c r="A3618" t="s">
        <v>222</v>
      </c>
      <c r="E3618" s="1605" t="s">
        <v>4635</v>
      </c>
      <c r="F3618" s="1605"/>
      <c r="G3618" s="1605"/>
      <c r="H3618" s="1605"/>
      <c r="K3618" t="s">
        <v>972</v>
      </c>
      <c r="V3618">
        <v>390</v>
      </c>
    </row>
    <row r="3619" spans="1:22" customFormat="1" ht="15" x14ac:dyDescent="0.25">
      <c r="A3619" t="s">
        <v>222</v>
      </c>
      <c r="E3619" s="1515" t="s">
        <v>950</v>
      </c>
      <c r="F3619" s="1516"/>
      <c r="G3619" s="1516"/>
      <c r="H3619" s="1516"/>
      <c r="K3619" t="s">
        <v>974</v>
      </c>
      <c r="V3619">
        <v>11</v>
      </c>
    </row>
    <row r="3620" spans="1:22" customFormat="1" ht="15" x14ac:dyDescent="0.25">
      <c r="A3620" t="s">
        <v>222</v>
      </c>
      <c r="E3620" s="1516" t="s">
        <v>951</v>
      </c>
      <c r="F3620" s="1516"/>
      <c r="G3620" s="1516"/>
      <c r="H3620" s="1516"/>
      <c r="K3620" t="s">
        <v>972</v>
      </c>
      <c r="V3620">
        <v>280</v>
      </c>
    </row>
    <row r="3621" spans="1:22" customFormat="1" ht="15" x14ac:dyDescent="0.25">
      <c r="A3621" t="s">
        <v>222</v>
      </c>
      <c r="E3621" s="1516" t="s">
        <v>952</v>
      </c>
      <c r="F3621" s="1516"/>
      <c r="G3621" s="1516"/>
      <c r="H3621" s="1516"/>
      <c r="K3621" t="s">
        <v>972</v>
      </c>
      <c r="V3621">
        <v>411</v>
      </c>
    </row>
    <row r="3622" spans="1:22" customFormat="1" ht="15" x14ac:dyDescent="0.25">
      <c r="A3622" t="s">
        <v>222</v>
      </c>
      <c r="E3622" s="1516" t="s">
        <v>4634</v>
      </c>
      <c r="F3622" s="1516"/>
      <c r="G3622" s="1516"/>
      <c r="H3622" s="1516"/>
      <c r="K3622" t="s">
        <v>972</v>
      </c>
      <c r="V3622">
        <v>379</v>
      </c>
    </row>
    <row r="3623" spans="1:22" customFormat="1" ht="15" x14ac:dyDescent="0.25">
      <c r="A3623" t="s">
        <v>222</v>
      </c>
      <c r="E3623" s="1516" t="s">
        <v>3762</v>
      </c>
      <c r="F3623" s="1516"/>
      <c r="G3623" s="1516"/>
      <c r="H3623" s="1516"/>
      <c r="K3623" t="s">
        <v>972</v>
      </c>
      <c r="V3623">
        <v>247</v>
      </c>
    </row>
    <row r="3624" spans="1:22" customFormat="1" ht="15" x14ac:dyDescent="0.25">
      <c r="A3624" t="s">
        <v>222</v>
      </c>
      <c r="E3624" s="1515" t="s">
        <v>956</v>
      </c>
      <c r="F3624" s="1516"/>
      <c r="G3624" s="1516"/>
      <c r="H3624" s="1516"/>
      <c r="K3624" t="s">
        <v>975</v>
      </c>
      <c r="V3624">
        <v>46</v>
      </c>
    </row>
    <row r="3625" spans="1:22" customFormat="1" ht="15" x14ac:dyDescent="0.25">
      <c r="A3625" t="s">
        <v>222</v>
      </c>
      <c r="E3625" s="1507" t="s">
        <v>3773</v>
      </c>
      <c r="F3625" s="1507"/>
      <c r="G3625" s="584" t="s">
        <v>777</v>
      </c>
      <c r="H3625" s="576">
        <v>32.159999999999997</v>
      </c>
      <c r="K3625" t="s">
        <v>972</v>
      </c>
      <c r="L3625" t="s">
        <v>690</v>
      </c>
      <c r="P3625" t="s">
        <v>976</v>
      </c>
      <c r="V3625">
        <v>14</v>
      </c>
    </row>
    <row r="3626" spans="1:22" customFormat="1" ht="15" x14ac:dyDescent="0.25">
      <c r="A3626" t="s">
        <v>222</v>
      </c>
      <c r="E3626" s="1507" t="s">
        <v>960</v>
      </c>
      <c r="F3626" s="1507"/>
      <c r="G3626" s="584" t="s">
        <v>777</v>
      </c>
      <c r="H3626" s="576">
        <v>0.42</v>
      </c>
      <c r="K3626" t="s">
        <v>972</v>
      </c>
      <c r="L3626" t="s">
        <v>692</v>
      </c>
      <c r="P3626" t="s">
        <v>977</v>
      </c>
      <c r="V3626">
        <v>64</v>
      </c>
    </row>
    <row r="3627" spans="1:22" customFormat="1" ht="15" x14ac:dyDescent="0.25">
      <c r="A3627" t="s">
        <v>222</v>
      </c>
      <c r="E3627" s="1507" t="s">
        <v>3688</v>
      </c>
      <c r="F3627" s="1507"/>
      <c r="G3627" s="584" t="s">
        <v>845</v>
      </c>
      <c r="H3627" s="577">
        <v>2.0199999999999999E-2</v>
      </c>
      <c r="K3627" t="s">
        <v>972</v>
      </c>
      <c r="L3627" t="s">
        <v>690</v>
      </c>
      <c r="P3627" t="s">
        <v>978</v>
      </c>
      <c r="V3627">
        <v>28</v>
      </c>
    </row>
    <row r="3628" spans="1:22" customFormat="1" ht="15" x14ac:dyDescent="0.25">
      <c r="A3628" t="s">
        <v>222</v>
      </c>
      <c r="E3628" s="1507" t="s">
        <v>6519</v>
      </c>
      <c r="F3628" s="1510"/>
      <c r="G3628" s="584" t="s">
        <v>845</v>
      </c>
      <c r="H3628" s="577">
        <v>2.3999999999999998E-3</v>
      </c>
      <c r="K3628" t="s">
        <v>972</v>
      </c>
      <c r="L3628" t="s">
        <v>692</v>
      </c>
      <c r="P3628" t="s">
        <v>981</v>
      </c>
      <c r="T3628">
        <v>46022</v>
      </c>
      <c r="V3628">
        <v>142</v>
      </c>
    </row>
    <row r="3629" spans="1:22" customFormat="1" ht="15" x14ac:dyDescent="0.25">
      <c r="A3629" t="s">
        <v>222</v>
      </c>
      <c r="E3629" s="1507" t="s">
        <v>6520</v>
      </c>
      <c r="F3629" s="1510"/>
      <c r="G3629" s="584" t="s">
        <v>845</v>
      </c>
      <c r="H3629" s="577">
        <v>8.9999999999999998E-4</v>
      </c>
      <c r="K3629" t="s">
        <v>972</v>
      </c>
      <c r="L3629" t="s">
        <v>692</v>
      </c>
      <c r="P3629" t="s">
        <v>982</v>
      </c>
      <c r="T3629">
        <v>46022</v>
      </c>
      <c r="V3629">
        <v>99</v>
      </c>
    </row>
    <row r="3630" spans="1:22" customFormat="1" ht="15" x14ac:dyDescent="0.25">
      <c r="A3630" t="s">
        <v>222</v>
      </c>
      <c r="E3630" s="1507" t="s">
        <v>6513</v>
      </c>
      <c r="F3630" s="1507"/>
      <c r="G3630" s="584" t="s">
        <v>845</v>
      </c>
      <c r="H3630" s="577">
        <v>-1E-4</v>
      </c>
      <c r="K3630" t="s">
        <v>972</v>
      </c>
      <c r="L3630" t="s">
        <v>690</v>
      </c>
      <c r="P3630" t="s">
        <v>6723</v>
      </c>
      <c r="T3630">
        <v>46022</v>
      </c>
      <c r="V3630">
        <v>86</v>
      </c>
    </row>
    <row r="3631" spans="1:22" customFormat="1" ht="15" x14ac:dyDescent="0.25">
      <c r="A3631" t="s">
        <v>222</v>
      </c>
      <c r="E3631" s="1507" t="s">
        <v>6721</v>
      </c>
      <c r="F3631" s="1507"/>
      <c r="G3631" s="584" t="s">
        <v>845</v>
      </c>
      <c r="H3631" s="577">
        <v>-1E-4</v>
      </c>
      <c r="K3631" t="s">
        <v>972</v>
      </c>
      <c r="L3631" t="s">
        <v>692</v>
      </c>
      <c r="P3631" t="s">
        <v>6724</v>
      </c>
      <c r="T3631">
        <v>46022</v>
      </c>
      <c r="V3631">
        <v>124</v>
      </c>
    </row>
    <row r="3632" spans="1:22" customFormat="1" ht="15" x14ac:dyDescent="0.25">
      <c r="A3632" t="s">
        <v>222</v>
      </c>
      <c r="E3632" s="1507" t="s">
        <v>243</v>
      </c>
      <c r="F3632" s="1507"/>
      <c r="G3632" s="584" t="s">
        <v>845</v>
      </c>
      <c r="H3632" s="577">
        <v>1.3100000000000001E-2</v>
      </c>
      <c r="K3632" t="s">
        <v>972</v>
      </c>
      <c r="L3632" t="s">
        <v>694</v>
      </c>
      <c r="P3632" t="s">
        <v>983</v>
      </c>
      <c r="V3632">
        <v>47</v>
      </c>
    </row>
    <row r="3633" spans="1:22" customFormat="1" ht="15" x14ac:dyDescent="0.25">
      <c r="A3633" t="s">
        <v>222</v>
      </c>
      <c r="E3633" s="1507" t="s">
        <v>175</v>
      </c>
      <c r="F3633" s="1507"/>
      <c r="G3633" s="584" t="s">
        <v>845</v>
      </c>
      <c r="H3633" s="577">
        <v>7.9000000000000008E-3</v>
      </c>
      <c r="K3633" t="s">
        <v>972</v>
      </c>
      <c r="L3633" t="s">
        <v>694</v>
      </c>
      <c r="P3633" t="s">
        <v>984</v>
      </c>
      <c r="V3633">
        <v>74</v>
      </c>
    </row>
    <row r="3634" spans="1:22" customFormat="1" ht="15" x14ac:dyDescent="0.25">
      <c r="A3634" t="s">
        <v>222</v>
      </c>
      <c r="E3634" s="1515" t="s">
        <v>967</v>
      </c>
      <c r="F3634" s="1507"/>
      <c r="G3634" s="584"/>
      <c r="H3634" s="584"/>
      <c r="K3634" t="s">
        <v>985</v>
      </c>
      <c r="V3634">
        <v>48</v>
      </c>
    </row>
    <row r="3635" spans="1:22" customFormat="1" ht="15" x14ac:dyDescent="0.25">
      <c r="A3635" t="s">
        <v>222</v>
      </c>
      <c r="E3635" s="1507" t="s">
        <v>844</v>
      </c>
      <c r="F3635" s="1507"/>
      <c r="G3635" s="584" t="s">
        <v>845</v>
      </c>
      <c r="H3635" s="577">
        <v>4.1000000000000003E-3</v>
      </c>
      <c r="K3635" t="s">
        <v>972</v>
      </c>
      <c r="L3635" t="s">
        <v>968</v>
      </c>
      <c r="P3635" t="s">
        <v>986</v>
      </c>
      <c r="V3635">
        <v>55</v>
      </c>
    </row>
    <row r="3636" spans="1:22" customFormat="1" ht="15" x14ac:dyDescent="0.25">
      <c r="A3636" t="s">
        <v>222</v>
      </c>
      <c r="E3636" s="1507" t="s">
        <v>846</v>
      </c>
      <c r="F3636" s="1507"/>
      <c r="G3636" s="584" t="s">
        <v>845</v>
      </c>
      <c r="H3636" s="577">
        <v>4.0000000000000002E-4</v>
      </c>
      <c r="K3636" t="s">
        <v>972</v>
      </c>
      <c r="L3636" t="s">
        <v>968</v>
      </c>
      <c r="P3636" t="s">
        <v>986</v>
      </c>
      <c r="V3636">
        <v>65</v>
      </c>
    </row>
    <row r="3637" spans="1:22" customFormat="1" ht="15" x14ac:dyDescent="0.25">
      <c r="A3637" t="s">
        <v>222</v>
      </c>
      <c r="E3637" s="1507" t="s">
        <v>847</v>
      </c>
      <c r="F3637" s="1507"/>
      <c r="G3637" s="584" t="s">
        <v>845</v>
      </c>
      <c r="H3637" s="577">
        <v>1.5E-3</v>
      </c>
      <c r="K3637" t="s">
        <v>972</v>
      </c>
      <c r="L3637" t="s">
        <v>968</v>
      </c>
      <c r="P3637" t="s">
        <v>987</v>
      </c>
      <c r="V3637">
        <v>57</v>
      </c>
    </row>
    <row r="3638" spans="1:22" customFormat="1" ht="15" x14ac:dyDescent="0.25">
      <c r="A3638" t="s">
        <v>222</v>
      </c>
      <c r="E3638" s="1507" t="s">
        <v>848</v>
      </c>
      <c r="F3638" s="1507"/>
      <c r="G3638" s="584" t="s">
        <v>777</v>
      </c>
      <c r="H3638" s="576">
        <v>0.25</v>
      </c>
      <c r="K3638" t="s">
        <v>972</v>
      </c>
      <c r="L3638" t="s">
        <v>968</v>
      </c>
      <c r="P3638" t="s">
        <v>988</v>
      </c>
      <c r="V3638">
        <v>63</v>
      </c>
    </row>
    <row r="3639" spans="1:22" customFormat="1" x14ac:dyDescent="0.25">
      <c r="A3639" t="s">
        <v>222</v>
      </c>
      <c r="E3639" s="1492" t="s">
        <v>3767</v>
      </c>
      <c r="F3639" s="1493"/>
      <c r="G3639" s="1493"/>
      <c r="H3639" s="1493"/>
      <c r="K3639" t="s">
        <v>3768</v>
      </c>
      <c r="V3639">
        <v>53</v>
      </c>
    </row>
    <row r="3640" spans="1:22" customFormat="1" ht="15" x14ac:dyDescent="0.25">
      <c r="A3640" t="s">
        <v>222</v>
      </c>
      <c r="E3640" s="1605" t="s">
        <v>4636</v>
      </c>
      <c r="F3640" s="1605"/>
      <c r="G3640" s="1605"/>
      <c r="H3640" s="1605"/>
      <c r="K3640" t="s">
        <v>3768</v>
      </c>
      <c r="V3640">
        <v>439</v>
      </c>
    </row>
    <row r="3641" spans="1:22" customFormat="1" ht="15" x14ac:dyDescent="0.25">
      <c r="A3641" t="s">
        <v>222</v>
      </c>
      <c r="E3641" s="1515" t="s">
        <v>950</v>
      </c>
      <c r="F3641" s="1516"/>
      <c r="G3641" s="1516"/>
      <c r="H3641" s="1516"/>
      <c r="K3641" t="s">
        <v>992</v>
      </c>
      <c r="V3641">
        <v>11</v>
      </c>
    </row>
    <row r="3642" spans="1:22" customFormat="1" ht="15" x14ac:dyDescent="0.25">
      <c r="A3642" t="s">
        <v>222</v>
      </c>
      <c r="E3642" s="1516" t="s">
        <v>951</v>
      </c>
      <c r="F3642" s="1516"/>
      <c r="G3642" s="1516"/>
      <c r="H3642" s="1516"/>
      <c r="K3642" t="s">
        <v>3768</v>
      </c>
      <c r="V3642">
        <v>280</v>
      </c>
    </row>
    <row r="3643" spans="1:22" customFormat="1" ht="15" x14ac:dyDescent="0.25">
      <c r="A3643" t="s">
        <v>222</v>
      </c>
      <c r="E3643" s="1516" t="s">
        <v>952</v>
      </c>
      <c r="F3643" s="1516"/>
      <c r="G3643" s="1516"/>
      <c r="H3643" s="1516"/>
      <c r="K3643" t="s">
        <v>3768</v>
      </c>
      <c r="V3643">
        <v>411</v>
      </c>
    </row>
    <row r="3644" spans="1:22" customFormat="1" ht="15" x14ac:dyDescent="0.25">
      <c r="A3644" t="s">
        <v>222</v>
      </c>
      <c r="E3644" s="1516" t="s">
        <v>4634</v>
      </c>
      <c r="F3644" s="1516"/>
      <c r="G3644" s="1516"/>
      <c r="H3644" s="1516"/>
      <c r="K3644" t="s">
        <v>3768</v>
      </c>
      <c r="V3644">
        <v>379</v>
      </c>
    </row>
    <row r="3645" spans="1:22" customFormat="1" ht="15" x14ac:dyDescent="0.25">
      <c r="A3645" t="s">
        <v>222</v>
      </c>
      <c r="E3645" s="1516" t="s">
        <v>3771</v>
      </c>
      <c r="F3645" s="1516"/>
      <c r="G3645" s="1516"/>
      <c r="H3645" s="1516"/>
      <c r="K3645" t="s">
        <v>3768</v>
      </c>
      <c r="V3645">
        <v>677</v>
      </c>
    </row>
    <row r="3646" spans="1:22" customFormat="1" ht="15" x14ac:dyDescent="0.25">
      <c r="A3646" t="s">
        <v>222</v>
      </c>
      <c r="E3646" s="1516" t="s">
        <v>3772</v>
      </c>
      <c r="F3646" s="1516"/>
      <c r="G3646" s="1516"/>
      <c r="H3646" s="1516"/>
      <c r="K3646" t="s">
        <v>3768</v>
      </c>
      <c r="V3646">
        <v>693</v>
      </c>
    </row>
    <row r="3647" spans="1:22" customFormat="1" ht="15" x14ac:dyDescent="0.25">
      <c r="A3647" t="s">
        <v>222</v>
      </c>
      <c r="E3647" s="1516" t="s">
        <v>3762</v>
      </c>
      <c r="F3647" s="1516"/>
      <c r="G3647" s="1516"/>
      <c r="H3647" s="1516"/>
      <c r="K3647" t="s">
        <v>3768</v>
      </c>
      <c r="V3647">
        <v>247</v>
      </c>
    </row>
    <row r="3648" spans="1:22" customFormat="1" ht="15" x14ac:dyDescent="0.25">
      <c r="A3648" t="s">
        <v>222</v>
      </c>
      <c r="E3648" s="1515" t="s">
        <v>956</v>
      </c>
      <c r="F3648" s="1516"/>
      <c r="G3648" s="1516"/>
      <c r="H3648" s="1516"/>
      <c r="K3648" t="s">
        <v>995</v>
      </c>
      <c r="V3648">
        <v>46</v>
      </c>
    </row>
    <row r="3649" spans="1:22" customFormat="1" ht="15" x14ac:dyDescent="0.25">
      <c r="A3649" t="s">
        <v>222</v>
      </c>
      <c r="E3649" s="1507" t="s">
        <v>3773</v>
      </c>
      <c r="F3649" s="1507"/>
      <c r="G3649" s="584" t="s">
        <v>777</v>
      </c>
      <c r="H3649" s="576">
        <v>127.17</v>
      </c>
      <c r="K3649" t="s">
        <v>3768</v>
      </c>
      <c r="L3649" t="s">
        <v>690</v>
      </c>
      <c r="P3649" t="s">
        <v>3774</v>
      </c>
      <c r="V3649">
        <v>14</v>
      </c>
    </row>
    <row r="3650" spans="1:22" customFormat="1" ht="15" x14ac:dyDescent="0.25">
      <c r="A3650" t="s">
        <v>222</v>
      </c>
      <c r="E3650" s="1507" t="s">
        <v>3688</v>
      </c>
      <c r="F3650" s="1507"/>
      <c r="G3650" s="584" t="s">
        <v>3775</v>
      </c>
      <c r="H3650" s="577">
        <v>5.6626000000000003</v>
      </c>
      <c r="K3650" t="s">
        <v>3768</v>
      </c>
      <c r="L3650" t="s">
        <v>690</v>
      </c>
      <c r="P3650" t="s">
        <v>3776</v>
      </c>
      <c r="V3650">
        <v>28</v>
      </c>
    </row>
    <row r="3651" spans="1:22" customFormat="1" ht="15" x14ac:dyDescent="0.25">
      <c r="A3651" t="s">
        <v>222</v>
      </c>
      <c r="E3651" s="1507" t="s">
        <v>6519</v>
      </c>
      <c r="F3651" s="1510"/>
      <c r="G3651" s="584" t="s">
        <v>845</v>
      </c>
      <c r="H3651" s="577">
        <v>2.3999999999999998E-3</v>
      </c>
      <c r="K3651" t="s">
        <v>3768</v>
      </c>
      <c r="L3651" t="s">
        <v>692</v>
      </c>
      <c r="P3651" t="s">
        <v>4232</v>
      </c>
      <c r="T3651">
        <v>46022</v>
      </c>
      <c r="V3651">
        <v>142</v>
      </c>
    </row>
    <row r="3652" spans="1:22" customFormat="1" ht="15" x14ac:dyDescent="0.25">
      <c r="A3652" t="s">
        <v>222</v>
      </c>
      <c r="E3652" s="1507" t="s">
        <v>6525</v>
      </c>
      <c r="F3652" s="1510"/>
      <c r="G3652" s="584" t="s">
        <v>3775</v>
      </c>
      <c r="H3652" s="577">
        <v>-0.39850000000000002</v>
      </c>
      <c r="K3652" t="s">
        <v>3768</v>
      </c>
      <c r="L3652" t="s">
        <v>692</v>
      </c>
      <c r="P3652" t="s">
        <v>3779</v>
      </c>
      <c r="T3652">
        <v>46022</v>
      </c>
      <c r="V3652">
        <v>159</v>
      </c>
    </row>
    <row r="3653" spans="1:22" customFormat="1" ht="15" x14ac:dyDescent="0.25">
      <c r="A3653" t="s">
        <v>222</v>
      </c>
      <c r="E3653" s="1507" t="s">
        <v>6520</v>
      </c>
      <c r="F3653" s="1510"/>
      <c r="G3653" s="584" t="s">
        <v>3775</v>
      </c>
      <c r="H3653" s="577">
        <v>0.8135</v>
      </c>
      <c r="K3653" t="s">
        <v>3768</v>
      </c>
      <c r="L3653" t="s">
        <v>692</v>
      </c>
      <c r="P3653" t="s">
        <v>3779</v>
      </c>
      <c r="T3653">
        <v>46022</v>
      </c>
      <c r="V3653">
        <v>99</v>
      </c>
    </row>
    <row r="3654" spans="1:22" customFormat="1" ht="15" x14ac:dyDescent="0.25">
      <c r="A3654" t="s">
        <v>222</v>
      </c>
      <c r="E3654" s="1507" t="s">
        <v>6513</v>
      </c>
      <c r="F3654" s="1507"/>
      <c r="G3654" s="584" t="s">
        <v>3775</v>
      </c>
      <c r="H3654" s="577">
        <v>-0.1014</v>
      </c>
      <c r="K3654" t="s">
        <v>3768</v>
      </c>
      <c r="L3654" t="s">
        <v>690</v>
      </c>
      <c r="P3654" t="s">
        <v>6725</v>
      </c>
      <c r="T3654">
        <v>46022</v>
      </c>
      <c r="V3654">
        <v>86</v>
      </c>
    </row>
    <row r="3655" spans="1:22" customFormat="1" ht="15" x14ac:dyDescent="0.25">
      <c r="A3655" t="s">
        <v>222</v>
      </c>
      <c r="E3655" s="1507" t="s">
        <v>6721</v>
      </c>
      <c r="F3655" s="1507"/>
      <c r="G3655" s="584" t="s">
        <v>3775</v>
      </c>
      <c r="H3655" s="577">
        <v>-3.5900000000000001E-2</v>
      </c>
      <c r="K3655" t="s">
        <v>3768</v>
      </c>
      <c r="L3655" t="s">
        <v>692</v>
      </c>
      <c r="P3655" t="s">
        <v>6726</v>
      </c>
      <c r="T3655">
        <v>46022</v>
      </c>
      <c r="V3655">
        <v>124</v>
      </c>
    </row>
    <row r="3656" spans="1:22" customFormat="1" ht="15" x14ac:dyDescent="0.25">
      <c r="A3656" t="s">
        <v>222</v>
      </c>
      <c r="E3656" s="1507" t="s">
        <v>243</v>
      </c>
      <c r="F3656" s="1507"/>
      <c r="G3656" s="584" t="s">
        <v>3775</v>
      </c>
      <c r="H3656" s="577">
        <v>4.4101999999999997</v>
      </c>
      <c r="K3656" t="s">
        <v>3768</v>
      </c>
      <c r="L3656" t="s">
        <v>694</v>
      </c>
      <c r="P3656" t="s">
        <v>3780</v>
      </c>
      <c r="V3656">
        <v>47</v>
      </c>
    </row>
    <row r="3657" spans="1:22" customFormat="1" ht="15" x14ac:dyDescent="0.25">
      <c r="A3657" t="s">
        <v>222</v>
      </c>
      <c r="E3657" s="1507" t="s">
        <v>4637</v>
      </c>
      <c r="F3657" s="1507"/>
      <c r="G3657" s="584" t="s">
        <v>3775</v>
      </c>
      <c r="H3657" s="577">
        <v>2.7092000000000001</v>
      </c>
      <c r="K3657" t="s">
        <v>3768</v>
      </c>
      <c r="L3657" t="s">
        <v>694</v>
      </c>
      <c r="P3657" t="s">
        <v>3781</v>
      </c>
      <c r="V3657">
        <v>104</v>
      </c>
    </row>
    <row r="3658" spans="1:22" customFormat="1" ht="15" x14ac:dyDescent="0.25">
      <c r="A3658" t="s">
        <v>222</v>
      </c>
      <c r="E3658" s="1515" t="s">
        <v>967</v>
      </c>
      <c r="F3658" s="1507"/>
      <c r="G3658" s="584"/>
      <c r="H3658" s="584"/>
      <c r="K3658" t="s">
        <v>1003</v>
      </c>
      <c r="V3658">
        <v>48</v>
      </c>
    </row>
    <row r="3659" spans="1:22" customFormat="1" ht="15" x14ac:dyDescent="0.25">
      <c r="A3659" t="s">
        <v>222</v>
      </c>
      <c r="E3659" s="1507" t="s">
        <v>844</v>
      </c>
      <c r="F3659" s="1507"/>
      <c r="G3659" s="584" t="s">
        <v>845</v>
      </c>
      <c r="H3659" s="577">
        <v>4.1000000000000003E-3</v>
      </c>
      <c r="K3659" t="s">
        <v>3768</v>
      </c>
      <c r="L3659" t="s">
        <v>968</v>
      </c>
      <c r="P3659" t="s">
        <v>3782</v>
      </c>
      <c r="V3659">
        <v>55</v>
      </c>
    </row>
    <row r="3660" spans="1:22" customFormat="1" ht="15" x14ac:dyDescent="0.25">
      <c r="A3660" t="s">
        <v>222</v>
      </c>
      <c r="E3660" s="1507" t="s">
        <v>846</v>
      </c>
      <c r="F3660" s="1507"/>
      <c r="G3660" s="584" t="s">
        <v>845</v>
      </c>
      <c r="H3660" s="577">
        <v>4.0000000000000002E-4</v>
      </c>
      <c r="K3660" t="s">
        <v>3768</v>
      </c>
      <c r="L3660" t="s">
        <v>968</v>
      </c>
      <c r="P3660" t="s">
        <v>3782</v>
      </c>
      <c r="V3660">
        <v>65</v>
      </c>
    </row>
    <row r="3661" spans="1:22" customFormat="1" ht="15" x14ac:dyDescent="0.25">
      <c r="A3661" t="s">
        <v>222</v>
      </c>
      <c r="E3661" s="1507" t="s">
        <v>847</v>
      </c>
      <c r="F3661" s="1507"/>
      <c r="G3661" s="584" t="s">
        <v>845</v>
      </c>
      <c r="H3661" s="577">
        <v>1.5E-3</v>
      </c>
      <c r="K3661" t="s">
        <v>3768</v>
      </c>
      <c r="L3661" t="s">
        <v>968</v>
      </c>
      <c r="P3661" t="s">
        <v>3783</v>
      </c>
      <c r="V3661">
        <v>57</v>
      </c>
    </row>
    <row r="3662" spans="1:22" customFormat="1" ht="15" x14ac:dyDescent="0.25">
      <c r="A3662" t="s">
        <v>222</v>
      </c>
      <c r="E3662" s="1507" t="s">
        <v>848</v>
      </c>
      <c r="F3662" s="1507"/>
      <c r="G3662" s="584" t="s">
        <v>777</v>
      </c>
      <c r="H3662" s="576">
        <v>0.25</v>
      </c>
      <c r="K3662" t="s">
        <v>3768</v>
      </c>
      <c r="L3662" t="s">
        <v>968</v>
      </c>
      <c r="P3662" t="s">
        <v>3784</v>
      </c>
      <c r="V3662">
        <v>63</v>
      </c>
    </row>
    <row r="3663" spans="1:22" customFormat="1" x14ac:dyDescent="0.25">
      <c r="A3663" t="s">
        <v>222</v>
      </c>
      <c r="E3663" s="1492" t="s">
        <v>4638</v>
      </c>
      <c r="F3663" s="1493"/>
      <c r="G3663" s="1493"/>
      <c r="H3663" s="1493"/>
      <c r="K3663" t="s">
        <v>4639</v>
      </c>
      <c r="V3663">
        <v>42</v>
      </c>
    </row>
    <row r="3664" spans="1:22" customFormat="1" ht="15" x14ac:dyDescent="0.25">
      <c r="A3664" t="s">
        <v>222</v>
      </c>
      <c r="E3664" s="1516" t="s">
        <v>4640</v>
      </c>
      <c r="F3664" s="1516"/>
      <c r="G3664" s="1516"/>
      <c r="H3664" s="1516"/>
      <c r="K3664" t="s">
        <v>4639</v>
      </c>
      <c r="V3664">
        <v>481</v>
      </c>
    </row>
    <row r="3665" spans="1:22" customFormat="1" ht="15" x14ac:dyDescent="0.25">
      <c r="A3665" t="s">
        <v>222</v>
      </c>
      <c r="E3665" s="1515" t="s">
        <v>950</v>
      </c>
      <c r="F3665" s="1516"/>
      <c r="G3665" s="1516"/>
      <c r="H3665" s="1516"/>
      <c r="K3665" t="s">
        <v>1010</v>
      </c>
      <c r="V3665">
        <v>11</v>
      </c>
    </row>
    <row r="3666" spans="1:22" customFormat="1" ht="15" x14ac:dyDescent="0.25">
      <c r="A3666" t="s">
        <v>222</v>
      </c>
      <c r="E3666" s="1516" t="s">
        <v>951</v>
      </c>
      <c r="F3666" s="1516"/>
      <c r="G3666" s="1516"/>
      <c r="H3666" s="1516"/>
      <c r="K3666" t="s">
        <v>4639</v>
      </c>
      <c r="V3666">
        <v>280</v>
      </c>
    </row>
    <row r="3667" spans="1:22" customFormat="1" ht="15" x14ac:dyDescent="0.25">
      <c r="A3667" t="s">
        <v>222</v>
      </c>
      <c r="E3667" s="1516" t="s">
        <v>952</v>
      </c>
      <c r="F3667" s="1516"/>
      <c r="G3667" s="1516"/>
      <c r="H3667" s="1516"/>
      <c r="K3667" t="s">
        <v>4639</v>
      </c>
      <c r="V3667">
        <v>411</v>
      </c>
    </row>
    <row r="3668" spans="1:22" customFormat="1" ht="15" x14ac:dyDescent="0.25">
      <c r="A3668" t="s">
        <v>222</v>
      </c>
      <c r="E3668" s="1516" t="s">
        <v>4634</v>
      </c>
      <c r="F3668" s="1516"/>
      <c r="G3668" s="1516"/>
      <c r="H3668" s="1516"/>
      <c r="K3668" t="s">
        <v>4639</v>
      </c>
      <c r="V3668">
        <v>379</v>
      </c>
    </row>
    <row r="3669" spans="1:22" customFormat="1" ht="15" x14ac:dyDescent="0.25">
      <c r="A3669" t="s">
        <v>222</v>
      </c>
      <c r="E3669" s="1516" t="s">
        <v>993</v>
      </c>
      <c r="F3669" s="1516"/>
      <c r="G3669" s="1516"/>
      <c r="H3669" s="1516"/>
      <c r="K3669" t="s">
        <v>4639</v>
      </c>
      <c r="V3669">
        <v>680</v>
      </c>
    </row>
    <row r="3670" spans="1:22" customFormat="1" ht="15" x14ac:dyDescent="0.25">
      <c r="A3670" t="s">
        <v>222</v>
      </c>
      <c r="E3670" s="1516" t="s">
        <v>3772</v>
      </c>
      <c r="F3670" s="1516"/>
      <c r="G3670" s="1516"/>
      <c r="H3670" s="1516"/>
      <c r="K3670" t="s">
        <v>4639</v>
      </c>
      <c r="V3670">
        <v>693</v>
      </c>
    </row>
    <row r="3671" spans="1:22" customFormat="1" ht="15" x14ac:dyDescent="0.25">
      <c r="A3671" t="s">
        <v>222</v>
      </c>
      <c r="E3671" s="1516" t="s">
        <v>3762</v>
      </c>
      <c r="F3671" s="1516"/>
      <c r="G3671" s="1516"/>
      <c r="H3671" s="1516"/>
      <c r="K3671" t="s">
        <v>4639</v>
      </c>
      <c r="V3671">
        <v>247</v>
      </c>
    </row>
    <row r="3672" spans="1:22" customFormat="1" ht="15" x14ac:dyDescent="0.25">
      <c r="A3672" t="s">
        <v>222</v>
      </c>
      <c r="E3672" s="1515" t="s">
        <v>956</v>
      </c>
      <c r="F3672" s="1516"/>
      <c r="G3672" s="1516"/>
      <c r="H3672" s="1516"/>
      <c r="K3672" t="s">
        <v>1011</v>
      </c>
      <c r="V3672">
        <v>46</v>
      </c>
    </row>
    <row r="3673" spans="1:22" customFormat="1" ht="15" x14ac:dyDescent="0.25">
      <c r="A3673" t="s">
        <v>222</v>
      </c>
      <c r="E3673" s="1507" t="s">
        <v>3773</v>
      </c>
      <c r="F3673" s="1507"/>
      <c r="G3673" s="584" t="s">
        <v>777</v>
      </c>
      <c r="H3673" s="576">
        <v>10690.2</v>
      </c>
      <c r="K3673" t="s">
        <v>4639</v>
      </c>
      <c r="L3673" t="s">
        <v>690</v>
      </c>
      <c r="P3673" t="s">
        <v>4641</v>
      </c>
      <c r="V3673">
        <v>14</v>
      </c>
    </row>
    <row r="3674" spans="1:22" customFormat="1" ht="15" x14ac:dyDescent="0.25">
      <c r="A3674" t="s">
        <v>222</v>
      </c>
      <c r="E3674" s="1507" t="s">
        <v>3688</v>
      </c>
      <c r="F3674" s="1507"/>
      <c r="G3674" s="584" t="s">
        <v>3775</v>
      </c>
      <c r="H3674" s="577">
        <v>3.1720000000000002</v>
      </c>
      <c r="K3674" t="s">
        <v>4639</v>
      </c>
      <c r="L3674" t="s">
        <v>690</v>
      </c>
      <c r="P3674" t="s">
        <v>4642</v>
      </c>
      <c r="V3674">
        <v>28</v>
      </c>
    </row>
    <row r="3675" spans="1:22" customFormat="1" ht="15" x14ac:dyDescent="0.25">
      <c r="A3675" t="s">
        <v>222</v>
      </c>
      <c r="E3675" s="1507" t="s">
        <v>6519</v>
      </c>
      <c r="F3675" s="1510"/>
      <c r="G3675" s="584" t="s">
        <v>845</v>
      </c>
      <c r="H3675" s="577">
        <v>2.3999999999999998E-3</v>
      </c>
      <c r="K3675" t="s">
        <v>4639</v>
      </c>
      <c r="L3675" t="s">
        <v>692</v>
      </c>
      <c r="P3675" t="s">
        <v>4643</v>
      </c>
      <c r="T3675">
        <v>46022</v>
      </c>
      <c r="V3675">
        <v>142</v>
      </c>
    </row>
    <row r="3676" spans="1:22" customFormat="1" ht="15" x14ac:dyDescent="0.25">
      <c r="A3676" t="s">
        <v>222</v>
      </c>
      <c r="E3676" s="1507" t="s">
        <v>6525</v>
      </c>
      <c r="F3676" s="1510"/>
      <c r="G3676" s="584" t="s">
        <v>3775</v>
      </c>
      <c r="H3676" s="577">
        <v>-0.45069999999999999</v>
      </c>
      <c r="K3676" t="s">
        <v>4639</v>
      </c>
      <c r="L3676" t="s">
        <v>692</v>
      </c>
      <c r="P3676" t="s">
        <v>4644</v>
      </c>
      <c r="T3676">
        <v>46022</v>
      </c>
      <c r="V3676">
        <v>159</v>
      </c>
    </row>
    <row r="3677" spans="1:22" customFormat="1" ht="15" x14ac:dyDescent="0.25">
      <c r="A3677" t="s">
        <v>222</v>
      </c>
      <c r="E3677" s="1507" t="s">
        <v>6520</v>
      </c>
      <c r="F3677" s="1510"/>
      <c r="G3677" s="584" t="s">
        <v>3775</v>
      </c>
      <c r="H3677" s="577">
        <v>0.98370000000000002</v>
      </c>
      <c r="K3677" t="s">
        <v>4639</v>
      </c>
      <c r="L3677" t="s">
        <v>692</v>
      </c>
      <c r="P3677" t="s">
        <v>4644</v>
      </c>
      <c r="T3677">
        <v>46022</v>
      </c>
      <c r="V3677">
        <v>99</v>
      </c>
    </row>
    <row r="3678" spans="1:22" customFormat="1" ht="15" x14ac:dyDescent="0.25">
      <c r="A3678" t="s">
        <v>222</v>
      </c>
      <c r="E3678" s="1507" t="s">
        <v>6513</v>
      </c>
      <c r="F3678" s="1507"/>
      <c r="G3678" s="584" t="s">
        <v>3775</v>
      </c>
      <c r="H3678" s="577">
        <v>0.67910000000000004</v>
      </c>
      <c r="K3678" t="s">
        <v>4639</v>
      </c>
      <c r="L3678" t="s">
        <v>690</v>
      </c>
      <c r="P3678" t="s">
        <v>6727</v>
      </c>
      <c r="T3678">
        <v>46022</v>
      </c>
      <c r="V3678">
        <v>86</v>
      </c>
    </row>
    <row r="3679" spans="1:22" customFormat="1" ht="15" x14ac:dyDescent="0.25">
      <c r="A3679" t="s">
        <v>222</v>
      </c>
      <c r="E3679" s="1507" t="s">
        <v>6721</v>
      </c>
      <c r="F3679" s="1507"/>
      <c r="G3679" s="584" t="s">
        <v>3775</v>
      </c>
      <c r="H3679" s="577">
        <v>-2.1899999999999999E-2</v>
      </c>
      <c r="K3679" t="s">
        <v>4639</v>
      </c>
      <c r="L3679" t="s">
        <v>692</v>
      </c>
      <c r="P3679" t="s">
        <v>6728</v>
      </c>
      <c r="T3679">
        <v>46022</v>
      </c>
      <c r="V3679">
        <v>124</v>
      </c>
    </row>
    <row r="3680" spans="1:22" customFormat="1" ht="15" x14ac:dyDescent="0.25">
      <c r="A3680" t="s">
        <v>222</v>
      </c>
      <c r="E3680" s="1507" t="s">
        <v>243</v>
      </c>
      <c r="F3680" s="1507"/>
      <c r="G3680" s="584" t="s">
        <v>3775</v>
      </c>
      <c r="H3680" s="577">
        <v>6.0690999999999997</v>
      </c>
      <c r="K3680" t="s">
        <v>4639</v>
      </c>
      <c r="L3680" t="s">
        <v>694</v>
      </c>
      <c r="P3680" t="s">
        <v>4645</v>
      </c>
      <c r="V3680">
        <v>47</v>
      </c>
    </row>
    <row r="3681" spans="1:22" customFormat="1" ht="15" x14ac:dyDescent="0.25">
      <c r="A3681" t="s">
        <v>222</v>
      </c>
      <c r="E3681" s="1507" t="s">
        <v>4646</v>
      </c>
      <c r="F3681" s="1507"/>
      <c r="G3681" s="584" t="s">
        <v>3775</v>
      </c>
      <c r="H3681" s="577">
        <v>1.0810999999999999</v>
      </c>
      <c r="K3681" t="s">
        <v>4639</v>
      </c>
      <c r="L3681" t="s">
        <v>694</v>
      </c>
      <c r="P3681" t="s">
        <v>4647</v>
      </c>
      <c r="V3681">
        <v>85</v>
      </c>
    </row>
    <row r="3682" spans="1:22" customFormat="1" ht="15" x14ac:dyDescent="0.25">
      <c r="A3682" t="s">
        <v>222</v>
      </c>
      <c r="E3682" s="1507" t="s">
        <v>4648</v>
      </c>
      <c r="F3682" s="1507"/>
      <c r="G3682" s="584" t="s">
        <v>3775</v>
      </c>
      <c r="H3682" s="577">
        <v>2.6919</v>
      </c>
      <c r="K3682" t="s">
        <v>4639</v>
      </c>
      <c r="L3682" t="s">
        <v>694</v>
      </c>
      <c r="P3682" t="s">
        <v>4649</v>
      </c>
      <c r="V3682">
        <v>96</v>
      </c>
    </row>
    <row r="3683" spans="1:22" customFormat="1" ht="15" x14ac:dyDescent="0.25">
      <c r="A3683" t="s">
        <v>222</v>
      </c>
      <c r="E3683" s="1515" t="s">
        <v>967</v>
      </c>
      <c r="F3683" s="1507"/>
      <c r="G3683" s="584"/>
      <c r="H3683" s="584"/>
      <c r="K3683" t="s">
        <v>1019</v>
      </c>
      <c r="V3683">
        <v>48</v>
      </c>
    </row>
    <row r="3684" spans="1:22" customFormat="1" ht="15" x14ac:dyDescent="0.25">
      <c r="A3684" t="s">
        <v>222</v>
      </c>
      <c r="E3684" s="1507" t="s">
        <v>844</v>
      </c>
      <c r="F3684" s="1507"/>
      <c r="G3684" s="584" t="s">
        <v>845</v>
      </c>
      <c r="H3684" s="577">
        <v>4.1000000000000003E-3</v>
      </c>
      <c r="K3684" t="s">
        <v>4639</v>
      </c>
      <c r="L3684" t="s">
        <v>968</v>
      </c>
      <c r="P3684" t="s">
        <v>4650</v>
      </c>
      <c r="V3684">
        <v>55</v>
      </c>
    </row>
    <row r="3685" spans="1:22" customFormat="1" ht="15" x14ac:dyDescent="0.25">
      <c r="A3685" t="s">
        <v>222</v>
      </c>
      <c r="E3685" s="1507" t="s">
        <v>846</v>
      </c>
      <c r="F3685" s="1507"/>
      <c r="G3685" s="584" t="s">
        <v>845</v>
      </c>
      <c r="H3685" s="577">
        <v>4.0000000000000002E-4</v>
      </c>
      <c r="K3685" t="s">
        <v>4639</v>
      </c>
      <c r="L3685" t="s">
        <v>968</v>
      </c>
      <c r="P3685" t="s">
        <v>4650</v>
      </c>
      <c r="V3685">
        <v>65</v>
      </c>
    </row>
    <row r="3686" spans="1:22" customFormat="1" ht="15" x14ac:dyDescent="0.25">
      <c r="A3686" t="s">
        <v>222</v>
      </c>
      <c r="E3686" s="1507" t="s">
        <v>847</v>
      </c>
      <c r="F3686" s="1507"/>
      <c r="G3686" s="584" t="s">
        <v>845</v>
      </c>
      <c r="H3686" s="577">
        <v>1.5E-3</v>
      </c>
      <c r="K3686" t="s">
        <v>4639</v>
      </c>
      <c r="L3686" t="s">
        <v>968</v>
      </c>
      <c r="P3686" t="s">
        <v>4651</v>
      </c>
      <c r="V3686">
        <v>57</v>
      </c>
    </row>
    <row r="3687" spans="1:22" customFormat="1" ht="15" x14ac:dyDescent="0.25">
      <c r="A3687" t="s">
        <v>222</v>
      </c>
      <c r="E3687" s="1507" t="s">
        <v>848</v>
      </c>
      <c r="F3687" s="1507"/>
      <c r="G3687" s="584" t="s">
        <v>777</v>
      </c>
      <c r="H3687" s="576">
        <v>0.25</v>
      </c>
      <c r="K3687" t="s">
        <v>4639</v>
      </c>
      <c r="L3687" t="s">
        <v>968</v>
      </c>
      <c r="P3687" t="s">
        <v>4652</v>
      </c>
      <c r="V3687">
        <v>63</v>
      </c>
    </row>
    <row r="3688" spans="1:22" customFormat="1" ht="15" x14ac:dyDescent="0.25">
      <c r="A3688" t="s">
        <v>222</v>
      </c>
      <c r="E3688" s="1492" t="s">
        <v>4653</v>
      </c>
      <c r="F3688" s="1516"/>
      <c r="G3688" s="1516"/>
      <c r="H3688" s="1516"/>
      <c r="K3688" t="s">
        <v>4639</v>
      </c>
      <c r="V3688">
        <v>52</v>
      </c>
    </row>
    <row r="3689" spans="1:22" customFormat="1" ht="15" x14ac:dyDescent="0.25">
      <c r="A3689" t="s">
        <v>222</v>
      </c>
      <c r="E3689" s="1516" t="s">
        <v>4654</v>
      </c>
      <c r="F3689" s="1516"/>
      <c r="G3689" s="1516"/>
      <c r="H3689" s="1516"/>
      <c r="K3689" t="s">
        <v>4639</v>
      </c>
      <c r="V3689">
        <v>265</v>
      </c>
    </row>
    <row r="3690" spans="1:22" customFormat="1" ht="15" x14ac:dyDescent="0.25">
      <c r="A3690" t="s">
        <v>222</v>
      </c>
      <c r="E3690" s="1515" t="s">
        <v>950</v>
      </c>
      <c r="F3690" s="1516"/>
      <c r="G3690" s="1516"/>
      <c r="H3690" s="1516"/>
      <c r="K3690" t="s">
        <v>1010</v>
      </c>
      <c r="V3690">
        <v>11</v>
      </c>
    </row>
    <row r="3691" spans="1:22" customFormat="1" ht="15" x14ac:dyDescent="0.25">
      <c r="A3691" t="s">
        <v>222</v>
      </c>
      <c r="E3691" s="1516" t="s">
        <v>951</v>
      </c>
      <c r="F3691" s="1516"/>
      <c r="G3691" s="1516"/>
      <c r="H3691" s="1516"/>
      <c r="K3691" t="s">
        <v>4639</v>
      </c>
      <c r="V3691">
        <v>280</v>
      </c>
    </row>
    <row r="3692" spans="1:22" customFormat="1" ht="15" x14ac:dyDescent="0.25">
      <c r="A3692" t="s">
        <v>222</v>
      </c>
      <c r="E3692" s="1516" t="s">
        <v>952</v>
      </c>
      <c r="F3692" s="1516"/>
      <c r="G3692" s="1516"/>
      <c r="H3692" s="1516"/>
      <c r="K3692" t="s">
        <v>4639</v>
      </c>
      <c r="V3692">
        <v>411</v>
      </c>
    </row>
    <row r="3693" spans="1:22" customFormat="1" ht="15" x14ac:dyDescent="0.25">
      <c r="A3693" t="s">
        <v>222</v>
      </c>
      <c r="E3693" s="1516" t="s">
        <v>4634</v>
      </c>
      <c r="F3693" s="1516"/>
      <c r="G3693" s="1516"/>
      <c r="H3693" s="1516"/>
      <c r="K3693" t="s">
        <v>4639</v>
      </c>
      <c r="V3693">
        <v>379</v>
      </c>
    </row>
    <row r="3694" spans="1:22" customFormat="1" ht="15" x14ac:dyDescent="0.25">
      <c r="A3694" t="s">
        <v>222</v>
      </c>
      <c r="E3694" s="1516" t="s">
        <v>993</v>
      </c>
      <c r="F3694" s="1516"/>
      <c r="G3694" s="1516"/>
      <c r="H3694" s="1516"/>
      <c r="K3694" t="s">
        <v>4639</v>
      </c>
      <c r="V3694">
        <v>680</v>
      </c>
    </row>
    <row r="3695" spans="1:22" customFormat="1" ht="15" x14ac:dyDescent="0.25">
      <c r="A3695" t="s">
        <v>222</v>
      </c>
      <c r="E3695" s="1516" t="s">
        <v>3762</v>
      </c>
      <c r="F3695" s="1516"/>
      <c r="G3695" s="1516"/>
      <c r="H3695" s="1516"/>
      <c r="K3695" t="s">
        <v>4639</v>
      </c>
      <c r="V3695">
        <v>247</v>
      </c>
    </row>
    <row r="3696" spans="1:22" customFormat="1" ht="15" x14ac:dyDescent="0.25">
      <c r="A3696" t="s">
        <v>222</v>
      </c>
      <c r="E3696" s="1515" t="s">
        <v>956</v>
      </c>
      <c r="F3696" s="1516"/>
      <c r="G3696" s="1516"/>
      <c r="H3696" s="1516"/>
      <c r="K3696" t="s">
        <v>1011</v>
      </c>
      <c r="V3696">
        <v>46</v>
      </c>
    </row>
    <row r="3697" spans="1:22" customFormat="1" ht="15" x14ac:dyDescent="0.25">
      <c r="A3697" t="s">
        <v>222</v>
      </c>
      <c r="E3697" s="1507" t="s">
        <v>3773</v>
      </c>
      <c r="F3697" s="1507"/>
      <c r="G3697" s="584" t="s">
        <v>777</v>
      </c>
      <c r="H3697" s="576">
        <v>45370.78</v>
      </c>
      <c r="K3697" t="s">
        <v>4639</v>
      </c>
      <c r="L3697" t="s">
        <v>690</v>
      </c>
      <c r="P3697" t="s">
        <v>4641</v>
      </c>
      <c r="V3697">
        <v>14</v>
      </c>
    </row>
    <row r="3698" spans="1:22" customFormat="1" ht="15" x14ac:dyDescent="0.25">
      <c r="A3698" t="s">
        <v>222</v>
      </c>
      <c r="E3698" s="1507" t="s">
        <v>3688</v>
      </c>
      <c r="F3698" s="1507"/>
      <c r="G3698" s="584" t="s">
        <v>3775</v>
      </c>
      <c r="H3698" s="577">
        <v>4.3179999999999996</v>
      </c>
      <c r="K3698" t="s">
        <v>4639</v>
      </c>
      <c r="L3698" t="s">
        <v>690</v>
      </c>
      <c r="P3698" t="s">
        <v>4642</v>
      </c>
      <c r="V3698">
        <v>28</v>
      </c>
    </row>
    <row r="3699" spans="1:22" customFormat="1" ht="15" x14ac:dyDescent="0.25">
      <c r="A3699" t="s">
        <v>222</v>
      </c>
      <c r="E3699" s="1507" t="s">
        <v>6525</v>
      </c>
      <c r="F3699" s="1510"/>
      <c r="G3699" s="584" t="s">
        <v>3775</v>
      </c>
      <c r="H3699" s="577">
        <v>-0.49009999999999998</v>
      </c>
      <c r="K3699" t="s">
        <v>4639</v>
      </c>
      <c r="L3699" t="s">
        <v>692</v>
      </c>
      <c r="P3699" t="s">
        <v>4644</v>
      </c>
      <c r="T3699">
        <v>46022</v>
      </c>
      <c r="V3699">
        <v>159</v>
      </c>
    </row>
    <row r="3700" spans="1:22" customFormat="1" ht="15" x14ac:dyDescent="0.25">
      <c r="A3700" t="s">
        <v>222</v>
      </c>
      <c r="E3700" s="1507" t="s">
        <v>6520</v>
      </c>
      <c r="F3700" s="1510"/>
      <c r="G3700" s="584" t="s">
        <v>3775</v>
      </c>
      <c r="H3700" s="577">
        <v>1.0467</v>
      </c>
      <c r="K3700" t="s">
        <v>4639</v>
      </c>
      <c r="L3700" t="s">
        <v>692</v>
      </c>
      <c r="P3700" t="s">
        <v>4644</v>
      </c>
      <c r="T3700">
        <v>46022</v>
      </c>
      <c r="V3700">
        <v>99</v>
      </c>
    </row>
    <row r="3701" spans="1:22" customFormat="1" ht="15" x14ac:dyDescent="0.25">
      <c r="A3701" t="s">
        <v>222</v>
      </c>
      <c r="E3701" s="1507" t="s">
        <v>6513</v>
      </c>
      <c r="F3701" s="1507"/>
      <c r="G3701" s="584" t="s">
        <v>3775</v>
      </c>
      <c r="H3701" s="577">
        <v>-0.1047</v>
      </c>
      <c r="K3701" t="s">
        <v>4639</v>
      </c>
      <c r="L3701" t="s">
        <v>690</v>
      </c>
      <c r="P3701" t="s">
        <v>6729</v>
      </c>
      <c r="T3701">
        <v>46022</v>
      </c>
      <c r="V3701">
        <v>86</v>
      </c>
    </row>
    <row r="3702" spans="1:22" customFormat="1" ht="15" x14ac:dyDescent="0.25">
      <c r="A3702" t="s">
        <v>222</v>
      </c>
      <c r="E3702" s="1507" t="s">
        <v>6721</v>
      </c>
      <c r="F3702" s="1507"/>
      <c r="G3702" s="584" t="s">
        <v>3775</v>
      </c>
      <c r="H3702" s="577">
        <v>-4.7500000000000001E-2</v>
      </c>
      <c r="K3702" t="s">
        <v>4639</v>
      </c>
      <c r="L3702" t="s">
        <v>692</v>
      </c>
      <c r="P3702" t="s">
        <v>6730</v>
      </c>
      <c r="T3702">
        <v>46022</v>
      </c>
      <c r="V3702">
        <v>124</v>
      </c>
    </row>
    <row r="3703" spans="1:22" customFormat="1" ht="15" x14ac:dyDescent="0.25">
      <c r="A3703" t="s">
        <v>222</v>
      </c>
      <c r="E3703" s="1507" t="s">
        <v>243</v>
      </c>
      <c r="F3703" s="1507"/>
      <c r="G3703" s="584" t="s">
        <v>3775</v>
      </c>
      <c r="H3703" s="577">
        <v>6.0690999999999997</v>
      </c>
      <c r="K3703" t="s">
        <v>4639</v>
      </c>
      <c r="L3703" t="s">
        <v>694</v>
      </c>
      <c r="P3703" t="s">
        <v>4645</v>
      </c>
      <c r="V3703">
        <v>47</v>
      </c>
    </row>
    <row r="3704" spans="1:22" customFormat="1" ht="15" x14ac:dyDescent="0.25">
      <c r="A3704" t="s">
        <v>222</v>
      </c>
      <c r="E3704" s="1507" t="s">
        <v>4646</v>
      </c>
      <c r="F3704" s="1507"/>
      <c r="G3704" s="584" t="s">
        <v>3775</v>
      </c>
      <c r="H3704" s="577">
        <v>1.0810999999999999</v>
      </c>
      <c r="K3704" t="s">
        <v>4639</v>
      </c>
      <c r="L3704" t="s">
        <v>694</v>
      </c>
      <c r="P3704" t="s">
        <v>4647</v>
      </c>
      <c r="V3704">
        <v>85</v>
      </c>
    </row>
    <row r="3705" spans="1:22" customFormat="1" ht="15" x14ac:dyDescent="0.25">
      <c r="A3705" t="s">
        <v>222</v>
      </c>
      <c r="E3705" s="1515" t="s">
        <v>967</v>
      </c>
      <c r="F3705" s="1507"/>
      <c r="G3705" s="584"/>
      <c r="H3705" s="584"/>
      <c r="K3705" t="s">
        <v>1019</v>
      </c>
      <c r="V3705">
        <v>48</v>
      </c>
    </row>
    <row r="3706" spans="1:22" customFormat="1" ht="15" x14ac:dyDescent="0.25">
      <c r="A3706" t="s">
        <v>222</v>
      </c>
      <c r="E3706" s="1507" t="s">
        <v>844</v>
      </c>
      <c r="F3706" s="1507"/>
      <c r="G3706" s="584" t="s">
        <v>845</v>
      </c>
      <c r="H3706" s="577">
        <v>4.1000000000000003E-3</v>
      </c>
      <c r="K3706" t="s">
        <v>4639</v>
      </c>
      <c r="L3706" t="s">
        <v>968</v>
      </c>
      <c r="P3706" t="s">
        <v>4650</v>
      </c>
      <c r="V3706">
        <v>55</v>
      </c>
    </row>
    <row r="3707" spans="1:22" customFormat="1" ht="15" x14ac:dyDescent="0.25">
      <c r="A3707" t="s">
        <v>222</v>
      </c>
      <c r="E3707" s="1507" t="s">
        <v>846</v>
      </c>
      <c r="F3707" s="1507"/>
      <c r="G3707" s="584" t="s">
        <v>845</v>
      </c>
      <c r="H3707" s="577">
        <v>4.0000000000000002E-4</v>
      </c>
      <c r="K3707" t="s">
        <v>4639</v>
      </c>
      <c r="L3707" t="s">
        <v>968</v>
      </c>
      <c r="P3707" t="s">
        <v>4650</v>
      </c>
      <c r="V3707">
        <v>65</v>
      </c>
    </row>
    <row r="3708" spans="1:22" customFormat="1" ht="15" x14ac:dyDescent="0.25">
      <c r="A3708" t="s">
        <v>222</v>
      </c>
      <c r="E3708" s="1507" t="s">
        <v>847</v>
      </c>
      <c r="F3708" s="1507"/>
      <c r="G3708" s="584" t="s">
        <v>845</v>
      </c>
      <c r="H3708" s="577">
        <v>1.5E-3</v>
      </c>
      <c r="K3708" t="s">
        <v>4639</v>
      </c>
      <c r="L3708" t="s">
        <v>968</v>
      </c>
      <c r="P3708" t="s">
        <v>4651</v>
      </c>
      <c r="V3708">
        <v>57</v>
      </c>
    </row>
    <row r="3709" spans="1:22" customFormat="1" ht="15" x14ac:dyDescent="0.25">
      <c r="A3709" t="s">
        <v>222</v>
      </c>
      <c r="E3709" s="1507" t="s">
        <v>848</v>
      </c>
      <c r="F3709" s="1507"/>
      <c r="G3709" s="584" t="s">
        <v>777</v>
      </c>
      <c r="H3709" s="576">
        <v>0.25</v>
      </c>
      <c r="K3709" t="s">
        <v>4639</v>
      </c>
      <c r="L3709" t="s">
        <v>968</v>
      </c>
      <c r="P3709" t="s">
        <v>4652</v>
      </c>
      <c r="V3709">
        <v>63</v>
      </c>
    </row>
    <row r="3710" spans="1:22" customFormat="1" x14ac:dyDescent="0.25">
      <c r="A3710" t="s">
        <v>222</v>
      </c>
      <c r="E3710" s="1492" t="s">
        <v>194</v>
      </c>
      <c r="F3710" s="1493"/>
      <c r="G3710" s="1493"/>
      <c r="H3710" s="1493"/>
      <c r="K3710" t="s">
        <v>1023</v>
      </c>
      <c r="V3710">
        <v>47</v>
      </c>
    </row>
    <row r="3711" spans="1:22" customFormat="1" ht="15" x14ac:dyDescent="0.25">
      <c r="A3711" t="s">
        <v>222</v>
      </c>
      <c r="E3711" s="1516" t="s">
        <v>4655</v>
      </c>
      <c r="F3711" s="1516"/>
      <c r="G3711" s="1516"/>
      <c r="H3711" s="1516"/>
      <c r="K3711" t="s">
        <v>1023</v>
      </c>
      <c r="V3711">
        <v>472</v>
      </c>
    </row>
    <row r="3712" spans="1:22" customFormat="1" ht="15" x14ac:dyDescent="0.25">
      <c r="A3712" t="s">
        <v>222</v>
      </c>
      <c r="E3712" s="1515" t="s">
        <v>950</v>
      </c>
      <c r="F3712" s="1516"/>
      <c r="G3712" s="1516"/>
      <c r="H3712" s="1516"/>
      <c r="K3712" t="s">
        <v>1025</v>
      </c>
      <c r="V3712">
        <v>11</v>
      </c>
    </row>
    <row r="3713" spans="1:22" customFormat="1" ht="15" x14ac:dyDescent="0.25">
      <c r="A3713" t="s">
        <v>222</v>
      </c>
      <c r="E3713" s="1516" t="s">
        <v>951</v>
      </c>
      <c r="F3713" s="1516"/>
      <c r="G3713" s="1516"/>
      <c r="H3713" s="1516"/>
      <c r="K3713" t="s">
        <v>1023</v>
      </c>
      <c r="V3713">
        <v>280</v>
      </c>
    </row>
    <row r="3714" spans="1:22" customFormat="1" ht="15" x14ac:dyDescent="0.25">
      <c r="A3714" t="s">
        <v>222</v>
      </c>
      <c r="E3714" s="1516" t="s">
        <v>952</v>
      </c>
      <c r="F3714" s="1516"/>
      <c r="G3714" s="1516"/>
      <c r="H3714" s="1516"/>
      <c r="K3714" t="s">
        <v>1023</v>
      </c>
      <c r="V3714">
        <v>411</v>
      </c>
    </row>
    <row r="3715" spans="1:22" customFormat="1" ht="15" x14ac:dyDescent="0.25">
      <c r="A3715" t="s">
        <v>222</v>
      </c>
      <c r="E3715" s="1516" t="s">
        <v>4634</v>
      </c>
      <c r="F3715" s="1516"/>
      <c r="G3715" s="1516"/>
      <c r="H3715" s="1516"/>
      <c r="K3715" t="s">
        <v>1023</v>
      </c>
      <c r="V3715">
        <v>379</v>
      </c>
    </row>
    <row r="3716" spans="1:22" customFormat="1" ht="15" x14ac:dyDescent="0.25">
      <c r="A3716" t="s">
        <v>222</v>
      </c>
      <c r="E3716" s="1516" t="s">
        <v>3762</v>
      </c>
      <c r="F3716" s="1516"/>
      <c r="G3716" s="1516"/>
      <c r="H3716" s="1516"/>
      <c r="K3716" t="s">
        <v>1023</v>
      </c>
      <c r="V3716">
        <v>247</v>
      </c>
    </row>
    <row r="3717" spans="1:22" customFormat="1" ht="15" x14ac:dyDescent="0.25">
      <c r="A3717" t="s">
        <v>222</v>
      </c>
      <c r="E3717" s="1515" t="s">
        <v>956</v>
      </c>
      <c r="F3717" s="1516"/>
      <c r="G3717" s="1516"/>
      <c r="H3717" s="1516"/>
      <c r="K3717" t="s">
        <v>1026</v>
      </c>
      <c r="V3717">
        <v>46</v>
      </c>
    </row>
    <row r="3718" spans="1:22" customFormat="1" ht="15" x14ac:dyDescent="0.25">
      <c r="A3718" t="s">
        <v>222</v>
      </c>
      <c r="E3718" s="1507" t="s">
        <v>3874</v>
      </c>
      <c r="F3718" s="1507"/>
      <c r="G3718" s="584" t="s">
        <v>777</v>
      </c>
      <c r="H3718" s="576">
        <v>13.08</v>
      </c>
      <c r="K3718" t="s">
        <v>1023</v>
      </c>
      <c r="L3718" t="s">
        <v>690</v>
      </c>
      <c r="P3718" t="s">
        <v>1027</v>
      </c>
      <c r="V3718">
        <v>31</v>
      </c>
    </row>
    <row r="3719" spans="1:22" customFormat="1" ht="15" x14ac:dyDescent="0.25">
      <c r="A3719" t="s">
        <v>222</v>
      </c>
      <c r="E3719" s="1507" t="s">
        <v>6731</v>
      </c>
      <c r="F3719" s="1507"/>
      <c r="G3719" s="584" t="s">
        <v>777</v>
      </c>
      <c r="H3719" s="576">
        <v>-0.06</v>
      </c>
      <c r="K3719" t="s">
        <v>1023</v>
      </c>
      <c r="L3719" t="s">
        <v>692</v>
      </c>
      <c r="P3719" t="s">
        <v>6732</v>
      </c>
      <c r="T3719">
        <v>46022</v>
      </c>
      <c r="V3719">
        <v>139</v>
      </c>
    </row>
    <row r="3720" spans="1:22" customFormat="1" ht="15" x14ac:dyDescent="0.25">
      <c r="A3720" t="s">
        <v>222</v>
      </c>
      <c r="E3720" s="1507" t="s">
        <v>6733</v>
      </c>
      <c r="F3720" s="1507"/>
      <c r="G3720" s="584" t="s">
        <v>777</v>
      </c>
      <c r="H3720" s="576">
        <v>0.26</v>
      </c>
      <c r="K3720" t="s">
        <v>1023</v>
      </c>
      <c r="L3720" t="s">
        <v>692</v>
      </c>
      <c r="P3720" t="s">
        <v>6734</v>
      </c>
      <c r="T3720">
        <v>46022</v>
      </c>
      <c r="V3720">
        <v>117</v>
      </c>
    </row>
    <row r="3721" spans="1:22" customFormat="1" ht="15" x14ac:dyDescent="0.25">
      <c r="A3721" t="s">
        <v>222</v>
      </c>
      <c r="E3721" s="1507" t="s">
        <v>6519</v>
      </c>
      <c r="F3721" s="1510"/>
      <c r="G3721" s="584" t="s">
        <v>845</v>
      </c>
      <c r="H3721" s="577">
        <v>2.3999999999999998E-3</v>
      </c>
      <c r="K3721" t="s">
        <v>1023</v>
      </c>
      <c r="L3721" t="s">
        <v>692</v>
      </c>
      <c r="P3721" t="s">
        <v>1031</v>
      </c>
      <c r="T3721">
        <v>46022</v>
      </c>
      <c r="V3721">
        <v>142</v>
      </c>
    </row>
    <row r="3722" spans="1:22" customFormat="1" ht="15" x14ac:dyDescent="0.25">
      <c r="A3722" t="s">
        <v>222</v>
      </c>
      <c r="E3722" s="1507" t="s">
        <v>243</v>
      </c>
      <c r="F3722" s="1507"/>
      <c r="G3722" s="584" t="s">
        <v>845</v>
      </c>
      <c r="H3722" s="577">
        <v>1.3100000000000001E-2</v>
      </c>
      <c r="K3722" t="s">
        <v>1023</v>
      </c>
      <c r="L3722" t="s">
        <v>694</v>
      </c>
      <c r="P3722" t="s">
        <v>1033</v>
      </c>
      <c r="V3722">
        <v>47</v>
      </c>
    </row>
    <row r="3723" spans="1:22" customFormat="1" ht="15" x14ac:dyDescent="0.25">
      <c r="A3723" t="s">
        <v>222</v>
      </c>
      <c r="E3723" s="1507" t="s">
        <v>175</v>
      </c>
      <c r="F3723" s="1507"/>
      <c r="G3723" s="584" t="s">
        <v>845</v>
      </c>
      <c r="H3723" s="577">
        <v>7.9000000000000008E-3</v>
      </c>
      <c r="K3723" t="s">
        <v>1023</v>
      </c>
      <c r="L3723" t="s">
        <v>694</v>
      </c>
      <c r="P3723" t="s">
        <v>1034</v>
      </c>
      <c r="V3723">
        <v>74</v>
      </c>
    </row>
    <row r="3724" spans="1:22" customFormat="1" ht="15" x14ac:dyDescent="0.25">
      <c r="A3724" t="s">
        <v>222</v>
      </c>
      <c r="E3724" s="1515" t="s">
        <v>967</v>
      </c>
      <c r="F3724" s="1507"/>
      <c r="G3724" s="584"/>
      <c r="H3724" s="584"/>
      <c r="K3724" t="s">
        <v>1035</v>
      </c>
      <c r="V3724">
        <v>48</v>
      </c>
    </row>
    <row r="3725" spans="1:22" customFormat="1" ht="15" x14ac:dyDescent="0.25">
      <c r="A3725" t="s">
        <v>222</v>
      </c>
      <c r="E3725" s="1507" t="s">
        <v>844</v>
      </c>
      <c r="F3725" s="1507"/>
      <c r="G3725" s="584" t="s">
        <v>845</v>
      </c>
      <c r="H3725" s="577">
        <v>4.1000000000000003E-3</v>
      </c>
      <c r="K3725" t="s">
        <v>1023</v>
      </c>
      <c r="L3725" t="s">
        <v>968</v>
      </c>
      <c r="P3725" t="s">
        <v>1036</v>
      </c>
      <c r="V3725">
        <v>55</v>
      </c>
    </row>
    <row r="3726" spans="1:22" customFormat="1" ht="15" x14ac:dyDescent="0.25">
      <c r="A3726" t="s">
        <v>222</v>
      </c>
      <c r="E3726" s="1507" t="s">
        <v>846</v>
      </c>
      <c r="F3726" s="1507"/>
      <c r="G3726" s="584" t="s">
        <v>845</v>
      </c>
      <c r="H3726" s="577">
        <v>4.0000000000000002E-4</v>
      </c>
      <c r="K3726" t="s">
        <v>1023</v>
      </c>
      <c r="L3726" t="s">
        <v>968</v>
      </c>
      <c r="P3726" t="s">
        <v>1036</v>
      </c>
      <c r="V3726">
        <v>65</v>
      </c>
    </row>
    <row r="3727" spans="1:22" customFormat="1" ht="15" x14ac:dyDescent="0.25">
      <c r="A3727" t="s">
        <v>222</v>
      </c>
      <c r="E3727" s="1507" t="s">
        <v>847</v>
      </c>
      <c r="F3727" s="1507"/>
      <c r="G3727" s="584" t="s">
        <v>845</v>
      </c>
      <c r="H3727" s="577">
        <v>1.5E-3</v>
      </c>
      <c r="K3727" t="s">
        <v>1023</v>
      </c>
      <c r="L3727" t="s">
        <v>968</v>
      </c>
      <c r="P3727" t="s">
        <v>1037</v>
      </c>
      <c r="V3727">
        <v>57</v>
      </c>
    </row>
    <row r="3728" spans="1:22" customFormat="1" ht="15" x14ac:dyDescent="0.25">
      <c r="A3728" t="s">
        <v>222</v>
      </c>
      <c r="E3728" s="1507" t="s">
        <v>848</v>
      </c>
      <c r="F3728" s="1507"/>
      <c r="G3728" s="584" t="s">
        <v>777</v>
      </c>
      <c r="H3728" s="576">
        <v>0.25</v>
      </c>
      <c r="K3728" t="s">
        <v>1023</v>
      </c>
      <c r="L3728" t="s">
        <v>968</v>
      </c>
      <c r="P3728" t="s">
        <v>1038</v>
      </c>
      <c r="V3728">
        <v>63</v>
      </c>
    </row>
    <row r="3729" spans="1:22" customFormat="1" x14ac:dyDescent="0.25">
      <c r="A3729" t="s">
        <v>222</v>
      </c>
      <c r="E3729" s="1492" t="s">
        <v>198</v>
      </c>
      <c r="F3729" s="1493"/>
      <c r="G3729" s="1493"/>
      <c r="H3729" s="1493"/>
      <c r="K3729" t="s">
        <v>1039</v>
      </c>
      <c r="V3729">
        <v>40</v>
      </c>
    </row>
    <row r="3730" spans="1:22" customFormat="1" ht="15" x14ac:dyDescent="0.25">
      <c r="A3730" t="s">
        <v>222</v>
      </c>
      <c r="E3730" s="1516" t="s">
        <v>4656</v>
      </c>
      <c r="F3730" s="1516"/>
      <c r="G3730" s="1516"/>
      <c r="H3730" s="1516"/>
      <c r="K3730" t="s">
        <v>1039</v>
      </c>
      <c r="V3730">
        <v>268</v>
      </c>
    </row>
    <row r="3731" spans="1:22" customFormat="1" ht="15" x14ac:dyDescent="0.25">
      <c r="A3731" t="s">
        <v>222</v>
      </c>
      <c r="E3731" s="1515" t="s">
        <v>950</v>
      </c>
      <c r="F3731" s="1516"/>
      <c r="G3731" s="1516"/>
      <c r="H3731" s="1516"/>
      <c r="K3731" t="s">
        <v>1041</v>
      </c>
      <c r="V3731">
        <v>11</v>
      </c>
    </row>
    <row r="3732" spans="1:22" customFormat="1" ht="15" x14ac:dyDescent="0.25">
      <c r="A3732" t="s">
        <v>222</v>
      </c>
      <c r="E3732" s="1516" t="s">
        <v>951</v>
      </c>
      <c r="F3732" s="1516"/>
      <c r="G3732" s="1516"/>
      <c r="H3732" s="1516"/>
      <c r="K3732" t="s">
        <v>1039</v>
      </c>
      <c r="V3732">
        <v>280</v>
      </c>
    </row>
    <row r="3733" spans="1:22" customFormat="1" ht="15" x14ac:dyDescent="0.25">
      <c r="A3733" t="s">
        <v>222</v>
      </c>
      <c r="E3733" s="1516" t="s">
        <v>952</v>
      </c>
      <c r="F3733" s="1516"/>
      <c r="G3733" s="1516"/>
      <c r="H3733" s="1516"/>
      <c r="K3733" t="s">
        <v>1039</v>
      </c>
      <c r="V3733">
        <v>411</v>
      </c>
    </row>
    <row r="3734" spans="1:22" customFormat="1" ht="15" x14ac:dyDescent="0.25">
      <c r="A3734" t="s">
        <v>222</v>
      </c>
      <c r="E3734" s="1516" t="s">
        <v>4634</v>
      </c>
      <c r="F3734" s="1516"/>
      <c r="G3734" s="1516"/>
      <c r="H3734" s="1516"/>
      <c r="K3734" t="s">
        <v>1039</v>
      </c>
      <c r="V3734">
        <v>379</v>
      </c>
    </row>
    <row r="3735" spans="1:22" customFormat="1" ht="15" x14ac:dyDescent="0.25">
      <c r="A3735" t="s">
        <v>222</v>
      </c>
      <c r="E3735" s="1516" t="s">
        <v>3762</v>
      </c>
      <c r="F3735" s="1516"/>
      <c r="G3735" s="1516"/>
      <c r="H3735" s="1516"/>
      <c r="K3735" t="s">
        <v>1039</v>
      </c>
      <c r="V3735">
        <v>247</v>
      </c>
    </row>
    <row r="3736" spans="1:22" customFormat="1" ht="15" x14ac:dyDescent="0.25">
      <c r="A3736" t="s">
        <v>222</v>
      </c>
      <c r="E3736" s="1515" t="s">
        <v>956</v>
      </c>
      <c r="F3736" s="1516"/>
      <c r="G3736" s="1516"/>
      <c r="H3736" s="1516"/>
      <c r="K3736" t="s">
        <v>1042</v>
      </c>
      <c r="V3736">
        <v>46</v>
      </c>
    </row>
    <row r="3737" spans="1:22" customFormat="1" ht="15" x14ac:dyDescent="0.25">
      <c r="A3737" t="s">
        <v>222</v>
      </c>
      <c r="E3737" s="1507" t="s">
        <v>3874</v>
      </c>
      <c r="F3737" s="1507"/>
      <c r="G3737" s="584" t="s">
        <v>777</v>
      </c>
      <c r="H3737" s="576">
        <v>14.66</v>
      </c>
      <c r="K3737" t="s">
        <v>1039</v>
      </c>
      <c r="L3737" t="s">
        <v>690</v>
      </c>
      <c r="P3737" t="s">
        <v>1043</v>
      </c>
      <c r="V3737">
        <v>31</v>
      </c>
    </row>
    <row r="3738" spans="1:22" customFormat="1" ht="15" x14ac:dyDescent="0.25">
      <c r="A3738" t="s">
        <v>222</v>
      </c>
      <c r="E3738" s="1507" t="s">
        <v>6731</v>
      </c>
      <c r="F3738" s="1507"/>
      <c r="G3738" s="584" t="s">
        <v>777</v>
      </c>
      <c r="H3738" s="576">
        <v>-0.08</v>
      </c>
      <c r="K3738" t="s">
        <v>1039</v>
      </c>
      <c r="L3738" t="s">
        <v>692</v>
      </c>
      <c r="P3738" t="s">
        <v>6735</v>
      </c>
      <c r="T3738">
        <v>46022</v>
      </c>
      <c r="V3738">
        <v>139</v>
      </c>
    </row>
    <row r="3739" spans="1:22" customFormat="1" ht="15" x14ac:dyDescent="0.25">
      <c r="A3739" t="s">
        <v>222</v>
      </c>
      <c r="E3739" s="1507" t="s">
        <v>6733</v>
      </c>
      <c r="F3739" s="1507"/>
      <c r="G3739" s="584" t="s">
        <v>777</v>
      </c>
      <c r="H3739" s="576">
        <v>0.11</v>
      </c>
      <c r="K3739" t="s">
        <v>1039</v>
      </c>
      <c r="L3739" t="s">
        <v>692</v>
      </c>
      <c r="P3739" t="s">
        <v>6736</v>
      </c>
      <c r="T3739">
        <v>46022</v>
      </c>
      <c r="V3739">
        <v>117</v>
      </c>
    </row>
    <row r="3740" spans="1:22" customFormat="1" ht="15" x14ac:dyDescent="0.25">
      <c r="A3740" t="s">
        <v>222</v>
      </c>
      <c r="E3740" s="1507" t="s">
        <v>6519</v>
      </c>
      <c r="F3740" s="1510"/>
      <c r="G3740" s="584" t="s">
        <v>845</v>
      </c>
      <c r="H3740" s="577">
        <v>2.3999999999999998E-3</v>
      </c>
      <c r="K3740" t="s">
        <v>1039</v>
      </c>
      <c r="L3740" t="s">
        <v>692</v>
      </c>
      <c r="P3740" t="s">
        <v>4522</v>
      </c>
      <c r="T3740">
        <v>46022</v>
      </c>
      <c r="V3740">
        <v>142</v>
      </c>
    </row>
    <row r="3741" spans="1:22" customFormat="1" ht="15" x14ac:dyDescent="0.25">
      <c r="A3741" t="s">
        <v>222</v>
      </c>
      <c r="E3741" s="1507" t="s">
        <v>243</v>
      </c>
      <c r="F3741" s="1507"/>
      <c r="G3741" s="584" t="s">
        <v>3775</v>
      </c>
      <c r="H3741" s="577">
        <v>4.0351999999999997</v>
      </c>
      <c r="K3741" t="s">
        <v>1039</v>
      </c>
      <c r="L3741" t="s">
        <v>694</v>
      </c>
      <c r="P3741" t="s">
        <v>1047</v>
      </c>
      <c r="V3741">
        <v>47</v>
      </c>
    </row>
    <row r="3742" spans="1:22" customFormat="1" ht="15" x14ac:dyDescent="0.25">
      <c r="A3742" t="s">
        <v>222</v>
      </c>
      <c r="E3742" s="1507" t="s">
        <v>175</v>
      </c>
      <c r="F3742" s="1507"/>
      <c r="G3742" s="584" t="s">
        <v>3775</v>
      </c>
      <c r="H3742" s="577">
        <v>2.4786000000000001</v>
      </c>
      <c r="K3742" t="s">
        <v>1039</v>
      </c>
      <c r="L3742" t="s">
        <v>694</v>
      </c>
      <c r="P3742" t="s">
        <v>1048</v>
      </c>
      <c r="V3742">
        <v>74</v>
      </c>
    </row>
    <row r="3743" spans="1:22" customFormat="1" ht="15" x14ac:dyDescent="0.25">
      <c r="A3743" t="s">
        <v>222</v>
      </c>
      <c r="E3743" s="1515" t="s">
        <v>967</v>
      </c>
      <c r="F3743" s="1507"/>
      <c r="G3743" s="584"/>
      <c r="H3743" s="584"/>
      <c r="K3743" t="s">
        <v>1049</v>
      </c>
      <c r="V3743">
        <v>48</v>
      </c>
    </row>
    <row r="3744" spans="1:22" customFormat="1" ht="15" x14ac:dyDescent="0.25">
      <c r="A3744" t="s">
        <v>222</v>
      </c>
      <c r="E3744" s="1507" t="s">
        <v>844</v>
      </c>
      <c r="F3744" s="1507"/>
      <c r="G3744" s="584" t="s">
        <v>845</v>
      </c>
      <c r="H3744" s="577">
        <v>4.1000000000000003E-3</v>
      </c>
      <c r="K3744" t="s">
        <v>1039</v>
      </c>
      <c r="L3744" t="s">
        <v>968</v>
      </c>
      <c r="P3744" t="s">
        <v>1050</v>
      </c>
      <c r="V3744">
        <v>55</v>
      </c>
    </row>
    <row r="3745" spans="1:22" customFormat="1" ht="15" x14ac:dyDescent="0.25">
      <c r="A3745" t="s">
        <v>222</v>
      </c>
      <c r="E3745" s="1507" t="s">
        <v>846</v>
      </c>
      <c r="F3745" s="1507"/>
      <c r="G3745" s="584" t="s">
        <v>845</v>
      </c>
      <c r="H3745" s="577">
        <v>4.0000000000000002E-4</v>
      </c>
      <c r="K3745" t="s">
        <v>1039</v>
      </c>
      <c r="L3745" t="s">
        <v>968</v>
      </c>
      <c r="P3745" t="s">
        <v>1050</v>
      </c>
      <c r="V3745">
        <v>65</v>
      </c>
    </row>
    <row r="3746" spans="1:22" customFormat="1" ht="15" x14ac:dyDescent="0.25">
      <c r="A3746" t="s">
        <v>222</v>
      </c>
      <c r="E3746" s="1507" t="s">
        <v>847</v>
      </c>
      <c r="F3746" s="1507"/>
      <c r="G3746" s="584" t="s">
        <v>845</v>
      </c>
      <c r="H3746" s="577">
        <v>1.5E-3</v>
      </c>
      <c r="K3746" t="s">
        <v>1039</v>
      </c>
      <c r="L3746" t="s">
        <v>968</v>
      </c>
      <c r="P3746" t="s">
        <v>1051</v>
      </c>
      <c r="V3746">
        <v>57</v>
      </c>
    </row>
    <row r="3747" spans="1:22" customFormat="1" ht="15" x14ac:dyDescent="0.25">
      <c r="A3747" t="s">
        <v>222</v>
      </c>
      <c r="E3747" s="1507" t="s">
        <v>848</v>
      </c>
      <c r="F3747" s="1507"/>
      <c r="G3747" s="584" t="s">
        <v>777</v>
      </c>
      <c r="H3747" s="576">
        <v>0.25</v>
      </c>
      <c r="K3747" t="s">
        <v>1039</v>
      </c>
      <c r="L3747" t="s">
        <v>968</v>
      </c>
      <c r="P3747" t="s">
        <v>1052</v>
      </c>
      <c r="V3747">
        <v>63</v>
      </c>
    </row>
    <row r="3748" spans="1:22" customFormat="1" x14ac:dyDescent="0.25">
      <c r="A3748" t="s">
        <v>222</v>
      </c>
      <c r="E3748" s="1492" t="s">
        <v>202</v>
      </c>
      <c r="F3748" s="1493"/>
      <c r="G3748" s="1493"/>
      <c r="H3748" s="1493"/>
      <c r="K3748" t="s">
        <v>1053</v>
      </c>
      <c r="V3748">
        <v>38</v>
      </c>
    </row>
    <row r="3749" spans="1:22" customFormat="1" ht="15" x14ac:dyDescent="0.25">
      <c r="A3749" t="s">
        <v>222</v>
      </c>
      <c r="E3749" s="1516" t="s">
        <v>4657</v>
      </c>
      <c r="F3749" s="1516"/>
      <c r="G3749" s="1516"/>
      <c r="H3749" s="1516"/>
      <c r="K3749" t="s">
        <v>1053</v>
      </c>
      <c r="V3749">
        <v>455</v>
      </c>
    </row>
    <row r="3750" spans="1:22" customFormat="1" ht="15" x14ac:dyDescent="0.25">
      <c r="A3750" t="s">
        <v>222</v>
      </c>
      <c r="E3750" s="1515" t="s">
        <v>950</v>
      </c>
      <c r="F3750" s="1516"/>
      <c r="G3750" s="1516"/>
      <c r="H3750" s="1516"/>
      <c r="K3750" t="s">
        <v>1055</v>
      </c>
      <c r="V3750">
        <v>11</v>
      </c>
    </row>
    <row r="3751" spans="1:22" customFormat="1" ht="15" x14ac:dyDescent="0.25">
      <c r="A3751" t="s">
        <v>222</v>
      </c>
      <c r="E3751" s="1516" t="s">
        <v>951</v>
      </c>
      <c r="F3751" s="1516"/>
      <c r="G3751" s="1516"/>
      <c r="H3751" s="1516"/>
      <c r="K3751" t="s">
        <v>1053</v>
      </c>
      <c r="V3751">
        <v>280</v>
      </c>
    </row>
    <row r="3752" spans="1:22" customFormat="1" ht="15" x14ac:dyDescent="0.25">
      <c r="A3752" t="s">
        <v>222</v>
      </c>
      <c r="E3752" s="1516" t="s">
        <v>952</v>
      </c>
      <c r="F3752" s="1516"/>
      <c r="G3752" s="1516"/>
      <c r="H3752" s="1516"/>
      <c r="K3752" t="s">
        <v>1053</v>
      </c>
      <c r="V3752">
        <v>411</v>
      </c>
    </row>
    <row r="3753" spans="1:22" customFormat="1" ht="15" x14ac:dyDescent="0.25">
      <c r="A3753" t="s">
        <v>222</v>
      </c>
      <c r="E3753" s="1516" t="s">
        <v>4634</v>
      </c>
      <c r="F3753" s="1516"/>
      <c r="G3753" s="1516"/>
      <c r="H3753" s="1516"/>
      <c r="K3753" t="s">
        <v>1053</v>
      </c>
      <c r="V3753">
        <v>379</v>
      </c>
    </row>
    <row r="3754" spans="1:22" customFormat="1" ht="15" x14ac:dyDescent="0.25">
      <c r="A3754" t="s">
        <v>222</v>
      </c>
      <c r="E3754" s="1516" t="s">
        <v>3762</v>
      </c>
      <c r="F3754" s="1516"/>
      <c r="G3754" s="1516"/>
      <c r="H3754" s="1516"/>
      <c r="K3754" t="s">
        <v>1053</v>
      </c>
      <c r="V3754">
        <v>247</v>
      </c>
    </row>
    <row r="3755" spans="1:22" customFormat="1" ht="15" x14ac:dyDescent="0.25">
      <c r="A3755" t="s">
        <v>222</v>
      </c>
      <c r="E3755" s="1515" t="s">
        <v>956</v>
      </c>
      <c r="F3755" s="1516"/>
      <c r="G3755" s="1516"/>
      <c r="H3755" s="1516"/>
      <c r="K3755" t="s">
        <v>1056</v>
      </c>
      <c r="V3755">
        <v>46</v>
      </c>
    </row>
    <row r="3756" spans="1:22" customFormat="1" ht="15" x14ac:dyDescent="0.25">
      <c r="A3756" t="s">
        <v>222</v>
      </c>
      <c r="E3756" s="1507" t="s">
        <v>3874</v>
      </c>
      <c r="F3756" s="1507"/>
      <c r="G3756" s="584" t="s">
        <v>777</v>
      </c>
      <c r="H3756" s="576">
        <v>6.22</v>
      </c>
      <c r="K3756" t="s">
        <v>1053</v>
      </c>
      <c r="L3756" t="s">
        <v>690</v>
      </c>
      <c r="P3756" t="s">
        <v>1057</v>
      </c>
      <c r="V3756">
        <v>31</v>
      </c>
    </row>
    <row r="3757" spans="1:22" customFormat="1" ht="15" x14ac:dyDescent="0.25">
      <c r="A3757" t="s">
        <v>222</v>
      </c>
      <c r="E3757" s="1507" t="s">
        <v>6731</v>
      </c>
      <c r="F3757" s="1507"/>
      <c r="G3757" s="584" t="s">
        <v>777</v>
      </c>
      <c r="H3757" s="576">
        <v>-0.03</v>
      </c>
      <c r="K3757" t="s">
        <v>1053</v>
      </c>
      <c r="L3757" t="s">
        <v>692</v>
      </c>
      <c r="P3757" t="s">
        <v>6737</v>
      </c>
      <c r="T3757">
        <v>46022</v>
      </c>
      <c r="V3757">
        <v>139</v>
      </c>
    </row>
    <row r="3758" spans="1:22" customFormat="1" ht="15" x14ac:dyDescent="0.25">
      <c r="A3758" t="s">
        <v>222</v>
      </c>
      <c r="E3758" s="1507" t="s">
        <v>6733</v>
      </c>
      <c r="F3758" s="1507"/>
      <c r="G3758" s="584" t="s">
        <v>777</v>
      </c>
      <c r="H3758" s="576">
        <v>0.02</v>
      </c>
      <c r="K3758" t="s">
        <v>1053</v>
      </c>
      <c r="L3758" t="s">
        <v>692</v>
      </c>
      <c r="P3758" t="s">
        <v>6738</v>
      </c>
      <c r="T3758">
        <v>46022</v>
      </c>
      <c r="V3758">
        <v>117</v>
      </c>
    </row>
    <row r="3759" spans="1:22" customFormat="1" ht="15" x14ac:dyDescent="0.25">
      <c r="A3759" t="s">
        <v>222</v>
      </c>
      <c r="E3759" s="1507" t="s">
        <v>6519</v>
      </c>
      <c r="F3759" s="1510"/>
      <c r="G3759" s="584" t="s">
        <v>845</v>
      </c>
      <c r="H3759" s="577">
        <v>2.3999999999999998E-3</v>
      </c>
      <c r="K3759" t="s">
        <v>1053</v>
      </c>
      <c r="L3759" t="s">
        <v>692</v>
      </c>
      <c r="P3759" t="s">
        <v>1061</v>
      </c>
      <c r="T3759">
        <v>46022</v>
      </c>
      <c r="V3759">
        <v>142</v>
      </c>
    </row>
    <row r="3760" spans="1:22" customFormat="1" ht="15" x14ac:dyDescent="0.25">
      <c r="A3760" t="s">
        <v>222</v>
      </c>
      <c r="E3760" s="1507" t="s">
        <v>243</v>
      </c>
      <c r="F3760" s="1507"/>
      <c r="G3760" s="584" t="s">
        <v>3775</v>
      </c>
      <c r="H3760" s="577">
        <v>4.0303000000000004</v>
      </c>
      <c r="K3760" t="s">
        <v>1053</v>
      </c>
      <c r="L3760" t="s">
        <v>694</v>
      </c>
      <c r="P3760" t="s">
        <v>1063</v>
      </c>
      <c r="V3760">
        <v>47</v>
      </c>
    </row>
    <row r="3761" spans="1:22" customFormat="1" ht="15" x14ac:dyDescent="0.25">
      <c r="A3761" t="s">
        <v>222</v>
      </c>
      <c r="E3761" s="1507" t="s">
        <v>175</v>
      </c>
      <c r="F3761" s="1507"/>
      <c r="G3761" s="584" t="s">
        <v>3775</v>
      </c>
      <c r="H3761" s="577">
        <v>2.4762</v>
      </c>
      <c r="K3761" t="s">
        <v>1053</v>
      </c>
      <c r="L3761" t="s">
        <v>694</v>
      </c>
      <c r="P3761" t="s">
        <v>1064</v>
      </c>
      <c r="V3761">
        <v>74</v>
      </c>
    </row>
    <row r="3762" spans="1:22" customFormat="1" ht="15" x14ac:dyDescent="0.25">
      <c r="A3762" t="s">
        <v>222</v>
      </c>
      <c r="E3762" s="1515" t="s">
        <v>967</v>
      </c>
      <c r="F3762" s="1507"/>
      <c r="G3762" s="584"/>
      <c r="H3762" s="584"/>
      <c r="K3762" t="s">
        <v>1065</v>
      </c>
      <c r="V3762">
        <v>48</v>
      </c>
    </row>
    <row r="3763" spans="1:22" customFormat="1" ht="15" x14ac:dyDescent="0.25">
      <c r="A3763" t="s">
        <v>222</v>
      </c>
      <c r="E3763" s="1507" t="s">
        <v>844</v>
      </c>
      <c r="F3763" s="1507"/>
      <c r="G3763" s="584" t="s">
        <v>845</v>
      </c>
      <c r="H3763" s="577">
        <v>4.1000000000000003E-3</v>
      </c>
      <c r="K3763" t="s">
        <v>1053</v>
      </c>
      <c r="L3763" t="s">
        <v>968</v>
      </c>
      <c r="P3763" t="s">
        <v>1066</v>
      </c>
      <c r="V3763">
        <v>55</v>
      </c>
    </row>
    <row r="3764" spans="1:22" customFormat="1" ht="15" x14ac:dyDescent="0.25">
      <c r="A3764" t="s">
        <v>222</v>
      </c>
      <c r="E3764" s="1507" t="s">
        <v>846</v>
      </c>
      <c r="F3764" s="1507"/>
      <c r="G3764" s="584" t="s">
        <v>845</v>
      </c>
      <c r="H3764" s="577">
        <v>4.0000000000000002E-4</v>
      </c>
      <c r="K3764" t="s">
        <v>1053</v>
      </c>
      <c r="L3764" t="s">
        <v>968</v>
      </c>
      <c r="P3764" t="s">
        <v>1066</v>
      </c>
      <c r="V3764">
        <v>65</v>
      </c>
    </row>
    <row r="3765" spans="1:22" customFormat="1" ht="15" x14ac:dyDescent="0.25">
      <c r="A3765" t="s">
        <v>222</v>
      </c>
      <c r="E3765" s="1507" t="s">
        <v>847</v>
      </c>
      <c r="F3765" s="1507"/>
      <c r="G3765" s="584" t="s">
        <v>845</v>
      </c>
      <c r="H3765" s="577">
        <v>1.5E-3</v>
      </c>
      <c r="K3765" t="s">
        <v>1053</v>
      </c>
      <c r="L3765" t="s">
        <v>968</v>
      </c>
      <c r="P3765" t="s">
        <v>1067</v>
      </c>
      <c r="V3765">
        <v>57</v>
      </c>
    </row>
    <row r="3766" spans="1:22" customFormat="1" ht="15" x14ac:dyDescent="0.25">
      <c r="A3766" t="s">
        <v>222</v>
      </c>
      <c r="E3766" s="1507" t="s">
        <v>848</v>
      </c>
      <c r="F3766" s="1507"/>
      <c r="G3766" s="584" t="s">
        <v>777</v>
      </c>
      <c r="H3766" s="576">
        <v>0.25</v>
      </c>
      <c r="K3766" t="s">
        <v>1053</v>
      </c>
      <c r="L3766" t="s">
        <v>968</v>
      </c>
      <c r="P3766" t="s">
        <v>1068</v>
      </c>
      <c r="V3766">
        <v>63</v>
      </c>
    </row>
    <row r="3767" spans="1:22" customFormat="1" x14ac:dyDescent="0.25">
      <c r="A3767" t="s">
        <v>222</v>
      </c>
      <c r="E3767" s="1492" t="s">
        <v>207</v>
      </c>
      <c r="F3767" s="1493"/>
      <c r="G3767" s="1493"/>
      <c r="H3767" s="1493"/>
      <c r="K3767" t="s">
        <v>1069</v>
      </c>
      <c r="V3767">
        <v>31</v>
      </c>
    </row>
    <row r="3768" spans="1:22" customFormat="1" ht="15" x14ac:dyDescent="0.25">
      <c r="A3768" t="s">
        <v>222</v>
      </c>
      <c r="E3768" s="1516" t="s">
        <v>4620</v>
      </c>
      <c r="F3768" s="1516"/>
      <c r="G3768" s="1516"/>
      <c r="H3768" s="1516"/>
      <c r="K3768" t="s">
        <v>1069</v>
      </c>
      <c r="V3768">
        <v>285</v>
      </c>
    </row>
    <row r="3769" spans="1:22" customFormat="1" ht="15" x14ac:dyDescent="0.25">
      <c r="A3769" t="s">
        <v>222</v>
      </c>
      <c r="E3769" s="1515" t="s">
        <v>950</v>
      </c>
      <c r="F3769" s="1516"/>
      <c r="G3769" s="1516"/>
      <c r="H3769" s="1516"/>
      <c r="K3769" t="s">
        <v>1071</v>
      </c>
      <c r="V3769">
        <v>11</v>
      </c>
    </row>
    <row r="3770" spans="1:22" customFormat="1" ht="15" x14ac:dyDescent="0.25">
      <c r="A3770" t="s">
        <v>222</v>
      </c>
      <c r="E3770" s="1516" t="s">
        <v>951</v>
      </c>
      <c r="F3770" s="1516"/>
      <c r="G3770" s="1516"/>
      <c r="H3770" s="1516"/>
      <c r="K3770" t="s">
        <v>1069</v>
      </c>
      <c r="V3770">
        <v>280</v>
      </c>
    </row>
    <row r="3771" spans="1:22" customFormat="1" ht="15" x14ac:dyDescent="0.25">
      <c r="A3771" t="s">
        <v>222</v>
      </c>
      <c r="E3771" s="1516" t="s">
        <v>952</v>
      </c>
      <c r="F3771" s="1516"/>
      <c r="G3771" s="1516"/>
      <c r="H3771" s="1516"/>
      <c r="K3771" t="s">
        <v>1069</v>
      </c>
      <c r="V3771">
        <v>411</v>
      </c>
    </row>
    <row r="3772" spans="1:22" customFormat="1" ht="15" x14ac:dyDescent="0.25">
      <c r="A3772" t="s">
        <v>222</v>
      </c>
      <c r="E3772" s="1516" t="s">
        <v>1103</v>
      </c>
      <c r="F3772" s="1516"/>
      <c r="G3772" s="1516"/>
      <c r="H3772" s="1516"/>
      <c r="K3772" t="s">
        <v>1069</v>
      </c>
      <c r="V3772">
        <v>211</v>
      </c>
    </row>
    <row r="3773" spans="1:22" customFormat="1" ht="15" x14ac:dyDescent="0.25">
      <c r="A3773" t="s">
        <v>222</v>
      </c>
      <c r="E3773" s="1516" t="s">
        <v>3762</v>
      </c>
      <c r="F3773" s="1516"/>
      <c r="G3773" s="1516"/>
      <c r="H3773" s="1516"/>
      <c r="K3773" t="s">
        <v>1069</v>
      </c>
      <c r="V3773">
        <v>247</v>
      </c>
    </row>
    <row r="3774" spans="1:22" customFormat="1" ht="15" x14ac:dyDescent="0.25">
      <c r="A3774" t="s">
        <v>222</v>
      </c>
      <c r="E3774" s="1515" t="s">
        <v>956</v>
      </c>
      <c r="F3774" s="1516"/>
      <c r="G3774" s="1516"/>
      <c r="H3774" s="1516"/>
      <c r="K3774" t="s">
        <v>1075</v>
      </c>
      <c r="V3774">
        <v>46</v>
      </c>
    </row>
    <row r="3775" spans="1:22" customFormat="1" ht="15" x14ac:dyDescent="0.25">
      <c r="A3775" t="s">
        <v>222</v>
      </c>
      <c r="E3775" s="1507" t="s">
        <v>3773</v>
      </c>
      <c r="F3775" s="1507"/>
      <c r="G3775" s="584" t="s">
        <v>777</v>
      </c>
      <c r="H3775" s="576">
        <v>5</v>
      </c>
      <c r="K3775" t="s">
        <v>1069</v>
      </c>
      <c r="L3775" t="s">
        <v>690</v>
      </c>
      <c r="P3775" t="s">
        <v>1076</v>
      </c>
      <c r="V3775">
        <v>14</v>
      </c>
    </row>
    <row r="3776" spans="1:22" customFormat="1" ht="18.75" x14ac:dyDescent="0.3">
      <c r="A3776" t="s">
        <v>222</v>
      </c>
      <c r="E3776" s="836" t="s">
        <v>3825</v>
      </c>
      <c r="F3776" s="381"/>
      <c r="G3776" s="381"/>
      <c r="H3776" s="382"/>
      <c r="K3776" t="s">
        <v>4658</v>
      </c>
      <c r="V3776">
        <v>10</v>
      </c>
    </row>
    <row r="3777" spans="1:22" customFormat="1" ht="15" x14ac:dyDescent="0.25">
      <c r="A3777" t="s">
        <v>222</v>
      </c>
      <c r="E3777" s="1507" t="s">
        <v>1078</v>
      </c>
      <c r="F3777" s="1507"/>
      <c r="G3777" s="584" t="s">
        <v>3775</v>
      </c>
      <c r="H3777" s="577">
        <v>-0.6</v>
      </c>
      <c r="V3777">
        <v>68</v>
      </c>
    </row>
    <row r="3778" spans="1:22" customFormat="1" ht="15" x14ac:dyDescent="0.25">
      <c r="A3778" t="s">
        <v>222</v>
      </c>
      <c r="E3778" s="1507" t="s">
        <v>1079</v>
      </c>
      <c r="F3778" s="1507"/>
      <c r="G3778" s="584" t="s">
        <v>1118</v>
      </c>
      <c r="H3778" s="576">
        <v>-1</v>
      </c>
      <c r="V3778">
        <v>87</v>
      </c>
    </row>
    <row r="3779" spans="1:22" customFormat="1" ht="36" x14ac:dyDescent="0.3">
      <c r="A3779" t="s">
        <v>222</v>
      </c>
      <c r="E3779" s="836" t="s">
        <v>3828</v>
      </c>
      <c r="F3779" s="381"/>
      <c r="G3779" s="381"/>
      <c r="H3779" s="382"/>
      <c r="K3779" t="s">
        <v>4659</v>
      </c>
      <c r="V3779">
        <v>24</v>
      </c>
    </row>
    <row r="3780" spans="1:22" customFormat="1" ht="15" x14ac:dyDescent="0.25">
      <c r="A3780" t="s">
        <v>222</v>
      </c>
      <c r="E3780" s="1516" t="s">
        <v>951</v>
      </c>
      <c r="F3780" s="1516"/>
      <c r="G3780" s="1516"/>
      <c r="H3780" s="1516"/>
      <c r="V3780">
        <v>280</v>
      </c>
    </row>
    <row r="3781" spans="1:22" customFormat="1" ht="15" x14ac:dyDescent="0.25">
      <c r="A3781" t="s">
        <v>222</v>
      </c>
      <c r="E3781" s="1516" t="s">
        <v>1081</v>
      </c>
      <c r="F3781" s="1516"/>
      <c r="G3781" s="1516"/>
      <c r="H3781" s="1516"/>
      <c r="V3781">
        <v>353</v>
      </c>
    </row>
    <row r="3782" spans="1:22" customFormat="1" ht="15" x14ac:dyDescent="0.25">
      <c r="A3782" t="s">
        <v>222</v>
      </c>
      <c r="E3782" s="1516" t="s">
        <v>3762</v>
      </c>
      <c r="F3782" s="1516"/>
      <c r="G3782" s="1516"/>
      <c r="H3782" s="1516"/>
      <c r="V3782">
        <v>247</v>
      </c>
    </row>
    <row r="3783" spans="1:22" customFormat="1" ht="15" x14ac:dyDescent="0.25">
      <c r="A3783" t="s">
        <v>222</v>
      </c>
      <c r="E3783" s="835" t="s">
        <v>3830</v>
      </c>
      <c r="F3783" s="1"/>
      <c r="G3783" s="1"/>
      <c r="H3783" s="649"/>
      <c r="K3783" t="s">
        <v>4660</v>
      </c>
      <c r="V3783">
        <v>23</v>
      </c>
    </row>
    <row r="3784" spans="1:22" customFormat="1" ht="15" x14ac:dyDescent="0.25">
      <c r="A3784" t="s">
        <v>222</v>
      </c>
      <c r="E3784" s="1517" t="s">
        <v>3832</v>
      </c>
      <c r="F3784" s="1517"/>
      <c r="G3784" s="584" t="s">
        <v>777</v>
      </c>
      <c r="H3784" s="576">
        <v>15</v>
      </c>
      <c r="V3784">
        <v>19</v>
      </c>
    </row>
    <row r="3785" spans="1:22" customFormat="1" ht="15" x14ac:dyDescent="0.25">
      <c r="A3785" t="s">
        <v>222</v>
      </c>
      <c r="E3785" s="1517" t="s">
        <v>4054</v>
      </c>
      <c r="F3785" s="1517"/>
      <c r="G3785" s="584" t="s">
        <v>777</v>
      </c>
      <c r="H3785" s="576">
        <v>15</v>
      </c>
      <c r="V3785">
        <v>26</v>
      </c>
    </row>
    <row r="3786" spans="1:22" customFormat="1" ht="15" x14ac:dyDescent="0.25">
      <c r="A3786" t="s">
        <v>222</v>
      </c>
      <c r="E3786" s="1517" t="s">
        <v>4056</v>
      </c>
      <c r="F3786" s="1517"/>
      <c r="G3786" s="584" t="s">
        <v>777</v>
      </c>
      <c r="H3786" s="576">
        <v>15</v>
      </c>
      <c r="V3786">
        <v>15</v>
      </c>
    </row>
    <row r="3787" spans="1:22" customFormat="1" ht="15" x14ac:dyDescent="0.25">
      <c r="A3787" t="s">
        <v>222</v>
      </c>
      <c r="E3787" s="1517" t="s">
        <v>4058</v>
      </c>
      <c r="F3787" s="1517"/>
      <c r="G3787" s="584" t="s">
        <v>777</v>
      </c>
      <c r="H3787" s="576">
        <v>15</v>
      </c>
      <c r="V3787">
        <v>15</v>
      </c>
    </row>
    <row r="3788" spans="1:22" customFormat="1" ht="15" x14ac:dyDescent="0.25">
      <c r="A3788" t="s">
        <v>222</v>
      </c>
      <c r="E3788" s="1517" t="s">
        <v>3835</v>
      </c>
      <c r="F3788" s="1517"/>
      <c r="G3788" s="584" t="s">
        <v>777</v>
      </c>
      <c r="H3788" s="576">
        <v>15</v>
      </c>
      <c r="V3788">
        <v>56</v>
      </c>
    </row>
    <row r="3789" spans="1:22" customFormat="1" ht="15" x14ac:dyDescent="0.25">
      <c r="A3789" t="s">
        <v>222</v>
      </c>
      <c r="E3789" s="1517" t="s">
        <v>3836</v>
      </c>
      <c r="F3789" s="1517"/>
      <c r="G3789" s="584" t="s">
        <v>777</v>
      </c>
      <c r="H3789" s="576">
        <v>15</v>
      </c>
      <c r="V3789">
        <v>35</v>
      </c>
    </row>
    <row r="3790" spans="1:22" customFormat="1" ht="15" x14ac:dyDescent="0.25">
      <c r="A3790" t="s">
        <v>222</v>
      </c>
      <c r="E3790" s="1517" t="s">
        <v>3837</v>
      </c>
      <c r="F3790" s="1517"/>
      <c r="G3790" s="584" t="s">
        <v>777</v>
      </c>
      <c r="H3790" s="576">
        <v>30</v>
      </c>
      <c r="V3790">
        <v>89</v>
      </c>
    </row>
    <row r="3791" spans="1:22" customFormat="1" ht="15" x14ac:dyDescent="0.25">
      <c r="A3791" t="s">
        <v>222</v>
      </c>
      <c r="E3791" s="1517" t="s">
        <v>3914</v>
      </c>
      <c r="F3791" s="1517"/>
      <c r="G3791" s="584" t="s">
        <v>777</v>
      </c>
      <c r="H3791" s="576">
        <v>30</v>
      </c>
      <c r="V3791">
        <v>19</v>
      </c>
    </row>
    <row r="3792" spans="1:22" customFormat="1" ht="15" x14ac:dyDescent="0.25">
      <c r="A3792" t="s">
        <v>222</v>
      </c>
      <c r="E3792" s="1517" t="s">
        <v>3838</v>
      </c>
      <c r="F3792" s="1517"/>
      <c r="G3792" s="584" t="s">
        <v>777</v>
      </c>
      <c r="H3792" s="576">
        <v>30</v>
      </c>
      <c r="V3792">
        <v>74</v>
      </c>
    </row>
    <row r="3793" spans="1:22" customFormat="1" ht="15" x14ac:dyDescent="0.25">
      <c r="A3793" t="s">
        <v>222</v>
      </c>
      <c r="E3793" s="1517" t="s">
        <v>4661</v>
      </c>
      <c r="F3793" s="1517"/>
      <c r="G3793" s="584" t="s">
        <v>777</v>
      </c>
      <c r="H3793" s="576">
        <v>50</v>
      </c>
      <c r="V3793">
        <v>26</v>
      </c>
    </row>
    <row r="3794" spans="1:22" customFormat="1" ht="15" x14ac:dyDescent="0.25">
      <c r="A3794" t="s">
        <v>222</v>
      </c>
      <c r="E3794" s="1517" t="s">
        <v>4662</v>
      </c>
      <c r="F3794" s="1517"/>
      <c r="G3794" s="584" t="s">
        <v>777</v>
      </c>
      <c r="H3794" s="576">
        <v>105</v>
      </c>
      <c r="V3794">
        <v>46</v>
      </c>
    </row>
    <row r="3795" spans="1:22" customFormat="1" ht="15" x14ac:dyDescent="0.25">
      <c r="A3795" t="s">
        <v>222</v>
      </c>
      <c r="E3795" s="1517" t="s">
        <v>4663</v>
      </c>
      <c r="F3795" s="1517"/>
      <c r="G3795" s="584" t="s">
        <v>777</v>
      </c>
      <c r="H3795" s="576">
        <v>180</v>
      </c>
      <c r="V3795">
        <v>34</v>
      </c>
    </row>
    <row r="3796" spans="1:22" customFormat="1" ht="15" x14ac:dyDescent="0.25">
      <c r="A3796" t="s">
        <v>222</v>
      </c>
      <c r="E3796" s="1517" t="s">
        <v>4664</v>
      </c>
      <c r="F3796" s="1517"/>
      <c r="G3796" s="584" t="s">
        <v>777</v>
      </c>
      <c r="H3796" s="576">
        <v>7.5</v>
      </c>
      <c r="V3796">
        <v>29</v>
      </c>
    </row>
    <row r="3797" spans="1:22" customFormat="1" ht="15" x14ac:dyDescent="0.25">
      <c r="A3797" t="s">
        <v>222</v>
      </c>
      <c r="E3797" s="835" t="s">
        <v>4665</v>
      </c>
      <c r="F3797" s="1"/>
      <c r="G3797" s="1"/>
      <c r="H3797" s="649"/>
      <c r="V3797">
        <v>23</v>
      </c>
    </row>
    <row r="3798" spans="1:22" customFormat="1" ht="15" x14ac:dyDescent="0.25">
      <c r="A3798" t="s">
        <v>222</v>
      </c>
      <c r="E3798" s="1517" t="s">
        <v>4666</v>
      </c>
      <c r="F3798" s="1517"/>
      <c r="G3798" s="584" t="s">
        <v>1118</v>
      </c>
      <c r="H3798" s="576">
        <v>1.5</v>
      </c>
      <c r="V3798">
        <v>99</v>
      </c>
    </row>
    <row r="3799" spans="1:22" customFormat="1" ht="15" x14ac:dyDescent="0.25">
      <c r="A3799" t="s">
        <v>222</v>
      </c>
      <c r="E3799" s="1517" t="s">
        <v>3911</v>
      </c>
      <c r="F3799" s="1517"/>
      <c r="G3799" s="584" t="s">
        <v>777</v>
      </c>
      <c r="H3799" s="576">
        <v>65</v>
      </c>
      <c r="V3799">
        <v>41</v>
      </c>
    </row>
    <row r="3800" spans="1:22" customFormat="1" ht="15" x14ac:dyDescent="0.25">
      <c r="A3800" t="s">
        <v>222</v>
      </c>
      <c r="E3800" s="1517" t="s">
        <v>3912</v>
      </c>
      <c r="F3800" s="1517"/>
      <c r="G3800" s="584" t="s">
        <v>777</v>
      </c>
      <c r="H3800" s="576">
        <v>185</v>
      </c>
      <c r="V3800">
        <v>40</v>
      </c>
    </row>
    <row r="3801" spans="1:22" customFormat="1" ht="15" x14ac:dyDescent="0.25">
      <c r="A3801" t="s">
        <v>222</v>
      </c>
      <c r="E3801" s="835" t="s">
        <v>3846</v>
      </c>
      <c r="F3801" s="1"/>
      <c r="G3801" s="1"/>
      <c r="H3801" s="649"/>
      <c r="V3801">
        <v>5</v>
      </c>
    </row>
    <row r="3802" spans="1:22" customFormat="1" ht="15" x14ac:dyDescent="0.25">
      <c r="A3802" t="s">
        <v>222</v>
      </c>
      <c r="E3802" s="1517" t="s">
        <v>4667</v>
      </c>
      <c r="F3802" s="1517"/>
      <c r="G3802" s="584" t="s">
        <v>777</v>
      </c>
      <c r="H3802" s="576">
        <v>110</v>
      </c>
      <c r="V3802">
        <v>28</v>
      </c>
    </row>
    <row r="3803" spans="1:22" customFormat="1" ht="15" x14ac:dyDescent="0.25">
      <c r="A3803" t="s">
        <v>222</v>
      </c>
      <c r="E3803" s="1517" t="s">
        <v>4668</v>
      </c>
      <c r="F3803" s="1517"/>
      <c r="G3803" s="584" t="s">
        <v>777</v>
      </c>
      <c r="H3803" s="576">
        <v>150</v>
      </c>
      <c r="V3803">
        <v>27</v>
      </c>
    </row>
    <row r="3804" spans="1:22" customFormat="1" ht="15" x14ac:dyDescent="0.25">
      <c r="A3804" t="s">
        <v>222</v>
      </c>
      <c r="E3804" s="1517" t="s">
        <v>4669</v>
      </c>
      <c r="F3804" s="1517"/>
      <c r="G3804" s="584" t="s">
        <v>777</v>
      </c>
      <c r="H3804" s="576">
        <v>60</v>
      </c>
      <c r="V3804">
        <v>15</v>
      </c>
    </row>
    <row r="3805" spans="1:22" customFormat="1" ht="15" x14ac:dyDescent="0.25">
      <c r="A3805" t="s">
        <v>222</v>
      </c>
      <c r="E3805" s="1517" t="s">
        <v>4670</v>
      </c>
      <c r="F3805" s="1517"/>
      <c r="G3805" s="584" t="s">
        <v>777</v>
      </c>
      <c r="H3805" s="576">
        <v>95</v>
      </c>
      <c r="V3805">
        <v>26</v>
      </c>
    </row>
    <row r="3806" spans="1:22" customFormat="1" ht="15" x14ac:dyDescent="0.25">
      <c r="A3806" t="s">
        <v>222</v>
      </c>
      <c r="E3806" s="1517" t="s">
        <v>4671</v>
      </c>
      <c r="F3806" s="1517"/>
      <c r="G3806" s="584" t="s">
        <v>777</v>
      </c>
      <c r="H3806" s="576">
        <v>65</v>
      </c>
      <c r="V3806">
        <v>26</v>
      </c>
    </row>
    <row r="3807" spans="1:22" customFormat="1" ht="15" x14ac:dyDescent="0.25">
      <c r="A3807" t="s">
        <v>222</v>
      </c>
      <c r="E3807" s="1517" t="s">
        <v>4217</v>
      </c>
      <c r="F3807" s="1517"/>
      <c r="G3807" s="584" t="s">
        <v>777</v>
      </c>
      <c r="H3807" s="576">
        <v>30</v>
      </c>
      <c r="V3807">
        <v>39</v>
      </c>
    </row>
    <row r="3808" spans="1:22" customFormat="1" ht="15" x14ac:dyDescent="0.25">
      <c r="A3808" t="s">
        <v>222</v>
      </c>
      <c r="E3808" s="1517" t="s">
        <v>4672</v>
      </c>
      <c r="F3808" s="1517"/>
      <c r="G3808" s="584" t="s">
        <v>777</v>
      </c>
      <c r="H3808" s="576">
        <v>170</v>
      </c>
      <c r="V3808">
        <v>20</v>
      </c>
    </row>
    <row r="3809" spans="1:22" customFormat="1" ht="15" x14ac:dyDescent="0.25">
      <c r="A3809" t="s">
        <v>222</v>
      </c>
      <c r="E3809" s="1517" t="s">
        <v>4673</v>
      </c>
      <c r="F3809" s="1517"/>
      <c r="G3809" s="584" t="s">
        <v>777</v>
      </c>
      <c r="H3809" s="576">
        <v>100</v>
      </c>
      <c r="V3809">
        <v>25</v>
      </c>
    </row>
    <row r="3810" spans="1:22" customFormat="1" ht="15" x14ac:dyDescent="0.25">
      <c r="A3810" t="s">
        <v>222</v>
      </c>
      <c r="E3810" s="1517" t="s">
        <v>4674</v>
      </c>
      <c r="F3810" s="1517"/>
      <c r="G3810" s="584" t="s">
        <v>777</v>
      </c>
      <c r="H3810" s="576">
        <v>39.14</v>
      </c>
      <c r="V3810">
        <v>59</v>
      </c>
    </row>
    <row r="3811" spans="1:22" customFormat="1" ht="15" x14ac:dyDescent="0.25">
      <c r="A3811" t="s">
        <v>222</v>
      </c>
      <c r="E3811" s="1517" t="s">
        <v>4675</v>
      </c>
      <c r="F3811" s="1517"/>
      <c r="G3811" s="584"/>
      <c r="H3811" s="650"/>
      <c r="V3811">
        <v>45</v>
      </c>
    </row>
    <row r="3812" spans="1:22" customFormat="1" ht="36" x14ac:dyDescent="0.3">
      <c r="A3812" t="s">
        <v>222</v>
      </c>
      <c r="E3812" s="836" t="s">
        <v>3851</v>
      </c>
      <c r="F3812" s="381"/>
      <c r="G3812" s="381"/>
      <c r="H3812" s="382"/>
      <c r="K3812" t="s">
        <v>4676</v>
      </c>
      <c r="V3812">
        <v>38</v>
      </c>
    </row>
    <row r="3813" spans="1:22" customFormat="1" ht="15" x14ac:dyDescent="0.25">
      <c r="A3813" t="s">
        <v>222</v>
      </c>
      <c r="E3813" s="1516" t="s">
        <v>951</v>
      </c>
      <c r="F3813" s="1516"/>
      <c r="G3813" s="1516"/>
      <c r="H3813" s="1516"/>
      <c r="V3813">
        <v>280</v>
      </c>
    </row>
    <row r="3814" spans="1:22" customFormat="1" ht="15" x14ac:dyDescent="0.25">
      <c r="A3814" t="s">
        <v>222</v>
      </c>
      <c r="E3814" s="1516" t="s">
        <v>952</v>
      </c>
      <c r="F3814" s="1516"/>
      <c r="G3814" s="1516"/>
      <c r="H3814" s="1516"/>
      <c r="V3814">
        <v>411</v>
      </c>
    </row>
    <row r="3815" spans="1:22" customFormat="1" ht="15" x14ac:dyDescent="0.25">
      <c r="A3815" t="s">
        <v>222</v>
      </c>
      <c r="E3815" s="1516" t="s">
        <v>1103</v>
      </c>
      <c r="F3815" s="1516"/>
      <c r="G3815" s="1516"/>
      <c r="H3815" s="1516"/>
      <c r="V3815">
        <v>211</v>
      </c>
    </row>
    <row r="3816" spans="1:22" customFormat="1" ht="15" x14ac:dyDescent="0.25">
      <c r="A3816" t="s">
        <v>222</v>
      </c>
      <c r="E3816" s="1516" t="s">
        <v>3762</v>
      </c>
      <c r="F3816" s="1516"/>
      <c r="G3816" s="1516"/>
      <c r="H3816" s="1516"/>
      <c r="V3816">
        <v>247</v>
      </c>
    </row>
    <row r="3817" spans="1:22" customFormat="1" ht="15" x14ac:dyDescent="0.25">
      <c r="A3817" t="s">
        <v>222</v>
      </c>
      <c r="E3817" s="1516" t="s">
        <v>1104</v>
      </c>
      <c r="F3817" s="1516"/>
      <c r="G3817" s="1516"/>
      <c r="H3817" s="1516"/>
      <c r="V3817">
        <v>142</v>
      </c>
    </row>
    <row r="3818" spans="1:22" customFormat="1" ht="15" x14ac:dyDescent="0.25">
      <c r="A3818" t="s">
        <v>222</v>
      </c>
      <c r="E3818" s="1507" t="s">
        <v>849</v>
      </c>
      <c r="F3818" s="1507"/>
      <c r="G3818" s="268" t="s">
        <v>777</v>
      </c>
      <c r="H3818" s="576">
        <v>121.23</v>
      </c>
      <c r="V3818">
        <v>106</v>
      </c>
    </row>
    <row r="3819" spans="1:22" customFormat="1" ht="15" x14ac:dyDescent="0.25">
      <c r="A3819" t="s">
        <v>222</v>
      </c>
      <c r="E3819" s="1507" t="s">
        <v>850</v>
      </c>
      <c r="F3819" s="1507"/>
      <c r="G3819" s="268" t="s">
        <v>777</v>
      </c>
      <c r="H3819" s="576">
        <v>48.5</v>
      </c>
      <c r="V3819">
        <v>34</v>
      </c>
    </row>
    <row r="3820" spans="1:22" customFormat="1" ht="15" x14ac:dyDescent="0.25">
      <c r="A3820" t="s">
        <v>222</v>
      </c>
      <c r="E3820" s="1507" t="s">
        <v>851</v>
      </c>
      <c r="F3820" s="1507"/>
      <c r="G3820" s="268" t="s">
        <v>852</v>
      </c>
      <c r="H3820" s="576">
        <v>1.2</v>
      </c>
      <c r="V3820">
        <v>51</v>
      </c>
    </row>
    <row r="3821" spans="1:22" customFormat="1" ht="15" x14ac:dyDescent="0.25">
      <c r="A3821" t="s">
        <v>222</v>
      </c>
      <c r="E3821" s="1507" t="s">
        <v>853</v>
      </c>
      <c r="F3821" s="1507"/>
      <c r="G3821" s="268" t="s">
        <v>852</v>
      </c>
      <c r="H3821" s="576">
        <v>0.71</v>
      </c>
      <c r="V3821">
        <v>75</v>
      </c>
    </row>
    <row r="3822" spans="1:22" customFormat="1" ht="15" x14ac:dyDescent="0.25">
      <c r="A3822" t="s">
        <v>222</v>
      </c>
      <c r="E3822" s="1507" t="s">
        <v>854</v>
      </c>
      <c r="F3822" s="1507"/>
      <c r="G3822" s="268" t="s">
        <v>852</v>
      </c>
      <c r="H3822" s="576">
        <v>-0.71</v>
      </c>
      <c r="V3822">
        <v>72</v>
      </c>
    </row>
    <row r="3823" spans="1:22" customFormat="1" ht="15" x14ac:dyDescent="0.25">
      <c r="A3823" t="s">
        <v>222</v>
      </c>
      <c r="E3823" s="1507" t="s">
        <v>855</v>
      </c>
      <c r="F3823" s="1507"/>
      <c r="G3823" s="268"/>
      <c r="H3823" s="650"/>
      <c r="V3823">
        <v>34</v>
      </c>
    </row>
    <row r="3824" spans="1:22" customFormat="1" ht="15" x14ac:dyDescent="0.25">
      <c r="A3824" t="s">
        <v>222</v>
      </c>
      <c r="E3824" s="1511" t="s">
        <v>1106</v>
      </c>
      <c r="F3824" s="1511"/>
      <c r="G3824" s="268" t="s">
        <v>777</v>
      </c>
      <c r="H3824" s="576">
        <v>0.61</v>
      </c>
      <c r="V3824">
        <v>57</v>
      </c>
    </row>
    <row r="3825" spans="1:22" customFormat="1" ht="15" x14ac:dyDescent="0.25">
      <c r="A3825" t="s">
        <v>222</v>
      </c>
      <c r="E3825" s="1511" t="s">
        <v>1107</v>
      </c>
      <c r="F3825" s="1511"/>
      <c r="G3825" s="268" t="s">
        <v>777</v>
      </c>
      <c r="H3825" s="576">
        <v>1.2</v>
      </c>
      <c r="V3825">
        <v>60</v>
      </c>
    </row>
    <row r="3826" spans="1:22" customFormat="1" ht="15" x14ac:dyDescent="0.25">
      <c r="A3826" t="s">
        <v>222</v>
      </c>
      <c r="E3826" s="1507" t="s">
        <v>1108</v>
      </c>
      <c r="F3826" s="1507"/>
      <c r="G3826" s="268"/>
      <c r="H3826" s="650"/>
      <c r="V3826">
        <v>91</v>
      </c>
    </row>
    <row r="3827" spans="1:22" customFormat="1" ht="15" x14ac:dyDescent="0.25">
      <c r="A3827" t="s">
        <v>222</v>
      </c>
      <c r="E3827" s="1507" t="s">
        <v>1109</v>
      </c>
      <c r="F3827" s="1507"/>
      <c r="G3827" s="268"/>
      <c r="H3827" s="650"/>
      <c r="V3827">
        <v>96</v>
      </c>
    </row>
    <row r="3828" spans="1:22" customFormat="1" ht="15" x14ac:dyDescent="0.25">
      <c r="A3828" t="s">
        <v>222</v>
      </c>
      <c r="E3828" s="1507" t="s">
        <v>856</v>
      </c>
      <c r="F3828" s="1507"/>
      <c r="G3828" s="268"/>
      <c r="H3828" s="650"/>
      <c r="V3828">
        <v>77</v>
      </c>
    </row>
    <row r="3829" spans="1:22" customFormat="1" ht="15" x14ac:dyDescent="0.25">
      <c r="A3829" t="s">
        <v>222</v>
      </c>
      <c r="E3829" s="1511" t="s">
        <v>1111</v>
      </c>
      <c r="F3829" s="1511"/>
      <c r="G3829" s="268" t="s">
        <v>777</v>
      </c>
      <c r="H3829" s="650" t="s">
        <v>857</v>
      </c>
      <c r="V3829">
        <v>18</v>
      </c>
    </row>
    <row r="3830" spans="1:22" customFormat="1" ht="15" x14ac:dyDescent="0.25">
      <c r="A3830" t="s">
        <v>222</v>
      </c>
      <c r="E3830" s="1511" t="s">
        <v>1112</v>
      </c>
      <c r="F3830" s="1511"/>
      <c r="G3830" s="268" t="s">
        <v>777</v>
      </c>
      <c r="H3830" s="576">
        <v>4.8499999999999996</v>
      </c>
      <c r="V3830">
        <v>69</v>
      </c>
    </row>
    <row r="3831" spans="1:22" customFormat="1" ht="18.75" x14ac:dyDescent="0.3">
      <c r="A3831" t="s">
        <v>222</v>
      </c>
      <c r="E3831" s="836" t="s">
        <v>3853</v>
      </c>
      <c r="F3831" s="381"/>
      <c r="G3831" s="381"/>
      <c r="H3831" s="382"/>
      <c r="K3831" t="s">
        <v>4677</v>
      </c>
      <c r="V3831">
        <v>12</v>
      </c>
    </row>
    <row r="3832" spans="1:22" customFormat="1" ht="15" x14ac:dyDescent="0.25">
      <c r="A3832" t="s">
        <v>222</v>
      </c>
      <c r="E3832" s="1507" t="s">
        <v>1114</v>
      </c>
      <c r="F3832" s="1507"/>
      <c r="G3832" s="1507"/>
      <c r="H3832" s="1507"/>
      <c r="V3832">
        <v>203</v>
      </c>
    </row>
    <row r="3833" spans="1:22" customFormat="1" ht="15" x14ac:dyDescent="0.25">
      <c r="A3833" t="s">
        <v>222</v>
      </c>
      <c r="E3833" s="1507" t="s">
        <v>1115</v>
      </c>
      <c r="F3833" s="1507"/>
      <c r="G3833" s="584"/>
      <c r="H3833" s="650">
        <v>1.0310999999999999</v>
      </c>
      <c r="V3833">
        <v>57</v>
      </c>
    </row>
    <row r="3834" spans="1:22" customFormat="1" ht="15" x14ac:dyDescent="0.25">
      <c r="A3834" t="s">
        <v>222</v>
      </c>
      <c r="E3834" s="1507" t="s">
        <v>4072</v>
      </c>
      <c r="F3834" s="1507"/>
      <c r="G3834" s="584"/>
      <c r="H3834" s="650">
        <v>1.0145</v>
      </c>
      <c r="V3834">
        <v>57</v>
      </c>
    </row>
    <row r="3835" spans="1:22" customFormat="1" ht="15" x14ac:dyDescent="0.25">
      <c r="A3835" t="s">
        <v>222</v>
      </c>
      <c r="E3835" s="1507" t="s">
        <v>1117</v>
      </c>
      <c r="F3835" s="1507"/>
      <c r="G3835" s="584"/>
      <c r="H3835" s="650">
        <v>1.0206999999999999</v>
      </c>
      <c r="V3835">
        <v>55</v>
      </c>
    </row>
    <row r="3836" spans="1:22" customFormat="1" ht="15" x14ac:dyDescent="0.25">
      <c r="A3836" t="s">
        <v>222</v>
      </c>
      <c r="E3836" s="1507" t="s">
        <v>4073</v>
      </c>
      <c r="F3836" s="1507"/>
      <c r="G3836" s="584"/>
      <c r="H3836" s="650">
        <v>1.0044999999999999</v>
      </c>
      <c r="J3836" t="s">
        <v>4678</v>
      </c>
      <c r="V3836">
        <v>55</v>
      </c>
    </row>
    <row r="3837" spans="1:22" customFormat="1" ht="23.25" x14ac:dyDescent="0.25">
      <c r="A3837" t="s">
        <v>224</v>
      </c>
      <c r="C3837" t="s">
        <v>3755</v>
      </c>
      <c r="E3837" s="1576" t="s">
        <v>224</v>
      </c>
      <c r="F3837" s="1576"/>
      <c r="G3837" s="1576"/>
      <c r="H3837" s="1576"/>
      <c r="I3837" t="s">
        <v>94</v>
      </c>
      <c r="J3837" t="s">
        <v>5310</v>
      </c>
      <c r="K3837" t="s">
        <v>224</v>
      </c>
      <c r="M3837">
        <v>6</v>
      </c>
      <c r="V3837">
        <v>43</v>
      </c>
    </row>
    <row r="3838" spans="1:22" customFormat="1" x14ac:dyDescent="0.25">
      <c r="A3838" t="s">
        <v>224</v>
      </c>
      <c r="C3838" t="s">
        <v>3757</v>
      </c>
      <c r="E3838" s="1577" t="s">
        <v>944</v>
      </c>
      <c r="F3838" s="1577"/>
      <c r="G3838" s="1577"/>
      <c r="H3838" s="1577"/>
      <c r="V3838">
        <v>27</v>
      </c>
    </row>
    <row r="3839" spans="1:22" customFormat="1" ht="15.75" x14ac:dyDescent="0.25">
      <c r="A3839" t="s">
        <v>224</v>
      </c>
      <c r="C3839" t="s">
        <v>3758</v>
      </c>
      <c r="E3839" s="1585" t="s">
        <v>6511</v>
      </c>
      <c r="F3839" s="1585"/>
      <c r="G3839" s="1585"/>
      <c r="H3839" s="1585"/>
      <c r="S3839">
        <v>45658</v>
      </c>
      <c r="V3839">
        <v>49</v>
      </c>
    </row>
    <row r="3840" spans="1:22" customFormat="1" ht="15" x14ac:dyDescent="0.25">
      <c r="A3840" t="s">
        <v>224</v>
      </c>
      <c r="C3840" t="s">
        <v>3759</v>
      </c>
      <c r="E3840" s="1575" t="s">
        <v>945</v>
      </c>
      <c r="F3840" s="1575"/>
      <c r="G3840" s="1575"/>
      <c r="H3840" s="1575"/>
      <c r="V3840">
        <v>52</v>
      </c>
    </row>
    <row r="3841" spans="1:22" customFormat="1" ht="15" x14ac:dyDescent="0.25">
      <c r="A3841" t="s">
        <v>224</v>
      </c>
      <c r="E3841" s="1575" t="s">
        <v>946</v>
      </c>
      <c r="F3841" s="1575"/>
      <c r="G3841" s="1575"/>
      <c r="H3841" s="1575"/>
      <c r="V3841">
        <v>53</v>
      </c>
    </row>
    <row r="3842" spans="1:22" customFormat="1" ht="15" x14ac:dyDescent="0.25">
      <c r="A3842" t="s">
        <v>224</v>
      </c>
      <c r="E3842" s="1534" t="s">
        <v>6739</v>
      </c>
      <c r="F3842" s="1534"/>
      <c r="G3842" s="1534"/>
      <c r="H3842" s="1534"/>
      <c r="K3842" t="s">
        <v>6739</v>
      </c>
      <c r="V3842">
        <v>12</v>
      </c>
    </row>
    <row r="3843" spans="1:22" customFormat="1" ht="15" x14ac:dyDescent="0.25">
      <c r="A3843" t="s">
        <v>224</v>
      </c>
      <c r="E3843" s="1538" t="s">
        <v>170</v>
      </c>
      <c r="F3843" s="1496"/>
      <c r="G3843" s="1496"/>
      <c r="H3843" s="1496"/>
      <c r="K3843" t="s">
        <v>947</v>
      </c>
      <c r="V3843">
        <v>34</v>
      </c>
    </row>
    <row r="3844" spans="1:22" customFormat="1" ht="15" x14ac:dyDescent="0.25">
      <c r="A3844" t="s">
        <v>224</v>
      </c>
      <c r="E3844" s="1496" t="s">
        <v>5311</v>
      </c>
      <c r="F3844" s="1496"/>
      <c r="G3844" s="1496"/>
      <c r="H3844" s="1496"/>
      <c r="K3844" t="s">
        <v>947</v>
      </c>
      <c r="V3844">
        <v>615</v>
      </c>
    </row>
    <row r="3845" spans="1:22" customFormat="1" ht="15" x14ac:dyDescent="0.25">
      <c r="A3845" t="s">
        <v>224</v>
      </c>
      <c r="E3845" s="1533" t="s">
        <v>950</v>
      </c>
      <c r="F3845" s="1496"/>
      <c r="G3845" s="1496"/>
      <c r="H3845" s="1496"/>
      <c r="K3845" t="s">
        <v>949</v>
      </c>
      <c r="V3845">
        <v>11</v>
      </c>
    </row>
    <row r="3846" spans="1:22" customFormat="1" ht="15" x14ac:dyDescent="0.25">
      <c r="A3846" t="s">
        <v>224</v>
      </c>
      <c r="E3846" s="1496" t="s">
        <v>951</v>
      </c>
      <c r="F3846" s="1496"/>
      <c r="G3846" s="1496"/>
      <c r="H3846" s="1496"/>
      <c r="K3846" t="s">
        <v>947</v>
      </c>
      <c r="V3846">
        <v>280</v>
      </c>
    </row>
    <row r="3847" spans="1:22" customFormat="1" ht="15" x14ac:dyDescent="0.25">
      <c r="A3847" t="s">
        <v>224</v>
      </c>
      <c r="E3847" s="1496" t="s">
        <v>952</v>
      </c>
      <c r="F3847" s="1496"/>
      <c r="G3847" s="1496"/>
      <c r="H3847" s="1496"/>
      <c r="K3847" t="s">
        <v>947</v>
      </c>
      <c r="V3847">
        <v>411</v>
      </c>
    </row>
    <row r="3848" spans="1:22" customFormat="1" ht="15" x14ac:dyDescent="0.25">
      <c r="A3848" t="s">
        <v>224</v>
      </c>
      <c r="E3848" s="1496" t="s">
        <v>953</v>
      </c>
      <c r="F3848" s="1496"/>
      <c r="G3848" s="1496"/>
      <c r="H3848" s="1496"/>
      <c r="K3848" t="s">
        <v>947</v>
      </c>
      <c r="V3848">
        <v>386</v>
      </c>
    </row>
    <row r="3849" spans="1:22" customFormat="1" ht="15" x14ac:dyDescent="0.25">
      <c r="A3849" t="s">
        <v>224</v>
      </c>
      <c r="E3849" s="1496" t="s">
        <v>3762</v>
      </c>
      <c r="F3849" s="1496"/>
      <c r="G3849" s="1496"/>
      <c r="H3849" s="1496"/>
      <c r="K3849" t="s">
        <v>947</v>
      </c>
      <c r="V3849">
        <v>247</v>
      </c>
    </row>
    <row r="3850" spans="1:22" customFormat="1" ht="15" x14ac:dyDescent="0.25">
      <c r="A3850" t="s">
        <v>224</v>
      </c>
      <c r="E3850" s="1533" t="s">
        <v>956</v>
      </c>
      <c r="F3850" s="1496"/>
      <c r="G3850" s="1496"/>
      <c r="H3850" s="1496"/>
      <c r="K3850" t="s">
        <v>955</v>
      </c>
      <c r="V3850">
        <v>46</v>
      </c>
    </row>
    <row r="3851" spans="1:22" customFormat="1" ht="15" x14ac:dyDescent="0.25">
      <c r="A3851" t="s">
        <v>224</v>
      </c>
      <c r="E3851" s="1524" t="s">
        <v>3773</v>
      </c>
      <c r="F3851" s="1524"/>
      <c r="G3851" s="360" t="s">
        <v>777</v>
      </c>
      <c r="H3851" s="576">
        <v>31.8</v>
      </c>
      <c r="K3851" t="s">
        <v>947</v>
      </c>
      <c r="L3851" t="s">
        <v>690</v>
      </c>
      <c r="P3851" t="s">
        <v>957</v>
      </c>
      <c r="V3851">
        <v>14</v>
      </c>
    </row>
    <row r="3852" spans="1:22" customFormat="1" ht="15" x14ac:dyDescent="0.25">
      <c r="A3852" t="s">
        <v>224</v>
      </c>
      <c r="E3852" s="1524" t="s">
        <v>5312</v>
      </c>
      <c r="F3852" s="1524"/>
      <c r="G3852" s="360" t="s">
        <v>777</v>
      </c>
      <c r="H3852" s="576">
        <v>0.88</v>
      </c>
      <c r="K3852" t="s">
        <v>947</v>
      </c>
      <c r="L3852" t="s">
        <v>690</v>
      </c>
      <c r="P3852" t="s">
        <v>963</v>
      </c>
      <c r="T3852">
        <v>45930</v>
      </c>
      <c r="V3852">
        <v>108</v>
      </c>
    </row>
    <row r="3853" spans="1:22" customFormat="1" ht="15" x14ac:dyDescent="0.25">
      <c r="A3853" t="s">
        <v>224</v>
      </c>
      <c r="E3853" s="1524" t="s">
        <v>960</v>
      </c>
      <c r="F3853" s="1524"/>
      <c r="G3853" s="360" t="s">
        <v>777</v>
      </c>
      <c r="H3853" s="604">
        <v>0.42</v>
      </c>
      <c r="K3853" t="s">
        <v>947</v>
      </c>
      <c r="L3853" t="s">
        <v>692</v>
      </c>
      <c r="P3853" t="s">
        <v>959</v>
      </c>
      <c r="V3853">
        <v>64</v>
      </c>
    </row>
    <row r="3854" spans="1:22" customFormat="1" ht="15" x14ac:dyDescent="0.25">
      <c r="A3854" t="s">
        <v>224</v>
      </c>
      <c r="E3854" s="1524" t="s">
        <v>910</v>
      </c>
      <c r="F3854" s="1524"/>
      <c r="G3854" s="360" t="s">
        <v>845</v>
      </c>
      <c r="H3854" s="605">
        <v>4.1000000000000003E-3</v>
      </c>
      <c r="K3854" t="s">
        <v>947</v>
      </c>
      <c r="L3854" t="s">
        <v>692</v>
      </c>
      <c r="P3854" t="s">
        <v>961</v>
      </c>
      <c r="V3854">
        <v>24</v>
      </c>
    </row>
    <row r="3855" spans="1:22" customFormat="1" ht="15" x14ac:dyDescent="0.25">
      <c r="A3855" t="s">
        <v>224</v>
      </c>
      <c r="E3855" s="1524" t="s">
        <v>5313</v>
      </c>
      <c r="F3855" s="1524"/>
      <c r="G3855" s="360" t="s">
        <v>845</v>
      </c>
      <c r="H3855" s="605">
        <v>2.7000000000000001E-3</v>
      </c>
      <c r="K3855" t="s">
        <v>947</v>
      </c>
      <c r="L3855" t="s">
        <v>692</v>
      </c>
      <c r="P3855" t="s">
        <v>963</v>
      </c>
      <c r="T3855">
        <v>45930</v>
      </c>
      <c r="V3855">
        <v>100</v>
      </c>
    </row>
    <row r="3856" spans="1:22" customFormat="1" ht="15" x14ac:dyDescent="0.25">
      <c r="A3856" t="s">
        <v>224</v>
      </c>
      <c r="E3856" s="1524" t="s">
        <v>6634</v>
      </c>
      <c r="F3856" s="1510"/>
      <c r="G3856" s="360" t="s">
        <v>845</v>
      </c>
      <c r="H3856" s="605">
        <v>1E-4</v>
      </c>
      <c r="K3856" t="s">
        <v>947</v>
      </c>
      <c r="L3856" t="s">
        <v>692</v>
      </c>
      <c r="P3856" t="s">
        <v>3764</v>
      </c>
      <c r="T3856">
        <v>46022</v>
      </c>
      <c r="V3856">
        <v>142</v>
      </c>
    </row>
    <row r="3857" spans="1:22" customFormat="1" ht="15" x14ac:dyDescent="0.25">
      <c r="A3857" t="s">
        <v>224</v>
      </c>
      <c r="E3857" s="1524" t="s">
        <v>5314</v>
      </c>
      <c r="F3857" s="1507"/>
      <c r="G3857" s="360" t="s">
        <v>845</v>
      </c>
      <c r="H3857" s="605">
        <v>-2.0000000000000001E-4</v>
      </c>
      <c r="K3857" t="s">
        <v>947</v>
      </c>
      <c r="L3857" t="s">
        <v>692</v>
      </c>
      <c r="P3857" t="s">
        <v>3764</v>
      </c>
      <c r="T3857">
        <v>45777</v>
      </c>
      <c r="V3857">
        <v>144</v>
      </c>
    </row>
    <row r="3858" spans="1:22" customFormat="1" ht="15" x14ac:dyDescent="0.25">
      <c r="A3858" t="s">
        <v>224</v>
      </c>
      <c r="E3858" s="1524" t="s">
        <v>5315</v>
      </c>
      <c r="F3858" s="1507"/>
      <c r="G3858" s="360" t="s">
        <v>845</v>
      </c>
      <c r="H3858" s="605">
        <v>-1E-4</v>
      </c>
      <c r="K3858" t="s">
        <v>947</v>
      </c>
      <c r="L3858" t="s">
        <v>692</v>
      </c>
      <c r="P3858" t="s">
        <v>3764</v>
      </c>
      <c r="T3858">
        <v>45930</v>
      </c>
      <c r="V3858">
        <v>148</v>
      </c>
    </row>
    <row r="3859" spans="1:22" customFormat="1" ht="15" x14ac:dyDescent="0.25">
      <c r="A3859" t="s">
        <v>224</v>
      </c>
      <c r="E3859" s="1524" t="s">
        <v>6519</v>
      </c>
      <c r="F3859" s="1510"/>
      <c r="G3859" s="360" t="s">
        <v>845</v>
      </c>
      <c r="H3859" s="605">
        <v>2.8999999999999998E-3</v>
      </c>
      <c r="K3859" t="s">
        <v>947</v>
      </c>
      <c r="L3859" t="s">
        <v>692</v>
      </c>
      <c r="P3859" t="s">
        <v>962</v>
      </c>
      <c r="T3859">
        <v>46022</v>
      </c>
      <c r="V3859">
        <v>142</v>
      </c>
    </row>
    <row r="3860" spans="1:22" customFormat="1" ht="15" x14ac:dyDescent="0.25">
      <c r="A3860" t="s">
        <v>224</v>
      </c>
      <c r="E3860" s="1524" t="s">
        <v>6520</v>
      </c>
      <c r="F3860" s="1510"/>
      <c r="G3860" s="360" t="s">
        <v>845</v>
      </c>
      <c r="H3860" s="605">
        <v>2.2000000000000001E-3</v>
      </c>
      <c r="K3860" t="s">
        <v>947</v>
      </c>
      <c r="L3860" t="s">
        <v>692</v>
      </c>
      <c r="P3860" t="s">
        <v>963</v>
      </c>
      <c r="T3860">
        <v>46022</v>
      </c>
      <c r="V3860">
        <v>99</v>
      </c>
    </row>
    <row r="3861" spans="1:22" customFormat="1" ht="15" x14ac:dyDescent="0.25">
      <c r="A3861" t="s">
        <v>224</v>
      </c>
      <c r="E3861" s="1524" t="s">
        <v>5262</v>
      </c>
      <c r="F3861" s="1507"/>
      <c r="G3861" s="360" t="s">
        <v>845</v>
      </c>
      <c r="H3861" s="605">
        <v>-5.0000000000000001E-4</v>
      </c>
      <c r="K3861" t="s">
        <v>947</v>
      </c>
      <c r="L3861" t="s">
        <v>692</v>
      </c>
      <c r="P3861" t="s">
        <v>962</v>
      </c>
      <c r="T3861">
        <v>45777</v>
      </c>
      <c r="V3861">
        <v>139</v>
      </c>
    </row>
    <row r="3862" spans="1:22" customFormat="1" ht="15" x14ac:dyDescent="0.25">
      <c r="A3862" t="s">
        <v>224</v>
      </c>
      <c r="E3862" s="1524" t="s">
        <v>5263</v>
      </c>
      <c r="F3862" s="1507"/>
      <c r="G3862" s="360" t="s">
        <v>845</v>
      </c>
      <c r="H3862" s="605">
        <v>4.7999999999999996E-3</v>
      </c>
      <c r="K3862" t="s">
        <v>947</v>
      </c>
      <c r="L3862" t="s">
        <v>692</v>
      </c>
      <c r="P3862" t="s">
        <v>963</v>
      </c>
      <c r="T3862">
        <v>45777</v>
      </c>
      <c r="V3862">
        <v>96</v>
      </c>
    </row>
    <row r="3863" spans="1:22" customFormat="1" ht="15" x14ac:dyDescent="0.25">
      <c r="A3863" t="s">
        <v>224</v>
      </c>
      <c r="E3863" s="1524" t="s">
        <v>5316</v>
      </c>
      <c r="F3863" s="1507"/>
      <c r="G3863" s="360" t="s">
        <v>845</v>
      </c>
      <c r="H3863" s="605">
        <v>-1.8E-3</v>
      </c>
      <c r="K3863" t="s">
        <v>947</v>
      </c>
      <c r="L3863" t="s">
        <v>690</v>
      </c>
      <c r="P3863" t="s">
        <v>962</v>
      </c>
      <c r="T3863">
        <v>45930</v>
      </c>
      <c r="V3863">
        <v>155</v>
      </c>
    </row>
    <row r="3864" spans="1:22" customFormat="1" ht="15" x14ac:dyDescent="0.25">
      <c r="A3864" t="s">
        <v>224</v>
      </c>
      <c r="E3864" s="1524" t="s">
        <v>243</v>
      </c>
      <c r="F3864" s="1524"/>
      <c r="G3864" s="360" t="s">
        <v>845</v>
      </c>
      <c r="H3864" s="577">
        <v>1.09E-2</v>
      </c>
      <c r="K3864" t="s">
        <v>947</v>
      </c>
      <c r="L3864" t="s">
        <v>694</v>
      </c>
      <c r="P3864" t="s">
        <v>964</v>
      </c>
      <c r="V3864">
        <v>47</v>
      </c>
    </row>
    <row r="3865" spans="1:22" customFormat="1" ht="15" x14ac:dyDescent="0.25">
      <c r="A3865" t="s">
        <v>224</v>
      </c>
      <c r="E3865" s="1524" t="s">
        <v>175</v>
      </c>
      <c r="F3865" s="1524"/>
      <c r="G3865" s="360" t="s">
        <v>845</v>
      </c>
      <c r="H3865" s="577">
        <v>7.1000000000000004E-3</v>
      </c>
      <c r="K3865" t="s">
        <v>947</v>
      </c>
      <c r="L3865" t="s">
        <v>694</v>
      </c>
      <c r="P3865" t="s">
        <v>965</v>
      </c>
      <c r="V3865">
        <v>74</v>
      </c>
    </row>
    <row r="3866" spans="1:22" customFormat="1" ht="15" x14ac:dyDescent="0.25">
      <c r="A3866" t="s">
        <v>224</v>
      </c>
      <c r="E3866" s="1533" t="s">
        <v>967</v>
      </c>
      <c r="F3866" s="1524"/>
      <c r="G3866" s="360"/>
      <c r="H3866" s="360"/>
      <c r="K3866" t="s">
        <v>966</v>
      </c>
      <c r="V3866">
        <v>48</v>
      </c>
    </row>
    <row r="3867" spans="1:22" customFormat="1" ht="15" x14ac:dyDescent="0.25">
      <c r="A3867" t="s">
        <v>224</v>
      </c>
      <c r="E3867" s="1524" t="s">
        <v>844</v>
      </c>
      <c r="F3867" s="1524"/>
      <c r="G3867" s="360" t="s">
        <v>845</v>
      </c>
      <c r="H3867" s="605">
        <v>4.1000000000000003E-3</v>
      </c>
      <c r="K3867" t="s">
        <v>947</v>
      </c>
      <c r="L3867" t="s">
        <v>968</v>
      </c>
      <c r="P3867" t="s">
        <v>969</v>
      </c>
      <c r="V3867">
        <v>55</v>
      </c>
    </row>
    <row r="3868" spans="1:22" customFormat="1" ht="15" x14ac:dyDescent="0.25">
      <c r="A3868" t="s">
        <v>224</v>
      </c>
      <c r="E3868" s="1524" t="s">
        <v>846</v>
      </c>
      <c r="F3868" s="1524"/>
      <c r="G3868" s="360" t="s">
        <v>845</v>
      </c>
      <c r="H3868" s="605">
        <v>4.0000000000000002E-4</v>
      </c>
      <c r="K3868" t="s">
        <v>947</v>
      </c>
      <c r="L3868" t="s">
        <v>968</v>
      </c>
      <c r="P3868" t="s">
        <v>969</v>
      </c>
      <c r="V3868">
        <v>65</v>
      </c>
    </row>
    <row r="3869" spans="1:22" customFormat="1" ht="15" x14ac:dyDescent="0.25">
      <c r="A3869" t="s">
        <v>224</v>
      </c>
      <c r="E3869" s="1524" t="s">
        <v>847</v>
      </c>
      <c r="F3869" s="1524"/>
      <c r="G3869" s="360" t="s">
        <v>845</v>
      </c>
      <c r="H3869" s="605">
        <v>1.5E-3</v>
      </c>
      <c r="K3869" t="s">
        <v>947</v>
      </c>
      <c r="L3869" t="s">
        <v>968</v>
      </c>
      <c r="P3869" t="s">
        <v>970</v>
      </c>
      <c r="V3869">
        <v>57</v>
      </c>
    </row>
    <row r="3870" spans="1:22" customFormat="1" ht="15" x14ac:dyDescent="0.25">
      <c r="A3870" t="s">
        <v>224</v>
      </c>
      <c r="E3870" s="1524" t="s">
        <v>848</v>
      </c>
      <c r="F3870" s="1524"/>
      <c r="G3870" s="360" t="s">
        <v>777</v>
      </c>
      <c r="H3870" s="604">
        <v>0.25</v>
      </c>
      <c r="K3870" t="s">
        <v>947</v>
      </c>
      <c r="L3870" t="s">
        <v>968</v>
      </c>
      <c r="P3870" t="s">
        <v>971</v>
      </c>
      <c r="V3870">
        <v>63</v>
      </c>
    </row>
    <row r="3871" spans="1:22" customFormat="1" x14ac:dyDescent="0.25">
      <c r="A3871" t="s">
        <v>224</v>
      </c>
      <c r="E3871" s="1538" t="s">
        <v>174</v>
      </c>
      <c r="F3871" s="1571"/>
      <c r="G3871" s="1571"/>
      <c r="H3871" s="1571"/>
      <c r="K3871" t="s">
        <v>972</v>
      </c>
      <c r="V3871">
        <v>54</v>
      </c>
    </row>
    <row r="3872" spans="1:22" customFormat="1" ht="15" x14ac:dyDescent="0.25">
      <c r="A3872" t="s">
        <v>224</v>
      </c>
      <c r="E3872" s="1496" t="s">
        <v>5317</v>
      </c>
      <c r="F3872" s="1496"/>
      <c r="G3872" s="1496"/>
      <c r="H3872" s="1496"/>
      <c r="K3872" t="s">
        <v>972</v>
      </c>
      <c r="V3872">
        <v>335</v>
      </c>
    </row>
    <row r="3873" spans="1:22" customFormat="1" ht="15" x14ac:dyDescent="0.25">
      <c r="A3873" t="s">
        <v>224</v>
      </c>
      <c r="E3873" s="1533" t="s">
        <v>950</v>
      </c>
      <c r="F3873" s="1496"/>
      <c r="G3873" s="1496"/>
      <c r="H3873" s="1496"/>
      <c r="K3873" t="s">
        <v>974</v>
      </c>
      <c r="V3873">
        <v>11</v>
      </c>
    </row>
    <row r="3874" spans="1:22" customFormat="1" ht="15" x14ac:dyDescent="0.25">
      <c r="A3874" t="s">
        <v>224</v>
      </c>
      <c r="E3874" s="1496" t="s">
        <v>951</v>
      </c>
      <c r="F3874" s="1496"/>
      <c r="G3874" s="1496"/>
      <c r="H3874" s="1496"/>
      <c r="K3874" t="s">
        <v>972</v>
      </c>
      <c r="V3874">
        <v>280</v>
      </c>
    </row>
    <row r="3875" spans="1:22" customFormat="1" ht="15" x14ac:dyDescent="0.25">
      <c r="A3875" t="s">
        <v>224</v>
      </c>
      <c r="E3875" s="1496" t="s">
        <v>952</v>
      </c>
      <c r="F3875" s="1496"/>
      <c r="G3875" s="1496"/>
      <c r="H3875" s="1496"/>
      <c r="K3875" t="s">
        <v>972</v>
      </c>
      <c r="V3875">
        <v>411</v>
      </c>
    </row>
    <row r="3876" spans="1:22" customFormat="1" ht="15" x14ac:dyDescent="0.25">
      <c r="A3876" t="s">
        <v>224</v>
      </c>
      <c r="E3876" s="1496" t="s">
        <v>953</v>
      </c>
      <c r="F3876" s="1496"/>
      <c r="G3876" s="1496"/>
      <c r="H3876" s="1496"/>
      <c r="K3876" t="s">
        <v>972</v>
      </c>
      <c r="V3876">
        <v>386</v>
      </c>
    </row>
    <row r="3877" spans="1:22" customFormat="1" ht="15" x14ac:dyDescent="0.25">
      <c r="A3877" t="s">
        <v>224</v>
      </c>
      <c r="E3877" s="1496" t="s">
        <v>4988</v>
      </c>
      <c r="F3877" s="1496"/>
      <c r="G3877" s="1496"/>
      <c r="H3877" s="1496"/>
      <c r="K3877" t="s">
        <v>972</v>
      </c>
      <c r="V3877">
        <v>251</v>
      </c>
    </row>
    <row r="3878" spans="1:22" customFormat="1" ht="15" x14ac:dyDescent="0.25">
      <c r="A3878" t="s">
        <v>224</v>
      </c>
      <c r="E3878" s="1533" t="s">
        <v>956</v>
      </c>
      <c r="F3878" s="1496"/>
      <c r="G3878" s="1496"/>
      <c r="H3878" s="1496"/>
      <c r="K3878" t="s">
        <v>975</v>
      </c>
      <c r="V3878">
        <v>46</v>
      </c>
    </row>
    <row r="3879" spans="1:22" customFormat="1" ht="15" x14ac:dyDescent="0.25">
      <c r="A3879" t="s">
        <v>224</v>
      </c>
      <c r="E3879" s="1524" t="s">
        <v>3773</v>
      </c>
      <c r="F3879" s="1524"/>
      <c r="G3879" s="360" t="s">
        <v>777</v>
      </c>
      <c r="H3879" s="576">
        <v>26.94</v>
      </c>
      <c r="K3879" t="s">
        <v>972</v>
      </c>
      <c r="L3879" t="s">
        <v>690</v>
      </c>
      <c r="P3879" t="s">
        <v>976</v>
      </c>
      <c r="V3879">
        <v>14</v>
      </c>
    </row>
    <row r="3880" spans="1:22" customFormat="1" ht="15" x14ac:dyDescent="0.25">
      <c r="A3880" t="s">
        <v>224</v>
      </c>
      <c r="E3880" s="1524" t="s">
        <v>960</v>
      </c>
      <c r="F3880" s="1524"/>
      <c r="G3880" s="360" t="s">
        <v>777</v>
      </c>
      <c r="H3880" s="604">
        <v>0.42</v>
      </c>
      <c r="K3880" t="s">
        <v>972</v>
      </c>
      <c r="L3880" t="s">
        <v>692</v>
      </c>
      <c r="P3880" t="s">
        <v>977</v>
      </c>
      <c r="V3880">
        <v>64</v>
      </c>
    </row>
    <row r="3881" spans="1:22" customFormat="1" ht="15" x14ac:dyDescent="0.25">
      <c r="A3881" t="s">
        <v>224</v>
      </c>
      <c r="E3881" s="1524" t="s">
        <v>3688</v>
      </c>
      <c r="F3881" s="1524"/>
      <c r="G3881" s="360" t="s">
        <v>845</v>
      </c>
      <c r="H3881" s="577">
        <v>1.7899999999999999E-2</v>
      </c>
      <c r="K3881" t="s">
        <v>972</v>
      </c>
      <c r="L3881" t="s">
        <v>690</v>
      </c>
      <c r="P3881" t="s">
        <v>978</v>
      </c>
      <c r="V3881">
        <v>28</v>
      </c>
    </row>
    <row r="3882" spans="1:22" customFormat="1" ht="15" x14ac:dyDescent="0.25">
      <c r="A3882" t="s">
        <v>224</v>
      </c>
      <c r="E3882" s="1524" t="s">
        <v>910</v>
      </c>
      <c r="F3882" s="1524"/>
      <c r="G3882" s="360" t="s">
        <v>845</v>
      </c>
      <c r="H3882" s="605">
        <v>3.3999999999999998E-3</v>
      </c>
      <c r="K3882" t="s">
        <v>972</v>
      </c>
      <c r="L3882" t="s">
        <v>692</v>
      </c>
      <c r="P3882" t="s">
        <v>980</v>
      </c>
      <c r="V3882">
        <v>24</v>
      </c>
    </row>
    <row r="3883" spans="1:22" customFormat="1" ht="15" x14ac:dyDescent="0.25">
      <c r="A3883" t="s">
        <v>224</v>
      </c>
      <c r="E3883" s="1524" t="s">
        <v>5313</v>
      </c>
      <c r="F3883" s="1507"/>
      <c r="G3883" s="360" t="s">
        <v>845</v>
      </c>
      <c r="H3883" s="605">
        <v>2.7000000000000001E-3</v>
      </c>
      <c r="K3883" t="s">
        <v>972</v>
      </c>
      <c r="L3883" t="s">
        <v>692</v>
      </c>
      <c r="P3883" t="s">
        <v>982</v>
      </c>
      <c r="T3883">
        <v>45930</v>
      </c>
      <c r="V3883">
        <v>100</v>
      </c>
    </row>
    <row r="3884" spans="1:22" customFormat="1" ht="15" x14ac:dyDescent="0.25">
      <c r="A3884" t="s">
        <v>224</v>
      </c>
      <c r="E3884" s="1524" t="s">
        <v>6634</v>
      </c>
      <c r="F3884" s="1510"/>
      <c r="G3884" s="360" t="s">
        <v>845</v>
      </c>
      <c r="H3884" s="605">
        <v>1E-4</v>
      </c>
      <c r="K3884" t="s">
        <v>972</v>
      </c>
      <c r="L3884" t="s">
        <v>692</v>
      </c>
      <c r="P3884" t="s">
        <v>3766</v>
      </c>
      <c r="T3884">
        <v>46022</v>
      </c>
      <c r="V3884">
        <v>142</v>
      </c>
    </row>
    <row r="3885" spans="1:22" customFormat="1" ht="15" x14ac:dyDescent="0.25">
      <c r="A3885" t="s">
        <v>224</v>
      </c>
      <c r="E3885" s="1524" t="s">
        <v>5314</v>
      </c>
      <c r="F3885" s="1507"/>
      <c r="G3885" s="360" t="s">
        <v>845</v>
      </c>
      <c r="H3885" s="605">
        <v>-2.0000000000000001E-4</v>
      </c>
      <c r="K3885" t="s">
        <v>972</v>
      </c>
      <c r="L3885" t="s">
        <v>692</v>
      </c>
      <c r="P3885" t="s">
        <v>3766</v>
      </c>
      <c r="T3885">
        <v>45777</v>
      </c>
      <c r="V3885">
        <v>144</v>
      </c>
    </row>
    <row r="3886" spans="1:22" customFormat="1" ht="15" x14ac:dyDescent="0.25">
      <c r="A3886" t="s">
        <v>224</v>
      </c>
      <c r="E3886" s="1524" t="s">
        <v>5315</v>
      </c>
      <c r="F3886" s="1507"/>
      <c r="G3886" s="360" t="s">
        <v>845</v>
      </c>
      <c r="H3886" s="605">
        <v>-1E-4</v>
      </c>
      <c r="K3886" t="s">
        <v>972</v>
      </c>
      <c r="L3886" t="s">
        <v>692</v>
      </c>
      <c r="P3886" t="s">
        <v>3766</v>
      </c>
      <c r="T3886">
        <v>45930</v>
      </c>
      <c r="V3886">
        <v>148</v>
      </c>
    </row>
    <row r="3887" spans="1:22" customFormat="1" ht="15" x14ac:dyDescent="0.25">
      <c r="A3887" t="s">
        <v>224</v>
      </c>
      <c r="E3887" s="1524" t="s">
        <v>6519</v>
      </c>
      <c r="F3887" s="1510"/>
      <c r="G3887" s="360" t="s">
        <v>845</v>
      </c>
      <c r="H3887" s="605">
        <v>2.8999999999999998E-3</v>
      </c>
      <c r="K3887" t="s">
        <v>972</v>
      </c>
      <c r="L3887" t="s">
        <v>692</v>
      </c>
      <c r="P3887" t="s">
        <v>981</v>
      </c>
      <c r="T3887">
        <v>46022</v>
      </c>
      <c r="V3887">
        <v>142</v>
      </c>
    </row>
    <row r="3888" spans="1:22" customFormat="1" ht="15" x14ac:dyDescent="0.25">
      <c r="A3888" t="s">
        <v>224</v>
      </c>
      <c r="E3888" s="1524" t="s">
        <v>6520</v>
      </c>
      <c r="F3888" s="1510"/>
      <c r="G3888" s="360" t="s">
        <v>845</v>
      </c>
      <c r="H3888" s="605">
        <v>2.3999999999999998E-3</v>
      </c>
      <c r="K3888" t="s">
        <v>972</v>
      </c>
      <c r="L3888" t="s">
        <v>692</v>
      </c>
      <c r="P3888" t="s">
        <v>982</v>
      </c>
      <c r="T3888">
        <v>46022</v>
      </c>
      <c r="V3888">
        <v>99</v>
      </c>
    </row>
    <row r="3889" spans="1:22" customFormat="1" ht="15" x14ac:dyDescent="0.25">
      <c r="A3889" t="s">
        <v>224</v>
      </c>
      <c r="E3889" s="1524" t="s">
        <v>5262</v>
      </c>
      <c r="F3889" s="1507"/>
      <c r="G3889" s="360" t="s">
        <v>845</v>
      </c>
      <c r="H3889" s="605">
        <v>-5.0000000000000001E-4</v>
      </c>
      <c r="K3889" t="s">
        <v>972</v>
      </c>
      <c r="L3889" t="s">
        <v>692</v>
      </c>
      <c r="P3889" t="s">
        <v>981</v>
      </c>
      <c r="T3889">
        <v>45777</v>
      </c>
      <c r="V3889">
        <v>139</v>
      </c>
    </row>
    <row r="3890" spans="1:22" customFormat="1" ht="15" x14ac:dyDescent="0.25">
      <c r="A3890" t="s">
        <v>224</v>
      </c>
      <c r="E3890" s="1524" t="s">
        <v>5263</v>
      </c>
      <c r="F3890" s="1507"/>
      <c r="G3890" s="360" t="s">
        <v>845</v>
      </c>
      <c r="H3890" s="605">
        <v>5.1000000000000004E-3</v>
      </c>
      <c r="K3890" t="s">
        <v>972</v>
      </c>
      <c r="L3890" t="s">
        <v>692</v>
      </c>
      <c r="P3890" t="s">
        <v>982</v>
      </c>
      <c r="T3890">
        <v>45777</v>
      </c>
      <c r="V3890">
        <v>96</v>
      </c>
    </row>
    <row r="3891" spans="1:22" customFormat="1" ht="15" x14ac:dyDescent="0.25">
      <c r="A3891" t="s">
        <v>224</v>
      </c>
      <c r="E3891" s="1524" t="s">
        <v>5316</v>
      </c>
      <c r="F3891" s="1507"/>
      <c r="G3891" s="360" t="s">
        <v>845</v>
      </c>
      <c r="H3891" s="605">
        <v>-1.8E-3</v>
      </c>
      <c r="K3891" t="s">
        <v>972</v>
      </c>
      <c r="L3891" t="s">
        <v>690</v>
      </c>
      <c r="P3891" t="s">
        <v>981</v>
      </c>
      <c r="T3891">
        <v>45930</v>
      </c>
      <c r="V3891">
        <v>155</v>
      </c>
    </row>
    <row r="3892" spans="1:22" customFormat="1" ht="15" x14ac:dyDescent="0.25">
      <c r="A3892" t="s">
        <v>224</v>
      </c>
      <c r="E3892" s="1524" t="s">
        <v>5312</v>
      </c>
      <c r="F3892" s="1507"/>
      <c r="G3892" s="360" t="s">
        <v>845</v>
      </c>
      <c r="H3892" s="605">
        <v>5.9999999999999995E-4</v>
      </c>
      <c r="K3892" t="s">
        <v>972</v>
      </c>
      <c r="L3892" t="s">
        <v>690</v>
      </c>
      <c r="P3892" t="s">
        <v>982</v>
      </c>
      <c r="T3892">
        <v>45930</v>
      </c>
      <c r="V3892">
        <v>108</v>
      </c>
    </row>
    <row r="3893" spans="1:22" customFormat="1" ht="15" x14ac:dyDescent="0.25">
      <c r="A3893" t="s">
        <v>224</v>
      </c>
      <c r="E3893" s="1524" t="s">
        <v>5318</v>
      </c>
      <c r="F3893" s="1507"/>
      <c r="G3893" s="360" t="s">
        <v>845</v>
      </c>
      <c r="H3893" s="605">
        <v>8.9999999999999998E-4</v>
      </c>
      <c r="K3893" t="s">
        <v>972</v>
      </c>
      <c r="L3893" t="s">
        <v>690</v>
      </c>
      <c r="P3893" t="s">
        <v>3931</v>
      </c>
      <c r="T3893">
        <v>45930</v>
      </c>
      <c r="V3893">
        <v>139</v>
      </c>
    </row>
    <row r="3894" spans="1:22" customFormat="1" ht="15" x14ac:dyDescent="0.25">
      <c r="A3894" t="s">
        <v>224</v>
      </c>
      <c r="E3894" s="1524" t="s">
        <v>243</v>
      </c>
      <c r="F3894" s="1524"/>
      <c r="G3894" s="360" t="s">
        <v>845</v>
      </c>
      <c r="H3894" s="577">
        <v>9.9000000000000008E-3</v>
      </c>
      <c r="K3894" t="s">
        <v>972</v>
      </c>
      <c r="L3894" t="s">
        <v>694</v>
      </c>
      <c r="P3894" t="s">
        <v>983</v>
      </c>
      <c r="V3894">
        <v>47</v>
      </c>
    </row>
    <row r="3895" spans="1:22" customFormat="1" ht="15" x14ac:dyDescent="0.25">
      <c r="A3895" t="s">
        <v>224</v>
      </c>
      <c r="E3895" s="1524" t="s">
        <v>175</v>
      </c>
      <c r="F3895" s="1524"/>
      <c r="G3895" s="360" t="s">
        <v>845</v>
      </c>
      <c r="H3895" s="577">
        <v>5.8999999999999999E-3</v>
      </c>
      <c r="K3895" t="s">
        <v>972</v>
      </c>
      <c r="L3895" t="s">
        <v>694</v>
      </c>
      <c r="P3895" t="s">
        <v>984</v>
      </c>
      <c r="V3895">
        <v>74</v>
      </c>
    </row>
    <row r="3896" spans="1:22" customFormat="1" ht="15" x14ac:dyDescent="0.25">
      <c r="A3896" t="s">
        <v>224</v>
      </c>
      <c r="E3896" s="1533" t="s">
        <v>967</v>
      </c>
      <c r="F3896" s="1524"/>
      <c r="G3896" s="1524"/>
      <c r="H3896" s="1524"/>
      <c r="K3896" t="s">
        <v>985</v>
      </c>
      <c r="V3896">
        <v>48</v>
      </c>
    </row>
    <row r="3897" spans="1:22" customFormat="1" ht="15" x14ac:dyDescent="0.25">
      <c r="A3897" t="s">
        <v>224</v>
      </c>
      <c r="E3897" s="1524" t="s">
        <v>844</v>
      </c>
      <c r="F3897" s="1524"/>
      <c r="G3897" s="360" t="s">
        <v>845</v>
      </c>
      <c r="H3897" s="605">
        <v>4.1000000000000003E-3</v>
      </c>
      <c r="K3897" t="s">
        <v>972</v>
      </c>
      <c r="L3897" t="s">
        <v>968</v>
      </c>
      <c r="P3897" t="s">
        <v>986</v>
      </c>
      <c r="V3897">
        <v>55</v>
      </c>
    </row>
    <row r="3898" spans="1:22" customFormat="1" ht="15" x14ac:dyDescent="0.25">
      <c r="A3898" t="s">
        <v>224</v>
      </c>
      <c r="E3898" s="1524" t="s">
        <v>846</v>
      </c>
      <c r="F3898" s="1524"/>
      <c r="G3898" s="360" t="s">
        <v>845</v>
      </c>
      <c r="H3898" s="605">
        <v>4.0000000000000002E-4</v>
      </c>
      <c r="K3898" t="s">
        <v>972</v>
      </c>
      <c r="L3898" t="s">
        <v>968</v>
      </c>
      <c r="P3898" t="s">
        <v>986</v>
      </c>
      <c r="V3898">
        <v>65</v>
      </c>
    </row>
    <row r="3899" spans="1:22" customFormat="1" ht="15" x14ac:dyDescent="0.25">
      <c r="A3899" t="s">
        <v>224</v>
      </c>
      <c r="E3899" s="1524" t="s">
        <v>847</v>
      </c>
      <c r="F3899" s="1524"/>
      <c r="G3899" s="360" t="s">
        <v>845</v>
      </c>
      <c r="H3899" s="605">
        <v>1.5E-3</v>
      </c>
      <c r="K3899" t="s">
        <v>972</v>
      </c>
      <c r="L3899" t="s">
        <v>968</v>
      </c>
      <c r="P3899" t="s">
        <v>987</v>
      </c>
      <c r="V3899">
        <v>57</v>
      </c>
    </row>
    <row r="3900" spans="1:22" customFormat="1" ht="15" x14ac:dyDescent="0.25">
      <c r="A3900" t="s">
        <v>224</v>
      </c>
      <c r="E3900" s="1524" t="s">
        <v>848</v>
      </c>
      <c r="F3900" s="1524"/>
      <c r="G3900" s="360" t="s">
        <v>777</v>
      </c>
      <c r="H3900" s="604">
        <v>0.25</v>
      </c>
      <c r="K3900" t="s">
        <v>972</v>
      </c>
      <c r="L3900" t="s">
        <v>968</v>
      </c>
      <c r="P3900" t="s">
        <v>988</v>
      </c>
      <c r="V3900">
        <v>63</v>
      </c>
    </row>
    <row r="3901" spans="1:22" customFormat="1" x14ac:dyDescent="0.25">
      <c r="A3901" t="s">
        <v>224</v>
      </c>
      <c r="E3901" s="1538" t="s">
        <v>3767</v>
      </c>
      <c r="F3901" s="1571"/>
      <c r="G3901" s="1571"/>
      <c r="H3901" s="1571"/>
      <c r="K3901" t="s">
        <v>3768</v>
      </c>
      <c r="V3901">
        <v>53</v>
      </c>
    </row>
    <row r="3902" spans="1:22" customFormat="1" ht="15" x14ac:dyDescent="0.25">
      <c r="A3902" t="s">
        <v>224</v>
      </c>
      <c r="E3902" s="1496" t="s">
        <v>5122</v>
      </c>
      <c r="F3902" s="1496"/>
      <c r="G3902" s="1496"/>
      <c r="H3902" s="1496"/>
      <c r="K3902" t="s">
        <v>3768</v>
      </c>
      <c r="V3902">
        <v>386</v>
      </c>
    </row>
    <row r="3903" spans="1:22" customFormat="1" ht="15" x14ac:dyDescent="0.25">
      <c r="A3903" t="s">
        <v>224</v>
      </c>
      <c r="E3903" s="1533" t="s">
        <v>950</v>
      </c>
      <c r="F3903" s="1496"/>
      <c r="G3903" s="1496"/>
      <c r="H3903" s="1496"/>
      <c r="K3903" t="s">
        <v>992</v>
      </c>
      <c r="V3903">
        <v>11</v>
      </c>
    </row>
    <row r="3904" spans="1:22" customFormat="1" ht="15" x14ac:dyDescent="0.25">
      <c r="A3904" t="s">
        <v>224</v>
      </c>
      <c r="E3904" s="1496" t="s">
        <v>951</v>
      </c>
      <c r="F3904" s="1496"/>
      <c r="G3904" s="1496"/>
      <c r="H3904" s="1496"/>
      <c r="K3904" t="s">
        <v>3768</v>
      </c>
      <c r="V3904">
        <v>280</v>
      </c>
    </row>
    <row r="3905" spans="1:22" customFormat="1" ht="15" x14ac:dyDescent="0.25">
      <c r="A3905" t="s">
        <v>224</v>
      </c>
      <c r="E3905" s="1496" t="s">
        <v>952</v>
      </c>
      <c r="F3905" s="1496"/>
      <c r="G3905" s="1496"/>
      <c r="H3905" s="1496"/>
      <c r="K3905" t="s">
        <v>3768</v>
      </c>
      <c r="V3905">
        <v>411</v>
      </c>
    </row>
    <row r="3906" spans="1:22" customFormat="1" ht="15" x14ac:dyDescent="0.25">
      <c r="A3906" t="s">
        <v>224</v>
      </c>
      <c r="E3906" s="1496" t="s">
        <v>953</v>
      </c>
      <c r="F3906" s="1496"/>
      <c r="G3906" s="1496"/>
      <c r="H3906" s="1496"/>
      <c r="K3906" t="s">
        <v>3768</v>
      </c>
      <c r="V3906">
        <v>386</v>
      </c>
    </row>
    <row r="3907" spans="1:22" customFormat="1" ht="15" x14ac:dyDescent="0.25">
      <c r="A3907" t="s">
        <v>224</v>
      </c>
      <c r="E3907" s="1496" t="s">
        <v>3771</v>
      </c>
      <c r="F3907" s="1496"/>
      <c r="G3907" s="1496"/>
      <c r="H3907" s="1496"/>
      <c r="K3907" t="s">
        <v>3768</v>
      </c>
      <c r="V3907">
        <v>677</v>
      </c>
    </row>
    <row r="3908" spans="1:22" customFormat="1" ht="15" x14ac:dyDescent="0.25">
      <c r="A3908" t="s">
        <v>224</v>
      </c>
      <c r="E3908" s="1496" t="s">
        <v>3772</v>
      </c>
      <c r="F3908" s="1496"/>
      <c r="G3908" s="1496"/>
      <c r="H3908" s="1496"/>
      <c r="K3908" t="s">
        <v>3768</v>
      </c>
      <c r="V3908">
        <v>693</v>
      </c>
    </row>
    <row r="3909" spans="1:22" customFormat="1" ht="15" x14ac:dyDescent="0.25">
      <c r="A3909" t="s">
        <v>224</v>
      </c>
      <c r="E3909" s="1496" t="s">
        <v>4988</v>
      </c>
      <c r="F3909" s="1496"/>
      <c r="G3909" s="1496"/>
      <c r="H3909" s="1496"/>
      <c r="K3909" t="s">
        <v>3768</v>
      </c>
      <c r="V3909">
        <v>251</v>
      </c>
    </row>
    <row r="3910" spans="1:22" customFormat="1" ht="15" x14ac:dyDescent="0.25">
      <c r="A3910" t="s">
        <v>224</v>
      </c>
      <c r="E3910" s="1533" t="s">
        <v>956</v>
      </c>
      <c r="F3910" s="1496"/>
      <c r="G3910" s="1496"/>
      <c r="H3910" s="1496"/>
      <c r="K3910" t="s">
        <v>995</v>
      </c>
      <c r="V3910">
        <v>46</v>
      </c>
    </row>
    <row r="3911" spans="1:22" customFormat="1" ht="15" x14ac:dyDescent="0.25">
      <c r="A3911" t="s">
        <v>224</v>
      </c>
      <c r="E3911" s="1524" t="s">
        <v>3773</v>
      </c>
      <c r="F3911" s="1524"/>
      <c r="G3911" s="360" t="s">
        <v>777</v>
      </c>
      <c r="H3911" s="576">
        <v>119.31</v>
      </c>
      <c r="K3911" t="s">
        <v>3768</v>
      </c>
      <c r="L3911" t="s">
        <v>690</v>
      </c>
      <c r="P3911" t="s">
        <v>3774</v>
      </c>
      <c r="V3911">
        <v>14</v>
      </c>
    </row>
    <row r="3912" spans="1:22" customFormat="1" ht="15" x14ac:dyDescent="0.25">
      <c r="A3912" t="s">
        <v>224</v>
      </c>
      <c r="E3912" s="1524" t="s">
        <v>5319</v>
      </c>
      <c r="F3912" s="1507"/>
      <c r="G3912" s="360" t="s">
        <v>777</v>
      </c>
      <c r="H3912" s="576">
        <v>91.12</v>
      </c>
      <c r="K3912" t="s">
        <v>3768</v>
      </c>
      <c r="L3912" t="s">
        <v>690</v>
      </c>
      <c r="P3912" t="s">
        <v>6740</v>
      </c>
      <c r="T3912">
        <v>45930</v>
      </c>
      <c r="V3912">
        <v>79</v>
      </c>
    </row>
    <row r="3913" spans="1:22" customFormat="1" ht="15" x14ac:dyDescent="0.25">
      <c r="A3913" t="s">
        <v>224</v>
      </c>
      <c r="E3913" s="1524" t="s">
        <v>3688</v>
      </c>
      <c r="F3913" s="1524"/>
      <c r="G3913" s="360" t="s">
        <v>3775</v>
      </c>
      <c r="H3913" s="577">
        <v>4.6913</v>
      </c>
      <c r="K3913" t="s">
        <v>3768</v>
      </c>
      <c r="L3913" t="s">
        <v>690</v>
      </c>
      <c r="P3913" t="s">
        <v>3776</v>
      </c>
      <c r="V3913">
        <v>28</v>
      </c>
    </row>
    <row r="3914" spans="1:22" customFormat="1" ht="15" x14ac:dyDescent="0.25">
      <c r="A3914" t="s">
        <v>224</v>
      </c>
      <c r="E3914" s="1524" t="s">
        <v>910</v>
      </c>
      <c r="F3914" s="1524"/>
      <c r="G3914" s="360" t="s">
        <v>3775</v>
      </c>
      <c r="H3914" s="605">
        <v>1.3716999999999999</v>
      </c>
      <c r="K3914" t="s">
        <v>3768</v>
      </c>
      <c r="L3914" t="s">
        <v>692</v>
      </c>
      <c r="P3914" t="s">
        <v>3777</v>
      </c>
      <c r="V3914">
        <v>24</v>
      </c>
    </row>
    <row r="3915" spans="1:22" customFormat="1" ht="15" x14ac:dyDescent="0.25">
      <c r="A3915" t="s">
        <v>224</v>
      </c>
      <c r="E3915" s="1524" t="s">
        <v>5313</v>
      </c>
      <c r="F3915" s="1507"/>
      <c r="G3915" s="360" t="s">
        <v>3775</v>
      </c>
      <c r="H3915" s="605">
        <v>0.79610000000000003</v>
      </c>
      <c r="K3915" t="s">
        <v>3768</v>
      </c>
      <c r="L3915" t="s">
        <v>692</v>
      </c>
      <c r="P3915" t="s">
        <v>3779</v>
      </c>
      <c r="T3915">
        <v>45930</v>
      </c>
      <c r="V3915">
        <v>100</v>
      </c>
    </row>
    <row r="3916" spans="1:22" customFormat="1" ht="15" x14ac:dyDescent="0.25">
      <c r="A3916" t="s">
        <v>224</v>
      </c>
      <c r="E3916" s="1524" t="s">
        <v>6634</v>
      </c>
      <c r="F3916" s="1510"/>
      <c r="G3916" s="360" t="s">
        <v>3775</v>
      </c>
      <c r="H3916" s="605">
        <v>3.7999999999999999E-2</v>
      </c>
      <c r="K3916" t="s">
        <v>3768</v>
      </c>
      <c r="L3916" t="s">
        <v>692</v>
      </c>
      <c r="P3916" t="s">
        <v>3778</v>
      </c>
      <c r="T3916">
        <v>46022</v>
      </c>
      <c r="V3916">
        <v>142</v>
      </c>
    </row>
    <row r="3917" spans="1:22" customFormat="1" ht="15" x14ac:dyDescent="0.25">
      <c r="A3917" t="s">
        <v>224</v>
      </c>
      <c r="E3917" s="1524" t="s">
        <v>5314</v>
      </c>
      <c r="F3917" s="1507"/>
      <c r="G3917" s="360" t="s">
        <v>3775</v>
      </c>
      <c r="H3917" s="605">
        <v>-6.6900000000000001E-2</v>
      </c>
      <c r="K3917" t="s">
        <v>3768</v>
      </c>
      <c r="L3917" t="s">
        <v>692</v>
      </c>
      <c r="P3917" t="s">
        <v>3778</v>
      </c>
      <c r="T3917">
        <v>45777</v>
      </c>
      <c r="V3917">
        <v>144</v>
      </c>
    </row>
    <row r="3918" spans="1:22" customFormat="1" ht="15" x14ac:dyDescent="0.25">
      <c r="A3918" t="s">
        <v>224</v>
      </c>
      <c r="E3918" s="1524" t="s">
        <v>5315</v>
      </c>
      <c r="F3918" s="1507"/>
      <c r="G3918" s="360" t="s">
        <v>3775</v>
      </c>
      <c r="H3918" s="605">
        <v>-2.3E-2</v>
      </c>
      <c r="K3918" t="s">
        <v>3768</v>
      </c>
      <c r="L3918" t="s">
        <v>692</v>
      </c>
      <c r="P3918" t="s">
        <v>3778</v>
      </c>
      <c r="T3918">
        <v>45930</v>
      </c>
      <c r="V3918">
        <v>148</v>
      </c>
    </row>
    <row r="3919" spans="1:22" customFormat="1" ht="15" x14ac:dyDescent="0.25">
      <c r="A3919" t="s">
        <v>224</v>
      </c>
      <c r="E3919" s="1524" t="s">
        <v>5320</v>
      </c>
      <c r="F3919" s="1507"/>
      <c r="G3919" s="360" t="s">
        <v>3775</v>
      </c>
      <c r="H3919" s="605">
        <v>0.31419999999999998</v>
      </c>
      <c r="K3919" t="s">
        <v>3768</v>
      </c>
      <c r="L3919" t="s">
        <v>692</v>
      </c>
      <c r="P3919" t="s">
        <v>3779</v>
      </c>
      <c r="T3919">
        <v>45930</v>
      </c>
      <c r="V3919">
        <v>159</v>
      </c>
    </row>
    <row r="3920" spans="1:22" customFormat="1" ht="15" x14ac:dyDescent="0.25">
      <c r="A3920" t="s">
        <v>224</v>
      </c>
      <c r="E3920" s="1524" t="s">
        <v>6519</v>
      </c>
      <c r="F3920" s="1510"/>
      <c r="G3920" s="360" t="s">
        <v>845</v>
      </c>
      <c r="H3920" s="605">
        <v>2.8999999999999998E-3</v>
      </c>
      <c r="K3920" t="s">
        <v>3768</v>
      </c>
      <c r="L3920" t="s">
        <v>692</v>
      </c>
      <c r="P3920" t="s">
        <v>4232</v>
      </c>
      <c r="T3920">
        <v>46022</v>
      </c>
      <c r="V3920">
        <v>142</v>
      </c>
    </row>
    <row r="3921" spans="1:22" customFormat="1" ht="15" x14ac:dyDescent="0.25">
      <c r="A3921" t="s">
        <v>224</v>
      </c>
      <c r="E3921" s="1524" t="s">
        <v>6525</v>
      </c>
      <c r="F3921" s="1510"/>
      <c r="G3921" s="360" t="s">
        <v>3775</v>
      </c>
      <c r="H3921" s="605">
        <v>-0.56389999999999996</v>
      </c>
      <c r="K3921" t="s">
        <v>3768</v>
      </c>
      <c r="L3921" t="s">
        <v>692</v>
      </c>
      <c r="P3921" t="s">
        <v>3779</v>
      </c>
      <c r="T3921">
        <v>46022</v>
      </c>
      <c r="V3921">
        <v>159</v>
      </c>
    </row>
    <row r="3922" spans="1:22" customFormat="1" ht="15" x14ac:dyDescent="0.25">
      <c r="A3922" t="s">
        <v>224</v>
      </c>
      <c r="E3922" s="1524" t="s">
        <v>6520</v>
      </c>
      <c r="F3922" s="1510"/>
      <c r="G3922" s="360" t="s">
        <v>3775</v>
      </c>
      <c r="H3922" s="605">
        <v>1.5535000000000001</v>
      </c>
      <c r="K3922" t="s">
        <v>3768</v>
      </c>
      <c r="L3922" t="s">
        <v>692</v>
      </c>
      <c r="P3922" t="s">
        <v>3779</v>
      </c>
      <c r="T3922">
        <v>46022</v>
      </c>
      <c r="V3922">
        <v>99</v>
      </c>
    </row>
    <row r="3923" spans="1:22" customFormat="1" ht="15" x14ac:dyDescent="0.25">
      <c r="A3923" t="s">
        <v>224</v>
      </c>
      <c r="E3923" s="1524" t="s">
        <v>5262</v>
      </c>
      <c r="F3923" s="1507"/>
      <c r="G3923" s="360" t="s">
        <v>845</v>
      </c>
      <c r="H3923" s="605">
        <v>-5.0000000000000001E-4</v>
      </c>
      <c r="K3923" t="s">
        <v>3768</v>
      </c>
      <c r="L3923" t="s">
        <v>692</v>
      </c>
      <c r="P3923" t="s">
        <v>4232</v>
      </c>
      <c r="T3923">
        <v>45777</v>
      </c>
      <c r="V3923">
        <v>139</v>
      </c>
    </row>
    <row r="3924" spans="1:22" customFormat="1" ht="15" x14ac:dyDescent="0.25">
      <c r="A3924" t="s">
        <v>224</v>
      </c>
      <c r="E3924" s="1524" t="s">
        <v>5288</v>
      </c>
      <c r="F3924" s="1507"/>
      <c r="G3924" s="360" t="s">
        <v>3775</v>
      </c>
      <c r="H3924" s="605">
        <v>0.80730000000000002</v>
      </c>
      <c r="K3924" t="s">
        <v>3768</v>
      </c>
      <c r="L3924" t="s">
        <v>692</v>
      </c>
      <c r="P3924" t="s">
        <v>3779</v>
      </c>
      <c r="T3924">
        <v>45777</v>
      </c>
      <c r="V3924">
        <v>156</v>
      </c>
    </row>
    <row r="3925" spans="1:22" customFormat="1" ht="15" x14ac:dyDescent="0.25">
      <c r="A3925" t="s">
        <v>224</v>
      </c>
      <c r="E3925" s="1524" t="s">
        <v>5263</v>
      </c>
      <c r="F3925" s="1507"/>
      <c r="G3925" s="360" t="s">
        <v>3775</v>
      </c>
      <c r="H3925" s="605">
        <v>1.3791</v>
      </c>
      <c r="K3925" t="s">
        <v>3768</v>
      </c>
      <c r="L3925" t="s">
        <v>692</v>
      </c>
      <c r="P3925" t="s">
        <v>3779</v>
      </c>
      <c r="T3925">
        <v>45777</v>
      </c>
      <c r="V3925">
        <v>96</v>
      </c>
    </row>
    <row r="3926" spans="1:22" customFormat="1" ht="15" x14ac:dyDescent="0.25">
      <c r="A3926" t="s">
        <v>224</v>
      </c>
      <c r="E3926" s="1524" t="s">
        <v>5316</v>
      </c>
      <c r="F3926" s="1507"/>
      <c r="G3926" s="360" t="s">
        <v>845</v>
      </c>
      <c r="H3926" s="605">
        <v>-1.8E-3</v>
      </c>
      <c r="K3926" t="s">
        <v>3768</v>
      </c>
      <c r="L3926" t="s">
        <v>690</v>
      </c>
      <c r="P3926" t="s">
        <v>4232</v>
      </c>
      <c r="T3926">
        <v>45930</v>
      </c>
      <c r="V3926">
        <v>155</v>
      </c>
    </row>
    <row r="3927" spans="1:22" customFormat="1" ht="15" x14ac:dyDescent="0.25">
      <c r="A3927" t="s">
        <v>224</v>
      </c>
      <c r="E3927" s="1524" t="s">
        <v>5312</v>
      </c>
      <c r="F3927" s="1507"/>
      <c r="G3927" s="360" t="s">
        <v>3775</v>
      </c>
      <c r="H3927" s="605">
        <v>0.2402</v>
      </c>
      <c r="K3927" t="s">
        <v>3768</v>
      </c>
      <c r="L3927" t="s">
        <v>690</v>
      </c>
      <c r="P3927" t="s">
        <v>3779</v>
      </c>
      <c r="T3927">
        <v>45930</v>
      </c>
      <c r="V3927">
        <v>108</v>
      </c>
    </row>
    <row r="3928" spans="1:22" customFormat="1" ht="15" x14ac:dyDescent="0.25">
      <c r="A3928" t="s">
        <v>224</v>
      </c>
      <c r="E3928" s="1524" t="s">
        <v>5321</v>
      </c>
      <c r="F3928" s="1507"/>
      <c r="G3928" s="360" t="s">
        <v>3775</v>
      </c>
      <c r="H3928" s="605">
        <v>4.8099999999999997E-2</v>
      </c>
      <c r="K3928" t="s">
        <v>3768</v>
      </c>
      <c r="L3928" t="s">
        <v>690</v>
      </c>
      <c r="P3928" t="s">
        <v>4233</v>
      </c>
      <c r="T3928">
        <v>45930</v>
      </c>
      <c r="V3928">
        <v>138</v>
      </c>
    </row>
    <row r="3929" spans="1:22" customFormat="1" ht="15" x14ac:dyDescent="0.25">
      <c r="A3929" t="s">
        <v>224</v>
      </c>
      <c r="E3929" s="1524" t="s">
        <v>243</v>
      </c>
      <c r="F3929" s="1524"/>
      <c r="G3929" s="360" t="s">
        <v>3775</v>
      </c>
      <c r="H3929" s="577">
        <v>3.9076</v>
      </c>
      <c r="K3929" t="s">
        <v>3768</v>
      </c>
      <c r="L3929" t="s">
        <v>694</v>
      </c>
      <c r="P3929" t="s">
        <v>3780</v>
      </c>
      <c r="V3929">
        <v>47</v>
      </c>
    </row>
    <row r="3930" spans="1:22" customFormat="1" ht="15" x14ac:dyDescent="0.25">
      <c r="A3930" t="s">
        <v>224</v>
      </c>
      <c r="E3930" s="1524" t="s">
        <v>4121</v>
      </c>
      <c r="F3930" s="1524"/>
      <c r="G3930" s="360" t="s">
        <v>3775</v>
      </c>
      <c r="H3930" s="577">
        <v>2.516</v>
      </c>
      <c r="K3930" t="s">
        <v>3768</v>
      </c>
      <c r="L3930" t="s">
        <v>694</v>
      </c>
      <c r="P3930" t="s">
        <v>3781</v>
      </c>
      <c r="V3930">
        <v>75</v>
      </c>
    </row>
    <row r="3931" spans="1:22" customFormat="1" ht="15" x14ac:dyDescent="0.25">
      <c r="A3931" t="s">
        <v>224</v>
      </c>
      <c r="E3931" s="1533" t="s">
        <v>967</v>
      </c>
      <c r="F3931" s="1524"/>
      <c r="G3931" s="360"/>
      <c r="H3931" s="360"/>
      <c r="K3931" t="s">
        <v>1003</v>
      </c>
      <c r="V3931">
        <v>48</v>
      </c>
    </row>
    <row r="3932" spans="1:22" customFormat="1" ht="15" x14ac:dyDescent="0.25">
      <c r="A3932" t="s">
        <v>224</v>
      </c>
      <c r="E3932" s="1524" t="s">
        <v>844</v>
      </c>
      <c r="F3932" s="1524"/>
      <c r="G3932" s="360" t="s">
        <v>845</v>
      </c>
      <c r="H3932" s="605">
        <v>4.1000000000000003E-3</v>
      </c>
      <c r="K3932" t="s">
        <v>3768</v>
      </c>
      <c r="L3932" t="s">
        <v>968</v>
      </c>
      <c r="P3932" t="s">
        <v>3782</v>
      </c>
      <c r="V3932">
        <v>55</v>
      </c>
    </row>
    <row r="3933" spans="1:22" customFormat="1" ht="15" x14ac:dyDescent="0.25">
      <c r="A3933" t="s">
        <v>224</v>
      </c>
      <c r="E3933" s="1524" t="s">
        <v>846</v>
      </c>
      <c r="F3933" s="1524"/>
      <c r="G3933" s="360" t="s">
        <v>845</v>
      </c>
      <c r="H3933" s="605">
        <v>4.0000000000000002E-4</v>
      </c>
      <c r="K3933" t="s">
        <v>3768</v>
      </c>
      <c r="L3933" t="s">
        <v>968</v>
      </c>
      <c r="P3933" t="s">
        <v>3782</v>
      </c>
      <c r="V3933">
        <v>65</v>
      </c>
    </row>
    <row r="3934" spans="1:22" customFormat="1" ht="15" x14ac:dyDescent="0.25">
      <c r="A3934" t="s">
        <v>224</v>
      </c>
      <c r="E3934" s="1524" t="s">
        <v>847</v>
      </c>
      <c r="F3934" s="1524"/>
      <c r="G3934" s="360" t="s">
        <v>845</v>
      </c>
      <c r="H3934" s="605">
        <v>1.5E-3</v>
      </c>
      <c r="K3934" t="s">
        <v>3768</v>
      </c>
      <c r="L3934" t="s">
        <v>968</v>
      </c>
      <c r="P3934" t="s">
        <v>3783</v>
      </c>
      <c r="V3934">
        <v>57</v>
      </c>
    </row>
    <row r="3935" spans="1:22" customFormat="1" ht="15" x14ac:dyDescent="0.25">
      <c r="A3935" t="s">
        <v>224</v>
      </c>
      <c r="E3935" s="1524" t="s">
        <v>848</v>
      </c>
      <c r="F3935" s="1524"/>
      <c r="G3935" s="360" t="s">
        <v>777</v>
      </c>
      <c r="H3935" s="604">
        <v>0.25</v>
      </c>
      <c r="K3935" t="s">
        <v>3768</v>
      </c>
      <c r="L3935" t="s">
        <v>968</v>
      </c>
      <c r="P3935" t="s">
        <v>3784</v>
      </c>
      <c r="V3935">
        <v>63</v>
      </c>
    </row>
    <row r="3936" spans="1:22" customFormat="1" x14ac:dyDescent="0.25">
      <c r="A3936" t="s">
        <v>224</v>
      </c>
      <c r="E3936" s="1538" t="s">
        <v>194</v>
      </c>
      <c r="F3936" s="1571"/>
      <c r="G3936" s="1571"/>
      <c r="H3936" s="1571"/>
      <c r="K3936" t="s">
        <v>3785</v>
      </c>
      <c r="V3936">
        <v>47</v>
      </c>
    </row>
    <row r="3937" spans="1:22" customFormat="1" ht="15" x14ac:dyDescent="0.25">
      <c r="A3937" t="s">
        <v>224</v>
      </c>
      <c r="E3937" s="1496" t="s">
        <v>4541</v>
      </c>
      <c r="F3937" s="1496"/>
      <c r="G3937" s="1496"/>
      <c r="H3937" s="1496"/>
      <c r="K3937" t="s">
        <v>3785</v>
      </c>
      <c r="V3937">
        <v>720</v>
      </c>
    </row>
    <row r="3938" spans="1:22" customFormat="1" ht="15" x14ac:dyDescent="0.25">
      <c r="A3938" t="s">
        <v>224</v>
      </c>
      <c r="E3938" s="1533" t="s">
        <v>950</v>
      </c>
      <c r="F3938" s="1496"/>
      <c r="G3938" s="1496"/>
      <c r="H3938" s="1496"/>
      <c r="K3938" t="s">
        <v>1010</v>
      </c>
      <c r="V3938">
        <v>11</v>
      </c>
    </row>
    <row r="3939" spans="1:22" customFormat="1" ht="15" x14ac:dyDescent="0.25">
      <c r="A3939" t="s">
        <v>224</v>
      </c>
      <c r="E3939" s="1496" t="s">
        <v>951</v>
      </c>
      <c r="F3939" s="1496"/>
      <c r="G3939" s="1496"/>
      <c r="H3939" s="1496"/>
      <c r="K3939" t="s">
        <v>3785</v>
      </c>
      <c r="V3939">
        <v>280</v>
      </c>
    </row>
    <row r="3940" spans="1:22" customFormat="1" ht="15" x14ac:dyDescent="0.25">
      <c r="A3940" t="s">
        <v>224</v>
      </c>
      <c r="E3940" s="1496" t="s">
        <v>952</v>
      </c>
      <c r="F3940" s="1496"/>
      <c r="G3940" s="1496"/>
      <c r="H3940" s="1496"/>
      <c r="K3940" t="s">
        <v>3785</v>
      </c>
      <c r="V3940">
        <v>411</v>
      </c>
    </row>
    <row r="3941" spans="1:22" customFormat="1" ht="15" x14ac:dyDescent="0.25">
      <c r="A3941" t="s">
        <v>224</v>
      </c>
      <c r="E3941" s="1496" t="s">
        <v>953</v>
      </c>
      <c r="F3941" s="1496"/>
      <c r="G3941" s="1496"/>
      <c r="H3941" s="1496"/>
      <c r="K3941" t="s">
        <v>3785</v>
      </c>
      <c r="V3941">
        <v>386</v>
      </c>
    </row>
    <row r="3942" spans="1:22" customFormat="1" ht="15" x14ac:dyDescent="0.25">
      <c r="A3942" t="s">
        <v>224</v>
      </c>
      <c r="E3942" s="1496" t="s">
        <v>4988</v>
      </c>
      <c r="F3942" s="1496"/>
      <c r="G3942" s="1496"/>
      <c r="H3942" s="1496"/>
      <c r="K3942" t="s">
        <v>3785</v>
      </c>
      <c r="V3942">
        <v>251</v>
      </c>
    </row>
    <row r="3943" spans="1:22" customFormat="1" ht="15" x14ac:dyDescent="0.25">
      <c r="A3943" t="s">
        <v>224</v>
      </c>
      <c r="E3943" s="1533" t="s">
        <v>956</v>
      </c>
      <c r="F3943" s="1496"/>
      <c r="G3943" s="1496"/>
      <c r="H3943" s="1496"/>
      <c r="K3943" t="s">
        <v>1011</v>
      </c>
      <c r="V3943">
        <v>46</v>
      </c>
    </row>
    <row r="3944" spans="1:22" customFormat="1" ht="15" x14ac:dyDescent="0.25">
      <c r="A3944" t="s">
        <v>224</v>
      </c>
      <c r="E3944" s="1524" t="s">
        <v>3773</v>
      </c>
      <c r="F3944" s="1524"/>
      <c r="G3944" s="360" t="s">
        <v>777</v>
      </c>
      <c r="H3944" s="576">
        <v>0.8</v>
      </c>
      <c r="K3944" t="s">
        <v>3785</v>
      </c>
      <c r="L3944" t="s">
        <v>690</v>
      </c>
      <c r="P3944" t="s">
        <v>3788</v>
      </c>
      <c r="V3944">
        <v>14</v>
      </c>
    </row>
    <row r="3945" spans="1:22" customFormat="1" ht="15" x14ac:dyDescent="0.25">
      <c r="A3945" t="s">
        <v>224</v>
      </c>
      <c r="E3945" s="1524" t="s">
        <v>3688</v>
      </c>
      <c r="F3945" s="1524"/>
      <c r="G3945" s="360" t="s">
        <v>845</v>
      </c>
      <c r="H3945" s="577">
        <v>1.89E-2</v>
      </c>
      <c r="K3945" t="s">
        <v>3785</v>
      </c>
      <c r="L3945" t="s">
        <v>690</v>
      </c>
      <c r="P3945" t="s">
        <v>3789</v>
      </c>
      <c r="V3945">
        <v>28</v>
      </c>
    </row>
    <row r="3946" spans="1:22" customFormat="1" ht="15" x14ac:dyDescent="0.25">
      <c r="A3946" t="s">
        <v>224</v>
      </c>
      <c r="E3946" s="1524" t="s">
        <v>910</v>
      </c>
      <c r="F3946" s="1524"/>
      <c r="G3946" s="360" t="s">
        <v>845</v>
      </c>
      <c r="H3946" s="605">
        <v>3.3999999999999998E-3</v>
      </c>
      <c r="K3946" t="s">
        <v>3785</v>
      </c>
      <c r="L3946" t="s">
        <v>692</v>
      </c>
      <c r="P3946" t="s">
        <v>3790</v>
      </c>
      <c r="V3946">
        <v>24</v>
      </c>
    </row>
    <row r="3947" spans="1:22" customFormat="1" ht="15" x14ac:dyDescent="0.25">
      <c r="A3947" t="s">
        <v>224</v>
      </c>
      <c r="E3947" s="1524" t="s">
        <v>5313</v>
      </c>
      <c r="F3947" s="1507"/>
      <c r="G3947" s="360" t="s">
        <v>845</v>
      </c>
      <c r="H3947" s="605">
        <v>2.7000000000000001E-3</v>
      </c>
      <c r="K3947" t="s">
        <v>3785</v>
      </c>
      <c r="L3947" t="s">
        <v>692</v>
      </c>
      <c r="P3947" t="s">
        <v>3792</v>
      </c>
      <c r="T3947">
        <v>45930</v>
      </c>
      <c r="V3947">
        <v>100</v>
      </c>
    </row>
    <row r="3948" spans="1:22" customFormat="1" ht="15" x14ac:dyDescent="0.25">
      <c r="A3948" t="s">
        <v>224</v>
      </c>
      <c r="E3948" s="1524" t="s">
        <v>6634</v>
      </c>
      <c r="F3948" s="1510"/>
      <c r="G3948" s="360" t="s">
        <v>845</v>
      </c>
      <c r="H3948" s="605">
        <v>1E-4</v>
      </c>
      <c r="K3948" t="s">
        <v>3785</v>
      </c>
      <c r="L3948" t="s">
        <v>692</v>
      </c>
      <c r="P3948" t="s">
        <v>3791</v>
      </c>
      <c r="T3948">
        <v>46022</v>
      </c>
      <c r="V3948">
        <v>142</v>
      </c>
    </row>
    <row r="3949" spans="1:22" customFormat="1" ht="15" x14ac:dyDescent="0.25">
      <c r="A3949" t="s">
        <v>224</v>
      </c>
      <c r="E3949" s="1524" t="s">
        <v>5314</v>
      </c>
      <c r="F3949" s="1507"/>
      <c r="G3949" s="360" t="s">
        <v>845</v>
      </c>
      <c r="H3949" s="605">
        <v>-2.0000000000000001E-4</v>
      </c>
      <c r="K3949" t="s">
        <v>3785</v>
      </c>
      <c r="L3949" t="s">
        <v>692</v>
      </c>
      <c r="P3949" t="s">
        <v>3791</v>
      </c>
      <c r="T3949">
        <v>45777</v>
      </c>
      <c r="V3949">
        <v>144</v>
      </c>
    </row>
    <row r="3950" spans="1:22" customFormat="1" ht="15" x14ac:dyDescent="0.25">
      <c r="A3950" t="s">
        <v>224</v>
      </c>
      <c r="E3950" s="1524" t="s">
        <v>5315</v>
      </c>
      <c r="F3950" s="1507"/>
      <c r="G3950" s="360" t="s">
        <v>845</v>
      </c>
      <c r="H3950" s="605">
        <v>-1E-4</v>
      </c>
      <c r="K3950" t="s">
        <v>3785</v>
      </c>
      <c r="L3950" t="s">
        <v>692</v>
      </c>
      <c r="P3950" t="s">
        <v>3791</v>
      </c>
      <c r="T3950">
        <v>45930</v>
      </c>
      <c r="V3950">
        <v>148</v>
      </c>
    </row>
    <row r="3951" spans="1:22" customFormat="1" ht="15" x14ac:dyDescent="0.25">
      <c r="A3951" t="s">
        <v>224</v>
      </c>
      <c r="E3951" s="1524" t="s">
        <v>6519</v>
      </c>
      <c r="F3951" s="1510"/>
      <c r="G3951" s="360" t="s">
        <v>845</v>
      </c>
      <c r="H3951" s="605">
        <v>3.0000000000000001E-3</v>
      </c>
      <c r="K3951" t="s">
        <v>3785</v>
      </c>
      <c r="L3951" t="s">
        <v>692</v>
      </c>
      <c r="P3951" t="s">
        <v>4818</v>
      </c>
      <c r="T3951">
        <v>46022</v>
      </c>
      <c r="V3951">
        <v>142</v>
      </c>
    </row>
    <row r="3952" spans="1:22" customFormat="1" ht="15" x14ac:dyDescent="0.25">
      <c r="A3952" t="s">
        <v>224</v>
      </c>
      <c r="E3952" s="1524" t="s">
        <v>6520</v>
      </c>
      <c r="F3952" s="1510"/>
      <c r="G3952" s="360" t="s">
        <v>845</v>
      </c>
      <c r="H3952" s="605">
        <v>2.5000000000000001E-3</v>
      </c>
      <c r="K3952" t="s">
        <v>3785</v>
      </c>
      <c r="L3952" t="s">
        <v>692</v>
      </c>
      <c r="P3952" t="s">
        <v>3792</v>
      </c>
      <c r="T3952">
        <v>46022</v>
      </c>
      <c r="V3952">
        <v>99</v>
      </c>
    </row>
    <row r="3953" spans="1:22" customFormat="1" ht="15" x14ac:dyDescent="0.25">
      <c r="A3953" t="s">
        <v>224</v>
      </c>
      <c r="E3953" s="1524" t="s">
        <v>5316</v>
      </c>
      <c r="F3953" s="1507"/>
      <c r="G3953" s="360" t="s">
        <v>845</v>
      </c>
      <c r="H3953" s="605">
        <v>-1.8E-3</v>
      </c>
      <c r="K3953" t="s">
        <v>3785</v>
      </c>
      <c r="L3953" t="s">
        <v>690</v>
      </c>
      <c r="P3953" t="s">
        <v>4818</v>
      </c>
      <c r="T3953">
        <v>45930</v>
      </c>
      <c r="V3953">
        <v>155</v>
      </c>
    </row>
    <row r="3954" spans="1:22" customFormat="1" ht="15" x14ac:dyDescent="0.25">
      <c r="A3954" t="s">
        <v>224</v>
      </c>
      <c r="E3954" s="1524" t="s">
        <v>5263</v>
      </c>
      <c r="F3954" s="1507"/>
      <c r="G3954" s="360" t="s">
        <v>845</v>
      </c>
      <c r="H3954" s="605">
        <v>5.3E-3</v>
      </c>
      <c r="K3954" t="s">
        <v>3785</v>
      </c>
      <c r="L3954" t="s">
        <v>692</v>
      </c>
      <c r="P3954" t="s">
        <v>3792</v>
      </c>
      <c r="T3954">
        <v>45777</v>
      </c>
      <c r="V3954">
        <v>96</v>
      </c>
    </row>
    <row r="3955" spans="1:22" customFormat="1" ht="15" x14ac:dyDescent="0.25">
      <c r="A3955" t="s">
        <v>224</v>
      </c>
      <c r="E3955" s="1524" t="s">
        <v>5312</v>
      </c>
      <c r="F3955" s="1507"/>
      <c r="G3955" s="360" t="s">
        <v>845</v>
      </c>
      <c r="H3955" s="605">
        <v>1.4E-3</v>
      </c>
      <c r="K3955" t="s">
        <v>3785</v>
      </c>
      <c r="L3955" t="s">
        <v>690</v>
      </c>
      <c r="P3955" t="s">
        <v>3792</v>
      </c>
      <c r="T3955">
        <v>45930</v>
      </c>
      <c r="V3955">
        <v>108</v>
      </c>
    </row>
    <row r="3956" spans="1:22" customFormat="1" ht="15" x14ac:dyDescent="0.25">
      <c r="A3956" t="s">
        <v>224</v>
      </c>
      <c r="E3956" s="1524" t="s">
        <v>5321</v>
      </c>
      <c r="F3956" s="1507"/>
      <c r="G3956" s="360" t="s">
        <v>845</v>
      </c>
      <c r="H3956" s="605">
        <v>-2.0000000000000001E-4</v>
      </c>
      <c r="K3956" t="s">
        <v>3785</v>
      </c>
      <c r="L3956" t="s">
        <v>690</v>
      </c>
      <c r="P3956" t="s">
        <v>4446</v>
      </c>
      <c r="T3956">
        <v>45930</v>
      </c>
      <c r="V3956">
        <v>138</v>
      </c>
    </row>
    <row r="3957" spans="1:22" customFormat="1" ht="15" x14ac:dyDescent="0.25">
      <c r="A3957" t="s">
        <v>224</v>
      </c>
      <c r="E3957" s="1524" t="s">
        <v>243</v>
      </c>
      <c r="F3957" s="1524"/>
      <c r="G3957" s="360" t="s">
        <v>845</v>
      </c>
      <c r="H3957" s="577">
        <v>9.9000000000000008E-3</v>
      </c>
      <c r="K3957" t="s">
        <v>3785</v>
      </c>
      <c r="L3957" t="s">
        <v>694</v>
      </c>
      <c r="P3957" t="s">
        <v>3793</v>
      </c>
      <c r="V3957">
        <v>47</v>
      </c>
    </row>
    <row r="3958" spans="1:22" customFormat="1" ht="15" x14ac:dyDescent="0.25">
      <c r="A3958" t="s">
        <v>224</v>
      </c>
      <c r="E3958" s="1524" t="s">
        <v>175</v>
      </c>
      <c r="F3958" s="1524"/>
      <c r="G3958" s="360" t="s">
        <v>845</v>
      </c>
      <c r="H3958" s="577">
        <v>5.8999999999999999E-3</v>
      </c>
      <c r="K3958" t="s">
        <v>3785</v>
      </c>
      <c r="L3958" t="s">
        <v>694</v>
      </c>
      <c r="P3958" t="s">
        <v>3794</v>
      </c>
      <c r="V3958">
        <v>74</v>
      </c>
    </row>
    <row r="3959" spans="1:22" customFormat="1" ht="15" x14ac:dyDescent="0.25">
      <c r="A3959" t="s">
        <v>224</v>
      </c>
      <c r="E3959" s="1533" t="s">
        <v>967</v>
      </c>
      <c r="F3959" s="1524"/>
      <c r="G3959" s="360"/>
      <c r="H3959" s="360"/>
      <c r="K3959" t="s">
        <v>1019</v>
      </c>
      <c r="V3959">
        <v>48</v>
      </c>
    </row>
    <row r="3960" spans="1:22" customFormat="1" ht="15" x14ac:dyDescent="0.25">
      <c r="A3960" t="s">
        <v>224</v>
      </c>
      <c r="E3960" s="1524" t="s">
        <v>844</v>
      </c>
      <c r="F3960" s="1524"/>
      <c r="G3960" s="360" t="s">
        <v>845</v>
      </c>
      <c r="H3960" s="605">
        <v>4.1000000000000003E-3</v>
      </c>
      <c r="K3960" t="s">
        <v>3785</v>
      </c>
      <c r="L3960" t="s">
        <v>968</v>
      </c>
      <c r="P3960" t="s">
        <v>3795</v>
      </c>
      <c r="V3960">
        <v>55</v>
      </c>
    </row>
    <row r="3961" spans="1:22" customFormat="1" ht="15" x14ac:dyDescent="0.25">
      <c r="A3961" t="s">
        <v>224</v>
      </c>
      <c r="E3961" s="1524" t="s">
        <v>846</v>
      </c>
      <c r="F3961" s="1524"/>
      <c r="G3961" s="360" t="s">
        <v>845</v>
      </c>
      <c r="H3961" s="605">
        <v>4.0000000000000002E-4</v>
      </c>
      <c r="K3961" t="s">
        <v>3785</v>
      </c>
      <c r="L3961" t="s">
        <v>968</v>
      </c>
      <c r="P3961" t="s">
        <v>3795</v>
      </c>
      <c r="V3961">
        <v>65</v>
      </c>
    </row>
    <row r="3962" spans="1:22" customFormat="1" ht="15" x14ac:dyDescent="0.25">
      <c r="A3962" t="s">
        <v>224</v>
      </c>
      <c r="E3962" s="1524" t="s">
        <v>847</v>
      </c>
      <c r="F3962" s="1524"/>
      <c r="G3962" s="360" t="s">
        <v>845</v>
      </c>
      <c r="H3962" s="605">
        <v>1.5E-3</v>
      </c>
      <c r="K3962" t="s">
        <v>3785</v>
      </c>
      <c r="L3962" t="s">
        <v>968</v>
      </c>
      <c r="P3962" t="s">
        <v>3796</v>
      </c>
      <c r="V3962">
        <v>57</v>
      </c>
    </row>
    <row r="3963" spans="1:22" customFormat="1" ht="15" x14ac:dyDescent="0.25">
      <c r="A3963" t="s">
        <v>224</v>
      </c>
      <c r="E3963" s="1524" t="s">
        <v>848</v>
      </c>
      <c r="F3963" s="1524"/>
      <c r="G3963" s="360" t="s">
        <v>777</v>
      </c>
      <c r="H3963" s="604">
        <v>0.25</v>
      </c>
      <c r="K3963" t="s">
        <v>3785</v>
      </c>
      <c r="L3963" t="s">
        <v>968</v>
      </c>
      <c r="P3963" t="s">
        <v>3797</v>
      </c>
      <c r="V3963">
        <v>63</v>
      </c>
    </row>
    <row r="3964" spans="1:22" customFormat="1" x14ac:dyDescent="0.25">
      <c r="A3964" t="s">
        <v>224</v>
      </c>
      <c r="E3964" s="1538" t="s">
        <v>202</v>
      </c>
      <c r="F3964" s="1571"/>
      <c r="G3964" s="1571"/>
      <c r="H3964" s="1571"/>
      <c r="K3964" t="s">
        <v>4447</v>
      </c>
      <c r="V3964">
        <v>38</v>
      </c>
    </row>
    <row r="3965" spans="1:22" customFormat="1" ht="15" x14ac:dyDescent="0.25">
      <c r="A3965" t="s">
        <v>224</v>
      </c>
      <c r="E3965" s="1496" t="s">
        <v>4542</v>
      </c>
      <c r="F3965" s="1496"/>
      <c r="G3965" s="1496"/>
      <c r="H3965" s="1496"/>
      <c r="K3965" t="s">
        <v>4447</v>
      </c>
      <c r="V3965">
        <v>542</v>
      </c>
    </row>
    <row r="3966" spans="1:22" customFormat="1" ht="15" x14ac:dyDescent="0.25">
      <c r="A3966" t="s">
        <v>224</v>
      </c>
      <c r="E3966" s="1533" t="s">
        <v>950</v>
      </c>
      <c r="F3966" s="1496"/>
      <c r="G3966" s="1496"/>
      <c r="H3966" s="1496"/>
      <c r="K3966" t="s">
        <v>1025</v>
      </c>
      <c r="V3966">
        <v>11</v>
      </c>
    </row>
    <row r="3967" spans="1:22" customFormat="1" ht="15" x14ac:dyDescent="0.25">
      <c r="A3967" t="s">
        <v>224</v>
      </c>
      <c r="E3967" s="1496" t="s">
        <v>951</v>
      </c>
      <c r="F3967" s="1496"/>
      <c r="G3967" s="1496"/>
      <c r="H3967" s="1496"/>
      <c r="K3967" t="s">
        <v>4447</v>
      </c>
      <c r="V3967">
        <v>280</v>
      </c>
    </row>
    <row r="3968" spans="1:22" customFormat="1" ht="15" x14ac:dyDescent="0.25">
      <c r="A3968" t="s">
        <v>224</v>
      </c>
      <c r="E3968" s="1496" t="s">
        <v>952</v>
      </c>
      <c r="F3968" s="1496"/>
      <c r="G3968" s="1496"/>
      <c r="H3968" s="1496"/>
      <c r="K3968" t="s">
        <v>4447</v>
      </c>
      <c r="V3968">
        <v>411</v>
      </c>
    </row>
    <row r="3969" spans="1:22" customFormat="1" ht="15" x14ac:dyDescent="0.25">
      <c r="A3969" t="s">
        <v>224</v>
      </c>
      <c r="E3969" s="1496" t="s">
        <v>953</v>
      </c>
      <c r="F3969" s="1496"/>
      <c r="G3969" s="1496"/>
      <c r="H3969" s="1496"/>
      <c r="K3969" t="s">
        <v>4447</v>
      </c>
      <c r="V3969">
        <v>386</v>
      </c>
    </row>
    <row r="3970" spans="1:22" customFormat="1" ht="15" x14ac:dyDescent="0.25">
      <c r="A3970" t="s">
        <v>224</v>
      </c>
      <c r="E3970" s="1496" t="s">
        <v>4988</v>
      </c>
      <c r="F3970" s="1496"/>
      <c r="G3970" s="1496"/>
      <c r="H3970" s="1496"/>
      <c r="K3970" t="s">
        <v>4447</v>
      </c>
      <c r="V3970">
        <v>251</v>
      </c>
    </row>
    <row r="3971" spans="1:22" customFormat="1" ht="15" x14ac:dyDescent="0.25">
      <c r="A3971" t="s">
        <v>224</v>
      </c>
      <c r="E3971" s="1533" t="s">
        <v>956</v>
      </c>
      <c r="F3971" s="1496"/>
      <c r="G3971" s="1496"/>
      <c r="H3971" s="1496"/>
      <c r="K3971" t="s">
        <v>1026</v>
      </c>
      <c r="V3971">
        <v>46</v>
      </c>
    </row>
    <row r="3972" spans="1:22" customFormat="1" ht="15" x14ac:dyDescent="0.25">
      <c r="A3972" t="s">
        <v>224</v>
      </c>
      <c r="E3972" s="1524" t="s">
        <v>3874</v>
      </c>
      <c r="F3972" s="1524"/>
      <c r="G3972" s="360" t="s">
        <v>777</v>
      </c>
      <c r="H3972" s="576">
        <v>1.93</v>
      </c>
      <c r="K3972" t="s">
        <v>4447</v>
      </c>
      <c r="L3972" t="s">
        <v>690</v>
      </c>
      <c r="P3972" t="s">
        <v>4450</v>
      </c>
      <c r="V3972">
        <v>31</v>
      </c>
    </row>
    <row r="3973" spans="1:22" customFormat="1" ht="15" x14ac:dyDescent="0.25">
      <c r="A3973" t="s">
        <v>224</v>
      </c>
      <c r="E3973" s="1524" t="s">
        <v>3688</v>
      </c>
      <c r="F3973" s="1524"/>
      <c r="G3973" s="360" t="s">
        <v>3775</v>
      </c>
      <c r="H3973" s="577">
        <v>8.0943000000000005</v>
      </c>
      <c r="K3973" t="s">
        <v>4447</v>
      </c>
      <c r="L3973" t="s">
        <v>690</v>
      </c>
      <c r="P3973" t="s">
        <v>4451</v>
      </c>
      <c r="V3973">
        <v>28</v>
      </c>
    </row>
    <row r="3974" spans="1:22" customFormat="1" ht="15" x14ac:dyDescent="0.25">
      <c r="A3974" t="s">
        <v>224</v>
      </c>
      <c r="E3974" s="1524" t="s">
        <v>910</v>
      </c>
      <c r="F3974" s="1524"/>
      <c r="G3974" s="360" t="s">
        <v>3775</v>
      </c>
      <c r="H3974" s="605">
        <v>1.0604</v>
      </c>
      <c r="K3974" t="s">
        <v>4447</v>
      </c>
      <c r="L3974" t="s">
        <v>692</v>
      </c>
      <c r="P3974" t="s">
        <v>4484</v>
      </c>
      <c r="V3974">
        <v>24</v>
      </c>
    </row>
    <row r="3975" spans="1:22" customFormat="1" ht="15" x14ac:dyDescent="0.25">
      <c r="A3975" t="s">
        <v>224</v>
      </c>
      <c r="E3975" s="1524" t="s">
        <v>5313</v>
      </c>
      <c r="F3975" s="1507"/>
      <c r="G3975" s="360" t="s">
        <v>3775</v>
      </c>
      <c r="H3975" s="605">
        <v>0.97619999999999996</v>
      </c>
      <c r="K3975" t="s">
        <v>4447</v>
      </c>
      <c r="L3975" t="s">
        <v>692</v>
      </c>
      <c r="P3975" t="s">
        <v>4453</v>
      </c>
      <c r="T3975">
        <v>45930</v>
      </c>
      <c r="V3975">
        <v>100</v>
      </c>
    </row>
    <row r="3976" spans="1:22" customFormat="1" ht="15" x14ac:dyDescent="0.25">
      <c r="A3976" t="s">
        <v>224</v>
      </c>
      <c r="E3976" s="1524" t="s">
        <v>6634</v>
      </c>
      <c r="F3976" s="1510"/>
      <c r="G3976" s="360" t="s">
        <v>3775</v>
      </c>
      <c r="H3976" s="605">
        <v>3.7100000000000001E-2</v>
      </c>
      <c r="K3976" t="s">
        <v>4447</v>
      </c>
      <c r="L3976" t="s">
        <v>692</v>
      </c>
      <c r="P3976" t="s">
        <v>4455</v>
      </c>
      <c r="T3976">
        <v>46022</v>
      </c>
      <c r="V3976">
        <v>142</v>
      </c>
    </row>
    <row r="3977" spans="1:22" customFormat="1" ht="15" x14ac:dyDescent="0.25">
      <c r="A3977" t="s">
        <v>224</v>
      </c>
      <c r="E3977" s="1524" t="s">
        <v>5314</v>
      </c>
      <c r="F3977" s="1507"/>
      <c r="G3977" s="360" t="s">
        <v>3775</v>
      </c>
      <c r="H3977" s="605">
        <v>-6.4299999999999996E-2</v>
      </c>
      <c r="K3977" t="s">
        <v>4447</v>
      </c>
      <c r="L3977" t="s">
        <v>692</v>
      </c>
      <c r="P3977" t="s">
        <v>4455</v>
      </c>
      <c r="T3977">
        <v>45777</v>
      </c>
      <c r="V3977">
        <v>144</v>
      </c>
    </row>
    <row r="3978" spans="1:22" customFormat="1" ht="15" x14ac:dyDescent="0.25">
      <c r="A3978" t="s">
        <v>224</v>
      </c>
      <c r="E3978" s="1524" t="s">
        <v>5315</v>
      </c>
      <c r="F3978" s="1507"/>
      <c r="G3978" s="360" t="s">
        <v>3775</v>
      </c>
      <c r="H3978" s="605">
        <v>-2.0400000000000001E-2</v>
      </c>
      <c r="K3978" t="s">
        <v>4447</v>
      </c>
      <c r="L3978" t="s">
        <v>692</v>
      </c>
      <c r="P3978" t="s">
        <v>4455</v>
      </c>
      <c r="T3978">
        <v>45930</v>
      </c>
      <c r="V3978">
        <v>148</v>
      </c>
    </row>
    <row r="3979" spans="1:22" customFormat="1" ht="15" x14ac:dyDescent="0.25">
      <c r="A3979" t="s">
        <v>224</v>
      </c>
      <c r="E3979" s="1524" t="s">
        <v>6519</v>
      </c>
      <c r="F3979" s="1510"/>
      <c r="G3979" s="360" t="s">
        <v>845</v>
      </c>
      <c r="H3979" s="605">
        <v>2.8999999999999998E-3</v>
      </c>
      <c r="K3979" t="s">
        <v>4447</v>
      </c>
      <c r="L3979" t="s">
        <v>692</v>
      </c>
      <c r="P3979" t="s">
        <v>4452</v>
      </c>
      <c r="T3979">
        <v>46022</v>
      </c>
      <c r="V3979">
        <v>142</v>
      </c>
    </row>
    <row r="3980" spans="1:22" customFormat="1" ht="15" x14ac:dyDescent="0.25">
      <c r="A3980" t="s">
        <v>224</v>
      </c>
      <c r="E3980" s="1524" t="s">
        <v>6520</v>
      </c>
      <c r="F3980" s="1510"/>
      <c r="G3980" s="360" t="s">
        <v>3775</v>
      </c>
      <c r="H3980" s="605">
        <v>0.88039999999999996</v>
      </c>
      <c r="K3980" t="s">
        <v>4447</v>
      </c>
      <c r="L3980" t="s">
        <v>692</v>
      </c>
      <c r="P3980" t="s">
        <v>4453</v>
      </c>
      <c r="T3980">
        <v>46022</v>
      </c>
      <c r="V3980">
        <v>99</v>
      </c>
    </row>
    <row r="3981" spans="1:22" customFormat="1" ht="15" x14ac:dyDescent="0.25">
      <c r="A3981" t="s">
        <v>224</v>
      </c>
      <c r="E3981" s="1524" t="s">
        <v>5262</v>
      </c>
      <c r="F3981" s="1507"/>
      <c r="G3981" s="360" t="s">
        <v>845</v>
      </c>
      <c r="H3981" s="605">
        <v>-5.0000000000000001E-4</v>
      </c>
      <c r="K3981" t="s">
        <v>4447</v>
      </c>
      <c r="L3981" t="s">
        <v>692</v>
      </c>
      <c r="P3981" t="s">
        <v>4452</v>
      </c>
      <c r="T3981">
        <v>45777</v>
      </c>
      <c r="V3981">
        <v>139</v>
      </c>
    </row>
    <row r="3982" spans="1:22" customFormat="1" ht="15" x14ac:dyDescent="0.25">
      <c r="A3982" t="s">
        <v>224</v>
      </c>
      <c r="E3982" s="1524" t="s">
        <v>5263</v>
      </c>
      <c r="F3982" s="1507"/>
      <c r="G3982" s="360" t="s">
        <v>3775</v>
      </c>
      <c r="H3982" s="605">
        <v>2.0171000000000001</v>
      </c>
      <c r="K3982" t="s">
        <v>4447</v>
      </c>
      <c r="L3982" t="s">
        <v>692</v>
      </c>
      <c r="P3982" t="s">
        <v>4453</v>
      </c>
      <c r="T3982">
        <v>45777</v>
      </c>
      <c r="V3982">
        <v>96</v>
      </c>
    </row>
    <row r="3983" spans="1:22" customFormat="1" ht="15" x14ac:dyDescent="0.25">
      <c r="A3983" t="s">
        <v>224</v>
      </c>
      <c r="E3983" s="1524" t="s">
        <v>5316</v>
      </c>
      <c r="F3983" s="1507"/>
      <c r="G3983" s="360" t="s">
        <v>845</v>
      </c>
      <c r="H3983" s="605">
        <v>-1.8E-3</v>
      </c>
      <c r="K3983" t="s">
        <v>4447</v>
      </c>
      <c r="L3983" t="s">
        <v>690</v>
      </c>
      <c r="P3983" t="s">
        <v>4452</v>
      </c>
      <c r="T3983">
        <v>45930</v>
      </c>
      <c r="V3983">
        <v>155</v>
      </c>
    </row>
    <row r="3984" spans="1:22" customFormat="1" ht="15" x14ac:dyDescent="0.25">
      <c r="A3984" t="s">
        <v>224</v>
      </c>
      <c r="E3984" s="1524" t="s">
        <v>5312</v>
      </c>
      <c r="F3984" s="1507"/>
      <c r="G3984" s="360" t="s">
        <v>3775</v>
      </c>
      <c r="H3984" s="605">
        <v>-1.1500999999999999</v>
      </c>
      <c r="K3984" t="s">
        <v>4447</v>
      </c>
      <c r="L3984" t="s">
        <v>690</v>
      </c>
      <c r="P3984" t="s">
        <v>4453</v>
      </c>
      <c r="T3984">
        <v>45930</v>
      </c>
      <c r="V3984">
        <v>108</v>
      </c>
    </row>
    <row r="3985" spans="1:22" customFormat="1" ht="15" x14ac:dyDescent="0.25">
      <c r="A3985" t="s">
        <v>224</v>
      </c>
      <c r="E3985" s="1524" t="s">
        <v>5321</v>
      </c>
      <c r="F3985" s="1507"/>
      <c r="G3985" s="360" t="s">
        <v>3775</v>
      </c>
      <c r="H3985" s="605">
        <v>12.171799999999999</v>
      </c>
      <c r="K3985" t="s">
        <v>4447</v>
      </c>
      <c r="L3985" t="s">
        <v>690</v>
      </c>
      <c r="P3985" t="s">
        <v>4454</v>
      </c>
      <c r="T3985">
        <v>45930</v>
      </c>
      <c r="V3985">
        <v>138</v>
      </c>
    </row>
    <row r="3986" spans="1:22" customFormat="1" ht="15" x14ac:dyDescent="0.25">
      <c r="A3986" t="s">
        <v>224</v>
      </c>
      <c r="E3986" s="1524" t="s">
        <v>243</v>
      </c>
      <c r="F3986" s="1524"/>
      <c r="G3986" s="360" t="s">
        <v>3775</v>
      </c>
      <c r="H3986" s="577">
        <v>2.9468999999999999</v>
      </c>
      <c r="K3986" t="s">
        <v>4447</v>
      </c>
      <c r="L3986" t="s">
        <v>694</v>
      </c>
      <c r="P3986" t="s">
        <v>4456</v>
      </c>
      <c r="V3986">
        <v>47</v>
      </c>
    </row>
    <row r="3987" spans="1:22" customFormat="1" ht="15" x14ac:dyDescent="0.25">
      <c r="A3987" t="s">
        <v>224</v>
      </c>
      <c r="E3987" s="1524" t="s">
        <v>175</v>
      </c>
      <c r="F3987" s="1524"/>
      <c r="G3987" s="360" t="s">
        <v>3775</v>
      </c>
      <c r="H3987" s="577">
        <v>1.9449000000000001</v>
      </c>
      <c r="K3987" t="s">
        <v>4447</v>
      </c>
      <c r="L3987" t="s">
        <v>694</v>
      </c>
      <c r="P3987" t="s">
        <v>4485</v>
      </c>
      <c r="V3987">
        <v>74</v>
      </c>
    </row>
    <row r="3988" spans="1:22" customFormat="1" ht="15" x14ac:dyDescent="0.25">
      <c r="A3988" t="s">
        <v>224</v>
      </c>
      <c r="E3988" s="1533" t="s">
        <v>967</v>
      </c>
      <c r="F3988" s="1524"/>
      <c r="G3988" s="360"/>
      <c r="H3988" s="360"/>
      <c r="K3988" t="s">
        <v>1035</v>
      </c>
      <c r="V3988">
        <v>48</v>
      </c>
    </row>
    <row r="3989" spans="1:22" customFormat="1" ht="15" x14ac:dyDescent="0.25">
      <c r="A3989" t="s">
        <v>224</v>
      </c>
      <c r="E3989" s="1524" t="s">
        <v>844</v>
      </c>
      <c r="F3989" s="1524"/>
      <c r="G3989" s="360" t="s">
        <v>845</v>
      </c>
      <c r="H3989" s="605">
        <v>4.1000000000000003E-3</v>
      </c>
      <c r="K3989" t="s">
        <v>4447</v>
      </c>
      <c r="L3989" t="s">
        <v>968</v>
      </c>
      <c r="P3989" t="s">
        <v>4458</v>
      </c>
      <c r="V3989">
        <v>55</v>
      </c>
    </row>
    <row r="3990" spans="1:22" customFormat="1" ht="15" x14ac:dyDescent="0.25">
      <c r="A3990" t="s">
        <v>224</v>
      </c>
      <c r="E3990" s="1524" t="s">
        <v>846</v>
      </c>
      <c r="F3990" s="1524"/>
      <c r="G3990" s="360" t="s">
        <v>845</v>
      </c>
      <c r="H3990" s="605">
        <v>4.0000000000000002E-4</v>
      </c>
      <c r="K3990" t="s">
        <v>4447</v>
      </c>
      <c r="L3990" t="s">
        <v>968</v>
      </c>
      <c r="P3990" t="s">
        <v>4458</v>
      </c>
      <c r="V3990">
        <v>65</v>
      </c>
    </row>
    <row r="3991" spans="1:22" customFormat="1" ht="15" x14ac:dyDescent="0.25">
      <c r="A3991" t="s">
        <v>224</v>
      </c>
      <c r="E3991" s="1524" t="s">
        <v>847</v>
      </c>
      <c r="F3991" s="1524"/>
      <c r="G3991" s="360" t="s">
        <v>845</v>
      </c>
      <c r="H3991" s="605">
        <v>1.5E-3</v>
      </c>
      <c r="K3991" t="s">
        <v>4447</v>
      </c>
      <c r="L3991" t="s">
        <v>968</v>
      </c>
      <c r="P3991" t="s">
        <v>4459</v>
      </c>
      <c r="V3991">
        <v>57</v>
      </c>
    </row>
    <row r="3992" spans="1:22" customFormat="1" ht="15" x14ac:dyDescent="0.25">
      <c r="A3992" t="s">
        <v>224</v>
      </c>
      <c r="E3992" s="1524" t="s">
        <v>848</v>
      </c>
      <c r="F3992" s="1524"/>
      <c r="G3992" s="360" t="s">
        <v>777</v>
      </c>
      <c r="H3992" s="604">
        <v>0.25</v>
      </c>
      <c r="K3992" t="s">
        <v>4447</v>
      </c>
      <c r="L3992" t="s">
        <v>968</v>
      </c>
      <c r="P3992" t="s">
        <v>4460</v>
      </c>
      <c r="V3992">
        <v>63</v>
      </c>
    </row>
    <row r="3993" spans="1:22" customFormat="1" x14ac:dyDescent="0.25">
      <c r="A3993" t="s">
        <v>224</v>
      </c>
      <c r="E3993" s="1538" t="s">
        <v>207</v>
      </c>
      <c r="F3993" s="1571"/>
      <c r="G3993" s="1571"/>
      <c r="H3993" s="1571"/>
      <c r="K3993" t="s">
        <v>4461</v>
      </c>
      <c r="V3993">
        <v>31</v>
      </c>
    </row>
    <row r="3994" spans="1:22" customFormat="1" ht="15" x14ac:dyDescent="0.25">
      <c r="A3994" t="s">
        <v>224</v>
      </c>
      <c r="E3994" s="1496" t="s">
        <v>1070</v>
      </c>
      <c r="F3994" s="1496"/>
      <c r="G3994" s="1496"/>
      <c r="H3994" s="1496"/>
      <c r="K3994" t="s">
        <v>4461</v>
      </c>
      <c r="V3994">
        <v>285</v>
      </c>
    </row>
    <row r="3995" spans="1:22" customFormat="1" ht="15" x14ac:dyDescent="0.25">
      <c r="A3995" t="s">
        <v>224</v>
      </c>
      <c r="E3995" s="1533" t="s">
        <v>950</v>
      </c>
      <c r="F3995" s="1496"/>
      <c r="G3995" s="1496"/>
      <c r="H3995" s="1496"/>
      <c r="K3995" t="s">
        <v>1041</v>
      </c>
      <c r="V3995">
        <v>11</v>
      </c>
    </row>
    <row r="3996" spans="1:22" customFormat="1" ht="15" x14ac:dyDescent="0.25">
      <c r="A3996" t="s">
        <v>224</v>
      </c>
      <c r="E3996" s="1496" t="s">
        <v>951</v>
      </c>
      <c r="F3996" s="1496"/>
      <c r="G3996" s="1496"/>
      <c r="H3996" s="1496"/>
      <c r="K3996" t="s">
        <v>4461</v>
      </c>
      <c r="V3996">
        <v>280</v>
      </c>
    </row>
    <row r="3997" spans="1:22" customFormat="1" ht="15" x14ac:dyDescent="0.25">
      <c r="A3997" t="s">
        <v>224</v>
      </c>
      <c r="E3997" s="1496" t="s">
        <v>952</v>
      </c>
      <c r="F3997" s="1496"/>
      <c r="G3997" s="1496"/>
      <c r="H3997" s="1496"/>
      <c r="K3997" t="s">
        <v>4461</v>
      </c>
      <c r="V3997">
        <v>411</v>
      </c>
    </row>
    <row r="3998" spans="1:22" customFormat="1" ht="15" x14ac:dyDescent="0.25">
      <c r="A3998" t="s">
        <v>224</v>
      </c>
      <c r="E3998" s="1496" t="s">
        <v>1103</v>
      </c>
      <c r="F3998" s="1496"/>
      <c r="G3998" s="1496"/>
      <c r="H3998" s="1496"/>
      <c r="K3998" t="s">
        <v>4461</v>
      </c>
      <c r="V3998">
        <v>211</v>
      </c>
    </row>
    <row r="3999" spans="1:22" customFormat="1" ht="15" x14ac:dyDescent="0.25">
      <c r="A3999" t="s">
        <v>224</v>
      </c>
      <c r="E3999" s="1496" t="s">
        <v>4988</v>
      </c>
      <c r="F3999" s="1496"/>
      <c r="G3999" s="1496"/>
      <c r="H3999" s="1496"/>
      <c r="K3999" t="s">
        <v>4461</v>
      </c>
      <c r="V3999">
        <v>251</v>
      </c>
    </row>
    <row r="4000" spans="1:22" customFormat="1" ht="15" x14ac:dyDescent="0.25">
      <c r="A4000" t="s">
        <v>224</v>
      </c>
      <c r="E4000" s="1533" t="s">
        <v>956</v>
      </c>
      <c r="F4000" s="1496"/>
      <c r="G4000" s="1496"/>
      <c r="H4000" s="1496"/>
      <c r="K4000" t="s">
        <v>1042</v>
      </c>
      <c r="V4000">
        <v>46</v>
      </c>
    </row>
    <row r="4001" spans="1:22" customFormat="1" ht="15" x14ac:dyDescent="0.25">
      <c r="A4001" t="s">
        <v>224</v>
      </c>
      <c r="E4001" s="1524" t="s">
        <v>3773</v>
      </c>
      <c r="F4001" s="1524"/>
      <c r="G4001" s="360" t="s">
        <v>777</v>
      </c>
      <c r="H4001" s="576">
        <v>5</v>
      </c>
      <c r="K4001" t="s">
        <v>4461</v>
      </c>
      <c r="L4001" t="s">
        <v>690</v>
      </c>
      <c r="P4001" t="s">
        <v>4462</v>
      </c>
      <c r="V4001">
        <v>14</v>
      </c>
    </row>
    <row r="4002" spans="1:22" customFormat="1" ht="18.75" x14ac:dyDescent="0.3">
      <c r="A4002" t="s">
        <v>224</v>
      </c>
      <c r="E4002" s="842" t="s">
        <v>3825</v>
      </c>
      <c r="F4002" s="639"/>
      <c r="G4002" s="660"/>
      <c r="H4002" s="661"/>
      <c r="K4002" t="s">
        <v>5322</v>
      </c>
      <c r="V4002">
        <v>10</v>
      </c>
    </row>
    <row r="4003" spans="1:22" customFormat="1" ht="15" x14ac:dyDescent="0.25">
      <c r="A4003" t="s">
        <v>224</v>
      </c>
      <c r="E4003" s="1524" t="s">
        <v>1078</v>
      </c>
      <c r="F4003" s="1524"/>
      <c r="G4003" s="360" t="s">
        <v>3775</v>
      </c>
      <c r="H4003" s="605">
        <v>-0.6</v>
      </c>
      <c r="V4003">
        <v>68</v>
      </c>
    </row>
    <row r="4004" spans="1:22" customFormat="1" ht="15" x14ac:dyDescent="0.25">
      <c r="A4004" t="s">
        <v>224</v>
      </c>
      <c r="E4004" s="1524" t="s">
        <v>1079</v>
      </c>
      <c r="F4004" s="1524"/>
      <c r="G4004" s="360" t="s">
        <v>1118</v>
      </c>
      <c r="H4004" s="604">
        <v>-1</v>
      </c>
      <c r="V4004">
        <v>87</v>
      </c>
    </row>
    <row r="4005" spans="1:22" customFormat="1" ht="36" x14ac:dyDescent="0.3">
      <c r="A4005" t="s">
        <v>224</v>
      </c>
      <c r="E4005" s="842" t="s">
        <v>3828</v>
      </c>
      <c r="F4005" s="639"/>
      <c r="G4005" s="660"/>
      <c r="H4005" s="661"/>
      <c r="K4005" t="s">
        <v>5323</v>
      </c>
      <c r="V4005">
        <v>24</v>
      </c>
    </row>
    <row r="4006" spans="1:22" customFormat="1" ht="15" x14ac:dyDescent="0.25">
      <c r="A4006" t="s">
        <v>224</v>
      </c>
      <c r="E4006" s="1496" t="s">
        <v>951</v>
      </c>
      <c r="F4006" s="1496"/>
      <c r="G4006" s="1496"/>
      <c r="H4006" s="1496"/>
      <c r="V4006">
        <v>280</v>
      </c>
    </row>
    <row r="4007" spans="1:22" customFormat="1" ht="15" x14ac:dyDescent="0.25">
      <c r="A4007" t="s">
        <v>224</v>
      </c>
      <c r="E4007" s="1496" t="s">
        <v>1081</v>
      </c>
      <c r="F4007" s="1496"/>
      <c r="G4007" s="1496"/>
      <c r="H4007" s="1496"/>
      <c r="V4007">
        <v>353</v>
      </c>
    </row>
    <row r="4008" spans="1:22" customFormat="1" ht="15" x14ac:dyDescent="0.25">
      <c r="A4008" t="s">
        <v>224</v>
      </c>
      <c r="E4008" s="1496" t="s">
        <v>4988</v>
      </c>
      <c r="F4008" s="1496"/>
      <c r="G4008" s="1496"/>
      <c r="H4008" s="1496"/>
      <c r="V4008">
        <v>251</v>
      </c>
    </row>
    <row r="4009" spans="1:22" customFormat="1" ht="15" x14ac:dyDescent="0.25">
      <c r="A4009" t="s">
        <v>224</v>
      </c>
      <c r="E4009" s="844" t="s">
        <v>3830</v>
      </c>
      <c r="F4009" s="276"/>
      <c r="G4009" s="659"/>
      <c r="H4009" s="664"/>
      <c r="K4009" t="s">
        <v>5324</v>
      </c>
      <c r="V4009">
        <v>23</v>
      </c>
    </row>
    <row r="4010" spans="1:22" customFormat="1" ht="15" x14ac:dyDescent="0.25">
      <c r="A4010" t="s">
        <v>224</v>
      </c>
      <c r="E4010" s="1525" t="s">
        <v>4420</v>
      </c>
      <c r="F4010" s="1525"/>
      <c r="G4010" s="360" t="s">
        <v>777</v>
      </c>
      <c r="H4010" s="604">
        <v>15</v>
      </c>
      <c r="V4010">
        <v>24</v>
      </c>
    </row>
    <row r="4011" spans="1:22" customFormat="1" ht="15" x14ac:dyDescent="0.25">
      <c r="A4011" t="s">
        <v>224</v>
      </c>
      <c r="E4011" s="1525" t="s">
        <v>3832</v>
      </c>
      <c r="F4011" s="1525"/>
      <c r="G4011" s="360" t="s">
        <v>777</v>
      </c>
      <c r="H4011" s="604">
        <v>15</v>
      </c>
      <c r="V4011">
        <v>19</v>
      </c>
    </row>
    <row r="4012" spans="1:22" customFormat="1" ht="15" x14ac:dyDescent="0.25">
      <c r="A4012" t="s">
        <v>224</v>
      </c>
      <c r="E4012" s="1525" t="s">
        <v>3833</v>
      </c>
      <c r="F4012" s="1525"/>
      <c r="G4012" s="360" t="s">
        <v>777</v>
      </c>
      <c r="H4012" s="604">
        <v>15</v>
      </c>
      <c r="V4012">
        <v>20</v>
      </c>
    </row>
    <row r="4013" spans="1:22" customFormat="1" ht="15" x14ac:dyDescent="0.25">
      <c r="A4013" t="s">
        <v>224</v>
      </c>
      <c r="E4013" s="1525" t="s">
        <v>4054</v>
      </c>
      <c r="F4013" s="1525"/>
      <c r="G4013" s="360" t="s">
        <v>777</v>
      </c>
      <c r="H4013" s="604">
        <v>15</v>
      </c>
      <c r="V4013">
        <v>26</v>
      </c>
    </row>
    <row r="4014" spans="1:22" customFormat="1" ht="15" x14ac:dyDescent="0.25">
      <c r="A4014" t="s">
        <v>224</v>
      </c>
      <c r="E4014" s="1525" t="s">
        <v>3834</v>
      </c>
      <c r="F4014" s="1525"/>
      <c r="G4014" s="360" t="s">
        <v>777</v>
      </c>
      <c r="H4014" s="604">
        <v>15</v>
      </c>
      <c r="V4014">
        <v>39</v>
      </c>
    </row>
    <row r="4015" spans="1:22" customFormat="1" ht="15" x14ac:dyDescent="0.25">
      <c r="A4015" t="s">
        <v>224</v>
      </c>
      <c r="E4015" s="1525" t="s">
        <v>4058</v>
      </c>
      <c r="F4015" s="1525"/>
      <c r="G4015" s="360" t="s">
        <v>777</v>
      </c>
      <c r="H4015" s="604">
        <v>15</v>
      </c>
      <c r="V4015">
        <v>15</v>
      </c>
    </row>
    <row r="4016" spans="1:22" customFormat="1" ht="15" x14ac:dyDescent="0.25">
      <c r="A4016" t="s">
        <v>224</v>
      </c>
      <c r="E4016" s="1525" t="s">
        <v>3835</v>
      </c>
      <c r="F4016" s="1525"/>
      <c r="G4016" s="360" t="s">
        <v>777</v>
      </c>
      <c r="H4016" s="604">
        <v>15</v>
      </c>
      <c r="V4016">
        <v>56</v>
      </c>
    </row>
    <row r="4017" spans="1:22" customFormat="1" ht="15" x14ac:dyDescent="0.25">
      <c r="A4017" t="s">
        <v>224</v>
      </c>
      <c r="E4017" s="1525" t="s">
        <v>3836</v>
      </c>
      <c r="F4017" s="1525"/>
      <c r="G4017" s="360" t="s">
        <v>777</v>
      </c>
      <c r="H4017" s="604">
        <v>15</v>
      </c>
      <c r="V4017">
        <v>35</v>
      </c>
    </row>
    <row r="4018" spans="1:22" customFormat="1" ht="15" x14ac:dyDescent="0.25">
      <c r="A4018" t="s">
        <v>224</v>
      </c>
      <c r="E4018" s="1525" t="s">
        <v>4059</v>
      </c>
      <c r="F4018" s="1525"/>
      <c r="G4018" s="360" t="s">
        <v>777</v>
      </c>
      <c r="H4018" s="604">
        <v>15</v>
      </c>
      <c r="V4018">
        <v>19</v>
      </c>
    </row>
    <row r="4019" spans="1:22" customFormat="1" ht="15" x14ac:dyDescent="0.25">
      <c r="A4019" t="s">
        <v>224</v>
      </c>
      <c r="E4019" s="1525" t="s">
        <v>3837</v>
      </c>
      <c r="F4019" s="1525"/>
      <c r="G4019" s="360" t="s">
        <v>777</v>
      </c>
      <c r="H4019" s="604">
        <v>15</v>
      </c>
      <c r="V4019">
        <v>89</v>
      </c>
    </row>
    <row r="4020" spans="1:22" customFormat="1" ht="15" x14ac:dyDescent="0.25">
      <c r="A4020" t="s">
        <v>224</v>
      </c>
      <c r="E4020" s="1525" t="s">
        <v>3914</v>
      </c>
      <c r="F4020" s="1525"/>
      <c r="G4020" s="360" t="s">
        <v>777</v>
      </c>
      <c r="H4020" s="604">
        <v>30</v>
      </c>
      <c r="V4020">
        <v>19</v>
      </c>
    </row>
    <row r="4021" spans="1:22" customFormat="1" ht="15" x14ac:dyDescent="0.25">
      <c r="A4021" t="s">
        <v>224</v>
      </c>
      <c r="E4021" s="1525" t="s">
        <v>3838</v>
      </c>
      <c r="F4021" s="1525"/>
      <c r="G4021" s="360" t="s">
        <v>777</v>
      </c>
      <c r="H4021" s="604">
        <v>30</v>
      </c>
      <c r="V4021">
        <v>74</v>
      </c>
    </row>
    <row r="4022" spans="1:22" customFormat="1" ht="15" x14ac:dyDescent="0.25">
      <c r="A4022" t="s">
        <v>224</v>
      </c>
      <c r="E4022" s="844" t="s">
        <v>4062</v>
      </c>
      <c r="F4022" s="276"/>
      <c r="G4022" s="659"/>
      <c r="H4022" s="664"/>
      <c r="K4022" t="s">
        <v>5325</v>
      </c>
      <c r="V4022">
        <v>22</v>
      </c>
    </row>
    <row r="4023" spans="1:22" customFormat="1" ht="15" x14ac:dyDescent="0.25">
      <c r="A4023" t="s">
        <v>224</v>
      </c>
      <c r="E4023" s="1525" t="s">
        <v>4700</v>
      </c>
      <c r="F4023" s="1525"/>
      <c r="G4023" s="360"/>
      <c r="H4023" s="616"/>
      <c r="V4023">
        <v>24</v>
      </c>
    </row>
    <row r="4024" spans="1:22" customFormat="1" ht="15" x14ac:dyDescent="0.25">
      <c r="A4024" t="s">
        <v>224</v>
      </c>
      <c r="E4024" s="1525" t="s">
        <v>5326</v>
      </c>
      <c r="F4024" s="1525"/>
      <c r="G4024" s="360" t="s">
        <v>1118</v>
      </c>
      <c r="H4024" s="604">
        <v>1.5</v>
      </c>
      <c r="V4024">
        <v>69</v>
      </c>
    </row>
    <row r="4025" spans="1:22" customFormat="1" ht="15" x14ac:dyDescent="0.25">
      <c r="A4025" t="s">
        <v>224</v>
      </c>
      <c r="E4025" s="1525" t="s">
        <v>3842</v>
      </c>
      <c r="F4025" s="1525"/>
      <c r="G4025" s="360" t="s">
        <v>777</v>
      </c>
      <c r="H4025" s="604">
        <v>40</v>
      </c>
      <c r="V4025">
        <v>44</v>
      </c>
    </row>
    <row r="4026" spans="1:22" customFormat="1" ht="15" x14ac:dyDescent="0.25">
      <c r="A4026" t="s">
        <v>224</v>
      </c>
      <c r="E4026" s="1525" t="s">
        <v>3843</v>
      </c>
      <c r="F4026" s="1525"/>
      <c r="G4026" s="360" t="s">
        <v>777</v>
      </c>
      <c r="H4026" s="604">
        <v>185</v>
      </c>
      <c r="V4026">
        <v>43</v>
      </c>
    </row>
    <row r="4027" spans="1:22" customFormat="1" ht="15" x14ac:dyDescent="0.25">
      <c r="A4027" t="s">
        <v>224</v>
      </c>
      <c r="E4027" s="1525" t="s">
        <v>3844</v>
      </c>
      <c r="F4027" s="1525"/>
      <c r="G4027" s="360" t="s">
        <v>777</v>
      </c>
      <c r="H4027" s="604">
        <v>185</v>
      </c>
      <c r="V4027">
        <v>43</v>
      </c>
    </row>
    <row r="4028" spans="1:22" customFormat="1" ht="15" x14ac:dyDescent="0.25">
      <c r="A4028" t="s">
        <v>224</v>
      </c>
      <c r="E4028" s="1525" t="s">
        <v>3845</v>
      </c>
      <c r="F4028" s="1525"/>
      <c r="G4028" s="360" t="s">
        <v>777</v>
      </c>
      <c r="H4028" s="604">
        <v>415</v>
      </c>
      <c r="V4028">
        <v>42</v>
      </c>
    </row>
    <row r="4029" spans="1:22" customFormat="1" ht="15" x14ac:dyDescent="0.25">
      <c r="A4029" t="s">
        <v>224</v>
      </c>
      <c r="E4029" s="844" t="s">
        <v>3846</v>
      </c>
      <c r="F4029" s="276"/>
      <c r="G4029" s="659"/>
      <c r="H4029" s="664"/>
      <c r="V4029">
        <v>5</v>
      </c>
    </row>
    <row r="4030" spans="1:22" customFormat="1" ht="15" x14ac:dyDescent="0.25">
      <c r="A4030" t="s">
        <v>224</v>
      </c>
      <c r="E4030" s="1525" t="s">
        <v>3847</v>
      </c>
      <c r="F4030" s="1525"/>
      <c r="G4030" s="360" t="s">
        <v>777</v>
      </c>
      <c r="H4030" s="604">
        <v>165</v>
      </c>
      <c r="V4030">
        <v>34</v>
      </c>
    </row>
    <row r="4031" spans="1:22" customFormat="1" ht="15" x14ac:dyDescent="0.25">
      <c r="A4031" t="s">
        <v>224</v>
      </c>
      <c r="E4031" s="1525" t="s">
        <v>4560</v>
      </c>
      <c r="F4031" s="1525"/>
      <c r="G4031" s="360" t="s">
        <v>777</v>
      </c>
      <c r="H4031" s="604">
        <v>39.14</v>
      </c>
      <c r="V4031">
        <v>104</v>
      </c>
    </row>
    <row r="4032" spans="1:22" customFormat="1" ht="36" x14ac:dyDescent="0.3">
      <c r="A4032" t="s">
        <v>224</v>
      </c>
      <c r="E4032" s="842" t="s">
        <v>3851</v>
      </c>
      <c r="F4032" s="639"/>
      <c r="G4032" s="660"/>
      <c r="H4032" s="661"/>
      <c r="K4032" t="s">
        <v>5327</v>
      </c>
      <c r="V4032">
        <v>38</v>
      </c>
    </row>
    <row r="4033" spans="1:22" customFormat="1" ht="15" x14ac:dyDescent="0.25">
      <c r="A4033" t="s">
        <v>224</v>
      </c>
      <c r="E4033" s="1496" t="s">
        <v>951</v>
      </c>
      <c r="F4033" s="1496"/>
      <c r="G4033" s="1496"/>
      <c r="H4033" s="1496"/>
      <c r="V4033">
        <v>280</v>
      </c>
    </row>
    <row r="4034" spans="1:22" customFormat="1" ht="15" x14ac:dyDescent="0.25">
      <c r="A4034" t="s">
        <v>224</v>
      </c>
      <c r="E4034" s="1496" t="s">
        <v>952</v>
      </c>
      <c r="F4034" s="1496"/>
      <c r="G4034" s="1496"/>
      <c r="H4034" s="1496"/>
      <c r="V4034">
        <v>411</v>
      </c>
    </row>
    <row r="4035" spans="1:22" customFormat="1" ht="15" x14ac:dyDescent="0.25">
      <c r="A4035" t="s">
        <v>224</v>
      </c>
      <c r="E4035" s="1496" t="s">
        <v>1103</v>
      </c>
      <c r="F4035" s="1496"/>
      <c r="G4035" s="1496"/>
      <c r="H4035" s="1496"/>
      <c r="V4035">
        <v>211</v>
      </c>
    </row>
    <row r="4036" spans="1:22" customFormat="1" ht="15" x14ac:dyDescent="0.25">
      <c r="A4036" t="s">
        <v>224</v>
      </c>
      <c r="E4036" s="1496" t="s">
        <v>4988</v>
      </c>
      <c r="F4036" s="1496"/>
      <c r="G4036" s="1496"/>
      <c r="H4036" s="1496"/>
      <c r="V4036">
        <v>251</v>
      </c>
    </row>
    <row r="4037" spans="1:22" customFormat="1" ht="15" x14ac:dyDescent="0.25">
      <c r="A4037" t="s">
        <v>224</v>
      </c>
      <c r="E4037" s="1496" t="s">
        <v>1104</v>
      </c>
      <c r="F4037" s="1496"/>
      <c r="G4037" s="1496"/>
      <c r="H4037" s="1496"/>
      <c r="V4037">
        <v>142</v>
      </c>
    </row>
    <row r="4038" spans="1:22" customFormat="1" ht="15" x14ac:dyDescent="0.25">
      <c r="A4038" t="s">
        <v>224</v>
      </c>
      <c r="E4038" s="1524" t="s">
        <v>849</v>
      </c>
      <c r="F4038" s="1524"/>
      <c r="G4038" s="643" t="s">
        <v>777</v>
      </c>
      <c r="H4038" s="642">
        <v>121.23</v>
      </c>
      <c r="V4038">
        <v>106</v>
      </c>
    </row>
    <row r="4039" spans="1:22" customFormat="1" ht="15" x14ac:dyDescent="0.25">
      <c r="A4039" t="s">
        <v>224</v>
      </c>
      <c r="E4039" s="1524" t="s">
        <v>850</v>
      </c>
      <c r="F4039" s="1524"/>
      <c r="G4039" s="643" t="s">
        <v>777</v>
      </c>
      <c r="H4039" s="642">
        <v>48.5</v>
      </c>
      <c r="V4039">
        <v>34</v>
      </c>
    </row>
    <row r="4040" spans="1:22" customFormat="1" ht="15" x14ac:dyDescent="0.25">
      <c r="A4040" t="s">
        <v>224</v>
      </c>
      <c r="E4040" s="1524" t="s">
        <v>851</v>
      </c>
      <c r="F4040" s="1524"/>
      <c r="G4040" s="643" t="s">
        <v>852</v>
      </c>
      <c r="H4040" s="642">
        <v>1.2</v>
      </c>
      <c r="V4040">
        <v>51</v>
      </c>
    </row>
    <row r="4041" spans="1:22" customFormat="1" ht="15" x14ac:dyDescent="0.25">
      <c r="A4041" t="s">
        <v>224</v>
      </c>
      <c r="E4041" s="1524" t="s">
        <v>853</v>
      </c>
      <c r="F4041" s="1524"/>
      <c r="G4041" s="643" t="s">
        <v>852</v>
      </c>
      <c r="H4041" s="642">
        <v>0.71</v>
      </c>
      <c r="V4041">
        <v>75</v>
      </c>
    </row>
    <row r="4042" spans="1:22" customFormat="1" ht="15" x14ac:dyDescent="0.25">
      <c r="A4042" t="s">
        <v>224</v>
      </c>
      <c r="E4042" s="1524" t="s">
        <v>854</v>
      </c>
      <c r="F4042" s="1524"/>
      <c r="G4042" s="643" t="s">
        <v>852</v>
      </c>
      <c r="H4042" s="642">
        <v>-0.71</v>
      </c>
      <c r="V4042">
        <v>72</v>
      </c>
    </row>
    <row r="4043" spans="1:22" customFormat="1" ht="15" x14ac:dyDescent="0.25">
      <c r="A4043" t="s">
        <v>224</v>
      </c>
      <c r="E4043" s="1524" t="s">
        <v>855</v>
      </c>
      <c r="F4043" s="1524"/>
      <c r="G4043" s="643"/>
      <c r="H4043" s="644"/>
      <c r="V4043">
        <v>34</v>
      </c>
    </row>
    <row r="4044" spans="1:22" customFormat="1" ht="15" x14ac:dyDescent="0.25">
      <c r="A4044" t="s">
        <v>224</v>
      </c>
      <c r="E4044" s="1557" t="s">
        <v>1106</v>
      </c>
      <c r="F4044" s="1557"/>
      <c r="G4044" s="643" t="s">
        <v>777</v>
      </c>
      <c r="H4044" s="642">
        <v>0.61</v>
      </c>
      <c r="V4044">
        <v>57</v>
      </c>
    </row>
    <row r="4045" spans="1:22" customFormat="1" ht="15" x14ac:dyDescent="0.25">
      <c r="A4045" t="s">
        <v>224</v>
      </c>
      <c r="E4045" s="1557" t="s">
        <v>1107</v>
      </c>
      <c r="F4045" s="1557"/>
      <c r="G4045" s="643" t="s">
        <v>777</v>
      </c>
      <c r="H4045" s="642">
        <v>1.2</v>
      </c>
      <c r="V4045">
        <v>60</v>
      </c>
    </row>
    <row r="4046" spans="1:22" customFormat="1" ht="15" x14ac:dyDescent="0.25">
      <c r="A4046" t="s">
        <v>224</v>
      </c>
      <c r="E4046" s="1524" t="s">
        <v>1108</v>
      </c>
      <c r="F4046" s="1524"/>
      <c r="G4046" s="643"/>
      <c r="H4046" s="644"/>
      <c r="V4046">
        <v>91</v>
      </c>
    </row>
    <row r="4047" spans="1:22" customFormat="1" ht="15" x14ac:dyDescent="0.25">
      <c r="A4047" t="s">
        <v>224</v>
      </c>
      <c r="E4047" s="1524" t="s">
        <v>1109</v>
      </c>
      <c r="F4047" s="1524"/>
      <c r="G4047" s="643"/>
      <c r="H4047" s="644"/>
      <c r="V4047">
        <v>96</v>
      </c>
    </row>
    <row r="4048" spans="1:22" customFormat="1" ht="15" x14ac:dyDescent="0.25">
      <c r="A4048" t="s">
        <v>224</v>
      </c>
      <c r="E4048" s="1524" t="s">
        <v>856</v>
      </c>
      <c r="F4048" s="1524"/>
      <c r="G4048" s="643"/>
      <c r="H4048" s="644"/>
      <c r="V4048">
        <v>77</v>
      </c>
    </row>
    <row r="4049" spans="1:22" customFormat="1" ht="15" x14ac:dyDescent="0.25">
      <c r="A4049" t="s">
        <v>224</v>
      </c>
      <c r="E4049" s="1557" t="s">
        <v>1111</v>
      </c>
      <c r="F4049" s="1557"/>
      <c r="G4049" s="643" t="s">
        <v>777</v>
      </c>
      <c r="H4049" s="644" t="s">
        <v>857</v>
      </c>
      <c r="V4049">
        <v>18</v>
      </c>
    </row>
    <row r="4050" spans="1:22" customFormat="1" ht="15" x14ac:dyDescent="0.25">
      <c r="A4050" t="s">
        <v>224</v>
      </c>
      <c r="E4050" s="1557" t="s">
        <v>1112</v>
      </c>
      <c r="F4050" s="1557"/>
      <c r="G4050" s="643" t="s">
        <v>777</v>
      </c>
      <c r="H4050" s="642">
        <v>4.8499999999999996</v>
      </c>
      <c r="V4050">
        <v>69</v>
      </c>
    </row>
    <row r="4051" spans="1:22" customFormat="1" ht="15" x14ac:dyDescent="0.25">
      <c r="A4051" t="s">
        <v>224</v>
      </c>
      <c r="E4051" s="1524" t="s">
        <v>858</v>
      </c>
      <c r="F4051" s="1524"/>
      <c r="G4051" s="643" t="s">
        <v>777</v>
      </c>
      <c r="H4051" s="642">
        <v>2.42</v>
      </c>
      <c r="V4051">
        <v>199</v>
      </c>
    </row>
    <row r="4052" spans="1:22" customFormat="1" ht="18.75" x14ac:dyDescent="0.3">
      <c r="A4052" t="s">
        <v>224</v>
      </c>
      <c r="E4052" s="842" t="s">
        <v>3853</v>
      </c>
      <c r="F4052" s="639"/>
      <c r="G4052" s="660"/>
      <c r="H4052" s="661"/>
      <c r="K4052" t="s">
        <v>5328</v>
      </c>
      <c r="V4052">
        <v>12</v>
      </c>
    </row>
    <row r="4053" spans="1:22" customFormat="1" ht="15" x14ac:dyDescent="0.25">
      <c r="A4053" t="s">
        <v>224</v>
      </c>
      <c r="E4053" s="1524" t="s">
        <v>1114</v>
      </c>
      <c r="F4053" s="1524"/>
      <c r="G4053" s="1524"/>
      <c r="H4053" s="1524"/>
      <c r="V4053">
        <v>203</v>
      </c>
    </row>
    <row r="4054" spans="1:22" customFormat="1" ht="15" x14ac:dyDescent="0.25">
      <c r="A4054" t="s">
        <v>224</v>
      </c>
      <c r="E4054" s="1524" t="s">
        <v>4437</v>
      </c>
      <c r="F4054" s="1524"/>
      <c r="G4054" s="360"/>
      <c r="H4054" s="616">
        <v>1.0602</v>
      </c>
      <c r="V4054">
        <v>46</v>
      </c>
    </row>
    <row r="4055" spans="1:22" customFormat="1" ht="15" x14ac:dyDescent="0.25">
      <c r="A4055" t="s">
        <v>224</v>
      </c>
      <c r="E4055" s="1524" t="s">
        <v>5329</v>
      </c>
      <c r="F4055" s="1524"/>
      <c r="G4055" s="360"/>
      <c r="H4055" s="616">
        <v>1.0496000000000001</v>
      </c>
      <c r="J4055" t="s">
        <v>5330</v>
      </c>
      <c r="V4055">
        <v>44</v>
      </c>
    </row>
    <row r="4056" spans="1:22" customFormat="1" ht="23.25" x14ac:dyDescent="0.25">
      <c r="A4056" t="s">
        <v>244</v>
      </c>
      <c r="C4056" t="s">
        <v>3755</v>
      </c>
      <c r="E4056" s="1576" t="s">
        <v>244</v>
      </c>
      <c r="F4056" s="1576"/>
      <c r="G4056" s="1576"/>
      <c r="H4056" s="1576"/>
      <c r="I4056" t="s">
        <v>94</v>
      </c>
      <c r="J4056" t="s">
        <v>4812</v>
      </c>
      <c r="K4056" t="s">
        <v>244</v>
      </c>
      <c r="M4056">
        <v>7</v>
      </c>
      <c r="V4056">
        <v>26</v>
      </c>
    </row>
    <row r="4057" spans="1:22" customFormat="1" x14ac:dyDescent="0.25">
      <c r="A4057" t="s">
        <v>244</v>
      </c>
      <c r="C4057" t="s">
        <v>3757</v>
      </c>
      <c r="E4057" s="1577" t="s">
        <v>944</v>
      </c>
      <c r="F4057" s="1577"/>
      <c r="G4057" s="1577"/>
      <c r="H4057" s="1577"/>
      <c r="V4057">
        <v>27</v>
      </c>
    </row>
    <row r="4058" spans="1:22" customFormat="1" ht="15.75" x14ac:dyDescent="0.25">
      <c r="A4058" t="s">
        <v>244</v>
      </c>
      <c r="C4058" t="s">
        <v>3758</v>
      </c>
      <c r="E4058" s="1585" t="s">
        <v>6511</v>
      </c>
      <c r="F4058" s="1585"/>
      <c r="G4058" s="1585"/>
      <c r="H4058" s="1585"/>
      <c r="S4058">
        <v>45658</v>
      </c>
      <c r="V4058">
        <v>49</v>
      </c>
    </row>
    <row r="4059" spans="1:22" customFormat="1" ht="15" x14ac:dyDescent="0.25">
      <c r="A4059" t="s">
        <v>244</v>
      </c>
      <c r="C4059" t="s">
        <v>3759</v>
      </c>
      <c r="E4059" s="1575" t="s">
        <v>945</v>
      </c>
      <c r="F4059" s="1575"/>
      <c r="G4059" s="1575"/>
      <c r="H4059" s="1575"/>
      <c r="V4059">
        <v>52</v>
      </c>
    </row>
    <row r="4060" spans="1:22" customFormat="1" ht="15" x14ac:dyDescent="0.25">
      <c r="A4060" t="s">
        <v>244</v>
      </c>
      <c r="E4060" s="1575" t="s">
        <v>946</v>
      </c>
      <c r="F4060" s="1575"/>
      <c r="G4060" s="1575"/>
      <c r="H4060" s="1575"/>
      <c r="V4060">
        <v>53</v>
      </c>
    </row>
    <row r="4061" spans="1:22" customFormat="1" ht="15" x14ac:dyDescent="0.25">
      <c r="A4061" t="s">
        <v>244</v>
      </c>
      <c r="E4061" s="1534" t="s">
        <v>6741</v>
      </c>
      <c r="F4061" s="1534"/>
      <c r="G4061" s="1534"/>
      <c r="H4061" s="1534"/>
      <c r="K4061" t="s">
        <v>6741</v>
      </c>
      <c r="V4061">
        <v>12</v>
      </c>
    </row>
    <row r="4062" spans="1:22" customFormat="1" ht="15" x14ac:dyDescent="0.25">
      <c r="A4062" t="s">
        <v>244</v>
      </c>
      <c r="E4062" s="1538" t="s">
        <v>170</v>
      </c>
      <c r="F4062" s="1537"/>
      <c r="G4062" s="1537"/>
      <c r="H4062" s="1537"/>
      <c r="K4062" t="s">
        <v>947</v>
      </c>
      <c r="V4062">
        <v>34</v>
      </c>
    </row>
    <row r="4063" spans="1:22" customFormat="1" ht="15" x14ac:dyDescent="0.25">
      <c r="A4063" t="s">
        <v>244</v>
      </c>
      <c r="E4063" s="1531" t="s">
        <v>4813</v>
      </c>
      <c r="F4063" s="1531"/>
      <c r="G4063" s="1531"/>
      <c r="H4063" s="1531"/>
      <c r="K4063" t="s">
        <v>947</v>
      </c>
      <c r="V4063">
        <v>718</v>
      </c>
    </row>
    <row r="4064" spans="1:22" customFormat="1" ht="15" x14ac:dyDescent="0.25">
      <c r="A4064" t="s">
        <v>244</v>
      </c>
      <c r="E4064" s="1562" t="s">
        <v>950</v>
      </c>
      <c r="F4064" s="1530"/>
      <c r="G4064" s="1530"/>
      <c r="H4064" s="1530"/>
      <c r="K4064" t="s">
        <v>949</v>
      </c>
      <c r="V4064">
        <v>11</v>
      </c>
    </row>
    <row r="4065" spans="1:22" customFormat="1" ht="15" x14ac:dyDescent="0.25">
      <c r="A4065" t="s">
        <v>244</v>
      </c>
      <c r="E4065" s="1531" t="s">
        <v>951</v>
      </c>
      <c r="F4065" s="1531"/>
      <c r="G4065" s="1531"/>
      <c r="H4065" s="1531"/>
      <c r="K4065" t="s">
        <v>947</v>
      </c>
      <c r="V4065">
        <v>280</v>
      </c>
    </row>
    <row r="4066" spans="1:22" customFormat="1" ht="15" x14ac:dyDescent="0.25">
      <c r="A4066" t="s">
        <v>244</v>
      </c>
      <c r="E4066" s="1531" t="s">
        <v>952</v>
      </c>
      <c r="F4066" s="1531"/>
      <c r="G4066" s="1531"/>
      <c r="H4066" s="1531"/>
      <c r="K4066" t="s">
        <v>947</v>
      </c>
      <c r="V4066">
        <v>411</v>
      </c>
    </row>
    <row r="4067" spans="1:22" customFormat="1" ht="15" x14ac:dyDescent="0.25">
      <c r="A4067" t="s">
        <v>244</v>
      </c>
      <c r="E4067" s="1531" t="s">
        <v>4814</v>
      </c>
      <c r="F4067" s="1531"/>
      <c r="G4067" s="1531"/>
      <c r="H4067" s="1531"/>
      <c r="K4067" t="s">
        <v>947</v>
      </c>
      <c r="V4067">
        <v>385</v>
      </c>
    </row>
    <row r="4068" spans="1:22" customFormat="1" ht="15" x14ac:dyDescent="0.25">
      <c r="A4068" t="s">
        <v>244</v>
      </c>
      <c r="E4068" s="1531" t="s">
        <v>954</v>
      </c>
      <c r="F4068" s="1531"/>
      <c r="G4068" s="1531"/>
      <c r="H4068" s="1531"/>
      <c r="K4068" t="s">
        <v>947</v>
      </c>
      <c r="V4068">
        <v>246</v>
      </c>
    </row>
    <row r="4069" spans="1:22" customFormat="1" ht="15" x14ac:dyDescent="0.25">
      <c r="A4069" t="s">
        <v>244</v>
      </c>
      <c r="E4069" s="1562" t="s">
        <v>956</v>
      </c>
      <c r="F4069" s="1530"/>
      <c r="G4069" s="1530"/>
      <c r="H4069" s="1530"/>
      <c r="K4069" t="s">
        <v>955</v>
      </c>
      <c r="V4069">
        <v>46</v>
      </c>
    </row>
    <row r="4070" spans="1:22" customFormat="1" ht="15" x14ac:dyDescent="0.25">
      <c r="A4070" t="s">
        <v>244</v>
      </c>
      <c r="E4070" s="1524" t="s">
        <v>3773</v>
      </c>
      <c r="F4070" s="1524"/>
      <c r="G4070" s="360" t="s">
        <v>777</v>
      </c>
      <c r="H4070" s="576">
        <v>33.869999999999997</v>
      </c>
      <c r="K4070" t="s">
        <v>947</v>
      </c>
      <c r="L4070" t="s">
        <v>690</v>
      </c>
      <c r="P4070" t="s">
        <v>957</v>
      </c>
      <c r="V4070">
        <v>14</v>
      </c>
    </row>
    <row r="4071" spans="1:22" customFormat="1" ht="15" x14ac:dyDescent="0.25">
      <c r="A4071" t="s">
        <v>244</v>
      </c>
      <c r="E4071" s="1524" t="s">
        <v>960</v>
      </c>
      <c r="F4071" s="1524"/>
      <c r="G4071" s="360" t="s">
        <v>777</v>
      </c>
      <c r="H4071" s="604">
        <v>0.42</v>
      </c>
      <c r="K4071" t="s">
        <v>947</v>
      </c>
      <c r="L4071" t="s">
        <v>692</v>
      </c>
      <c r="P4071" t="s">
        <v>959</v>
      </c>
      <c r="V4071">
        <v>64</v>
      </c>
    </row>
    <row r="4072" spans="1:22" customFormat="1" ht="15" x14ac:dyDescent="0.25">
      <c r="A4072" t="s">
        <v>244</v>
      </c>
      <c r="E4072" s="1524" t="s">
        <v>6625</v>
      </c>
      <c r="F4072" s="1510"/>
      <c r="G4072" s="360" t="s">
        <v>777</v>
      </c>
      <c r="H4072" s="604">
        <v>-0.16</v>
      </c>
      <c r="K4072" t="s">
        <v>947</v>
      </c>
      <c r="L4072" t="s">
        <v>690</v>
      </c>
      <c r="P4072" t="s">
        <v>4787</v>
      </c>
      <c r="T4072">
        <v>46022</v>
      </c>
      <c r="V4072">
        <v>83</v>
      </c>
    </row>
    <row r="4073" spans="1:22" customFormat="1" ht="15" x14ac:dyDescent="0.25">
      <c r="A4073" t="s">
        <v>244</v>
      </c>
      <c r="E4073" s="1524" t="s">
        <v>910</v>
      </c>
      <c r="F4073" s="1524"/>
      <c r="G4073" s="360" t="s">
        <v>845</v>
      </c>
      <c r="H4073" s="605">
        <v>2.3999999999999998E-3</v>
      </c>
      <c r="K4073" t="s">
        <v>947</v>
      </c>
      <c r="L4073" t="s">
        <v>692</v>
      </c>
      <c r="P4073" t="s">
        <v>961</v>
      </c>
      <c r="V4073">
        <v>24</v>
      </c>
    </row>
    <row r="4074" spans="1:22" customFormat="1" ht="15" x14ac:dyDescent="0.25">
      <c r="A4074" t="s">
        <v>244</v>
      </c>
      <c r="E4074" s="1524" t="s">
        <v>6519</v>
      </c>
      <c r="F4074" s="1510"/>
      <c r="G4074" s="360" t="s">
        <v>845</v>
      </c>
      <c r="H4074" s="605">
        <v>1E-4</v>
      </c>
      <c r="K4074" t="s">
        <v>947</v>
      </c>
      <c r="L4074" t="s">
        <v>692</v>
      </c>
      <c r="P4074" t="s">
        <v>962</v>
      </c>
      <c r="T4074">
        <v>46022</v>
      </c>
      <c r="V4074">
        <v>142</v>
      </c>
    </row>
    <row r="4075" spans="1:22" customFormat="1" ht="15" x14ac:dyDescent="0.25">
      <c r="A4075" t="s">
        <v>244</v>
      </c>
      <c r="E4075" s="1524" t="s">
        <v>6520</v>
      </c>
      <c r="F4075" s="1510"/>
      <c r="G4075" s="360" t="s">
        <v>845</v>
      </c>
      <c r="H4075" s="605">
        <v>-2.8E-3</v>
      </c>
      <c r="K4075" t="s">
        <v>947</v>
      </c>
      <c r="L4075" t="s">
        <v>692</v>
      </c>
      <c r="P4075" t="s">
        <v>963</v>
      </c>
      <c r="T4075">
        <v>46022</v>
      </c>
      <c r="V4075">
        <v>99</v>
      </c>
    </row>
    <row r="4076" spans="1:22" customFormat="1" ht="15" x14ac:dyDescent="0.25">
      <c r="A4076" t="s">
        <v>244</v>
      </c>
      <c r="E4076" s="1524" t="s">
        <v>6742</v>
      </c>
      <c r="F4076" s="1510"/>
      <c r="G4076" s="360" t="s">
        <v>845</v>
      </c>
      <c r="H4076" s="605">
        <v>2.0000000000000001E-4</v>
      </c>
      <c r="K4076" t="s">
        <v>947</v>
      </c>
      <c r="L4076" t="s">
        <v>692</v>
      </c>
      <c r="P4076" t="s">
        <v>3764</v>
      </c>
      <c r="T4076">
        <v>46022</v>
      </c>
      <c r="V4076">
        <v>155</v>
      </c>
    </row>
    <row r="4077" spans="1:22" customFormat="1" ht="15" x14ac:dyDescent="0.25">
      <c r="A4077" t="s">
        <v>244</v>
      </c>
      <c r="E4077" s="1524" t="s">
        <v>243</v>
      </c>
      <c r="F4077" s="1507"/>
      <c r="G4077" s="360" t="s">
        <v>845</v>
      </c>
      <c r="H4077" s="577">
        <v>1.1599999999999999E-2</v>
      </c>
      <c r="K4077" t="s">
        <v>947</v>
      </c>
      <c r="L4077" t="s">
        <v>694</v>
      </c>
      <c r="P4077" t="s">
        <v>964</v>
      </c>
      <c r="V4077">
        <v>47</v>
      </c>
    </row>
    <row r="4078" spans="1:22" customFormat="1" ht="15" x14ac:dyDescent="0.25">
      <c r="A4078" t="s">
        <v>244</v>
      </c>
      <c r="E4078" s="1524" t="s">
        <v>175</v>
      </c>
      <c r="F4078" s="1507"/>
      <c r="G4078" s="360" t="s">
        <v>845</v>
      </c>
      <c r="H4078" s="577">
        <v>4.8999999999999998E-3</v>
      </c>
      <c r="K4078" t="s">
        <v>947</v>
      </c>
      <c r="L4078" t="s">
        <v>694</v>
      </c>
      <c r="P4078" t="s">
        <v>965</v>
      </c>
      <c r="V4078">
        <v>74</v>
      </c>
    </row>
    <row r="4079" spans="1:22" customFormat="1" ht="15" x14ac:dyDescent="0.25">
      <c r="A4079" t="s">
        <v>244</v>
      </c>
      <c r="E4079" s="1533" t="s">
        <v>967</v>
      </c>
      <c r="F4079" s="1507"/>
      <c r="G4079" s="360"/>
      <c r="H4079" s="360"/>
      <c r="K4079" t="s">
        <v>966</v>
      </c>
      <c r="V4079">
        <v>48</v>
      </c>
    </row>
    <row r="4080" spans="1:22" customFormat="1" ht="15" x14ac:dyDescent="0.25">
      <c r="A4080" t="s">
        <v>244</v>
      </c>
      <c r="E4080" s="1524" t="s">
        <v>844</v>
      </c>
      <c r="F4080" s="1524"/>
      <c r="G4080" s="662" t="s">
        <v>845</v>
      </c>
      <c r="H4080" s="608">
        <v>4.1000000000000003E-3</v>
      </c>
      <c r="K4080" t="s">
        <v>947</v>
      </c>
      <c r="L4080" t="s">
        <v>968</v>
      </c>
      <c r="P4080" t="s">
        <v>969</v>
      </c>
      <c r="V4080">
        <v>55</v>
      </c>
    </row>
    <row r="4081" spans="1:22" customFormat="1" ht="15" x14ac:dyDescent="0.25">
      <c r="A4081" t="s">
        <v>244</v>
      </c>
      <c r="E4081" s="1524" t="s">
        <v>846</v>
      </c>
      <c r="F4081" s="1524"/>
      <c r="G4081" s="662" t="s">
        <v>845</v>
      </c>
      <c r="H4081" s="608">
        <v>4.0000000000000002E-4</v>
      </c>
      <c r="K4081" t="s">
        <v>947</v>
      </c>
      <c r="L4081" t="s">
        <v>968</v>
      </c>
      <c r="P4081" t="s">
        <v>969</v>
      </c>
      <c r="V4081">
        <v>65</v>
      </c>
    </row>
    <row r="4082" spans="1:22" customFormat="1" ht="15" x14ac:dyDescent="0.25">
      <c r="A4082" t="s">
        <v>244</v>
      </c>
      <c r="E4082" s="1524" t="s">
        <v>847</v>
      </c>
      <c r="F4082" s="1524"/>
      <c r="G4082" s="662" t="s">
        <v>845</v>
      </c>
      <c r="H4082" s="608">
        <v>1.4E-3</v>
      </c>
      <c r="K4082" t="s">
        <v>947</v>
      </c>
      <c r="L4082" t="s">
        <v>968</v>
      </c>
      <c r="P4082" t="s">
        <v>970</v>
      </c>
      <c r="V4082">
        <v>57</v>
      </c>
    </row>
    <row r="4083" spans="1:22" customFormat="1" ht="15" x14ac:dyDescent="0.25">
      <c r="A4083" t="s">
        <v>244</v>
      </c>
      <c r="E4083" s="1524" t="s">
        <v>848</v>
      </c>
      <c r="F4083" s="1524"/>
      <c r="G4083" s="662" t="s">
        <v>777</v>
      </c>
      <c r="H4083" s="663">
        <v>0.25</v>
      </c>
      <c r="K4083" t="s">
        <v>947</v>
      </c>
      <c r="L4083" t="s">
        <v>968</v>
      </c>
      <c r="P4083" t="s">
        <v>971</v>
      </c>
      <c r="V4083">
        <v>63</v>
      </c>
    </row>
    <row r="4084" spans="1:22" customFormat="1" x14ac:dyDescent="0.25">
      <c r="A4084" t="s">
        <v>244</v>
      </c>
      <c r="E4084" s="1538" t="s">
        <v>174</v>
      </c>
      <c r="F4084" s="1538"/>
      <c r="G4084" s="1538"/>
      <c r="H4084" s="1538"/>
      <c r="K4084" t="s">
        <v>972</v>
      </c>
      <c r="V4084">
        <v>54</v>
      </c>
    </row>
    <row r="4085" spans="1:22" customFormat="1" ht="15" x14ac:dyDescent="0.25">
      <c r="A4085" t="s">
        <v>244</v>
      </c>
      <c r="E4085" s="1531" t="s">
        <v>4815</v>
      </c>
      <c r="F4085" s="1531"/>
      <c r="G4085" s="1531"/>
      <c r="H4085" s="1531"/>
      <c r="K4085" t="s">
        <v>972</v>
      </c>
      <c r="V4085">
        <v>321</v>
      </c>
    </row>
    <row r="4086" spans="1:22" customFormat="1" ht="15" x14ac:dyDescent="0.25">
      <c r="A4086" t="s">
        <v>244</v>
      </c>
      <c r="E4086" s="1562" t="s">
        <v>950</v>
      </c>
      <c r="F4086" s="1530"/>
      <c r="G4086" s="1530"/>
      <c r="H4086" s="1530"/>
      <c r="K4086" t="s">
        <v>974</v>
      </c>
      <c r="V4086">
        <v>11</v>
      </c>
    </row>
    <row r="4087" spans="1:22" customFormat="1" ht="15" x14ac:dyDescent="0.25">
      <c r="A4087" t="s">
        <v>244</v>
      </c>
      <c r="E4087" s="1531" t="s">
        <v>951</v>
      </c>
      <c r="F4087" s="1531"/>
      <c r="G4087" s="1531"/>
      <c r="H4087" s="1531"/>
      <c r="K4087" t="s">
        <v>972</v>
      </c>
      <c r="V4087">
        <v>280</v>
      </c>
    </row>
    <row r="4088" spans="1:22" customFormat="1" ht="15" x14ac:dyDescent="0.25">
      <c r="A4088" t="s">
        <v>244</v>
      </c>
      <c r="E4088" s="1531" t="s">
        <v>952</v>
      </c>
      <c r="F4088" s="1531"/>
      <c r="G4088" s="1531"/>
      <c r="H4088" s="1531"/>
      <c r="K4088" t="s">
        <v>972</v>
      </c>
      <c r="V4088">
        <v>411</v>
      </c>
    </row>
    <row r="4089" spans="1:22" customFormat="1" ht="15" x14ac:dyDescent="0.25">
      <c r="A4089" t="s">
        <v>244</v>
      </c>
      <c r="E4089" s="1531" t="s">
        <v>4814</v>
      </c>
      <c r="F4089" s="1531"/>
      <c r="G4089" s="1531"/>
      <c r="H4089" s="1531"/>
      <c r="K4089" t="s">
        <v>972</v>
      </c>
      <c r="V4089">
        <v>385</v>
      </c>
    </row>
    <row r="4090" spans="1:22" customFormat="1" ht="15" x14ac:dyDescent="0.25">
      <c r="A4090" t="s">
        <v>244</v>
      </c>
      <c r="E4090" s="1531" t="s">
        <v>954</v>
      </c>
      <c r="F4090" s="1531"/>
      <c r="G4090" s="1531"/>
      <c r="H4090" s="1531"/>
      <c r="K4090" t="s">
        <v>972</v>
      </c>
      <c r="V4090">
        <v>246</v>
      </c>
    </row>
    <row r="4091" spans="1:22" customFormat="1" ht="15" x14ac:dyDescent="0.25">
      <c r="A4091" t="s">
        <v>244</v>
      </c>
      <c r="E4091" s="1562" t="s">
        <v>956</v>
      </c>
      <c r="F4091" s="1530"/>
      <c r="G4091" s="1530"/>
      <c r="H4091" s="1530"/>
      <c r="K4091" t="s">
        <v>975</v>
      </c>
      <c r="V4091">
        <v>46</v>
      </c>
    </row>
    <row r="4092" spans="1:22" customFormat="1" ht="15" x14ac:dyDescent="0.25">
      <c r="A4092" t="s">
        <v>244</v>
      </c>
      <c r="E4092" s="1524" t="s">
        <v>3773</v>
      </c>
      <c r="F4092" s="1524"/>
      <c r="G4092" s="360" t="s">
        <v>777</v>
      </c>
      <c r="H4092" s="576">
        <v>29.71</v>
      </c>
      <c r="K4092" t="s">
        <v>972</v>
      </c>
      <c r="L4092" t="s">
        <v>690</v>
      </c>
      <c r="P4092" t="s">
        <v>976</v>
      </c>
      <c r="V4092">
        <v>14</v>
      </c>
    </row>
    <row r="4093" spans="1:22" customFormat="1" ht="15" x14ac:dyDescent="0.25">
      <c r="A4093" t="s">
        <v>244</v>
      </c>
      <c r="E4093" s="1524" t="s">
        <v>960</v>
      </c>
      <c r="F4093" s="1524"/>
      <c r="G4093" s="360" t="s">
        <v>777</v>
      </c>
      <c r="H4093" s="604">
        <v>0.42</v>
      </c>
      <c r="K4093" t="s">
        <v>972</v>
      </c>
      <c r="L4093" t="s">
        <v>692</v>
      </c>
      <c r="P4093" t="s">
        <v>977</v>
      </c>
      <c r="V4093">
        <v>64</v>
      </c>
    </row>
    <row r="4094" spans="1:22" customFormat="1" ht="15" x14ac:dyDescent="0.25">
      <c r="A4094" t="s">
        <v>244</v>
      </c>
      <c r="E4094" s="1524" t="s">
        <v>3688</v>
      </c>
      <c r="F4094" s="1524"/>
      <c r="G4094" s="360" t="s">
        <v>845</v>
      </c>
      <c r="H4094" s="577">
        <v>2.3800000000000002E-2</v>
      </c>
      <c r="K4094" t="s">
        <v>972</v>
      </c>
      <c r="L4094" t="s">
        <v>690</v>
      </c>
      <c r="P4094" t="s">
        <v>978</v>
      </c>
      <c r="V4094">
        <v>28</v>
      </c>
    </row>
    <row r="4095" spans="1:22" customFormat="1" ht="15" x14ac:dyDescent="0.25">
      <c r="A4095" t="s">
        <v>244</v>
      </c>
      <c r="E4095" s="1524" t="s">
        <v>910</v>
      </c>
      <c r="F4095" s="1524"/>
      <c r="G4095" s="360" t="s">
        <v>845</v>
      </c>
      <c r="H4095" s="605">
        <v>2.0999999999999999E-3</v>
      </c>
      <c r="K4095" t="s">
        <v>972</v>
      </c>
      <c r="L4095" t="s">
        <v>692</v>
      </c>
      <c r="P4095" t="s">
        <v>980</v>
      </c>
      <c r="V4095">
        <v>24</v>
      </c>
    </row>
    <row r="4096" spans="1:22" customFormat="1" ht="15" x14ac:dyDescent="0.25">
      <c r="A4096" t="s">
        <v>244</v>
      </c>
      <c r="E4096" s="1524" t="s">
        <v>6519</v>
      </c>
      <c r="F4096" s="1510"/>
      <c r="G4096" s="360" t="s">
        <v>845</v>
      </c>
      <c r="H4096" s="605">
        <v>1E-4</v>
      </c>
      <c r="K4096" t="s">
        <v>972</v>
      </c>
      <c r="L4096" t="s">
        <v>692</v>
      </c>
      <c r="P4096" t="s">
        <v>981</v>
      </c>
      <c r="T4096">
        <v>46022</v>
      </c>
      <c r="V4096">
        <v>142</v>
      </c>
    </row>
    <row r="4097" spans="1:22" customFormat="1" ht="15" x14ac:dyDescent="0.25">
      <c r="A4097" t="s">
        <v>244</v>
      </c>
      <c r="E4097" s="1524" t="s">
        <v>6520</v>
      </c>
      <c r="F4097" s="1510"/>
      <c r="G4097" s="360" t="s">
        <v>845</v>
      </c>
      <c r="H4097" s="605">
        <v>-2.7000000000000001E-3</v>
      </c>
      <c r="K4097" t="s">
        <v>972</v>
      </c>
      <c r="L4097" t="s">
        <v>692</v>
      </c>
      <c r="P4097" t="s">
        <v>982</v>
      </c>
      <c r="T4097">
        <v>46022</v>
      </c>
      <c r="V4097">
        <v>99</v>
      </c>
    </row>
    <row r="4098" spans="1:22" customFormat="1" ht="15" x14ac:dyDescent="0.25">
      <c r="A4098" t="s">
        <v>244</v>
      </c>
      <c r="E4098" s="1524" t="s">
        <v>6743</v>
      </c>
      <c r="F4098" s="1510"/>
      <c r="G4098" s="360" t="s">
        <v>845</v>
      </c>
      <c r="H4098" s="605">
        <v>2.0000000000000001E-4</v>
      </c>
      <c r="K4098" t="s">
        <v>972</v>
      </c>
      <c r="L4098" t="s">
        <v>692</v>
      </c>
      <c r="P4098" t="s">
        <v>3766</v>
      </c>
      <c r="V4098">
        <v>151</v>
      </c>
    </row>
    <row r="4099" spans="1:22" customFormat="1" ht="15" x14ac:dyDescent="0.25">
      <c r="A4099" t="s">
        <v>244</v>
      </c>
      <c r="E4099" s="1524" t="s">
        <v>6625</v>
      </c>
      <c r="F4099" s="1510"/>
      <c r="G4099" s="360" t="s">
        <v>845</v>
      </c>
      <c r="H4099" s="605">
        <v>-2.0000000000000001E-4</v>
      </c>
      <c r="K4099" t="s">
        <v>972</v>
      </c>
      <c r="L4099" t="s">
        <v>690</v>
      </c>
      <c r="P4099" t="s">
        <v>4791</v>
      </c>
      <c r="T4099">
        <v>46022</v>
      </c>
      <c r="V4099">
        <v>83</v>
      </c>
    </row>
    <row r="4100" spans="1:22" customFormat="1" ht="15" x14ac:dyDescent="0.25">
      <c r="A4100" t="s">
        <v>244</v>
      </c>
      <c r="E4100" s="1524" t="s">
        <v>243</v>
      </c>
      <c r="F4100" s="1507"/>
      <c r="G4100" s="360" t="s">
        <v>845</v>
      </c>
      <c r="H4100" s="577">
        <v>1.0800000000000001E-2</v>
      </c>
      <c r="K4100" t="s">
        <v>972</v>
      </c>
      <c r="L4100" t="s">
        <v>694</v>
      </c>
      <c r="P4100" t="s">
        <v>983</v>
      </c>
      <c r="V4100">
        <v>47</v>
      </c>
    </row>
    <row r="4101" spans="1:22" customFormat="1" ht="15" x14ac:dyDescent="0.25">
      <c r="A4101" t="s">
        <v>244</v>
      </c>
      <c r="E4101" s="1524" t="s">
        <v>175</v>
      </c>
      <c r="F4101" s="1507"/>
      <c r="G4101" s="360" t="s">
        <v>845</v>
      </c>
      <c r="H4101" s="577">
        <v>4.4000000000000003E-3</v>
      </c>
      <c r="K4101" t="s">
        <v>972</v>
      </c>
      <c r="L4101" t="s">
        <v>694</v>
      </c>
      <c r="P4101" t="s">
        <v>984</v>
      </c>
      <c r="V4101">
        <v>74</v>
      </c>
    </row>
    <row r="4102" spans="1:22" customFormat="1" ht="15" x14ac:dyDescent="0.25">
      <c r="A4102" t="s">
        <v>244</v>
      </c>
      <c r="E4102" s="1533" t="s">
        <v>967</v>
      </c>
      <c r="F4102" s="1507"/>
      <c r="G4102" s="360"/>
      <c r="H4102" s="360"/>
      <c r="K4102" t="s">
        <v>985</v>
      </c>
      <c r="V4102">
        <v>48</v>
      </c>
    </row>
    <row r="4103" spans="1:22" customFormat="1" ht="15" x14ac:dyDescent="0.25">
      <c r="A4103" t="s">
        <v>244</v>
      </c>
      <c r="E4103" s="1524" t="s">
        <v>844</v>
      </c>
      <c r="F4103" s="1524"/>
      <c r="G4103" s="662" t="s">
        <v>845</v>
      </c>
      <c r="H4103" s="608">
        <v>4.1000000000000003E-3</v>
      </c>
      <c r="K4103" t="s">
        <v>972</v>
      </c>
      <c r="L4103" t="s">
        <v>968</v>
      </c>
      <c r="P4103" t="s">
        <v>986</v>
      </c>
      <c r="V4103">
        <v>55</v>
      </c>
    </row>
    <row r="4104" spans="1:22" customFormat="1" ht="15" x14ac:dyDescent="0.25">
      <c r="A4104" t="s">
        <v>244</v>
      </c>
      <c r="E4104" s="1524" t="s">
        <v>846</v>
      </c>
      <c r="F4104" s="1524"/>
      <c r="G4104" s="662" t="s">
        <v>845</v>
      </c>
      <c r="H4104" s="608">
        <v>4.0000000000000002E-4</v>
      </c>
      <c r="K4104" t="s">
        <v>972</v>
      </c>
      <c r="L4104" t="s">
        <v>968</v>
      </c>
      <c r="P4104" t="s">
        <v>986</v>
      </c>
      <c r="V4104">
        <v>65</v>
      </c>
    </row>
    <row r="4105" spans="1:22" customFormat="1" ht="15" x14ac:dyDescent="0.25">
      <c r="A4105" t="s">
        <v>244</v>
      </c>
      <c r="E4105" s="1524" t="s">
        <v>847</v>
      </c>
      <c r="F4105" s="1524"/>
      <c r="G4105" s="662" t="s">
        <v>845</v>
      </c>
      <c r="H4105" s="608">
        <v>1.4E-3</v>
      </c>
      <c r="K4105" t="s">
        <v>972</v>
      </c>
      <c r="L4105" t="s">
        <v>968</v>
      </c>
      <c r="P4105" t="s">
        <v>987</v>
      </c>
      <c r="V4105">
        <v>57</v>
      </c>
    </row>
    <row r="4106" spans="1:22" customFormat="1" ht="15" x14ac:dyDescent="0.25">
      <c r="A4106" t="s">
        <v>244</v>
      </c>
      <c r="E4106" s="1524" t="s">
        <v>848</v>
      </c>
      <c r="F4106" s="1524"/>
      <c r="G4106" s="662" t="s">
        <v>777</v>
      </c>
      <c r="H4106" s="663">
        <v>0.25</v>
      </c>
      <c r="K4106" t="s">
        <v>972</v>
      </c>
      <c r="L4106" t="s">
        <v>968</v>
      </c>
      <c r="P4106" t="s">
        <v>988</v>
      </c>
      <c r="V4106">
        <v>63</v>
      </c>
    </row>
    <row r="4107" spans="1:22" customFormat="1" x14ac:dyDescent="0.25">
      <c r="A4107" t="s">
        <v>244</v>
      </c>
      <c r="E4107" s="1538" t="s">
        <v>3767</v>
      </c>
      <c r="F4107" s="1538"/>
      <c r="G4107" s="1538"/>
      <c r="H4107" s="1538"/>
      <c r="K4107" t="s">
        <v>3768</v>
      </c>
      <c r="V4107">
        <v>53</v>
      </c>
    </row>
    <row r="4108" spans="1:22" customFormat="1" ht="15" x14ac:dyDescent="0.25">
      <c r="A4108" t="s">
        <v>244</v>
      </c>
      <c r="E4108" s="1531" t="s">
        <v>4816</v>
      </c>
      <c r="F4108" s="1531"/>
      <c r="G4108" s="1531"/>
      <c r="H4108" s="1531"/>
      <c r="K4108" t="s">
        <v>3768</v>
      </c>
      <c r="V4108">
        <v>359</v>
      </c>
    </row>
    <row r="4109" spans="1:22" customFormat="1" ht="15" x14ac:dyDescent="0.25">
      <c r="A4109" t="s">
        <v>244</v>
      </c>
      <c r="E4109" s="1562" t="s">
        <v>950</v>
      </c>
      <c r="F4109" s="1530"/>
      <c r="G4109" s="1530"/>
      <c r="H4109" s="1530"/>
      <c r="K4109" t="s">
        <v>992</v>
      </c>
      <c r="V4109">
        <v>11</v>
      </c>
    </row>
    <row r="4110" spans="1:22" customFormat="1" ht="15" x14ac:dyDescent="0.25">
      <c r="A4110" t="s">
        <v>244</v>
      </c>
      <c r="E4110" s="1531" t="s">
        <v>951</v>
      </c>
      <c r="F4110" s="1531"/>
      <c r="G4110" s="1531"/>
      <c r="H4110" s="1531"/>
      <c r="K4110" t="s">
        <v>3768</v>
      </c>
      <c r="V4110">
        <v>280</v>
      </c>
    </row>
    <row r="4111" spans="1:22" customFormat="1" ht="15" x14ac:dyDescent="0.25">
      <c r="A4111" t="s">
        <v>244</v>
      </c>
      <c r="E4111" s="1531" t="s">
        <v>952</v>
      </c>
      <c r="F4111" s="1531"/>
      <c r="G4111" s="1531"/>
      <c r="H4111" s="1531"/>
      <c r="K4111" t="s">
        <v>3768</v>
      </c>
      <c r="V4111">
        <v>411</v>
      </c>
    </row>
    <row r="4112" spans="1:22" customFormat="1" ht="15" x14ac:dyDescent="0.25">
      <c r="A4112" t="s">
        <v>244</v>
      </c>
      <c r="E4112" s="1531" t="s">
        <v>4814</v>
      </c>
      <c r="F4112" s="1531"/>
      <c r="G4112" s="1531"/>
      <c r="H4112" s="1531"/>
      <c r="K4112" t="s">
        <v>3768</v>
      </c>
      <c r="V4112">
        <v>385</v>
      </c>
    </row>
    <row r="4113" spans="1:22" customFormat="1" ht="15" x14ac:dyDescent="0.25">
      <c r="A4113" t="s">
        <v>244</v>
      </c>
      <c r="E4113" s="1516" t="s">
        <v>3771</v>
      </c>
      <c r="F4113" s="1516"/>
      <c r="G4113" s="1516"/>
      <c r="H4113" s="1516"/>
      <c r="K4113" t="s">
        <v>3768</v>
      </c>
      <c r="V4113">
        <v>677</v>
      </c>
    </row>
    <row r="4114" spans="1:22" customFormat="1" ht="15" x14ac:dyDescent="0.25">
      <c r="A4114" t="s">
        <v>244</v>
      </c>
      <c r="E4114" s="1516" t="s">
        <v>3772</v>
      </c>
      <c r="F4114" s="1516"/>
      <c r="G4114" s="1516"/>
      <c r="H4114" s="1516"/>
      <c r="K4114" t="s">
        <v>3768</v>
      </c>
      <c r="V4114">
        <v>693</v>
      </c>
    </row>
    <row r="4115" spans="1:22" customFormat="1" ht="15" x14ac:dyDescent="0.25">
      <c r="A4115" t="s">
        <v>244</v>
      </c>
      <c r="E4115" s="1531" t="s">
        <v>954</v>
      </c>
      <c r="F4115" s="1531"/>
      <c r="G4115" s="1531"/>
      <c r="H4115" s="1531"/>
      <c r="K4115" t="s">
        <v>3768</v>
      </c>
      <c r="V4115">
        <v>246</v>
      </c>
    </row>
    <row r="4116" spans="1:22" customFormat="1" ht="15" x14ac:dyDescent="0.25">
      <c r="A4116" t="s">
        <v>244</v>
      </c>
      <c r="E4116" s="1562" t="s">
        <v>956</v>
      </c>
      <c r="F4116" s="1530"/>
      <c r="G4116" s="1530"/>
      <c r="H4116" s="1530"/>
      <c r="K4116" t="s">
        <v>995</v>
      </c>
      <c r="V4116">
        <v>46</v>
      </c>
    </row>
    <row r="4117" spans="1:22" customFormat="1" ht="15" x14ac:dyDescent="0.25">
      <c r="A4117" t="s">
        <v>244</v>
      </c>
      <c r="E4117" s="1524" t="s">
        <v>3773</v>
      </c>
      <c r="F4117" s="1524"/>
      <c r="G4117" s="360" t="s">
        <v>777</v>
      </c>
      <c r="H4117" s="576">
        <v>246.7</v>
      </c>
      <c r="K4117" t="s">
        <v>3768</v>
      </c>
      <c r="L4117" t="s">
        <v>690</v>
      </c>
      <c r="P4117" t="s">
        <v>3774</v>
      </c>
      <c r="V4117">
        <v>14</v>
      </c>
    </row>
    <row r="4118" spans="1:22" customFormat="1" ht="15" x14ac:dyDescent="0.25">
      <c r="A4118" t="s">
        <v>244</v>
      </c>
      <c r="E4118" s="1524" t="s">
        <v>3688</v>
      </c>
      <c r="F4118" s="1524"/>
      <c r="G4118" s="360" t="s">
        <v>3775</v>
      </c>
      <c r="H4118" s="577">
        <v>3.8336999999999999</v>
      </c>
      <c r="K4118" t="s">
        <v>3768</v>
      </c>
      <c r="L4118" t="s">
        <v>690</v>
      </c>
      <c r="P4118" t="s">
        <v>3776</v>
      </c>
      <c r="V4118">
        <v>28</v>
      </c>
    </row>
    <row r="4119" spans="1:22" customFormat="1" ht="15" x14ac:dyDescent="0.25">
      <c r="A4119" t="s">
        <v>244</v>
      </c>
      <c r="E4119" s="1524" t="s">
        <v>910</v>
      </c>
      <c r="F4119" s="1524"/>
      <c r="G4119" s="360" t="s">
        <v>3775</v>
      </c>
      <c r="H4119" s="605">
        <v>0.87509999999999999</v>
      </c>
      <c r="K4119" t="s">
        <v>3768</v>
      </c>
      <c r="L4119" t="s">
        <v>692</v>
      </c>
      <c r="P4119" t="s">
        <v>3777</v>
      </c>
      <c r="V4119">
        <v>24</v>
      </c>
    </row>
    <row r="4120" spans="1:22" customFormat="1" ht="15" x14ac:dyDescent="0.25">
      <c r="A4120" t="s">
        <v>244</v>
      </c>
      <c r="E4120" s="1524" t="s">
        <v>6519</v>
      </c>
      <c r="F4120" s="1510"/>
      <c r="G4120" s="360" t="s">
        <v>845</v>
      </c>
      <c r="H4120" s="605">
        <v>1E-4</v>
      </c>
      <c r="K4120" t="s">
        <v>3768</v>
      </c>
      <c r="L4120" t="s">
        <v>692</v>
      </c>
      <c r="P4120" t="s">
        <v>4232</v>
      </c>
      <c r="T4120">
        <v>46022</v>
      </c>
      <c r="V4120">
        <v>142</v>
      </c>
    </row>
    <row r="4121" spans="1:22" customFormat="1" ht="15" x14ac:dyDescent="0.25">
      <c r="A4121" t="s">
        <v>244</v>
      </c>
      <c r="E4121" s="1524" t="s">
        <v>6525</v>
      </c>
      <c r="F4121" s="1510"/>
      <c r="G4121" s="360" t="s">
        <v>3775</v>
      </c>
      <c r="H4121" s="605">
        <v>-0.7046</v>
      </c>
      <c r="K4121" t="s">
        <v>3768</v>
      </c>
      <c r="L4121" t="s">
        <v>692</v>
      </c>
      <c r="P4121" t="s">
        <v>3779</v>
      </c>
      <c r="T4121">
        <v>46022</v>
      </c>
      <c r="V4121">
        <v>159</v>
      </c>
    </row>
    <row r="4122" spans="1:22" customFormat="1" ht="15" x14ac:dyDescent="0.25">
      <c r="A4122" t="s">
        <v>244</v>
      </c>
      <c r="E4122" s="1524" t="s">
        <v>6520</v>
      </c>
      <c r="F4122" s="1510"/>
      <c r="G4122" s="360" t="s">
        <v>3775</v>
      </c>
      <c r="H4122" s="605">
        <v>-0.15440000000000001</v>
      </c>
      <c r="K4122" t="s">
        <v>3768</v>
      </c>
      <c r="L4122" t="s">
        <v>692</v>
      </c>
      <c r="P4122" t="s">
        <v>3779</v>
      </c>
      <c r="T4122">
        <v>46022</v>
      </c>
      <c r="V4122">
        <v>99</v>
      </c>
    </row>
    <row r="4123" spans="1:22" customFormat="1" ht="15" x14ac:dyDescent="0.25">
      <c r="A4123" t="s">
        <v>244</v>
      </c>
      <c r="E4123" s="1524" t="s">
        <v>6617</v>
      </c>
      <c r="F4123" s="1510"/>
      <c r="G4123" s="360" t="s">
        <v>3775</v>
      </c>
      <c r="H4123" s="605">
        <v>7.2099999999999997E-2</v>
      </c>
      <c r="K4123" t="s">
        <v>3768</v>
      </c>
      <c r="L4123" t="s">
        <v>692</v>
      </c>
      <c r="P4123" t="s">
        <v>3778</v>
      </c>
      <c r="V4123">
        <v>149</v>
      </c>
    </row>
    <row r="4124" spans="1:22" customFormat="1" ht="15" x14ac:dyDescent="0.25">
      <c r="A4124" t="s">
        <v>244</v>
      </c>
      <c r="E4124" s="1524" t="s">
        <v>6625</v>
      </c>
      <c r="F4124" s="1510"/>
      <c r="G4124" s="360" t="s">
        <v>3775</v>
      </c>
      <c r="H4124" s="605">
        <v>-2.69E-2</v>
      </c>
      <c r="K4124" t="s">
        <v>3768</v>
      </c>
      <c r="L4124" t="s">
        <v>690</v>
      </c>
      <c r="P4124" t="s">
        <v>4794</v>
      </c>
      <c r="T4124">
        <v>46022</v>
      </c>
      <c r="V4124">
        <v>83</v>
      </c>
    </row>
    <row r="4125" spans="1:22" customFormat="1" ht="15" x14ac:dyDescent="0.25">
      <c r="A4125" t="s">
        <v>244</v>
      </c>
      <c r="E4125" s="1524" t="s">
        <v>251</v>
      </c>
      <c r="F4125" s="1507"/>
      <c r="G4125" s="360" t="s">
        <v>3775</v>
      </c>
      <c r="H4125" s="577">
        <v>4.2785000000000002</v>
      </c>
      <c r="K4125" t="s">
        <v>3768</v>
      </c>
      <c r="L4125" t="s">
        <v>694</v>
      </c>
      <c r="P4125" t="s">
        <v>3780</v>
      </c>
      <c r="V4125">
        <v>66</v>
      </c>
    </row>
    <row r="4126" spans="1:22" customFormat="1" ht="15" x14ac:dyDescent="0.25">
      <c r="A4126" t="s">
        <v>244</v>
      </c>
      <c r="E4126" s="1524" t="s">
        <v>185</v>
      </c>
      <c r="F4126" s="1507"/>
      <c r="G4126" s="360" t="s">
        <v>3775</v>
      </c>
      <c r="H4126" s="577">
        <v>1.8912</v>
      </c>
      <c r="K4126" t="s">
        <v>3768</v>
      </c>
      <c r="L4126" t="s">
        <v>694</v>
      </c>
      <c r="P4126" t="s">
        <v>3781</v>
      </c>
      <c r="V4126">
        <v>93</v>
      </c>
    </row>
    <row r="4127" spans="1:22" customFormat="1" ht="15" x14ac:dyDescent="0.25">
      <c r="A4127" t="s">
        <v>244</v>
      </c>
      <c r="E4127" s="1533" t="s">
        <v>967</v>
      </c>
      <c r="F4127" s="1507"/>
      <c r="G4127" s="360"/>
      <c r="H4127" s="360"/>
      <c r="K4127" t="s">
        <v>1003</v>
      </c>
      <c r="V4127">
        <v>48</v>
      </c>
    </row>
    <row r="4128" spans="1:22" customFormat="1" ht="15" x14ac:dyDescent="0.25">
      <c r="A4128" t="s">
        <v>244</v>
      </c>
      <c r="E4128" s="1524" t="s">
        <v>844</v>
      </c>
      <c r="F4128" s="1524"/>
      <c r="G4128" s="360" t="s">
        <v>845</v>
      </c>
      <c r="H4128" s="608">
        <v>4.1000000000000003E-3</v>
      </c>
      <c r="K4128" t="s">
        <v>3768</v>
      </c>
      <c r="L4128" t="s">
        <v>968</v>
      </c>
      <c r="P4128" t="s">
        <v>3782</v>
      </c>
      <c r="V4128">
        <v>55</v>
      </c>
    </row>
    <row r="4129" spans="1:22" customFormat="1" ht="15" x14ac:dyDescent="0.25">
      <c r="A4129" t="s">
        <v>244</v>
      </c>
      <c r="E4129" s="1507" t="s">
        <v>846</v>
      </c>
      <c r="F4129" s="1507"/>
      <c r="G4129" s="360" t="s">
        <v>845</v>
      </c>
      <c r="H4129" s="608">
        <v>4.0000000000000002E-4</v>
      </c>
      <c r="K4129" t="s">
        <v>3768</v>
      </c>
      <c r="L4129" t="s">
        <v>968</v>
      </c>
      <c r="P4129" t="s">
        <v>3782</v>
      </c>
      <c r="V4129">
        <v>65</v>
      </c>
    </row>
    <row r="4130" spans="1:22" customFormat="1" ht="15" x14ac:dyDescent="0.25">
      <c r="A4130" t="s">
        <v>244</v>
      </c>
      <c r="E4130" s="1524" t="s">
        <v>847</v>
      </c>
      <c r="F4130" s="1524"/>
      <c r="G4130" s="360" t="s">
        <v>845</v>
      </c>
      <c r="H4130" s="608">
        <v>1.4E-3</v>
      </c>
      <c r="K4130" t="s">
        <v>3768</v>
      </c>
      <c r="L4130" t="s">
        <v>968</v>
      </c>
      <c r="P4130" t="s">
        <v>3783</v>
      </c>
      <c r="V4130">
        <v>57</v>
      </c>
    </row>
    <row r="4131" spans="1:22" customFormat="1" ht="15" x14ac:dyDescent="0.25">
      <c r="A4131" t="s">
        <v>244</v>
      </c>
      <c r="E4131" s="1524" t="s">
        <v>848</v>
      </c>
      <c r="F4131" s="1524"/>
      <c r="G4131" s="360" t="s">
        <v>777</v>
      </c>
      <c r="H4131" s="663">
        <v>0.25</v>
      </c>
      <c r="K4131" t="s">
        <v>3768</v>
      </c>
      <c r="L4131" t="s">
        <v>968</v>
      </c>
      <c r="P4131" t="s">
        <v>3784</v>
      </c>
      <c r="V4131">
        <v>63</v>
      </c>
    </row>
    <row r="4132" spans="1:22" customFormat="1" x14ac:dyDescent="0.25">
      <c r="A4132" t="s">
        <v>244</v>
      </c>
      <c r="E4132" s="1538" t="s">
        <v>194</v>
      </c>
      <c r="F4132" s="1538"/>
      <c r="G4132" s="1538"/>
      <c r="H4132" s="1539"/>
      <c r="K4132" t="s">
        <v>3785</v>
      </c>
      <c r="V4132">
        <v>47</v>
      </c>
    </row>
    <row r="4133" spans="1:22" customFormat="1" ht="15" x14ac:dyDescent="0.25">
      <c r="A4133" t="s">
        <v>244</v>
      </c>
      <c r="E4133" s="1531" t="s">
        <v>4817</v>
      </c>
      <c r="F4133" s="1531"/>
      <c r="G4133" s="1531"/>
      <c r="H4133" s="1532"/>
      <c r="K4133" t="s">
        <v>3785</v>
      </c>
      <c r="V4133">
        <v>446</v>
      </c>
    </row>
    <row r="4134" spans="1:22" customFormat="1" ht="15" x14ac:dyDescent="0.25">
      <c r="A4134" t="s">
        <v>244</v>
      </c>
      <c r="E4134" s="1562" t="s">
        <v>950</v>
      </c>
      <c r="F4134" s="1530"/>
      <c r="G4134" s="1530"/>
      <c r="H4134" s="1530"/>
      <c r="K4134" t="s">
        <v>1010</v>
      </c>
      <c r="V4134">
        <v>11</v>
      </c>
    </row>
    <row r="4135" spans="1:22" customFormat="1" ht="15" x14ac:dyDescent="0.25">
      <c r="A4135" t="s">
        <v>244</v>
      </c>
      <c r="E4135" s="1531" t="s">
        <v>951</v>
      </c>
      <c r="F4135" s="1531"/>
      <c r="G4135" s="1531"/>
      <c r="H4135" s="1531"/>
      <c r="K4135" t="s">
        <v>3785</v>
      </c>
      <c r="V4135">
        <v>280</v>
      </c>
    </row>
    <row r="4136" spans="1:22" customFormat="1" ht="15" x14ac:dyDescent="0.25">
      <c r="A4136" t="s">
        <v>244</v>
      </c>
      <c r="E4136" s="1531" t="s">
        <v>952</v>
      </c>
      <c r="F4136" s="1531"/>
      <c r="G4136" s="1531"/>
      <c r="H4136" s="1531"/>
      <c r="K4136" t="s">
        <v>3785</v>
      </c>
      <c r="V4136">
        <v>411</v>
      </c>
    </row>
    <row r="4137" spans="1:22" customFormat="1" ht="15" x14ac:dyDescent="0.25">
      <c r="A4137" t="s">
        <v>244</v>
      </c>
      <c r="E4137" s="1531" t="s">
        <v>4814</v>
      </c>
      <c r="F4137" s="1531"/>
      <c r="G4137" s="1531"/>
      <c r="H4137" s="1531"/>
      <c r="K4137" t="s">
        <v>3785</v>
      </c>
      <c r="V4137">
        <v>385</v>
      </c>
    </row>
    <row r="4138" spans="1:22" customFormat="1" ht="15" x14ac:dyDescent="0.25">
      <c r="A4138" t="s">
        <v>244</v>
      </c>
      <c r="E4138" s="1531" t="s">
        <v>954</v>
      </c>
      <c r="F4138" s="1531"/>
      <c r="G4138" s="1531"/>
      <c r="H4138" s="1531"/>
      <c r="K4138" t="s">
        <v>3785</v>
      </c>
      <c r="V4138">
        <v>246</v>
      </c>
    </row>
    <row r="4139" spans="1:22" customFormat="1" ht="15" x14ac:dyDescent="0.25">
      <c r="A4139" t="s">
        <v>244</v>
      </c>
      <c r="E4139" s="1562" t="s">
        <v>956</v>
      </c>
      <c r="F4139" s="1530"/>
      <c r="G4139" s="1530"/>
      <c r="H4139" s="1530"/>
      <c r="K4139" t="s">
        <v>1011</v>
      </c>
      <c r="V4139">
        <v>46</v>
      </c>
    </row>
    <row r="4140" spans="1:22" customFormat="1" ht="15" x14ac:dyDescent="0.25">
      <c r="A4140" t="s">
        <v>244</v>
      </c>
      <c r="E4140" s="1524" t="s">
        <v>3874</v>
      </c>
      <c r="F4140" s="1524"/>
      <c r="G4140" s="360" t="s">
        <v>777</v>
      </c>
      <c r="H4140" s="576">
        <v>16.93</v>
      </c>
      <c r="K4140" t="s">
        <v>3785</v>
      </c>
      <c r="L4140" t="s">
        <v>690</v>
      </c>
      <c r="P4140" t="s">
        <v>3788</v>
      </c>
      <c r="V4140">
        <v>31</v>
      </c>
    </row>
    <row r="4141" spans="1:22" customFormat="1" ht="15" x14ac:dyDescent="0.25">
      <c r="A4141" t="s">
        <v>244</v>
      </c>
      <c r="E4141" s="1524" t="s">
        <v>3688</v>
      </c>
      <c r="F4141" s="1524"/>
      <c r="G4141" s="360" t="s">
        <v>845</v>
      </c>
      <c r="H4141" s="577">
        <v>1.06E-2</v>
      </c>
      <c r="K4141" t="s">
        <v>3785</v>
      </c>
      <c r="L4141" t="s">
        <v>690</v>
      </c>
      <c r="P4141" t="s">
        <v>3789</v>
      </c>
      <c r="V4141">
        <v>28</v>
      </c>
    </row>
    <row r="4142" spans="1:22" customFormat="1" ht="15" x14ac:dyDescent="0.25">
      <c r="A4142" t="s">
        <v>244</v>
      </c>
      <c r="E4142" s="1524" t="s">
        <v>910</v>
      </c>
      <c r="F4142" s="1524"/>
      <c r="G4142" s="360" t="s">
        <v>845</v>
      </c>
      <c r="H4142" s="605">
        <v>2E-3</v>
      </c>
      <c r="K4142" t="s">
        <v>3785</v>
      </c>
      <c r="L4142" t="s">
        <v>692</v>
      </c>
      <c r="P4142" t="s">
        <v>3790</v>
      </c>
      <c r="V4142">
        <v>24</v>
      </c>
    </row>
    <row r="4143" spans="1:22" customFormat="1" ht="15" x14ac:dyDescent="0.25">
      <c r="A4143" t="s">
        <v>244</v>
      </c>
      <c r="E4143" s="1524" t="s">
        <v>6617</v>
      </c>
      <c r="F4143" s="1510"/>
      <c r="G4143" s="360" t="s">
        <v>845</v>
      </c>
      <c r="H4143" s="605">
        <v>2.0000000000000001E-4</v>
      </c>
      <c r="K4143" t="s">
        <v>3785</v>
      </c>
      <c r="L4143" t="s">
        <v>692</v>
      </c>
      <c r="P4143" t="s">
        <v>3791</v>
      </c>
      <c r="V4143">
        <v>149</v>
      </c>
    </row>
    <row r="4144" spans="1:22" customFormat="1" ht="15" x14ac:dyDescent="0.25">
      <c r="A4144" t="s">
        <v>244</v>
      </c>
      <c r="E4144" s="1524" t="s">
        <v>6520</v>
      </c>
      <c r="F4144" s="1510"/>
      <c r="G4144" s="360" t="s">
        <v>845</v>
      </c>
      <c r="H4144" s="605">
        <v>-2.5999999999999999E-3</v>
      </c>
      <c r="K4144" t="s">
        <v>3785</v>
      </c>
      <c r="L4144" t="s">
        <v>692</v>
      </c>
      <c r="P4144" t="s">
        <v>3792</v>
      </c>
      <c r="T4144">
        <v>46022</v>
      </c>
      <c r="V4144">
        <v>99</v>
      </c>
    </row>
    <row r="4145" spans="1:22" customFormat="1" ht="15" x14ac:dyDescent="0.25">
      <c r="A4145" t="s">
        <v>244</v>
      </c>
      <c r="E4145" s="1524" t="s">
        <v>6625</v>
      </c>
      <c r="F4145" s="1510"/>
      <c r="G4145" s="360" t="s">
        <v>845</v>
      </c>
      <c r="H4145" s="605">
        <v>-2.0000000000000001E-4</v>
      </c>
      <c r="K4145" t="s">
        <v>3785</v>
      </c>
      <c r="L4145" t="s">
        <v>690</v>
      </c>
      <c r="P4145" t="s">
        <v>4796</v>
      </c>
      <c r="T4145">
        <v>46022</v>
      </c>
      <c r="V4145">
        <v>83</v>
      </c>
    </row>
    <row r="4146" spans="1:22" customFormat="1" ht="15" x14ac:dyDescent="0.25">
      <c r="A4146" t="s">
        <v>244</v>
      </c>
      <c r="E4146" s="1524" t="s">
        <v>243</v>
      </c>
      <c r="F4146" s="1524"/>
      <c r="G4146" s="360" t="s">
        <v>845</v>
      </c>
      <c r="H4146" s="577">
        <v>1.0800000000000001E-2</v>
      </c>
      <c r="K4146" t="s">
        <v>3785</v>
      </c>
      <c r="L4146" t="s">
        <v>694</v>
      </c>
      <c r="P4146" t="s">
        <v>3793</v>
      </c>
      <c r="V4146">
        <v>47</v>
      </c>
    </row>
    <row r="4147" spans="1:22" customFormat="1" ht="15" x14ac:dyDescent="0.25">
      <c r="A4147" t="s">
        <v>244</v>
      </c>
      <c r="E4147" s="1524" t="s">
        <v>175</v>
      </c>
      <c r="F4147" s="1524"/>
      <c r="G4147" s="360" t="s">
        <v>845</v>
      </c>
      <c r="H4147" s="577">
        <v>4.4000000000000003E-3</v>
      </c>
      <c r="K4147" t="s">
        <v>3785</v>
      </c>
      <c r="L4147" t="s">
        <v>694</v>
      </c>
      <c r="P4147" t="s">
        <v>3794</v>
      </c>
      <c r="V4147">
        <v>74</v>
      </c>
    </row>
    <row r="4148" spans="1:22" customFormat="1" ht="15" x14ac:dyDescent="0.25">
      <c r="A4148" t="s">
        <v>244</v>
      </c>
      <c r="E4148" s="1533" t="s">
        <v>967</v>
      </c>
      <c r="F4148" s="1507"/>
      <c r="G4148" s="360"/>
      <c r="H4148" s="360"/>
      <c r="K4148" t="s">
        <v>1019</v>
      </c>
      <c r="V4148">
        <v>48</v>
      </c>
    </row>
    <row r="4149" spans="1:22" customFormat="1" ht="15" x14ac:dyDescent="0.25">
      <c r="A4149" t="s">
        <v>244</v>
      </c>
      <c r="E4149" s="1524" t="s">
        <v>844</v>
      </c>
      <c r="F4149" s="1524"/>
      <c r="G4149" s="662" t="s">
        <v>845</v>
      </c>
      <c r="H4149" s="608">
        <v>4.1000000000000003E-3</v>
      </c>
      <c r="K4149" t="s">
        <v>3785</v>
      </c>
      <c r="L4149" t="s">
        <v>968</v>
      </c>
      <c r="P4149" t="s">
        <v>3795</v>
      </c>
      <c r="V4149">
        <v>55</v>
      </c>
    </row>
    <row r="4150" spans="1:22" customFormat="1" ht="15" x14ac:dyDescent="0.25">
      <c r="A4150" t="s">
        <v>244</v>
      </c>
      <c r="E4150" s="1507" t="s">
        <v>846</v>
      </c>
      <c r="F4150" s="1507"/>
      <c r="G4150" s="662" t="s">
        <v>845</v>
      </c>
      <c r="H4150" s="608">
        <v>4.0000000000000002E-4</v>
      </c>
      <c r="K4150" t="s">
        <v>3785</v>
      </c>
      <c r="L4150" t="s">
        <v>968</v>
      </c>
      <c r="P4150" t="s">
        <v>3795</v>
      </c>
      <c r="V4150">
        <v>65</v>
      </c>
    </row>
    <row r="4151" spans="1:22" customFormat="1" ht="15" x14ac:dyDescent="0.25">
      <c r="A4151" t="s">
        <v>244</v>
      </c>
      <c r="E4151" s="1524" t="s">
        <v>847</v>
      </c>
      <c r="F4151" s="1524"/>
      <c r="G4151" s="662" t="s">
        <v>845</v>
      </c>
      <c r="H4151" s="608">
        <v>1.4E-3</v>
      </c>
      <c r="K4151" t="s">
        <v>3785</v>
      </c>
      <c r="L4151" t="s">
        <v>968</v>
      </c>
      <c r="P4151" t="s">
        <v>3796</v>
      </c>
      <c r="V4151">
        <v>57</v>
      </c>
    </row>
    <row r="4152" spans="1:22" customFormat="1" ht="15" x14ac:dyDescent="0.25">
      <c r="A4152" t="s">
        <v>244</v>
      </c>
      <c r="E4152" s="1524" t="s">
        <v>848</v>
      </c>
      <c r="F4152" s="1524"/>
      <c r="G4152" s="662" t="s">
        <v>777</v>
      </c>
      <c r="H4152" s="663">
        <v>0.25</v>
      </c>
      <c r="K4152" t="s">
        <v>3785</v>
      </c>
      <c r="L4152" t="s">
        <v>968</v>
      </c>
      <c r="P4152" t="s">
        <v>3797</v>
      </c>
      <c r="V4152">
        <v>63</v>
      </c>
    </row>
    <row r="4153" spans="1:22" customFormat="1" x14ac:dyDescent="0.25">
      <c r="A4153" t="s">
        <v>244</v>
      </c>
      <c r="E4153" s="1538" t="s">
        <v>202</v>
      </c>
      <c r="F4153" s="1538"/>
      <c r="G4153" s="1538"/>
      <c r="H4153" s="1539"/>
      <c r="K4153" t="s">
        <v>4447</v>
      </c>
      <c r="V4153">
        <v>38</v>
      </c>
    </row>
    <row r="4154" spans="1:22" customFormat="1" ht="15" x14ac:dyDescent="0.25">
      <c r="A4154" t="s">
        <v>244</v>
      </c>
      <c r="E4154" s="1531" t="s">
        <v>4819</v>
      </c>
      <c r="F4154" s="1531"/>
      <c r="G4154" s="1531"/>
      <c r="H4154" s="1532"/>
      <c r="K4154" t="s">
        <v>4447</v>
      </c>
      <c r="V4154">
        <v>395</v>
      </c>
    </row>
    <row r="4155" spans="1:22" customFormat="1" ht="15" x14ac:dyDescent="0.25">
      <c r="A4155" t="s">
        <v>244</v>
      </c>
      <c r="E4155" s="1562" t="s">
        <v>950</v>
      </c>
      <c r="F4155" s="1530"/>
      <c r="G4155" s="1530"/>
      <c r="H4155" s="1530"/>
      <c r="K4155" t="s">
        <v>1025</v>
      </c>
      <c r="V4155">
        <v>11</v>
      </c>
    </row>
    <row r="4156" spans="1:22" customFormat="1" ht="15" x14ac:dyDescent="0.25">
      <c r="A4156" t="s">
        <v>244</v>
      </c>
      <c r="E4156" s="1531" t="s">
        <v>951</v>
      </c>
      <c r="F4156" s="1531"/>
      <c r="G4156" s="1531"/>
      <c r="H4156" s="1531"/>
      <c r="K4156" t="s">
        <v>4447</v>
      </c>
      <c r="V4156">
        <v>280</v>
      </c>
    </row>
    <row r="4157" spans="1:22" customFormat="1" ht="15" x14ac:dyDescent="0.25">
      <c r="A4157" t="s">
        <v>244</v>
      </c>
      <c r="E4157" s="1531" t="s">
        <v>952</v>
      </c>
      <c r="F4157" s="1531"/>
      <c r="G4157" s="1531"/>
      <c r="H4157" s="1531"/>
      <c r="K4157" t="s">
        <v>4447</v>
      </c>
      <c r="V4157">
        <v>411</v>
      </c>
    </row>
    <row r="4158" spans="1:22" customFormat="1" ht="15" x14ac:dyDescent="0.25">
      <c r="A4158" t="s">
        <v>244</v>
      </c>
      <c r="E4158" s="1531" t="s">
        <v>4814</v>
      </c>
      <c r="F4158" s="1531"/>
      <c r="G4158" s="1531"/>
      <c r="H4158" s="1531"/>
      <c r="K4158" t="s">
        <v>4447</v>
      </c>
      <c r="V4158">
        <v>385</v>
      </c>
    </row>
    <row r="4159" spans="1:22" customFormat="1" ht="15" x14ac:dyDescent="0.25">
      <c r="A4159" t="s">
        <v>244</v>
      </c>
      <c r="E4159" s="1531" t="s">
        <v>954</v>
      </c>
      <c r="F4159" s="1531"/>
      <c r="G4159" s="1531"/>
      <c r="H4159" s="1531"/>
      <c r="K4159" t="s">
        <v>4447</v>
      </c>
      <c r="V4159">
        <v>246</v>
      </c>
    </row>
    <row r="4160" spans="1:22" customFormat="1" ht="15" x14ac:dyDescent="0.25">
      <c r="A4160" t="s">
        <v>244</v>
      </c>
      <c r="E4160" s="1562" t="s">
        <v>956</v>
      </c>
      <c r="F4160" s="1530"/>
      <c r="G4160" s="1530"/>
      <c r="H4160" s="1530"/>
      <c r="K4160" t="s">
        <v>1026</v>
      </c>
      <c r="V4160">
        <v>46</v>
      </c>
    </row>
    <row r="4161" spans="1:22" customFormat="1" ht="15" x14ac:dyDescent="0.25">
      <c r="A4161" t="s">
        <v>244</v>
      </c>
      <c r="E4161" s="1524" t="s">
        <v>3874</v>
      </c>
      <c r="F4161" s="1524"/>
      <c r="G4161" s="360" t="s">
        <v>777</v>
      </c>
      <c r="H4161" s="576">
        <v>2.81</v>
      </c>
      <c r="K4161" t="s">
        <v>4447</v>
      </c>
      <c r="L4161" t="s">
        <v>690</v>
      </c>
      <c r="P4161" t="s">
        <v>4450</v>
      </c>
      <c r="V4161">
        <v>31</v>
      </c>
    </row>
    <row r="4162" spans="1:22" customFormat="1" ht="15" x14ac:dyDescent="0.25">
      <c r="A4162" t="s">
        <v>244</v>
      </c>
      <c r="E4162" s="1524" t="s">
        <v>3688</v>
      </c>
      <c r="F4162" s="1524"/>
      <c r="G4162" s="360" t="s">
        <v>3775</v>
      </c>
      <c r="H4162" s="577">
        <v>7.0340999999999996</v>
      </c>
      <c r="K4162" t="s">
        <v>4447</v>
      </c>
      <c r="L4162" t="s">
        <v>690</v>
      </c>
      <c r="P4162" t="s">
        <v>4451</v>
      </c>
      <c r="V4162">
        <v>28</v>
      </c>
    </row>
    <row r="4163" spans="1:22" customFormat="1" ht="15" x14ac:dyDescent="0.25">
      <c r="A4163" t="s">
        <v>244</v>
      </c>
      <c r="E4163" s="1524" t="s">
        <v>910</v>
      </c>
      <c r="F4163" s="1524"/>
      <c r="G4163" s="360" t="s">
        <v>3775</v>
      </c>
      <c r="H4163" s="605">
        <v>0.6421</v>
      </c>
      <c r="K4163" t="s">
        <v>4447</v>
      </c>
      <c r="L4163" t="s">
        <v>692</v>
      </c>
      <c r="P4163" t="s">
        <v>4484</v>
      </c>
      <c r="V4163">
        <v>24</v>
      </c>
    </row>
    <row r="4164" spans="1:22" customFormat="1" ht="15" x14ac:dyDescent="0.25">
      <c r="A4164" t="s">
        <v>244</v>
      </c>
      <c r="E4164" s="1524" t="s">
        <v>6519</v>
      </c>
      <c r="F4164" s="1510"/>
      <c r="G4164" s="360" t="s">
        <v>845</v>
      </c>
      <c r="H4164" s="605">
        <v>1E-4</v>
      </c>
      <c r="K4164" t="s">
        <v>4447</v>
      </c>
      <c r="L4164" t="s">
        <v>692</v>
      </c>
      <c r="P4164" t="s">
        <v>4452</v>
      </c>
      <c r="T4164">
        <v>46022</v>
      </c>
      <c r="V4164">
        <v>142</v>
      </c>
    </row>
    <row r="4165" spans="1:22" customFormat="1" ht="15" x14ac:dyDescent="0.25">
      <c r="A4165" t="s">
        <v>244</v>
      </c>
      <c r="E4165" s="1524" t="s">
        <v>6520</v>
      </c>
      <c r="F4165" s="1510"/>
      <c r="G4165" s="360" t="s">
        <v>3775</v>
      </c>
      <c r="H4165" s="605">
        <v>-0.93179999999999996</v>
      </c>
      <c r="K4165" t="s">
        <v>4447</v>
      </c>
      <c r="L4165" t="s">
        <v>692</v>
      </c>
      <c r="P4165" t="s">
        <v>4453</v>
      </c>
      <c r="T4165">
        <v>46022</v>
      </c>
      <c r="V4165">
        <v>99</v>
      </c>
    </row>
    <row r="4166" spans="1:22" customFormat="1" ht="15" x14ac:dyDescent="0.25">
      <c r="A4166" t="s">
        <v>244</v>
      </c>
      <c r="E4166" s="1524" t="s">
        <v>6744</v>
      </c>
      <c r="F4166" s="1510"/>
      <c r="G4166" s="360" t="s">
        <v>3775</v>
      </c>
      <c r="H4166" s="605">
        <v>7.7799999999999994E-2</v>
      </c>
      <c r="K4166" t="s">
        <v>4447</v>
      </c>
      <c r="L4166" t="s">
        <v>692</v>
      </c>
      <c r="P4166" t="s">
        <v>4455</v>
      </c>
      <c r="V4166">
        <v>148</v>
      </c>
    </row>
    <row r="4167" spans="1:22" customFormat="1" ht="15" x14ac:dyDescent="0.25">
      <c r="A4167" t="s">
        <v>244</v>
      </c>
      <c r="E4167" s="1524" t="s">
        <v>6625</v>
      </c>
      <c r="F4167" s="1510"/>
      <c r="G4167" s="360" t="s">
        <v>3775</v>
      </c>
      <c r="H4167" s="605">
        <v>-0.2404</v>
      </c>
      <c r="K4167" t="s">
        <v>4447</v>
      </c>
      <c r="L4167" t="s">
        <v>690</v>
      </c>
      <c r="P4167" t="s">
        <v>4820</v>
      </c>
      <c r="T4167">
        <v>46022</v>
      </c>
      <c r="V4167">
        <v>83</v>
      </c>
    </row>
    <row r="4168" spans="1:22" customFormat="1" ht="15" x14ac:dyDescent="0.25">
      <c r="A4168" t="s">
        <v>244</v>
      </c>
      <c r="E4168" s="1524" t="s">
        <v>243</v>
      </c>
      <c r="F4168" s="1507"/>
      <c r="G4168" s="360" t="s">
        <v>3775</v>
      </c>
      <c r="H4168" s="577">
        <v>3.1859999999999999</v>
      </c>
      <c r="K4168" t="s">
        <v>4447</v>
      </c>
      <c r="L4168" t="s">
        <v>694</v>
      </c>
      <c r="P4168" t="s">
        <v>4456</v>
      </c>
      <c r="V4168">
        <v>47</v>
      </c>
    </row>
    <row r="4169" spans="1:22" customFormat="1" ht="15" x14ac:dyDescent="0.25">
      <c r="A4169" t="s">
        <v>244</v>
      </c>
      <c r="E4169" s="1524" t="s">
        <v>175</v>
      </c>
      <c r="F4169" s="1507"/>
      <c r="G4169" s="360" t="s">
        <v>3775</v>
      </c>
      <c r="H4169" s="577">
        <v>1.3871</v>
      </c>
      <c r="K4169" t="s">
        <v>4447</v>
      </c>
      <c r="L4169" t="s">
        <v>694</v>
      </c>
      <c r="P4169" t="s">
        <v>4485</v>
      </c>
      <c r="V4169">
        <v>74</v>
      </c>
    </row>
    <row r="4170" spans="1:22" customFormat="1" ht="15" x14ac:dyDescent="0.25">
      <c r="A4170" t="s">
        <v>244</v>
      </c>
      <c r="E4170" s="1533" t="s">
        <v>967</v>
      </c>
      <c r="F4170" s="1507"/>
      <c r="G4170" s="360"/>
      <c r="H4170" s="360"/>
      <c r="K4170" t="s">
        <v>1035</v>
      </c>
      <c r="V4170">
        <v>48</v>
      </c>
    </row>
    <row r="4171" spans="1:22" customFormat="1" ht="15" x14ac:dyDescent="0.25">
      <c r="A4171" t="s">
        <v>244</v>
      </c>
      <c r="E4171" s="1524" t="s">
        <v>844</v>
      </c>
      <c r="F4171" s="1524"/>
      <c r="G4171" s="662" t="s">
        <v>845</v>
      </c>
      <c r="H4171" s="608">
        <v>4.1000000000000003E-3</v>
      </c>
      <c r="K4171" t="s">
        <v>4447</v>
      </c>
      <c r="L4171" t="s">
        <v>968</v>
      </c>
      <c r="P4171" t="s">
        <v>4458</v>
      </c>
      <c r="V4171">
        <v>55</v>
      </c>
    </row>
    <row r="4172" spans="1:22" customFormat="1" ht="15" x14ac:dyDescent="0.25">
      <c r="A4172" t="s">
        <v>244</v>
      </c>
      <c r="E4172" s="1507" t="s">
        <v>846</v>
      </c>
      <c r="F4172" s="1507"/>
      <c r="G4172" s="662" t="s">
        <v>845</v>
      </c>
      <c r="H4172" s="608">
        <v>4.0000000000000002E-4</v>
      </c>
      <c r="K4172" t="s">
        <v>4447</v>
      </c>
      <c r="L4172" t="s">
        <v>968</v>
      </c>
      <c r="P4172" t="s">
        <v>4458</v>
      </c>
      <c r="V4172">
        <v>65</v>
      </c>
    </row>
    <row r="4173" spans="1:22" customFormat="1" ht="15" x14ac:dyDescent="0.25">
      <c r="A4173" t="s">
        <v>244</v>
      </c>
      <c r="E4173" s="1524" t="s">
        <v>847</v>
      </c>
      <c r="F4173" s="1524"/>
      <c r="G4173" s="662" t="s">
        <v>845</v>
      </c>
      <c r="H4173" s="608">
        <v>1.4E-3</v>
      </c>
      <c r="K4173" t="s">
        <v>4447</v>
      </c>
      <c r="L4173" t="s">
        <v>968</v>
      </c>
      <c r="P4173" t="s">
        <v>4459</v>
      </c>
      <c r="V4173">
        <v>57</v>
      </c>
    </row>
    <row r="4174" spans="1:22" customFormat="1" ht="15" x14ac:dyDescent="0.25">
      <c r="A4174" t="s">
        <v>244</v>
      </c>
      <c r="E4174" s="1524" t="s">
        <v>848</v>
      </c>
      <c r="F4174" s="1524"/>
      <c r="G4174" s="662" t="s">
        <v>777</v>
      </c>
      <c r="H4174" s="663">
        <v>0.25</v>
      </c>
      <c r="K4174" t="s">
        <v>4447</v>
      </c>
      <c r="L4174" t="s">
        <v>968</v>
      </c>
      <c r="P4174" t="s">
        <v>4460</v>
      </c>
      <c r="V4174">
        <v>63</v>
      </c>
    </row>
    <row r="4175" spans="1:22" customFormat="1" x14ac:dyDescent="0.25">
      <c r="A4175" t="s">
        <v>244</v>
      </c>
      <c r="E4175" s="1538" t="s">
        <v>4007</v>
      </c>
      <c r="F4175" s="1538"/>
      <c r="G4175" s="1538"/>
      <c r="H4175" s="1539"/>
      <c r="K4175" t="s">
        <v>4821</v>
      </c>
      <c r="V4175">
        <v>43</v>
      </c>
    </row>
    <row r="4176" spans="1:22" customFormat="1" ht="15" x14ac:dyDescent="0.25">
      <c r="A4176" t="s">
        <v>244</v>
      </c>
      <c r="E4176" s="1531" t="s">
        <v>4822</v>
      </c>
      <c r="F4176" s="1531"/>
      <c r="G4176" s="1531"/>
      <c r="H4176" s="1532"/>
      <c r="K4176" t="s">
        <v>4821</v>
      </c>
      <c r="V4176">
        <v>282</v>
      </c>
    </row>
    <row r="4177" spans="1:22" customFormat="1" ht="15" x14ac:dyDescent="0.25">
      <c r="A4177" t="s">
        <v>244</v>
      </c>
      <c r="E4177" s="1562" t="s">
        <v>950</v>
      </c>
      <c r="F4177" s="1530"/>
      <c r="G4177" s="1530"/>
      <c r="H4177" s="1530"/>
      <c r="K4177" t="s">
        <v>1041</v>
      </c>
      <c r="V4177">
        <v>11</v>
      </c>
    </row>
    <row r="4178" spans="1:22" customFormat="1" ht="15" x14ac:dyDescent="0.25">
      <c r="A4178" t="s">
        <v>244</v>
      </c>
      <c r="E4178" s="1531" t="s">
        <v>951</v>
      </c>
      <c r="F4178" s="1531"/>
      <c r="G4178" s="1531"/>
      <c r="H4178" s="1531"/>
      <c r="K4178" t="s">
        <v>4821</v>
      </c>
      <c r="V4178">
        <v>280</v>
      </c>
    </row>
    <row r="4179" spans="1:22" customFormat="1" ht="15" x14ac:dyDescent="0.25">
      <c r="A4179" t="s">
        <v>244</v>
      </c>
      <c r="E4179" s="1531" t="s">
        <v>952</v>
      </c>
      <c r="F4179" s="1531"/>
      <c r="G4179" s="1531"/>
      <c r="H4179" s="1531"/>
      <c r="K4179" t="s">
        <v>4821</v>
      </c>
      <c r="V4179">
        <v>411</v>
      </c>
    </row>
    <row r="4180" spans="1:22" customFormat="1" ht="15" x14ac:dyDescent="0.25">
      <c r="A4180" t="s">
        <v>244</v>
      </c>
      <c r="E4180" s="1531" t="s">
        <v>1103</v>
      </c>
      <c r="F4180" s="1531"/>
      <c r="G4180" s="1531"/>
      <c r="H4180" s="1531"/>
      <c r="K4180" t="s">
        <v>4821</v>
      </c>
      <c r="V4180">
        <v>211</v>
      </c>
    </row>
    <row r="4181" spans="1:22" customFormat="1" ht="15" x14ac:dyDescent="0.25">
      <c r="A4181" t="s">
        <v>244</v>
      </c>
      <c r="E4181" s="1531" t="s">
        <v>954</v>
      </c>
      <c r="F4181" s="1531"/>
      <c r="G4181" s="1531"/>
      <c r="H4181" s="1531"/>
      <c r="K4181" t="s">
        <v>4821</v>
      </c>
      <c r="V4181">
        <v>246</v>
      </c>
    </row>
    <row r="4182" spans="1:22" customFormat="1" ht="15" x14ac:dyDescent="0.25">
      <c r="A4182" t="s">
        <v>244</v>
      </c>
      <c r="E4182" s="1562" t="s">
        <v>956</v>
      </c>
      <c r="F4182" s="1530"/>
      <c r="G4182" s="1530"/>
      <c r="H4182" s="1530"/>
      <c r="K4182" t="s">
        <v>1042</v>
      </c>
      <c r="V4182">
        <v>46</v>
      </c>
    </row>
    <row r="4183" spans="1:22" customFormat="1" ht="15" x14ac:dyDescent="0.25">
      <c r="A4183" t="s">
        <v>244</v>
      </c>
      <c r="E4183" s="1524" t="s">
        <v>3773</v>
      </c>
      <c r="F4183" s="1524"/>
      <c r="G4183" s="360" t="s">
        <v>777</v>
      </c>
      <c r="H4183" s="576">
        <v>19516.16</v>
      </c>
      <c r="K4183" t="s">
        <v>4821</v>
      </c>
      <c r="L4183" t="s">
        <v>690</v>
      </c>
      <c r="P4183" t="s">
        <v>4823</v>
      </c>
      <c r="V4183">
        <v>14</v>
      </c>
    </row>
    <row r="4184" spans="1:22" customFormat="1" ht="15" x14ac:dyDescent="0.25">
      <c r="A4184" t="s">
        <v>244</v>
      </c>
      <c r="E4184" s="1524" t="s">
        <v>3688</v>
      </c>
      <c r="F4184" s="1524"/>
      <c r="G4184" s="360" t="s">
        <v>3775</v>
      </c>
      <c r="H4184" s="577">
        <v>1.7507999999999999</v>
      </c>
      <c r="K4184" t="s">
        <v>4821</v>
      </c>
      <c r="L4184" t="s">
        <v>690</v>
      </c>
      <c r="P4184" t="s">
        <v>4824</v>
      </c>
      <c r="V4184">
        <v>28</v>
      </c>
    </row>
    <row r="4185" spans="1:22" customFormat="1" ht="15" x14ac:dyDescent="0.25">
      <c r="A4185" t="s">
        <v>244</v>
      </c>
      <c r="E4185" s="1524" t="s">
        <v>6520</v>
      </c>
      <c r="F4185" s="1510"/>
      <c r="G4185" s="360" t="s">
        <v>3775</v>
      </c>
      <c r="H4185" s="577">
        <v>0.30120000000000002</v>
      </c>
      <c r="K4185" t="s">
        <v>4821</v>
      </c>
      <c r="L4185" t="s">
        <v>692</v>
      </c>
      <c r="P4185" t="s">
        <v>4825</v>
      </c>
      <c r="T4185">
        <v>46022</v>
      </c>
      <c r="V4185">
        <v>99</v>
      </c>
    </row>
    <row r="4186" spans="1:22" customFormat="1" ht="15" x14ac:dyDescent="0.25">
      <c r="A4186" t="s">
        <v>244</v>
      </c>
      <c r="E4186" s="1524" t="s">
        <v>6625</v>
      </c>
      <c r="F4186" s="1510"/>
      <c r="G4186" s="360" t="s">
        <v>3775</v>
      </c>
      <c r="H4186" s="577">
        <v>-1.47E-2</v>
      </c>
      <c r="K4186" t="s">
        <v>4821</v>
      </c>
      <c r="L4186" t="s">
        <v>690</v>
      </c>
      <c r="P4186" t="s">
        <v>4826</v>
      </c>
      <c r="T4186">
        <v>46022</v>
      </c>
      <c r="V4186">
        <v>83</v>
      </c>
    </row>
    <row r="4187" spans="1:22" customFormat="1" ht="15" x14ac:dyDescent="0.25">
      <c r="A4187" t="s">
        <v>244</v>
      </c>
      <c r="E4187" s="1524" t="s">
        <v>243</v>
      </c>
      <c r="F4187" s="1507"/>
      <c r="G4187" s="360" t="s">
        <v>3775</v>
      </c>
      <c r="H4187" s="577">
        <v>5.6592000000000002</v>
      </c>
      <c r="K4187" t="s">
        <v>4821</v>
      </c>
      <c r="L4187" t="s">
        <v>694</v>
      </c>
      <c r="P4187" t="s">
        <v>4827</v>
      </c>
      <c r="V4187">
        <v>47</v>
      </c>
    </row>
    <row r="4188" spans="1:22" customFormat="1" ht="15" x14ac:dyDescent="0.25">
      <c r="A4188" t="s">
        <v>244</v>
      </c>
      <c r="E4188" s="1524" t="s">
        <v>175</v>
      </c>
      <c r="F4188" s="1507"/>
      <c r="G4188" s="360" t="s">
        <v>3775</v>
      </c>
      <c r="H4188" s="577">
        <v>0.76659999999999995</v>
      </c>
      <c r="K4188" t="s">
        <v>4821</v>
      </c>
      <c r="L4188" t="s">
        <v>694</v>
      </c>
      <c r="P4188" t="s">
        <v>4828</v>
      </c>
      <c r="V4188">
        <v>74</v>
      </c>
    </row>
    <row r="4189" spans="1:22" customFormat="1" x14ac:dyDescent="0.25">
      <c r="A4189" t="s">
        <v>244</v>
      </c>
      <c r="E4189" s="1538" t="s">
        <v>207</v>
      </c>
      <c r="F4189" s="1538"/>
      <c r="G4189" s="1538"/>
      <c r="H4189" s="1539"/>
      <c r="K4189" t="s">
        <v>3823</v>
      </c>
      <c r="V4189">
        <v>31</v>
      </c>
    </row>
    <row r="4190" spans="1:22" customFormat="1" ht="15" x14ac:dyDescent="0.25">
      <c r="A4190" t="s">
        <v>244</v>
      </c>
      <c r="E4190" s="1531" t="s">
        <v>4829</v>
      </c>
      <c r="F4190" s="1531"/>
      <c r="G4190" s="1531"/>
      <c r="H4190" s="1532"/>
      <c r="K4190" t="s">
        <v>3823</v>
      </c>
      <c r="V4190">
        <v>287</v>
      </c>
    </row>
    <row r="4191" spans="1:22" customFormat="1" ht="15" x14ac:dyDescent="0.25">
      <c r="A4191" t="s">
        <v>244</v>
      </c>
      <c r="E4191" s="1562" t="s">
        <v>950</v>
      </c>
      <c r="F4191" s="1530"/>
      <c r="G4191" s="1530"/>
      <c r="H4191" s="1530"/>
      <c r="K4191" t="s">
        <v>1055</v>
      </c>
      <c r="V4191">
        <v>11</v>
      </c>
    </row>
    <row r="4192" spans="1:22" customFormat="1" ht="15" x14ac:dyDescent="0.25">
      <c r="A4192" t="s">
        <v>244</v>
      </c>
      <c r="E4192" s="1531" t="s">
        <v>951</v>
      </c>
      <c r="F4192" s="1531"/>
      <c r="G4192" s="1531"/>
      <c r="H4192" s="1531"/>
      <c r="K4192" t="s">
        <v>3823</v>
      </c>
      <c r="V4192">
        <v>280</v>
      </c>
    </row>
    <row r="4193" spans="1:22" customFormat="1" ht="15" x14ac:dyDescent="0.25">
      <c r="A4193" t="s">
        <v>244</v>
      </c>
      <c r="E4193" s="1531" t="s">
        <v>952</v>
      </c>
      <c r="F4193" s="1531"/>
      <c r="G4193" s="1531"/>
      <c r="H4193" s="1531"/>
      <c r="K4193" t="s">
        <v>3823</v>
      </c>
      <c r="V4193">
        <v>411</v>
      </c>
    </row>
    <row r="4194" spans="1:22" customFormat="1" ht="15" x14ac:dyDescent="0.25">
      <c r="A4194" t="s">
        <v>244</v>
      </c>
      <c r="E4194" s="1531" t="s">
        <v>1103</v>
      </c>
      <c r="F4194" s="1531"/>
      <c r="G4194" s="1531"/>
      <c r="H4194" s="1531"/>
      <c r="K4194" t="s">
        <v>3823</v>
      </c>
      <c r="V4194">
        <v>211</v>
      </c>
    </row>
    <row r="4195" spans="1:22" customFormat="1" ht="15" x14ac:dyDescent="0.25">
      <c r="A4195" t="s">
        <v>244</v>
      </c>
      <c r="E4195" s="1531" t="s">
        <v>954</v>
      </c>
      <c r="F4195" s="1531"/>
      <c r="G4195" s="1531"/>
      <c r="H4195" s="1531"/>
      <c r="K4195" t="s">
        <v>3823</v>
      </c>
      <c r="V4195">
        <v>246</v>
      </c>
    </row>
    <row r="4196" spans="1:22" customFormat="1" ht="15" x14ac:dyDescent="0.25">
      <c r="A4196" t="s">
        <v>244</v>
      </c>
      <c r="E4196" s="1562" t="s">
        <v>956</v>
      </c>
      <c r="F4196" s="1530"/>
      <c r="G4196" s="1530"/>
      <c r="H4196" s="1530"/>
      <c r="K4196" t="s">
        <v>1056</v>
      </c>
      <c r="V4196">
        <v>46</v>
      </c>
    </row>
    <row r="4197" spans="1:22" customFormat="1" ht="15" x14ac:dyDescent="0.25">
      <c r="A4197" t="s">
        <v>244</v>
      </c>
      <c r="E4197" s="1524" t="s">
        <v>3773</v>
      </c>
      <c r="F4197" s="1524"/>
      <c r="G4197" s="360" t="s">
        <v>777</v>
      </c>
      <c r="H4197" s="576">
        <v>5</v>
      </c>
      <c r="K4197" t="s">
        <v>3823</v>
      </c>
      <c r="L4197" t="s">
        <v>690</v>
      </c>
      <c r="P4197" t="s">
        <v>3824</v>
      </c>
      <c r="V4197">
        <v>14</v>
      </c>
    </row>
    <row r="4198" spans="1:22" customFormat="1" x14ac:dyDescent="0.25">
      <c r="A4198" t="s">
        <v>244</v>
      </c>
      <c r="E4198" s="858" t="s">
        <v>3825</v>
      </c>
      <c r="F4198" s="623"/>
      <c r="G4198" s="623"/>
      <c r="H4198" s="623"/>
      <c r="K4198" t="s">
        <v>4830</v>
      </c>
      <c r="V4198">
        <v>10</v>
      </c>
    </row>
    <row r="4199" spans="1:22" customFormat="1" ht="15" x14ac:dyDescent="0.25">
      <c r="A4199" t="s">
        <v>244</v>
      </c>
      <c r="E4199" s="1507" t="s">
        <v>1078</v>
      </c>
      <c r="F4199" s="1507"/>
      <c r="G4199" s="624" t="s">
        <v>3775</v>
      </c>
      <c r="H4199" s="731">
        <v>-0.6</v>
      </c>
      <c r="V4199">
        <v>68</v>
      </c>
    </row>
    <row r="4200" spans="1:22" customFormat="1" ht="15" x14ac:dyDescent="0.25">
      <c r="A4200" t="s">
        <v>244</v>
      </c>
      <c r="E4200" s="1524" t="s">
        <v>1079</v>
      </c>
      <c r="F4200" s="1524"/>
      <c r="G4200" s="624" t="s">
        <v>1118</v>
      </c>
      <c r="H4200" s="638">
        <v>-1</v>
      </c>
      <c r="V4200">
        <v>87</v>
      </c>
    </row>
    <row r="4201" spans="1:22" customFormat="1" x14ac:dyDescent="0.25">
      <c r="A4201" t="s">
        <v>244</v>
      </c>
      <c r="E4201" s="858" t="s">
        <v>3828</v>
      </c>
      <c r="F4201" s="732"/>
      <c r="G4201" s="732"/>
      <c r="H4201" s="733"/>
      <c r="K4201" t="s">
        <v>4831</v>
      </c>
      <c r="V4201">
        <v>24</v>
      </c>
    </row>
    <row r="4202" spans="1:22" customFormat="1" ht="15" x14ac:dyDescent="0.25">
      <c r="A4202" t="s">
        <v>244</v>
      </c>
      <c r="E4202" s="1535" t="s">
        <v>950</v>
      </c>
      <c r="F4202" s="1516"/>
      <c r="G4202" s="1516"/>
      <c r="H4202" s="1516"/>
      <c r="V4202">
        <v>11</v>
      </c>
    </row>
    <row r="4203" spans="1:22" customFormat="1" ht="15" x14ac:dyDescent="0.25">
      <c r="A4203" t="s">
        <v>244</v>
      </c>
      <c r="E4203" s="1531" t="s">
        <v>951</v>
      </c>
      <c r="F4203" s="1531"/>
      <c r="G4203" s="1531"/>
      <c r="H4203" s="1531"/>
      <c r="V4203">
        <v>280</v>
      </c>
    </row>
    <row r="4204" spans="1:22" customFormat="1" ht="15" x14ac:dyDescent="0.25">
      <c r="A4204" t="s">
        <v>244</v>
      </c>
      <c r="E4204" s="1531" t="s">
        <v>952</v>
      </c>
      <c r="F4204" s="1531"/>
      <c r="G4204" s="1531"/>
      <c r="H4204" s="1531"/>
      <c r="V4204">
        <v>411</v>
      </c>
    </row>
    <row r="4205" spans="1:22" customFormat="1" ht="15" x14ac:dyDescent="0.25">
      <c r="A4205" t="s">
        <v>244</v>
      </c>
      <c r="E4205" s="1531" t="s">
        <v>954</v>
      </c>
      <c r="F4205" s="1531"/>
      <c r="G4205" s="1531"/>
      <c r="H4205" s="1531"/>
      <c r="V4205">
        <v>246</v>
      </c>
    </row>
    <row r="4206" spans="1:22" customFormat="1" ht="15" x14ac:dyDescent="0.25">
      <c r="A4206" t="s">
        <v>244</v>
      </c>
      <c r="E4206" s="626" t="s">
        <v>3830</v>
      </c>
      <c r="F4206" s="722"/>
      <c r="G4206" s="722"/>
      <c r="H4206" s="723"/>
      <c r="K4206" t="s">
        <v>4832</v>
      </c>
      <c r="V4206">
        <v>23</v>
      </c>
    </row>
    <row r="4207" spans="1:22" customFormat="1" ht="15" x14ac:dyDescent="0.25">
      <c r="A4207" t="s">
        <v>244</v>
      </c>
      <c r="E4207" s="1525" t="s">
        <v>4284</v>
      </c>
      <c r="F4207" s="1525"/>
      <c r="G4207" s="360" t="s">
        <v>777</v>
      </c>
      <c r="H4207" s="638">
        <v>15</v>
      </c>
      <c r="V4207">
        <v>24</v>
      </c>
    </row>
    <row r="4208" spans="1:22" customFormat="1" ht="15" x14ac:dyDescent="0.25">
      <c r="A4208" t="s">
        <v>244</v>
      </c>
      <c r="E4208" s="1525" t="s">
        <v>4285</v>
      </c>
      <c r="F4208" s="1525"/>
      <c r="G4208" s="360" t="s">
        <v>777</v>
      </c>
      <c r="H4208" s="638">
        <v>15</v>
      </c>
      <c r="V4208">
        <v>25</v>
      </c>
    </row>
    <row r="4209" spans="1:22" customFormat="1" ht="15" x14ac:dyDescent="0.25">
      <c r="A4209" t="s">
        <v>244</v>
      </c>
      <c r="E4209" s="1525" t="s">
        <v>4833</v>
      </c>
      <c r="F4209" s="1525"/>
      <c r="G4209" s="360" t="s">
        <v>777</v>
      </c>
      <c r="H4209" s="638">
        <v>15</v>
      </c>
      <c r="V4209">
        <v>31</v>
      </c>
    </row>
    <row r="4210" spans="1:22" customFormat="1" ht="15" x14ac:dyDescent="0.25">
      <c r="A4210" t="s">
        <v>244</v>
      </c>
      <c r="E4210" s="1525" t="s">
        <v>4287</v>
      </c>
      <c r="F4210" s="1525"/>
      <c r="G4210" s="360" t="s">
        <v>777</v>
      </c>
      <c r="H4210" s="638">
        <v>15</v>
      </c>
      <c r="V4210">
        <v>44</v>
      </c>
    </row>
    <row r="4211" spans="1:22" customFormat="1" ht="15" x14ac:dyDescent="0.25">
      <c r="A4211" t="s">
        <v>244</v>
      </c>
      <c r="E4211" s="1525" t="s">
        <v>4289</v>
      </c>
      <c r="F4211" s="1525"/>
      <c r="G4211" s="360" t="s">
        <v>777</v>
      </c>
      <c r="H4211" s="638">
        <v>15</v>
      </c>
      <c r="V4211">
        <v>20</v>
      </c>
    </row>
    <row r="4212" spans="1:22" customFormat="1" ht="15" x14ac:dyDescent="0.25">
      <c r="A4212" t="s">
        <v>244</v>
      </c>
      <c r="E4212" s="1509" t="s">
        <v>4292</v>
      </c>
      <c r="F4212" s="1509"/>
      <c r="G4212" s="360" t="s">
        <v>777</v>
      </c>
      <c r="H4212" s="638">
        <v>15</v>
      </c>
      <c r="V4212">
        <v>20</v>
      </c>
    </row>
    <row r="4213" spans="1:22" customFormat="1" ht="15" x14ac:dyDescent="0.25">
      <c r="A4213" t="s">
        <v>244</v>
      </c>
      <c r="E4213" s="1509" t="s">
        <v>4834</v>
      </c>
      <c r="F4213" s="1509"/>
      <c r="G4213" s="360" t="s">
        <v>777</v>
      </c>
      <c r="H4213" s="638">
        <v>15</v>
      </c>
      <c r="V4213">
        <v>61</v>
      </c>
    </row>
    <row r="4214" spans="1:22" customFormat="1" ht="15" x14ac:dyDescent="0.25">
      <c r="A4214" t="s">
        <v>244</v>
      </c>
      <c r="E4214" s="1509" t="s">
        <v>4293</v>
      </c>
      <c r="F4214" s="1509"/>
      <c r="G4214" s="360" t="s">
        <v>777</v>
      </c>
      <c r="H4214" s="638">
        <v>15</v>
      </c>
      <c r="V4214">
        <v>47</v>
      </c>
    </row>
    <row r="4215" spans="1:22" customFormat="1" ht="15" x14ac:dyDescent="0.25">
      <c r="A4215" t="s">
        <v>244</v>
      </c>
      <c r="E4215" s="1509" t="s">
        <v>4294</v>
      </c>
      <c r="F4215" s="1509"/>
      <c r="G4215" s="360" t="s">
        <v>777</v>
      </c>
      <c r="H4215" s="638">
        <v>15</v>
      </c>
      <c r="V4215">
        <v>29</v>
      </c>
    </row>
    <row r="4216" spans="1:22" customFormat="1" ht="15" x14ac:dyDescent="0.25">
      <c r="A4216" t="s">
        <v>244</v>
      </c>
      <c r="E4216" s="1509" t="s">
        <v>4295</v>
      </c>
      <c r="F4216" s="1509"/>
      <c r="G4216" s="360" t="s">
        <v>777</v>
      </c>
      <c r="H4216" s="638">
        <v>15</v>
      </c>
      <c r="V4216">
        <v>24</v>
      </c>
    </row>
    <row r="4217" spans="1:22" customFormat="1" ht="15" x14ac:dyDescent="0.25">
      <c r="A4217" t="s">
        <v>244</v>
      </c>
      <c r="E4217" s="1509" t="s">
        <v>4296</v>
      </c>
      <c r="F4217" s="1509"/>
      <c r="G4217" s="360" t="s">
        <v>777</v>
      </c>
      <c r="H4217" s="638">
        <v>30</v>
      </c>
      <c r="V4217">
        <v>94</v>
      </c>
    </row>
    <row r="4218" spans="1:22" customFormat="1" ht="15" x14ac:dyDescent="0.25">
      <c r="A4218" t="s">
        <v>244</v>
      </c>
      <c r="E4218" s="1509" t="s">
        <v>4297</v>
      </c>
      <c r="F4218" s="1509"/>
      <c r="G4218" s="360" t="s">
        <v>777</v>
      </c>
      <c r="H4218" s="638">
        <v>30</v>
      </c>
      <c r="V4218">
        <v>24</v>
      </c>
    </row>
    <row r="4219" spans="1:22" customFormat="1" ht="15" x14ac:dyDescent="0.25">
      <c r="A4219" t="s">
        <v>244</v>
      </c>
      <c r="E4219" s="1509" t="s">
        <v>4298</v>
      </c>
      <c r="F4219" s="1509"/>
      <c r="G4219" s="360" t="s">
        <v>777</v>
      </c>
      <c r="H4219" s="638">
        <v>30</v>
      </c>
      <c r="V4219">
        <v>79</v>
      </c>
    </row>
    <row r="4220" spans="1:22" customFormat="1" ht="15" x14ac:dyDescent="0.25">
      <c r="A4220" t="s">
        <v>244</v>
      </c>
      <c r="E4220" s="1509" t="s">
        <v>4835</v>
      </c>
      <c r="F4220" s="1509"/>
      <c r="G4220" s="360" t="s">
        <v>777</v>
      </c>
      <c r="H4220" s="638">
        <v>20</v>
      </c>
      <c r="V4220">
        <v>33</v>
      </c>
    </row>
    <row r="4221" spans="1:22" customFormat="1" ht="15" x14ac:dyDescent="0.25">
      <c r="A4221" t="s">
        <v>244</v>
      </c>
      <c r="E4221" s="626" t="s">
        <v>4062</v>
      </c>
      <c r="F4221" s="627"/>
      <c r="G4221" s="611"/>
      <c r="H4221" s="734"/>
      <c r="K4221" t="s">
        <v>4836</v>
      </c>
      <c r="V4221">
        <v>22</v>
      </c>
    </row>
    <row r="4222" spans="1:22" customFormat="1" ht="15" x14ac:dyDescent="0.25">
      <c r="A4222" t="s">
        <v>244</v>
      </c>
      <c r="E4222" s="1509" t="s">
        <v>6745</v>
      </c>
      <c r="F4222" s="1509"/>
      <c r="G4222" s="360" t="s">
        <v>1118</v>
      </c>
      <c r="H4222" s="638">
        <v>1.5</v>
      </c>
      <c r="V4222">
        <v>114</v>
      </c>
    </row>
    <row r="4223" spans="1:22" customFormat="1" ht="15" x14ac:dyDescent="0.25">
      <c r="A4223" t="s">
        <v>244</v>
      </c>
      <c r="E4223" s="1509" t="s">
        <v>4838</v>
      </c>
      <c r="F4223" s="1509"/>
      <c r="G4223" s="360" t="s">
        <v>777</v>
      </c>
      <c r="H4223" s="638">
        <v>65</v>
      </c>
      <c r="V4223">
        <v>58</v>
      </c>
    </row>
    <row r="4224" spans="1:22" customFormat="1" ht="15" x14ac:dyDescent="0.25">
      <c r="A4224" t="s">
        <v>244</v>
      </c>
      <c r="E4224" s="1509" t="s">
        <v>4839</v>
      </c>
      <c r="F4224" s="1509"/>
      <c r="G4224" s="360" t="s">
        <v>777</v>
      </c>
      <c r="H4224" s="638">
        <v>185</v>
      </c>
      <c r="V4224">
        <v>57</v>
      </c>
    </row>
    <row r="4225" spans="1:22" customFormat="1" ht="15" x14ac:dyDescent="0.25">
      <c r="A4225" t="s">
        <v>244</v>
      </c>
      <c r="E4225" s="1509" t="s">
        <v>4840</v>
      </c>
      <c r="F4225" s="1509"/>
      <c r="G4225" s="360" t="s">
        <v>777</v>
      </c>
      <c r="H4225" s="638">
        <v>185</v>
      </c>
      <c r="V4225">
        <v>57</v>
      </c>
    </row>
    <row r="4226" spans="1:22" customFormat="1" ht="15" x14ac:dyDescent="0.25">
      <c r="A4226" t="s">
        <v>244</v>
      </c>
      <c r="E4226" s="1509" t="s">
        <v>4841</v>
      </c>
      <c r="F4226" s="1509"/>
      <c r="G4226" s="360" t="s">
        <v>777</v>
      </c>
      <c r="H4226" s="638">
        <v>415</v>
      </c>
      <c r="V4226">
        <v>56</v>
      </c>
    </row>
    <row r="4227" spans="1:22" customFormat="1" ht="15" x14ac:dyDescent="0.25">
      <c r="A4227" t="s">
        <v>244</v>
      </c>
      <c r="E4227" s="626" t="s">
        <v>3846</v>
      </c>
      <c r="F4227" s="627"/>
      <c r="G4227" s="611"/>
      <c r="H4227" s="734"/>
      <c r="V4227">
        <v>5</v>
      </c>
    </row>
    <row r="4228" spans="1:22" customFormat="1" ht="15" x14ac:dyDescent="0.25">
      <c r="A4228" t="s">
        <v>244</v>
      </c>
      <c r="E4228" s="1509" t="s">
        <v>4842</v>
      </c>
      <c r="F4228" s="1509"/>
      <c r="G4228" s="360" t="s">
        <v>777</v>
      </c>
      <c r="H4228" s="638">
        <v>30</v>
      </c>
      <c r="V4228">
        <v>44</v>
      </c>
    </row>
    <row r="4229" spans="1:22" customFormat="1" ht="15" x14ac:dyDescent="0.25">
      <c r="A4229" t="s">
        <v>244</v>
      </c>
      <c r="E4229" s="1509" t="s">
        <v>4843</v>
      </c>
      <c r="F4229" s="1509"/>
      <c r="G4229" s="360" t="s">
        <v>777</v>
      </c>
      <c r="H4229" s="638">
        <v>165</v>
      </c>
      <c r="V4229">
        <v>66</v>
      </c>
    </row>
    <row r="4230" spans="1:22" customFormat="1" ht="15" x14ac:dyDescent="0.25">
      <c r="A4230" t="s">
        <v>244</v>
      </c>
      <c r="E4230" s="1509" t="s">
        <v>4844</v>
      </c>
      <c r="F4230" s="1509"/>
      <c r="G4230" s="360" t="s">
        <v>777</v>
      </c>
      <c r="H4230" s="638">
        <v>500</v>
      </c>
      <c r="V4230">
        <v>67</v>
      </c>
    </row>
    <row r="4231" spans="1:22" customFormat="1" ht="15" x14ac:dyDescent="0.25">
      <c r="A4231" t="s">
        <v>244</v>
      </c>
      <c r="E4231" s="1509" t="s">
        <v>4845</v>
      </c>
      <c r="F4231" s="1509"/>
      <c r="G4231" s="360" t="s">
        <v>777</v>
      </c>
      <c r="H4231" s="638">
        <v>300</v>
      </c>
      <c r="V4231">
        <v>70</v>
      </c>
    </row>
    <row r="4232" spans="1:22" customFormat="1" ht="15" x14ac:dyDescent="0.25">
      <c r="A4232" t="s">
        <v>244</v>
      </c>
      <c r="E4232" s="1509" t="s">
        <v>4846</v>
      </c>
      <c r="F4232" s="1509"/>
      <c r="G4232" s="360" t="s">
        <v>777</v>
      </c>
      <c r="H4232" s="483">
        <v>1000</v>
      </c>
      <c r="V4232">
        <v>69</v>
      </c>
    </row>
    <row r="4233" spans="1:22" customFormat="1" ht="15" x14ac:dyDescent="0.25">
      <c r="A4233" t="s">
        <v>244</v>
      </c>
      <c r="E4233" s="1509" t="s">
        <v>6746</v>
      </c>
      <c r="F4233" s="1509"/>
      <c r="G4233" s="360" t="s">
        <v>777</v>
      </c>
      <c r="H4233" s="638">
        <v>39.14</v>
      </c>
      <c r="V4233">
        <v>121</v>
      </c>
    </row>
    <row r="4234" spans="1:22" customFormat="1" x14ac:dyDescent="0.25">
      <c r="A4234" t="s">
        <v>244</v>
      </c>
      <c r="E4234" s="858" t="s">
        <v>3851</v>
      </c>
      <c r="F4234" s="732"/>
      <c r="G4234" s="732"/>
      <c r="H4234" s="733"/>
      <c r="K4234" t="s">
        <v>4847</v>
      </c>
      <c r="V4234">
        <v>38</v>
      </c>
    </row>
    <row r="4235" spans="1:22" customFormat="1" ht="15" x14ac:dyDescent="0.25">
      <c r="A4235" t="s">
        <v>244</v>
      </c>
      <c r="E4235" s="1531" t="s">
        <v>951</v>
      </c>
      <c r="F4235" s="1531"/>
      <c r="G4235" s="1531"/>
      <c r="H4235" s="1531"/>
      <c r="V4235">
        <v>280</v>
      </c>
    </row>
    <row r="4236" spans="1:22" customFormat="1" ht="15" x14ac:dyDescent="0.25">
      <c r="A4236" t="s">
        <v>244</v>
      </c>
      <c r="E4236" s="1531" t="s">
        <v>952</v>
      </c>
      <c r="F4236" s="1531"/>
      <c r="G4236" s="1531"/>
      <c r="H4236" s="1531"/>
      <c r="V4236">
        <v>411</v>
      </c>
    </row>
    <row r="4237" spans="1:22" customFormat="1" ht="15" x14ac:dyDescent="0.25">
      <c r="A4237" t="s">
        <v>244</v>
      </c>
      <c r="E4237" s="1496" t="s">
        <v>1103</v>
      </c>
      <c r="F4237" s="1496"/>
      <c r="G4237" s="1496"/>
      <c r="H4237" s="1536"/>
      <c r="V4237">
        <v>211</v>
      </c>
    </row>
    <row r="4238" spans="1:22" customFormat="1" ht="15" x14ac:dyDescent="0.25">
      <c r="A4238" t="s">
        <v>244</v>
      </c>
      <c r="E4238" s="1531" t="s">
        <v>4848</v>
      </c>
      <c r="F4238" s="1531"/>
      <c r="G4238" s="1531"/>
      <c r="H4238" s="1531"/>
      <c r="V4238">
        <v>247</v>
      </c>
    </row>
    <row r="4239" spans="1:22" customFormat="1" ht="15" x14ac:dyDescent="0.25">
      <c r="A4239" t="s">
        <v>244</v>
      </c>
      <c r="E4239" s="1496" t="s">
        <v>1104</v>
      </c>
      <c r="F4239" s="1496"/>
      <c r="G4239" s="1496"/>
      <c r="H4239" s="1536"/>
      <c r="V4239">
        <v>142</v>
      </c>
    </row>
    <row r="4240" spans="1:22" customFormat="1" ht="15" x14ac:dyDescent="0.25">
      <c r="A4240" t="s">
        <v>244</v>
      </c>
      <c r="E4240" s="1524" t="s">
        <v>849</v>
      </c>
      <c r="F4240" s="1524"/>
      <c r="G4240" s="735" t="s">
        <v>777</v>
      </c>
      <c r="H4240" s="724">
        <v>121.23</v>
      </c>
      <c r="V4240">
        <v>106</v>
      </c>
    </row>
    <row r="4241" spans="1:22" customFormat="1" ht="15" x14ac:dyDescent="0.25">
      <c r="A4241" t="s">
        <v>244</v>
      </c>
      <c r="E4241" s="1524" t="s">
        <v>850</v>
      </c>
      <c r="F4241" s="1524"/>
      <c r="G4241" s="735" t="s">
        <v>777</v>
      </c>
      <c r="H4241" s="724">
        <v>48.5</v>
      </c>
      <c r="V4241">
        <v>34</v>
      </c>
    </row>
    <row r="4242" spans="1:22" customFormat="1" ht="15" x14ac:dyDescent="0.25">
      <c r="A4242" t="s">
        <v>244</v>
      </c>
      <c r="E4242" s="1524" t="s">
        <v>851</v>
      </c>
      <c r="F4242" s="1524"/>
      <c r="G4242" s="735" t="s">
        <v>852</v>
      </c>
      <c r="H4242" s="724">
        <v>1.2</v>
      </c>
      <c r="V4242">
        <v>51</v>
      </c>
    </row>
    <row r="4243" spans="1:22" customFormat="1" ht="15" x14ac:dyDescent="0.25">
      <c r="A4243" t="s">
        <v>244</v>
      </c>
      <c r="E4243" s="1524" t="s">
        <v>853</v>
      </c>
      <c r="F4243" s="1524"/>
      <c r="G4243" s="735" t="s">
        <v>852</v>
      </c>
      <c r="H4243" s="724">
        <v>0.71</v>
      </c>
      <c r="V4243">
        <v>75</v>
      </c>
    </row>
    <row r="4244" spans="1:22" customFormat="1" ht="15" x14ac:dyDescent="0.25">
      <c r="A4244" t="s">
        <v>244</v>
      </c>
      <c r="E4244" s="1524" t="s">
        <v>854</v>
      </c>
      <c r="F4244" s="1524"/>
      <c r="G4244" s="735" t="s">
        <v>852</v>
      </c>
      <c r="H4244" s="724">
        <v>-0.71</v>
      </c>
      <c r="V4244">
        <v>72</v>
      </c>
    </row>
    <row r="4245" spans="1:22" customFormat="1" ht="15" x14ac:dyDescent="0.25">
      <c r="A4245" t="s">
        <v>244</v>
      </c>
      <c r="E4245" s="1524" t="s">
        <v>1105</v>
      </c>
      <c r="F4245" s="1524"/>
      <c r="G4245" s="725"/>
      <c r="H4245" s="725"/>
      <c r="V4245">
        <v>35</v>
      </c>
    </row>
    <row r="4246" spans="1:22" customFormat="1" ht="15" x14ac:dyDescent="0.25">
      <c r="A4246" t="s">
        <v>244</v>
      </c>
      <c r="E4246" s="1557" t="s">
        <v>1106</v>
      </c>
      <c r="F4246" s="1557"/>
      <c r="G4246" s="735" t="s">
        <v>777</v>
      </c>
      <c r="H4246" s="724">
        <v>0.61</v>
      </c>
      <c r="V4246">
        <v>57</v>
      </c>
    </row>
    <row r="4247" spans="1:22" customFormat="1" ht="15" x14ac:dyDescent="0.25">
      <c r="A4247" t="s">
        <v>244</v>
      </c>
      <c r="E4247" s="1557" t="s">
        <v>1107</v>
      </c>
      <c r="F4247" s="1557"/>
      <c r="G4247" s="735" t="s">
        <v>777</v>
      </c>
      <c r="H4247" s="724">
        <v>1.2</v>
      </c>
      <c r="V4247">
        <v>60</v>
      </c>
    </row>
    <row r="4248" spans="1:22" customFormat="1" ht="15" x14ac:dyDescent="0.25">
      <c r="A4248" t="s">
        <v>244</v>
      </c>
      <c r="E4248" s="1524" t="s">
        <v>1108</v>
      </c>
      <c r="F4248" s="1524"/>
      <c r="G4248" s="725"/>
      <c r="H4248" s="725"/>
      <c r="V4248">
        <v>91</v>
      </c>
    </row>
    <row r="4249" spans="1:22" customFormat="1" ht="15" x14ac:dyDescent="0.25">
      <c r="A4249" t="s">
        <v>244</v>
      </c>
      <c r="E4249" s="1524" t="s">
        <v>1109</v>
      </c>
      <c r="F4249" s="1524"/>
      <c r="G4249" s="725"/>
      <c r="H4249" s="725"/>
      <c r="V4249">
        <v>96</v>
      </c>
    </row>
    <row r="4250" spans="1:22" customFormat="1" ht="15" x14ac:dyDescent="0.25">
      <c r="A4250" t="s">
        <v>244</v>
      </c>
      <c r="E4250" s="1524" t="s">
        <v>1110</v>
      </c>
      <c r="F4250" s="1524"/>
      <c r="G4250" s="725"/>
      <c r="H4250" s="725"/>
      <c r="V4250">
        <v>78</v>
      </c>
    </row>
    <row r="4251" spans="1:22" customFormat="1" ht="15" x14ac:dyDescent="0.25">
      <c r="A4251" t="s">
        <v>244</v>
      </c>
      <c r="E4251" s="1557" t="s">
        <v>1111</v>
      </c>
      <c r="F4251" s="1557"/>
      <c r="G4251" s="735" t="s">
        <v>777</v>
      </c>
      <c r="H4251" s="726" t="s">
        <v>857</v>
      </c>
      <c r="V4251">
        <v>18</v>
      </c>
    </row>
    <row r="4252" spans="1:22" customFormat="1" ht="15" x14ac:dyDescent="0.25">
      <c r="A4252" t="s">
        <v>244</v>
      </c>
      <c r="E4252" s="1557" t="s">
        <v>1112</v>
      </c>
      <c r="F4252" s="1557"/>
      <c r="G4252" s="735" t="s">
        <v>777</v>
      </c>
      <c r="H4252" s="724">
        <v>4.8499999999999996</v>
      </c>
      <c r="V4252">
        <v>69</v>
      </c>
    </row>
    <row r="4253" spans="1:22" customFormat="1" ht="15" x14ac:dyDescent="0.25">
      <c r="A4253" t="s">
        <v>244</v>
      </c>
      <c r="E4253" s="1507" t="s">
        <v>858</v>
      </c>
      <c r="F4253" s="1507"/>
      <c r="G4253" s="736" t="s">
        <v>777</v>
      </c>
      <c r="H4253" s="638">
        <v>2.42</v>
      </c>
      <c r="V4253">
        <v>199</v>
      </c>
    </row>
    <row r="4254" spans="1:22" customFormat="1" x14ac:dyDescent="0.25">
      <c r="A4254" t="s">
        <v>244</v>
      </c>
      <c r="E4254" s="858" t="s">
        <v>3853</v>
      </c>
      <c r="F4254" s="732"/>
      <c r="G4254" s="732"/>
      <c r="H4254" s="733"/>
      <c r="K4254" t="s">
        <v>4849</v>
      </c>
      <c r="V4254">
        <v>12</v>
      </c>
    </row>
    <row r="4255" spans="1:22" customFormat="1" ht="15" x14ac:dyDescent="0.25">
      <c r="A4255" t="s">
        <v>244</v>
      </c>
      <c r="E4255" s="1524" t="s">
        <v>1114</v>
      </c>
      <c r="F4255" s="1524"/>
      <c r="G4255" s="1524"/>
      <c r="H4255" s="1559"/>
      <c r="V4255">
        <v>203</v>
      </c>
    </row>
    <row r="4256" spans="1:22" customFormat="1" ht="15" x14ac:dyDescent="0.25">
      <c r="A4256" t="s">
        <v>244</v>
      </c>
      <c r="E4256" s="1524" t="s">
        <v>1115</v>
      </c>
      <c r="F4256" s="1524"/>
      <c r="G4256" s="662"/>
      <c r="H4256" s="616">
        <v>1.0398000000000001</v>
      </c>
      <c r="V4256">
        <v>57</v>
      </c>
    </row>
    <row r="4257" spans="1:22" customFormat="1" ht="15" x14ac:dyDescent="0.25">
      <c r="A4257" t="s">
        <v>244</v>
      </c>
      <c r="E4257" s="1524" t="s">
        <v>1117</v>
      </c>
      <c r="F4257" s="1524"/>
      <c r="G4257" s="662"/>
      <c r="H4257" s="695">
        <v>1.0294020000000002</v>
      </c>
      <c r="J4257" t="s">
        <v>4850</v>
      </c>
      <c r="V4257">
        <v>55</v>
      </c>
    </row>
    <row r="4258" spans="1:22" customFormat="1" ht="23.25" x14ac:dyDescent="0.25">
      <c r="A4258" t="s">
        <v>186</v>
      </c>
      <c r="B4258" t="s">
        <v>5182</v>
      </c>
      <c r="C4258" t="s">
        <v>3755</v>
      </c>
      <c r="E4258" s="1576" t="s">
        <v>186</v>
      </c>
      <c r="F4258" s="1576"/>
      <c r="G4258" s="1576"/>
      <c r="H4258" s="1576"/>
      <c r="I4258" t="s">
        <v>94</v>
      </c>
      <c r="J4258" t="s">
        <v>5183</v>
      </c>
      <c r="K4258" t="s">
        <v>186</v>
      </c>
      <c r="M4258">
        <v>9</v>
      </c>
      <c r="V4258">
        <v>23</v>
      </c>
    </row>
    <row r="4259" spans="1:22" customFormat="1" ht="23.25" x14ac:dyDescent="0.25">
      <c r="A4259" t="s">
        <v>186</v>
      </c>
      <c r="B4259" t="s">
        <v>5182</v>
      </c>
      <c r="C4259" t="s">
        <v>3757</v>
      </c>
      <c r="E4259" s="1576" t="s">
        <v>226</v>
      </c>
      <c r="F4259" s="1576"/>
      <c r="G4259" s="1576"/>
      <c r="H4259" s="1576"/>
      <c r="V4259">
        <v>25</v>
      </c>
    </row>
    <row r="4260" spans="1:22" customFormat="1" x14ac:dyDescent="0.25">
      <c r="A4260" t="s">
        <v>186</v>
      </c>
      <c r="B4260" t="s">
        <v>5182</v>
      </c>
      <c r="C4260" t="s">
        <v>3758</v>
      </c>
      <c r="E4260" s="1577" t="s">
        <v>944</v>
      </c>
      <c r="F4260" s="1577"/>
      <c r="G4260" s="1577"/>
      <c r="H4260" s="1577"/>
      <c r="V4260">
        <v>27</v>
      </c>
    </row>
    <row r="4261" spans="1:22" customFormat="1" ht="15.75" x14ac:dyDescent="0.25">
      <c r="A4261" t="s">
        <v>186</v>
      </c>
      <c r="B4261" t="s">
        <v>5182</v>
      </c>
      <c r="C4261" t="s">
        <v>3759</v>
      </c>
      <c r="E4261" s="1585" t="s">
        <v>6511</v>
      </c>
      <c r="F4261" s="1585"/>
      <c r="G4261" s="1585"/>
      <c r="H4261" s="1585"/>
      <c r="S4261">
        <v>45658</v>
      </c>
      <c r="V4261">
        <v>49</v>
      </c>
    </row>
    <row r="4262" spans="1:22" customFormat="1" ht="15" x14ac:dyDescent="0.25">
      <c r="A4262" t="s">
        <v>186</v>
      </c>
      <c r="B4262" t="s">
        <v>5182</v>
      </c>
      <c r="E4262" s="1575" t="s">
        <v>945</v>
      </c>
      <c r="F4262" s="1575"/>
      <c r="G4262" s="1575"/>
      <c r="H4262" s="1575"/>
      <c r="V4262">
        <v>52</v>
      </c>
    </row>
    <row r="4263" spans="1:22" customFormat="1" ht="15" x14ac:dyDescent="0.25">
      <c r="A4263" t="s">
        <v>186</v>
      </c>
      <c r="B4263" t="s">
        <v>5182</v>
      </c>
      <c r="E4263" s="1575" t="s">
        <v>946</v>
      </c>
      <c r="F4263" s="1575"/>
      <c r="G4263" s="1575"/>
      <c r="H4263" s="1575"/>
      <c r="V4263">
        <v>53</v>
      </c>
    </row>
    <row r="4264" spans="1:22" customFormat="1" ht="15" x14ac:dyDescent="0.25">
      <c r="A4264" t="s">
        <v>186</v>
      </c>
      <c r="B4264" t="s">
        <v>5182</v>
      </c>
      <c r="E4264" s="1534" t="s">
        <v>6747</v>
      </c>
      <c r="F4264" s="1534"/>
      <c r="G4264" s="1534"/>
      <c r="H4264" s="1534"/>
      <c r="K4264" t="s">
        <v>6747</v>
      </c>
      <c r="V4264">
        <v>12</v>
      </c>
    </row>
    <row r="4265" spans="1:22" customFormat="1" ht="15" x14ac:dyDescent="0.25">
      <c r="A4265" t="s">
        <v>186</v>
      </c>
      <c r="B4265" t="s">
        <v>5182</v>
      </c>
      <c r="E4265" s="1538" t="s">
        <v>170</v>
      </c>
      <c r="F4265" s="1537"/>
      <c r="G4265" s="1537"/>
      <c r="H4265" s="1537"/>
      <c r="K4265" t="s">
        <v>947</v>
      </c>
      <c r="V4265">
        <v>34</v>
      </c>
    </row>
    <row r="4266" spans="1:22" customFormat="1" ht="15" x14ac:dyDescent="0.25">
      <c r="A4266" t="s">
        <v>186</v>
      </c>
      <c r="B4266" t="s">
        <v>5182</v>
      </c>
      <c r="E4266" s="1531" t="s">
        <v>5184</v>
      </c>
      <c r="F4266" s="1531"/>
      <c r="G4266" s="1531"/>
      <c r="H4266" s="1531"/>
      <c r="K4266" t="s">
        <v>947</v>
      </c>
      <c r="V4266">
        <v>552</v>
      </c>
    </row>
    <row r="4267" spans="1:22" customFormat="1" ht="15" x14ac:dyDescent="0.25">
      <c r="A4267" t="s">
        <v>186</v>
      </c>
      <c r="B4267" t="s">
        <v>5182</v>
      </c>
      <c r="E4267" s="1533" t="s">
        <v>950</v>
      </c>
      <c r="F4267" s="1516"/>
      <c r="G4267" s="1516"/>
      <c r="H4267" s="1516"/>
      <c r="K4267" t="s">
        <v>949</v>
      </c>
      <c r="V4267">
        <v>11</v>
      </c>
    </row>
    <row r="4268" spans="1:22" customFormat="1" ht="15" x14ac:dyDescent="0.25">
      <c r="A4268" t="s">
        <v>186</v>
      </c>
      <c r="B4268" t="s">
        <v>5182</v>
      </c>
      <c r="E4268" s="1531" t="s">
        <v>951</v>
      </c>
      <c r="F4268" s="1531"/>
      <c r="G4268" s="1531"/>
      <c r="H4268" s="1531"/>
      <c r="K4268" t="s">
        <v>947</v>
      </c>
      <c r="V4268">
        <v>280</v>
      </c>
    </row>
    <row r="4269" spans="1:22" customFormat="1" ht="15" x14ac:dyDescent="0.25">
      <c r="A4269" t="s">
        <v>186</v>
      </c>
      <c r="B4269" t="s">
        <v>5182</v>
      </c>
      <c r="E4269" s="1531" t="s">
        <v>952</v>
      </c>
      <c r="F4269" s="1531"/>
      <c r="G4269" s="1531"/>
      <c r="H4269" s="1531"/>
      <c r="K4269" t="s">
        <v>947</v>
      </c>
      <c r="V4269">
        <v>411</v>
      </c>
    </row>
    <row r="4270" spans="1:22" customFormat="1" ht="15" x14ac:dyDescent="0.25">
      <c r="A4270" t="s">
        <v>186</v>
      </c>
      <c r="B4270" t="s">
        <v>5182</v>
      </c>
      <c r="E4270" s="1531" t="s">
        <v>953</v>
      </c>
      <c r="F4270" s="1531"/>
      <c r="G4270" s="1531"/>
      <c r="H4270" s="1531"/>
      <c r="K4270" t="s">
        <v>947</v>
      </c>
      <c r="V4270">
        <v>386</v>
      </c>
    </row>
    <row r="4271" spans="1:22" customFormat="1" ht="15" x14ac:dyDescent="0.25">
      <c r="A4271" t="s">
        <v>186</v>
      </c>
      <c r="B4271" t="s">
        <v>5182</v>
      </c>
      <c r="E4271" s="1531" t="s">
        <v>5185</v>
      </c>
      <c r="F4271" s="1531"/>
      <c r="G4271" s="1531"/>
      <c r="H4271" s="1531"/>
      <c r="K4271" t="s">
        <v>947</v>
      </c>
      <c r="V4271">
        <v>251</v>
      </c>
    </row>
    <row r="4272" spans="1:22" customFormat="1" ht="15" x14ac:dyDescent="0.25">
      <c r="A4272" t="s">
        <v>186</v>
      </c>
      <c r="B4272" t="s">
        <v>5182</v>
      </c>
      <c r="E4272" s="1533" t="s">
        <v>956</v>
      </c>
      <c r="F4272" s="1516"/>
      <c r="G4272" s="1516"/>
      <c r="H4272" s="1516"/>
      <c r="K4272" t="s">
        <v>955</v>
      </c>
      <c r="V4272">
        <v>46</v>
      </c>
    </row>
    <row r="4273" spans="1:22" customFormat="1" ht="15" x14ac:dyDescent="0.25">
      <c r="A4273" t="s">
        <v>186</v>
      </c>
      <c r="B4273" t="s">
        <v>5182</v>
      </c>
      <c r="E4273" s="1524" t="s">
        <v>3773</v>
      </c>
      <c r="F4273" s="1524"/>
      <c r="G4273" s="387" t="s">
        <v>777</v>
      </c>
      <c r="H4273" s="576">
        <v>31.17</v>
      </c>
      <c r="K4273" t="s">
        <v>947</v>
      </c>
      <c r="L4273" t="s">
        <v>690</v>
      </c>
      <c r="P4273" t="s">
        <v>957</v>
      </c>
      <c r="V4273">
        <v>14</v>
      </c>
    </row>
    <row r="4274" spans="1:22" customFormat="1" ht="15" x14ac:dyDescent="0.25">
      <c r="A4274" t="s">
        <v>186</v>
      </c>
      <c r="B4274" t="s">
        <v>5182</v>
      </c>
      <c r="E4274" s="1524" t="s">
        <v>960</v>
      </c>
      <c r="F4274" s="1524"/>
      <c r="G4274" s="387" t="s">
        <v>777</v>
      </c>
      <c r="H4274" s="604">
        <v>0.42</v>
      </c>
      <c r="K4274" t="s">
        <v>947</v>
      </c>
      <c r="L4274" t="s">
        <v>692</v>
      </c>
      <c r="P4274" t="s">
        <v>959</v>
      </c>
      <c r="V4274">
        <v>64</v>
      </c>
    </row>
    <row r="4275" spans="1:22" customFormat="1" ht="15" x14ac:dyDescent="0.25">
      <c r="A4275" t="s">
        <v>186</v>
      </c>
      <c r="B4275" t="s">
        <v>5182</v>
      </c>
      <c r="E4275" s="1524" t="s">
        <v>6519</v>
      </c>
      <c r="F4275" s="1510"/>
      <c r="G4275" s="387" t="s">
        <v>845</v>
      </c>
      <c r="H4275" s="605">
        <v>2.5000000000000001E-3</v>
      </c>
      <c r="K4275" t="s">
        <v>947</v>
      </c>
      <c r="L4275" t="s">
        <v>692</v>
      </c>
      <c r="P4275" t="s">
        <v>962</v>
      </c>
      <c r="T4275">
        <v>46022</v>
      </c>
      <c r="V4275">
        <v>142</v>
      </c>
    </row>
    <row r="4276" spans="1:22" customFormat="1" ht="15" x14ac:dyDescent="0.25">
      <c r="A4276" t="s">
        <v>186</v>
      </c>
      <c r="B4276" t="s">
        <v>5182</v>
      </c>
      <c r="E4276" s="1524" t="s">
        <v>6520</v>
      </c>
      <c r="F4276" s="1510"/>
      <c r="G4276" s="387" t="s">
        <v>845</v>
      </c>
      <c r="H4276" s="605">
        <v>2E-3</v>
      </c>
      <c r="K4276" t="s">
        <v>947</v>
      </c>
      <c r="L4276" t="s">
        <v>692</v>
      </c>
      <c r="P4276" t="s">
        <v>963</v>
      </c>
      <c r="T4276">
        <v>46022</v>
      </c>
      <c r="V4276">
        <v>99</v>
      </c>
    </row>
    <row r="4277" spans="1:22" customFormat="1" ht="15" x14ac:dyDescent="0.25">
      <c r="A4277" t="s">
        <v>186</v>
      </c>
      <c r="B4277" t="s">
        <v>5182</v>
      </c>
      <c r="E4277" s="1524" t="s">
        <v>6521</v>
      </c>
      <c r="F4277" s="1510"/>
      <c r="G4277" s="387" t="s">
        <v>845</v>
      </c>
      <c r="H4277" s="605">
        <v>2.0000000000000001E-4</v>
      </c>
      <c r="K4277" t="s">
        <v>947</v>
      </c>
      <c r="L4277" t="s">
        <v>692</v>
      </c>
      <c r="P4277" t="s">
        <v>3764</v>
      </c>
      <c r="T4277">
        <v>46022</v>
      </c>
      <c r="V4277">
        <v>149</v>
      </c>
    </row>
    <row r="4278" spans="1:22" customFormat="1" ht="15" x14ac:dyDescent="0.25">
      <c r="A4278" t="s">
        <v>186</v>
      </c>
      <c r="B4278" t="s">
        <v>5182</v>
      </c>
      <c r="E4278" s="1524" t="s">
        <v>243</v>
      </c>
      <c r="F4278" s="1524"/>
      <c r="G4278" s="387" t="s">
        <v>845</v>
      </c>
      <c r="H4278" s="577">
        <v>1.3899999999999999E-2</v>
      </c>
      <c r="K4278" t="s">
        <v>947</v>
      </c>
      <c r="L4278" t="s">
        <v>694</v>
      </c>
      <c r="P4278" t="s">
        <v>964</v>
      </c>
      <c r="V4278">
        <v>47</v>
      </c>
    </row>
    <row r="4279" spans="1:22" customFormat="1" ht="15" x14ac:dyDescent="0.25">
      <c r="A4279" t="s">
        <v>186</v>
      </c>
      <c r="B4279" t="s">
        <v>5182</v>
      </c>
      <c r="E4279" s="1524" t="s">
        <v>175</v>
      </c>
      <c r="F4279" s="1524"/>
      <c r="G4279" s="387" t="s">
        <v>845</v>
      </c>
      <c r="H4279" s="577">
        <v>8.5000000000000006E-3</v>
      </c>
      <c r="K4279" t="s">
        <v>947</v>
      </c>
      <c r="L4279" t="s">
        <v>694</v>
      </c>
      <c r="P4279" t="s">
        <v>965</v>
      </c>
      <c r="V4279">
        <v>74</v>
      </c>
    </row>
    <row r="4280" spans="1:22" customFormat="1" ht="15" x14ac:dyDescent="0.25">
      <c r="A4280" t="s">
        <v>186</v>
      </c>
      <c r="B4280" t="s">
        <v>5182</v>
      </c>
      <c r="E4280" s="1533" t="s">
        <v>967</v>
      </c>
      <c r="F4280" s="1507"/>
      <c r="G4280" s="360"/>
      <c r="H4280" s="360"/>
      <c r="K4280" t="s">
        <v>966</v>
      </c>
      <c r="V4280">
        <v>48</v>
      </c>
    </row>
    <row r="4281" spans="1:22" customFormat="1" ht="15" x14ac:dyDescent="0.25">
      <c r="A4281" t="s">
        <v>186</v>
      </c>
      <c r="B4281" t="s">
        <v>5182</v>
      </c>
      <c r="E4281" s="1526" t="s">
        <v>844</v>
      </c>
      <c r="F4281" s="1507"/>
      <c r="G4281" s="387" t="s">
        <v>845</v>
      </c>
      <c r="H4281" s="399">
        <v>4.1000000000000003E-3</v>
      </c>
      <c r="K4281" t="s">
        <v>947</v>
      </c>
      <c r="L4281" t="s">
        <v>968</v>
      </c>
      <c r="P4281" t="s">
        <v>969</v>
      </c>
      <c r="V4281">
        <v>55</v>
      </c>
    </row>
    <row r="4282" spans="1:22" customFormat="1" ht="15" x14ac:dyDescent="0.25">
      <c r="A4282" t="s">
        <v>186</v>
      </c>
      <c r="B4282" t="s">
        <v>5182</v>
      </c>
      <c r="E4282" s="1526" t="s">
        <v>846</v>
      </c>
      <c r="F4282" s="1507"/>
      <c r="G4282" s="387" t="s">
        <v>845</v>
      </c>
      <c r="H4282" s="399">
        <v>4.0000000000000002E-4</v>
      </c>
      <c r="K4282" t="s">
        <v>947</v>
      </c>
      <c r="L4282" t="s">
        <v>968</v>
      </c>
      <c r="P4282" t="s">
        <v>969</v>
      </c>
      <c r="V4282">
        <v>65</v>
      </c>
    </row>
    <row r="4283" spans="1:22" customFormat="1" ht="15" x14ac:dyDescent="0.25">
      <c r="A4283" t="s">
        <v>186</v>
      </c>
      <c r="B4283" t="s">
        <v>5182</v>
      </c>
      <c r="E4283" s="1526" t="s">
        <v>847</v>
      </c>
      <c r="F4283" s="1507"/>
      <c r="G4283" s="387" t="s">
        <v>845</v>
      </c>
      <c r="H4283" s="399">
        <v>1.5E-3</v>
      </c>
      <c r="K4283" t="s">
        <v>947</v>
      </c>
      <c r="L4283" t="s">
        <v>968</v>
      </c>
      <c r="P4283" t="s">
        <v>970</v>
      </c>
      <c r="V4283">
        <v>57</v>
      </c>
    </row>
    <row r="4284" spans="1:22" customFormat="1" ht="15" x14ac:dyDescent="0.25">
      <c r="A4284" t="s">
        <v>186</v>
      </c>
      <c r="B4284" t="s">
        <v>5182</v>
      </c>
      <c r="E4284" s="1526" t="s">
        <v>848</v>
      </c>
      <c r="F4284" s="1507"/>
      <c r="G4284" s="387" t="s">
        <v>777</v>
      </c>
      <c r="H4284" s="398">
        <v>0.25</v>
      </c>
      <c r="K4284" t="s">
        <v>947</v>
      </c>
      <c r="L4284" t="s">
        <v>968</v>
      </c>
      <c r="P4284" t="s">
        <v>971</v>
      </c>
      <c r="V4284">
        <v>63</v>
      </c>
    </row>
    <row r="4285" spans="1:22" customFormat="1" ht="15" x14ac:dyDescent="0.25">
      <c r="A4285" t="s">
        <v>186</v>
      </c>
      <c r="B4285" t="s">
        <v>5182</v>
      </c>
      <c r="E4285" s="1534" t="s">
        <v>6747</v>
      </c>
      <c r="F4285" s="1534"/>
      <c r="G4285" s="1534"/>
      <c r="H4285" s="1534"/>
      <c r="K4285" t="s">
        <v>6747</v>
      </c>
      <c r="V4285">
        <v>12</v>
      </c>
    </row>
    <row r="4286" spans="1:22" customFormat="1" x14ac:dyDescent="0.25">
      <c r="A4286" t="s">
        <v>186</v>
      </c>
      <c r="B4286" t="s">
        <v>5182</v>
      </c>
      <c r="E4286" s="1538" t="s">
        <v>174</v>
      </c>
      <c r="F4286" s="1538"/>
      <c r="G4286" s="1538"/>
      <c r="H4286" s="1538"/>
      <c r="K4286" t="s">
        <v>972</v>
      </c>
      <c r="V4286">
        <v>54</v>
      </c>
    </row>
    <row r="4287" spans="1:22" customFormat="1" ht="15" x14ac:dyDescent="0.25">
      <c r="A4287" t="s">
        <v>186</v>
      </c>
      <c r="B4287" t="s">
        <v>5182</v>
      </c>
      <c r="E4287" s="1531" t="s">
        <v>5186</v>
      </c>
      <c r="F4287" s="1531"/>
      <c r="G4287" s="1531"/>
      <c r="H4287" s="1532"/>
      <c r="K4287" t="s">
        <v>972</v>
      </c>
      <c r="V4287">
        <v>266</v>
      </c>
    </row>
    <row r="4288" spans="1:22" customFormat="1" ht="15" x14ac:dyDescent="0.25">
      <c r="A4288" t="s">
        <v>186</v>
      </c>
      <c r="B4288" t="s">
        <v>5182</v>
      </c>
      <c r="E4288" s="1533" t="s">
        <v>950</v>
      </c>
      <c r="F4288" s="1516"/>
      <c r="G4288" s="1516"/>
      <c r="H4288" s="1516"/>
      <c r="K4288" t="s">
        <v>974</v>
      </c>
      <c r="V4288">
        <v>11</v>
      </c>
    </row>
    <row r="4289" spans="1:22" customFormat="1" ht="15" x14ac:dyDescent="0.25">
      <c r="A4289" t="s">
        <v>186</v>
      </c>
      <c r="B4289" t="s">
        <v>5182</v>
      </c>
      <c r="E4289" s="1531" t="s">
        <v>951</v>
      </c>
      <c r="F4289" s="1531"/>
      <c r="G4289" s="1531"/>
      <c r="H4289" s="1532"/>
      <c r="K4289" t="s">
        <v>972</v>
      </c>
      <c r="V4289">
        <v>280</v>
      </c>
    </row>
    <row r="4290" spans="1:22" customFormat="1" ht="15" x14ac:dyDescent="0.25">
      <c r="A4290" t="s">
        <v>186</v>
      </c>
      <c r="B4290" t="s">
        <v>5182</v>
      </c>
      <c r="E4290" s="1531" t="s">
        <v>952</v>
      </c>
      <c r="F4290" s="1531"/>
      <c r="G4290" s="1531"/>
      <c r="H4290" s="1532"/>
      <c r="K4290" t="s">
        <v>972</v>
      </c>
      <c r="V4290">
        <v>411</v>
      </c>
    </row>
    <row r="4291" spans="1:22" customFormat="1" ht="15" x14ac:dyDescent="0.25">
      <c r="A4291" t="s">
        <v>186</v>
      </c>
      <c r="B4291" t="s">
        <v>5182</v>
      </c>
      <c r="E4291" s="1531" t="s">
        <v>953</v>
      </c>
      <c r="F4291" s="1531"/>
      <c r="G4291" s="1531"/>
      <c r="H4291" s="1532"/>
      <c r="K4291" t="s">
        <v>972</v>
      </c>
      <c r="V4291">
        <v>386</v>
      </c>
    </row>
    <row r="4292" spans="1:22" customFormat="1" ht="15" x14ac:dyDescent="0.25">
      <c r="A4292" t="s">
        <v>186</v>
      </c>
      <c r="B4292" t="s">
        <v>5182</v>
      </c>
      <c r="E4292" s="1531" t="s">
        <v>5185</v>
      </c>
      <c r="F4292" s="1531"/>
      <c r="G4292" s="1531"/>
      <c r="H4292" s="1532"/>
      <c r="K4292" t="s">
        <v>972</v>
      </c>
      <c r="V4292">
        <v>251</v>
      </c>
    </row>
    <row r="4293" spans="1:22" customFormat="1" ht="15" x14ac:dyDescent="0.25">
      <c r="A4293" t="s">
        <v>186</v>
      </c>
      <c r="B4293" t="s">
        <v>5182</v>
      </c>
      <c r="E4293" s="1533" t="s">
        <v>956</v>
      </c>
      <c r="F4293" s="1516"/>
      <c r="G4293" s="1516"/>
      <c r="H4293" s="1516"/>
      <c r="K4293" t="s">
        <v>975</v>
      </c>
      <c r="V4293">
        <v>46</v>
      </c>
    </row>
    <row r="4294" spans="1:22" customFormat="1" ht="15" x14ac:dyDescent="0.25">
      <c r="A4294" t="s">
        <v>186</v>
      </c>
      <c r="B4294" t="s">
        <v>5182</v>
      </c>
      <c r="E4294" s="1524" t="s">
        <v>3773</v>
      </c>
      <c r="F4294" s="1524"/>
      <c r="G4294" s="474" t="s">
        <v>777</v>
      </c>
      <c r="H4294" s="576">
        <v>35.68</v>
      </c>
      <c r="K4294" t="s">
        <v>972</v>
      </c>
      <c r="L4294" t="s">
        <v>690</v>
      </c>
      <c r="P4294" t="s">
        <v>976</v>
      </c>
      <c r="V4294">
        <v>14</v>
      </c>
    </row>
    <row r="4295" spans="1:22" customFormat="1" ht="15" x14ac:dyDescent="0.25">
      <c r="A4295" t="s">
        <v>186</v>
      </c>
      <c r="B4295" t="s">
        <v>5182</v>
      </c>
      <c r="E4295" s="1524" t="s">
        <v>960</v>
      </c>
      <c r="F4295" s="1524"/>
      <c r="G4295" s="387" t="s">
        <v>777</v>
      </c>
      <c r="H4295" s="604">
        <v>0.42</v>
      </c>
      <c r="K4295" t="s">
        <v>972</v>
      </c>
      <c r="L4295" t="s">
        <v>692</v>
      </c>
      <c r="P4295" t="s">
        <v>977</v>
      </c>
      <c r="V4295">
        <v>64</v>
      </c>
    </row>
    <row r="4296" spans="1:22" customFormat="1" ht="15" x14ac:dyDescent="0.25">
      <c r="A4296" t="s">
        <v>186</v>
      </c>
      <c r="B4296" t="s">
        <v>5182</v>
      </c>
      <c r="E4296" s="1524" t="s">
        <v>3688</v>
      </c>
      <c r="F4296" s="1524"/>
      <c r="G4296" s="474" t="s">
        <v>845</v>
      </c>
      <c r="H4296" s="577">
        <v>1.29E-2</v>
      </c>
      <c r="K4296" t="s">
        <v>972</v>
      </c>
      <c r="L4296" t="s">
        <v>690</v>
      </c>
      <c r="P4296" t="s">
        <v>978</v>
      </c>
      <c r="V4296">
        <v>28</v>
      </c>
    </row>
    <row r="4297" spans="1:22" customFormat="1" ht="15" x14ac:dyDescent="0.25">
      <c r="A4297" t="s">
        <v>186</v>
      </c>
      <c r="B4297" t="s">
        <v>5182</v>
      </c>
      <c r="E4297" s="1524" t="s">
        <v>6519</v>
      </c>
      <c r="F4297" s="1510"/>
      <c r="G4297" s="474" t="s">
        <v>845</v>
      </c>
      <c r="H4297" s="577">
        <v>2.5000000000000001E-3</v>
      </c>
      <c r="K4297" t="s">
        <v>972</v>
      </c>
      <c r="L4297" t="s">
        <v>692</v>
      </c>
      <c r="P4297" t="s">
        <v>981</v>
      </c>
      <c r="T4297">
        <v>46022</v>
      </c>
      <c r="V4297">
        <v>142</v>
      </c>
    </row>
    <row r="4298" spans="1:22" customFormat="1" ht="15" x14ac:dyDescent="0.25">
      <c r="A4298" t="s">
        <v>186</v>
      </c>
      <c r="B4298" t="s">
        <v>5182</v>
      </c>
      <c r="E4298" s="1524" t="s">
        <v>6520</v>
      </c>
      <c r="F4298" s="1510"/>
      <c r="G4298" s="474" t="s">
        <v>845</v>
      </c>
      <c r="H4298" s="577">
        <v>2.2000000000000001E-3</v>
      </c>
      <c r="K4298" t="s">
        <v>972</v>
      </c>
      <c r="L4298" t="s">
        <v>692</v>
      </c>
      <c r="P4298" t="s">
        <v>982</v>
      </c>
      <c r="T4298">
        <v>46022</v>
      </c>
      <c r="V4298">
        <v>99</v>
      </c>
    </row>
    <row r="4299" spans="1:22" customFormat="1" ht="15" x14ac:dyDescent="0.25">
      <c r="A4299" t="s">
        <v>186</v>
      </c>
      <c r="B4299" t="s">
        <v>5182</v>
      </c>
      <c r="E4299" s="1524" t="s">
        <v>6521</v>
      </c>
      <c r="F4299" s="1510"/>
      <c r="G4299" s="474" t="s">
        <v>845</v>
      </c>
      <c r="H4299" s="577">
        <v>2.0000000000000001E-4</v>
      </c>
      <c r="K4299" t="s">
        <v>972</v>
      </c>
      <c r="L4299" t="s">
        <v>692</v>
      </c>
      <c r="P4299" t="s">
        <v>3766</v>
      </c>
      <c r="T4299">
        <v>46022</v>
      </c>
      <c r="V4299">
        <v>149</v>
      </c>
    </row>
    <row r="4300" spans="1:22" customFormat="1" ht="15" x14ac:dyDescent="0.25">
      <c r="A4300" t="s">
        <v>186</v>
      </c>
      <c r="B4300" t="s">
        <v>5182</v>
      </c>
      <c r="E4300" s="1524" t="s">
        <v>243</v>
      </c>
      <c r="F4300" s="1524"/>
      <c r="G4300" s="387" t="s">
        <v>845</v>
      </c>
      <c r="H4300" s="577">
        <v>1.2500000000000001E-2</v>
      </c>
      <c r="K4300" t="s">
        <v>972</v>
      </c>
      <c r="L4300" t="s">
        <v>694</v>
      </c>
      <c r="P4300" t="s">
        <v>983</v>
      </c>
      <c r="V4300">
        <v>47</v>
      </c>
    </row>
    <row r="4301" spans="1:22" customFormat="1" ht="15" x14ac:dyDescent="0.25">
      <c r="A4301" t="s">
        <v>186</v>
      </c>
      <c r="B4301" t="s">
        <v>5182</v>
      </c>
      <c r="E4301" s="1524" t="s">
        <v>175</v>
      </c>
      <c r="F4301" s="1524"/>
      <c r="G4301" s="387" t="s">
        <v>845</v>
      </c>
      <c r="H4301" s="577">
        <v>7.6E-3</v>
      </c>
      <c r="K4301" t="s">
        <v>972</v>
      </c>
      <c r="L4301" t="s">
        <v>694</v>
      </c>
      <c r="P4301" t="s">
        <v>984</v>
      </c>
      <c r="V4301">
        <v>74</v>
      </c>
    </row>
    <row r="4302" spans="1:22" customFormat="1" ht="15" x14ac:dyDescent="0.25">
      <c r="A4302" t="s">
        <v>186</v>
      </c>
      <c r="B4302" t="s">
        <v>5182</v>
      </c>
      <c r="E4302" s="1533" t="s">
        <v>967</v>
      </c>
      <c r="F4302" s="1552"/>
      <c r="G4302" s="360"/>
      <c r="H4302" s="360"/>
      <c r="K4302" t="s">
        <v>985</v>
      </c>
      <c r="V4302">
        <v>48</v>
      </c>
    </row>
    <row r="4303" spans="1:22" customFormat="1" ht="15" x14ac:dyDescent="0.25">
      <c r="A4303" t="s">
        <v>186</v>
      </c>
      <c r="B4303" t="s">
        <v>5182</v>
      </c>
      <c r="E4303" s="1526" t="s">
        <v>844</v>
      </c>
      <c r="F4303" s="1507"/>
      <c r="G4303" s="387" t="s">
        <v>845</v>
      </c>
      <c r="H4303" s="399">
        <v>4.1000000000000003E-3</v>
      </c>
      <c r="K4303" t="s">
        <v>972</v>
      </c>
      <c r="L4303" t="s">
        <v>968</v>
      </c>
      <c r="P4303" t="s">
        <v>986</v>
      </c>
      <c r="V4303">
        <v>55</v>
      </c>
    </row>
    <row r="4304" spans="1:22" customFormat="1" ht="15" x14ac:dyDescent="0.25">
      <c r="A4304" t="s">
        <v>186</v>
      </c>
      <c r="B4304" t="s">
        <v>5182</v>
      </c>
      <c r="E4304" s="1526" t="s">
        <v>846</v>
      </c>
      <c r="F4304" s="1507"/>
      <c r="G4304" s="387" t="s">
        <v>845</v>
      </c>
      <c r="H4304" s="399">
        <v>4.0000000000000002E-4</v>
      </c>
      <c r="K4304" t="s">
        <v>972</v>
      </c>
      <c r="L4304" t="s">
        <v>968</v>
      </c>
      <c r="P4304" t="s">
        <v>986</v>
      </c>
      <c r="V4304">
        <v>65</v>
      </c>
    </row>
    <row r="4305" spans="1:22" customFormat="1" ht="15" x14ac:dyDescent="0.25">
      <c r="A4305" t="s">
        <v>186</v>
      </c>
      <c r="B4305" t="s">
        <v>5182</v>
      </c>
      <c r="E4305" s="1526" t="s">
        <v>847</v>
      </c>
      <c r="F4305" s="1507"/>
      <c r="G4305" s="387" t="s">
        <v>845</v>
      </c>
      <c r="H4305" s="399">
        <v>1.5E-3</v>
      </c>
      <c r="K4305" t="s">
        <v>972</v>
      </c>
      <c r="L4305" t="s">
        <v>968</v>
      </c>
      <c r="P4305" t="s">
        <v>987</v>
      </c>
      <c r="V4305">
        <v>57</v>
      </c>
    </row>
    <row r="4306" spans="1:22" customFormat="1" ht="15" x14ac:dyDescent="0.25">
      <c r="A4306" t="s">
        <v>186</v>
      </c>
      <c r="B4306" t="s">
        <v>5182</v>
      </c>
      <c r="E4306" s="1526" t="s">
        <v>848</v>
      </c>
      <c r="F4306" s="1507"/>
      <c r="G4306" s="387" t="s">
        <v>777</v>
      </c>
      <c r="H4306" s="398">
        <v>0.25</v>
      </c>
      <c r="K4306" t="s">
        <v>972</v>
      </c>
      <c r="L4306" t="s">
        <v>968</v>
      </c>
      <c r="P4306" t="s">
        <v>988</v>
      </c>
      <c r="V4306">
        <v>63</v>
      </c>
    </row>
    <row r="4307" spans="1:22" customFormat="1" ht="15" x14ac:dyDescent="0.25">
      <c r="A4307" t="s">
        <v>186</v>
      </c>
      <c r="B4307" t="s">
        <v>5182</v>
      </c>
      <c r="E4307" s="1534" t="s">
        <v>6747</v>
      </c>
      <c r="F4307" s="1534"/>
      <c r="G4307" s="1534"/>
      <c r="H4307" s="1534"/>
      <c r="K4307" t="s">
        <v>6747</v>
      </c>
      <c r="V4307">
        <v>12</v>
      </c>
    </row>
    <row r="4308" spans="1:22" customFormat="1" ht="15" x14ac:dyDescent="0.25">
      <c r="A4308" t="s">
        <v>186</v>
      </c>
      <c r="B4308" t="s">
        <v>5182</v>
      </c>
      <c r="E4308" s="1538" t="s">
        <v>5187</v>
      </c>
      <c r="F4308" s="1537"/>
      <c r="G4308" s="1537"/>
      <c r="H4308" s="1677"/>
      <c r="K4308" t="s">
        <v>5188</v>
      </c>
      <c r="V4308">
        <v>57</v>
      </c>
    </row>
    <row r="4309" spans="1:22" customFormat="1" ht="15" x14ac:dyDescent="0.25">
      <c r="A4309" t="s">
        <v>186</v>
      </c>
      <c r="B4309" t="s">
        <v>5182</v>
      </c>
      <c r="E4309" s="1531" t="s">
        <v>5189</v>
      </c>
      <c r="F4309" s="1531"/>
      <c r="G4309" s="1531"/>
      <c r="H4309" s="1532"/>
      <c r="K4309" t="s">
        <v>5188</v>
      </c>
      <c r="V4309">
        <v>286</v>
      </c>
    </row>
    <row r="4310" spans="1:22" customFormat="1" ht="15" x14ac:dyDescent="0.25">
      <c r="A4310" t="s">
        <v>186</v>
      </c>
      <c r="B4310" t="s">
        <v>5182</v>
      </c>
      <c r="E4310" s="1533" t="s">
        <v>950</v>
      </c>
      <c r="F4310" s="1516"/>
      <c r="G4310" s="1516"/>
      <c r="H4310" s="1516"/>
      <c r="K4310" t="s">
        <v>992</v>
      </c>
      <c r="V4310">
        <v>11</v>
      </c>
    </row>
    <row r="4311" spans="1:22" customFormat="1" ht="15" x14ac:dyDescent="0.25">
      <c r="A4311" t="s">
        <v>186</v>
      </c>
      <c r="B4311" t="s">
        <v>5182</v>
      </c>
      <c r="E4311" s="1531" t="s">
        <v>951</v>
      </c>
      <c r="F4311" s="1531"/>
      <c r="G4311" s="1531"/>
      <c r="H4311" s="1532"/>
      <c r="K4311" t="s">
        <v>5188</v>
      </c>
      <c r="V4311">
        <v>280</v>
      </c>
    </row>
    <row r="4312" spans="1:22" customFormat="1" ht="15" x14ac:dyDescent="0.25">
      <c r="A4312" t="s">
        <v>186</v>
      </c>
      <c r="B4312" t="s">
        <v>5182</v>
      </c>
      <c r="E4312" s="1531" t="s">
        <v>952</v>
      </c>
      <c r="F4312" s="1531"/>
      <c r="G4312" s="1531"/>
      <c r="H4312" s="1532"/>
      <c r="K4312" t="s">
        <v>5188</v>
      </c>
      <c r="V4312">
        <v>411</v>
      </c>
    </row>
    <row r="4313" spans="1:22" customFormat="1" ht="15" x14ac:dyDescent="0.25">
      <c r="A4313" t="s">
        <v>186</v>
      </c>
      <c r="B4313" t="s">
        <v>5182</v>
      </c>
      <c r="E4313" s="1531" t="s">
        <v>953</v>
      </c>
      <c r="F4313" s="1531"/>
      <c r="G4313" s="1531"/>
      <c r="H4313" s="1532"/>
      <c r="K4313" t="s">
        <v>5188</v>
      </c>
      <c r="V4313">
        <v>386</v>
      </c>
    </row>
    <row r="4314" spans="1:22" customFormat="1" ht="15" x14ac:dyDescent="0.25">
      <c r="A4314" t="s">
        <v>186</v>
      </c>
      <c r="B4314" t="s">
        <v>5182</v>
      </c>
      <c r="E4314" s="1516" t="s">
        <v>4741</v>
      </c>
      <c r="F4314" s="1516"/>
      <c r="G4314" s="1516"/>
      <c r="H4314" s="1516"/>
      <c r="K4314" t="s">
        <v>5188</v>
      </c>
      <c r="V4314">
        <v>684</v>
      </c>
    </row>
    <row r="4315" spans="1:22" customFormat="1" ht="15" x14ac:dyDescent="0.25">
      <c r="A4315" t="s">
        <v>186</v>
      </c>
      <c r="B4315" t="s">
        <v>5182</v>
      </c>
      <c r="E4315" s="1516" t="s">
        <v>3771</v>
      </c>
      <c r="F4315" s="1516"/>
      <c r="G4315" s="1516"/>
      <c r="H4315" s="1516"/>
      <c r="K4315" t="s">
        <v>5188</v>
      </c>
      <c r="V4315">
        <v>677</v>
      </c>
    </row>
    <row r="4316" spans="1:22" customFormat="1" ht="15" x14ac:dyDescent="0.25">
      <c r="A4316" t="s">
        <v>186</v>
      </c>
      <c r="B4316" t="s">
        <v>5182</v>
      </c>
      <c r="E4316" s="1531" t="s">
        <v>3762</v>
      </c>
      <c r="F4316" s="1531"/>
      <c r="G4316" s="1531"/>
      <c r="H4316" s="1532"/>
      <c r="K4316" t="s">
        <v>5188</v>
      </c>
      <c r="V4316">
        <v>247</v>
      </c>
    </row>
    <row r="4317" spans="1:22" customFormat="1" ht="15" x14ac:dyDescent="0.25">
      <c r="A4317" t="s">
        <v>186</v>
      </c>
      <c r="B4317" t="s">
        <v>5182</v>
      </c>
      <c r="E4317" s="1533" t="s">
        <v>956</v>
      </c>
      <c r="F4317" s="1537"/>
      <c r="G4317" s="1537"/>
      <c r="H4317" s="1537"/>
      <c r="K4317" t="s">
        <v>995</v>
      </c>
      <c r="V4317">
        <v>46</v>
      </c>
    </row>
    <row r="4318" spans="1:22" customFormat="1" ht="15" x14ac:dyDescent="0.25">
      <c r="A4318" t="s">
        <v>186</v>
      </c>
      <c r="B4318" t="s">
        <v>5182</v>
      </c>
      <c r="E4318" s="1524" t="s">
        <v>3773</v>
      </c>
      <c r="F4318" s="1524"/>
      <c r="G4318" s="474" t="s">
        <v>777</v>
      </c>
      <c r="H4318" s="576">
        <v>274.87</v>
      </c>
      <c r="K4318" t="s">
        <v>5188</v>
      </c>
      <c r="L4318" t="s">
        <v>690</v>
      </c>
      <c r="P4318" t="s">
        <v>5190</v>
      </c>
      <c r="V4318">
        <v>14</v>
      </c>
    </row>
    <row r="4319" spans="1:22" customFormat="1" ht="15" x14ac:dyDescent="0.25">
      <c r="A4319" t="s">
        <v>186</v>
      </c>
      <c r="B4319" t="s">
        <v>5182</v>
      </c>
      <c r="E4319" s="1524" t="s">
        <v>3688</v>
      </c>
      <c r="F4319" s="1524"/>
      <c r="G4319" s="387" t="s">
        <v>3775</v>
      </c>
      <c r="H4319" s="577">
        <v>3.9144999999999999</v>
      </c>
      <c r="K4319" t="s">
        <v>5188</v>
      </c>
      <c r="L4319" t="s">
        <v>690</v>
      </c>
      <c r="P4319" t="s">
        <v>5191</v>
      </c>
      <c r="V4319">
        <v>28</v>
      </c>
    </row>
    <row r="4320" spans="1:22" customFormat="1" ht="15" x14ac:dyDescent="0.25">
      <c r="A4320" t="s">
        <v>186</v>
      </c>
      <c r="B4320" t="s">
        <v>5182</v>
      </c>
      <c r="E4320" s="1524" t="s">
        <v>6519</v>
      </c>
      <c r="F4320" s="1510"/>
      <c r="G4320" s="387" t="s">
        <v>845</v>
      </c>
      <c r="H4320" s="577">
        <v>2.5000000000000001E-3</v>
      </c>
      <c r="K4320" t="s">
        <v>5188</v>
      </c>
      <c r="L4320" t="s">
        <v>692</v>
      </c>
      <c r="P4320" t="s">
        <v>5192</v>
      </c>
      <c r="T4320">
        <v>46022</v>
      </c>
      <c r="V4320">
        <v>142</v>
      </c>
    </row>
    <row r="4321" spans="1:22" customFormat="1" ht="15" x14ac:dyDescent="0.25">
      <c r="A4321" t="s">
        <v>186</v>
      </c>
      <c r="B4321" t="s">
        <v>5182</v>
      </c>
      <c r="E4321" s="1524" t="s">
        <v>6525</v>
      </c>
      <c r="F4321" s="1510"/>
      <c r="G4321" s="387" t="s">
        <v>3775</v>
      </c>
      <c r="H4321" s="577">
        <v>-0.43909999999999999</v>
      </c>
      <c r="K4321" t="s">
        <v>5188</v>
      </c>
      <c r="L4321" t="s">
        <v>692</v>
      </c>
      <c r="P4321" t="s">
        <v>5193</v>
      </c>
      <c r="T4321">
        <v>46022</v>
      </c>
      <c r="V4321">
        <v>159</v>
      </c>
    </row>
    <row r="4322" spans="1:22" customFormat="1" ht="15" x14ac:dyDescent="0.25">
      <c r="A4322" t="s">
        <v>186</v>
      </c>
      <c r="B4322" t="s">
        <v>5182</v>
      </c>
      <c r="E4322" s="1524" t="s">
        <v>6520</v>
      </c>
      <c r="F4322" s="1510"/>
      <c r="G4322" s="387" t="s">
        <v>3775</v>
      </c>
      <c r="H4322" s="577">
        <v>1.3637999999999999</v>
      </c>
      <c r="K4322" t="s">
        <v>5188</v>
      </c>
      <c r="L4322" t="s">
        <v>692</v>
      </c>
      <c r="P4322" t="s">
        <v>5193</v>
      </c>
      <c r="T4322">
        <v>46022</v>
      </c>
      <c r="V4322">
        <v>99</v>
      </c>
    </row>
    <row r="4323" spans="1:22" customFormat="1" ht="15" x14ac:dyDescent="0.25">
      <c r="A4323" t="s">
        <v>186</v>
      </c>
      <c r="B4323" t="s">
        <v>5182</v>
      </c>
      <c r="E4323" s="1524" t="s">
        <v>6521</v>
      </c>
      <c r="F4323" s="1510"/>
      <c r="G4323" s="387" t="s">
        <v>3775</v>
      </c>
      <c r="H4323" s="577">
        <v>7.9899999999999999E-2</v>
      </c>
      <c r="K4323" t="s">
        <v>5188</v>
      </c>
      <c r="L4323" t="s">
        <v>692</v>
      </c>
      <c r="P4323" t="s">
        <v>5194</v>
      </c>
      <c r="T4323">
        <v>46022</v>
      </c>
      <c r="V4323">
        <v>149</v>
      </c>
    </row>
    <row r="4324" spans="1:22" customFormat="1" ht="15" x14ac:dyDescent="0.25">
      <c r="A4324" t="s">
        <v>186</v>
      </c>
      <c r="B4324" t="s">
        <v>5182</v>
      </c>
      <c r="E4324" s="1524" t="s">
        <v>243</v>
      </c>
      <c r="F4324" s="1524"/>
      <c r="G4324" s="387" t="s">
        <v>3775</v>
      </c>
      <c r="H4324" s="577">
        <v>4.2465999999999999</v>
      </c>
      <c r="K4324" t="s">
        <v>5188</v>
      </c>
      <c r="L4324" t="s">
        <v>694</v>
      </c>
      <c r="P4324" t="s">
        <v>5195</v>
      </c>
      <c r="V4324">
        <v>47</v>
      </c>
    </row>
    <row r="4325" spans="1:22" customFormat="1" ht="15" x14ac:dyDescent="0.25">
      <c r="A4325" t="s">
        <v>186</v>
      </c>
      <c r="B4325" t="s">
        <v>5182</v>
      </c>
      <c r="E4325" s="1524" t="s">
        <v>175</v>
      </c>
      <c r="F4325" s="1524"/>
      <c r="G4325" s="387" t="s">
        <v>3775</v>
      </c>
      <c r="H4325" s="577">
        <v>2.5657000000000001</v>
      </c>
      <c r="K4325" t="s">
        <v>5188</v>
      </c>
      <c r="L4325" t="s">
        <v>694</v>
      </c>
      <c r="P4325" t="s">
        <v>5196</v>
      </c>
      <c r="V4325">
        <v>74</v>
      </c>
    </row>
    <row r="4326" spans="1:22" customFormat="1" ht="15" x14ac:dyDescent="0.25">
      <c r="A4326" t="s">
        <v>186</v>
      </c>
      <c r="B4326" t="s">
        <v>5182</v>
      </c>
      <c r="E4326" s="1533" t="s">
        <v>967</v>
      </c>
      <c r="F4326" s="1552"/>
      <c r="G4326" s="360"/>
      <c r="H4326" s="360"/>
      <c r="K4326" t="s">
        <v>1003</v>
      </c>
      <c r="V4326">
        <v>48</v>
      </c>
    </row>
    <row r="4327" spans="1:22" customFormat="1" ht="15" x14ac:dyDescent="0.25">
      <c r="A4327" t="s">
        <v>186</v>
      </c>
      <c r="B4327" t="s">
        <v>5182</v>
      </c>
      <c r="E4327" s="1526" t="s">
        <v>844</v>
      </c>
      <c r="F4327" s="1507"/>
      <c r="G4327" s="387" t="s">
        <v>845</v>
      </c>
      <c r="H4327" s="399">
        <v>4.1000000000000003E-3</v>
      </c>
      <c r="K4327" t="s">
        <v>5188</v>
      </c>
      <c r="L4327" t="s">
        <v>968</v>
      </c>
      <c r="P4327" t="s">
        <v>5197</v>
      </c>
      <c r="V4327">
        <v>55</v>
      </c>
    </row>
    <row r="4328" spans="1:22" customFormat="1" ht="15" x14ac:dyDescent="0.25">
      <c r="A4328" t="s">
        <v>186</v>
      </c>
      <c r="B4328" t="s">
        <v>5182</v>
      </c>
      <c r="E4328" s="1526" t="s">
        <v>846</v>
      </c>
      <c r="F4328" s="1507"/>
      <c r="G4328" s="387" t="s">
        <v>845</v>
      </c>
      <c r="H4328" s="399">
        <v>4.0000000000000002E-4</v>
      </c>
      <c r="K4328" t="s">
        <v>5188</v>
      </c>
      <c r="L4328" t="s">
        <v>968</v>
      </c>
      <c r="P4328" t="s">
        <v>5197</v>
      </c>
      <c r="V4328">
        <v>65</v>
      </c>
    </row>
    <row r="4329" spans="1:22" customFormat="1" ht="15" x14ac:dyDescent="0.25">
      <c r="A4329" t="s">
        <v>186</v>
      </c>
      <c r="B4329" t="s">
        <v>5182</v>
      </c>
      <c r="E4329" s="1526" t="s">
        <v>847</v>
      </c>
      <c r="F4329" s="1507"/>
      <c r="G4329" s="387" t="s">
        <v>845</v>
      </c>
      <c r="H4329" s="399">
        <v>1.5E-3</v>
      </c>
      <c r="K4329" t="s">
        <v>5188</v>
      </c>
      <c r="L4329" t="s">
        <v>968</v>
      </c>
      <c r="P4329" t="s">
        <v>5198</v>
      </c>
      <c r="V4329">
        <v>57</v>
      </c>
    </row>
    <row r="4330" spans="1:22" customFormat="1" ht="15" x14ac:dyDescent="0.25">
      <c r="A4330" t="s">
        <v>186</v>
      </c>
      <c r="B4330" t="s">
        <v>5182</v>
      </c>
      <c r="E4330" s="1526" t="s">
        <v>848</v>
      </c>
      <c r="F4330" s="1507"/>
      <c r="G4330" s="387" t="s">
        <v>777</v>
      </c>
      <c r="H4330" s="398">
        <v>0.25</v>
      </c>
      <c r="K4330" t="s">
        <v>5188</v>
      </c>
      <c r="L4330" t="s">
        <v>968</v>
      </c>
      <c r="P4330" t="s">
        <v>5199</v>
      </c>
      <c r="V4330">
        <v>63</v>
      </c>
    </row>
    <row r="4331" spans="1:22" customFormat="1" ht="15" x14ac:dyDescent="0.25">
      <c r="A4331" t="s">
        <v>186</v>
      </c>
      <c r="B4331" t="s">
        <v>5182</v>
      </c>
      <c r="E4331" s="1534" t="s">
        <v>6747</v>
      </c>
      <c r="F4331" s="1534"/>
      <c r="G4331" s="1534"/>
      <c r="H4331" s="1534"/>
      <c r="K4331" t="s">
        <v>6747</v>
      </c>
      <c r="V4331">
        <v>12</v>
      </c>
    </row>
    <row r="4332" spans="1:22" customFormat="1" x14ac:dyDescent="0.25">
      <c r="A4332" t="s">
        <v>186</v>
      </c>
      <c r="B4332" t="s">
        <v>5182</v>
      </c>
      <c r="E4332" s="1538" t="s">
        <v>4007</v>
      </c>
      <c r="F4332" s="1538"/>
      <c r="G4332" s="1538"/>
      <c r="H4332" s="1539"/>
      <c r="K4332" t="s">
        <v>4506</v>
      </c>
      <c r="V4332">
        <v>43</v>
      </c>
    </row>
    <row r="4333" spans="1:22" customFormat="1" ht="15" x14ac:dyDescent="0.25">
      <c r="A4333" t="s">
        <v>186</v>
      </c>
      <c r="B4333" t="s">
        <v>5182</v>
      </c>
      <c r="E4333" s="1531" t="s">
        <v>5200</v>
      </c>
      <c r="F4333" s="1531"/>
      <c r="G4333" s="1531"/>
      <c r="H4333" s="1532"/>
      <c r="K4333" t="s">
        <v>4506</v>
      </c>
      <c r="V4333">
        <v>243</v>
      </c>
    </row>
    <row r="4334" spans="1:22" customFormat="1" ht="15" x14ac:dyDescent="0.25">
      <c r="A4334" t="s">
        <v>186</v>
      </c>
      <c r="B4334" t="s">
        <v>5182</v>
      </c>
      <c r="E4334" s="1533" t="s">
        <v>950</v>
      </c>
      <c r="F4334" s="1516"/>
      <c r="G4334" s="1516"/>
      <c r="H4334" s="1516"/>
      <c r="K4334" t="s">
        <v>1010</v>
      </c>
      <c r="V4334">
        <v>11</v>
      </c>
    </row>
    <row r="4335" spans="1:22" customFormat="1" ht="15" x14ac:dyDescent="0.25">
      <c r="A4335" t="s">
        <v>186</v>
      </c>
      <c r="B4335" t="s">
        <v>5182</v>
      </c>
      <c r="E4335" s="1531" t="s">
        <v>951</v>
      </c>
      <c r="F4335" s="1531"/>
      <c r="G4335" s="1531"/>
      <c r="H4335" s="1532"/>
      <c r="K4335" t="s">
        <v>4506</v>
      </c>
      <c r="V4335">
        <v>280</v>
      </c>
    </row>
    <row r="4336" spans="1:22" customFormat="1" ht="15" x14ac:dyDescent="0.25">
      <c r="A4336" t="s">
        <v>186</v>
      </c>
      <c r="B4336" t="s">
        <v>5182</v>
      </c>
      <c r="E4336" s="1531" t="s">
        <v>952</v>
      </c>
      <c r="F4336" s="1531"/>
      <c r="G4336" s="1531"/>
      <c r="H4336" s="1532"/>
      <c r="K4336" t="s">
        <v>4506</v>
      </c>
      <c r="V4336">
        <v>411</v>
      </c>
    </row>
    <row r="4337" spans="1:22" customFormat="1" ht="15" x14ac:dyDescent="0.25">
      <c r="A4337" t="s">
        <v>186</v>
      </c>
      <c r="B4337" t="s">
        <v>5182</v>
      </c>
      <c r="E4337" s="1531" t="s">
        <v>1103</v>
      </c>
      <c r="F4337" s="1531"/>
      <c r="G4337" s="1531"/>
      <c r="H4337" s="1532"/>
      <c r="K4337" t="s">
        <v>4506</v>
      </c>
      <c r="V4337">
        <v>211</v>
      </c>
    </row>
    <row r="4338" spans="1:22" customFormat="1" ht="15" x14ac:dyDescent="0.25">
      <c r="A4338" t="s">
        <v>186</v>
      </c>
      <c r="B4338" t="s">
        <v>5182</v>
      </c>
      <c r="E4338" s="1531" t="s">
        <v>3762</v>
      </c>
      <c r="F4338" s="1531"/>
      <c r="G4338" s="1531"/>
      <c r="H4338" s="1532"/>
      <c r="K4338" t="s">
        <v>4506</v>
      </c>
      <c r="V4338">
        <v>247</v>
      </c>
    </row>
    <row r="4339" spans="1:22" customFormat="1" ht="15" x14ac:dyDescent="0.25">
      <c r="A4339" t="s">
        <v>186</v>
      </c>
      <c r="B4339" t="s">
        <v>5182</v>
      </c>
      <c r="E4339" s="1533" t="s">
        <v>5201</v>
      </c>
      <c r="F4339" s="1537"/>
      <c r="G4339" s="1516"/>
      <c r="H4339" s="1516"/>
      <c r="K4339" t="s">
        <v>1011</v>
      </c>
      <c r="V4339">
        <v>26</v>
      </c>
    </row>
    <row r="4340" spans="1:22" customFormat="1" ht="15" x14ac:dyDescent="0.25">
      <c r="A4340" t="s">
        <v>186</v>
      </c>
      <c r="B4340" t="s">
        <v>5182</v>
      </c>
      <c r="E4340" s="1524" t="s">
        <v>3773</v>
      </c>
      <c r="F4340" s="1524"/>
      <c r="G4340" s="387" t="s">
        <v>777</v>
      </c>
      <c r="H4340" s="576">
        <v>592.24</v>
      </c>
      <c r="K4340" t="s">
        <v>4506</v>
      </c>
      <c r="L4340" t="s">
        <v>690</v>
      </c>
      <c r="P4340" t="s">
        <v>4508</v>
      </c>
      <c r="V4340">
        <v>14</v>
      </c>
    </row>
    <row r="4341" spans="1:22" customFormat="1" ht="15" x14ac:dyDescent="0.25">
      <c r="A4341" t="s">
        <v>186</v>
      </c>
      <c r="B4341" t="s">
        <v>5182</v>
      </c>
      <c r="E4341" s="1524" t="s">
        <v>3688</v>
      </c>
      <c r="F4341" s="1524"/>
      <c r="G4341" s="387" t="s">
        <v>3775</v>
      </c>
      <c r="H4341" s="577">
        <v>3.0127000000000002</v>
      </c>
      <c r="K4341" t="s">
        <v>4506</v>
      </c>
      <c r="L4341" t="s">
        <v>690</v>
      </c>
      <c r="P4341" t="s">
        <v>4509</v>
      </c>
      <c r="V4341">
        <v>28</v>
      </c>
    </row>
    <row r="4342" spans="1:22" customFormat="1" ht="15" x14ac:dyDescent="0.25">
      <c r="A4342" t="s">
        <v>186</v>
      </c>
      <c r="B4342" t="s">
        <v>5182</v>
      </c>
      <c r="E4342" s="1524" t="s">
        <v>6520</v>
      </c>
      <c r="F4342" s="1510"/>
      <c r="G4342" s="387" t="s">
        <v>3775</v>
      </c>
      <c r="H4342" s="577">
        <v>1.2161</v>
      </c>
      <c r="K4342" t="s">
        <v>4506</v>
      </c>
      <c r="L4342" t="s">
        <v>692</v>
      </c>
      <c r="P4342" t="s">
        <v>4512</v>
      </c>
      <c r="T4342">
        <v>46022</v>
      </c>
      <c r="V4342">
        <v>99</v>
      </c>
    </row>
    <row r="4343" spans="1:22" customFormat="1" ht="15" x14ac:dyDescent="0.25">
      <c r="A4343" t="s">
        <v>186</v>
      </c>
      <c r="B4343" t="s">
        <v>5182</v>
      </c>
      <c r="E4343" s="1524" t="s">
        <v>243</v>
      </c>
      <c r="F4343" s="1524"/>
      <c r="G4343" s="387" t="s">
        <v>3775</v>
      </c>
      <c r="H4343" s="577">
        <v>4.2465999999999999</v>
      </c>
      <c r="K4343" t="s">
        <v>4506</v>
      </c>
      <c r="L4343" t="s">
        <v>694</v>
      </c>
      <c r="P4343" t="s">
        <v>4514</v>
      </c>
      <c r="V4343">
        <v>47</v>
      </c>
    </row>
    <row r="4344" spans="1:22" customFormat="1" ht="15" x14ac:dyDescent="0.25">
      <c r="A4344" t="s">
        <v>186</v>
      </c>
      <c r="B4344" t="s">
        <v>5182</v>
      </c>
      <c r="E4344" s="1524" t="s">
        <v>175</v>
      </c>
      <c r="F4344" s="1524"/>
      <c r="G4344" s="387" t="s">
        <v>3775</v>
      </c>
      <c r="H4344" s="577">
        <v>2.5657000000000001</v>
      </c>
      <c r="K4344" t="s">
        <v>4506</v>
      </c>
      <c r="L4344" t="s">
        <v>694</v>
      </c>
      <c r="P4344" t="s">
        <v>4515</v>
      </c>
      <c r="V4344">
        <v>74</v>
      </c>
    </row>
    <row r="4345" spans="1:22" customFormat="1" ht="15" x14ac:dyDescent="0.25">
      <c r="A4345" t="s">
        <v>186</v>
      </c>
      <c r="B4345" t="s">
        <v>5182</v>
      </c>
      <c r="E4345" s="1534" t="s">
        <v>6747</v>
      </c>
      <c r="F4345" s="1534"/>
      <c r="G4345" s="1534"/>
      <c r="H4345" s="1534"/>
      <c r="K4345" t="s">
        <v>6747</v>
      </c>
      <c r="V4345">
        <v>12</v>
      </c>
    </row>
    <row r="4346" spans="1:22" customFormat="1" x14ac:dyDescent="0.25">
      <c r="A4346" t="s">
        <v>186</v>
      </c>
      <c r="B4346" t="s">
        <v>5182</v>
      </c>
      <c r="E4346" s="1538" t="s">
        <v>207</v>
      </c>
      <c r="F4346" s="1538"/>
      <c r="G4346" s="1493"/>
      <c r="H4346" s="1493"/>
      <c r="K4346" t="s">
        <v>4413</v>
      </c>
      <c r="V4346">
        <v>31</v>
      </c>
    </row>
    <row r="4347" spans="1:22" customFormat="1" ht="15" x14ac:dyDescent="0.25">
      <c r="A4347" t="s">
        <v>186</v>
      </c>
      <c r="B4347" t="s">
        <v>5182</v>
      </c>
      <c r="E4347" s="1531" t="s">
        <v>4620</v>
      </c>
      <c r="F4347" s="1531"/>
      <c r="G4347" s="1531"/>
      <c r="H4347" s="1532"/>
      <c r="K4347" t="s">
        <v>4413</v>
      </c>
      <c r="V4347">
        <v>285</v>
      </c>
    </row>
    <row r="4348" spans="1:22" customFormat="1" ht="15" x14ac:dyDescent="0.25">
      <c r="A4348" t="s">
        <v>186</v>
      </c>
      <c r="B4348" t="s">
        <v>5182</v>
      </c>
      <c r="E4348" s="1533" t="s">
        <v>950</v>
      </c>
      <c r="F4348" s="1516"/>
      <c r="G4348" s="1516"/>
      <c r="H4348" s="1516"/>
      <c r="K4348" t="s">
        <v>1025</v>
      </c>
      <c r="V4348">
        <v>11</v>
      </c>
    </row>
    <row r="4349" spans="1:22" customFormat="1" ht="15" x14ac:dyDescent="0.25">
      <c r="A4349" t="s">
        <v>186</v>
      </c>
      <c r="B4349" t="s">
        <v>5182</v>
      </c>
      <c r="E4349" s="1531" t="s">
        <v>951</v>
      </c>
      <c r="F4349" s="1531"/>
      <c r="G4349" s="1531"/>
      <c r="H4349" s="1532"/>
      <c r="K4349" t="s">
        <v>4413</v>
      </c>
      <c r="V4349">
        <v>280</v>
      </c>
    </row>
    <row r="4350" spans="1:22" customFormat="1" ht="15" x14ac:dyDescent="0.25">
      <c r="A4350" t="s">
        <v>186</v>
      </c>
      <c r="B4350" t="s">
        <v>5182</v>
      </c>
      <c r="E4350" s="1531" t="s">
        <v>952</v>
      </c>
      <c r="F4350" s="1531"/>
      <c r="G4350" s="1531"/>
      <c r="H4350" s="1532"/>
      <c r="K4350" t="s">
        <v>4413</v>
      </c>
      <c r="V4350">
        <v>411</v>
      </c>
    </row>
    <row r="4351" spans="1:22" customFormat="1" ht="15" x14ac:dyDescent="0.25">
      <c r="A4351" t="s">
        <v>186</v>
      </c>
      <c r="B4351" t="s">
        <v>5182</v>
      </c>
      <c r="E4351" s="1531" t="s">
        <v>1103</v>
      </c>
      <c r="F4351" s="1531"/>
      <c r="G4351" s="1531"/>
      <c r="H4351" s="1532"/>
      <c r="K4351" t="s">
        <v>4413</v>
      </c>
      <c r="V4351">
        <v>211</v>
      </c>
    </row>
    <row r="4352" spans="1:22" customFormat="1" ht="15" x14ac:dyDescent="0.25">
      <c r="A4352" t="s">
        <v>186</v>
      </c>
      <c r="B4352" t="s">
        <v>5182</v>
      </c>
      <c r="E4352" s="1531" t="s">
        <v>3762</v>
      </c>
      <c r="F4352" s="1531"/>
      <c r="G4352" s="1531"/>
      <c r="H4352" s="1532"/>
      <c r="K4352" t="s">
        <v>4413</v>
      </c>
      <c r="V4352">
        <v>247</v>
      </c>
    </row>
    <row r="4353" spans="1:22" customFormat="1" ht="15" x14ac:dyDescent="0.25">
      <c r="A4353" t="s">
        <v>186</v>
      </c>
      <c r="B4353" t="s">
        <v>5182</v>
      </c>
      <c r="E4353" s="1533" t="s">
        <v>956</v>
      </c>
      <c r="F4353" s="1537"/>
      <c r="G4353" s="1516"/>
      <c r="H4353" s="1516"/>
      <c r="K4353" t="s">
        <v>1026</v>
      </c>
      <c r="V4353">
        <v>46</v>
      </c>
    </row>
    <row r="4354" spans="1:22" customFormat="1" ht="15" x14ac:dyDescent="0.25">
      <c r="A4354" t="s">
        <v>186</v>
      </c>
      <c r="B4354" t="s">
        <v>5182</v>
      </c>
      <c r="E4354" s="1524" t="s">
        <v>3773</v>
      </c>
      <c r="F4354" s="1524"/>
      <c r="G4354" s="387" t="s">
        <v>777</v>
      </c>
      <c r="H4354" s="576">
        <v>5</v>
      </c>
      <c r="K4354" t="s">
        <v>4413</v>
      </c>
      <c r="L4354" t="s">
        <v>690</v>
      </c>
      <c r="P4354" t="s">
        <v>4414</v>
      </c>
      <c r="V4354">
        <v>14</v>
      </c>
    </row>
    <row r="4355" spans="1:22" customFormat="1" ht="15" x14ac:dyDescent="0.25">
      <c r="A4355" t="s">
        <v>186</v>
      </c>
      <c r="B4355" t="s">
        <v>5182</v>
      </c>
      <c r="E4355" s="1534" t="s">
        <v>6747</v>
      </c>
      <c r="F4355" s="1534"/>
      <c r="G4355" s="1534"/>
      <c r="H4355" s="1534"/>
      <c r="K4355" t="s">
        <v>6747</v>
      </c>
      <c r="V4355">
        <v>12</v>
      </c>
    </row>
    <row r="4356" spans="1:22" customFormat="1" x14ac:dyDescent="0.25">
      <c r="A4356" t="s">
        <v>186</v>
      </c>
      <c r="B4356" t="s">
        <v>5182</v>
      </c>
      <c r="E4356" s="1538" t="s">
        <v>198</v>
      </c>
      <c r="F4356" s="1538"/>
      <c r="G4356" s="1538"/>
      <c r="H4356" s="1539"/>
      <c r="K4356" t="s">
        <v>1039</v>
      </c>
      <c r="V4356">
        <v>40</v>
      </c>
    </row>
    <row r="4357" spans="1:22" customFormat="1" ht="15" x14ac:dyDescent="0.25">
      <c r="A4357" t="s">
        <v>186</v>
      </c>
      <c r="B4357" t="s">
        <v>5182</v>
      </c>
      <c r="E4357" s="1531" t="s">
        <v>5107</v>
      </c>
      <c r="F4357" s="1531"/>
      <c r="G4357" s="1531"/>
      <c r="H4357" s="1532"/>
      <c r="K4357" t="s">
        <v>1039</v>
      </c>
      <c r="V4357">
        <v>188</v>
      </c>
    </row>
    <row r="4358" spans="1:22" customFormat="1" ht="15" x14ac:dyDescent="0.25">
      <c r="A4358" t="s">
        <v>186</v>
      </c>
      <c r="B4358" t="s">
        <v>5182</v>
      </c>
      <c r="E4358" s="1533" t="s">
        <v>950</v>
      </c>
      <c r="F4358" s="1516"/>
      <c r="G4358" s="1516"/>
      <c r="H4358" s="1516"/>
      <c r="K4358" t="s">
        <v>1041</v>
      </c>
      <c r="V4358">
        <v>11</v>
      </c>
    </row>
    <row r="4359" spans="1:22" customFormat="1" ht="15" x14ac:dyDescent="0.25">
      <c r="A4359" t="s">
        <v>186</v>
      </c>
      <c r="B4359" t="s">
        <v>5182</v>
      </c>
      <c r="E4359" s="1531" t="s">
        <v>951</v>
      </c>
      <c r="F4359" s="1531"/>
      <c r="G4359" s="1531"/>
      <c r="H4359" s="1532"/>
      <c r="K4359" t="s">
        <v>1039</v>
      </c>
      <c r="V4359">
        <v>280</v>
      </c>
    </row>
    <row r="4360" spans="1:22" customFormat="1" ht="15" x14ac:dyDescent="0.25">
      <c r="A4360" t="s">
        <v>186</v>
      </c>
      <c r="B4360" t="s">
        <v>5182</v>
      </c>
      <c r="E4360" s="1531" t="s">
        <v>952</v>
      </c>
      <c r="F4360" s="1531"/>
      <c r="G4360" s="1531"/>
      <c r="H4360" s="1532"/>
      <c r="K4360" t="s">
        <v>1039</v>
      </c>
      <c r="V4360">
        <v>411</v>
      </c>
    </row>
    <row r="4361" spans="1:22" customFormat="1" ht="15" x14ac:dyDescent="0.25">
      <c r="A4361" t="s">
        <v>186</v>
      </c>
      <c r="B4361" t="s">
        <v>5182</v>
      </c>
      <c r="E4361" s="1531" t="s">
        <v>953</v>
      </c>
      <c r="F4361" s="1531"/>
      <c r="G4361" s="1531"/>
      <c r="H4361" s="1532"/>
      <c r="K4361" t="s">
        <v>1039</v>
      </c>
      <c r="V4361">
        <v>386</v>
      </c>
    </row>
    <row r="4362" spans="1:22" customFormat="1" ht="15" x14ac:dyDescent="0.25">
      <c r="A4362" t="s">
        <v>186</v>
      </c>
      <c r="B4362" t="s">
        <v>5182</v>
      </c>
      <c r="E4362" s="1531" t="s">
        <v>3762</v>
      </c>
      <c r="F4362" s="1531"/>
      <c r="G4362" s="1531"/>
      <c r="H4362" s="1532"/>
      <c r="K4362" t="s">
        <v>1039</v>
      </c>
      <c r="V4362">
        <v>247</v>
      </c>
    </row>
    <row r="4363" spans="1:22" customFormat="1" ht="15" x14ac:dyDescent="0.25">
      <c r="A4363" t="s">
        <v>186</v>
      </c>
      <c r="B4363" t="s">
        <v>5182</v>
      </c>
      <c r="E4363" s="1533" t="s">
        <v>956</v>
      </c>
      <c r="F4363" s="1537"/>
      <c r="G4363" s="1516"/>
      <c r="H4363" s="1516"/>
      <c r="K4363" t="s">
        <v>1042</v>
      </c>
      <c r="V4363">
        <v>46</v>
      </c>
    </row>
    <row r="4364" spans="1:22" customFormat="1" ht="15" x14ac:dyDescent="0.25">
      <c r="A4364" t="s">
        <v>186</v>
      </c>
      <c r="B4364" t="s">
        <v>5182</v>
      </c>
      <c r="E4364" s="1524" t="s">
        <v>3874</v>
      </c>
      <c r="F4364" s="1524"/>
      <c r="G4364" s="387" t="s">
        <v>777</v>
      </c>
      <c r="H4364" s="576">
        <v>5.68</v>
      </c>
      <c r="K4364" t="s">
        <v>1039</v>
      </c>
      <c r="L4364" t="s">
        <v>690</v>
      </c>
      <c r="P4364" t="s">
        <v>1043</v>
      </c>
      <c r="V4364">
        <v>31</v>
      </c>
    </row>
    <row r="4365" spans="1:22" customFormat="1" ht="15" x14ac:dyDescent="0.25">
      <c r="A4365" t="s">
        <v>186</v>
      </c>
      <c r="B4365" t="s">
        <v>5182</v>
      </c>
      <c r="E4365" s="1524" t="s">
        <v>3688</v>
      </c>
      <c r="F4365" s="1524"/>
      <c r="G4365" s="387" t="s">
        <v>3775</v>
      </c>
      <c r="H4365" s="577">
        <v>27.271799999999999</v>
      </c>
      <c r="K4365" t="s">
        <v>1039</v>
      </c>
      <c r="L4365" t="s">
        <v>690</v>
      </c>
      <c r="P4365" t="s">
        <v>1044</v>
      </c>
      <c r="V4365">
        <v>28</v>
      </c>
    </row>
    <row r="4366" spans="1:22" customFormat="1" ht="15" x14ac:dyDescent="0.25">
      <c r="A4366" t="s">
        <v>186</v>
      </c>
      <c r="B4366" t="s">
        <v>5182</v>
      </c>
      <c r="E4366" s="1524" t="s">
        <v>6519</v>
      </c>
      <c r="F4366" s="1510"/>
      <c r="G4366" s="387" t="s">
        <v>845</v>
      </c>
      <c r="H4366" s="577">
        <v>2.5999999999999999E-3</v>
      </c>
      <c r="K4366" t="s">
        <v>1039</v>
      </c>
      <c r="L4366" t="s">
        <v>692</v>
      </c>
      <c r="P4366" t="s">
        <v>4522</v>
      </c>
      <c r="T4366">
        <v>46022</v>
      </c>
      <c r="V4366">
        <v>142</v>
      </c>
    </row>
    <row r="4367" spans="1:22" customFormat="1" ht="15" x14ac:dyDescent="0.25">
      <c r="A4367" t="s">
        <v>186</v>
      </c>
      <c r="B4367" t="s">
        <v>5182</v>
      </c>
      <c r="E4367" s="1524" t="s">
        <v>6520</v>
      </c>
      <c r="F4367" s="1510"/>
      <c r="G4367" s="387" t="s">
        <v>3775</v>
      </c>
      <c r="H4367" s="577">
        <v>0.74919999999999998</v>
      </c>
      <c r="K4367" t="s">
        <v>1039</v>
      </c>
      <c r="L4367" t="s">
        <v>692</v>
      </c>
      <c r="P4367" t="s">
        <v>1046</v>
      </c>
      <c r="T4367">
        <v>46022</v>
      </c>
      <c r="V4367">
        <v>99</v>
      </c>
    </row>
    <row r="4368" spans="1:22" customFormat="1" ht="15" x14ac:dyDescent="0.25">
      <c r="A4368" t="s">
        <v>186</v>
      </c>
      <c r="B4368" t="s">
        <v>5182</v>
      </c>
      <c r="E4368" s="1524" t="s">
        <v>6521</v>
      </c>
      <c r="F4368" s="1510"/>
      <c r="G4368" s="387" t="s">
        <v>3775</v>
      </c>
      <c r="H4368" s="577">
        <v>6.8000000000000005E-2</v>
      </c>
      <c r="K4368" t="s">
        <v>1039</v>
      </c>
      <c r="L4368" t="s">
        <v>692</v>
      </c>
      <c r="P4368" t="s">
        <v>4523</v>
      </c>
      <c r="T4368">
        <v>46022</v>
      </c>
      <c r="V4368">
        <v>149</v>
      </c>
    </row>
    <row r="4369" spans="1:22" customFormat="1" ht="15" x14ac:dyDescent="0.25">
      <c r="A4369" t="s">
        <v>186</v>
      </c>
      <c r="B4369" t="s">
        <v>5182</v>
      </c>
      <c r="E4369" s="1524" t="s">
        <v>243</v>
      </c>
      <c r="F4369" s="1524"/>
      <c r="G4369" s="387" t="s">
        <v>3775</v>
      </c>
      <c r="H4369" s="577">
        <v>3.9653</v>
      </c>
      <c r="K4369" t="s">
        <v>1039</v>
      </c>
      <c r="L4369" t="s">
        <v>694</v>
      </c>
      <c r="P4369" t="s">
        <v>1047</v>
      </c>
      <c r="V4369">
        <v>47</v>
      </c>
    </row>
    <row r="4370" spans="1:22" customFormat="1" ht="15" x14ac:dyDescent="0.25">
      <c r="A4370" t="s">
        <v>186</v>
      </c>
      <c r="B4370" t="s">
        <v>5182</v>
      </c>
      <c r="E4370" s="1524" t="s">
        <v>175</v>
      </c>
      <c r="F4370" s="1524"/>
      <c r="G4370" s="387" t="s">
        <v>3775</v>
      </c>
      <c r="H4370" s="577">
        <v>2.3963000000000001</v>
      </c>
      <c r="K4370" t="s">
        <v>1039</v>
      </c>
      <c r="L4370" t="s">
        <v>694</v>
      </c>
      <c r="P4370" t="s">
        <v>1048</v>
      </c>
      <c r="V4370">
        <v>74</v>
      </c>
    </row>
    <row r="4371" spans="1:22" customFormat="1" ht="15" x14ac:dyDescent="0.25">
      <c r="A4371" t="s">
        <v>186</v>
      </c>
      <c r="B4371" t="s">
        <v>5182</v>
      </c>
      <c r="E4371" s="1533" t="s">
        <v>967</v>
      </c>
      <c r="F4371" s="1552"/>
      <c r="G4371" s="360"/>
      <c r="H4371" s="360"/>
      <c r="K4371" t="s">
        <v>1049</v>
      </c>
      <c r="V4371">
        <v>48</v>
      </c>
    </row>
    <row r="4372" spans="1:22" customFormat="1" ht="15" x14ac:dyDescent="0.25">
      <c r="A4372" t="s">
        <v>186</v>
      </c>
      <c r="B4372" t="s">
        <v>5182</v>
      </c>
      <c r="E4372" s="1526" t="s">
        <v>844</v>
      </c>
      <c r="F4372" s="1507"/>
      <c r="G4372" s="387" t="s">
        <v>845</v>
      </c>
      <c r="H4372" s="399">
        <v>4.1000000000000003E-3</v>
      </c>
      <c r="K4372" t="s">
        <v>1039</v>
      </c>
      <c r="L4372" t="s">
        <v>968</v>
      </c>
      <c r="P4372" t="s">
        <v>1050</v>
      </c>
      <c r="V4372">
        <v>55</v>
      </c>
    </row>
    <row r="4373" spans="1:22" customFormat="1" ht="15" x14ac:dyDescent="0.25">
      <c r="A4373" t="s">
        <v>186</v>
      </c>
      <c r="B4373" t="s">
        <v>5182</v>
      </c>
      <c r="E4373" s="1526" t="s">
        <v>846</v>
      </c>
      <c r="F4373" s="1507"/>
      <c r="G4373" s="387" t="s">
        <v>845</v>
      </c>
      <c r="H4373" s="399">
        <v>4.0000000000000002E-4</v>
      </c>
      <c r="K4373" t="s">
        <v>1039</v>
      </c>
      <c r="L4373" t="s">
        <v>968</v>
      </c>
      <c r="P4373" t="s">
        <v>1050</v>
      </c>
      <c r="V4373">
        <v>65</v>
      </c>
    </row>
    <row r="4374" spans="1:22" customFormat="1" ht="15" x14ac:dyDescent="0.25">
      <c r="A4374" t="s">
        <v>186</v>
      </c>
      <c r="B4374" t="s">
        <v>5182</v>
      </c>
      <c r="E4374" s="1526" t="s">
        <v>847</v>
      </c>
      <c r="F4374" s="1507"/>
      <c r="G4374" s="387" t="s">
        <v>845</v>
      </c>
      <c r="H4374" s="399">
        <v>1.5E-3</v>
      </c>
      <c r="K4374" t="s">
        <v>1039</v>
      </c>
      <c r="L4374" t="s">
        <v>968</v>
      </c>
      <c r="P4374" t="s">
        <v>1051</v>
      </c>
      <c r="V4374">
        <v>57</v>
      </c>
    </row>
    <row r="4375" spans="1:22" customFormat="1" ht="15" x14ac:dyDescent="0.25">
      <c r="A4375" t="s">
        <v>186</v>
      </c>
      <c r="B4375" t="s">
        <v>5182</v>
      </c>
      <c r="E4375" s="1526" t="s">
        <v>848</v>
      </c>
      <c r="F4375" s="1507"/>
      <c r="G4375" s="387" t="s">
        <v>777</v>
      </c>
      <c r="H4375" s="398">
        <v>0.25</v>
      </c>
      <c r="K4375" t="s">
        <v>1039</v>
      </c>
      <c r="L4375" t="s">
        <v>968</v>
      </c>
      <c r="P4375" t="s">
        <v>1052</v>
      </c>
      <c r="V4375">
        <v>63</v>
      </c>
    </row>
    <row r="4376" spans="1:22" customFormat="1" ht="15" x14ac:dyDescent="0.25">
      <c r="A4376" t="s">
        <v>186</v>
      </c>
      <c r="B4376" t="s">
        <v>5182</v>
      </c>
      <c r="E4376" s="1534" t="s">
        <v>6747</v>
      </c>
      <c r="F4376" s="1534"/>
      <c r="G4376" s="1534"/>
      <c r="H4376" s="1534"/>
      <c r="K4376" t="s">
        <v>6747</v>
      </c>
      <c r="V4376">
        <v>12</v>
      </c>
    </row>
    <row r="4377" spans="1:22" customFormat="1" x14ac:dyDescent="0.25">
      <c r="A4377" t="s">
        <v>186</v>
      </c>
      <c r="B4377" t="s">
        <v>5182</v>
      </c>
      <c r="E4377" s="1538" t="s">
        <v>202</v>
      </c>
      <c r="F4377" s="1538"/>
      <c r="G4377" s="1538"/>
      <c r="H4377" s="1539"/>
      <c r="K4377" t="s">
        <v>1053</v>
      </c>
      <c r="V4377">
        <v>38</v>
      </c>
    </row>
    <row r="4378" spans="1:22" customFormat="1" ht="15" x14ac:dyDescent="0.25">
      <c r="A4378" t="s">
        <v>186</v>
      </c>
      <c r="B4378" t="s">
        <v>5182</v>
      </c>
      <c r="E4378" s="1531" t="s">
        <v>5202</v>
      </c>
      <c r="F4378" s="1531"/>
      <c r="G4378" s="1531"/>
      <c r="H4378" s="1532"/>
      <c r="K4378" t="s">
        <v>1053</v>
      </c>
      <c r="V4378">
        <v>475</v>
      </c>
    </row>
    <row r="4379" spans="1:22" customFormat="1" ht="15" x14ac:dyDescent="0.25">
      <c r="A4379" t="s">
        <v>186</v>
      </c>
      <c r="B4379" t="s">
        <v>5182</v>
      </c>
      <c r="E4379" s="1533" t="s">
        <v>950</v>
      </c>
      <c r="F4379" s="1516"/>
      <c r="G4379" s="1516"/>
      <c r="H4379" s="1516"/>
      <c r="K4379" t="s">
        <v>1055</v>
      </c>
      <c r="V4379">
        <v>11</v>
      </c>
    </row>
    <row r="4380" spans="1:22" customFormat="1" ht="15" x14ac:dyDescent="0.25">
      <c r="A4380" t="s">
        <v>186</v>
      </c>
      <c r="B4380" t="s">
        <v>5182</v>
      </c>
      <c r="E4380" s="1531" t="s">
        <v>951</v>
      </c>
      <c r="F4380" s="1531"/>
      <c r="G4380" s="1531"/>
      <c r="H4380" s="1532"/>
      <c r="K4380" t="s">
        <v>1053</v>
      </c>
      <c r="V4380">
        <v>280</v>
      </c>
    </row>
    <row r="4381" spans="1:22" customFormat="1" ht="15" x14ac:dyDescent="0.25">
      <c r="A4381" t="s">
        <v>186</v>
      </c>
      <c r="B4381" t="s">
        <v>5182</v>
      </c>
      <c r="E4381" s="1531" t="s">
        <v>952</v>
      </c>
      <c r="F4381" s="1531"/>
      <c r="G4381" s="1531"/>
      <c r="H4381" s="1532"/>
      <c r="K4381" t="s">
        <v>1053</v>
      </c>
      <c r="V4381">
        <v>411</v>
      </c>
    </row>
    <row r="4382" spans="1:22" customFormat="1" ht="15" x14ac:dyDescent="0.25">
      <c r="A4382" t="s">
        <v>186</v>
      </c>
      <c r="B4382" t="s">
        <v>5182</v>
      </c>
      <c r="E4382" s="1531" t="s">
        <v>953</v>
      </c>
      <c r="F4382" s="1531"/>
      <c r="G4382" s="1531"/>
      <c r="H4382" s="1532"/>
      <c r="K4382" t="s">
        <v>1053</v>
      </c>
      <c r="V4382">
        <v>386</v>
      </c>
    </row>
    <row r="4383" spans="1:22" customFormat="1" ht="15" x14ac:dyDescent="0.25">
      <c r="A4383" t="s">
        <v>186</v>
      </c>
      <c r="B4383" t="s">
        <v>5182</v>
      </c>
      <c r="E4383" s="1531" t="s">
        <v>3762</v>
      </c>
      <c r="F4383" s="1531"/>
      <c r="G4383" s="1531"/>
      <c r="H4383" s="1532"/>
      <c r="K4383" t="s">
        <v>1053</v>
      </c>
      <c r="V4383">
        <v>247</v>
      </c>
    </row>
    <row r="4384" spans="1:22" customFormat="1" ht="15" x14ac:dyDescent="0.25">
      <c r="A4384" t="s">
        <v>186</v>
      </c>
      <c r="B4384" t="s">
        <v>5182</v>
      </c>
      <c r="E4384" s="1533" t="s">
        <v>956</v>
      </c>
      <c r="F4384" s="1537"/>
      <c r="G4384" s="1516"/>
      <c r="H4384" s="1516"/>
      <c r="K4384" t="s">
        <v>1056</v>
      </c>
      <c r="V4384">
        <v>46</v>
      </c>
    </row>
    <row r="4385" spans="1:22" customFormat="1" ht="15" x14ac:dyDescent="0.25">
      <c r="A4385" t="s">
        <v>186</v>
      </c>
      <c r="B4385" t="s">
        <v>5182</v>
      </c>
      <c r="E4385" s="1524" t="s">
        <v>3874</v>
      </c>
      <c r="F4385" s="1524"/>
      <c r="G4385" s="387" t="s">
        <v>777</v>
      </c>
      <c r="H4385" s="576">
        <v>1.92</v>
      </c>
      <c r="K4385" t="s">
        <v>1053</v>
      </c>
      <c r="L4385" t="s">
        <v>690</v>
      </c>
      <c r="P4385" t="s">
        <v>1057</v>
      </c>
      <c r="V4385">
        <v>31</v>
      </c>
    </row>
    <row r="4386" spans="1:22" customFormat="1" ht="15" x14ac:dyDescent="0.25">
      <c r="A4386" t="s">
        <v>186</v>
      </c>
      <c r="B4386" t="s">
        <v>5182</v>
      </c>
      <c r="E4386" s="1524" t="s">
        <v>3688</v>
      </c>
      <c r="F4386" s="1524"/>
      <c r="G4386" s="387" t="s">
        <v>3775</v>
      </c>
      <c r="H4386" s="577">
        <v>8.0627999999999993</v>
      </c>
      <c r="K4386" t="s">
        <v>1053</v>
      </c>
      <c r="L4386" t="s">
        <v>690</v>
      </c>
      <c r="P4386" t="s">
        <v>1059</v>
      </c>
      <c r="V4386">
        <v>28</v>
      </c>
    </row>
    <row r="4387" spans="1:22" customFormat="1" ht="15" x14ac:dyDescent="0.25">
      <c r="A4387" t="s">
        <v>186</v>
      </c>
      <c r="B4387" t="s">
        <v>5182</v>
      </c>
      <c r="E4387" s="1524" t="s">
        <v>6519</v>
      </c>
      <c r="F4387" s="1510"/>
      <c r="G4387" s="387" t="s">
        <v>845</v>
      </c>
      <c r="H4387" s="577">
        <v>2.5000000000000001E-3</v>
      </c>
      <c r="K4387" t="s">
        <v>1053</v>
      </c>
      <c r="L4387" t="s">
        <v>692</v>
      </c>
      <c r="P4387" t="s">
        <v>1061</v>
      </c>
      <c r="T4387">
        <v>46022</v>
      </c>
      <c r="V4387">
        <v>142</v>
      </c>
    </row>
    <row r="4388" spans="1:22" customFormat="1" ht="15" x14ac:dyDescent="0.25">
      <c r="A4388" t="s">
        <v>186</v>
      </c>
      <c r="B4388" t="s">
        <v>5182</v>
      </c>
      <c r="E4388" s="1524" t="s">
        <v>6520</v>
      </c>
      <c r="F4388" s="1510"/>
      <c r="G4388" s="387" t="s">
        <v>3775</v>
      </c>
      <c r="H4388" s="577">
        <v>0.82069999999999999</v>
      </c>
      <c r="K4388" t="s">
        <v>1053</v>
      </c>
      <c r="L4388" t="s">
        <v>692</v>
      </c>
      <c r="P4388" t="s">
        <v>1062</v>
      </c>
      <c r="T4388">
        <v>46022</v>
      </c>
      <c r="V4388">
        <v>99</v>
      </c>
    </row>
    <row r="4389" spans="1:22" customFormat="1" ht="15" x14ac:dyDescent="0.25">
      <c r="A4389" t="s">
        <v>186</v>
      </c>
      <c r="B4389" t="s">
        <v>5182</v>
      </c>
      <c r="E4389" s="1524" t="s">
        <v>6521</v>
      </c>
      <c r="F4389" s="1510"/>
      <c r="G4389" s="387" t="s">
        <v>3775</v>
      </c>
      <c r="H4389" s="577">
        <v>7.3599999999999999E-2</v>
      </c>
      <c r="K4389" t="s">
        <v>1053</v>
      </c>
      <c r="L4389" t="s">
        <v>692</v>
      </c>
      <c r="P4389" t="s">
        <v>3997</v>
      </c>
      <c r="T4389">
        <v>46022</v>
      </c>
      <c r="V4389">
        <v>149</v>
      </c>
    </row>
    <row r="4390" spans="1:22" customFormat="1" ht="15" x14ac:dyDescent="0.25">
      <c r="A4390" t="s">
        <v>186</v>
      </c>
      <c r="B4390" t="s">
        <v>5182</v>
      </c>
      <c r="E4390" s="1524" t="s">
        <v>243</v>
      </c>
      <c r="F4390" s="1524"/>
      <c r="G4390" s="387" t="s">
        <v>3775</v>
      </c>
      <c r="H4390" s="577">
        <v>4.0853999999999999</v>
      </c>
      <c r="K4390" t="s">
        <v>1053</v>
      </c>
      <c r="L4390" t="s">
        <v>694</v>
      </c>
      <c r="P4390" t="s">
        <v>1063</v>
      </c>
      <c r="V4390">
        <v>47</v>
      </c>
    </row>
    <row r="4391" spans="1:22" customFormat="1" ht="15" x14ac:dyDescent="0.25">
      <c r="A4391" t="s">
        <v>186</v>
      </c>
      <c r="B4391" t="s">
        <v>5182</v>
      </c>
      <c r="E4391" s="1524" t="s">
        <v>175</v>
      </c>
      <c r="F4391" s="1524"/>
      <c r="G4391" s="387" t="s">
        <v>3775</v>
      </c>
      <c r="H4391" s="577">
        <v>2.3685</v>
      </c>
      <c r="K4391" t="s">
        <v>1053</v>
      </c>
      <c r="L4391" t="s">
        <v>694</v>
      </c>
      <c r="P4391" t="s">
        <v>1064</v>
      </c>
      <c r="V4391">
        <v>74</v>
      </c>
    </row>
    <row r="4392" spans="1:22" customFormat="1" ht="15" x14ac:dyDescent="0.25">
      <c r="A4392" t="s">
        <v>186</v>
      </c>
      <c r="B4392" t="s">
        <v>5182</v>
      </c>
      <c r="E4392" s="1533" t="s">
        <v>967</v>
      </c>
      <c r="F4392" s="1552"/>
      <c r="G4392" s="360"/>
      <c r="H4392" s="360"/>
      <c r="K4392" t="s">
        <v>1065</v>
      </c>
      <c r="V4392">
        <v>48</v>
      </c>
    </row>
    <row r="4393" spans="1:22" customFormat="1" ht="15" x14ac:dyDescent="0.25">
      <c r="A4393" t="s">
        <v>186</v>
      </c>
      <c r="B4393" t="s">
        <v>5182</v>
      </c>
      <c r="E4393" s="1526" t="s">
        <v>844</v>
      </c>
      <c r="F4393" s="1507"/>
      <c r="G4393" s="387" t="s">
        <v>845</v>
      </c>
      <c r="H4393" s="399">
        <v>4.1000000000000003E-3</v>
      </c>
      <c r="K4393" t="s">
        <v>1053</v>
      </c>
      <c r="L4393" t="s">
        <v>968</v>
      </c>
      <c r="P4393" t="s">
        <v>1066</v>
      </c>
      <c r="V4393">
        <v>55</v>
      </c>
    </row>
    <row r="4394" spans="1:22" customFormat="1" ht="15" x14ac:dyDescent="0.25">
      <c r="A4394" t="s">
        <v>186</v>
      </c>
      <c r="B4394" t="s">
        <v>5182</v>
      </c>
      <c r="E4394" s="1526" t="s">
        <v>846</v>
      </c>
      <c r="F4394" s="1507"/>
      <c r="G4394" s="387" t="s">
        <v>845</v>
      </c>
      <c r="H4394" s="399">
        <v>4.0000000000000002E-4</v>
      </c>
      <c r="K4394" t="s">
        <v>1053</v>
      </c>
      <c r="L4394" t="s">
        <v>968</v>
      </c>
      <c r="P4394" t="s">
        <v>1066</v>
      </c>
      <c r="V4394">
        <v>65</v>
      </c>
    </row>
    <row r="4395" spans="1:22" customFormat="1" ht="15" x14ac:dyDescent="0.25">
      <c r="A4395" t="s">
        <v>186</v>
      </c>
      <c r="B4395" t="s">
        <v>5182</v>
      </c>
      <c r="E4395" s="1526" t="s">
        <v>847</v>
      </c>
      <c r="F4395" s="1507"/>
      <c r="G4395" s="387" t="s">
        <v>845</v>
      </c>
      <c r="H4395" s="399">
        <v>1.5E-3</v>
      </c>
      <c r="K4395" t="s">
        <v>1053</v>
      </c>
      <c r="L4395" t="s">
        <v>968</v>
      </c>
      <c r="P4395" t="s">
        <v>1067</v>
      </c>
      <c r="V4395">
        <v>57</v>
      </c>
    </row>
    <row r="4396" spans="1:22" customFormat="1" ht="15" x14ac:dyDescent="0.25">
      <c r="A4396" t="s">
        <v>186</v>
      </c>
      <c r="B4396" t="s">
        <v>5182</v>
      </c>
      <c r="E4396" s="1526" t="s">
        <v>848</v>
      </c>
      <c r="F4396" s="1507"/>
      <c r="G4396" s="387" t="s">
        <v>777</v>
      </c>
      <c r="H4396" s="398">
        <v>0.25</v>
      </c>
      <c r="K4396" t="s">
        <v>1053</v>
      </c>
      <c r="L4396" t="s">
        <v>968</v>
      </c>
      <c r="P4396" t="s">
        <v>1068</v>
      </c>
      <c r="V4396">
        <v>63</v>
      </c>
    </row>
    <row r="4397" spans="1:22" customFormat="1" ht="15" x14ac:dyDescent="0.25">
      <c r="A4397" t="s">
        <v>186</v>
      </c>
      <c r="B4397" t="s">
        <v>5182</v>
      </c>
      <c r="E4397" s="1534" t="s">
        <v>6747</v>
      </c>
      <c r="F4397" s="1534"/>
      <c r="G4397" s="1534"/>
      <c r="H4397" s="1534"/>
      <c r="K4397" t="s">
        <v>6747</v>
      </c>
      <c r="V4397">
        <v>12</v>
      </c>
    </row>
    <row r="4398" spans="1:22" customFormat="1" x14ac:dyDescent="0.25">
      <c r="A4398" t="s">
        <v>186</v>
      </c>
      <c r="B4398" t="s">
        <v>5182</v>
      </c>
      <c r="E4398" s="1538" t="s">
        <v>194</v>
      </c>
      <c r="F4398" s="1538"/>
      <c r="G4398" s="1538"/>
      <c r="H4398" s="1539"/>
      <c r="K4398" t="s">
        <v>5203</v>
      </c>
      <c r="V4398">
        <v>47</v>
      </c>
    </row>
    <row r="4399" spans="1:22" customFormat="1" ht="15" x14ac:dyDescent="0.25">
      <c r="A4399" t="s">
        <v>186</v>
      </c>
      <c r="B4399" t="s">
        <v>5182</v>
      </c>
      <c r="E4399" s="1531" t="s">
        <v>5204</v>
      </c>
      <c r="F4399" s="1531"/>
      <c r="G4399" s="1531"/>
      <c r="H4399" s="1532"/>
      <c r="K4399" t="s">
        <v>5203</v>
      </c>
      <c r="V4399">
        <v>554</v>
      </c>
    </row>
    <row r="4400" spans="1:22" customFormat="1" ht="15" x14ac:dyDescent="0.25">
      <c r="A4400" t="s">
        <v>186</v>
      </c>
      <c r="B4400" t="s">
        <v>5182</v>
      </c>
      <c r="E4400" s="1533" t="s">
        <v>950</v>
      </c>
      <c r="F4400" s="1516"/>
      <c r="G4400" s="1516"/>
      <c r="H4400" s="1516"/>
      <c r="K4400" t="s">
        <v>1071</v>
      </c>
      <c r="V4400">
        <v>11</v>
      </c>
    </row>
    <row r="4401" spans="1:22" customFormat="1" ht="15" x14ac:dyDescent="0.25">
      <c r="A4401" t="s">
        <v>186</v>
      </c>
      <c r="B4401" t="s">
        <v>5182</v>
      </c>
      <c r="E4401" s="1531" t="s">
        <v>951</v>
      </c>
      <c r="F4401" s="1531"/>
      <c r="G4401" s="1531"/>
      <c r="H4401" s="1532"/>
      <c r="K4401" t="s">
        <v>5203</v>
      </c>
      <c r="V4401">
        <v>280</v>
      </c>
    </row>
    <row r="4402" spans="1:22" customFormat="1" ht="15" x14ac:dyDescent="0.25">
      <c r="A4402" t="s">
        <v>186</v>
      </c>
      <c r="B4402" t="s">
        <v>5182</v>
      </c>
      <c r="E4402" s="1531" t="s">
        <v>952</v>
      </c>
      <c r="F4402" s="1531"/>
      <c r="G4402" s="1531"/>
      <c r="H4402" s="1532"/>
      <c r="K4402" t="s">
        <v>5203</v>
      </c>
      <c r="V4402">
        <v>411</v>
      </c>
    </row>
    <row r="4403" spans="1:22" customFormat="1" ht="15" x14ac:dyDescent="0.25">
      <c r="A4403" t="s">
        <v>186</v>
      </c>
      <c r="B4403" t="s">
        <v>5182</v>
      </c>
      <c r="E4403" s="1531" t="s">
        <v>953</v>
      </c>
      <c r="F4403" s="1531"/>
      <c r="G4403" s="1531"/>
      <c r="H4403" s="1532"/>
      <c r="K4403" t="s">
        <v>5203</v>
      </c>
      <c r="V4403">
        <v>386</v>
      </c>
    </row>
    <row r="4404" spans="1:22" customFormat="1" ht="15" x14ac:dyDescent="0.25">
      <c r="A4404" t="s">
        <v>186</v>
      </c>
      <c r="B4404" t="s">
        <v>5182</v>
      </c>
      <c r="E4404" s="1531" t="s">
        <v>3762</v>
      </c>
      <c r="F4404" s="1531"/>
      <c r="G4404" s="1531"/>
      <c r="H4404" s="1532"/>
      <c r="K4404" t="s">
        <v>5203</v>
      </c>
      <c r="V4404">
        <v>247</v>
      </c>
    </row>
    <row r="4405" spans="1:22" customFormat="1" ht="15" x14ac:dyDescent="0.25">
      <c r="A4405" t="s">
        <v>186</v>
      </c>
      <c r="B4405" t="s">
        <v>5182</v>
      </c>
      <c r="E4405" s="1533" t="s">
        <v>956</v>
      </c>
      <c r="F4405" s="1537"/>
      <c r="G4405" s="1516"/>
      <c r="H4405" s="1516"/>
      <c r="K4405" t="s">
        <v>1075</v>
      </c>
      <c r="V4405">
        <v>46</v>
      </c>
    </row>
    <row r="4406" spans="1:22" customFormat="1" ht="15" x14ac:dyDescent="0.25">
      <c r="A4406" t="s">
        <v>186</v>
      </c>
      <c r="B4406" t="s">
        <v>5182</v>
      </c>
      <c r="E4406" s="1524" t="s">
        <v>3874</v>
      </c>
      <c r="F4406" s="1524"/>
      <c r="G4406" s="387" t="s">
        <v>777</v>
      </c>
      <c r="H4406" s="576">
        <v>10.35</v>
      </c>
      <c r="K4406" t="s">
        <v>5203</v>
      </c>
      <c r="L4406" t="s">
        <v>690</v>
      </c>
      <c r="P4406" t="s">
        <v>5205</v>
      </c>
      <c r="V4406">
        <v>31</v>
      </c>
    </row>
    <row r="4407" spans="1:22" customFormat="1" ht="15" x14ac:dyDescent="0.25">
      <c r="A4407" t="s">
        <v>186</v>
      </c>
      <c r="B4407" t="s">
        <v>5182</v>
      </c>
      <c r="E4407" s="1524" t="s">
        <v>3688</v>
      </c>
      <c r="F4407" s="1524"/>
      <c r="G4407" s="387" t="s">
        <v>845</v>
      </c>
      <c r="H4407" s="577">
        <v>7.1999999999999998E-3</v>
      </c>
      <c r="K4407" t="s">
        <v>5203</v>
      </c>
      <c r="L4407" t="s">
        <v>690</v>
      </c>
      <c r="P4407" t="s">
        <v>5206</v>
      </c>
      <c r="V4407">
        <v>28</v>
      </c>
    </row>
    <row r="4408" spans="1:22" customFormat="1" ht="15" x14ac:dyDescent="0.25">
      <c r="A4408" t="s">
        <v>186</v>
      </c>
      <c r="B4408" t="s">
        <v>5182</v>
      </c>
      <c r="E4408" s="1524" t="s">
        <v>6521</v>
      </c>
      <c r="F4408" s="1510"/>
      <c r="G4408" s="387" t="s">
        <v>845</v>
      </c>
      <c r="H4408" s="577">
        <v>2.0000000000000001E-4</v>
      </c>
      <c r="K4408" t="s">
        <v>5203</v>
      </c>
      <c r="L4408" t="s">
        <v>692</v>
      </c>
      <c r="P4408" t="s">
        <v>5207</v>
      </c>
      <c r="T4408">
        <v>46022</v>
      </c>
      <c r="V4408">
        <v>149</v>
      </c>
    </row>
    <row r="4409" spans="1:22" customFormat="1" ht="15" x14ac:dyDescent="0.25">
      <c r="A4409" t="s">
        <v>186</v>
      </c>
      <c r="B4409" t="s">
        <v>5182</v>
      </c>
      <c r="E4409" s="1524" t="s">
        <v>6520</v>
      </c>
      <c r="F4409" s="1510"/>
      <c r="G4409" s="387" t="s">
        <v>845</v>
      </c>
      <c r="H4409" s="577">
        <v>2.2000000000000001E-3</v>
      </c>
      <c r="K4409" t="s">
        <v>5203</v>
      </c>
      <c r="L4409" t="s">
        <v>692</v>
      </c>
      <c r="P4409" t="s">
        <v>5208</v>
      </c>
      <c r="T4409">
        <v>46022</v>
      </c>
      <c r="V4409">
        <v>99</v>
      </c>
    </row>
    <row r="4410" spans="1:22" customFormat="1" ht="15" x14ac:dyDescent="0.25">
      <c r="A4410" t="s">
        <v>186</v>
      </c>
      <c r="B4410" t="s">
        <v>5182</v>
      </c>
      <c r="E4410" s="1524" t="s">
        <v>243</v>
      </c>
      <c r="F4410" s="1524"/>
      <c r="G4410" s="387" t="s">
        <v>845</v>
      </c>
      <c r="H4410" s="577">
        <v>7.4000000000000003E-3</v>
      </c>
      <c r="K4410" t="s">
        <v>5203</v>
      </c>
      <c r="L4410" t="s">
        <v>694</v>
      </c>
      <c r="P4410" t="s">
        <v>5209</v>
      </c>
      <c r="V4410">
        <v>47</v>
      </c>
    </row>
    <row r="4411" spans="1:22" customFormat="1" ht="15" x14ac:dyDescent="0.25">
      <c r="A4411" t="s">
        <v>186</v>
      </c>
      <c r="B4411" t="s">
        <v>5182</v>
      </c>
      <c r="E4411" s="1524" t="s">
        <v>175</v>
      </c>
      <c r="F4411" s="1524"/>
      <c r="G4411" s="387" t="s">
        <v>845</v>
      </c>
      <c r="H4411" s="577">
        <v>7.6E-3</v>
      </c>
      <c r="K4411" t="s">
        <v>5203</v>
      </c>
      <c r="L4411" t="s">
        <v>694</v>
      </c>
      <c r="P4411" t="s">
        <v>5210</v>
      </c>
      <c r="V4411">
        <v>74</v>
      </c>
    </row>
    <row r="4412" spans="1:22" customFormat="1" ht="15" x14ac:dyDescent="0.25">
      <c r="A4412" t="s">
        <v>186</v>
      </c>
      <c r="B4412" t="s">
        <v>5182</v>
      </c>
      <c r="E4412" s="1533" t="s">
        <v>967</v>
      </c>
      <c r="F4412" s="1552"/>
      <c r="G4412" s="360"/>
      <c r="H4412" s="360"/>
      <c r="K4412" t="s">
        <v>3898</v>
      </c>
      <c r="V4412">
        <v>48</v>
      </c>
    </row>
    <row r="4413" spans="1:22" customFormat="1" ht="15" x14ac:dyDescent="0.25">
      <c r="A4413" t="s">
        <v>186</v>
      </c>
      <c r="B4413" t="s">
        <v>5182</v>
      </c>
      <c r="E4413" s="1526" t="s">
        <v>844</v>
      </c>
      <c r="F4413" s="1507"/>
      <c r="G4413" s="387" t="s">
        <v>845</v>
      </c>
      <c r="H4413" s="399">
        <v>4.1000000000000003E-3</v>
      </c>
      <c r="K4413" t="s">
        <v>5203</v>
      </c>
      <c r="L4413" t="s">
        <v>968</v>
      </c>
      <c r="P4413" t="s">
        <v>5211</v>
      </c>
      <c r="V4413">
        <v>55</v>
      </c>
    </row>
    <row r="4414" spans="1:22" customFormat="1" ht="15" x14ac:dyDescent="0.25">
      <c r="A4414" t="s">
        <v>186</v>
      </c>
      <c r="B4414" t="s">
        <v>5182</v>
      </c>
      <c r="E4414" s="1526" t="s">
        <v>846</v>
      </c>
      <c r="F4414" s="1507"/>
      <c r="G4414" s="387" t="s">
        <v>845</v>
      </c>
      <c r="H4414" s="399">
        <v>4.0000000000000002E-4</v>
      </c>
      <c r="K4414" t="s">
        <v>5203</v>
      </c>
      <c r="L4414" t="s">
        <v>968</v>
      </c>
      <c r="P4414" t="s">
        <v>5211</v>
      </c>
      <c r="V4414">
        <v>65</v>
      </c>
    </row>
    <row r="4415" spans="1:22" customFormat="1" ht="15" x14ac:dyDescent="0.25">
      <c r="A4415" t="s">
        <v>186</v>
      </c>
      <c r="B4415" t="s">
        <v>5182</v>
      </c>
      <c r="E4415" s="1526" t="s">
        <v>847</v>
      </c>
      <c r="F4415" s="1507"/>
      <c r="G4415" s="387" t="s">
        <v>845</v>
      </c>
      <c r="H4415" s="399">
        <v>1.5E-3</v>
      </c>
      <c r="K4415" t="s">
        <v>5203</v>
      </c>
      <c r="L4415" t="s">
        <v>968</v>
      </c>
      <c r="P4415" t="s">
        <v>5212</v>
      </c>
      <c r="V4415">
        <v>57</v>
      </c>
    </row>
    <row r="4416" spans="1:22" customFormat="1" ht="15" x14ac:dyDescent="0.25">
      <c r="A4416" t="s">
        <v>186</v>
      </c>
      <c r="B4416" t="s">
        <v>5182</v>
      </c>
      <c r="E4416" s="1526" t="s">
        <v>848</v>
      </c>
      <c r="F4416" s="1507"/>
      <c r="G4416" s="387" t="s">
        <v>777</v>
      </c>
      <c r="H4416" s="398">
        <v>0.25</v>
      </c>
      <c r="K4416" t="s">
        <v>5203</v>
      </c>
      <c r="L4416" t="s">
        <v>968</v>
      </c>
      <c r="P4416" t="s">
        <v>5213</v>
      </c>
      <c r="V4416">
        <v>63</v>
      </c>
    </row>
    <row r="4417" spans="1:22" customFormat="1" ht="15" x14ac:dyDescent="0.25">
      <c r="A4417" t="s">
        <v>186</v>
      </c>
      <c r="B4417" t="s">
        <v>5182</v>
      </c>
      <c r="E4417" s="1534" t="s">
        <v>6747</v>
      </c>
      <c r="F4417" s="1534"/>
      <c r="G4417" s="1534"/>
      <c r="H4417" s="1534"/>
      <c r="K4417" t="s">
        <v>6747</v>
      </c>
      <c r="V4417">
        <v>12</v>
      </c>
    </row>
    <row r="4418" spans="1:22" customFormat="1" x14ac:dyDescent="0.25">
      <c r="A4418" t="s">
        <v>186</v>
      </c>
      <c r="B4418" t="s">
        <v>5182</v>
      </c>
      <c r="E4418" s="1538" t="s">
        <v>4002</v>
      </c>
      <c r="F4418" s="1538"/>
      <c r="G4418" s="1538"/>
      <c r="H4418" s="1539"/>
      <c r="K4418" t="s">
        <v>4552</v>
      </c>
      <c r="V4418">
        <v>36</v>
      </c>
    </row>
    <row r="4419" spans="1:22" customFormat="1" ht="15" x14ac:dyDescent="0.25">
      <c r="A4419" t="s">
        <v>186</v>
      </c>
      <c r="B4419" t="s">
        <v>5182</v>
      </c>
      <c r="E4419" s="1531" t="s">
        <v>4004</v>
      </c>
      <c r="F4419" s="1531"/>
      <c r="G4419" s="1531"/>
      <c r="H4419" s="1532"/>
      <c r="K4419" t="s">
        <v>4552</v>
      </c>
      <c r="V4419">
        <v>219</v>
      </c>
    </row>
    <row r="4420" spans="1:22" customFormat="1" ht="15" x14ac:dyDescent="0.25">
      <c r="A4420" t="s">
        <v>186</v>
      </c>
      <c r="B4420" t="s">
        <v>5182</v>
      </c>
      <c r="E4420" s="1533" t="s">
        <v>950</v>
      </c>
      <c r="F4420" s="1516"/>
      <c r="G4420" s="1516"/>
      <c r="H4420" s="1516"/>
      <c r="K4420" t="s">
        <v>3904</v>
      </c>
      <c r="V4420">
        <v>11</v>
      </c>
    </row>
    <row r="4421" spans="1:22" customFormat="1" ht="15" x14ac:dyDescent="0.25">
      <c r="A4421" t="s">
        <v>186</v>
      </c>
      <c r="B4421" t="s">
        <v>5182</v>
      </c>
      <c r="E4421" s="1531" t="s">
        <v>951</v>
      </c>
      <c r="F4421" s="1531"/>
      <c r="G4421" s="1531"/>
      <c r="H4421" s="1532"/>
      <c r="K4421" t="s">
        <v>4552</v>
      </c>
      <c r="V4421">
        <v>280</v>
      </c>
    </row>
    <row r="4422" spans="1:22" customFormat="1" ht="15" x14ac:dyDescent="0.25">
      <c r="A4422" t="s">
        <v>186</v>
      </c>
      <c r="B4422" t="s">
        <v>5182</v>
      </c>
      <c r="E4422" s="1531" t="s">
        <v>952</v>
      </c>
      <c r="F4422" s="1531"/>
      <c r="G4422" s="1531"/>
      <c r="H4422" s="1532"/>
      <c r="K4422" t="s">
        <v>4552</v>
      </c>
      <c r="V4422">
        <v>411</v>
      </c>
    </row>
    <row r="4423" spans="1:22" customFormat="1" ht="15" x14ac:dyDescent="0.25">
      <c r="A4423" t="s">
        <v>186</v>
      </c>
      <c r="B4423" t="s">
        <v>5182</v>
      </c>
      <c r="E4423" s="1531" t="s">
        <v>1103</v>
      </c>
      <c r="F4423" s="1531"/>
      <c r="G4423" s="1531"/>
      <c r="H4423" s="1532"/>
      <c r="K4423" t="s">
        <v>4552</v>
      </c>
      <c r="V4423">
        <v>211</v>
      </c>
    </row>
    <row r="4424" spans="1:22" customFormat="1" ht="15" x14ac:dyDescent="0.25">
      <c r="A4424" t="s">
        <v>186</v>
      </c>
      <c r="B4424" t="s">
        <v>5182</v>
      </c>
      <c r="E4424" s="1531" t="s">
        <v>3762</v>
      </c>
      <c r="F4424" s="1531"/>
      <c r="G4424" s="1531"/>
      <c r="H4424" s="1532"/>
      <c r="K4424" t="s">
        <v>4552</v>
      </c>
      <c r="V4424">
        <v>247</v>
      </c>
    </row>
    <row r="4425" spans="1:22" customFormat="1" ht="15" x14ac:dyDescent="0.25">
      <c r="A4425" t="s">
        <v>186</v>
      </c>
      <c r="B4425" t="s">
        <v>5182</v>
      </c>
      <c r="E4425" s="1533" t="s">
        <v>4005</v>
      </c>
      <c r="F4425" s="1516"/>
      <c r="G4425" s="1516"/>
      <c r="H4425" s="1516"/>
      <c r="K4425" t="s">
        <v>3905</v>
      </c>
      <c r="V4425">
        <v>77</v>
      </c>
    </row>
    <row r="4426" spans="1:22" customFormat="1" ht="15" x14ac:dyDescent="0.25">
      <c r="A4426" t="s">
        <v>186</v>
      </c>
      <c r="B4426" t="s">
        <v>5182</v>
      </c>
      <c r="E4426" s="1524" t="s">
        <v>5214</v>
      </c>
      <c r="F4426" s="1524"/>
      <c r="G4426" s="387" t="s">
        <v>3775</v>
      </c>
      <c r="H4426" s="605">
        <v>2.0173000000000001</v>
      </c>
      <c r="K4426" t="s">
        <v>4552</v>
      </c>
      <c r="L4426" t="s">
        <v>690</v>
      </c>
      <c r="P4426" t="s">
        <v>5215</v>
      </c>
      <c r="V4426">
        <v>164</v>
      </c>
    </row>
    <row r="4427" spans="1:22" customFormat="1" x14ac:dyDescent="0.25">
      <c r="A4427" t="s">
        <v>186</v>
      </c>
      <c r="B4427" t="s">
        <v>5182</v>
      </c>
      <c r="E4427" s="857" t="s">
        <v>3825</v>
      </c>
      <c r="F4427" s="623"/>
      <c r="G4427" s="623"/>
      <c r="H4427" s="623"/>
      <c r="K4427" t="s">
        <v>5216</v>
      </c>
      <c r="V4427">
        <v>10</v>
      </c>
    </row>
    <row r="4428" spans="1:22" customFormat="1" ht="15" x14ac:dyDescent="0.25">
      <c r="A4428" t="s">
        <v>186</v>
      </c>
      <c r="B4428" t="s">
        <v>5182</v>
      </c>
      <c r="E4428" s="1507" t="s">
        <v>1078</v>
      </c>
      <c r="F4428" s="1507"/>
      <c r="G4428" s="387" t="s">
        <v>3775</v>
      </c>
      <c r="H4428" s="608">
        <v>-0.6</v>
      </c>
      <c r="V4428">
        <v>68</v>
      </c>
    </row>
    <row r="4429" spans="1:22" customFormat="1" ht="15" x14ac:dyDescent="0.25">
      <c r="A4429" t="s">
        <v>186</v>
      </c>
      <c r="B4429" t="s">
        <v>5182</v>
      </c>
      <c r="E4429" s="1507" t="s">
        <v>1079</v>
      </c>
      <c r="F4429" s="1507"/>
      <c r="G4429" s="389" t="s">
        <v>1118</v>
      </c>
      <c r="H4429" s="638">
        <v>-1</v>
      </c>
      <c r="V4429">
        <v>87</v>
      </c>
    </row>
    <row r="4430" spans="1:22" customFormat="1" ht="15" x14ac:dyDescent="0.25">
      <c r="A4430" t="s">
        <v>186</v>
      </c>
      <c r="B4430" t="s">
        <v>5182</v>
      </c>
      <c r="E4430" s="1534" t="s">
        <v>6747</v>
      </c>
      <c r="F4430" s="1534"/>
      <c r="G4430" s="1534"/>
      <c r="H4430" s="1534"/>
      <c r="K4430" t="s">
        <v>6747</v>
      </c>
      <c r="V4430">
        <v>12</v>
      </c>
    </row>
    <row r="4431" spans="1:22" customFormat="1" ht="36" x14ac:dyDescent="0.25">
      <c r="A4431" t="s">
        <v>186</v>
      </c>
      <c r="B4431" t="s">
        <v>5182</v>
      </c>
      <c r="E4431" s="857" t="s">
        <v>3828</v>
      </c>
      <c r="F4431" s="623"/>
      <c r="G4431" s="623"/>
      <c r="H4431" s="625"/>
      <c r="K4431" t="s">
        <v>5217</v>
      </c>
      <c r="V4431">
        <v>24</v>
      </c>
    </row>
    <row r="4432" spans="1:22" customFormat="1" ht="15" x14ac:dyDescent="0.25">
      <c r="A4432" t="s">
        <v>186</v>
      </c>
      <c r="B4432" t="s">
        <v>5182</v>
      </c>
      <c r="E4432" s="1535" t="s">
        <v>950</v>
      </c>
      <c r="F4432" s="1516"/>
      <c r="G4432" s="1516"/>
      <c r="H4432" s="1516"/>
      <c r="V4432">
        <v>11</v>
      </c>
    </row>
    <row r="4433" spans="1:22" customFormat="1" ht="15" x14ac:dyDescent="0.25">
      <c r="A4433" t="s">
        <v>186</v>
      </c>
      <c r="B4433" t="s">
        <v>5182</v>
      </c>
      <c r="E4433" s="1496" t="s">
        <v>951</v>
      </c>
      <c r="F4433" s="1496"/>
      <c r="G4433" s="1496"/>
      <c r="H4433" s="1536"/>
      <c r="V4433">
        <v>280</v>
      </c>
    </row>
    <row r="4434" spans="1:22" customFormat="1" ht="15" x14ac:dyDescent="0.25">
      <c r="A4434" t="s">
        <v>186</v>
      </c>
      <c r="B4434" t="s">
        <v>5182</v>
      </c>
      <c r="E4434" s="1496" t="s">
        <v>1081</v>
      </c>
      <c r="F4434" s="1496"/>
      <c r="G4434" s="1496"/>
      <c r="H4434" s="1536"/>
      <c r="V4434">
        <v>353</v>
      </c>
    </row>
    <row r="4435" spans="1:22" customFormat="1" ht="15" x14ac:dyDescent="0.25">
      <c r="A4435" t="s">
        <v>186</v>
      </c>
      <c r="B4435" t="s">
        <v>5182</v>
      </c>
      <c r="E4435" s="1496" t="s">
        <v>954</v>
      </c>
      <c r="F4435" s="1496"/>
      <c r="G4435" s="1496"/>
      <c r="H4435" s="1536"/>
      <c r="V4435">
        <v>246</v>
      </c>
    </row>
    <row r="4436" spans="1:22" customFormat="1" ht="15" x14ac:dyDescent="0.25">
      <c r="A4436" t="s">
        <v>186</v>
      </c>
      <c r="B4436" t="s">
        <v>5182</v>
      </c>
      <c r="E4436" s="864" t="s">
        <v>3830</v>
      </c>
      <c r="F4436" s="722"/>
      <c r="G4436" s="722"/>
      <c r="H4436" s="723"/>
      <c r="K4436" t="s">
        <v>5218</v>
      </c>
      <c r="V4436">
        <v>23</v>
      </c>
    </row>
    <row r="4437" spans="1:22" customFormat="1" ht="15" x14ac:dyDescent="0.25">
      <c r="A4437" t="s">
        <v>186</v>
      </c>
      <c r="B4437" t="s">
        <v>5182</v>
      </c>
      <c r="E4437" s="1509" t="s">
        <v>5219</v>
      </c>
      <c r="F4437" s="1509"/>
      <c r="G4437" s="387" t="s">
        <v>777</v>
      </c>
      <c r="H4437" s="604">
        <v>15</v>
      </c>
      <c r="V4437">
        <v>23</v>
      </c>
    </row>
    <row r="4438" spans="1:22" customFormat="1" ht="15" x14ac:dyDescent="0.25">
      <c r="A4438" t="s">
        <v>186</v>
      </c>
      <c r="B4438" t="s">
        <v>5182</v>
      </c>
      <c r="E4438" s="1509" t="s">
        <v>5220</v>
      </c>
      <c r="F4438" s="1509"/>
      <c r="G4438" s="387" t="s">
        <v>777</v>
      </c>
      <c r="H4438" s="604">
        <v>15</v>
      </c>
      <c r="V4438">
        <v>64</v>
      </c>
    </row>
    <row r="4439" spans="1:22" customFormat="1" ht="15" x14ac:dyDescent="0.25">
      <c r="A4439" t="s">
        <v>186</v>
      </c>
      <c r="B4439" t="s">
        <v>5182</v>
      </c>
      <c r="E4439" s="1509" t="s">
        <v>5221</v>
      </c>
      <c r="F4439" s="1509"/>
      <c r="G4439" s="387" t="s">
        <v>777</v>
      </c>
      <c r="H4439" s="604">
        <v>15</v>
      </c>
      <c r="V4439">
        <v>43</v>
      </c>
    </row>
    <row r="4440" spans="1:22" customFormat="1" ht="15" x14ac:dyDescent="0.25">
      <c r="A4440" t="s">
        <v>186</v>
      </c>
      <c r="B4440" t="s">
        <v>5182</v>
      </c>
      <c r="E4440" s="1509" t="s">
        <v>5222</v>
      </c>
      <c r="F4440" s="1509"/>
      <c r="G4440" s="387" t="s">
        <v>777</v>
      </c>
      <c r="H4440" s="604">
        <v>30</v>
      </c>
      <c r="V4440">
        <v>97</v>
      </c>
    </row>
    <row r="4441" spans="1:22" customFormat="1" ht="15" x14ac:dyDescent="0.25">
      <c r="A4441" t="s">
        <v>186</v>
      </c>
      <c r="B4441" t="s">
        <v>5182</v>
      </c>
      <c r="E4441" s="1509" t="s">
        <v>5223</v>
      </c>
      <c r="F4441" s="1509"/>
      <c r="G4441" s="387" t="s">
        <v>777</v>
      </c>
      <c r="H4441" s="604">
        <v>30</v>
      </c>
      <c r="V4441">
        <v>82</v>
      </c>
    </row>
    <row r="4442" spans="1:22" customFormat="1" ht="15" x14ac:dyDescent="0.25">
      <c r="A4442" t="s">
        <v>186</v>
      </c>
      <c r="B4442" t="s">
        <v>5182</v>
      </c>
      <c r="E4442" s="864" t="s">
        <v>4062</v>
      </c>
      <c r="F4442" s="627"/>
      <c r="G4442" s="627"/>
      <c r="H4442" s="613"/>
      <c r="K4442" t="s">
        <v>5224</v>
      </c>
      <c r="V4442">
        <v>22</v>
      </c>
    </row>
    <row r="4443" spans="1:22" customFormat="1" ht="15" x14ac:dyDescent="0.25">
      <c r="A4443" t="s">
        <v>186</v>
      </c>
      <c r="B4443" t="s">
        <v>5182</v>
      </c>
      <c r="E4443" s="1509" t="s">
        <v>5154</v>
      </c>
      <c r="F4443" s="1509"/>
      <c r="G4443" s="389" t="s">
        <v>1118</v>
      </c>
      <c r="H4443" s="604">
        <v>1.5</v>
      </c>
      <c r="V4443">
        <v>115</v>
      </c>
    </row>
    <row r="4444" spans="1:22" customFormat="1" ht="15" x14ac:dyDescent="0.25">
      <c r="A4444" t="s">
        <v>186</v>
      </c>
      <c r="B4444" t="s">
        <v>5182</v>
      </c>
      <c r="E4444" s="1509" t="s">
        <v>5225</v>
      </c>
      <c r="F4444" s="1509"/>
      <c r="G4444" s="389" t="s">
        <v>1118</v>
      </c>
      <c r="H4444" s="604">
        <v>19.559999999999999</v>
      </c>
      <c r="V4444">
        <v>32</v>
      </c>
    </row>
    <row r="4445" spans="1:22" customFormat="1" ht="15" x14ac:dyDescent="0.25">
      <c r="A4445" t="s">
        <v>186</v>
      </c>
      <c r="B4445" t="s">
        <v>5182</v>
      </c>
      <c r="E4445" s="1509" t="s">
        <v>5155</v>
      </c>
      <c r="F4445" s="1509"/>
      <c r="G4445" s="387" t="s">
        <v>777</v>
      </c>
      <c r="H4445" s="604">
        <v>65</v>
      </c>
      <c r="V4445">
        <v>52</v>
      </c>
    </row>
    <row r="4446" spans="1:22" customFormat="1" ht="15" x14ac:dyDescent="0.25">
      <c r="A4446" t="s">
        <v>186</v>
      </c>
      <c r="B4446" t="s">
        <v>5182</v>
      </c>
      <c r="E4446" s="1509" t="s">
        <v>5156</v>
      </c>
      <c r="F4446" s="1509"/>
      <c r="G4446" s="387" t="s">
        <v>777</v>
      </c>
      <c r="H4446" s="604">
        <v>185</v>
      </c>
      <c r="V4446">
        <v>51</v>
      </c>
    </row>
    <row r="4447" spans="1:22" customFormat="1" ht="15" x14ac:dyDescent="0.25">
      <c r="A4447" t="s">
        <v>186</v>
      </c>
      <c r="B4447" t="s">
        <v>5182</v>
      </c>
      <c r="E4447" s="1509" t="s">
        <v>5157</v>
      </c>
      <c r="F4447" s="1509"/>
      <c r="G4447" s="387" t="s">
        <v>777</v>
      </c>
      <c r="H4447" s="604">
        <v>185</v>
      </c>
      <c r="V4447">
        <v>51</v>
      </c>
    </row>
    <row r="4448" spans="1:22" customFormat="1" ht="15" x14ac:dyDescent="0.25">
      <c r="A4448" t="s">
        <v>186</v>
      </c>
      <c r="B4448" t="s">
        <v>5182</v>
      </c>
      <c r="E4448" s="1509" t="s">
        <v>5158</v>
      </c>
      <c r="F4448" s="1509"/>
      <c r="G4448" s="387" t="s">
        <v>777</v>
      </c>
      <c r="H4448" s="604">
        <v>415</v>
      </c>
      <c r="V4448">
        <v>50</v>
      </c>
    </row>
    <row r="4449" spans="1:22" customFormat="1" ht="15" x14ac:dyDescent="0.25">
      <c r="A4449" t="s">
        <v>186</v>
      </c>
      <c r="B4449" t="s">
        <v>5182</v>
      </c>
      <c r="E4449" s="864" t="s">
        <v>3846</v>
      </c>
      <c r="F4449" s="627"/>
      <c r="G4449" s="627"/>
      <c r="H4449" s="613"/>
      <c r="V4449">
        <v>5</v>
      </c>
    </row>
    <row r="4450" spans="1:22" customFormat="1" ht="15" x14ac:dyDescent="0.25">
      <c r="A4450" t="s">
        <v>186</v>
      </c>
      <c r="B4450" t="s">
        <v>5182</v>
      </c>
      <c r="E4450" s="1509" t="s">
        <v>5161</v>
      </c>
      <c r="F4450" s="1509"/>
      <c r="G4450" s="387" t="s">
        <v>777</v>
      </c>
      <c r="H4450" s="604">
        <v>500</v>
      </c>
      <c r="V4450">
        <v>70</v>
      </c>
    </row>
    <row r="4451" spans="1:22" customFormat="1" ht="15" x14ac:dyDescent="0.25">
      <c r="A4451" t="s">
        <v>186</v>
      </c>
      <c r="B4451" t="s">
        <v>5182</v>
      </c>
      <c r="E4451" s="1509" t="s">
        <v>5226</v>
      </c>
      <c r="F4451" s="1509"/>
      <c r="G4451" s="387" t="s">
        <v>777</v>
      </c>
      <c r="H4451" s="604">
        <v>300</v>
      </c>
      <c r="V4451">
        <v>75</v>
      </c>
    </row>
    <row r="4452" spans="1:22" customFormat="1" ht="15" x14ac:dyDescent="0.25">
      <c r="A4452" t="s">
        <v>186</v>
      </c>
      <c r="B4452" t="s">
        <v>5182</v>
      </c>
      <c r="E4452" s="1517" t="s">
        <v>5227</v>
      </c>
      <c r="F4452" s="1517"/>
      <c r="G4452" s="389" t="s">
        <v>777</v>
      </c>
      <c r="H4452" s="391">
        <v>39.14</v>
      </c>
      <c r="V4452">
        <v>153</v>
      </c>
    </row>
    <row r="4453" spans="1:22" customFormat="1" ht="15" x14ac:dyDescent="0.25">
      <c r="A4453" t="s">
        <v>186</v>
      </c>
      <c r="B4453" t="s">
        <v>5182</v>
      </c>
      <c r="E4453" s="1525" t="s">
        <v>5228</v>
      </c>
      <c r="F4453" s="1525"/>
      <c r="G4453" s="387" t="s">
        <v>777</v>
      </c>
      <c r="H4453" s="604">
        <v>60</v>
      </c>
      <c r="V4453">
        <v>43</v>
      </c>
    </row>
    <row r="4454" spans="1:22" customFormat="1" ht="15" x14ac:dyDescent="0.25">
      <c r="A4454" t="s">
        <v>186</v>
      </c>
      <c r="B4454" t="s">
        <v>5182</v>
      </c>
      <c r="E4454" s="1534" t="s">
        <v>6747</v>
      </c>
      <c r="F4454" s="1534"/>
      <c r="G4454" s="1534"/>
      <c r="H4454" s="1534"/>
      <c r="K4454" t="s">
        <v>6747</v>
      </c>
      <c r="V4454">
        <v>12</v>
      </c>
    </row>
    <row r="4455" spans="1:22" customFormat="1" x14ac:dyDescent="0.25">
      <c r="A4455" t="s">
        <v>186</v>
      </c>
      <c r="B4455" t="s">
        <v>5182</v>
      </c>
      <c r="E4455" s="1560" t="s">
        <v>3851</v>
      </c>
      <c r="F4455" s="1510"/>
      <c r="G4455" s="623"/>
      <c r="H4455" s="625"/>
      <c r="K4455" t="s">
        <v>5229</v>
      </c>
      <c r="V4455">
        <v>38</v>
      </c>
    </row>
    <row r="4456" spans="1:22" customFormat="1" ht="15" x14ac:dyDescent="0.25">
      <c r="A4456" t="s">
        <v>186</v>
      </c>
      <c r="B4456" t="s">
        <v>5182</v>
      </c>
      <c r="E4456" s="1496" t="s">
        <v>951</v>
      </c>
      <c r="F4456" s="1496"/>
      <c r="G4456" s="1496"/>
      <c r="H4456" s="1536"/>
      <c r="V4456">
        <v>280</v>
      </c>
    </row>
    <row r="4457" spans="1:22" customFormat="1" ht="15" x14ac:dyDescent="0.25">
      <c r="A4457" t="s">
        <v>186</v>
      </c>
      <c r="B4457" t="s">
        <v>5182</v>
      </c>
      <c r="E4457" s="1496" t="s">
        <v>952</v>
      </c>
      <c r="F4457" s="1496"/>
      <c r="G4457" s="1496"/>
      <c r="H4457" s="1536"/>
      <c r="V4457">
        <v>411</v>
      </c>
    </row>
    <row r="4458" spans="1:22" customFormat="1" ht="15" x14ac:dyDescent="0.25">
      <c r="A4458" t="s">
        <v>186</v>
      </c>
      <c r="B4458" t="s">
        <v>5182</v>
      </c>
      <c r="E4458" s="1496" t="s">
        <v>1103</v>
      </c>
      <c r="F4458" s="1496"/>
      <c r="G4458" s="1496"/>
      <c r="H4458" s="1536"/>
      <c r="V4458">
        <v>211</v>
      </c>
    </row>
    <row r="4459" spans="1:22" customFormat="1" ht="15" x14ac:dyDescent="0.25">
      <c r="A4459" t="s">
        <v>186</v>
      </c>
      <c r="B4459" t="s">
        <v>5182</v>
      </c>
      <c r="E4459" s="1496" t="s">
        <v>954</v>
      </c>
      <c r="F4459" s="1496"/>
      <c r="G4459" s="1496"/>
      <c r="H4459" s="1536"/>
      <c r="V4459">
        <v>246</v>
      </c>
    </row>
    <row r="4460" spans="1:22" customFormat="1" ht="15" x14ac:dyDescent="0.25">
      <c r="A4460" t="s">
        <v>186</v>
      </c>
      <c r="B4460" t="s">
        <v>5182</v>
      </c>
      <c r="E4460" s="1496" t="s">
        <v>1104</v>
      </c>
      <c r="F4460" s="1496"/>
      <c r="G4460" s="1496"/>
      <c r="H4460" s="1536"/>
      <c r="V4460">
        <v>142</v>
      </c>
    </row>
    <row r="4461" spans="1:22" customFormat="1" ht="15" x14ac:dyDescent="0.25">
      <c r="A4461" t="s">
        <v>186</v>
      </c>
      <c r="B4461" t="s">
        <v>5182</v>
      </c>
      <c r="E4461" s="1524" t="s">
        <v>849</v>
      </c>
      <c r="F4461" s="1524"/>
      <c r="G4461" s="388" t="s">
        <v>777</v>
      </c>
      <c r="H4461" s="604">
        <v>121.23</v>
      </c>
      <c r="V4461">
        <v>106</v>
      </c>
    </row>
    <row r="4462" spans="1:22" customFormat="1" ht="15" x14ac:dyDescent="0.25">
      <c r="A4462" t="s">
        <v>186</v>
      </c>
      <c r="B4462" t="s">
        <v>5182</v>
      </c>
      <c r="E4462" s="1524" t="s">
        <v>850</v>
      </c>
      <c r="F4462" s="1524"/>
      <c r="G4462" s="388" t="s">
        <v>777</v>
      </c>
      <c r="H4462" s="604">
        <v>48.5</v>
      </c>
      <c r="V4462">
        <v>34</v>
      </c>
    </row>
    <row r="4463" spans="1:22" customFormat="1" ht="15" x14ac:dyDescent="0.25">
      <c r="A4463" t="s">
        <v>186</v>
      </c>
      <c r="B4463" t="s">
        <v>5182</v>
      </c>
      <c r="E4463" s="1524" t="s">
        <v>851</v>
      </c>
      <c r="F4463" s="1524"/>
      <c r="G4463" s="392" t="s">
        <v>852</v>
      </c>
      <c r="H4463" s="604">
        <v>1.2</v>
      </c>
      <c r="V4463">
        <v>51</v>
      </c>
    </row>
    <row r="4464" spans="1:22" customFormat="1" ht="15" x14ac:dyDescent="0.25">
      <c r="A4464" t="s">
        <v>186</v>
      </c>
      <c r="B4464" t="s">
        <v>5182</v>
      </c>
      <c r="E4464" s="1524" t="s">
        <v>853</v>
      </c>
      <c r="F4464" s="1524"/>
      <c r="G4464" s="392" t="s">
        <v>852</v>
      </c>
      <c r="H4464" s="604">
        <v>0.71</v>
      </c>
      <c r="V4464">
        <v>75</v>
      </c>
    </row>
    <row r="4465" spans="1:22" customFormat="1" ht="15" x14ac:dyDescent="0.25">
      <c r="A4465" t="s">
        <v>186</v>
      </c>
      <c r="B4465" t="s">
        <v>5182</v>
      </c>
      <c r="E4465" s="1524" t="s">
        <v>854</v>
      </c>
      <c r="F4465" s="1524"/>
      <c r="G4465" s="392" t="s">
        <v>852</v>
      </c>
      <c r="H4465" s="724">
        <v>-0.71</v>
      </c>
      <c r="V4465">
        <v>72</v>
      </c>
    </row>
    <row r="4466" spans="1:22" customFormat="1" ht="15" x14ac:dyDescent="0.25">
      <c r="A4466" t="s">
        <v>186</v>
      </c>
      <c r="B4466" t="s">
        <v>5182</v>
      </c>
      <c r="E4466" s="1524" t="s">
        <v>1105</v>
      </c>
      <c r="F4466" s="1524"/>
      <c r="G4466" s="725"/>
      <c r="H4466" s="616"/>
      <c r="V4466">
        <v>35</v>
      </c>
    </row>
    <row r="4467" spans="1:22" customFormat="1" ht="15" x14ac:dyDescent="0.25">
      <c r="A4467" t="s">
        <v>186</v>
      </c>
      <c r="B4467" t="s">
        <v>5182</v>
      </c>
      <c r="E4467" s="1557" t="s">
        <v>1106</v>
      </c>
      <c r="F4467" s="1557"/>
      <c r="G4467" s="388" t="s">
        <v>777</v>
      </c>
      <c r="H4467" s="604">
        <v>0.61</v>
      </c>
      <c r="V4467">
        <v>57</v>
      </c>
    </row>
    <row r="4468" spans="1:22" customFormat="1" ht="15" x14ac:dyDescent="0.25">
      <c r="A4468" t="s">
        <v>186</v>
      </c>
      <c r="B4468" t="s">
        <v>5182</v>
      </c>
      <c r="E4468" s="1557" t="s">
        <v>1107</v>
      </c>
      <c r="F4468" s="1557"/>
      <c r="G4468" s="388" t="s">
        <v>777</v>
      </c>
      <c r="H4468" s="604">
        <v>1.2</v>
      </c>
      <c r="V4468">
        <v>60</v>
      </c>
    </row>
    <row r="4469" spans="1:22" customFormat="1" ht="15" x14ac:dyDescent="0.25">
      <c r="A4469" t="s">
        <v>186</v>
      </c>
      <c r="B4469" t="s">
        <v>5182</v>
      </c>
      <c r="E4469" s="1524" t="s">
        <v>1108</v>
      </c>
      <c r="F4469" s="1524"/>
      <c r="G4469" s="725"/>
      <c r="H4469" s="616"/>
      <c r="V4469">
        <v>91</v>
      </c>
    </row>
    <row r="4470" spans="1:22" customFormat="1" ht="15" x14ac:dyDescent="0.25">
      <c r="A4470" t="s">
        <v>186</v>
      </c>
      <c r="B4470" t="s">
        <v>5182</v>
      </c>
      <c r="E4470" s="1524" t="s">
        <v>1109</v>
      </c>
      <c r="F4470" s="1524"/>
      <c r="G4470" s="725"/>
      <c r="H4470" s="616"/>
      <c r="V4470">
        <v>96</v>
      </c>
    </row>
    <row r="4471" spans="1:22" customFormat="1" ht="15" x14ac:dyDescent="0.25">
      <c r="A4471" t="s">
        <v>186</v>
      </c>
      <c r="B4471" t="s">
        <v>5182</v>
      </c>
      <c r="E4471" s="1524" t="s">
        <v>1110</v>
      </c>
      <c r="F4471" s="1524"/>
      <c r="G4471" s="725"/>
      <c r="H4471" s="616"/>
      <c r="V4471">
        <v>78</v>
      </c>
    </row>
    <row r="4472" spans="1:22" customFormat="1" ht="15" x14ac:dyDescent="0.25">
      <c r="A4472" t="s">
        <v>186</v>
      </c>
      <c r="B4472" t="s">
        <v>5182</v>
      </c>
      <c r="E4472" s="1557" t="s">
        <v>5230</v>
      </c>
      <c r="F4472" s="1557"/>
      <c r="G4472" s="388" t="s">
        <v>777</v>
      </c>
      <c r="H4472" s="726" t="s">
        <v>857</v>
      </c>
      <c r="V4472">
        <v>25</v>
      </c>
    </row>
    <row r="4473" spans="1:22" customFormat="1" ht="15" x14ac:dyDescent="0.25">
      <c r="A4473" t="s">
        <v>186</v>
      </c>
      <c r="B4473" t="s">
        <v>5182</v>
      </c>
      <c r="E4473" s="1557" t="s">
        <v>5231</v>
      </c>
      <c r="F4473" s="1557"/>
      <c r="G4473" s="388" t="s">
        <v>777</v>
      </c>
      <c r="H4473" s="604">
        <v>4.8499999999999996</v>
      </c>
      <c r="V4473">
        <v>76</v>
      </c>
    </row>
    <row r="4474" spans="1:22" customFormat="1" ht="15" x14ac:dyDescent="0.25">
      <c r="A4474" t="s">
        <v>186</v>
      </c>
      <c r="B4474" t="s">
        <v>5182</v>
      </c>
      <c r="E4474" s="1507" t="s">
        <v>858</v>
      </c>
      <c r="F4474" s="1507"/>
      <c r="G4474" s="388" t="s">
        <v>777</v>
      </c>
      <c r="H4474" s="642">
        <v>2.42</v>
      </c>
      <c r="V4474">
        <v>199</v>
      </c>
    </row>
    <row r="4475" spans="1:22" customFormat="1" x14ac:dyDescent="0.25">
      <c r="A4475" t="s">
        <v>186</v>
      </c>
      <c r="B4475" t="s">
        <v>5182</v>
      </c>
      <c r="E4475" s="857" t="s">
        <v>3853</v>
      </c>
      <c r="F4475" s="623"/>
      <c r="G4475" s="623"/>
      <c r="H4475" s="625"/>
      <c r="K4475" t="s">
        <v>5232</v>
      </c>
      <c r="V4475">
        <v>12</v>
      </c>
    </row>
    <row r="4476" spans="1:22" customFormat="1" ht="15" x14ac:dyDescent="0.25">
      <c r="A4476" t="s">
        <v>186</v>
      </c>
      <c r="B4476" t="s">
        <v>5182</v>
      </c>
      <c r="E4476" s="1524" t="s">
        <v>1114</v>
      </c>
      <c r="F4476" s="1524"/>
      <c r="G4476" s="1524"/>
      <c r="H4476" s="1559"/>
      <c r="V4476">
        <v>203</v>
      </c>
    </row>
    <row r="4477" spans="1:22" customFormat="1" ht="15" x14ac:dyDescent="0.25">
      <c r="A4477" t="s">
        <v>186</v>
      </c>
      <c r="B4477" t="s">
        <v>5182</v>
      </c>
      <c r="E4477" s="1507" t="s">
        <v>1115</v>
      </c>
      <c r="F4477" s="1507"/>
      <c r="G4477" s="662"/>
      <c r="H4477" s="616">
        <v>1.0289999999999999</v>
      </c>
      <c r="V4477">
        <v>57</v>
      </c>
    </row>
    <row r="4478" spans="1:22" customFormat="1" ht="15" x14ac:dyDescent="0.25">
      <c r="A4478" t="s">
        <v>186</v>
      </c>
      <c r="B4478" t="s">
        <v>5182</v>
      </c>
      <c r="E4478" s="1507" t="s">
        <v>1117</v>
      </c>
      <c r="F4478" s="1507"/>
      <c r="G4478" s="662"/>
      <c r="H4478" s="616">
        <v>1.0187999999999999</v>
      </c>
      <c r="J4478" t="s">
        <v>5233</v>
      </c>
      <c r="V4478">
        <v>55</v>
      </c>
    </row>
    <row r="4479" spans="1:22" customFormat="1" ht="23.25" x14ac:dyDescent="0.25">
      <c r="A4479" t="s">
        <v>186</v>
      </c>
      <c r="B4479" t="s">
        <v>5234</v>
      </c>
      <c r="C4479" t="s">
        <v>3755</v>
      </c>
      <c r="E4479" s="1550" t="s">
        <v>186</v>
      </c>
      <c r="F4479" s="1550"/>
      <c r="G4479" s="1550"/>
      <c r="H4479" s="1550"/>
      <c r="I4479" t="s">
        <v>94</v>
      </c>
      <c r="J4479" t="s">
        <v>5235</v>
      </c>
      <c r="K4479" t="s">
        <v>186</v>
      </c>
      <c r="M4479">
        <v>14</v>
      </c>
      <c r="V4479">
        <v>23</v>
      </c>
    </row>
    <row r="4480" spans="1:22" customFormat="1" ht="20.25" x14ac:dyDescent="0.25">
      <c r="A4480" t="s">
        <v>186</v>
      </c>
      <c r="B4480" t="s">
        <v>5234</v>
      </c>
      <c r="C4480" t="s">
        <v>3757</v>
      </c>
      <c r="E4480" s="1558" t="s">
        <v>229</v>
      </c>
      <c r="F4480" s="1558"/>
      <c r="G4480" s="1558"/>
      <c r="H4480" s="1558"/>
      <c r="V4480">
        <v>17</v>
      </c>
    </row>
    <row r="4481" spans="1:22" customFormat="1" x14ac:dyDescent="0.25">
      <c r="A4481" t="s">
        <v>186</v>
      </c>
      <c r="B4481" t="s">
        <v>5234</v>
      </c>
      <c r="C4481" t="s">
        <v>3758</v>
      </c>
      <c r="E4481" s="1551" t="s">
        <v>944</v>
      </c>
      <c r="F4481" s="1551"/>
      <c r="G4481" s="1551"/>
      <c r="H4481" s="1551"/>
      <c r="V4481">
        <v>27</v>
      </c>
    </row>
    <row r="4482" spans="1:22" customFormat="1" ht="15.75" x14ac:dyDescent="0.25">
      <c r="A4482" t="s">
        <v>186</v>
      </c>
      <c r="B4482" t="s">
        <v>5234</v>
      </c>
      <c r="C4482" t="s">
        <v>3759</v>
      </c>
      <c r="E4482" s="1543" t="s">
        <v>6511</v>
      </c>
      <c r="F4482" s="1543"/>
      <c r="G4482" s="1543"/>
      <c r="H4482" s="1543"/>
      <c r="S4482">
        <v>45658</v>
      </c>
      <c r="V4482">
        <v>49</v>
      </c>
    </row>
    <row r="4483" spans="1:22" customFormat="1" ht="15" x14ac:dyDescent="0.25">
      <c r="A4483" t="s">
        <v>186</v>
      </c>
      <c r="B4483" t="s">
        <v>5234</v>
      </c>
      <c r="E4483" s="1544" t="s">
        <v>945</v>
      </c>
      <c r="F4483" s="1544"/>
      <c r="G4483" s="1544"/>
      <c r="H4483" s="1544"/>
      <c r="V4483">
        <v>52</v>
      </c>
    </row>
    <row r="4484" spans="1:22" customFormat="1" ht="15" x14ac:dyDescent="0.25">
      <c r="A4484" t="s">
        <v>186</v>
      </c>
      <c r="B4484" t="s">
        <v>5234</v>
      </c>
      <c r="E4484" s="1544" t="s">
        <v>946</v>
      </c>
      <c r="F4484" s="1544"/>
      <c r="G4484" s="1544"/>
      <c r="H4484" s="1544"/>
      <c r="V4484">
        <v>53</v>
      </c>
    </row>
    <row r="4485" spans="1:22" customFormat="1" ht="15" x14ac:dyDescent="0.25">
      <c r="A4485" t="s">
        <v>186</v>
      </c>
      <c r="B4485" t="s">
        <v>5234</v>
      </c>
      <c r="E4485" s="1513" t="s">
        <v>6747</v>
      </c>
      <c r="F4485" s="1513"/>
      <c r="G4485" s="1513"/>
      <c r="H4485" s="1513"/>
      <c r="K4485" t="s">
        <v>6747</v>
      </c>
      <c r="V4485">
        <v>12</v>
      </c>
    </row>
    <row r="4486" spans="1:22" customFormat="1" x14ac:dyDescent="0.25">
      <c r="A4486" t="s">
        <v>186</v>
      </c>
      <c r="B4486" t="s">
        <v>5234</v>
      </c>
      <c r="E4486" s="1492" t="s">
        <v>170</v>
      </c>
      <c r="F4486" s="1492"/>
      <c r="G4486" s="1492"/>
      <c r="H4486" s="1492"/>
      <c r="K4486" t="s">
        <v>947</v>
      </c>
      <c r="V4486">
        <v>34</v>
      </c>
    </row>
    <row r="4487" spans="1:22" customFormat="1" ht="15" x14ac:dyDescent="0.25">
      <c r="A4487" t="s">
        <v>186</v>
      </c>
      <c r="B4487" t="s">
        <v>5234</v>
      </c>
      <c r="E4487" s="1516" t="s">
        <v>5236</v>
      </c>
      <c r="F4487" s="1516"/>
      <c r="G4487" s="1516"/>
      <c r="H4487" s="1516"/>
      <c r="K4487" t="s">
        <v>947</v>
      </c>
      <c r="V4487">
        <v>768</v>
      </c>
    </row>
    <row r="4488" spans="1:22" customFormat="1" ht="15" x14ac:dyDescent="0.25">
      <c r="A4488" t="s">
        <v>186</v>
      </c>
      <c r="B4488" t="s">
        <v>5234</v>
      </c>
      <c r="E4488" s="1515" t="s">
        <v>950</v>
      </c>
      <c r="F4488" s="1515"/>
      <c r="G4488" s="1515"/>
      <c r="H4488" s="1515"/>
      <c r="K4488" t="s">
        <v>949</v>
      </c>
      <c r="V4488">
        <v>11</v>
      </c>
    </row>
    <row r="4489" spans="1:22" customFormat="1" ht="15" x14ac:dyDescent="0.25">
      <c r="A4489" t="s">
        <v>186</v>
      </c>
      <c r="B4489" t="s">
        <v>5234</v>
      </c>
      <c r="E4489" s="1516" t="s">
        <v>951</v>
      </c>
      <c r="F4489" s="1516"/>
      <c r="G4489" s="1516"/>
      <c r="H4489" s="1516"/>
      <c r="K4489" t="s">
        <v>947</v>
      </c>
      <c r="V4489">
        <v>280</v>
      </c>
    </row>
    <row r="4490" spans="1:22" customFormat="1" ht="15" x14ac:dyDescent="0.25">
      <c r="A4490" t="s">
        <v>186</v>
      </c>
      <c r="B4490" t="s">
        <v>5234</v>
      </c>
      <c r="E4490" s="1516" t="s">
        <v>952</v>
      </c>
      <c r="F4490" s="1516"/>
      <c r="G4490" s="1516"/>
      <c r="H4490" s="1516"/>
      <c r="K4490" t="s">
        <v>947</v>
      </c>
      <c r="V4490">
        <v>411</v>
      </c>
    </row>
    <row r="4491" spans="1:22" customFormat="1" ht="15" x14ac:dyDescent="0.25">
      <c r="A4491" t="s">
        <v>186</v>
      </c>
      <c r="B4491" t="s">
        <v>5234</v>
      </c>
      <c r="E4491" s="1516" t="s">
        <v>3761</v>
      </c>
      <c r="F4491" s="1516"/>
      <c r="G4491" s="1516"/>
      <c r="H4491" s="1516"/>
      <c r="K4491" t="s">
        <v>947</v>
      </c>
      <c r="V4491">
        <v>387</v>
      </c>
    </row>
    <row r="4492" spans="1:22" customFormat="1" ht="15" x14ac:dyDescent="0.25">
      <c r="A4492" t="s">
        <v>186</v>
      </c>
      <c r="B4492" t="s">
        <v>5234</v>
      </c>
      <c r="E4492" s="1516" t="s">
        <v>3762</v>
      </c>
      <c r="F4492" s="1516"/>
      <c r="G4492" s="1516"/>
      <c r="H4492" s="1516"/>
      <c r="K4492" t="s">
        <v>947</v>
      </c>
      <c r="V4492">
        <v>247</v>
      </c>
    </row>
    <row r="4493" spans="1:22" customFormat="1" ht="15" x14ac:dyDescent="0.25">
      <c r="A4493" t="s">
        <v>186</v>
      </c>
      <c r="B4493" t="s">
        <v>5234</v>
      </c>
      <c r="E4493" s="1515" t="s">
        <v>956</v>
      </c>
      <c r="F4493" s="1515"/>
      <c r="G4493" s="1515"/>
      <c r="H4493" s="1515"/>
      <c r="K4493" t="s">
        <v>955</v>
      </c>
      <c r="V4493">
        <v>46</v>
      </c>
    </row>
    <row r="4494" spans="1:22" customFormat="1" ht="15" x14ac:dyDescent="0.25">
      <c r="A4494" t="s">
        <v>186</v>
      </c>
      <c r="B4494" t="s">
        <v>5234</v>
      </c>
      <c r="E4494" s="1507" t="s">
        <v>3773</v>
      </c>
      <c r="F4494" s="1507"/>
      <c r="G4494" s="584" t="s">
        <v>777</v>
      </c>
      <c r="H4494" s="576">
        <v>33.380000000000003</v>
      </c>
      <c r="K4494" t="s">
        <v>947</v>
      </c>
      <c r="L4494" t="s">
        <v>690</v>
      </c>
      <c r="P4494" t="s">
        <v>957</v>
      </c>
      <c r="V4494">
        <v>14</v>
      </c>
    </row>
    <row r="4495" spans="1:22" customFormat="1" ht="15" x14ac:dyDescent="0.25">
      <c r="A4495" t="s">
        <v>186</v>
      </c>
      <c r="B4495" t="s">
        <v>5234</v>
      </c>
      <c r="E4495" s="1507" t="s">
        <v>6748</v>
      </c>
      <c r="F4495" s="1507"/>
      <c r="G4495" s="584" t="s">
        <v>777</v>
      </c>
      <c r="H4495" s="576">
        <v>0.56000000000000005</v>
      </c>
      <c r="K4495" t="s">
        <v>947</v>
      </c>
      <c r="L4495" t="s">
        <v>690</v>
      </c>
      <c r="P4495" t="s">
        <v>5121</v>
      </c>
      <c r="V4495">
        <v>139</v>
      </c>
    </row>
    <row r="4496" spans="1:22" customFormat="1" ht="15" x14ac:dyDescent="0.25">
      <c r="A4496" t="s">
        <v>186</v>
      </c>
      <c r="B4496" t="s">
        <v>5234</v>
      </c>
      <c r="E4496" s="1507" t="s">
        <v>6749</v>
      </c>
      <c r="F4496" s="1507"/>
      <c r="G4496" s="584" t="s">
        <v>777</v>
      </c>
      <c r="H4496" s="576">
        <v>0.28999999999999998</v>
      </c>
      <c r="K4496" t="s">
        <v>947</v>
      </c>
      <c r="L4496" t="s">
        <v>690</v>
      </c>
      <c r="P4496" t="s">
        <v>6750</v>
      </c>
      <c r="V4496">
        <v>135</v>
      </c>
    </row>
    <row r="4497" spans="1:22" customFormat="1" ht="15" x14ac:dyDescent="0.25">
      <c r="A4497" t="s">
        <v>186</v>
      </c>
      <c r="B4497" t="s">
        <v>5234</v>
      </c>
      <c r="E4497" s="1507" t="s">
        <v>960</v>
      </c>
      <c r="F4497" s="1507"/>
      <c r="G4497" s="584" t="s">
        <v>777</v>
      </c>
      <c r="H4497" s="576">
        <v>0.42</v>
      </c>
      <c r="K4497" t="s">
        <v>947</v>
      </c>
      <c r="L4497" t="s">
        <v>692</v>
      </c>
      <c r="P4497" t="s">
        <v>959</v>
      </c>
      <c r="V4497">
        <v>64</v>
      </c>
    </row>
    <row r="4498" spans="1:22" customFormat="1" ht="15" x14ac:dyDescent="0.25">
      <c r="A4498" t="s">
        <v>186</v>
      </c>
      <c r="B4498" t="s">
        <v>5234</v>
      </c>
      <c r="E4498" s="1507" t="s">
        <v>910</v>
      </c>
      <c r="F4498" s="1507"/>
      <c r="G4498" s="584" t="s">
        <v>845</v>
      </c>
      <c r="H4498" s="577">
        <v>2.9999999999999997E-4</v>
      </c>
      <c r="K4498" t="s">
        <v>947</v>
      </c>
      <c r="L4498" t="s">
        <v>692</v>
      </c>
      <c r="P4498" t="s">
        <v>961</v>
      </c>
      <c r="V4498">
        <v>24</v>
      </c>
    </row>
    <row r="4499" spans="1:22" customFormat="1" ht="15" x14ac:dyDescent="0.25">
      <c r="A4499" t="s">
        <v>186</v>
      </c>
      <c r="B4499" t="s">
        <v>5234</v>
      </c>
      <c r="E4499" s="1507" t="s">
        <v>6519</v>
      </c>
      <c r="F4499" s="1507"/>
      <c r="G4499" s="584" t="s">
        <v>845</v>
      </c>
      <c r="H4499" s="577">
        <v>2.3999999999999998E-3</v>
      </c>
      <c r="K4499" t="s">
        <v>947</v>
      </c>
      <c r="L4499" t="s">
        <v>692</v>
      </c>
      <c r="P4499" t="s">
        <v>962</v>
      </c>
      <c r="T4499">
        <v>46022</v>
      </c>
      <c r="V4499">
        <v>142</v>
      </c>
    </row>
    <row r="4500" spans="1:22" customFormat="1" ht="15" x14ac:dyDescent="0.25">
      <c r="A4500" t="s">
        <v>186</v>
      </c>
      <c r="B4500" t="s">
        <v>5234</v>
      </c>
      <c r="E4500" s="1507" t="s">
        <v>6520</v>
      </c>
      <c r="F4500" s="1507"/>
      <c r="G4500" s="584" t="s">
        <v>845</v>
      </c>
      <c r="H4500" s="577">
        <v>-2.9999999999999997E-4</v>
      </c>
      <c r="K4500" t="s">
        <v>947</v>
      </c>
      <c r="L4500" t="s">
        <v>692</v>
      </c>
      <c r="P4500" t="s">
        <v>963</v>
      </c>
      <c r="T4500">
        <v>46022</v>
      </c>
      <c r="V4500">
        <v>99</v>
      </c>
    </row>
    <row r="4501" spans="1:22" customFormat="1" ht="15" x14ac:dyDescent="0.25">
      <c r="A4501" t="s">
        <v>186</v>
      </c>
      <c r="B4501" t="s">
        <v>5234</v>
      </c>
      <c r="E4501" s="1507" t="s">
        <v>6521</v>
      </c>
      <c r="F4501" s="1507"/>
      <c r="G4501" s="584" t="s">
        <v>845</v>
      </c>
      <c r="H4501" s="577">
        <v>1E-4</v>
      </c>
      <c r="K4501" t="s">
        <v>947</v>
      </c>
      <c r="L4501" t="s">
        <v>692</v>
      </c>
      <c r="P4501" t="s">
        <v>3764</v>
      </c>
      <c r="T4501">
        <v>46022</v>
      </c>
      <c r="V4501">
        <v>149</v>
      </c>
    </row>
    <row r="4502" spans="1:22" customFormat="1" ht="15" x14ac:dyDescent="0.25">
      <c r="A4502" t="s">
        <v>186</v>
      </c>
      <c r="B4502" t="s">
        <v>5234</v>
      </c>
      <c r="E4502" s="1507" t="s">
        <v>243</v>
      </c>
      <c r="F4502" s="1507"/>
      <c r="G4502" s="584" t="s">
        <v>845</v>
      </c>
      <c r="H4502" s="577">
        <v>1.04E-2</v>
      </c>
      <c r="K4502" t="s">
        <v>947</v>
      </c>
      <c r="L4502" t="s">
        <v>694</v>
      </c>
      <c r="P4502" t="s">
        <v>964</v>
      </c>
      <c r="V4502">
        <v>47</v>
      </c>
    </row>
    <row r="4503" spans="1:22" customFormat="1" ht="15" x14ac:dyDescent="0.25">
      <c r="A4503" t="s">
        <v>186</v>
      </c>
      <c r="B4503" t="s">
        <v>5234</v>
      </c>
      <c r="E4503" s="1507" t="s">
        <v>175</v>
      </c>
      <c r="F4503" s="1507"/>
      <c r="G4503" s="584" t="s">
        <v>845</v>
      </c>
      <c r="H4503" s="577">
        <v>6.0000000000000001E-3</v>
      </c>
      <c r="K4503" t="s">
        <v>947</v>
      </c>
      <c r="L4503" t="s">
        <v>694</v>
      </c>
      <c r="P4503" t="s">
        <v>965</v>
      </c>
      <c r="V4503">
        <v>74</v>
      </c>
    </row>
    <row r="4504" spans="1:22" customFormat="1" ht="15" x14ac:dyDescent="0.25">
      <c r="A4504" t="s">
        <v>186</v>
      </c>
      <c r="B4504" t="s">
        <v>5234</v>
      </c>
      <c r="E4504" s="1515" t="s">
        <v>967</v>
      </c>
      <c r="F4504" s="1515"/>
      <c r="G4504" s="584"/>
      <c r="H4504" s="584"/>
      <c r="K4504" t="s">
        <v>966</v>
      </c>
      <c r="V4504">
        <v>48</v>
      </c>
    </row>
    <row r="4505" spans="1:22" customFormat="1" ht="15" x14ac:dyDescent="0.25">
      <c r="A4505" t="s">
        <v>186</v>
      </c>
      <c r="B4505" t="s">
        <v>5234</v>
      </c>
      <c r="E4505" s="1507" t="s">
        <v>844</v>
      </c>
      <c r="F4505" s="1507"/>
      <c r="G4505" s="584" t="s">
        <v>845</v>
      </c>
      <c r="H4505" s="577">
        <v>4.1000000000000003E-3</v>
      </c>
      <c r="K4505" t="s">
        <v>947</v>
      </c>
      <c r="L4505" t="s">
        <v>968</v>
      </c>
      <c r="P4505" t="s">
        <v>969</v>
      </c>
      <c r="V4505">
        <v>55</v>
      </c>
    </row>
    <row r="4506" spans="1:22" customFormat="1" ht="15" x14ac:dyDescent="0.25">
      <c r="A4506" t="s">
        <v>186</v>
      </c>
      <c r="B4506" t="s">
        <v>5234</v>
      </c>
      <c r="E4506" s="1507" t="s">
        <v>846</v>
      </c>
      <c r="F4506" s="1507"/>
      <c r="G4506" s="584" t="s">
        <v>845</v>
      </c>
      <c r="H4506" s="577">
        <v>4.0000000000000002E-4</v>
      </c>
      <c r="K4506" t="s">
        <v>947</v>
      </c>
      <c r="L4506" t="s">
        <v>968</v>
      </c>
      <c r="P4506" t="s">
        <v>969</v>
      </c>
      <c r="V4506">
        <v>65</v>
      </c>
    </row>
    <row r="4507" spans="1:22" customFormat="1" ht="15" x14ac:dyDescent="0.25">
      <c r="A4507" t="s">
        <v>186</v>
      </c>
      <c r="B4507" t="s">
        <v>5234</v>
      </c>
      <c r="E4507" s="1507" t="s">
        <v>847</v>
      </c>
      <c r="F4507" s="1507"/>
      <c r="G4507" s="584" t="s">
        <v>845</v>
      </c>
      <c r="H4507" s="577">
        <v>1.5E-3</v>
      </c>
      <c r="K4507" t="s">
        <v>947</v>
      </c>
      <c r="L4507" t="s">
        <v>968</v>
      </c>
      <c r="P4507" t="s">
        <v>970</v>
      </c>
      <c r="V4507">
        <v>57</v>
      </c>
    </row>
    <row r="4508" spans="1:22" customFormat="1" ht="15" x14ac:dyDescent="0.25">
      <c r="A4508" t="s">
        <v>186</v>
      </c>
      <c r="B4508" t="s">
        <v>5234</v>
      </c>
      <c r="E4508" s="1507" t="s">
        <v>848</v>
      </c>
      <c r="F4508" s="1507"/>
      <c r="G4508" s="584" t="s">
        <v>777</v>
      </c>
      <c r="H4508" s="576">
        <v>0.25</v>
      </c>
      <c r="K4508" t="s">
        <v>947</v>
      </c>
      <c r="L4508" t="s">
        <v>968</v>
      </c>
      <c r="P4508" t="s">
        <v>971</v>
      </c>
      <c r="V4508">
        <v>63</v>
      </c>
    </row>
    <row r="4509" spans="1:22" customFormat="1" ht="15" x14ac:dyDescent="0.25">
      <c r="A4509" t="s">
        <v>186</v>
      </c>
      <c r="B4509" t="s">
        <v>5234</v>
      </c>
      <c r="E4509" s="1513" t="s">
        <v>6747</v>
      </c>
      <c r="F4509" s="1513"/>
      <c r="G4509" s="1513"/>
      <c r="H4509" s="1513"/>
      <c r="K4509" t="s">
        <v>6747</v>
      </c>
      <c r="V4509">
        <v>12</v>
      </c>
    </row>
    <row r="4510" spans="1:22" customFormat="1" x14ac:dyDescent="0.25">
      <c r="A4510" t="s">
        <v>186</v>
      </c>
      <c r="B4510" t="s">
        <v>5234</v>
      </c>
      <c r="E4510" s="1492" t="s">
        <v>174</v>
      </c>
      <c r="F4510" s="1492"/>
      <c r="G4510" s="1492"/>
      <c r="H4510" s="1492"/>
      <c r="K4510" t="s">
        <v>972</v>
      </c>
      <c r="V4510">
        <v>54</v>
      </c>
    </row>
    <row r="4511" spans="1:22" customFormat="1" ht="15" x14ac:dyDescent="0.25">
      <c r="A4511" t="s">
        <v>186</v>
      </c>
      <c r="B4511" t="s">
        <v>5234</v>
      </c>
      <c r="E4511" s="1516" t="s">
        <v>5237</v>
      </c>
      <c r="F4511" s="1516"/>
      <c r="G4511" s="1516"/>
      <c r="H4511" s="1516"/>
      <c r="K4511" t="s">
        <v>972</v>
      </c>
      <c r="V4511">
        <v>634</v>
      </c>
    </row>
    <row r="4512" spans="1:22" customFormat="1" ht="15" x14ac:dyDescent="0.25">
      <c r="A4512" t="s">
        <v>186</v>
      </c>
      <c r="B4512" t="s">
        <v>5234</v>
      </c>
      <c r="E4512" s="1515" t="s">
        <v>950</v>
      </c>
      <c r="F4512" s="1515"/>
      <c r="G4512" s="1515"/>
      <c r="H4512" s="1515"/>
      <c r="K4512" t="s">
        <v>974</v>
      </c>
      <c r="V4512">
        <v>11</v>
      </c>
    </row>
    <row r="4513" spans="1:22" customFormat="1" ht="15" x14ac:dyDescent="0.25">
      <c r="A4513" t="s">
        <v>186</v>
      </c>
      <c r="B4513" t="s">
        <v>5234</v>
      </c>
      <c r="E4513" s="1516" t="s">
        <v>951</v>
      </c>
      <c r="F4513" s="1516"/>
      <c r="G4513" s="1516"/>
      <c r="H4513" s="1516"/>
      <c r="K4513" t="s">
        <v>972</v>
      </c>
      <c r="V4513">
        <v>280</v>
      </c>
    </row>
    <row r="4514" spans="1:22" customFormat="1" ht="15" x14ac:dyDescent="0.25">
      <c r="A4514" t="s">
        <v>186</v>
      </c>
      <c r="B4514" t="s">
        <v>5234</v>
      </c>
      <c r="E4514" s="1516" t="s">
        <v>952</v>
      </c>
      <c r="F4514" s="1516"/>
      <c r="G4514" s="1516"/>
      <c r="H4514" s="1516"/>
      <c r="K4514" t="s">
        <v>972</v>
      </c>
      <c r="V4514">
        <v>411</v>
      </c>
    </row>
    <row r="4515" spans="1:22" customFormat="1" ht="15" x14ac:dyDescent="0.25">
      <c r="A4515" t="s">
        <v>186</v>
      </c>
      <c r="B4515" t="s">
        <v>5234</v>
      </c>
      <c r="E4515" s="1516" t="s">
        <v>3761</v>
      </c>
      <c r="F4515" s="1516"/>
      <c r="G4515" s="1516"/>
      <c r="H4515" s="1516"/>
      <c r="K4515" t="s">
        <v>972</v>
      </c>
      <c r="V4515">
        <v>387</v>
      </c>
    </row>
    <row r="4516" spans="1:22" customFormat="1" ht="15" x14ac:dyDescent="0.25">
      <c r="A4516" t="s">
        <v>186</v>
      </c>
      <c r="B4516" t="s">
        <v>5234</v>
      </c>
      <c r="E4516" s="1516" t="s">
        <v>3762</v>
      </c>
      <c r="F4516" s="1516"/>
      <c r="G4516" s="1516"/>
      <c r="H4516" s="1516"/>
      <c r="K4516" t="s">
        <v>972</v>
      </c>
      <c r="V4516">
        <v>247</v>
      </c>
    </row>
    <row r="4517" spans="1:22" customFormat="1" ht="15" x14ac:dyDescent="0.25">
      <c r="A4517" t="s">
        <v>186</v>
      </c>
      <c r="B4517" t="s">
        <v>5234</v>
      </c>
      <c r="E4517" s="1515" t="s">
        <v>956</v>
      </c>
      <c r="F4517" s="1515"/>
      <c r="G4517" s="1515"/>
      <c r="H4517" s="1515"/>
      <c r="K4517" t="s">
        <v>975</v>
      </c>
      <c r="V4517">
        <v>46</v>
      </c>
    </row>
    <row r="4518" spans="1:22" customFormat="1" ht="15" x14ac:dyDescent="0.25">
      <c r="A4518" t="s">
        <v>186</v>
      </c>
      <c r="B4518" t="s">
        <v>5234</v>
      </c>
      <c r="E4518" s="1507" t="s">
        <v>3773</v>
      </c>
      <c r="F4518" s="1507"/>
      <c r="G4518" s="584" t="s">
        <v>777</v>
      </c>
      <c r="H4518" s="576">
        <v>17.98</v>
      </c>
      <c r="K4518" t="s">
        <v>972</v>
      </c>
      <c r="L4518" t="s">
        <v>690</v>
      </c>
      <c r="P4518" t="s">
        <v>976</v>
      </c>
      <c r="V4518">
        <v>14</v>
      </c>
    </row>
    <row r="4519" spans="1:22" customFormat="1" ht="15" x14ac:dyDescent="0.25">
      <c r="A4519" t="s">
        <v>186</v>
      </c>
      <c r="B4519" t="s">
        <v>5234</v>
      </c>
      <c r="E4519" s="1507" t="s">
        <v>6751</v>
      </c>
      <c r="F4519" s="1507"/>
      <c r="G4519" s="584" t="s">
        <v>777</v>
      </c>
      <c r="H4519" s="576">
        <v>1.1200000000000001</v>
      </c>
      <c r="K4519" t="s">
        <v>972</v>
      </c>
      <c r="L4519" t="s">
        <v>690</v>
      </c>
      <c r="P4519" t="s">
        <v>6752</v>
      </c>
      <c r="V4519">
        <v>139</v>
      </c>
    </row>
    <row r="4520" spans="1:22" customFormat="1" ht="15" x14ac:dyDescent="0.25">
      <c r="A4520" t="s">
        <v>186</v>
      </c>
      <c r="B4520" t="s">
        <v>5234</v>
      </c>
      <c r="E4520" s="1507" t="s">
        <v>6749</v>
      </c>
      <c r="F4520" s="1507"/>
      <c r="G4520" s="584" t="s">
        <v>777</v>
      </c>
      <c r="H4520" s="576">
        <v>0.57999999999999996</v>
      </c>
      <c r="K4520" t="s">
        <v>972</v>
      </c>
      <c r="L4520" t="s">
        <v>690</v>
      </c>
      <c r="P4520" t="s">
        <v>6753</v>
      </c>
      <c r="V4520">
        <v>135</v>
      </c>
    </row>
    <row r="4521" spans="1:22" customFormat="1" ht="15" x14ac:dyDescent="0.25">
      <c r="A4521" t="s">
        <v>186</v>
      </c>
      <c r="B4521" t="s">
        <v>5234</v>
      </c>
      <c r="E4521" s="1507" t="s">
        <v>960</v>
      </c>
      <c r="F4521" s="1507"/>
      <c r="G4521" s="584" t="s">
        <v>777</v>
      </c>
      <c r="H4521" s="576">
        <v>0.42</v>
      </c>
      <c r="K4521" t="s">
        <v>972</v>
      </c>
      <c r="L4521" t="s">
        <v>692</v>
      </c>
      <c r="P4521" t="s">
        <v>977</v>
      </c>
      <c r="V4521">
        <v>64</v>
      </c>
    </row>
    <row r="4522" spans="1:22" customFormat="1" ht="15" x14ac:dyDescent="0.25">
      <c r="A4522" t="s">
        <v>186</v>
      </c>
      <c r="B4522" t="s">
        <v>5234</v>
      </c>
      <c r="E4522" s="1507" t="s">
        <v>3688</v>
      </c>
      <c r="F4522" s="1507"/>
      <c r="G4522" s="584" t="s">
        <v>845</v>
      </c>
      <c r="H4522" s="577">
        <v>1.9099999999999999E-2</v>
      </c>
      <c r="K4522" t="s">
        <v>972</v>
      </c>
      <c r="L4522" t="s">
        <v>690</v>
      </c>
      <c r="P4522" t="s">
        <v>978</v>
      </c>
      <c r="V4522">
        <v>28</v>
      </c>
    </row>
    <row r="4523" spans="1:22" customFormat="1" ht="15" x14ac:dyDescent="0.25">
      <c r="A4523" t="s">
        <v>186</v>
      </c>
      <c r="B4523" t="s">
        <v>5234</v>
      </c>
      <c r="E4523" s="1507" t="s">
        <v>910</v>
      </c>
      <c r="F4523" s="1507"/>
      <c r="G4523" s="584" t="s">
        <v>845</v>
      </c>
      <c r="H4523" s="577">
        <v>2.0000000000000001E-4</v>
      </c>
      <c r="K4523" t="s">
        <v>972</v>
      </c>
      <c r="L4523" t="s">
        <v>692</v>
      </c>
      <c r="P4523" t="s">
        <v>980</v>
      </c>
      <c r="V4523">
        <v>24</v>
      </c>
    </row>
    <row r="4524" spans="1:22" customFormat="1" ht="15" x14ac:dyDescent="0.25">
      <c r="A4524" t="s">
        <v>186</v>
      </c>
      <c r="B4524" t="s">
        <v>5234</v>
      </c>
      <c r="E4524" s="1507" t="s">
        <v>6519</v>
      </c>
      <c r="F4524" s="1507"/>
      <c r="G4524" s="584" t="s">
        <v>845</v>
      </c>
      <c r="H4524" s="577">
        <v>2.3999999999999998E-3</v>
      </c>
      <c r="K4524" t="s">
        <v>972</v>
      </c>
      <c r="L4524" t="s">
        <v>692</v>
      </c>
      <c r="P4524" t="s">
        <v>981</v>
      </c>
      <c r="T4524">
        <v>46022</v>
      </c>
      <c r="V4524">
        <v>142</v>
      </c>
    </row>
    <row r="4525" spans="1:22" customFormat="1" ht="15" x14ac:dyDescent="0.25">
      <c r="A4525" t="s">
        <v>186</v>
      </c>
      <c r="B4525" t="s">
        <v>5234</v>
      </c>
      <c r="E4525" s="1507" t="s">
        <v>6754</v>
      </c>
      <c r="F4525" s="1507"/>
      <c r="G4525" s="584" t="s">
        <v>845</v>
      </c>
      <c r="H4525" s="577">
        <v>1.9E-3</v>
      </c>
      <c r="K4525" t="s">
        <v>972</v>
      </c>
      <c r="L4525" t="s">
        <v>690</v>
      </c>
      <c r="P4525" t="s">
        <v>3931</v>
      </c>
      <c r="T4525">
        <v>46022</v>
      </c>
      <c r="V4525">
        <v>139</v>
      </c>
    </row>
    <row r="4526" spans="1:22" customFormat="1" ht="15" x14ac:dyDescent="0.25">
      <c r="A4526" t="s">
        <v>186</v>
      </c>
      <c r="B4526" t="s">
        <v>5234</v>
      </c>
      <c r="E4526" s="1507" t="s">
        <v>6520</v>
      </c>
      <c r="F4526" s="1507"/>
      <c r="G4526" s="584" t="s">
        <v>845</v>
      </c>
      <c r="H4526" s="577">
        <v>-1E-4</v>
      </c>
      <c r="K4526" t="s">
        <v>972</v>
      </c>
      <c r="L4526" t="s">
        <v>692</v>
      </c>
      <c r="P4526" t="s">
        <v>982</v>
      </c>
      <c r="T4526">
        <v>46022</v>
      </c>
      <c r="V4526">
        <v>99</v>
      </c>
    </row>
    <row r="4527" spans="1:22" customFormat="1" ht="15" x14ac:dyDescent="0.25">
      <c r="A4527" t="s">
        <v>186</v>
      </c>
      <c r="B4527" t="s">
        <v>5234</v>
      </c>
      <c r="E4527" s="1507" t="s">
        <v>6521</v>
      </c>
      <c r="F4527" s="1507"/>
      <c r="G4527" s="584" t="s">
        <v>845</v>
      </c>
      <c r="H4527" s="577">
        <v>1E-4</v>
      </c>
      <c r="K4527" t="s">
        <v>972</v>
      </c>
      <c r="L4527" t="s">
        <v>692</v>
      </c>
      <c r="P4527" t="s">
        <v>3766</v>
      </c>
      <c r="T4527">
        <v>46022</v>
      </c>
      <c r="V4527">
        <v>149</v>
      </c>
    </row>
    <row r="4528" spans="1:22" customFormat="1" ht="15" x14ac:dyDescent="0.25">
      <c r="A4528" t="s">
        <v>186</v>
      </c>
      <c r="B4528" t="s">
        <v>5234</v>
      </c>
      <c r="E4528" s="1507" t="s">
        <v>6716</v>
      </c>
      <c r="F4528" s="1507"/>
      <c r="G4528" s="584" t="s">
        <v>845</v>
      </c>
      <c r="H4528" s="577">
        <v>1E-3</v>
      </c>
      <c r="K4528" t="s">
        <v>972</v>
      </c>
      <c r="L4528" t="s">
        <v>690</v>
      </c>
      <c r="P4528" t="s">
        <v>6755</v>
      </c>
      <c r="T4528">
        <v>46022</v>
      </c>
      <c r="V4528">
        <v>74</v>
      </c>
    </row>
    <row r="4529" spans="1:22" customFormat="1" ht="15" x14ac:dyDescent="0.25">
      <c r="A4529" t="s">
        <v>186</v>
      </c>
      <c r="B4529" t="s">
        <v>5234</v>
      </c>
      <c r="E4529" s="1507" t="s">
        <v>243</v>
      </c>
      <c r="F4529" s="1507"/>
      <c r="G4529" s="584" t="s">
        <v>845</v>
      </c>
      <c r="H4529" s="577">
        <v>9.4999999999999998E-3</v>
      </c>
      <c r="K4529" t="s">
        <v>972</v>
      </c>
      <c r="L4529" t="s">
        <v>694</v>
      </c>
      <c r="P4529" t="s">
        <v>983</v>
      </c>
      <c r="V4529">
        <v>47</v>
      </c>
    </row>
    <row r="4530" spans="1:22" customFormat="1" ht="15" x14ac:dyDescent="0.25">
      <c r="A4530" t="s">
        <v>186</v>
      </c>
      <c r="B4530" t="s">
        <v>5234</v>
      </c>
      <c r="E4530" s="1507" t="s">
        <v>175</v>
      </c>
      <c r="F4530" s="1507"/>
      <c r="G4530" s="584" t="s">
        <v>845</v>
      </c>
      <c r="H4530" s="577">
        <v>5.1999999999999998E-3</v>
      </c>
      <c r="K4530" t="s">
        <v>972</v>
      </c>
      <c r="L4530" t="s">
        <v>694</v>
      </c>
      <c r="P4530" t="s">
        <v>984</v>
      </c>
      <c r="V4530">
        <v>74</v>
      </c>
    </row>
    <row r="4531" spans="1:22" customFormat="1" ht="15" x14ac:dyDescent="0.25">
      <c r="A4531" t="s">
        <v>186</v>
      </c>
      <c r="B4531" t="s">
        <v>5234</v>
      </c>
      <c r="E4531" s="1515" t="s">
        <v>967</v>
      </c>
      <c r="F4531" s="1515"/>
      <c r="G4531" s="837"/>
      <c r="H4531" s="837"/>
      <c r="K4531" t="s">
        <v>985</v>
      </c>
      <c r="V4531">
        <v>48</v>
      </c>
    </row>
    <row r="4532" spans="1:22" customFormat="1" ht="15" x14ac:dyDescent="0.25">
      <c r="A4532" t="s">
        <v>186</v>
      </c>
      <c r="B4532" t="s">
        <v>5234</v>
      </c>
      <c r="E4532" s="1507" t="s">
        <v>844</v>
      </c>
      <c r="F4532" s="1507"/>
      <c r="G4532" s="584" t="s">
        <v>845</v>
      </c>
      <c r="H4532" s="577">
        <v>4.1000000000000003E-3</v>
      </c>
      <c r="K4532" t="s">
        <v>972</v>
      </c>
      <c r="L4532" t="s">
        <v>968</v>
      </c>
      <c r="P4532" t="s">
        <v>986</v>
      </c>
      <c r="V4532">
        <v>55</v>
      </c>
    </row>
    <row r="4533" spans="1:22" customFormat="1" ht="15" x14ac:dyDescent="0.25">
      <c r="A4533" t="s">
        <v>186</v>
      </c>
      <c r="B4533" t="s">
        <v>5234</v>
      </c>
      <c r="E4533" s="1507" t="s">
        <v>846</v>
      </c>
      <c r="F4533" s="1507"/>
      <c r="G4533" s="584" t="s">
        <v>845</v>
      </c>
      <c r="H4533" s="577">
        <v>4.0000000000000002E-4</v>
      </c>
      <c r="K4533" t="s">
        <v>972</v>
      </c>
      <c r="L4533" t="s">
        <v>968</v>
      </c>
      <c r="P4533" t="s">
        <v>986</v>
      </c>
      <c r="V4533">
        <v>65</v>
      </c>
    </row>
    <row r="4534" spans="1:22" customFormat="1" ht="15" x14ac:dyDescent="0.25">
      <c r="A4534" t="s">
        <v>186</v>
      </c>
      <c r="B4534" t="s">
        <v>5234</v>
      </c>
      <c r="E4534" s="1507" t="s">
        <v>847</v>
      </c>
      <c r="F4534" s="1507"/>
      <c r="G4534" s="584" t="s">
        <v>845</v>
      </c>
      <c r="H4534" s="577">
        <v>1.5E-3</v>
      </c>
      <c r="K4534" t="s">
        <v>972</v>
      </c>
      <c r="L4534" t="s">
        <v>968</v>
      </c>
      <c r="P4534" t="s">
        <v>987</v>
      </c>
      <c r="V4534">
        <v>57</v>
      </c>
    </row>
    <row r="4535" spans="1:22" customFormat="1" ht="15" x14ac:dyDescent="0.25">
      <c r="A4535" t="s">
        <v>186</v>
      </c>
      <c r="B4535" t="s">
        <v>5234</v>
      </c>
      <c r="E4535" s="1507" t="s">
        <v>848</v>
      </c>
      <c r="F4535" s="1507"/>
      <c r="G4535" s="584" t="s">
        <v>777</v>
      </c>
      <c r="H4535" s="576">
        <v>0.25</v>
      </c>
      <c r="K4535" t="s">
        <v>972</v>
      </c>
      <c r="L4535" t="s">
        <v>968</v>
      </c>
      <c r="P4535" t="s">
        <v>988</v>
      </c>
      <c r="V4535">
        <v>63</v>
      </c>
    </row>
    <row r="4536" spans="1:22" customFormat="1" ht="15" x14ac:dyDescent="0.25">
      <c r="A4536" t="s">
        <v>186</v>
      </c>
      <c r="B4536" t="s">
        <v>5234</v>
      </c>
      <c r="E4536" s="1513" t="s">
        <v>6747</v>
      </c>
      <c r="F4536" s="1513"/>
      <c r="G4536" s="1513"/>
      <c r="H4536" s="1513"/>
      <c r="K4536" t="s">
        <v>6747</v>
      </c>
      <c r="V4536">
        <v>12</v>
      </c>
    </row>
    <row r="4537" spans="1:22" customFormat="1" x14ac:dyDescent="0.25">
      <c r="A4537" t="s">
        <v>186</v>
      </c>
      <c r="B4537" t="s">
        <v>5234</v>
      </c>
      <c r="E4537" s="1492" t="s">
        <v>990</v>
      </c>
      <c r="F4537" s="1492"/>
      <c r="G4537" s="1492"/>
      <c r="H4537" s="1492"/>
      <c r="K4537" t="s">
        <v>989</v>
      </c>
      <c r="V4537">
        <v>51</v>
      </c>
    </row>
    <row r="4538" spans="1:22" customFormat="1" ht="15" x14ac:dyDescent="0.25">
      <c r="A4538" t="s">
        <v>186</v>
      </c>
      <c r="B4538" t="s">
        <v>5234</v>
      </c>
      <c r="E4538" s="1516" t="s">
        <v>5238</v>
      </c>
      <c r="F4538" s="1516"/>
      <c r="G4538" s="1516"/>
      <c r="H4538" s="1516"/>
      <c r="K4538" t="s">
        <v>989</v>
      </c>
      <c r="V4538">
        <v>647</v>
      </c>
    </row>
    <row r="4539" spans="1:22" customFormat="1" ht="15" x14ac:dyDescent="0.25">
      <c r="A4539" t="s">
        <v>186</v>
      </c>
      <c r="B4539" t="s">
        <v>5234</v>
      </c>
      <c r="E4539" s="1515" t="s">
        <v>950</v>
      </c>
      <c r="F4539" s="1515"/>
      <c r="G4539" s="1515"/>
      <c r="H4539" s="1515"/>
      <c r="K4539" t="s">
        <v>992</v>
      </c>
      <c r="V4539">
        <v>11</v>
      </c>
    </row>
    <row r="4540" spans="1:22" customFormat="1" ht="15" x14ac:dyDescent="0.25">
      <c r="A4540" t="s">
        <v>186</v>
      </c>
      <c r="B4540" t="s">
        <v>5234</v>
      </c>
      <c r="E4540" s="1516" t="s">
        <v>951</v>
      </c>
      <c r="F4540" s="1516"/>
      <c r="G4540" s="1516"/>
      <c r="H4540" s="1516"/>
      <c r="K4540" t="s">
        <v>989</v>
      </c>
      <c r="V4540">
        <v>280</v>
      </c>
    </row>
    <row r="4541" spans="1:22" customFormat="1" ht="15" x14ac:dyDescent="0.25">
      <c r="A4541" t="s">
        <v>186</v>
      </c>
      <c r="B4541" t="s">
        <v>5234</v>
      </c>
      <c r="E4541" s="1516" t="s">
        <v>952</v>
      </c>
      <c r="F4541" s="1516"/>
      <c r="G4541" s="1516"/>
      <c r="H4541" s="1516"/>
      <c r="K4541" t="s">
        <v>989</v>
      </c>
      <c r="V4541">
        <v>411</v>
      </c>
    </row>
    <row r="4542" spans="1:22" customFormat="1" ht="15" x14ac:dyDescent="0.25">
      <c r="A4542" t="s">
        <v>186</v>
      </c>
      <c r="B4542" t="s">
        <v>5234</v>
      </c>
      <c r="E4542" s="1516" t="s">
        <v>3761</v>
      </c>
      <c r="F4542" s="1516"/>
      <c r="G4542" s="1516"/>
      <c r="H4542" s="1516"/>
      <c r="K4542" t="s">
        <v>989</v>
      </c>
      <c r="V4542">
        <v>387</v>
      </c>
    </row>
    <row r="4543" spans="1:22" customFormat="1" ht="15" x14ac:dyDescent="0.25">
      <c r="A4543" t="s">
        <v>186</v>
      </c>
      <c r="B4543" t="s">
        <v>5234</v>
      </c>
      <c r="E4543" s="1516" t="s">
        <v>3772</v>
      </c>
      <c r="F4543" s="1516"/>
      <c r="G4543" s="1516"/>
      <c r="H4543" s="1516"/>
      <c r="K4543" t="s">
        <v>989</v>
      </c>
      <c r="V4543">
        <v>693</v>
      </c>
    </row>
    <row r="4544" spans="1:22" customFormat="1" ht="15" x14ac:dyDescent="0.25">
      <c r="A4544" t="s">
        <v>186</v>
      </c>
      <c r="B4544" t="s">
        <v>5234</v>
      </c>
      <c r="E4544" s="1516" t="s">
        <v>3771</v>
      </c>
      <c r="F4544" s="1516"/>
      <c r="G4544" s="1516"/>
      <c r="H4544" s="1516"/>
      <c r="K4544" t="s">
        <v>989</v>
      </c>
      <c r="V4544">
        <v>677</v>
      </c>
    </row>
    <row r="4545" spans="1:22" customFormat="1" ht="15" x14ac:dyDescent="0.25">
      <c r="A4545" t="s">
        <v>186</v>
      </c>
      <c r="B4545" t="s">
        <v>5234</v>
      </c>
      <c r="E4545" s="1516" t="s">
        <v>3762</v>
      </c>
      <c r="F4545" s="1516"/>
      <c r="G4545" s="1516"/>
      <c r="H4545" s="1516"/>
      <c r="K4545" t="s">
        <v>989</v>
      </c>
      <c r="V4545">
        <v>247</v>
      </c>
    </row>
    <row r="4546" spans="1:22" customFormat="1" ht="15" x14ac:dyDescent="0.25">
      <c r="A4546" t="s">
        <v>186</v>
      </c>
      <c r="B4546" t="s">
        <v>5234</v>
      </c>
      <c r="E4546" s="1515" t="s">
        <v>956</v>
      </c>
      <c r="F4546" s="1515"/>
      <c r="G4546" s="1515"/>
      <c r="H4546" s="1515"/>
      <c r="K4546" t="s">
        <v>995</v>
      </c>
      <c r="V4546">
        <v>46</v>
      </c>
    </row>
    <row r="4547" spans="1:22" customFormat="1" ht="15" x14ac:dyDescent="0.25">
      <c r="A4547" t="s">
        <v>186</v>
      </c>
      <c r="B4547" t="s">
        <v>5234</v>
      </c>
      <c r="E4547" s="1507" t="s">
        <v>3773</v>
      </c>
      <c r="F4547" s="1507"/>
      <c r="G4547" s="584" t="s">
        <v>777</v>
      </c>
      <c r="H4547" s="576">
        <v>123</v>
      </c>
      <c r="K4547" t="s">
        <v>989</v>
      </c>
      <c r="L4547" t="s">
        <v>690</v>
      </c>
      <c r="P4547" t="s">
        <v>996</v>
      </c>
      <c r="V4547">
        <v>14</v>
      </c>
    </row>
    <row r="4548" spans="1:22" customFormat="1" ht="15" x14ac:dyDescent="0.25">
      <c r="A4548" t="s">
        <v>186</v>
      </c>
      <c r="B4548" t="s">
        <v>5234</v>
      </c>
      <c r="E4548" s="1507" t="s">
        <v>5244</v>
      </c>
      <c r="F4548" s="1507"/>
      <c r="G4548" s="584" t="s">
        <v>777</v>
      </c>
      <c r="H4548" s="576">
        <v>14.23</v>
      </c>
      <c r="K4548" t="s">
        <v>989</v>
      </c>
      <c r="L4548" t="s">
        <v>690</v>
      </c>
      <c r="P4548" t="s">
        <v>6756</v>
      </c>
      <c r="V4548">
        <v>129</v>
      </c>
    </row>
    <row r="4549" spans="1:22" customFormat="1" ht="15" x14ac:dyDescent="0.25">
      <c r="A4549" t="s">
        <v>186</v>
      </c>
      <c r="B4549" t="s">
        <v>5234</v>
      </c>
      <c r="E4549" s="1507" t="s">
        <v>6749</v>
      </c>
      <c r="F4549" s="1507"/>
      <c r="G4549" s="584" t="s">
        <v>777</v>
      </c>
      <c r="H4549" s="576">
        <v>7.62</v>
      </c>
      <c r="K4549" t="s">
        <v>989</v>
      </c>
      <c r="L4549" t="s">
        <v>690</v>
      </c>
      <c r="P4549" t="s">
        <v>6757</v>
      </c>
      <c r="V4549">
        <v>135</v>
      </c>
    </row>
    <row r="4550" spans="1:22" customFormat="1" ht="15" x14ac:dyDescent="0.25">
      <c r="A4550" t="s">
        <v>186</v>
      </c>
      <c r="B4550" t="s">
        <v>5234</v>
      </c>
      <c r="E4550" s="1507" t="s">
        <v>3688</v>
      </c>
      <c r="F4550" s="1507"/>
      <c r="G4550" s="584" t="s">
        <v>3775</v>
      </c>
      <c r="H4550" s="577">
        <v>4.5484</v>
      </c>
      <c r="K4550" t="s">
        <v>989</v>
      </c>
      <c r="L4550" t="s">
        <v>690</v>
      </c>
      <c r="P4550" t="s">
        <v>997</v>
      </c>
      <c r="V4550">
        <v>28</v>
      </c>
    </row>
    <row r="4551" spans="1:22" customFormat="1" ht="15" x14ac:dyDescent="0.25">
      <c r="A4551" t="s">
        <v>186</v>
      </c>
      <c r="B4551" t="s">
        <v>5234</v>
      </c>
      <c r="E4551" s="1507" t="s">
        <v>910</v>
      </c>
      <c r="F4551" s="1507"/>
      <c r="G4551" s="584" t="s">
        <v>3775</v>
      </c>
      <c r="H4551" s="577">
        <v>0.14549999999999999</v>
      </c>
      <c r="K4551" t="s">
        <v>989</v>
      </c>
      <c r="L4551" t="s">
        <v>692</v>
      </c>
      <c r="P4551" t="s">
        <v>998</v>
      </c>
      <c r="V4551">
        <v>24</v>
      </c>
    </row>
    <row r="4552" spans="1:22" customFormat="1" ht="15" x14ac:dyDescent="0.25">
      <c r="A4552" t="s">
        <v>186</v>
      </c>
      <c r="B4552" t="s">
        <v>5234</v>
      </c>
      <c r="E4552" s="1507" t="s">
        <v>6519</v>
      </c>
      <c r="F4552" s="1507"/>
      <c r="G4552" s="584" t="s">
        <v>845</v>
      </c>
      <c r="H4552" s="577">
        <v>2.3999999999999998E-3</v>
      </c>
      <c r="K4552" t="s">
        <v>989</v>
      </c>
      <c r="L4552" t="s">
        <v>692</v>
      </c>
      <c r="P4552" t="s">
        <v>999</v>
      </c>
      <c r="T4552">
        <v>46022</v>
      </c>
      <c r="V4552">
        <v>142</v>
      </c>
    </row>
    <row r="4553" spans="1:22" customFormat="1" ht="15" x14ac:dyDescent="0.25">
      <c r="A4553" t="s">
        <v>186</v>
      </c>
      <c r="B4553" t="s">
        <v>5234</v>
      </c>
      <c r="E4553" s="1507" t="s">
        <v>6754</v>
      </c>
      <c r="F4553" s="1507"/>
      <c r="G4553" s="584" t="s">
        <v>3775</v>
      </c>
      <c r="H4553" s="577">
        <v>3.3999999999999998E-3</v>
      </c>
      <c r="K4553" t="s">
        <v>989</v>
      </c>
      <c r="L4553" t="s">
        <v>690</v>
      </c>
      <c r="P4553" t="s">
        <v>4165</v>
      </c>
      <c r="T4553">
        <v>46022</v>
      </c>
      <c r="V4553">
        <v>139</v>
      </c>
    </row>
    <row r="4554" spans="1:22" customFormat="1" ht="15" x14ac:dyDescent="0.25">
      <c r="A4554" t="s">
        <v>186</v>
      </c>
      <c r="B4554" t="s">
        <v>5234</v>
      </c>
      <c r="E4554" s="1507" t="s">
        <v>6525</v>
      </c>
      <c r="F4554" s="1507"/>
      <c r="G4554" s="584" t="s">
        <v>3775</v>
      </c>
      <c r="H4554" s="577">
        <v>-0.2611</v>
      </c>
      <c r="K4554" t="s">
        <v>989</v>
      </c>
      <c r="L4554" t="s">
        <v>692</v>
      </c>
      <c r="P4554" t="s">
        <v>1000</v>
      </c>
      <c r="T4554">
        <v>46022</v>
      </c>
      <c r="V4554">
        <v>159</v>
      </c>
    </row>
    <row r="4555" spans="1:22" customFormat="1" ht="15" x14ac:dyDescent="0.25">
      <c r="A4555" t="s">
        <v>186</v>
      </c>
      <c r="B4555" t="s">
        <v>5234</v>
      </c>
      <c r="E4555" s="1507" t="s">
        <v>6520</v>
      </c>
      <c r="F4555" s="1507"/>
      <c r="G4555" s="584" t="s">
        <v>3775</v>
      </c>
      <c r="H4555" s="577">
        <v>0.23899999999999999</v>
      </c>
      <c r="K4555" t="s">
        <v>989</v>
      </c>
      <c r="L4555" t="s">
        <v>692</v>
      </c>
      <c r="P4555" t="s">
        <v>1000</v>
      </c>
      <c r="T4555">
        <v>46022</v>
      </c>
      <c r="V4555">
        <v>99</v>
      </c>
    </row>
    <row r="4556" spans="1:22" customFormat="1" ht="15" x14ac:dyDescent="0.25">
      <c r="A4556" t="s">
        <v>186</v>
      </c>
      <c r="B4556" t="s">
        <v>5234</v>
      </c>
      <c r="E4556" s="1507" t="s">
        <v>6521</v>
      </c>
      <c r="F4556" s="1507"/>
      <c r="G4556" s="584" t="s">
        <v>3775</v>
      </c>
      <c r="H4556" s="577">
        <v>4.2900000000000001E-2</v>
      </c>
      <c r="K4556" t="s">
        <v>989</v>
      </c>
      <c r="L4556" t="s">
        <v>692</v>
      </c>
      <c r="P4556" t="s">
        <v>4166</v>
      </c>
      <c r="T4556">
        <v>46022</v>
      </c>
      <c r="V4556">
        <v>149</v>
      </c>
    </row>
    <row r="4557" spans="1:22" customFormat="1" ht="15" x14ac:dyDescent="0.25">
      <c r="A4557" t="s">
        <v>186</v>
      </c>
      <c r="B4557" t="s">
        <v>5234</v>
      </c>
      <c r="E4557" s="1507" t="s">
        <v>6716</v>
      </c>
      <c r="F4557" s="1507"/>
      <c r="G4557" s="584" t="s">
        <v>3775</v>
      </c>
      <c r="H4557" s="577">
        <v>3.0999999999999999E-3</v>
      </c>
      <c r="K4557" t="s">
        <v>989</v>
      </c>
      <c r="L4557" t="s">
        <v>690</v>
      </c>
      <c r="P4557" t="s">
        <v>6758</v>
      </c>
      <c r="T4557">
        <v>46022</v>
      </c>
      <c r="V4557">
        <v>74</v>
      </c>
    </row>
    <row r="4558" spans="1:22" customFormat="1" ht="15" x14ac:dyDescent="0.25">
      <c r="A4558" t="s">
        <v>186</v>
      </c>
      <c r="B4558" t="s">
        <v>5234</v>
      </c>
      <c r="E4558" s="1507" t="s">
        <v>243</v>
      </c>
      <c r="F4558" s="1507"/>
      <c r="G4558" s="584" t="s">
        <v>3775</v>
      </c>
      <c r="H4558" s="577">
        <v>5.5008999999999997</v>
      </c>
      <c r="K4558" t="s">
        <v>989</v>
      </c>
      <c r="L4558" t="s">
        <v>694</v>
      </c>
      <c r="P4558" t="s">
        <v>1001</v>
      </c>
      <c r="V4558">
        <v>47</v>
      </c>
    </row>
    <row r="4559" spans="1:22" customFormat="1" ht="15" x14ac:dyDescent="0.25">
      <c r="A4559" t="s">
        <v>186</v>
      </c>
      <c r="B4559" t="s">
        <v>5234</v>
      </c>
      <c r="E4559" s="1507" t="s">
        <v>5239</v>
      </c>
      <c r="F4559" s="1507"/>
      <c r="G4559" s="584" t="s">
        <v>3775</v>
      </c>
      <c r="H4559" s="577">
        <v>3.0718000000000001</v>
      </c>
      <c r="K4559" t="s">
        <v>989</v>
      </c>
      <c r="L4559" t="s">
        <v>694</v>
      </c>
      <c r="P4559" t="s">
        <v>1002</v>
      </c>
      <c r="V4559">
        <v>110</v>
      </c>
    </row>
    <row r="4560" spans="1:22" customFormat="1" ht="15" x14ac:dyDescent="0.25">
      <c r="A4560" t="s">
        <v>186</v>
      </c>
      <c r="B4560" t="s">
        <v>5234</v>
      </c>
      <c r="E4560" s="1507" t="s">
        <v>5240</v>
      </c>
      <c r="F4560" s="1507"/>
      <c r="G4560" s="584" t="s">
        <v>3775</v>
      </c>
      <c r="H4560" s="577">
        <v>5.5392999999999999</v>
      </c>
      <c r="K4560" t="s">
        <v>989</v>
      </c>
      <c r="L4560" t="s">
        <v>694</v>
      </c>
      <c r="P4560" t="s">
        <v>1001</v>
      </c>
      <c r="V4560">
        <v>75</v>
      </c>
    </row>
    <row r="4561" spans="1:22" customFormat="1" ht="15" x14ac:dyDescent="0.25">
      <c r="A4561" t="s">
        <v>186</v>
      </c>
      <c r="B4561" t="s">
        <v>5234</v>
      </c>
      <c r="E4561" s="1507" t="s">
        <v>5241</v>
      </c>
      <c r="F4561" s="1507"/>
      <c r="G4561" s="584" t="s">
        <v>3775</v>
      </c>
      <c r="H4561" s="577">
        <v>3.1029</v>
      </c>
      <c r="K4561" t="s">
        <v>989</v>
      </c>
      <c r="L4561" t="s">
        <v>694</v>
      </c>
      <c r="P4561" t="s">
        <v>1002</v>
      </c>
      <c r="V4561">
        <v>138</v>
      </c>
    </row>
    <row r="4562" spans="1:22" customFormat="1" ht="15" x14ac:dyDescent="0.25">
      <c r="A4562" t="s">
        <v>186</v>
      </c>
      <c r="B4562" t="s">
        <v>5234</v>
      </c>
      <c r="E4562" s="1515" t="s">
        <v>967</v>
      </c>
      <c r="F4562" s="1515"/>
      <c r="G4562" s="584"/>
      <c r="H4562" s="584"/>
      <c r="K4562" t="s">
        <v>1003</v>
      </c>
      <c r="V4562">
        <v>48</v>
      </c>
    </row>
    <row r="4563" spans="1:22" customFormat="1" ht="15" x14ac:dyDescent="0.25">
      <c r="A4563" t="s">
        <v>186</v>
      </c>
      <c r="B4563" t="s">
        <v>5234</v>
      </c>
      <c r="E4563" s="1507" t="s">
        <v>844</v>
      </c>
      <c r="F4563" s="1507"/>
      <c r="G4563" s="584" t="s">
        <v>845</v>
      </c>
      <c r="H4563" s="577">
        <v>4.1000000000000003E-3</v>
      </c>
      <c r="K4563" t="s">
        <v>989</v>
      </c>
      <c r="L4563" t="s">
        <v>968</v>
      </c>
      <c r="P4563" t="s">
        <v>1004</v>
      </c>
      <c r="V4563">
        <v>55</v>
      </c>
    </row>
    <row r="4564" spans="1:22" customFormat="1" ht="15" x14ac:dyDescent="0.25">
      <c r="A4564" t="s">
        <v>186</v>
      </c>
      <c r="B4564" t="s">
        <v>5234</v>
      </c>
      <c r="E4564" s="1507" t="s">
        <v>846</v>
      </c>
      <c r="F4564" s="1507"/>
      <c r="G4564" s="584" t="s">
        <v>845</v>
      </c>
      <c r="H4564" s="577">
        <v>4.0000000000000002E-4</v>
      </c>
      <c r="K4564" t="s">
        <v>989</v>
      </c>
      <c r="L4564" t="s">
        <v>968</v>
      </c>
      <c r="P4564" t="s">
        <v>1004</v>
      </c>
      <c r="V4564">
        <v>65</v>
      </c>
    </row>
    <row r="4565" spans="1:22" customFormat="1" ht="15" x14ac:dyDescent="0.25">
      <c r="A4565" t="s">
        <v>186</v>
      </c>
      <c r="B4565" t="s">
        <v>5234</v>
      </c>
      <c r="E4565" s="1507" t="s">
        <v>847</v>
      </c>
      <c r="F4565" s="1507"/>
      <c r="G4565" s="584" t="s">
        <v>845</v>
      </c>
      <c r="H4565" s="577">
        <v>1.5E-3</v>
      </c>
      <c r="K4565" t="s">
        <v>989</v>
      </c>
      <c r="L4565" t="s">
        <v>968</v>
      </c>
      <c r="P4565" t="s">
        <v>1005</v>
      </c>
      <c r="V4565">
        <v>57</v>
      </c>
    </row>
    <row r="4566" spans="1:22" customFormat="1" ht="15" x14ac:dyDescent="0.25">
      <c r="A4566" t="s">
        <v>186</v>
      </c>
      <c r="B4566" t="s">
        <v>5234</v>
      </c>
      <c r="E4566" s="1507" t="s">
        <v>848</v>
      </c>
      <c r="F4566" s="1507"/>
      <c r="G4566" s="584" t="s">
        <v>777</v>
      </c>
      <c r="H4566" s="576">
        <v>0.25</v>
      </c>
      <c r="K4566" t="s">
        <v>989</v>
      </c>
      <c r="L4566" t="s">
        <v>968</v>
      </c>
      <c r="P4566" t="s">
        <v>1006</v>
      </c>
      <c r="V4566">
        <v>63</v>
      </c>
    </row>
    <row r="4567" spans="1:22" customFormat="1" ht="15" x14ac:dyDescent="0.25">
      <c r="A4567" t="s">
        <v>186</v>
      </c>
      <c r="B4567" t="s">
        <v>5234</v>
      </c>
      <c r="E4567" s="1513" t="s">
        <v>6747</v>
      </c>
      <c r="F4567" s="1513"/>
      <c r="G4567" s="1513"/>
      <c r="H4567" s="1513"/>
      <c r="K4567" t="s">
        <v>6747</v>
      </c>
      <c r="V4567">
        <v>12</v>
      </c>
    </row>
    <row r="4568" spans="1:22" customFormat="1" x14ac:dyDescent="0.25">
      <c r="A4568" t="s">
        <v>186</v>
      </c>
      <c r="B4568" t="s">
        <v>5234</v>
      </c>
      <c r="E4568" s="1492" t="s">
        <v>1008</v>
      </c>
      <c r="F4568" s="1492"/>
      <c r="G4568" s="1492"/>
      <c r="H4568" s="1492"/>
      <c r="K4568" t="s">
        <v>1007</v>
      </c>
      <c r="V4568">
        <v>56</v>
      </c>
    </row>
    <row r="4569" spans="1:22" customFormat="1" ht="15" x14ac:dyDescent="0.25">
      <c r="A4569" t="s">
        <v>186</v>
      </c>
      <c r="B4569" t="s">
        <v>5234</v>
      </c>
      <c r="E4569" s="1516" t="s">
        <v>5242</v>
      </c>
      <c r="F4569" s="1516"/>
      <c r="G4569" s="1516"/>
      <c r="H4569" s="1516"/>
      <c r="K4569" t="s">
        <v>1007</v>
      </c>
      <c r="V4569">
        <v>663</v>
      </c>
    </row>
    <row r="4570" spans="1:22" customFormat="1" ht="15" x14ac:dyDescent="0.25">
      <c r="A4570" t="s">
        <v>186</v>
      </c>
      <c r="B4570" t="s">
        <v>5234</v>
      </c>
      <c r="E4570" s="1515" t="s">
        <v>950</v>
      </c>
      <c r="F4570" s="1515"/>
      <c r="G4570" s="1515"/>
      <c r="H4570" s="1515"/>
      <c r="K4570" t="s">
        <v>1010</v>
      </c>
      <c r="V4570">
        <v>11</v>
      </c>
    </row>
    <row r="4571" spans="1:22" customFormat="1" ht="15" x14ac:dyDescent="0.25">
      <c r="A4571" t="s">
        <v>186</v>
      </c>
      <c r="B4571" t="s">
        <v>5234</v>
      </c>
      <c r="E4571" s="1516" t="s">
        <v>951</v>
      </c>
      <c r="F4571" s="1516"/>
      <c r="G4571" s="1516"/>
      <c r="H4571" s="1516"/>
      <c r="K4571" t="s">
        <v>1007</v>
      </c>
      <c r="V4571">
        <v>280</v>
      </c>
    </row>
    <row r="4572" spans="1:22" customFormat="1" ht="15" x14ac:dyDescent="0.25">
      <c r="A4572" t="s">
        <v>186</v>
      </c>
      <c r="B4572" t="s">
        <v>5234</v>
      </c>
      <c r="E4572" s="1516" t="s">
        <v>952</v>
      </c>
      <c r="F4572" s="1516"/>
      <c r="G4572" s="1516"/>
      <c r="H4572" s="1516"/>
      <c r="K4572" t="s">
        <v>1007</v>
      </c>
      <c r="V4572">
        <v>411</v>
      </c>
    </row>
    <row r="4573" spans="1:22" customFormat="1" ht="15" x14ac:dyDescent="0.25">
      <c r="A4573" t="s">
        <v>186</v>
      </c>
      <c r="B4573" t="s">
        <v>5234</v>
      </c>
      <c r="E4573" s="1516" t="s">
        <v>3761</v>
      </c>
      <c r="F4573" s="1516"/>
      <c r="G4573" s="1516"/>
      <c r="H4573" s="1516"/>
      <c r="K4573" t="s">
        <v>1007</v>
      </c>
      <c r="V4573">
        <v>387</v>
      </c>
    </row>
    <row r="4574" spans="1:22" customFormat="1" ht="15" x14ac:dyDescent="0.25">
      <c r="A4574" t="s">
        <v>186</v>
      </c>
      <c r="B4574" t="s">
        <v>5234</v>
      </c>
      <c r="E4574" s="1516" t="s">
        <v>3772</v>
      </c>
      <c r="F4574" s="1516"/>
      <c r="G4574" s="1516"/>
      <c r="H4574" s="1516"/>
      <c r="K4574" t="s">
        <v>1007</v>
      </c>
      <c r="V4574">
        <v>693</v>
      </c>
    </row>
    <row r="4575" spans="1:22" customFormat="1" ht="15" x14ac:dyDescent="0.25">
      <c r="A4575" t="s">
        <v>186</v>
      </c>
      <c r="B4575" t="s">
        <v>5234</v>
      </c>
      <c r="E4575" s="1516" t="s">
        <v>3771</v>
      </c>
      <c r="F4575" s="1516"/>
      <c r="G4575" s="1516"/>
      <c r="H4575" s="1516"/>
      <c r="K4575" t="s">
        <v>1007</v>
      </c>
      <c r="V4575">
        <v>677</v>
      </c>
    </row>
    <row r="4576" spans="1:22" customFormat="1" ht="15" x14ac:dyDescent="0.25">
      <c r="A4576" t="s">
        <v>186</v>
      </c>
      <c r="B4576" t="s">
        <v>5234</v>
      </c>
      <c r="E4576" s="1516" t="s">
        <v>3762</v>
      </c>
      <c r="F4576" s="1516"/>
      <c r="G4576" s="1516"/>
      <c r="H4576" s="1516"/>
      <c r="K4576" t="s">
        <v>1007</v>
      </c>
      <c r="V4576">
        <v>247</v>
      </c>
    </row>
    <row r="4577" spans="1:22" customFormat="1" ht="15" x14ac:dyDescent="0.25">
      <c r="A4577" t="s">
        <v>186</v>
      </c>
      <c r="B4577" t="s">
        <v>5234</v>
      </c>
      <c r="E4577" s="1515" t="s">
        <v>956</v>
      </c>
      <c r="F4577" s="1515"/>
      <c r="G4577" s="1515"/>
      <c r="H4577" s="1515"/>
      <c r="K4577" t="s">
        <v>1011</v>
      </c>
      <c r="V4577">
        <v>46</v>
      </c>
    </row>
    <row r="4578" spans="1:22" customFormat="1" ht="15" x14ac:dyDescent="0.25">
      <c r="A4578" t="s">
        <v>186</v>
      </c>
      <c r="B4578" t="s">
        <v>5234</v>
      </c>
      <c r="E4578" s="1507" t="s">
        <v>3773</v>
      </c>
      <c r="F4578" s="1507"/>
      <c r="G4578" s="584" t="s">
        <v>777</v>
      </c>
      <c r="H4578" s="576">
        <v>1038.92</v>
      </c>
      <c r="K4578" t="s">
        <v>1007</v>
      </c>
      <c r="L4578" t="s">
        <v>690</v>
      </c>
      <c r="P4578" t="s">
        <v>1012</v>
      </c>
      <c r="V4578">
        <v>14</v>
      </c>
    </row>
    <row r="4579" spans="1:22" customFormat="1" ht="15" x14ac:dyDescent="0.25">
      <c r="A4579" t="s">
        <v>186</v>
      </c>
      <c r="B4579" t="s">
        <v>5234</v>
      </c>
      <c r="E4579" s="1507" t="s">
        <v>5244</v>
      </c>
      <c r="F4579" s="1507"/>
      <c r="G4579" s="584" t="s">
        <v>777</v>
      </c>
      <c r="H4579" s="576">
        <v>163.21</v>
      </c>
      <c r="K4579" t="s">
        <v>1007</v>
      </c>
      <c r="L4579" t="s">
        <v>690</v>
      </c>
      <c r="P4579" t="s">
        <v>6759</v>
      </c>
      <c r="V4579">
        <v>129</v>
      </c>
    </row>
    <row r="4580" spans="1:22" customFormat="1" ht="15" x14ac:dyDescent="0.25">
      <c r="A4580" t="s">
        <v>186</v>
      </c>
      <c r="B4580" t="s">
        <v>5234</v>
      </c>
      <c r="E4580" s="1507" t="s">
        <v>6749</v>
      </c>
      <c r="F4580" s="1507"/>
      <c r="G4580" s="584" t="s">
        <v>777</v>
      </c>
      <c r="H4580" s="576">
        <v>78.099999999999994</v>
      </c>
      <c r="K4580" t="s">
        <v>1007</v>
      </c>
      <c r="L4580" t="s">
        <v>690</v>
      </c>
      <c r="P4580" t="s">
        <v>6760</v>
      </c>
      <c r="V4580">
        <v>135</v>
      </c>
    </row>
    <row r="4581" spans="1:22" customFormat="1" ht="15" x14ac:dyDescent="0.25">
      <c r="A4581" t="s">
        <v>186</v>
      </c>
      <c r="B4581" t="s">
        <v>5234</v>
      </c>
      <c r="E4581" s="1507" t="s">
        <v>3688</v>
      </c>
      <c r="F4581" s="1507"/>
      <c r="G4581" s="584" t="s">
        <v>3775</v>
      </c>
      <c r="H4581" s="577">
        <v>4.5841000000000003</v>
      </c>
      <c r="K4581" t="s">
        <v>1007</v>
      </c>
      <c r="L4581" t="s">
        <v>690</v>
      </c>
      <c r="P4581" t="s">
        <v>1013</v>
      </c>
      <c r="V4581">
        <v>28</v>
      </c>
    </row>
    <row r="4582" spans="1:22" customFormat="1" ht="15" x14ac:dyDescent="0.25">
      <c r="A4582" t="s">
        <v>186</v>
      </c>
      <c r="B4582" t="s">
        <v>5234</v>
      </c>
      <c r="E4582" s="1507" t="s">
        <v>910</v>
      </c>
      <c r="F4582" s="1507"/>
      <c r="G4582" s="584" t="s">
        <v>3775</v>
      </c>
      <c r="H4582" s="577">
        <v>0.10100000000000001</v>
      </c>
      <c r="K4582" t="s">
        <v>1007</v>
      </c>
      <c r="L4582" t="s">
        <v>692</v>
      </c>
      <c r="P4582" t="s">
        <v>1014</v>
      </c>
      <c r="V4582">
        <v>24</v>
      </c>
    </row>
    <row r="4583" spans="1:22" customFormat="1" ht="15" x14ac:dyDescent="0.25">
      <c r="A4583" t="s">
        <v>186</v>
      </c>
      <c r="B4583" t="s">
        <v>5234</v>
      </c>
      <c r="E4583" s="1507" t="s">
        <v>6519</v>
      </c>
      <c r="F4583" s="1507"/>
      <c r="G4583" s="584" t="s">
        <v>845</v>
      </c>
      <c r="H4583" s="577">
        <v>2.3999999999999998E-3</v>
      </c>
      <c r="K4583" t="s">
        <v>1007</v>
      </c>
      <c r="L4583" t="s">
        <v>692</v>
      </c>
      <c r="P4583" t="s">
        <v>1015</v>
      </c>
      <c r="T4583">
        <v>46022</v>
      </c>
      <c r="V4583">
        <v>142</v>
      </c>
    </row>
    <row r="4584" spans="1:22" customFormat="1" ht="15" x14ac:dyDescent="0.25">
      <c r="A4584" t="s">
        <v>186</v>
      </c>
      <c r="B4584" t="s">
        <v>5234</v>
      </c>
      <c r="E4584" s="1507" t="s">
        <v>6761</v>
      </c>
      <c r="F4584" s="1507"/>
      <c r="G4584" s="584" t="s">
        <v>3775</v>
      </c>
      <c r="H4584" s="577">
        <v>0.1042</v>
      </c>
      <c r="K4584" t="s">
        <v>1007</v>
      </c>
      <c r="L4584" t="s">
        <v>690</v>
      </c>
      <c r="P4584" t="s">
        <v>4169</v>
      </c>
      <c r="T4584">
        <v>46022</v>
      </c>
      <c r="V4584">
        <v>139</v>
      </c>
    </row>
    <row r="4585" spans="1:22" customFormat="1" ht="15" x14ac:dyDescent="0.25">
      <c r="A4585" t="s">
        <v>186</v>
      </c>
      <c r="B4585" t="s">
        <v>5234</v>
      </c>
      <c r="E4585" s="1507" t="s">
        <v>6525</v>
      </c>
      <c r="F4585" s="1507"/>
      <c r="G4585" s="584" t="s">
        <v>3775</v>
      </c>
      <c r="H4585" s="577">
        <v>-0.34150000000000003</v>
      </c>
      <c r="K4585" t="s">
        <v>1007</v>
      </c>
      <c r="L4585" t="s">
        <v>692</v>
      </c>
      <c r="P4585" t="s">
        <v>1016</v>
      </c>
      <c r="T4585">
        <v>46022</v>
      </c>
      <c r="V4585">
        <v>159</v>
      </c>
    </row>
    <row r="4586" spans="1:22" customFormat="1" ht="15" x14ac:dyDescent="0.25">
      <c r="A4586" t="s">
        <v>186</v>
      </c>
      <c r="B4586" t="s">
        <v>5234</v>
      </c>
      <c r="E4586" s="1507" t="s">
        <v>6520</v>
      </c>
      <c r="F4586" s="1507"/>
      <c r="G4586" s="584" t="s">
        <v>3775</v>
      </c>
      <c r="H4586" s="577">
        <v>0.31969999999999998</v>
      </c>
      <c r="K4586" t="s">
        <v>1007</v>
      </c>
      <c r="L4586" t="s">
        <v>692</v>
      </c>
      <c r="P4586" t="s">
        <v>1016</v>
      </c>
      <c r="T4586">
        <v>46022</v>
      </c>
      <c r="V4586">
        <v>99</v>
      </c>
    </row>
    <row r="4587" spans="1:22" customFormat="1" ht="15" x14ac:dyDescent="0.25">
      <c r="A4587" t="s">
        <v>186</v>
      </c>
      <c r="B4587" t="s">
        <v>5234</v>
      </c>
      <c r="E4587" s="1507" t="s">
        <v>6521</v>
      </c>
      <c r="F4587" s="1507"/>
      <c r="G4587" s="584" t="s">
        <v>3775</v>
      </c>
      <c r="H4587" s="577">
        <v>4.8500000000000001E-2</v>
      </c>
      <c r="K4587" t="s">
        <v>1007</v>
      </c>
      <c r="L4587" t="s">
        <v>692</v>
      </c>
      <c r="P4587" t="s">
        <v>4170</v>
      </c>
      <c r="T4587">
        <v>46022</v>
      </c>
      <c r="V4587">
        <v>149</v>
      </c>
    </row>
    <row r="4588" spans="1:22" customFormat="1" ht="15" x14ac:dyDescent="0.25">
      <c r="A4588" t="s">
        <v>186</v>
      </c>
      <c r="B4588" t="s">
        <v>5234</v>
      </c>
      <c r="E4588" s="1507" t="s">
        <v>6716</v>
      </c>
      <c r="F4588" s="1507"/>
      <c r="G4588" s="584" t="s">
        <v>3775</v>
      </c>
      <c r="H4588" s="577">
        <v>6.9800000000000001E-2</v>
      </c>
      <c r="K4588" t="s">
        <v>1007</v>
      </c>
      <c r="L4588" t="s">
        <v>690</v>
      </c>
      <c r="P4588" t="s">
        <v>6762</v>
      </c>
      <c r="T4588">
        <v>46022</v>
      </c>
      <c r="V4588">
        <v>74</v>
      </c>
    </row>
    <row r="4589" spans="1:22" customFormat="1" ht="15" x14ac:dyDescent="0.25">
      <c r="A4589" t="s">
        <v>186</v>
      </c>
      <c r="B4589" t="s">
        <v>5234</v>
      </c>
      <c r="E4589" s="1507" t="s">
        <v>243</v>
      </c>
      <c r="F4589" s="1507"/>
      <c r="G4589" s="584" t="s">
        <v>3775</v>
      </c>
      <c r="H4589" s="577">
        <v>4.0273000000000003</v>
      </c>
      <c r="K4589" t="s">
        <v>1007</v>
      </c>
      <c r="L4589" t="s">
        <v>694</v>
      </c>
      <c r="P4589" t="s">
        <v>1017</v>
      </c>
      <c r="V4589">
        <v>47</v>
      </c>
    </row>
    <row r="4590" spans="1:22" customFormat="1" ht="15" x14ac:dyDescent="0.25">
      <c r="A4590" t="s">
        <v>186</v>
      </c>
      <c r="B4590" t="s">
        <v>5234</v>
      </c>
      <c r="E4590" s="1507" t="s">
        <v>5239</v>
      </c>
      <c r="F4590" s="1507"/>
      <c r="G4590" s="584" t="s">
        <v>3775</v>
      </c>
      <c r="H4590" s="577">
        <v>2.1315</v>
      </c>
      <c r="K4590" t="s">
        <v>1007</v>
      </c>
      <c r="L4590" t="s">
        <v>694</v>
      </c>
      <c r="P4590" t="s">
        <v>1018</v>
      </c>
      <c r="V4590">
        <v>110</v>
      </c>
    </row>
    <row r="4591" spans="1:22" customFormat="1" ht="15" x14ac:dyDescent="0.25">
      <c r="A4591" t="s">
        <v>186</v>
      </c>
      <c r="B4591" t="s">
        <v>5234</v>
      </c>
      <c r="E4591" s="1515" t="s">
        <v>967</v>
      </c>
      <c r="F4591" s="1515"/>
      <c r="G4591" s="584"/>
      <c r="H4591" s="584"/>
      <c r="K4591" t="s">
        <v>1019</v>
      </c>
      <c r="V4591">
        <v>48</v>
      </c>
    </row>
    <row r="4592" spans="1:22" customFormat="1" ht="15" x14ac:dyDescent="0.25">
      <c r="A4592" t="s">
        <v>186</v>
      </c>
      <c r="B4592" t="s">
        <v>5234</v>
      </c>
      <c r="E4592" s="1507" t="s">
        <v>844</v>
      </c>
      <c r="F4592" s="1507"/>
      <c r="G4592" s="584" t="s">
        <v>845</v>
      </c>
      <c r="H4592" s="577">
        <v>4.1000000000000003E-3</v>
      </c>
      <c r="K4592" t="s">
        <v>1007</v>
      </c>
      <c r="L4592" t="s">
        <v>968</v>
      </c>
      <c r="P4592" t="s">
        <v>1020</v>
      </c>
      <c r="V4592">
        <v>55</v>
      </c>
    </row>
    <row r="4593" spans="1:22" customFormat="1" ht="15" x14ac:dyDescent="0.25">
      <c r="A4593" t="s">
        <v>186</v>
      </c>
      <c r="B4593" t="s">
        <v>5234</v>
      </c>
      <c r="E4593" s="1507" t="s">
        <v>846</v>
      </c>
      <c r="F4593" s="1507"/>
      <c r="G4593" s="584" t="s">
        <v>845</v>
      </c>
      <c r="H4593" s="577">
        <v>4.0000000000000002E-4</v>
      </c>
      <c r="K4593" t="s">
        <v>1007</v>
      </c>
      <c r="L4593" t="s">
        <v>968</v>
      </c>
      <c r="P4593" t="s">
        <v>1020</v>
      </c>
      <c r="V4593">
        <v>65</v>
      </c>
    </row>
    <row r="4594" spans="1:22" customFormat="1" ht="15" x14ac:dyDescent="0.25">
      <c r="A4594" t="s">
        <v>186</v>
      </c>
      <c r="B4594" t="s">
        <v>5234</v>
      </c>
      <c r="E4594" s="1507" t="s">
        <v>847</v>
      </c>
      <c r="F4594" s="1507"/>
      <c r="G4594" s="584" t="s">
        <v>845</v>
      </c>
      <c r="H4594" s="577">
        <v>1.5E-3</v>
      </c>
      <c r="K4594" t="s">
        <v>1007</v>
      </c>
      <c r="L4594" t="s">
        <v>968</v>
      </c>
      <c r="P4594" t="s">
        <v>1021</v>
      </c>
      <c r="V4594">
        <v>57</v>
      </c>
    </row>
    <row r="4595" spans="1:22" customFormat="1" ht="15" x14ac:dyDescent="0.25">
      <c r="A4595" t="s">
        <v>186</v>
      </c>
      <c r="B4595" t="s">
        <v>5234</v>
      </c>
      <c r="E4595" s="1507" t="s">
        <v>848</v>
      </c>
      <c r="F4595" s="1507"/>
      <c r="G4595" s="584" t="s">
        <v>777</v>
      </c>
      <c r="H4595" s="576">
        <v>0.25</v>
      </c>
      <c r="K4595" t="s">
        <v>1007</v>
      </c>
      <c r="L4595" t="s">
        <v>968</v>
      </c>
      <c r="P4595" t="s">
        <v>1022</v>
      </c>
      <c r="V4595">
        <v>63</v>
      </c>
    </row>
    <row r="4596" spans="1:22" customFormat="1" ht="15" x14ac:dyDescent="0.25">
      <c r="A4596" t="s">
        <v>186</v>
      </c>
      <c r="B4596" t="s">
        <v>5234</v>
      </c>
      <c r="E4596" s="1513" t="s">
        <v>6747</v>
      </c>
      <c r="F4596" s="1513"/>
      <c r="G4596" s="1513"/>
      <c r="H4596" s="1513"/>
      <c r="K4596" t="s">
        <v>6747</v>
      </c>
      <c r="V4596">
        <v>12</v>
      </c>
    </row>
    <row r="4597" spans="1:22" customFormat="1" x14ac:dyDescent="0.25">
      <c r="A4597" t="s">
        <v>186</v>
      </c>
      <c r="B4597" t="s">
        <v>5234</v>
      </c>
      <c r="E4597" s="1492" t="s">
        <v>189</v>
      </c>
      <c r="F4597" s="1492"/>
      <c r="G4597" s="1492"/>
      <c r="H4597" s="1492"/>
      <c r="K4597" t="s">
        <v>3967</v>
      </c>
      <c r="V4597">
        <v>32</v>
      </c>
    </row>
    <row r="4598" spans="1:22" customFormat="1" ht="15" x14ac:dyDescent="0.25">
      <c r="A4598" t="s">
        <v>186</v>
      </c>
      <c r="B4598" t="s">
        <v>5234</v>
      </c>
      <c r="E4598" s="1516" t="s">
        <v>5243</v>
      </c>
      <c r="F4598" s="1516"/>
      <c r="G4598" s="1516"/>
      <c r="H4598" s="1516"/>
      <c r="K4598" t="s">
        <v>3967</v>
      </c>
      <c r="V4598">
        <v>626</v>
      </c>
    </row>
    <row r="4599" spans="1:22" customFormat="1" ht="15" x14ac:dyDescent="0.25">
      <c r="A4599" t="s">
        <v>186</v>
      </c>
      <c r="B4599" t="s">
        <v>5234</v>
      </c>
      <c r="E4599" s="1515" t="s">
        <v>950</v>
      </c>
      <c r="F4599" s="1515"/>
      <c r="G4599" s="1515"/>
      <c r="H4599" s="1515"/>
      <c r="K4599" t="s">
        <v>1025</v>
      </c>
      <c r="V4599">
        <v>11</v>
      </c>
    </row>
    <row r="4600" spans="1:22" customFormat="1" ht="15" x14ac:dyDescent="0.25">
      <c r="A4600" t="s">
        <v>186</v>
      </c>
      <c r="B4600" t="s">
        <v>5234</v>
      </c>
      <c r="E4600" s="1516" t="s">
        <v>951</v>
      </c>
      <c r="F4600" s="1516"/>
      <c r="G4600" s="1516"/>
      <c r="H4600" s="1516"/>
      <c r="K4600" t="s">
        <v>3967</v>
      </c>
      <c r="V4600">
        <v>280</v>
      </c>
    </row>
    <row r="4601" spans="1:22" customFormat="1" ht="15" x14ac:dyDescent="0.25">
      <c r="A4601" t="s">
        <v>186</v>
      </c>
      <c r="B4601" t="s">
        <v>5234</v>
      </c>
      <c r="E4601" s="1516" t="s">
        <v>952</v>
      </c>
      <c r="F4601" s="1516"/>
      <c r="G4601" s="1516"/>
      <c r="H4601" s="1516"/>
      <c r="K4601" t="s">
        <v>3967</v>
      </c>
      <c r="V4601">
        <v>411</v>
      </c>
    </row>
    <row r="4602" spans="1:22" customFormat="1" ht="15" x14ac:dyDescent="0.25">
      <c r="A4602" t="s">
        <v>186</v>
      </c>
      <c r="B4602" t="s">
        <v>5234</v>
      </c>
      <c r="E4602" s="1516" t="s">
        <v>3761</v>
      </c>
      <c r="F4602" s="1516"/>
      <c r="G4602" s="1516"/>
      <c r="H4602" s="1516"/>
      <c r="K4602" t="s">
        <v>3967</v>
      </c>
      <c r="V4602">
        <v>387</v>
      </c>
    </row>
    <row r="4603" spans="1:22" customFormat="1" ht="15" x14ac:dyDescent="0.25">
      <c r="A4603" t="s">
        <v>186</v>
      </c>
      <c r="B4603" t="s">
        <v>5234</v>
      </c>
      <c r="E4603" s="1516" t="s">
        <v>3772</v>
      </c>
      <c r="F4603" s="1516"/>
      <c r="G4603" s="1516"/>
      <c r="H4603" s="1516"/>
      <c r="K4603" t="s">
        <v>3967</v>
      </c>
      <c r="V4603">
        <v>693</v>
      </c>
    </row>
    <row r="4604" spans="1:22" customFormat="1" ht="15" x14ac:dyDescent="0.25">
      <c r="A4604" t="s">
        <v>186</v>
      </c>
      <c r="B4604" t="s">
        <v>5234</v>
      </c>
      <c r="E4604" s="1516" t="s">
        <v>3771</v>
      </c>
      <c r="F4604" s="1516"/>
      <c r="G4604" s="1516"/>
      <c r="H4604" s="1516"/>
      <c r="K4604" t="s">
        <v>3967</v>
      </c>
      <c r="V4604">
        <v>677</v>
      </c>
    </row>
    <row r="4605" spans="1:22" customFormat="1" ht="15" x14ac:dyDescent="0.25">
      <c r="A4605" t="s">
        <v>186</v>
      </c>
      <c r="B4605" t="s">
        <v>5234</v>
      </c>
      <c r="E4605" s="1516" t="s">
        <v>3762</v>
      </c>
      <c r="F4605" s="1516"/>
      <c r="G4605" s="1516"/>
      <c r="H4605" s="1516"/>
      <c r="K4605" t="s">
        <v>3967</v>
      </c>
      <c r="V4605">
        <v>247</v>
      </c>
    </row>
    <row r="4606" spans="1:22" customFormat="1" ht="15" x14ac:dyDescent="0.25">
      <c r="A4606" t="s">
        <v>186</v>
      </c>
      <c r="B4606" t="s">
        <v>5234</v>
      </c>
      <c r="E4606" s="1515" t="s">
        <v>956</v>
      </c>
      <c r="F4606" s="1515"/>
      <c r="G4606" s="1515"/>
      <c r="H4606" s="1515"/>
      <c r="K4606" t="s">
        <v>1026</v>
      </c>
      <c r="V4606">
        <v>46</v>
      </c>
    </row>
    <row r="4607" spans="1:22" customFormat="1" ht="15" x14ac:dyDescent="0.25">
      <c r="A4607" t="s">
        <v>186</v>
      </c>
      <c r="B4607" t="s">
        <v>5234</v>
      </c>
      <c r="E4607" s="1507" t="s">
        <v>3773</v>
      </c>
      <c r="F4607" s="1507"/>
      <c r="G4607" s="584" t="s">
        <v>777</v>
      </c>
      <c r="H4607" s="576">
        <v>10788.2</v>
      </c>
      <c r="K4607" t="s">
        <v>3967</v>
      </c>
      <c r="L4607" t="s">
        <v>690</v>
      </c>
      <c r="P4607" t="s">
        <v>3969</v>
      </c>
      <c r="V4607">
        <v>14</v>
      </c>
    </row>
    <row r="4608" spans="1:22" customFormat="1" ht="15" x14ac:dyDescent="0.25">
      <c r="A4608" t="s">
        <v>186</v>
      </c>
      <c r="B4608" t="s">
        <v>5234</v>
      </c>
      <c r="E4608" s="1507" t="s">
        <v>5244</v>
      </c>
      <c r="F4608" s="1507"/>
      <c r="G4608" s="584" t="s">
        <v>777</v>
      </c>
      <c r="H4608" s="576">
        <v>677.63</v>
      </c>
      <c r="K4608" t="s">
        <v>3967</v>
      </c>
      <c r="L4608" t="s">
        <v>690</v>
      </c>
      <c r="P4608" t="s">
        <v>6763</v>
      </c>
      <c r="V4608">
        <v>129</v>
      </c>
    </row>
    <row r="4609" spans="1:22" customFormat="1" ht="15" x14ac:dyDescent="0.25">
      <c r="A4609" t="s">
        <v>186</v>
      </c>
      <c r="B4609" t="s">
        <v>5234</v>
      </c>
      <c r="E4609" s="1507" t="s">
        <v>5245</v>
      </c>
      <c r="F4609" s="1507"/>
      <c r="G4609" s="584" t="s">
        <v>777</v>
      </c>
      <c r="H4609" s="576">
        <v>333.81</v>
      </c>
      <c r="K4609" t="s">
        <v>3967</v>
      </c>
      <c r="L4609" t="s">
        <v>690</v>
      </c>
      <c r="P4609" t="s">
        <v>6764</v>
      </c>
      <c r="V4609">
        <v>136</v>
      </c>
    </row>
    <row r="4610" spans="1:22" customFormat="1" ht="15" x14ac:dyDescent="0.25">
      <c r="A4610" t="s">
        <v>186</v>
      </c>
      <c r="B4610" t="s">
        <v>5234</v>
      </c>
      <c r="E4610" s="1507" t="s">
        <v>3688</v>
      </c>
      <c r="F4610" s="1507"/>
      <c r="G4610" s="584" t="s">
        <v>3775</v>
      </c>
      <c r="H4610" s="577">
        <v>2.0041000000000002</v>
      </c>
      <c r="K4610" t="s">
        <v>3967</v>
      </c>
      <c r="L4610" t="s">
        <v>690</v>
      </c>
      <c r="P4610" t="s">
        <v>3972</v>
      </c>
      <c r="V4610">
        <v>28</v>
      </c>
    </row>
    <row r="4611" spans="1:22" customFormat="1" ht="15" x14ac:dyDescent="0.25">
      <c r="A4611" t="s">
        <v>186</v>
      </c>
      <c r="B4611" t="s">
        <v>5234</v>
      </c>
      <c r="E4611" s="1507" t="s">
        <v>910</v>
      </c>
      <c r="F4611" s="1507"/>
      <c r="G4611" s="584" t="s">
        <v>3775</v>
      </c>
      <c r="H4611" s="577">
        <v>0.1019</v>
      </c>
      <c r="K4611" t="s">
        <v>3967</v>
      </c>
      <c r="L4611" t="s">
        <v>692</v>
      </c>
      <c r="P4611" t="s">
        <v>3973</v>
      </c>
      <c r="V4611">
        <v>24</v>
      </c>
    </row>
    <row r="4612" spans="1:22" customFormat="1" ht="15" x14ac:dyDescent="0.25">
      <c r="A4612" t="s">
        <v>186</v>
      </c>
      <c r="B4612" t="s">
        <v>5234</v>
      </c>
      <c r="E4612" s="1507" t="s">
        <v>6765</v>
      </c>
      <c r="F4612" s="1507"/>
      <c r="G4612" s="584" t="s">
        <v>3775</v>
      </c>
      <c r="H4612" s="577">
        <v>-4.7000000000000002E-3</v>
      </c>
      <c r="K4612" t="s">
        <v>3967</v>
      </c>
      <c r="L4612" t="s">
        <v>690</v>
      </c>
      <c r="P4612" t="s">
        <v>3974</v>
      </c>
      <c r="T4612">
        <v>46022</v>
      </c>
      <c r="V4612">
        <v>138</v>
      </c>
    </row>
    <row r="4613" spans="1:22" customFormat="1" ht="15" x14ac:dyDescent="0.25">
      <c r="A4613" t="s">
        <v>186</v>
      </c>
      <c r="B4613" t="s">
        <v>5234</v>
      </c>
      <c r="E4613" s="1507" t="s">
        <v>6520</v>
      </c>
      <c r="F4613" s="1507"/>
      <c r="G4613" s="584" t="s">
        <v>3775</v>
      </c>
      <c r="H4613" s="577">
        <v>-3.5700000000000003E-2</v>
      </c>
      <c r="K4613" t="s">
        <v>3967</v>
      </c>
      <c r="L4613" t="s">
        <v>692</v>
      </c>
      <c r="P4613" t="s">
        <v>3975</v>
      </c>
      <c r="T4613">
        <v>46022</v>
      </c>
      <c r="V4613">
        <v>99</v>
      </c>
    </row>
    <row r="4614" spans="1:22" customFormat="1" ht="15" x14ac:dyDescent="0.25">
      <c r="A4614" t="s">
        <v>186</v>
      </c>
      <c r="B4614" t="s">
        <v>5234</v>
      </c>
      <c r="E4614" s="1507" t="s">
        <v>6716</v>
      </c>
      <c r="F4614" s="1507"/>
      <c r="G4614" s="584" t="s">
        <v>3775</v>
      </c>
      <c r="H4614" s="577">
        <v>-2.5000000000000001E-3</v>
      </c>
      <c r="K4614" t="s">
        <v>3967</v>
      </c>
      <c r="L4614" t="s">
        <v>690</v>
      </c>
      <c r="P4614" t="s">
        <v>6766</v>
      </c>
      <c r="T4614">
        <v>46022</v>
      </c>
      <c r="V4614">
        <v>74</v>
      </c>
    </row>
    <row r="4615" spans="1:22" customFormat="1" ht="15" x14ac:dyDescent="0.25">
      <c r="A4615" t="s">
        <v>186</v>
      </c>
      <c r="B4615" t="s">
        <v>5234</v>
      </c>
      <c r="E4615" s="1507" t="s">
        <v>243</v>
      </c>
      <c r="F4615" s="1507"/>
      <c r="G4615" s="584" t="s">
        <v>3775</v>
      </c>
      <c r="H4615" s="577">
        <v>4.1424000000000003</v>
      </c>
      <c r="K4615" t="s">
        <v>3967</v>
      </c>
      <c r="L4615" t="s">
        <v>694</v>
      </c>
      <c r="P4615" t="s">
        <v>3978</v>
      </c>
      <c r="V4615">
        <v>47</v>
      </c>
    </row>
    <row r="4616" spans="1:22" customFormat="1" ht="15" x14ac:dyDescent="0.25">
      <c r="A4616" t="s">
        <v>186</v>
      </c>
      <c r="B4616" t="s">
        <v>5234</v>
      </c>
      <c r="E4616" s="1507" t="s">
        <v>4637</v>
      </c>
      <c r="F4616" s="1507"/>
      <c r="G4616" s="584" t="s">
        <v>3775</v>
      </c>
      <c r="H4616" s="577">
        <v>2.1505000000000001</v>
      </c>
      <c r="K4616" t="s">
        <v>3967</v>
      </c>
      <c r="L4616" t="s">
        <v>694</v>
      </c>
      <c r="P4616" t="s">
        <v>3979</v>
      </c>
      <c r="V4616">
        <v>104</v>
      </c>
    </row>
    <row r="4617" spans="1:22" customFormat="1" ht="15" x14ac:dyDescent="0.25">
      <c r="A4617" t="s">
        <v>186</v>
      </c>
      <c r="B4617" t="s">
        <v>5234</v>
      </c>
      <c r="E4617" s="1515" t="s">
        <v>967</v>
      </c>
      <c r="F4617" s="1515"/>
      <c r="G4617" s="584"/>
      <c r="H4617" s="584"/>
      <c r="K4617" t="s">
        <v>1035</v>
      </c>
      <c r="V4617">
        <v>48</v>
      </c>
    </row>
    <row r="4618" spans="1:22" customFormat="1" ht="15" x14ac:dyDescent="0.25">
      <c r="A4618" t="s">
        <v>186</v>
      </c>
      <c r="B4618" t="s">
        <v>5234</v>
      </c>
      <c r="E4618" s="1507" t="s">
        <v>844</v>
      </c>
      <c r="F4618" s="1507"/>
      <c r="G4618" s="584" t="s">
        <v>845</v>
      </c>
      <c r="H4618" s="577">
        <v>4.1000000000000003E-3</v>
      </c>
      <c r="K4618" t="s">
        <v>3967</v>
      </c>
      <c r="L4618" t="s">
        <v>968</v>
      </c>
      <c r="P4618" t="s">
        <v>3980</v>
      </c>
      <c r="V4618">
        <v>55</v>
      </c>
    </row>
    <row r="4619" spans="1:22" customFormat="1" ht="15" x14ac:dyDescent="0.25">
      <c r="A4619" t="s">
        <v>186</v>
      </c>
      <c r="B4619" t="s">
        <v>5234</v>
      </c>
      <c r="E4619" s="1507" t="s">
        <v>846</v>
      </c>
      <c r="F4619" s="1507"/>
      <c r="G4619" s="584" t="s">
        <v>845</v>
      </c>
      <c r="H4619" s="577">
        <v>4.0000000000000002E-4</v>
      </c>
      <c r="K4619" t="s">
        <v>3967</v>
      </c>
      <c r="L4619" t="s">
        <v>968</v>
      </c>
      <c r="P4619" t="s">
        <v>3980</v>
      </c>
      <c r="V4619">
        <v>65</v>
      </c>
    </row>
    <row r="4620" spans="1:22" customFormat="1" ht="15" x14ac:dyDescent="0.25">
      <c r="A4620" t="s">
        <v>186</v>
      </c>
      <c r="B4620" t="s">
        <v>5234</v>
      </c>
      <c r="E4620" s="1507" t="s">
        <v>847</v>
      </c>
      <c r="F4620" s="1507"/>
      <c r="G4620" s="584" t="s">
        <v>845</v>
      </c>
      <c r="H4620" s="577">
        <v>1.5E-3</v>
      </c>
      <c r="K4620" t="s">
        <v>3967</v>
      </c>
      <c r="L4620" t="s">
        <v>968</v>
      </c>
      <c r="P4620" t="s">
        <v>3981</v>
      </c>
      <c r="V4620">
        <v>57</v>
      </c>
    </row>
    <row r="4621" spans="1:22" customFormat="1" ht="15" x14ac:dyDescent="0.25">
      <c r="A4621" t="s">
        <v>186</v>
      </c>
      <c r="B4621" t="s">
        <v>5234</v>
      </c>
      <c r="E4621" s="1507" t="s">
        <v>848</v>
      </c>
      <c r="F4621" s="1507"/>
      <c r="G4621" s="584" t="s">
        <v>777</v>
      </c>
      <c r="H4621" s="576">
        <v>0.25</v>
      </c>
      <c r="K4621" t="s">
        <v>3967</v>
      </c>
      <c r="L4621" t="s">
        <v>968</v>
      </c>
      <c r="P4621" t="s">
        <v>3982</v>
      </c>
      <c r="V4621">
        <v>63</v>
      </c>
    </row>
    <row r="4622" spans="1:22" customFormat="1" ht="15" x14ac:dyDescent="0.25">
      <c r="A4622" t="s">
        <v>186</v>
      </c>
      <c r="B4622" t="s">
        <v>5234</v>
      </c>
      <c r="E4622" s="1513" t="s">
        <v>6747</v>
      </c>
      <c r="F4622" s="1513"/>
      <c r="G4622" s="1513"/>
      <c r="H4622" s="1513"/>
      <c r="K4622" t="s">
        <v>6747</v>
      </c>
      <c r="V4622">
        <v>12</v>
      </c>
    </row>
    <row r="4623" spans="1:22" customFormat="1" x14ac:dyDescent="0.25">
      <c r="A4623" t="s">
        <v>186</v>
      </c>
      <c r="B4623" t="s">
        <v>5234</v>
      </c>
      <c r="E4623" s="1492" t="s">
        <v>194</v>
      </c>
      <c r="F4623" s="1492"/>
      <c r="G4623" s="1492"/>
      <c r="H4623" s="1492"/>
      <c r="K4623" t="s">
        <v>3872</v>
      </c>
      <c r="V4623">
        <v>47</v>
      </c>
    </row>
    <row r="4624" spans="1:22" customFormat="1" ht="15" x14ac:dyDescent="0.25">
      <c r="A4624" t="s">
        <v>186</v>
      </c>
      <c r="B4624" t="s">
        <v>5234</v>
      </c>
      <c r="E4624" s="1516" t="s">
        <v>5246</v>
      </c>
      <c r="F4624" s="1516"/>
      <c r="G4624" s="1516"/>
      <c r="H4624" s="1516"/>
      <c r="K4624" t="s">
        <v>3872</v>
      </c>
      <c r="V4624">
        <v>621</v>
      </c>
    </row>
    <row r="4625" spans="1:22" customFormat="1" ht="15" x14ac:dyDescent="0.25">
      <c r="A4625" t="s">
        <v>186</v>
      </c>
      <c r="B4625" t="s">
        <v>5234</v>
      </c>
      <c r="E4625" s="1515" t="s">
        <v>950</v>
      </c>
      <c r="F4625" s="1515"/>
      <c r="G4625" s="1515"/>
      <c r="H4625" s="1515"/>
      <c r="K4625" t="s">
        <v>1041</v>
      </c>
      <c r="V4625">
        <v>11</v>
      </c>
    </row>
    <row r="4626" spans="1:22" customFormat="1" ht="15" x14ac:dyDescent="0.25">
      <c r="A4626" t="s">
        <v>186</v>
      </c>
      <c r="B4626" t="s">
        <v>5234</v>
      </c>
      <c r="E4626" s="1516" t="s">
        <v>951</v>
      </c>
      <c r="F4626" s="1516"/>
      <c r="G4626" s="1516"/>
      <c r="H4626" s="1516"/>
      <c r="K4626" t="s">
        <v>3872</v>
      </c>
      <c r="V4626">
        <v>280</v>
      </c>
    </row>
    <row r="4627" spans="1:22" customFormat="1" ht="15" x14ac:dyDescent="0.25">
      <c r="A4627" t="s">
        <v>186</v>
      </c>
      <c r="B4627" t="s">
        <v>5234</v>
      </c>
      <c r="E4627" s="1516" t="s">
        <v>952</v>
      </c>
      <c r="F4627" s="1516"/>
      <c r="G4627" s="1516"/>
      <c r="H4627" s="1516"/>
      <c r="K4627" t="s">
        <v>3872</v>
      </c>
      <c r="V4627">
        <v>411</v>
      </c>
    </row>
    <row r="4628" spans="1:22" customFormat="1" ht="15" x14ac:dyDescent="0.25">
      <c r="A4628" t="s">
        <v>186</v>
      </c>
      <c r="B4628" t="s">
        <v>5234</v>
      </c>
      <c r="E4628" s="1516" t="s">
        <v>3761</v>
      </c>
      <c r="F4628" s="1516"/>
      <c r="G4628" s="1516"/>
      <c r="H4628" s="1516"/>
      <c r="K4628" t="s">
        <v>3872</v>
      </c>
      <c r="V4628">
        <v>387</v>
      </c>
    </row>
    <row r="4629" spans="1:22" customFormat="1" ht="15" x14ac:dyDescent="0.25">
      <c r="A4629" t="s">
        <v>186</v>
      </c>
      <c r="B4629" t="s">
        <v>5234</v>
      </c>
      <c r="E4629" s="1516" t="s">
        <v>3762</v>
      </c>
      <c r="F4629" s="1516"/>
      <c r="G4629" s="1516"/>
      <c r="H4629" s="1516"/>
      <c r="K4629" t="s">
        <v>3872</v>
      </c>
      <c r="V4629">
        <v>247</v>
      </c>
    </row>
    <row r="4630" spans="1:22" customFormat="1" ht="15" x14ac:dyDescent="0.25">
      <c r="A4630" t="s">
        <v>186</v>
      </c>
      <c r="B4630" t="s">
        <v>5234</v>
      </c>
      <c r="E4630" s="1515" t="s">
        <v>956</v>
      </c>
      <c r="F4630" s="1515"/>
      <c r="G4630" s="1515"/>
      <c r="H4630" s="1515"/>
      <c r="K4630" t="s">
        <v>1042</v>
      </c>
      <c r="V4630">
        <v>46</v>
      </c>
    </row>
    <row r="4631" spans="1:22" customFormat="1" ht="15" x14ac:dyDescent="0.25">
      <c r="A4631" t="s">
        <v>186</v>
      </c>
      <c r="B4631" t="s">
        <v>5234</v>
      </c>
      <c r="E4631" s="1507" t="s">
        <v>3874</v>
      </c>
      <c r="F4631" s="1507"/>
      <c r="G4631" s="584" t="s">
        <v>777</v>
      </c>
      <c r="H4631" s="576">
        <v>6.99</v>
      </c>
      <c r="K4631" t="s">
        <v>3872</v>
      </c>
      <c r="L4631" t="s">
        <v>690</v>
      </c>
      <c r="P4631" t="s">
        <v>3875</v>
      </c>
      <c r="V4631">
        <v>31</v>
      </c>
    </row>
    <row r="4632" spans="1:22" customFormat="1" ht="15" x14ac:dyDescent="0.25">
      <c r="A4632" t="s">
        <v>186</v>
      </c>
      <c r="B4632" t="s">
        <v>5234</v>
      </c>
      <c r="E4632" s="1507" t="s">
        <v>5244</v>
      </c>
      <c r="F4632" s="1507"/>
      <c r="G4632" s="584" t="s">
        <v>777</v>
      </c>
      <c r="H4632" s="576">
        <v>0.21</v>
      </c>
      <c r="K4632" t="s">
        <v>3872</v>
      </c>
      <c r="L4632" t="s">
        <v>690</v>
      </c>
      <c r="P4632" t="s">
        <v>6767</v>
      </c>
      <c r="V4632">
        <v>129</v>
      </c>
    </row>
    <row r="4633" spans="1:22" customFormat="1" ht="15" x14ac:dyDescent="0.25">
      <c r="A4633" t="s">
        <v>186</v>
      </c>
      <c r="B4633" t="s">
        <v>5234</v>
      </c>
      <c r="E4633" s="1507" t="s">
        <v>5245</v>
      </c>
      <c r="F4633" s="1507"/>
      <c r="G4633" s="584" t="s">
        <v>777</v>
      </c>
      <c r="H4633" s="576">
        <v>0.12</v>
      </c>
      <c r="K4633" t="s">
        <v>3872</v>
      </c>
      <c r="L4633" t="s">
        <v>690</v>
      </c>
      <c r="P4633" t="s">
        <v>6768</v>
      </c>
      <c r="V4633">
        <v>136</v>
      </c>
    </row>
    <row r="4634" spans="1:22" customFormat="1" ht="15" x14ac:dyDescent="0.25">
      <c r="A4634" t="s">
        <v>186</v>
      </c>
      <c r="B4634" t="s">
        <v>5234</v>
      </c>
      <c r="E4634" s="1507" t="s">
        <v>3688</v>
      </c>
      <c r="F4634" s="1507"/>
      <c r="G4634" s="584" t="s">
        <v>845</v>
      </c>
      <c r="H4634" s="577">
        <v>1.72E-2</v>
      </c>
      <c r="K4634" t="s">
        <v>3872</v>
      </c>
      <c r="L4634" t="s">
        <v>690</v>
      </c>
      <c r="P4634" t="s">
        <v>3876</v>
      </c>
      <c r="V4634">
        <v>28</v>
      </c>
    </row>
    <row r="4635" spans="1:22" customFormat="1" ht="15" x14ac:dyDescent="0.25">
      <c r="A4635" t="s">
        <v>186</v>
      </c>
      <c r="B4635" t="s">
        <v>5234</v>
      </c>
      <c r="E4635" s="1507" t="s">
        <v>910</v>
      </c>
      <c r="F4635" s="1507"/>
      <c r="G4635" s="584" t="s">
        <v>845</v>
      </c>
      <c r="H4635" s="577">
        <v>2.9999999999999997E-4</v>
      </c>
      <c r="K4635" t="s">
        <v>3872</v>
      </c>
      <c r="L4635" t="s">
        <v>692</v>
      </c>
      <c r="P4635" t="s">
        <v>3986</v>
      </c>
      <c r="V4635">
        <v>24</v>
      </c>
    </row>
    <row r="4636" spans="1:22" customFormat="1" ht="15" x14ac:dyDescent="0.25">
      <c r="A4636" t="s">
        <v>186</v>
      </c>
      <c r="B4636" t="s">
        <v>5234</v>
      </c>
      <c r="E4636" s="1507" t="s">
        <v>6519</v>
      </c>
      <c r="F4636" s="1507"/>
      <c r="G4636" s="584" t="s">
        <v>845</v>
      </c>
      <c r="H4636" s="577">
        <v>2.3999999999999998E-3</v>
      </c>
      <c r="K4636" t="s">
        <v>3872</v>
      </c>
      <c r="L4636" t="s">
        <v>692</v>
      </c>
      <c r="P4636" t="s">
        <v>3987</v>
      </c>
      <c r="T4636">
        <v>46022</v>
      </c>
      <c r="V4636">
        <v>142</v>
      </c>
    </row>
    <row r="4637" spans="1:22" customFormat="1" ht="15" x14ac:dyDescent="0.25">
      <c r="A4637" t="s">
        <v>186</v>
      </c>
      <c r="B4637" t="s">
        <v>5234</v>
      </c>
      <c r="E4637" s="1507" t="s">
        <v>6520</v>
      </c>
      <c r="F4637" s="1507"/>
      <c r="G4637" s="584" t="s">
        <v>845</v>
      </c>
      <c r="H4637" s="577">
        <v>-1E-4</v>
      </c>
      <c r="K4637" t="s">
        <v>3872</v>
      </c>
      <c r="L4637" t="s">
        <v>692</v>
      </c>
      <c r="P4637" t="s">
        <v>3990</v>
      </c>
      <c r="T4637">
        <v>46022</v>
      </c>
      <c r="V4637">
        <v>99</v>
      </c>
    </row>
    <row r="4638" spans="1:22" customFormat="1" ht="15" x14ac:dyDescent="0.25">
      <c r="A4638" t="s">
        <v>186</v>
      </c>
      <c r="B4638" t="s">
        <v>5234</v>
      </c>
      <c r="E4638" s="1507" t="s">
        <v>6521</v>
      </c>
      <c r="F4638" s="1507"/>
      <c r="G4638" s="584" t="s">
        <v>845</v>
      </c>
      <c r="H4638" s="577">
        <v>1E-4</v>
      </c>
      <c r="K4638" t="s">
        <v>3872</v>
      </c>
      <c r="L4638" t="s">
        <v>692</v>
      </c>
      <c r="P4638" t="s">
        <v>3991</v>
      </c>
      <c r="T4638">
        <v>46022</v>
      </c>
      <c r="V4638">
        <v>149</v>
      </c>
    </row>
    <row r="4639" spans="1:22" customFormat="1" ht="15" x14ac:dyDescent="0.25">
      <c r="A4639" t="s">
        <v>186</v>
      </c>
      <c r="B4639" t="s">
        <v>5234</v>
      </c>
      <c r="E4639" s="1507" t="s">
        <v>243</v>
      </c>
      <c r="F4639" s="1507"/>
      <c r="G4639" s="584" t="s">
        <v>845</v>
      </c>
      <c r="H4639" s="577">
        <v>8.9999999999999993E-3</v>
      </c>
      <c r="K4639" t="s">
        <v>3872</v>
      </c>
      <c r="L4639" t="s">
        <v>694</v>
      </c>
      <c r="P4639" t="s">
        <v>3877</v>
      </c>
      <c r="V4639">
        <v>47</v>
      </c>
    </row>
    <row r="4640" spans="1:22" customFormat="1" ht="15" x14ac:dyDescent="0.25">
      <c r="A4640" t="s">
        <v>186</v>
      </c>
      <c r="B4640" t="s">
        <v>5234</v>
      </c>
      <c r="E4640" s="1507" t="s">
        <v>175</v>
      </c>
      <c r="F4640" s="1507"/>
      <c r="G4640" s="584" t="s">
        <v>845</v>
      </c>
      <c r="H4640" s="577">
        <v>5.1999999999999998E-3</v>
      </c>
      <c r="K4640" t="s">
        <v>3872</v>
      </c>
      <c r="L4640" t="s">
        <v>694</v>
      </c>
      <c r="P4640" t="s">
        <v>3878</v>
      </c>
      <c r="V4640">
        <v>74</v>
      </c>
    </row>
    <row r="4641" spans="1:22" customFormat="1" ht="15" x14ac:dyDescent="0.25">
      <c r="A4641" t="s">
        <v>186</v>
      </c>
      <c r="B4641" t="s">
        <v>5234</v>
      </c>
      <c r="E4641" s="1515" t="s">
        <v>967</v>
      </c>
      <c r="F4641" s="1515"/>
      <c r="G4641" s="584"/>
      <c r="H4641" s="584"/>
      <c r="K4641" t="s">
        <v>1049</v>
      </c>
      <c r="V4641">
        <v>48</v>
      </c>
    </row>
    <row r="4642" spans="1:22" customFormat="1" ht="15" x14ac:dyDescent="0.25">
      <c r="A4642" t="s">
        <v>186</v>
      </c>
      <c r="B4642" t="s">
        <v>5234</v>
      </c>
      <c r="E4642" s="1507" t="s">
        <v>844</v>
      </c>
      <c r="F4642" s="1507"/>
      <c r="G4642" s="584" t="s">
        <v>845</v>
      </c>
      <c r="H4642" s="577">
        <v>4.1000000000000003E-3</v>
      </c>
      <c r="K4642" t="s">
        <v>3872</v>
      </c>
      <c r="L4642" t="s">
        <v>968</v>
      </c>
      <c r="P4642" t="s">
        <v>3879</v>
      </c>
      <c r="V4642">
        <v>55</v>
      </c>
    </row>
    <row r="4643" spans="1:22" customFormat="1" ht="15" x14ac:dyDescent="0.25">
      <c r="A4643" t="s">
        <v>186</v>
      </c>
      <c r="B4643" t="s">
        <v>5234</v>
      </c>
      <c r="E4643" s="1507" t="s">
        <v>846</v>
      </c>
      <c r="F4643" s="1507"/>
      <c r="G4643" s="584" t="s">
        <v>845</v>
      </c>
      <c r="H4643" s="577">
        <v>4.0000000000000002E-4</v>
      </c>
      <c r="K4643" t="s">
        <v>3872</v>
      </c>
      <c r="L4643" t="s">
        <v>968</v>
      </c>
      <c r="P4643" t="s">
        <v>3879</v>
      </c>
      <c r="V4643">
        <v>65</v>
      </c>
    </row>
    <row r="4644" spans="1:22" customFormat="1" ht="15" x14ac:dyDescent="0.25">
      <c r="A4644" t="s">
        <v>186</v>
      </c>
      <c r="B4644" t="s">
        <v>5234</v>
      </c>
      <c r="E4644" s="1507" t="s">
        <v>847</v>
      </c>
      <c r="F4644" s="1507"/>
      <c r="G4644" s="584" t="s">
        <v>845</v>
      </c>
      <c r="H4644" s="577">
        <v>1.5E-3</v>
      </c>
      <c r="K4644" t="s">
        <v>3872</v>
      </c>
      <c r="L4644" t="s">
        <v>968</v>
      </c>
      <c r="P4644" t="s">
        <v>3880</v>
      </c>
      <c r="V4644">
        <v>57</v>
      </c>
    </row>
    <row r="4645" spans="1:22" customFormat="1" ht="15" x14ac:dyDescent="0.25">
      <c r="A4645" t="s">
        <v>186</v>
      </c>
      <c r="B4645" t="s">
        <v>5234</v>
      </c>
      <c r="E4645" s="1507" t="s">
        <v>848</v>
      </c>
      <c r="F4645" s="1507"/>
      <c r="G4645" s="584" t="s">
        <v>777</v>
      </c>
      <c r="H4645" s="576">
        <v>0.25</v>
      </c>
      <c r="K4645" t="s">
        <v>3872</v>
      </c>
      <c r="L4645" t="s">
        <v>968</v>
      </c>
      <c r="P4645" t="s">
        <v>3881</v>
      </c>
      <c r="V4645">
        <v>63</v>
      </c>
    </row>
    <row r="4646" spans="1:22" customFormat="1" ht="15" x14ac:dyDescent="0.25">
      <c r="A4646" t="s">
        <v>186</v>
      </c>
      <c r="B4646" t="s">
        <v>5234</v>
      </c>
      <c r="E4646" s="1513" t="s">
        <v>6747</v>
      </c>
      <c r="F4646" s="1513"/>
      <c r="G4646" s="1513"/>
      <c r="H4646" s="1513"/>
      <c r="K4646" t="s">
        <v>6747</v>
      </c>
      <c r="V4646">
        <v>12</v>
      </c>
    </row>
    <row r="4647" spans="1:22" customFormat="1" x14ac:dyDescent="0.25">
      <c r="A4647" t="s">
        <v>186</v>
      </c>
      <c r="B4647" t="s">
        <v>5234</v>
      </c>
      <c r="E4647" s="1492" t="s">
        <v>202</v>
      </c>
      <c r="F4647" s="1492"/>
      <c r="G4647" s="1492"/>
      <c r="H4647" s="1492"/>
      <c r="K4647" t="s">
        <v>1053</v>
      </c>
      <c r="V4647">
        <v>38</v>
      </c>
    </row>
    <row r="4648" spans="1:22" customFormat="1" ht="15" x14ac:dyDescent="0.25">
      <c r="A4648" t="s">
        <v>186</v>
      </c>
      <c r="B4648" t="s">
        <v>5234</v>
      </c>
      <c r="E4648" s="1516" t="s">
        <v>5247</v>
      </c>
      <c r="F4648" s="1516"/>
      <c r="G4648" s="1516"/>
      <c r="H4648" s="1516"/>
      <c r="K4648" t="s">
        <v>1053</v>
      </c>
      <c r="V4648">
        <v>552</v>
      </c>
    </row>
    <row r="4649" spans="1:22" customFormat="1" ht="15" x14ac:dyDescent="0.25">
      <c r="A4649" t="s">
        <v>186</v>
      </c>
      <c r="B4649" t="s">
        <v>5234</v>
      </c>
      <c r="E4649" s="1515" t="s">
        <v>950</v>
      </c>
      <c r="F4649" s="1515"/>
      <c r="G4649" s="1515"/>
      <c r="H4649" s="1515"/>
      <c r="K4649" t="s">
        <v>1055</v>
      </c>
      <c r="V4649">
        <v>11</v>
      </c>
    </row>
    <row r="4650" spans="1:22" customFormat="1" ht="15" x14ac:dyDescent="0.25">
      <c r="A4650" t="s">
        <v>186</v>
      </c>
      <c r="B4650" t="s">
        <v>5234</v>
      </c>
      <c r="E4650" s="1516" t="s">
        <v>951</v>
      </c>
      <c r="F4650" s="1516"/>
      <c r="G4650" s="1516"/>
      <c r="H4650" s="1516"/>
      <c r="K4650" t="s">
        <v>1053</v>
      </c>
      <c r="V4650">
        <v>280</v>
      </c>
    </row>
    <row r="4651" spans="1:22" customFormat="1" ht="15" x14ac:dyDescent="0.25">
      <c r="A4651" t="s">
        <v>186</v>
      </c>
      <c r="B4651" t="s">
        <v>5234</v>
      </c>
      <c r="E4651" s="1516" t="s">
        <v>952</v>
      </c>
      <c r="F4651" s="1516"/>
      <c r="G4651" s="1516"/>
      <c r="H4651" s="1516"/>
      <c r="K4651" t="s">
        <v>1053</v>
      </c>
      <c r="V4651">
        <v>411</v>
      </c>
    </row>
    <row r="4652" spans="1:22" customFormat="1" ht="15" x14ac:dyDescent="0.25">
      <c r="A4652" t="s">
        <v>186</v>
      </c>
      <c r="B4652" t="s">
        <v>5234</v>
      </c>
      <c r="E4652" s="1516" t="s">
        <v>3761</v>
      </c>
      <c r="F4652" s="1516"/>
      <c r="G4652" s="1516"/>
      <c r="H4652" s="1516"/>
      <c r="K4652" t="s">
        <v>1053</v>
      </c>
      <c r="V4652">
        <v>387</v>
      </c>
    </row>
    <row r="4653" spans="1:22" customFormat="1" ht="15" x14ac:dyDescent="0.25">
      <c r="A4653" t="s">
        <v>186</v>
      </c>
      <c r="B4653" t="s">
        <v>5234</v>
      </c>
      <c r="E4653" s="1516" t="s">
        <v>3762</v>
      </c>
      <c r="F4653" s="1516"/>
      <c r="G4653" s="1516"/>
      <c r="H4653" s="1516"/>
      <c r="K4653" t="s">
        <v>1053</v>
      </c>
      <c r="V4653">
        <v>247</v>
      </c>
    </row>
    <row r="4654" spans="1:22" customFormat="1" ht="15" x14ac:dyDescent="0.25">
      <c r="A4654" t="s">
        <v>186</v>
      </c>
      <c r="B4654" t="s">
        <v>5234</v>
      </c>
      <c r="E4654" s="1515" t="s">
        <v>956</v>
      </c>
      <c r="F4654" s="1515"/>
      <c r="G4654" s="1515"/>
      <c r="H4654" s="1515"/>
      <c r="K4654" t="s">
        <v>1056</v>
      </c>
      <c r="V4654">
        <v>46</v>
      </c>
    </row>
    <row r="4655" spans="1:22" customFormat="1" ht="15" x14ac:dyDescent="0.25">
      <c r="A4655" t="s">
        <v>186</v>
      </c>
      <c r="B4655" t="s">
        <v>5234</v>
      </c>
      <c r="E4655" s="1507" t="s">
        <v>3874</v>
      </c>
      <c r="F4655" s="1507"/>
      <c r="G4655" s="584" t="s">
        <v>777</v>
      </c>
      <c r="H4655" s="576">
        <v>2.29</v>
      </c>
      <c r="K4655" t="s">
        <v>1053</v>
      </c>
      <c r="L4655" t="s">
        <v>690</v>
      </c>
      <c r="P4655" t="s">
        <v>1057</v>
      </c>
      <c r="V4655">
        <v>31</v>
      </c>
    </row>
    <row r="4656" spans="1:22" customFormat="1" ht="15" x14ac:dyDescent="0.25">
      <c r="A4656" t="s">
        <v>186</v>
      </c>
      <c r="B4656" t="s">
        <v>5234</v>
      </c>
      <c r="E4656" s="1507" t="s">
        <v>5244</v>
      </c>
      <c r="F4656" s="1507"/>
      <c r="G4656" s="584" t="s">
        <v>777</v>
      </c>
      <c r="H4656" s="576">
        <v>0.06</v>
      </c>
      <c r="K4656" t="s">
        <v>1053</v>
      </c>
      <c r="L4656" t="s">
        <v>690</v>
      </c>
      <c r="P4656" t="s">
        <v>6769</v>
      </c>
      <c r="V4656">
        <v>129</v>
      </c>
    </row>
    <row r="4657" spans="1:22" customFormat="1" ht="15" x14ac:dyDescent="0.25">
      <c r="A4657" t="s">
        <v>186</v>
      </c>
      <c r="B4657" t="s">
        <v>5234</v>
      </c>
      <c r="E4657" s="1507" t="s">
        <v>5245</v>
      </c>
      <c r="F4657" s="1507"/>
      <c r="G4657" s="584" t="s">
        <v>777</v>
      </c>
      <c r="H4657" s="576">
        <v>0.03</v>
      </c>
      <c r="K4657" t="s">
        <v>1053</v>
      </c>
      <c r="L4657" t="s">
        <v>690</v>
      </c>
      <c r="P4657" t="s">
        <v>6770</v>
      </c>
      <c r="V4657">
        <v>136</v>
      </c>
    </row>
    <row r="4658" spans="1:22" customFormat="1" ht="15" x14ac:dyDescent="0.25">
      <c r="A4658" t="s">
        <v>186</v>
      </c>
      <c r="B4658" t="s">
        <v>5234</v>
      </c>
      <c r="E4658" s="1507" t="s">
        <v>3688</v>
      </c>
      <c r="F4658" s="1507"/>
      <c r="G4658" s="584" t="s">
        <v>3775</v>
      </c>
      <c r="H4658" s="577">
        <v>18.398900000000001</v>
      </c>
      <c r="K4658" t="s">
        <v>1053</v>
      </c>
      <c r="L4658" t="s">
        <v>690</v>
      </c>
      <c r="P4658" t="s">
        <v>1059</v>
      </c>
      <c r="V4658">
        <v>28</v>
      </c>
    </row>
    <row r="4659" spans="1:22" customFormat="1" ht="15" x14ac:dyDescent="0.25">
      <c r="A4659" t="s">
        <v>186</v>
      </c>
      <c r="B4659" t="s">
        <v>5234</v>
      </c>
      <c r="E4659" s="1507" t="s">
        <v>910</v>
      </c>
      <c r="F4659" s="1507"/>
      <c r="G4659" s="584" t="s">
        <v>3775</v>
      </c>
      <c r="H4659" s="577">
        <v>7.7899999999999997E-2</v>
      </c>
      <c r="K4659" t="s">
        <v>1053</v>
      </c>
      <c r="L4659" t="s">
        <v>692</v>
      </c>
      <c r="P4659" t="s">
        <v>1060</v>
      </c>
      <c r="V4659">
        <v>24</v>
      </c>
    </row>
    <row r="4660" spans="1:22" customFormat="1" ht="15" x14ac:dyDescent="0.25">
      <c r="A4660" t="s">
        <v>186</v>
      </c>
      <c r="B4660" t="s">
        <v>5234</v>
      </c>
      <c r="E4660" s="1507" t="s">
        <v>6519</v>
      </c>
      <c r="F4660" s="1507"/>
      <c r="G4660" s="584" t="s">
        <v>845</v>
      </c>
      <c r="H4660" s="577">
        <v>2.3999999999999998E-3</v>
      </c>
      <c r="K4660" t="s">
        <v>1053</v>
      </c>
      <c r="L4660" t="s">
        <v>692</v>
      </c>
      <c r="P4660" t="s">
        <v>1061</v>
      </c>
      <c r="T4660">
        <v>46022</v>
      </c>
      <c r="V4660">
        <v>142</v>
      </c>
    </row>
    <row r="4661" spans="1:22" customFormat="1" ht="15" x14ac:dyDescent="0.25">
      <c r="A4661" t="s">
        <v>186</v>
      </c>
      <c r="B4661" t="s">
        <v>5234</v>
      </c>
      <c r="E4661" s="1507" t="s">
        <v>6761</v>
      </c>
      <c r="F4661" s="1507"/>
      <c r="G4661" s="584" t="s">
        <v>3775</v>
      </c>
      <c r="H4661" s="577">
        <v>-19.808</v>
      </c>
      <c r="K4661" t="s">
        <v>1053</v>
      </c>
      <c r="L4661" t="s">
        <v>690</v>
      </c>
      <c r="P4661" t="s">
        <v>3999</v>
      </c>
      <c r="T4661">
        <v>46022</v>
      </c>
      <c r="V4661">
        <v>139</v>
      </c>
    </row>
    <row r="4662" spans="1:22" customFormat="1" ht="15" x14ac:dyDescent="0.25">
      <c r="A4662" t="s">
        <v>186</v>
      </c>
      <c r="B4662" t="s">
        <v>5234</v>
      </c>
      <c r="E4662" s="1507" t="s">
        <v>6520</v>
      </c>
      <c r="F4662" s="1507"/>
      <c r="G4662" s="584" t="s">
        <v>3775</v>
      </c>
      <c r="H4662" s="577">
        <v>-2.7E-2</v>
      </c>
      <c r="K4662" t="s">
        <v>1053</v>
      </c>
      <c r="L4662" t="s">
        <v>692</v>
      </c>
      <c r="P4662" t="s">
        <v>1062</v>
      </c>
      <c r="T4662">
        <v>46022</v>
      </c>
      <c r="V4662">
        <v>99</v>
      </c>
    </row>
    <row r="4663" spans="1:22" customFormat="1" ht="15" x14ac:dyDescent="0.25">
      <c r="A4663" t="s">
        <v>186</v>
      </c>
      <c r="B4663" t="s">
        <v>5234</v>
      </c>
      <c r="E4663" s="1507" t="s">
        <v>6521</v>
      </c>
      <c r="F4663" s="1507"/>
      <c r="G4663" s="584" t="s">
        <v>3775</v>
      </c>
      <c r="H4663" s="577">
        <v>4.82E-2</v>
      </c>
      <c r="K4663" t="s">
        <v>1053</v>
      </c>
      <c r="L4663" t="s">
        <v>692</v>
      </c>
      <c r="P4663" t="s">
        <v>3997</v>
      </c>
      <c r="T4663">
        <v>46022</v>
      </c>
      <c r="V4663">
        <v>149</v>
      </c>
    </row>
    <row r="4664" spans="1:22" customFormat="1" ht="15" x14ac:dyDescent="0.25">
      <c r="A4664" t="s">
        <v>186</v>
      </c>
      <c r="B4664" t="s">
        <v>5234</v>
      </c>
      <c r="E4664" s="1507" t="s">
        <v>6716</v>
      </c>
      <c r="F4664" s="1507"/>
      <c r="G4664" s="584" t="s">
        <v>3775</v>
      </c>
      <c r="H4664" s="577">
        <v>-10.357900000000001</v>
      </c>
      <c r="K4664" t="s">
        <v>1053</v>
      </c>
      <c r="L4664" t="s">
        <v>690</v>
      </c>
      <c r="P4664" t="s">
        <v>6771</v>
      </c>
      <c r="T4664">
        <v>46022</v>
      </c>
      <c r="V4664">
        <v>74</v>
      </c>
    </row>
    <row r="4665" spans="1:22" customFormat="1" ht="15" x14ac:dyDescent="0.25">
      <c r="A4665" t="s">
        <v>186</v>
      </c>
      <c r="B4665" t="s">
        <v>5234</v>
      </c>
      <c r="E4665" s="1507" t="s">
        <v>243</v>
      </c>
      <c r="F4665" s="1507"/>
      <c r="G4665" s="584" t="s">
        <v>3775</v>
      </c>
      <c r="H4665" s="577">
        <v>2.9304999999999999</v>
      </c>
      <c r="K4665" t="s">
        <v>1053</v>
      </c>
      <c r="L4665" t="s">
        <v>694</v>
      </c>
      <c r="P4665" t="s">
        <v>1063</v>
      </c>
      <c r="V4665">
        <v>47</v>
      </c>
    </row>
    <row r="4666" spans="1:22" customFormat="1" ht="15" x14ac:dyDescent="0.25">
      <c r="A4666" t="s">
        <v>186</v>
      </c>
      <c r="B4666" t="s">
        <v>5234</v>
      </c>
      <c r="E4666" s="1507" t="s">
        <v>175</v>
      </c>
      <c r="F4666" s="1507"/>
      <c r="G4666" s="584" t="s">
        <v>3775</v>
      </c>
      <c r="H4666" s="577">
        <v>1.6438999999999999</v>
      </c>
      <c r="K4666" t="s">
        <v>1053</v>
      </c>
      <c r="L4666" t="s">
        <v>694</v>
      </c>
      <c r="P4666" t="s">
        <v>1064</v>
      </c>
      <c r="V4666">
        <v>74</v>
      </c>
    </row>
    <row r="4667" spans="1:22" customFormat="1" ht="15" x14ac:dyDescent="0.25">
      <c r="A4667" t="s">
        <v>186</v>
      </c>
      <c r="B4667" t="s">
        <v>5234</v>
      </c>
      <c r="E4667" s="1515" t="s">
        <v>967</v>
      </c>
      <c r="F4667" s="1515"/>
      <c r="G4667" s="584"/>
      <c r="H4667" s="584"/>
      <c r="K4667" t="s">
        <v>1065</v>
      </c>
      <c r="V4667">
        <v>48</v>
      </c>
    </row>
    <row r="4668" spans="1:22" customFormat="1" ht="15" x14ac:dyDescent="0.25">
      <c r="A4668" t="s">
        <v>186</v>
      </c>
      <c r="B4668" t="s">
        <v>5234</v>
      </c>
      <c r="E4668" s="1507" t="s">
        <v>844</v>
      </c>
      <c r="F4668" s="1507"/>
      <c r="G4668" s="584" t="s">
        <v>845</v>
      </c>
      <c r="H4668" s="577">
        <v>4.1000000000000003E-3</v>
      </c>
      <c r="K4668" t="s">
        <v>1053</v>
      </c>
      <c r="L4668" t="s">
        <v>968</v>
      </c>
      <c r="P4668" t="s">
        <v>1066</v>
      </c>
      <c r="V4668">
        <v>55</v>
      </c>
    </row>
    <row r="4669" spans="1:22" customFormat="1" ht="15" x14ac:dyDescent="0.25">
      <c r="A4669" t="s">
        <v>186</v>
      </c>
      <c r="B4669" t="s">
        <v>5234</v>
      </c>
      <c r="E4669" s="1507" t="s">
        <v>846</v>
      </c>
      <c r="F4669" s="1507"/>
      <c r="G4669" s="584" t="s">
        <v>845</v>
      </c>
      <c r="H4669" s="577">
        <v>4.0000000000000002E-4</v>
      </c>
      <c r="K4669" t="s">
        <v>1053</v>
      </c>
      <c r="L4669" t="s">
        <v>968</v>
      </c>
      <c r="P4669" t="s">
        <v>1066</v>
      </c>
      <c r="V4669">
        <v>65</v>
      </c>
    </row>
    <row r="4670" spans="1:22" customFormat="1" ht="15" x14ac:dyDescent="0.25">
      <c r="A4670" t="s">
        <v>186</v>
      </c>
      <c r="B4670" t="s">
        <v>5234</v>
      </c>
      <c r="E4670" s="1507" t="s">
        <v>847</v>
      </c>
      <c r="F4670" s="1507"/>
      <c r="G4670" s="584" t="s">
        <v>845</v>
      </c>
      <c r="H4670" s="577">
        <v>1.5E-3</v>
      </c>
      <c r="K4670" t="s">
        <v>1053</v>
      </c>
      <c r="L4670" t="s">
        <v>968</v>
      </c>
      <c r="P4670" t="s">
        <v>1067</v>
      </c>
      <c r="V4670">
        <v>57</v>
      </c>
    </row>
    <row r="4671" spans="1:22" customFormat="1" ht="15" x14ac:dyDescent="0.25">
      <c r="A4671" t="s">
        <v>186</v>
      </c>
      <c r="B4671" t="s">
        <v>5234</v>
      </c>
      <c r="E4671" s="1507" t="s">
        <v>848</v>
      </c>
      <c r="F4671" s="1507"/>
      <c r="G4671" s="584" t="s">
        <v>777</v>
      </c>
      <c r="H4671" s="576">
        <v>0.25</v>
      </c>
      <c r="K4671" t="s">
        <v>1053</v>
      </c>
      <c r="L4671" t="s">
        <v>968</v>
      </c>
      <c r="P4671" t="s">
        <v>1068</v>
      </c>
      <c r="V4671">
        <v>63</v>
      </c>
    </row>
    <row r="4672" spans="1:22" customFormat="1" ht="15" x14ac:dyDescent="0.25">
      <c r="A4672" t="s">
        <v>186</v>
      </c>
      <c r="B4672" t="s">
        <v>5234</v>
      </c>
      <c r="E4672" s="1513" t="s">
        <v>6747</v>
      </c>
      <c r="F4672" s="1513"/>
      <c r="G4672" s="1513"/>
      <c r="H4672" s="1513"/>
      <c r="K4672" t="s">
        <v>6747</v>
      </c>
      <c r="V4672">
        <v>12</v>
      </c>
    </row>
    <row r="4673" spans="1:22" customFormat="1" x14ac:dyDescent="0.25">
      <c r="A4673" t="s">
        <v>186</v>
      </c>
      <c r="B4673" t="s">
        <v>5234</v>
      </c>
      <c r="E4673" s="1492" t="s">
        <v>198</v>
      </c>
      <c r="F4673" s="1492"/>
      <c r="G4673" s="1492"/>
      <c r="H4673" s="1492"/>
      <c r="K4673" t="s">
        <v>4179</v>
      </c>
      <c r="V4673">
        <v>40</v>
      </c>
    </row>
    <row r="4674" spans="1:22" customFormat="1" ht="15" x14ac:dyDescent="0.25">
      <c r="A4674" t="s">
        <v>186</v>
      </c>
      <c r="B4674" t="s">
        <v>5234</v>
      </c>
      <c r="E4674" s="1516" t="s">
        <v>5248</v>
      </c>
      <c r="F4674" s="1516"/>
      <c r="G4674" s="1516"/>
      <c r="H4674" s="1516"/>
      <c r="K4674" t="s">
        <v>4179</v>
      </c>
      <c r="V4674">
        <v>398</v>
      </c>
    </row>
    <row r="4675" spans="1:22" customFormat="1" ht="15" x14ac:dyDescent="0.25">
      <c r="A4675" t="s">
        <v>186</v>
      </c>
      <c r="B4675" t="s">
        <v>5234</v>
      </c>
      <c r="E4675" s="1515" t="s">
        <v>950</v>
      </c>
      <c r="F4675" s="1515"/>
      <c r="G4675" s="1515"/>
      <c r="H4675" s="1515"/>
      <c r="K4675" t="s">
        <v>1071</v>
      </c>
      <c r="V4675">
        <v>11</v>
      </c>
    </row>
    <row r="4676" spans="1:22" customFormat="1" ht="15" x14ac:dyDescent="0.25">
      <c r="A4676" t="s">
        <v>186</v>
      </c>
      <c r="B4676" t="s">
        <v>5234</v>
      </c>
      <c r="E4676" s="1516" t="s">
        <v>951</v>
      </c>
      <c r="F4676" s="1516"/>
      <c r="G4676" s="1516"/>
      <c r="H4676" s="1516"/>
      <c r="K4676" t="s">
        <v>4179</v>
      </c>
      <c r="V4676">
        <v>280</v>
      </c>
    </row>
    <row r="4677" spans="1:22" customFormat="1" ht="15" x14ac:dyDescent="0.25">
      <c r="A4677" t="s">
        <v>186</v>
      </c>
      <c r="B4677" t="s">
        <v>5234</v>
      </c>
      <c r="E4677" s="1516" t="s">
        <v>952</v>
      </c>
      <c r="F4677" s="1516"/>
      <c r="G4677" s="1516"/>
      <c r="H4677" s="1516"/>
      <c r="K4677" t="s">
        <v>4179</v>
      </c>
      <c r="V4677">
        <v>411</v>
      </c>
    </row>
    <row r="4678" spans="1:22" customFormat="1" ht="15" x14ac:dyDescent="0.25">
      <c r="A4678" t="s">
        <v>186</v>
      </c>
      <c r="B4678" t="s">
        <v>5234</v>
      </c>
      <c r="E4678" s="1516" t="s">
        <v>5249</v>
      </c>
      <c r="F4678" s="1516"/>
      <c r="G4678" s="1516"/>
      <c r="H4678" s="1516"/>
      <c r="K4678" t="s">
        <v>4179</v>
      </c>
      <c r="V4678">
        <v>388</v>
      </c>
    </row>
    <row r="4679" spans="1:22" customFormat="1" ht="15" x14ac:dyDescent="0.25">
      <c r="A4679" t="s">
        <v>186</v>
      </c>
      <c r="B4679" t="s">
        <v>5234</v>
      </c>
      <c r="E4679" s="1516" t="s">
        <v>3762</v>
      </c>
      <c r="F4679" s="1516"/>
      <c r="G4679" s="1516"/>
      <c r="H4679" s="1516"/>
      <c r="K4679" t="s">
        <v>4179</v>
      </c>
      <c r="V4679">
        <v>247</v>
      </c>
    </row>
    <row r="4680" spans="1:22" customFormat="1" ht="15" x14ac:dyDescent="0.25">
      <c r="A4680" t="s">
        <v>186</v>
      </c>
      <c r="B4680" t="s">
        <v>5234</v>
      </c>
      <c r="E4680" s="1515" t="s">
        <v>956</v>
      </c>
      <c r="F4680" s="1515"/>
      <c r="G4680" s="1515"/>
      <c r="H4680" s="1515"/>
      <c r="K4680" t="s">
        <v>1075</v>
      </c>
      <c r="V4680">
        <v>46</v>
      </c>
    </row>
    <row r="4681" spans="1:22" customFormat="1" ht="15" x14ac:dyDescent="0.25">
      <c r="A4681" t="s">
        <v>186</v>
      </c>
      <c r="B4681" t="s">
        <v>5234</v>
      </c>
      <c r="E4681" s="1507" t="s">
        <v>3874</v>
      </c>
      <c r="F4681" s="1507"/>
      <c r="G4681" s="584" t="s">
        <v>777</v>
      </c>
      <c r="H4681" s="576">
        <v>3.39</v>
      </c>
      <c r="K4681" t="s">
        <v>4179</v>
      </c>
      <c r="L4681" t="s">
        <v>690</v>
      </c>
      <c r="P4681" t="s">
        <v>4181</v>
      </c>
      <c r="V4681">
        <v>31</v>
      </c>
    </row>
    <row r="4682" spans="1:22" customFormat="1" ht="15" x14ac:dyDescent="0.25">
      <c r="A4682" t="s">
        <v>186</v>
      </c>
      <c r="B4682" t="s">
        <v>5234</v>
      </c>
      <c r="E4682" s="1507" t="s">
        <v>5244</v>
      </c>
      <c r="F4682" s="1507"/>
      <c r="G4682" s="584" t="s">
        <v>777</v>
      </c>
      <c r="H4682" s="576">
        <v>0.21</v>
      </c>
      <c r="K4682" t="s">
        <v>4179</v>
      </c>
      <c r="L4682" t="s">
        <v>690</v>
      </c>
      <c r="P4682" t="s">
        <v>6772</v>
      </c>
      <c r="V4682">
        <v>129</v>
      </c>
    </row>
    <row r="4683" spans="1:22" customFormat="1" ht="15" x14ac:dyDescent="0.25">
      <c r="A4683" t="s">
        <v>186</v>
      </c>
      <c r="B4683" t="s">
        <v>5234</v>
      </c>
      <c r="E4683" s="1507" t="s">
        <v>5245</v>
      </c>
      <c r="F4683" s="1507"/>
      <c r="G4683" s="584" t="s">
        <v>777</v>
      </c>
      <c r="H4683" s="576">
        <v>0.11</v>
      </c>
      <c r="K4683" t="s">
        <v>4179</v>
      </c>
      <c r="L4683" t="s">
        <v>690</v>
      </c>
      <c r="P4683" t="s">
        <v>6773</v>
      </c>
      <c r="V4683">
        <v>136</v>
      </c>
    </row>
    <row r="4684" spans="1:22" customFormat="1" ht="15" x14ac:dyDescent="0.25">
      <c r="A4684" t="s">
        <v>186</v>
      </c>
      <c r="B4684" t="s">
        <v>5234</v>
      </c>
      <c r="E4684" s="1507" t="s">
        <v>3688</v>
      </c>
      <c r="F4684" s="1507"/>
      <c r="G4684" s="584" t="s">
        <v>3775</v>
      </c>
      <c r="H4684" s="577">
        <v>50.6145</v>
      </c>
      <c r="K4684" t="s">
        <v>4179</v>
      </c>
      <c r="L4684" t="s">
        <v>690</v>
      </c>
      <c r="P4684" t="s">
        <v>4183</v>
      </c>
      <c r="V4684">
        <v>28</v>
      </c>
    </row>
    <row r="4685" spans="1:22" customFormat="1" ht="15" x14ac:dyDescent="0.25">
      <c r="A4685" t="s">
        <v>186</v>
      </c>
      <c r="B4685" t="s">
        <v>5234</v>
      </c>
      <c r="E4685" s="1507" t="s">
        <v>910</v>
      </c>
      <c r="F4685" s="1507"/>
      <c r="G4685" s="584" t="s">
        <v>3775</v>
      </c>
      <c r="H4685" s="577">
        <v>7.5300000000000006E-2</v>
      </c>
      <c r="K4685" t="s">
        <v>4179</v>
      </c>
      <c r="L4685" t="s">
        <v>692</v>
      </c>
      <c r="P4685" t="s">
        <v>4184</v>
      </c>
      <c r="V4685">
        <v>24</v>
      </c>
    </row>
    <row r="4686" spans="1:22" customFormat="1" ht="15" x14ac:dyDescent="0.25">
      <c r="A4686" t="s">
        <v>186</v>
      </c>
      <c r="B4686" t="s">
        <v>5234</v>
      </c>
      <c r="E4686" s="1507" t="s">
        <v>6519</v>
      </c>
      <c r="F4686" s="1507"/>
      <c r="G4686" s="584" t="s">
        <v>845</v>
      </c>
      <c r="H4686" s="577">
        <v>2.5000000000000001E-3</v>
      </c>
      <c r="K4686" t="s">
        <v>4179</v>
      </c>
      <c r="L4686" t="s">
        <v>692</v>
      </c>
      <c r="P4686" t="s">
        <v>4281</v>
      </c>
      <c r="T4686">
        <v>46022</v>
      </c>
      <c r="V4686">
        <v>142</v>
      </c>
    </row>
    <row r="4687" spans="1:22" customFormat="1" ht="15" x14ac:dyDescent="0.25">
      <c r="A4687" t="s">
        <v>186</v>
      </c>
      <c r="B4687" t="s">
        <v>5234</v>
      </c>
      <c r="E4687" s="1507" t="s">
        <v>6520</v>
      </c>
      <c r="F4687" s="1507"/>
      <c r="G4687" s="584" t="s">
        <v>3775</v>
      </c>
      <c r="H4687" s="577">
        <v>-2.7400000000000001E-2</v>
      </c>
      <c r="K4687" t="s">
        <v>4179</v>
      </c>
      <c r="L4687" t="s">
        <v>692</v>
      </c>
      <c r="P4687" t="s">
        <v>4186</v>
      </c>
      <c r="T4687">
        <v>46022</v>
      </c>
      <c r="V4687">
        <v>99</v>
      </c>
    </row>
    <row r="4688" spans="1:22" customFormat="1" ht="15" x14ac:dyDescent="0.25">
      <c r="A4688" t="s">
        <v>186</v>
      </c>
      <c r="B4688" t="s">
        <v>5234</v>
      </c>
      <c r="E4688" s="1507" t="s">
        <v>6521</v>
      </c>
      <c r="F4688" s="1507"/>
      <c r="G4688" s="584" t="s">
        <v>3775</v>
      </c>
      <c r="H4688" s="577">
        <v>5.28E-2</v>
      </c>
      <c r="K4688" t="s">
        <v>4179</v>
      </c>
      <c r="L4688" t="s">
        <v>692</v>
      </c>
      <c r="P4688" t="s">
        <v>4185</v>
      </c>
      <c r="T4688">
        <v>46022</v>
      </c>
      <c r="V4688">
        <v>149</v>
      </c>
    </row>
    <row r="4689" spans="1:22" customFormat="1" ht="15" x14ac:dyDescent="0.25">
      <c r="A4689" t="s">
        <v>186</v>
      </c>
      <c r="B4689" t="s">
        <v>5234</v>
      </c>
      <c r="E4689" s="1507" t="s">
        <v>243</v>
      </c>
      <c r="F4689" s="1507"/>
      <c r="G4689" s="584" t="s">
        <v>3775</v>
      </c>
      <c r="H4689" s="577">
        <v>3.2147999999999999</v>
      </c>
      <c r="K4689" t="s">
        <v>4179</v>
      </c>
      <c r="L4689" t="s">
        <v>694</v>
      </c>
      <c r="P4689" t="s">
        <v>4187</v>
      </c>
      <c r="V4689">
        <v>47</v>
      </c>
    </row>
    <row r="4690" spans="1:22" customFormat="1" ht="15" x14ac:dyDescent="0.25">
      <c r="A4690" t="s">
        <v>186</v>
      </c>
      <c r="B4690" t="s">
        <v>5234</v>
      </c>
      <c r="E4690" s="1507" t="s">
        <v>175</v>
      </c>
      <c r="F4690" s="1507"/>
      <c r="G4690" s="584" t="s">
        <v>3775</v>
      </c>
      <c r="H4690" s="577">
        <v>1.5896999999999999</v>
      </c>
      <c r="K4690" t="s">
        <v>4179</v>
      </c>
      <c r="L4690" t="s">
        <v>694</v>
      </c>
      <c r="P4690" t="s">
        <v>4188</v>
      </c>
      <c r="V4690">
        <v>74</v>
      </c>
    </row>
    <row r="4691" spans="1:22" customFormat="1" ht="15" x14ac:dyDescent="0.25">
      <c r="A4691" t="s">
        <v>186</v>
      </c>
      <c r="B4691" t="s">
        <v>5234</v>
      </c>
      <c r="E4691" s="1515" t="s">
        <v>967</v>
      </c>
      <c r="F4691" s="1515"/>
      <c r="G4691" s="584"/>
      <c r="H4691" s="584"/>
      <c r="K4691" t="s">
        <v>3898</v>
      </c>
      <c r="V4691">
        <v>48</v>
      </c>
    </row>
    <row r="4692" spans="1:22" customFormat="1" ht="15" x14ac:dyDescent="0.25">
      <c r="A4692" t="s">
        <v>186</v>
      </c>
      <c r="B4692" t="s">
        <v>5234</v>
      </c>
      <c r="E4692" s="1507" t="s">
        <v>844</v>
      </c>
      <c r="F4692" s="1507"/>
      <c r="G4692" s="584" t="s">
        <v>845</v>
      </c>
      <c r="H4692" s="577">
        <v>4.1000000000000003E-3</v>
      </c>
      <c r="K4692" t="s">
        <v>4179</v>
      </c>
      <c r="L4692" t="s">
        <v>968</v>
      </c>
      <c r="P4692" t="s">
        <v>4189</v>
      </c>
      <c r="V4692">
        <v>55</v>
      </c>
    </row>
    <row r="4693" spans="1:22" customFormat="1" ht="15" x14ac:dyDescent="0.25">
      <c r="A4693" t="s">
        <v>186</v>
      </c>
      <c r="B4693" t="s">
        <v>5234</v>
      </c>
      <c r="E4693" s="1507" t="s">
        <v>846</v>
      </c>
      <c r="F4693" s="1507"/>
      <c r="G4693" s="584" t="s">
        <v>845</v>
      </c>
      <c r="H4693" s="577">
        <v>4.0000000000000002E-4</v>
      </c>
      <c r="K4693" t="s">
        <v>4179</v>
      </c>
      <c r="L4693" t="s">
        <v>968</v>
      </c>
      <c r="P4693" t="s">
        <v>4189</v>
      </c>
      <c r="V4693">
        <v>65</v>
      </c>
    </row>
    <row r="4694" spans="1:22" customFormat="1" ht="15" x14ac:dyDescent="0.25">
      <c r="A4694" t="s">
        <v>186</v>
      </c>
      <c r="B4694" t="s">
        <v>5234</v>
      </c>
      <c r="E4694" s="1507" t="s">
        <v>847</v>
      </c>
      <c r="F4694" s="1507"/>
      <c r="G4694" s="584" t="s">
        <v>845</v>
      </c>
      <c r="H4694" s="577">
        <v>1.5E-3</v>
      </c>
      <c r="K4694" t="s">
        <v>4179</v>
      </c>
      <c r="L4694" t="s">
        <v>968</v>
      </c>
      <c r="P4694" t="s">
        <v>4190</v>
      </c>
      <c r="V4694">
        <v>57</v>
      </c>
    </row>
    <row r="4695" spans="1:22" customFormat="1" ht="15" x14ac:dyDescent="0.25">
      <c r="A4695" t="s">
        <v>186</v>
      </c>
      <c r="B4695" t="s">
        <v>5234</v>
      </c>
      <c r="E4695" s="1507" t="s">
        <v>848</v>
      </c>
      <c r="F4695" s="1507"/>
      <c r="G4695" s="584" t="s">
        <v>777</v>
      </c>
      <c r="H4695" s="576">
        <v>0.25</v>
      </c>
      <c r="K4695" t="s">
        <v>4179</v>
      </c>
      <c r="L4695" t="s">
        <v>968</v>
      </c>
      <c r="P4695" t="s">
        <v>4191</v>
      </c>
      <c r="V4695">
        <v>63</v>
      </c>
    </row>
    <row r="4696" spans="1:22" customFormat="1" ht="15" x14ac:dyDescent="0.25">
      <c r="A4696" t="s">
        <v>186</v>
      </c>
      <c r="B4696" t="s">
        <v>5234</v>
      </c>
      <c r="E4696" s="1513" t="s">
        <v>6747</v>
      </c>
      <c r="F4696" s="1513"/>
      <c r="G4696" s="1513"/>
      <c r="H4696" s="1513"/>
      <c r="K4696" t="s">
        <v>6747</v>
      </c>
      <c r="V4696">
        <v>12</v>
      </c>
    </row>
    <row r="4697" spans="1:22" customFormat="1" x14ac:dyDescent="0.25">
      <c r="A4697" t="s">
        <v>186</v>
      </c>
      <c r="B4697" t="s">
        <v>5234</v>
      </c>
      <c r="E4697" s="1492" t="s">
        <v>5250</v>
      </c>
      <c r="F4697" s="1492"/>
      <c r="G4697" s="1492"/>
      <c r="H4697" s="1492"/>
      <c r="K4697" t="s">
        <v>8943</v>
      </c>
      <c r="V4697">
        <v>59</v>
      </c>
    </row>
    <row r="4698" spans="1:22" customFormat="1" ht="15" x14ac:dyDescent="0.25">
      <c r="A4698" t="s">
        <v>186</v>
      </c>
      <c r="B4698" t="s">
        <v>5234</v>
      </c>
      <c r="E4698" s="1516" t="s">
        <v>5251</v>
      </c>
      <c r="F4698" s="1516"/>
      <c r="G4698" s="1516"/>
      <c r="H4698" s="1516"/>
      <c r="K4698" t="s">
        <v>8943</v>
      </c>
      <c r="V4698">
        <v>251</v>
      </c>
    </row>
    <row r="4699" spans="1:22" customFormat="1" ht="15" x14ac:dyDescent="0.25">
      <c r="A4699" t="s">
        <v>186</v>
      </c>
      <c r="B4699" t="s">
        <v>5234</v>
      </c>
      <c r="E4699" s="1515" t="s">
        <v>950</v>
      </c>
      <c r="F4699" s="1515"/>
      <c r="G4699" s="1515"/>
      <c r="H4699" s="1515"/>
      <c r="K4699" t="s">
        <v>3904</v>
      </c>
      <c r="V4699">
        <v>11</v>
      </c>
    </row>
    <row r="4700" spans="1:22" customFormat="1" ht="15" x14ac:dyDescent="0.25">
      <c r="A4700" t="s">
        <v>186</v>
      </c>
      <c r="B4700" t="s">
        <v>5234</v>
      </c>
      <c r="E4700" s="1516" t="s">
        <v>951</v>
      </c>
      <c r="F4700" s="1516"/>
      <c r="G4700" s="1516"/>
      <c r="H4700" s="1516"/>
      <c r="K4700" t="s">
        <v>8943</v>
      </c>
      <c r="V4700">
        <v>280</v>
      </c>
    </row>
    <row r="4701" spans="1:22" customFormat="1" ht="15" x14ac:dyDescent="0.25">
      <c r="A4701" t="s">
        <v>186</v>
      </c>
      <c r="B4701" t="s">
        <v>5234</v>
      </c>
      <c r="E4701" s="1516" t="s">
        <v>952</v>
      </c>
      <c r="F4701" s="1516"/>
      <c r="G4701" s="1516"/>
      <c r="H4701" s="1516"/>
      <c r="K4701" t="s">
        <v>8943</v>
      </c>
      <c r="V4701">
        <v>411</v>
      </c>
    </row>
    <row r="4702" spans="1:22" customFormat="1" ht="15" x14ac:dyDescent="0.25">
      <c r="A4702" t="s">
        <v>186</v>
      </c>
      <c r="B4702" t="s">
        <v>5234</v>
      </c>
      <c r="E4702" s="1516" t="s">
        <v>3761</v>
      </c>
      <c r="F4702" s="1516"/>
      <c r="G4702" s="1516"/>
      <c r="H4702" s="1516"/>
      <c r="K4702" t="s">
        <v>8943</v>
      </c>
      <c r="V4702">
        <v>387</v>
      </c>
    </row>
    <row r="4703" spans="1:22" customFormat="1" ht="15" x14ac:dyDescent="0.25">
      <c r="A4703" t="s">
        <v>186</v>
      </c>
      <c r="B4703" t="s">
        <v>5234</v>
      </c>
      <c r="E4703" s="1516" t="s">
        <v>3762</v>
      </c>
      <c r="F4703" s="1516"/>
      <c r="G4703" s="1516"/>
      <c r="H4703" s="1516"/>
      <c r="K4703" t="s">
        <v>8943</v>
      </c>
      <c r="V4703">
        <v>247</v>
      </c>
    </row>
    <row r="4704" spans="1:22" customFormat="1" ht="15" x14ac:dyDescent="0.25">
      <c r="A4704" t="s">
        <v>186</v>
      </c>
      <c r="B4704" t="s">
        <v>5234</v>
      </c>
      <c r="E4704" s="1515" t="s">
        <v>956</v>
      </c>
      <c r="F4704" s="1515"/>
      <c r="G4704" s="1515"/>
      <c r="H4704" s="1515"/>
      <c r="K4704" t="s">
        <v>3905</v>
      </c>
      <c r="V4704">
        <v>46</v>
      </c>
    </row>
    <row r="4705" spans="1:22" customFormat="1" ht="15" x14ac:dyDescent="0.25">
      <c r="A4705" t="s">
        <v>186</v>
      </c>
      <c r="B4705" t="s">
        <v>5234</v>
      </c>
      <c r="E4705" s="1507" t="s">
        <v>3688</v>
      </c>
      <c r="F4705" s="1507"/>
      <c r="G4705" s="584" t="s">
        <v>3775</v>
      </c>
      <c r="H4705" s="577">
        <v>2.5362</v>
      </c>
      <c r="K4705" t="s">
        <v>8943</v>
      </c>
      <c r="L4705" t="s">
        <v>690</v>
      </c>
      <c r="P4705" t="s">
        <v>8944</v>
      </c>
      <c r="V4705">
        <v>28</v>
      </c>
    </row>
    <row r="4706" spans="1:22" customFormat="1" ht="15" x14ac:dyDescent="0.25">
      <c r="A4706" t="s">
        <v>186</v>
      </c>
      <c r="B4706" t="s">
        <v>5234</v>
      </c>
      <c r="E4706" s="1507" t="s">
        <v>6519</v>
      </c>
      <c r="F4706" s="1507"/>
      <c r="G4706" s="584" t="s">
        <v>845</v>
      </c>
      <c r="H4706" s="577">
        <v>2.3999999999999998E-3</v>
      </c>
      <c r="K4706" t="s">
        <v>8943</v>
      </c>
      <c r="L4706" t="s">
        <v>692</v>
      </c>
      <c r="P4706" t="s">
        <v>8945</v>
      </c>
      <c r="T4706">
        <v>46022</v>
      </c>
      <c r="V4706">
        <v>142</v>
      </c>
    </row>
    <row r="4707" spans="1:22" customFormat="1" ht="15" x14ac:dyDescent="0.25">
      <c r="A4707" t="s">
        <v>186</v>
      </c>
      <c r="B4707" t="s">
        <v>5234</v>
      </c>
      <c r="E4707" s="1507" t="s">
        <v>6520</v>
      </c>
      <c r="F4707" s="1507"/>
      <c r="G4707" s="584" t="s">
        <v>3775</v>
      </c>
      <c r="H4707" s="577">
        <v>-3.6799999999999999E-2</v>
      </c>
      <c r="K4707" t="s">
        <v>8943</v>
      </c>
      <c r="L4707" t="s">
        <v>692</v>
      </c>
      <c r="P4707" t="s">
        <v>8946</v>
      </c>
      <c r="T4707">
        <v>46022</v>
      </c>
      <c r="V4707">
        <v>99</v>
      </c>
    </row>
    <row r="4708" spans="1:22" customFormat="1" ht="15" x14ac:dyDescent="0.25">
      <c r="A4708" t="s">
        <v>186</v>
      </c>
      <c r="B4708" t="s">
        <v>5234</v>
      </c>
      <c r="E4708" s="1507" t="s">
        <v>6521</v>
      </c>
      <c r="F4708" s="1507"/>
      <c r="G4708" s="584" t="s">
        <v>3775</v>
      </c>
      <c r="H4708" s="577">
        <v>6.5699999999999995E-2</v>
      </c>
      <c r="K4708" t="s">
        <v>8943</v>
      </c>
      <c r="L4708" t="s">
        <v>692</v>
      </c>
      <c r="P4708" t="s">
        <v>8947</v>
      </c>
      <c r="T4708">
        <v>46022</v>
      </c>
      <c r="V4708">
        <v>149</v>
      </c>
    </row>
    <row r="4709" spans="1:22" customFormat="1" ht="15" x14ac:dyDescent="0.25">
      <c r="A4709" t="s">
        <v>186</v>
      </c>
      <c r="B4709" t="s">
        <v>5234</v>
      </c>
      <c r="E4709" s="1507" t="s">
        <v>5244</v>
      </c>
      <c r="F4709" s="1507"/>
      <c r="G4709" s="584" t="s">
        <v>777</v>
      </c>
      <c r="H4709" s="576">
        <v>63.1</v>
      </c>
      <c r="K4709" t="s">
        <v>8943</v>
      </c>
      <c r="L4709" t="s">
        <v>690</v>
      </c>
      <c r="P4709" t="s">
        <v>8948</v>
      </c>
      <c r="V4709">
        <v>129</v>
      </c>
    </row>
    <row r="4710" spans="1:22" customFormat="1" ht="15" x14ac:dyDescent="0.25">
      <c r="A4710" t="s">
        <v>186</v>
      </c>
      <c r="B4710" t="s">
        <v>5234</v>
      </c>
      <c r="E4710" s="1507" t="s">
        <v>5245</v>
      </c>
      <c r="F4710" s="1507"/>
      <c r="G4710" s="584" t="s">
        <v>777</v>
      </c>
      <c r="H4710" s="576">
        <v>50.85</v>
      </c>
      <c r="K4710" t="s">
        <v>8943</v>
      </c>
      <c r="L4710" t="s">
        <v>690</v>
      </c>
      <c r="P4710" t="s">
        <v>8949</v>
      </c>
      <c r="V4710">
        <v>136</v>
      </c>
    </row>
    <row r="4711" spans="1:22" customFormat="1" ht="15" x14ac:dyDescent="0.25">
      <c r="A4711" t="s">
        <v>186</v>
      </c>
      <c r="B4711" t="s">
        <v>5234</v>
      </c>
      <c r="E4711" s="1507" t="s">
        <v>243</v>
      </c>
      <c r="F4711" s="1507"/>
      <c r="G4711" s="584" t="s">
        <v>3775</v>
      </c>
      <c r="H4711" s="577">
        <v>4.1424000000000003</v>
      </c>
      <c r="K4711" t="s">
        <v>8943</v>
      </c>
      <c r="L4711" t="s">
        <v>694</v>
      </c>
      <c r="P4711" t="s">
        <v>8950</v>
      </c>
      <c r="V4711">
        <v>47</v>
      </c>
    </row>
    <row r="4712" spans="1:22" customFormat="1" ht="15" x14ac:dyDescent="0.25">
      <c r="A4712" t="s">
        <v>186</v>
      </c>
      <c r="B4712" t="s">
        <v>5234</v>
      </c>
      <c r="E4712" s="1507" t="s">
        <v>175</v>
      </c>
      <c r="F4712" s="1507"/>
      <c r="G4712" s="584" t="s">
        <v>3775</v>
      </c>
      <c r="H4712" s="577">
        <v>2.6339000000000001</v>
      </c>
      <c r="K4712" t="s">
        <v>8943</v>
      </c>
      <c r="L4712" t="s">
        <v>694</v>
      </c>
      <c r="P4712" t="s">
        <v>8951</v>
      </c>
      <c r="V4712">
        <v>74</v>
      </c>
    </row>
    <row r="4713" spans="1:22" customFormat="1" ht="15" x14ac:dyDescent="0.25">
      <c r="A4713" t="s">
        <v>186</v>
      </c>
      <c r="B4713" t="s">
        <v>5234</v>
      </c>
      <c r="E4713" s="1515" t="s">
        <v>967</v>
      </c>
      <c r="F4713" s="1515"/>
      <c r="G4713" s="584"/>
      <c r="H4713" s="584"/>
      <c r="K4713" t="s">
        <v>4015</v>
      </c>
      <c r="V4713">
        <v>48</v>
      </c>
    </row>
    <row r="4714" spans="1:22" customFormat="1" ht="15" x14ac:dyDescent="0.25">
      <c r="A4714" t="s">
        <v>186</v>
      </c>
      <c r="B4714" t="s">
        <v>5234</v>
      </c>
      <c r="E4714" s="1507" t="s">
        <v>844</v>
      </c>
      <c r="F4714" s="1507"/>
      <c r="G4714" s="584" t="s">
        <v>845</v>
      </c>
      <c r="H4714" s="577">
        <v>4.1000000000000003E-3</v>
      </c>
      <c r="K4714" t="s">
        <v>8943</v>
      </c>
      <c r="L4714" t="s">
        <v>968</v>
      </c>
      <c r="P4714" t="s">
        <v>8952</v>
      </c>
      <c r="V4714">
        <v>55</v>
      </c>
    </row>
    <row r="4715" spans="1:22" customFormat="1" ht="15" x14ac:dyDescent="0.25">
      <c r="A4715" t="s">
        <v>186</v>
      </c>
      <c r="B4715" t="s">
        <v>5234</v>
      </c>
      <c r="E4715" s="1507" t="s">
        <v>846</v>
      </c>
      <c r="F4715" s="1507"/>
      <c r="G4715" s="584" t="s">
        <v>845</v>
      </c>
      <c r="H4715" s="577">
        <v>4.0000000000000002E-4</v>
      </c>
      <c r="K4715" t="s">
        <v>8943</v>
      </c>
      <c r="L4715" t="s">
        <v>968</v>
      </c>
      <c r="P4715" t="s">
        <v>8952</v>
      </c>
      <c r="V4715">
        <v>65</v>
      </c>
    </row>
    <row r="4716" spans="1:22" customFormat="1" ht="15" x14ac:dyDescent="0.25">
      <c r="A4716" t="s">
        <v>186</v>
      </c>
      <c r="B4716" t="s">
        <v>5234</v>
      </c>
      <c r="E4716" s="1507" t="s">
        <v>847</v>
      </c>
      <c r="F4716" s="1507"/>
      <c r="G4716" s="584" t="s">
        <v>845</v>
      </c>
      <c r="H4716" s="577">
        <v>1.5E-3</v>
      </c>
      <c r="K4716" t="s">
        <v>8943</v>
      </c>
      <c r="L4716" t="s">
        <v>968</v>
      </c>
      <c r="P4716" t="s">
        <v>8953</v>
      </c>
      <c r="V4716">
        <v>57</v>
      </c>
    </row>
    <row r="4717" spans="1:22" customFormat="1" ht="15" x14ac:dyDescent="0.25">
      <c r="A4717" t="s">
        <v>186</v>
      </c>
      <c r="B4717" t="s">
        <v>5234</v>
      </c>
      <c r="E4717" s="1507" t="s">
        <v>848</v>
      </c>
      <c r="F4717" s="1507"/>
      <c r="G4717" s="584" t="s">
        <v>777</v>
      </c>
      <c r="H4717" s="576">
        <v>0.25</v>
      </c>
      <c r="K4717" t="s">
        <v>8943</v>
      </c>
      <c r="L4717" t="s">
        <v>968</v>
      </c>
      <c r="P4717" t="s">
        <v>8954</v>
      </c>
      <c r="V4717">
        <v>63</v>
      </c>
    </row>
    <row r="4718" spans="1:22" customFormat="1" ht="15" x14ac:dyDescent="0.25">
      <c r="A4718" t="s">
        <v>186</v>
      </c>
      <c r="B4718" t="s">
        <v>5234</v>
      </c>
      <c r="E4718" s="1513" t="s">
        <v>6747</v>
      </c>
      <c r="F4718" s="1513"/>
      <c r="G4718" s="1513"/>
      <c r="H4718" s="1513"/>
      <c r="K4718" t="s">
        <v>6747</v>
      </c>
      <c r="V4718">
        <v>12</v>
      </c>
    </row>
    <row r="4719" spans="1:22" customFormat="1" x14ac:dyDescent="0.25">
      <c r="A4719" t="s">
        <v>186</v>
      </c>
      <c r="B4719" t="s">
        <v>5234</v>
      </c>
      <c r="E4719" s="1492" t="s">
        <v>5252</v>
      </c>
      <c r="F4719" s="1492"/>
      <c r="G4719" s="1492"/>
      <c r="H4719" s="1492"/>
      <c r="K4719" t="s">
        <v>8955</v>
      </c>
      <c r="V4719">
        <v>54</v>
      </c>
    </row>
    <row r="4720" spans="1:22" customFormat="1" ht="15" x14ac:dyDescent="0.25">
      <c r="A4720" t="s">
        <v>186</v>
      </c>
      <c r="B4720" t="s">
        <v>5234</v>
      </c>
      <c r="E4720" s="1516" t="s">
        <v>5251</v>
      </c>
      <c r="F4720" s="1516"/>
      <c r="G4720" s="1516"/>
      <c r="H4720" s="1516"/>
      <c r="K4720" t="s">
        <v>8955</v>
      </c>
      <c r="V4720">
        <v>251</v>
      </c>
    </row>
    <row r="4721" spans="1:22" customFormat="1" ht="15" x14ac:dyDescent="0.25">
      <c r="A4721" t="s">
        <v>186</v>
      </c>
      <c r="B4721" t="s">
        <v>5234</v>
      </c>
      <c r="E4721" s="1515" t="s">
        <v>950</v>
      </c>
      <c r="F4721" s="1515"/>
      <c r="G4721" s="1515"/>
      <c r="H4721" s="1515"/>
      <c r="K4721" t="s">
        <v>4022</v>
      </c>
      <c r="V4721">
        <v>11</v>
      </c>
    </row>
    <row r="4722" spans="1:22" customFormat="1" ht="15" x14ac:dyDescent="0.25">
      <c r="A4722" t="s">
        <v>186</v>
      </c>
      <c r="B4722" t="s">
        <v>5234</v>
      </c>
      <c r="E4722" s="1516" t="s">
        <v>951</v>
      </c>
      <c r="F4722" s="1516"/>
      <c r="G4722" s="1516"/>
      <c r="H4722" s="1516"/>
      <c r="K4722" t="s">
        <v>8955</v>
      </c>
      <c r="V4722">
        <v>280</v>
      </c>
    </row>
    <row r="4723" spans="1:22" customFormat="1" ht="15" x14ac:dyDescent="0.25">
      <c r="A4723" t="s">
        <v>186</v>
      </c>
      <c r="B4723" t="s">
        <v>5234</v>
      </c>
      <c r="E4723" s="1516" t="s">
        <v>952</v>
      </c>
      <c r="F4723" s="1516"/>
      <c r="G4723" s="1516"/>
      <c r="H4723" s="1516"/>
      <c r="K4723" t="s">
        <v>8955</v>
      </c>
      <c r="V4723">
        <v>411</v>
      </c>
    </row>
    <row r="4724" spans="1:22" customFormat="1" ht="15" x14ac:dyDescent="0.25">
      <c r="A4724" t="s">
        <v>186</v>
      </c>
      <c r="B4724" t="s">
        <v>5234</v>
      </c>
      <c r="E4724" s="1516" t="s">
        <v>3761</v>
      </c>
      <c r="F4724" s="1516"/>
      <c r="G4724" s="1516"/>
      <c r="H4724" s="1516"/>
      <c r="K4724" t="s">
        <v>8955</v>
      </c>
      <c r="V4724">
        <v>387</v>
      </c>
    </row>
    <row r="4725" spans="1:22" customFormat="1" ht="15" x14ac:dyDescent="0.25">
      <c r="A4725" t="s">
        <v>186</v>
      </c>
      <c r="B4725" t="s">
        <v>5234</v>
      </c>
      <c r="E4725" s="1516" t="s">
        <v>3762</v>
      </c>
      <c r="F4725" s="1516"/>
      <c r="G4725" s="1516"/>
      <c r="H4725" s="1516"/>
      <c r="K4725" t="s">
        <v>8955</v>
      </c>
      <c r="V4725">
        <v>247</v>
      </c>
    </row>
    <row r="4726" spans="1:22" customFormat="1" ht="15" x14ac:dyDescent="0.25">
      <c r="A4726" t="s">
        <v>186</v>
      </c>
      <c r="B4726" t="s">
        <v>5234</v>
      </c>
      <c r="E4726" s="1515" t="s">
        <v>956</v>
      </c>
      <c r="F4726" s="1515"/>
      <c r="G4726" s="1515"/>
      <c r="H4726" s="1515"/>
      <c r="K4726" t="s">
        <v>4023</v>
      </c>
      <c r="V4726">
        <v>46</v>
      </c>
    </row>
    <row r="4727" spans="1:22" customFormat="1" ht="15" x14ac:dyDescent="0.25">
      <c r="A4727" t="s">
        <v>186</v>
      </c>
      <c r="B4727" t="s">
        <v>5234</v>
      </c>
      <c r="E4727" s="1507" t="s">
        <v>3688</v>
      </c>
      <c r="F4727" s="1507"/>
      <c r="G4727" s="584" t="s">
        <v>3775</v>
      </c>
      <c r="H4727" s="577">
        <v>1.9688000000000001</v>
      </c>
      <c r="K4727" t="s">
        <v>8955</v>
      </c>
      <c r="L4727" t="s">
        <v>690</v>
      </c>
      <c r="P4727" t="s">
        <v>8956</v>
      </c>
      <c r="V4727">
        <v>28</v>
      </c>
    </row>
    <row r="4728" spans="1:22" customFormat="1" ht="15" x14ac:dyDescent="0.25">
      <c r="A4728" t="s">
        <v>186</v>
      </c>
      <c r="B4728" t="s">
        <v>5234</v>
      </c>
      <c r="E4728" s="1507" t="s">
        <v>5244</v>
      </c>
      <c r="F4728" s="1507"/>
      <c r="G4728" s="584" t="s">
        <v>777</v>
      </c>
      <c r="H4728" s="576">
        <v>63.1</v>
      </c>
      <c r="K4728" t="s">
        <v>8955</v>
      </c>
      <c r="L4728" t="s">
        <v>690</v>
      </c>
      <c r="P4728" t="s">
        <v>8957</v>
      </c>
      <c r="V4728">
        <v>129</v>
      </c>
    </row>
    <row r="4729" spans="1:22" customFormat="1" ht="15" x14ac:dyDescent="0.25">
      <c r="A4729" t="s">
        <v>186</v>
      </c>
      <c r="B4729" t="s">
        <v>5234</v>
      </c>
      <c r="E4729" s="1507" t="s">
        <v>5245</v>
      </c>
      <c r="F4729" s="1507"/>
      <c r="G4729" s="584" t="s">
        <v>777</v>
      </c>
      <c r="H4729" s="576">
        <v>50.85</v>
      </c>
      <c r="K4729" t="s">
        <v>8955</v>
      </c>
      <c r="L4729" t="s">
        <v>690</v>
      </c>
      <c r="P4729" t="s">
        <v>8958</v>
      </c>
      <c r="V4729">
        <v>136</v>
      </c>
    </row>
    <row r="4730" spans="1:22" customFormat="1" ht="15" x14ac:dyDescent="0.25">
      <c r="A4730" t="s">
        <v>186</v>
      </c>
      <c r="B4730" t="s">
        <v>5234</v>
      </c>
      <c r="E4730" s="1507" t="s">
        <v>910</v>
      </c>
      <c r="F4730" s="1507"/>
      <c r="G4730" s="584" t="s">
        <v>3775</v>
      </c>
      <c r="H4730" s="577">
        <v>0.12479999999999999</v>
      </c>
      <c r="K4730" t="s">
        <v>8955</v>
      </c>
      <c r="L4730" t="s">
        <v>692</v>
      </c>
      <c r="P4730" t="s">
        <v>8959</v>
      </c>
      <c r="V4730">
        <v>24</v>
      </c>
    </row>
    <row r="4731" spans="1:22" customFormat="1" ht="15" x14ac:dyDescent="0.25">
      <c r="A4731" t="s">
        <v>186</v>
      </c>
      <c r="B4731" t="s">
        <v>5234</v>
      </c>
      <c r="E4731" s="1507" t="s">
        <v>6520</v>
      </c>
      <c r="F4731" s="1507"/>
      <c r="G4731" s="584" t="s">
        <v>3775</v>
      </c>
      <c r="H4731" s="577">
        <v>0.39250000000000002</v>
      </c>
      <c r="K4731" t="s">
        <v>8955</v>
      </c>
      <c r="L4731" t="s">
        <v>692</v>
      </c>
      <c r="P4731" t="s">
        <v>8960</v>
      </c>
      <c r="T4731">
        <v>46022</v>
      </c>
      <c r="V4731">
        <v>99</v>
      </c>
    </row>
    <row r="4732" spans="1:22" customFormat="1" ht="15" x14ac:dyDescent="0.25">
      <c r="A4732" t="s">
        <v>186</v>
      </c>
      <c r="B4732" t="s">
        <v>5234</v>
      </c>
      <c r="E4732" s="1507" t="s">
        <v>243</v>
      </c>
      <c r="F4732" s="1507"/>
      <c r="G4732" s="584" t="s">
        <v>3775</v>
      </c>
      <c r="H4732" s="577">
        <v>4.1424000000000003</v>
      </c>
      <c r="K4732" t="s">
        <v>8955</v>
      </c>
      <c r="L4732" t="s">
        <v>694</v>
      </c>
      <c r="P4732" t="s">
        <v>8961</v>
      </c>
      <c r="V4732">
        <v>47</v>
      </c>
    </row>
    <row r="4733" spans="1:22" customFormat="1" ht="15" x14ac:dyDescent="0.25">
      <c r="A4733" t="s">
        <v>186</v>
      </c>
      <c r="B4733" t="s">
        <v>5234</v>
      </c>
      <c r="E4733" s="1507" t="s">
        <v>175</v>
      </c>
      <c r="F4733" s="1507"/>
      <c r="G4733" s="584" t="s">
        <v>3775</v>
      </c>
      <c r="H4733" s="577">
        <v>2.6339000000000001</v>
      </c>
      <c r="K4733" t="s">
        <v>8955</v>
      </c>
      <c r="L4733" t="s">
        <v>694</v>
      </c>
      <c r="P4733" t="s">
        <v>8962</v>
      </c>
      <c r="V4733">
        <v>74</v>
      </c>
    </row>
    <row r="4734" spans="1:22" customFormat="1" ht="15" x14ac:dyDescent="0.25">
      <c r="A4734" t="s">
        <v>186</v>
      </c>
      <c r="B4734" t="s">
        <v>5234</v>
      </c>
      <c r="E4734" s="1515" t="s">
        <v>967</v>
      </c>
      <c r="F4734" s="1515"/>
      <c r="G4734" s="584"/>
      <c r="H4734" s="584"/>
      <c r="K4734" t="s">
        <v>4033</v>
      </c>
      <c r="V4734">
        <v>48</v>
      </c>
    </row>
    <row r="4735" spans="1:22" customFormat="1" ht="15" x14ac:dyDescent="0.25">
      <c r="A4735" t="s">
        <v>186</v>
      </c>
      <c r="B4735" t="s">
        <v>5234</v>
      </c>
      <c r="E4735" s="1507" t="s">
        <v>844</v>
      </c>
      <c r="F4735" s="1507"/>
      <c r="G4735" s="584" t="s">
        <v>845</v>
      </c>
      <c r="H4735" s="577">
        <v>4.1000000000000003E-3</v>
      </c>
      <c r="K4735" t="s">
        <v>8955</v>
      </c>
      <c r="L4735" t="s">
        <v>968</v>
      </c>
      <c r="P4735" t="s">
        <v>8963</v>
      </c>
      <c r="V4735">
        <v>55</v>
      </c>
    </row>
    <row r="4736" spans="1:22" customFormat="1" ht="15" x14ac:dyDescent="0.25">
      <c r="A4736" t="s">
        <v>186</v>
      </c>
      <c r="B4736" t="s">
        <v>5234</v>
      </c>
      <c r="E4736" s="1507" t="s">
        <v>846</v>
      </c>
      <c r="F4736" s="1507"/>
      <c r="G4736" s="584" t="s">
        <v>845</v>
      </c>
      <c r="H4736" s="577">
        <v>4.0000000000000002E-4</v>
      </c>
      <c r="K4736" t="s">
        <v>8955</v>
      </c>
      <c r="L4736" t="s">
        <v>968</v>
      </c>
      <c r="P4736" t="s">
        <v>8963</v>
      </c>
      <c r="V4736">
        <v>65</v>
      </c>
    </row>
    <row r="4737" spans="1:22" customFormat="1" ht="15" x14ac:dyDescent="0.25">
      <c r="A4737" t="s">
        <v>186</v>
      </c>
      <c r="B4737" t="s">
        <v>5234</v>
      </c>
      <c r="E4737" s="1507" t="s">
        <v>847</v>
      </c>
      <c r="F4737" s="1507"/>
      <c r="G4737" s="584" t="s">
        <v>845</v>
      </c>
      <c r="H4737" s="577">
        <v>1.5E-3</v>
      </c>
      <c r="K4737" t="s">
        <v>8955</v>
      </c>
      <c r="L4737" t="s">
        <v>968</v>
      </c>
      <c r="P4737" t="s">
        <v>8964</v>
      </c>
      <c r="V4737">
        <v>57</v>
      </c>
    </row>
    <row r="4738" spans="1:22" customFormat="1" ht="15" x14ac:dyDescent="0.25">
      <c r="A4738" t="s">
        <v>186</v>
      </c>
      <c r="B4738" t="s">
        <v>5234</v>
      </c>
      <c r="E4738" s="1507" t="s">
        <v>848</v>
      </c>
      <c r="F4738" s="1507"/>
      <c r="G4738" s="584" t="s">
        <v>777</v>
      </c>
      <c r="H4738" s="576">
        <v>0.25</v>
      </c>
      <c r="K4738" t="s">
        <v>8955</v>
      </c>
      <c r="L4738" t="s">
        <v>968</v>
      </c>
      <c r="P4738" t="s">
        <v>8965</v>
      </c>
      <c r="V4738">
        <v>63</v>
      </c>
    </row>
    <row r="4739" spans="1:22" customFormat="1" ht="15" x14ac:dyDescent="0.25">
      <c r="A4739" t="s">
        <v>186</v>
      </c>
      <c r="B4739" t="s">
        <v>5234</v>
      </c>
      <c r="E4739" s="1513" t="s">
        <v>6747</v>
      </c>
      <c r="F4739" s="1513"/>
      <c r="G4739" s="1513"/>
      <c r="H4739" s="1513"/>
      <c r="K4739" t="s">
        <v>6747</v>
      </c>
      <c r="V4739">
        <v>12</v>
      </c>
    </row>
    <row r="4740" spans="1:22" customFormat="1" x14ac:dyDescent="0.25">
      <c r="A4740" t="s">
        <v>186</v>
      </c>
      <c r="B4740" t="s">
        <v>5234</v>
      </c>
      <c r="E4740" s="1492" t="s">
        <v>5253</v>
      </c>
      <c r="F4740" s="1492"/>
      <c r="G4740" s="1492"/>
      <c r="H4740" s="1492"/>
      <c r="K4740" t="s">
        <v>8966</v>
      </c>
      <c r="V4740">
        <v>55</v>
      </c>
    </row>
    <row r="4741" spans="1:22" customFormat="1" ht="15" x14ac:dyDescent="0.25">
      <c r="A4741" t="s">
        <v>186</v>
      </c>
      <c r="B4741" t="s">
        <v>5234</v>
      </c>
      <c r="E4741" s="1516" t="s">
        <v>5251</v>
      </c>
      <c r="F4741" s="1516"/>
      <c r="G4741" s="1516"/>
      <c r="H4741" s="1516"/>
      <c r="K4741" t="s">
        <v>8966</v>
      </c>
      <c r="V4741">
        <v>251</v>
      </c>
    </row>
    <row r="4742" spans="1:22" customFormat="1" ht="15" x14ac:dyDescent="0.25">
      <c r="A4742" t="s">
        <v>186</v>
      </c>
      <c r="B4742" t="s">
        <v>5234</v>
      </c>
      <c r="E4742" s="1515" t="s">
        <v>950</v>
      </c>
      <c r="F4742" s="1515"/>
      <c r="G4742" s="1515"/>
      <c r="H4742" s="1515"/>
      <c r="K4742" t="s">
        <v>4040</v>
      </c>
      <c r="V4742">
        <v>11</v>
      </c>
    </row>
    <row r="4743" spans="1:22" customFormat="1" ht="15" x14ac:dyDescent="0.25">
      <c r="A4743" t="s">
        <v>186</v>
      </c>
      <c r="B4743" t="s">
        <v>5234</v>
      </c>
      <c r="E4743" s="1516" t="s">
        <v>951</v>
      </c>
      <c r="F4743" s="1516"/>
      <c r="G4743" s="1516"/>
      <c r="H4743" s="1516"/>
      <c r="K4743" t="s">
        <v>8966</v>
      </c>
      <c r="V4743">
        <v>280</v>
      </c>
    </row>
    <row r="4744" spans="1:22" customFormat="1" ht="15" x14ac:dyDescent="0.25">
      <c r="A4744" t="s">
        <v>186</v>
      </c>
      <c r="B4744" t="s">
        <v>5234</v>
      </c>
      <c r="E4744" s="1516" t="s">
        <v>952</v>
      </c>
      <c r="F4744" s="1516"/>
      <c r="G4744" s="1516"/>
      <c r="H4744" s="1516"/>
      <c r="K4744" t="s">
        <v>8966</v>
      </c>
      <c r="V4744">
        <v>411</v>
      </c>
    </row>
    <row r="4745" spans="1:22" customFormat="1" ht="15" x14ac:dyDescent="0.25">
      <c r="A4745" t="s">
        <v>186</v>
      </c>
      <c r="B4745" t="s">
        <v>5234</v>
      </c>
      <c r="E4745" s="1516" t="s">
        <v>3761</v>
      </c>
      <c r="F4745" s="1516"/>
      <c r="G4745" s="1516"/>
      <c r="H4745" s="1516"/>
      <c r="K4745" t="s">
        <v>8966</v>
      </c>
      <c r="V4745">
        <v>387</v>
      </c>
    </row>
    <row r="4746" spans="1:22" customFormat="1" ht="15" x14ac:dyDescent="0.25">
      <c r="A4746" t="s">
        <v>186</v>
      </c>
      <c r="B4746" t="s">
        <v>5234</v>
      </c>
      <c r="E4746" s="1516" t="s">
        <v>3762</v>
      </c>
      <c r="F4746" s="1516"/>
      <c r="G4746" s="1516"/>
      <c r="H4746" s="1516"/>
      <c r="K4746" t="s">
        <v>8966</v>
      </c>
      <c r="V4746">
        <v>247</v>
      </c>
    </row>
    <row r="4747" spans="1:22" customFormat="1" ht="15" x14ac:dyDescent="0.25">
      <c r="A4747" t="s">
        <v>186</v>
      </c>
      <c r="B4747" t="s">
        <v>5234</v>
      </c>
      <c r="E4747" s="1515" t="s">
        <v>956</v>
      </c>
      <c r="F4747" s="1515"/>
      <c r="G4747" s="1515"/>
      <c r="H4747" s="1515"/>
      <c r="K4747" t="s">
        <v>4041</v>
      </c>
      <c r="V4747">
        <v>46</v>
      </c>
    </row>
    <row r="4748" spans="1:22" customFormat="1" ht="15" x14ac:dyDescent="0.25">
      <c r="A4748" t="s">
        <v>186</v>
      </c>
      <c r="B4748" t="s">
        <v>5234</v>
      </c>
      <c r="E4748" s="1507" t="s">
        <v>3688</v>
      </c>
      <c r="F4748" s="1507"/>
      <c r="G4748" s="584" t="s">
        <v>3775</v>
      </c>
      <c r="H4748" s="577">
        <v>11.2683</v>
      </c>
      <c r="K4748" t="s">
        <v>8966</v>
      </c>
      <c r="L4748" t="s">
        <v>690</v>
      </c>
      <c r="P4748" t="s">
        <v>8967</v>
      </c>
      <c r="V4748">
        <v>28</v>
      </c>
    </row>
    <row r="4749" spans="1:22" customFormat="1" ht="15" x14ac:dyDescent="0.25">
      <c r="A4749" t="s">
        <v>186</v>
      </c>
      <c r="B4749" t="s">
        <v>5234</v>
      </c>
      <c r="E4749" s="1507" t="s">
        <v>5244</v>
      </c>
      <c r="F4749" s="1507"/>
      <c r="G4749" s="584" t="s">
        <v>777</v>
      </c>
      <c r="H4749" s="576">
        <v>63.1</v>
      </c>
      <c r="K4749" t="s">
        <v>8966</v>
      </c>
      <c r="L4749" t="s">
        <v>690</v>
      </c>
      <c r="P4749" t="s">
        <v>8968</v>
      </c>
      <c r="V4749">
        <v>129</v>
      </c>
    </row>
    <row r="4750" spans="1:22" customFormat="1" ht="15" x14ac:dyDescent="0.25">
      <c r="A4750" t="s">
        <v>186</v>
      </c>
      <c r="B4750" t="s">
        <v>5234</v>
      </c>
      <c r="E4750" s="1507" t="s">
        <v>5245</v>
      </c>
      <c r="F4750" s="1507"/>
      <c r="G4750" s="584" t="s">
        <v>777</v>
      </c>
      <c r="H4750" s="576">
        <v>50.85</v>
      </c>
      <c r="K4750" t="s">
        <v>8966</v>
      </c>
      <c r="L4750" t="s">
        <v>690</v>
      </c>
      <c r="P4750" t="s">
        <v>8969</v>
      </c>
      <c r="V4750">
        <v>136</v>
      </c>
    </row>
    <row r="4751" spans="1:22" customFormat="1" ht="15" x14ac:dyDescent="0.25">
      <c r="A4751" t="s">
        <v>186</v>
      </c>
      <c r="B4751" t="s">
        <v>5234</v>
      </c>
      <c r="E4751" s="1507" t="s">
        <v>910</v>
      </c>
      <c r="F4751" s="1507"/>
      <c r="G4751" s="584" t="s">
        <v>3775</v>
      </c>
      <c r="H4751" s="577">
        <v>0.10299999999999999</v>
      </c>
      <c r="K4751" t="s">
        <v>8966</v>
      </c>
      <c r="L4751" t="s">
        <v>692</v>
      </c>
      <c r="P4751" t="s">
        <v>8970</v>
      </c>
      <c r="V4751">
        <v>24</v>
      </c>
    </row>
    <row r="4752" spans="1:22" customFormat="1" ht="15" x14ac:dyDescent="0.25">
      <c r="A4752" t="s">
        <v>186</v>
      </c>
      <c r="B4752" t="s">
        <v>5234</v>
      </c>
      <c r="E4752" s="1507" t="s">
        <v>6519</v>
      </c>
      <c r="F4752" s="1507"/>
      <c r="G4752" s="584" t="s">
        <v>845</v>
      </c>
      <c r="H4752" s="577">
        <v>2.3999999999999998E-3</v>
      </c>
      <c r="K4752" t="s">
        <v>8966</v>
      </c>
      <c r="L4752" t="s">
        <v>692</v>
      </c>
      <c r="P4752" t="s">
        <v>8971</v>
      </c>
      <c r="T4752">
        <v>46022</v>
      </c>
      <c r="V4752">
        <v>142</v>
      </c>
    </row>
    <row r="4753" spans="1:22" customFormat="1" ht="15" x14ac:dyDescent="0.25">
      <c r="A4753" t="s">
        <v>186</v>
      </c>
      <c r="B4753" t="s">
        <v>5234</v>
      </c>
      <c r="E4753" s="1507" t="s">
        <v>6520</v>
      </c>
      <c r="F4753" s="1507"/>
      <c r="G4753" s="584" t="s">
        <v>3775</v>
      </c>
      <c r="H4753" s="577">
        <v>-2.3E-2</v>
      </c>
      <c r="K4753" t="s">
        <v>8966</v>
      </c>
      <c r="L4753" t="s">
        <v>692</v>
      </c>
      <c r="P4753" t="s">
        <v>8972</v>
      </c>
      <c r="T4753">
        <v>46022</v>
      </c>
      <c r="V4753">
        <v>99</v>
      </c>
    </row>
    <row r="4754" spans="1:22" customFormat="1" ht="15" x14ac:dyDescent="0.25">
      <c r="A4754" t="s">
        <v>186</v>
      </c>
      <c r="B4754" t="s">
        <v>5234</v>
      </c>
      <c r="E4754" s="1507" t="s">
        <v>6521</v>
      </c>
      <c r="F4754" s="1507"/>
      <c r="G4754" s="584" t="s">
        <v>3775</v>
      </c>
      <c r="H4754" s="577">
        <v>4.1300000000000003E-2</v>
      </c>
      <c r="K4754" t="s">
        <v>8966</v>
      </c>
      <c r="L4754" t="s">
        <v>692</v>
      </c>
      <c r="P4754" t="s">
        <v>8973</v>
      </c>
      <c r="T4754">
        <v>46022</v>
      </c>
      <c r="V4754">
        <v>149</v>
      </c>
    </row>
    <row r="4755" spans="1:22" customFormat="1" ht="15" x14ac:dyDescent="0.25">
      <c r="A4755" t="s">
        <v>186</v>
      </c>
      <c r="B4755" t="s">
        <v>5234</v>
      </c>
      <c r="E4755" s="1507" t="s">
        <v>243</v>
      </c>
      <c r="F4755" s="1507"/>
      <c r="G4755" s="584" t="s">
        <v>3775</v>
      </c>
      <c r="H4755" s="577">
        <v>4.6265999999999998</v>
      </c>
      <c r="K4755" t="s">
        <v>8966</v>
      </c>
      <c r="L4755" t="s">
        <v>694</v>
      </c>
      <c r="P4755" t="s">
        <v>8974</v>
      </c>
      <c r="V4755">
        <v>47</v>
      </c>
    </row>
    <row r="4756" spans="1:22" customFormat="1" ht="15" x14ac:dyDescent="0.25">
      <c r="A4756" t="s">
        <v>186</v>
      </c>
      <c r="B4756" t="s">
        <v>5234</v>
      </c>
      <c r="E4756" s="1507" t="s">
        <v>175</v>
      </c>
      <c r="F4756" s="1507"/>
      <c r="G4756" s="584" t="s">
        <v>3775</v>
      </c>
      <c r="H4756" s="577">
        <v>2.1741999999999999</v>
      </c>
      <c r="K4756" t="s">
        <v>8966</v>
      </c>
      <c r="L4756" t="s">
        <v>694</v>
      </c>
      <c r="P4756" t="s">
        <v>8975</v>
      </c>
      <c r="V4756">
        <v>74</v>
      </c>
    </row>
    <row r="4757" spans="1:22" customFormat="1" ht="15" x14ac:dyDescent="0.25">
      <c r="A4757" t="s">
        <v>186</v>
      </c>
      <c r="B4757" t="s">
        <v>5234</v>
      </c>
      <c r="E4757" s="1515" t="s">
        <v>967</v>
      </c>
      <c r="F4757" s="1515"/>
      <c r="G4757" s="584"/>
      <c r="H4757" s="584"/>
      <c r="K4757" t="s">
        <v>7338</v>
      </c>
      <c r="V4757">
        <v>48</v>
      </c>
    </row>
    <row r="4758" spans="1:22" customFormat="1" ht="15" x14ac:dyDescent="0.25">
      <c r="A4758" t="s">
        <v>186</v>
      </c>
      <c r="B4758" t="s">
        <v>5234</v>
      </c>
      <c r="E4758" s="1507" t="s">
        <v>844</v>
      </c>
      <c r="F4758" s="1507"/>
      <c r="G4758" s="584" t="s">
        <v>845</v>
      </c>
      <c r="H4758" s="577">
        <v>4.1000000000000003E-3</v>
      </c>
      <c r="K4758" t="s">
        <v>8966</v>
      </c>
      <c r="L4758" t="s">
        <v>968</v>
      </c>
      <c r="P4758" t="s">
        <v>8976</v>
      </c>
      <c r="V4758">
        <v>55</v>
      </c>
    </row>
    <row r="4759" spans="1:22" customFormat="1" ht="15" x14ac:dyDescent="0.25">
      <c r="A4759" t="s">
        <v>186</v>
      </c>
      <c r="B4759" t="s">
        <v>5234</v>
      </c>
      <c r="E4759" s="1507" t="s">
        <v>846</v>
      </c>
      <c r="F4759" s="1507"/>
      <c r="G4759" s="584" t="s">
        <v>845</v>
      </c>
      <c r="H4759" s="577">
        <v>4.0000000000000002E-4</v>
      </c>
      <c r="K4759" t="s">
        <v>8966</v>
      </c>
      <c r="L4759" t="s">
        <v>968</v>
      </c>
      <c r="P4759" t="s">
        <v>8976</v>
      </c>
      <c r="V4759">
        <v>65</v>
      </c>
    </row>
    <row r="4760" spans="1:22" customFormat="1" ht="15" x14ac:dyDescent="0.25">
      <c r="A4760" t="s">
        <v>186</v>
      </c>
      <c r="B4760" t="s">
        <v>5234</v>
      </c>
      <c r="E4760" s="1507" t="s">
        <v>847</v>
      </c>
      <c r="F4760" s="1507"/>
      <c r="G4760" s="584" t="s">
        <v>845</v>
      </c>
      <c r="H4760" s="577">
        <v>1.5E-3</v>
      </c>
      <c r="K4760" t="s">
        <v>8966</v>
      </c>
      <c r="L4760" t="s">
        <v>968</v>
      </c>
      <c r="P4760" t="s">
        <v>8977</v>
      </c>
      <c r="V4760">
        <v>57</v>
      </c>
    </row>
    <row r="4761" spans="1:22" customFormat="1" ht="15" x14ac:dyDescent="0.25">
      <c r="A4761" t="s">
        <v>186</v>
      </c>
      <c r="B4761" t="s">
        <v>5234</v>
      </c>
      <c r="E4761" s="1507" t="s">
        <v>848</v>
      </c>
      <c r="F4761" s="1507"/>
      <c r="G4761" s="584" t="s">
        <v>777</v>
      </c>
      <c r="H4761" s="576">
        <v>0.25</v>
      </c>
      <c r="K4761" t="s">
        <v>8966</v>
      </c>
      <c r="L4761" t="s">
        <v>968</v>
      </c>
      <c r="P4761" t="s">
        <v>8978</v>
      </c>
      <c r="V4761">
        <v>63</v>
      </c>
    </row>
    <row r="4762" spans="1:22" customFormat="1" ht="15" x14ac:dyDescent="0.25">
      <c r="A4762" t="s">
        <v>186</v>
      </c>
      <c r="B4762" t="s">
        <v>5234</v>
      </c>
      <c r="E4762" s="1513" t="s">
        <v>6747</v>
      </c>
      <c r="F4762" s="1513"/>
      <c r="G4762" s="1513"/>
      <c r="H4762" s="1513"/>
      <c r="K4762" t="s">
        <v>6747</v>
      </c>
      <c r="V4762">
        <v>12</v>
      </c>
    </row>
    <row r="4763" spans="1:22" customFormat="1" x14ac:dyDescent="0.25">
      <c r="A4763" t="s">
        <v>186</v>
      </c>
      <c r="B4763" t="s">
        <v>5234</v>
      </c>
      <c r="E4763" s="1492" t="s">
        <v>5254</v>
      </c>
      <c r="F4763" s="1492"/>
      <c r="G4763" s="1492"/>
      <c r="H4763" s="1492"/>
      <c r="K4763" t="s">
        <v>8979</v>
      </c>
      <c r="V4763">
        <v>58</v>
      </c>
    </row>
    <row r="4764" spans="1:22" customFormat="1" ht="15" x14ac:dyDescent="0.25">
      <c r="A4764" t="s">
        <v>186</v>
      </c>
      <c r="B4764" t="s">
        <v>5234</v>
      </c>
      <c r="E4764" s="1516" t="s">
        <v>5251</v>
      </c>
      <c r="F4764" s="1516"/>
      <c r="G4764" s="1516"/>
      <c r="H4764" s="1516"/>
      <c r="K4764" t="s">
        <v>8979</v>
      </c>
      <c r="V4764">
        <v>251</v>
      </c>
    </row>
    <row r="4765" spans="1:22" customFormat="1" ht="15" x14ac:dyDescent="0.25">
      <c r="A4765" t="s">
        <v>186</v>
      </c>
      <c r="B4765" t="s">
        <v>5234</v>
      </c>
      <c r="E4765" s="1515" t="s">
        <v>950</v>
      </c>
      <c r="F4765" s="1515"/>
      <c r="G4765" s="1515"/>
      <c r="H4765" s="1515"/>
      <c r="K4765" t="s">
        <v>4045</v>
      </c>
      <c r="V4765">
        <v>11</v>
      </c>
    </row>
    <row r="4766" spans="1:22" customFormat="1" ht="15" x14ac:dyDescent="0.25">
      <c r="A4766" t="s">
        <v>186</v>
      </c>
      <c r="B4766" t="s">
        <v>5234</v>
      </c>
      <c r="E4766" s="1516" t="s">
        <v>951</v>
      </c>
      <c r="F4766" s="1516"/>
      <c r="G4766" s="1516"/>
      <c r="H4766" s="1516"/>
      <c r="K4766" t="s">
        <v>8979</v>
      </c>
      <c r="V4766">
        <v>280</v>
      </c>
    </row>
    <row r="4767" spans="1:22" customFormat="1" ht="15" x14ac:dyDescent="0.25">
      <c r="A4767" t="s">
        <v>186</v>
      </c>
      <c r="B4767" t="s">
        <v>5234</v>
      </c>
      <c r="E4767" s="1516" t="s">
        <v>952</v>
      </c>
      <c r="F4767" s="1516"/>
      <c r="G4767" s="1516"/>
      <c r="H4767" s="1516"/>
      <c r="K4767" t="s">
        <v>8979</v>
      </c>
      <c r="V4767">
        <v>411</v>
      </c>
    </row>
    <row r="4768" spans="1:22" customFormat="1" ht="15" x14ac:dyDescent="0.25">
      <c r="A4768" t="s">
        <v>186</v>
      </c>
      <c r="B4768" t="s">
        <v>5234</v>
      </c>
      <c r="E4768" s="1516" t="s">
        <v>3761</v>
      </c>
      <c r="F4768" s="1516"/>
      <c r="G4768" s="1516"/>
      <c r="H4768" s="1516"/>
      <c r="K4768" t="s">
        <v>8979</v>
      </c>
      <c r="V4768">
        <v>387</v>
      </c>
    </row>
    <row r="4769" spans="1:22" customFormat="1" ht="15" x14ac:dyDescent="0.25">
      <c r="A4769" t="s">
        <v>186</v>
      </c>
      <c r="B4769" t="s">
        <v>5234</v>
      </c>
      <c r="E4769" s="1516" t="s">
        <v>3762</v>
      </c>
      <c r="F4769" s="1516"/>
      <c r="G4769" s="1516"/>
      <c r="H4769" s="1516"/>
      <c r="K4769" t="s">
        <v>8979</v>
      </c>
      <c r="V4769">
        <v>247</v>
      </c>
    </row>
    <row r="4770" spans="1:22" customFormat="1" ht="15" x14ac:dyDescent="0.25">
      <c r="A4770" t="s">
        <v>186</v>
      </c>
      <c r="B4770" t="s">
        <v>5234</v>
      </c>
      <c r="E4770" s="1515" t="s">
        <v>956</v>
      </c>
      <c r="F4770" s="1515"/>
      <c r="G4770" s="1515"/>
      <c r="H4770" s="1515"/>
      <c r="K4770" t="s">
        <v>4046</v>
      </c>
      <c r="V4770">
        <v>46</v>
      </c>
    </row>
    <row r="4771" spans="1:22" customFormat="1" ht="15" x14ac:dyDescent="0.25">
      <c r="A4771" t="s">
        <v>186</v>
      </c>
      <c r="B4771" t="s">
        <v>5234</v>
      </c>
      <c r="E4771" s="1507" t="s">
        <v>3773</v>
      </c>
      <c r="F4771" s="1507"/>
      <c r="G4771" s="584" t="s">
        <v>777</v>
      </c>
      <c r="H4771" s="576">
        <v>83.89</v>
      </c>
      <c r="K4771" t="s">
        <v>8979</v>
      </c>
      <c r="L4771" t="s">
        <v>690</v>
      </c>
      <c r="P4771" t="s">
        <v>8980</v>
      </c>
      <c r="V4771">
        <v>14</v>
      </c>
    </row>
    <row r="4772" spans="1:22" customFormat="1" ht="15" x14ac:dyDescent="0.25">
      <c r="A4772" t="s">
        <v>186</v>
      </c>
      <c r="B4772" t="s">
        <v>5234</v>
      </c>
      <c r="E4772" s="1507" t="s">
        <v>5244</v>
      </c>
      <c r="F4772" s="1507"/>
      <c r="G4772" s="584" t="s">
        <v>777</v>
      </c>
      <c r="H4772" s="576">
        <v>63.1</v>
      </c>
      <c r="K4772" t="s">
        <v>8979</v>
      </c>
      <c r="L4772" t="s">
        <v>690</v>
      </c>
      <c r="P4772" t="s">
        <v>8981</v>
      </c>
      <c r="V4772">
        <v>129</v>
      </c>
    </row>
    <row r="4773" spans="1:22" customFormat="1" ht="15" x14ac:dyDescent="0.25">
      <c r="A4773" t="s">
        <v>186</v>
      </c>
      <c r="B4773" t="s">
        <v>5234</v>
      </c>
      <c r="E4773" s="1507" t="s">
        <v>5245</v>
      </c>
      <c r="F4773" s="1507"/>
      <c r="G4773" s="584" t="s">
        <v>777</v>
      </c>
      <c r="H4773" s="576">
        <v>50.85</v>
      </c>
      <c r="K4773" t="s">
        <v>8979</v>
      </c>
      <c r="L4773" t="s">
        <v>690</v>
      </c>
      <c r="P4773" t="s">
        <v>8982</v>
      </c>
      <c r="V4773">
        <v>136</v>
      </c>
    </row>
    <row r="4774" spans="1:22" customFormat="1" ht="15" x14ac:dyDescent="0.25">
      <c r="A4774" t="s">
        <v>186</v>
      </c>
      <c r="B4774" t="s">
        <v>5234</v>
      </c>
      <c r="E4774" s="1507" t="s">
        <v>3688</v>
      </c>
      <c r="F4774" s="1507"/>
      <c r="G4774" s="584" t="s">
        <v>3775</v>
      </c>
      <c r="H4774" s="577">
        <v>1.4193</v>
      </c>
      <c r="K4774" t="s">
        <v>8979</v>
      </c>
      <c r="L4774" t="s">
        <v>690</v>
      </c>
      <c r="P4774" t="s">
        <v>8983</v>
      </c>
      <c r="V4774">
        <v>28</v>
      </c>
    </row>
    <row r="4775" spans="1:22" customFormat="1" ht="15" x14ac:dyDescent="0.25">
      <c r="A4775" t="s">
        <v>186</v>
      </c>
      <c r="B4775" t="s">
        <v>5234</v>
      </c>
      <c r="E4775" s="1507" t="s">
        <v>6519</v>
      </c>
      <c r="F4775" s="1507"/>
      <c r="G4775" s="584" t="s">
        <v>845</v>
      </c>
      <c r="H4775" s="577">
        <v>2.3999999999999998E-3</v>
      </c>
      <c r="K4775" t="s">
        <v>8979</v>
      </c>
      <c r="L4775" t="s">
        <v>692</v>
      </c>
      <c r="P4775" t="s">
        <v>8984</v>
      </c>
      <c r="T4775">
        <v>46022</v>
      </c>
      <c r="V4775">
        <v>142</v>
      </c>
    </row>
    <row r="4776" spans="1:22" customFormat="1" ht="15" x14ac:dyDescent="0.25">
      <c r="A4776" t="s">
        <v>186</v>
      </c>
      <c r="B4776" t="s">
        <v>5234</v>
      </c>
      <c r="E4776" s="1507" t="s">
        <v>6520</v>
      </c>
      <c r="F4776" s="1507"/>
      <c r="G4776" s="584" t="s">
        <v>3775</v>
      </c>
      <c r="H4776" s="577">
        <v>-3.5200000000000002E-2</v>
      </c>
      <c r="K4776" t="s">
        <v>8979</v>
      </c>
      <c r="L4776" t="s">
        <v>692</v>
      </c>
      <c r="P4776" t="s">
        <v>8985</v>
      </c>
      <c r="T4776">
        <v>46022</v>
      </c>
      <c r="V4776">
        <v>99</v>
      </c>
    </row>
    <row r="4777" spans="1:22" customFormat="1" ht="15" x14ac:dyDescent="0.25">
      <c r="A4777" t="s">
        <v>186</v>
      </c>
      <c r="B4777" t="s">
        <v>5234</v>
      </c>
      <c r="E4777" s="1507" t="s">
        <v>6521</v>
      </c>
      <c r="F4777" s="1507"/>
      <c r="G4777" s="584" t="s">
        <v>3775</v>
      </c>
      <c r="H4777" s="577">
        <v>6.3E-2</v>
      </c>
      <c r="K4777" t="s">
        <v>8979</v>
      </c>
      <c r="L4777" t="s">
        <v>692</v>
      </c>
      <c r="P4777" t="s">
        <v>8986</v>
      </c>
      <c r="T4777">
        <v>46022</v>
      </c>
      <c r="V4777">
        <v>149</v>
      </c>
    </row>
    <row r="4778" spans="1:22" customFormat="1" ht="15" x14ac:dyDescent="0.25">
      <c r="A4778" t="s">
        <v>186</v>
      </c>
      <c r="B4778" t="s">
        <v>5234</v>
      </c>
      <c r="E4778" s="1507" t="s">
        <v>243</v>
      </c>
      <c r="F4778" s="1507"/>
      <c r="G4778" s="584" t="s">
        <v>3775</v>
      </c>
      <c r="H4778" s="577">
        <v>4.6265000000000001</v>
      </c>
      <c r="K4778" t="s">
        <v>8979</v>
      </c>
      <c r="L4778" t="s">
        <v>694</v>
      </c>
      <c r="P4778" t="s">
        <v>8987</v>
      </c>
      <c r="V4778">
        <v>47</v>
      </c>
    </row>
    <row r="4779" spans="1:22" customFormat="1" ht="15" x14ac:dyDescent="0.25">
      <c r="A4779" t="s">
        <v>186</v>
      </c>
      <c r="B4779" t="s">
        <v>5234</v>
      </c>
      <c r="E4779" s="1507" t="s">
        <v>175</v>
      </c>
      <c r="F4779" s="1507"/>
      <c r="G4779" s="584" t="s">
        <v>3775</v>
      </c>
      <c r="H4779" s="577">
        <v>2.1741000000000001</v>
      </c>
      <c r="K4779" t="s">
        <v>8979</v>
      </c>
      <c r="L4779" t="s">
        <v>694</v>
      </c>
      <c r="P4779" t="s">
        <v>8988</v>
      </c>
      <c r="V4779">
        <v>74</v>
      </c>
    </row>
    <row r="4780" spans="1:22" customFormat="1" ht="15" x14ac:dyDescent="0.25">
      <c r="A4780" t="s">
        <v>186</v>
      </c>
      <c r="B4780" t="s">
        <v>5234</v>
      </c>
      <c r="E4780" s="1515" t="s">
        <v>967</v>
      </c>
      <c r="F4780" s="1515"/>
      <c r="G4780" s="584"/>
      <c r="H4780" s="584"/>
      <c r="K4780" t="s">
        <v>7361</v>
      </c>
      <c r="V4780">
        <v>48</v>
      </c>
    </row>
    <row r="4781" spans="1:22" customFormat="1" ht="15" x14ac:dyDescent="0.25">
      <c r="A4781" t="s">
        <v>186</v>
      </c>
      <c r="B4781" t="s">
        <v>5234</v>
      </c>
      <c r="E4781" s="1507" t="s">
        <v>844</v>
      </c>
      <c r="F4781" s="1507"/>
      <c r="G4781" s="584" t="s">
        <v>845</v>
      </c>
      <c r="H4781" s="577">
        <v>4.1000000000000003E-3</v>
      </c>
      <c r="K4781" t="s">
        <v>8979</v>
      </c>
      <c r="L4781" t="s">
        <v>968</v>
      </c>
      <c r="P4781" t="s">
        <v>8989</v>
      </c>
      <c r="V4781">
        <v>55</v>
      </c>
    </row>
    <row r="4782" spans="1:22" customFormat="1" ht="15" x14ac:dyDescent="0.25">
      <c r="A4782" t="s">
        <v>186</v>
      </c>
      <c r="B4782" t="s">
        <v>5234</v>
      </c>
      <c r="E4782" s="1507" t="s">
        <v>846</v>
      </c>
      <c r="F4782" s="1507"/>
      <c r="G4782" s="584" t="s">
        <v>845</v>
      </c>
      <c r="H4782" s="577">
        <v>4.0000000000000002E-4</v>
      </c>
      <c r="K4782" t="s">
        <v>8979</v>
      </c>
      <c r="L4782" t="s">
        <v>968</v>
      </c>
      <c r="P4782" t="s">
        <v>8989</v>
      </c>
      <c r="V4782">
        <v>65</v>
      </c>
    </row>
    <row r="4783" spans="1:22" customFormat="1" ht="15" x14ac:dyDescent="0.25">
      <c r="A4783" t="s">
        <v>186</v>
      </c>
      <c r="B4783" t="s">
        <v>5234</v>
      </c>
      <c r="E4783" s="1507" t="s">
        <v>847</v>
      </c>
      <c r="F4783" s="1507"/>
      <c r="G4783" s="584" t="s">
        <v>845</v>
      </c>
      <c r="H4783" s="577">
        <v>1.5E-3</v>
      </c>
      <c r="K4783" t="s">
        <v>8979</v>
      </c>
      <c r="L4783" t="s">
        <v>968</v>
      </c>
      <c r="P4783" t="s">
        <v>8990</v>
      </c>
      <c r="V4783">
        <v>57</v>
      </c>
    </row>
    <row r="4784" spans="1:22" customFormat="1" ht="15" x14ac:dyDescent="0.25">
      <c r="A4784" t="s">
        <v>186</v>
      </c>
      <c r="B4784" t="s">
        <v>5234</v>
      </c>
      <c r="E4784" s="1507" t="s">
        <v>848</v>
      </c>
      <c r="F4784" s="1507"/>
      <c r="G4784" s="584" t="s">
        <v>777</v>
      </c>
      <c r="H4784" s="576">
        <v>0.25</v>
      </c>
      <c r="K4784" t="s">
        <v>8979</v>
      </c>
      <c r="L4784" t="s">
        <v>968</v>
      </c>
      <c r="P4784" t="s">
        <v>8991</v>
      </c>
      <c r="V4784">
        <v>63</v>
      </c>
    </row>
    <row r="4785" spans="1:22" customFormat="1" ht="15" x14ac:dyDescent="0.25">
      <c r="A4785" t="s">
        <v>186</v>
      </c>
      <c r="B4785" t="s">
        <v>5234</v>
      </c>
      <c r="E4785" s="1513" t="s">
        <v>6747</v>
      </c>
      <c r="F4785" s="1513"/>
      <c r="G4785" s="1513"/>
      <c r="H4785" s="1513"/>
      <c r="K4785" t="s">
        <v>6747</v>
      </c>
      <c r="V4785">
        <v>12</v>
      </c>
    </row>
    <row r="4786" spans="1:22" customFormat="1" x14ac:dyDescent="0.25">
      <c r="A4786" t="s">
        <v>186</v>
      </c>
      <c r="B4786" t="s">
        <v>5234</v>
      </c>
      <c r="E4786" s="1492" t="s">
        <v>5255</v>
      </c>
      <c r="F4786" s="1492"/>
      <c r="G4786" s="1492"/>
      <c r="H4786" s="1492"/>
      <c r="K4786" t="s">
        <v>8992</v>
      </c>
      <c r="V4786">
        <v>58</v>
      </c>
    </row>
    <row r="4787" spans="1:22" customFormat="1" ht="15" x14ac:dyDescent="0.25">
      <c r="A4787" t="s">
        <v>186</v>
      </c>
      <c r="B4787" t="s">
        <v>5234</v>
      </c>
      <c r="E4787" s="1516" t="s">
        <v>5251</v>
      </c>
      <c r="F4787" s="1516"/>
      <c r="G4787" s="1516"/>
      <c r="H4787" s="1516"/>
      <c r="K4787" t="s">
        <v>8992</v>
      </c>
      <c r="V4787">
        <v>251</v>
      </c>
    </row>
    <row r="4788" spans="1:22" customFormat="1" ht="15" x14ac:dyDescent="0.25">
      <c r="A4788" t="s">
        <v>186</v>
      </c>
      <c r="B4788" t="s">
        <v>5234</v>
      </c>
      <c r="E4788" s="1515" t="s">
        <v>950</v>
      </c>
      <c r="F4788" s="1515"/>
      <c r="G4788" s="1515"/>
      <c r="H4788" s="1515"/>
      <c r="K4788" t="s">
        <v>5551</v>
      </c>
      <c r="V4788">
        <v>11</v>
      </c>
    </row>
    <row r="4789" spans="1:22" customFormat="1" ht="15" x14ac:dyDescent="0.25">
      <c r="A4789" t="s">
        <v>186</v>
      </c>
      <c r="B4789" t="s">
        <v>5234</v>
      </c>
      <c r="E4789" s="1516" t="s">
        <v>951</v>
      </c>
      <c r="F4789" s="1516"/>
      <c r="G4789" s="1516"/>
      <c r="H4789" s="1516"/>
      <c r="K4789" t="s">
        <v>8992</v>
      </c>
      <c r="V4789">
        <v>280</v>
      </c>
    </row>
    <row r="4790" spans="1:22" customFormat="1" ht="15" x14ac:dyDescent="0.25">
      <c r="A4790" t="s">
        <v>186</v>
      </c>
      <c r="B4790" t="s">
        <v>5234</v>
      </c>
      <c r="E4790" s="1516" t="s">
        <v>952</v>
      </c>
      <c r="F4790" s="1516"/>
      <c r="G4790" s="1516"/>
      <c r="H4790" s="1516"/>
      <c r="K4790" t="s">
        <v>8992</v>
      </c>
      <c r="V4790">
        <v>411</v>
      </c>
    </row>
    <row r="4791" spans="1:22" customFormat="1" ht="15" x14ac:dyDescent="0.25">
      <c r="A4791" t="s">
        <v>186</v>
      </c>
      <c r="B4791" t="s">
        <v>5234</v>
      </c>
      <c r="E4791" s="1516" t="s">
        <v>3761</v>
      </c>
      <c r="F4791" s="1516"/>
      <c r="G4791" s="1516"/>
      <c r="H4791" s="1516"/>
      <c r="K4791" t="s">
        <v>8992</v>
      </c>
      <c r="V4791">
        <v>387</v>
      </c>
    </row>
    <row r="4792" spans="1:22" customFormat="1" ht="15" x14ac:dyDescent="0.25">
      <c r="A4792" t="s">
        <v>186</v>
      </c>
      <c r="B4792" t="s">
        <v>5234</v>
      </c>
      <c r="E4792" s="1516" t="s">
        <v>3762</v>
      </c>
      <c r="F4792" s="1516"/>
      <c r="G4792" s="1516"/>
      <c r="H4792" s="1516"/>
      <c r="K4792" t="s">
        <v>8992</v>
      </c>
      <c r="V4792">
        <v>247</v>
      </c>
    </row>
    <row r="4793" spans="1:22" customFormat="1" ht="15" x14ac:dyDescent="0.25">
      <c r="A4793" t="s">
        <v>186</v>
      </c>
      <c r="B4793" t="s">
        <v>5234</v>
      </c>
      <c r="E4793" s="1515" t="s">
        <v>956</v>
      </c>
      <c r="F4793" s="1515"/>
      <c r="G4793" s="1515"/>
      <c r="H4793" s="1515"/>
      <c r="K4793" t="s">
        <v>5552</v>
      </c>
      <c r="V4793">
        <v>46</v>
      </c>
    </row>
    <row r="4794" spans="1:22" customFormat="1" ht="15" x14ac:dyDescent="0.25">
      <c r="A4794" t="s">
        <v>186</v>
      </c>
      <c r="B4794" t="s">
        <v>5234</v>
      </c>
      <c r="E4794" s="1507" t="s">
        <v>3773</v>
      </c>
      <c r="F4794" s="1507"/>
      <c r="G4794" s="584" t="s">
        <v>777</v>
      </c>
      <c r="H4794" s="576">
        <v>83.89</v>
      </c>
      <c r="K4794" t="s">
        <v>8992</v>
      </c>
      <c r="L4794" t="s">
        <v>690</v>
      </c>
      <c r="P4794" t="s">
        <v>8993</v>
      </c>
      <c r="V4794">
        <v>14</v>
      </c>
    </row>
    <row r="4795" spans="1:22" customFormat="1" ht="15" x14ac:dyDescent="0.25">
      <c r="A4795" t="s">
        <v>186</v>
      </c>
      <c r="B4795" t="s">
        <v>5234</v>
      </c>
      <c r="E4795" s="1507" t="s">
        <v>5244</v>
      </c>
      <c r="F4795" s="1507"/>
      <c r="G4795" s="584" t="s">
        <v>777</v>
      </c>
      <c r="H4795" s="576">
        <v>63.1</v>
      </c>
      <c r="K4795" t="s">
        <v>8992</v>
      </c>
      <c r="L4795" t="s">
        <v>690</v>
      </c>
      <c r="P4795" t="s">
        <v>8994</v>
      </c>
      <c r="V4795">
        <v>129</v>
      </c>
    </row>
    <row r="4796" spans="1:22" customFormat="1" ht="15" x14ac:dyDescent="0.25">
      <c r="A4796" t="s">
        <v>186</v>
      </c>
      <c r="B4796" t="s">
        <v>5234</v>
      </c>
      <c r="E4796" s="1507" t="s">
        <v>5245</v>
      </c>
      <c r="F4796" s="1507"/>
      <c r="G4796" s="584" t="s">
        <v>777</v>
      </c>
      <c r="H4796" s="576">
        <v>50.85</v>
      </c>
      <c r="K4796" t="s">
        <v>8992</v>
      </c>
      <c r="L4796" t="s">
        <v>690</v>
      </c>
      <c r="P4796" t="s">
        <v>8995</v>
      </c>
      <c r="V4796">
        <v>136</v>
      </c>
    </row>
    <row r="4797" spans="1:22" customFormat="1" ht="15" x14ac:dyDescent="0.25">
      <c r="A4797" t="s">
        <v>186</v>
      </c>
      <c r="B4797" t="s">
        <v>5234</v>
      </c>
      <c r="E4797" s="1507" t="s">
        <v>6519</v>
      </c>
      <c r="F4797" s="1507"/>
      <c r="G4797" s="584" t="s">
        <v>845</v>
      </c>
      <c r="H4797" s="577">
        <v>2.3999999999999998E-3</v>
      </c>
      <c r="K4797" t="s">
        <v>8992</v>
      </c>
      <c r="L4797" t="s">
        <v>692</v>
      </c>
      <c r="P4797" t="s">
        <v>8996</v>
      </c>
      <c r="T4797">
        <v>46022</v>
      </c>
      <c r="V4797">
        <v>142</v>
      </c>
    </row>
    <row r="4798" spans="1:22" customFormat="1" ht="15" x14ac:dyDescent="0.25">
      <c r="A4798" t="s">
        <v>186</v>
      </c>
      <c r="B4798" t="s">
        <v>5234</v>
      </c>
      <c r="E4798" s="1507" t="s">
        <v>6520</v>
      </c>
      <c r="F4798" s="1507"/>
      <c r="G4798" s="584" t="s">
        <v>3775</v>
      </c>
      <c r="H4798" s="577">
        <v>-3.04E-2</v>
      </c>
      <c r="K4798" t="s">
        <v>8992</v>
      </c>
      <c r="L4798" t="s">
        <v>692</v>
      </c>
      <c r="P4798" t="s">
        <v>8997</v>
      </c>
      <c r="T4798">
        <v>46022</v>
      </c>
      <c r="V4798">
        <v>99</v>
      </c>
    </row>
    <row r="4799" spans="1:22" customFormat="1" ht="15" x14ac:dyDescent="0.25">
      <c r="A4799" t="s">
        <v>186</v>
      </c>
      <c r="B4799" t="s">
        <v>5234</v>
      </c>
      <c r="E4799" s="1507" t="s">
        <v>6521</v>
      </c>
      <c r="F4799" s="1507"/>
      <c r="G4799" s="584" t="s">
        <v>3775</v>
      </c>
      <c r="H4799" s="577">
        <v>5.4399999999999997E-2</v>
      </c>
      <c r="K4799" t="s">
        <v>8992</v>
      </c>
      <c r="L4799" t="s">
        <v>692</v>
      </c>
      <c r="P4799" t="s">
        <v>8998</v>
      </c>
      <c r="T4799">
        <v>46022</v>
      </c>
      <c r="V4799">
        <v>149</v>
      </c>
    </row>
    <row r="4800" spans="1:22" customFormat="1" ht="15" x14ac:dyDescent="0.25">
      <c r="A4800" t="s">
        <v>186</v>
      </c>
      <c r="B4800" t="s">
        <v>5234</v>
      </c>
      <c r="E4800" s="1515" t="s">
        <v>967</v>
      </c>
      <c r="F4800" s="1515"/>
      <c r="G4800" s="584"/>
      <c r="H4800" s="584"/>
      <c r="K4800" t="s">
        <v>7386</v>
      </c>
      <c r="V4800">
        <v>48</v>
      </c>
    </row>
    <row r="4801" spans="1:22" customFormat="1" ht="15" x14ac:dyDescent="0.25">
      <c r="A4801" t="s">
        <v>186</v>
      </c>
      <c r="B4801" t="s">
        <v>5234</v>
      </c>
      <c r="E4801" s="1507" t="s">
        <v>844</v>
      </c>
      <c r="F4801" s="1507"/>
      <c r="G4801" s="584" t="s">
        <v>845</v>
      </c>
      <c r="H4801" s="577">
        <v>4.1000000000000003E-3</v>
      </c>
      <c r="K4801" t="s">
        <v>8992</v>
      </c>
      <c r="L4801" t="s">
        <v>968</v>
      </c>
      <c r="P4801" t="s">
        <v>8999</v>
      </c>
      <c r="V4801">
        <v>55</v>
      </c>
    </row>
    <row r="4802" spans="1:22" customFormat="1" ht="15" x14ac:dyDescent="0.25">
      <c r="A4802" t="s">
        <v>186</v>
      </c>
      <c r="B4802" t="s">
        <v>5234</v>
      </c>
      <c r="E4802" s="1507" t="s">
        <v>846</v>
      </c>
      <c r="F4802" s="1507"/>
      <c r="G4802" s="584" t="s">
        <v>845</v>
      </c>
      <c r="H4802" s="577">
        <v>4.0000000000000002E-4</v>
      </c>
      <c r="K4802" t="s">
        <v>8992</v>
      </c>
      <c r="L4802" t="s">
        <v>968</v>
      </c>
      <c r="P4802" t="s">
        <v>8999</v>
      </c>
      <c r="V4802">
        <v>65</v>
      </c>
    </row>
    <row r="4803" spans="1:22" customFormat="1" ht="15" x14ac:dyDescent="0.25">
      <c r="A4803" t="s">
        <v>186</v>
      </c>
      <c r="B4803" t="s">
        <v>5234</v>
      </c>
      <c r="E4803" s="1507" t="s">
        <v>847</v>
      </c>
      <c r="F4803" s="1507"/>
      <c r="G4803" s="584" t="s">
        <v>845</v>
      </c>
      <c r="H4803" s="577">
        <v>1.5E-3</v>
      </c>
      <c r="K4803" t="s">
        <v>8992</v>
      </c>
      <c r="L4803" t="s">
        <v>968</v>
      </c>
      <c r="P4803" t="s">
        <v>9000</v>
      </c>
      <c r="V4803">
        <v>57</v>
      </c>
    </row>
    <row r="4804" spans="1:22" customFormat="1" ht="15" x14ac:dyDescent="0.25">
      <c r="A4804" t="s">
        <v>186</v>
      </c>
      <c r="B4804" t="s">
        <v>5234</v>
      </c>
      <c r="E4804" s="1507" t="s">
        <v>848</v>
      </c>
      <c r="F4804" s="1507"/>
      <c r="G4804" s="584" t="s">
        <v>777</v>
      </c>
      <c r="H4804" s="576">
        <v>0.25</v>
      </c>
      <c r="K4804" t="s">
        <v>8992</v>
      </c>
      <c r="L4804" t="s">
        <v>968</v>
      </c>
      <c r="P4804" t="s">
        <v>9001</v>
      </c>
      <c r="V4804">
        <v>63</v>
      </c>
    </row>
    <row r="4805" spans="1:22" customFormat="1" ht="15" x14ac:dyDescent="0.25">
      <c r="A4805" t="s">
        <v>186</v>
      </c>
      <c r="B4805" t="s">
        <v>5234</v>
      </c>
      <c r="E4805" s="1513" t="s">
        <v>6747</v>
      </c>
      <c r="F4805" s="1513"/>
      <c r="G4805" s="1513"/>
      <c r="H4805" s="1513"/>
      <c r="K4805" t="s">
        <v>6747</v>
      </c>
      <c r="V4805">
        <v>12</v>
      </c>
    </row>
    <row r="4806" spans="1:22" customFormat="1" x14ac:dyDescent="0.25">
      <c r="A4806" t="s">
        <v>186</v>
      </c>
      <c r="B4806" t="s">
        <v>5234</v>
      </c>
      <c r="E4806" s="1492" t="s">
        <v>207</v>
      </c>
      <c r="F4806" s="1492"/>
      <c r="G4806" s="1492"/>
      <c r="H4806" s="1492"/>
      <c r="K4806" t="s">
        <v>9002</v>
      </c>
      <c r="V4806">
        <v>31</v>
      </c>
    </row>
    <row r="4807" spans="1:22" customFormat="1" ht="15" x14ac:dyDescent="0.25">
      <c r="A4807" t="s">
        <v>186</v>
      </c>
      <c r="B4807" t="s">
        <v>5234</v>
      </c>
      <c r="E4807" s="1516" t="s">
        <v>5256</v>
      </c>
      <c r="F4807" s="1516"/>
      <c r="G4807" s="1516"/>
      <c r="H4807" s="1516"/>
      <c r="K4807" t="s">
        <v>9002</v>
      </c>
      <c r="V4807">
        <v>286</v>
      </c>
    </row>
    <row r="4808" spans="1:22" customFormat="1" ht="15" x14ac:dyDescent="0.25">
      <c r="A4808" t="s">
        <v>186</v>
      </c>
      <c r="B4808" t="s">
        <v>5234</v>
      </c>
      <c r="E4808" s="1515" t="s">
        <v>950</v>
      </c>
      <c r="F4808" s="1515"/>
      <c r="G4808" s="1515"/>
      <c r="H4808" s="1515"/>
      <c r="K4808" t="s">
        <v>9004</v>
      </c>
      <c r="V4808">
        <v>11</v>
      </c>
    </row>
    <row r="4809" spans="1:22" customFormat="1" ht="15" x14ac:dyDescent="0.25">
      <c r="A4809" t="s">
        <v>186</v>
      </c>
      <c r="B4809" t="s">
        <v>5234</v>
      </c>
      <c r="E4809" s="1516" t="s">
        <v>951</v>
      </c>
      <c r="F4809" s="1516"/>
      <c r="G4809" s="1516"/>
      <c r="H4809" s="1516"/>
      <c r="K4809" t="s">
        <v>9002</v>
      </c>
      <c r="V4809">
        <v>280</v>
      </c>
    </row>
    <row r="4810" spans="1:22" customFormat="1" ht="15" x14ac:dyDescent="0.25">
      <c r="A4810" t="s">
        <v>186</v>
      </c>
      <c r="B4810" t="s">
        <v>5234</v>
      </c>
      <c r="E4810" s="1516" t="s">
        <v>952</v>
      </c>
      <c r="F4810" s="1516"/>
      <c r="G4810" s="1516"/>
      <c r="H4810" s="1516"/>
      <c r="K4810" t="s">
        <v>9002</v>
      </c>
      <c r="V4810">
        <v>411</v>
      </c>
    </row>
    <row r="4811" spans="1:22" customFormat="1" ht="15" x14ac:dyDescent="0.25">
      <c r="A4811" t="s">
        <v>186</v>
      </c>
      <c r="B4811" t="s">
        <v>5234</v>
      </c>
      <c r="E4811" s="1516" t="s">
        <v>1103</v>
      </c>
      <c r="F4811" s="1516"/>
      <c r="G4811" s="1516"/>
      <c r="H4811" s="1516"/>
      <c r="K4811" t="s">
        <v>9002</v>
      </c>
      <c r="V4811">
        <v>211</v>
      </c>
    </row>
    <row r="4812" spans="1:22" customFormat="1" ht="15" x14ac:dyDescent="0.25">
      <c r="A4812" t="s">
        <v>186</v>
      </c>
      <c r="B4812" t="s">
        <v>5234</v>
      </c>
      <c r="E4812" s="1516" t="s">
        <v>3762</v>
      </c>
      <c r="F4812" s="1516"/>
      <c r="G4812" s="1516"/>
      <c r="H4812" s="1516"/>
      <c r="K4812" t="s">
        <v>9002</v>
      </c>
      <c r="V4812">
        <v>247</v>
      </c>
    </row>
    <row r="4813" spans="1:22" customFormat="1" ht="15" x14ac:dyDescent="0.25">
      <c r="A4813" t="s">
        <v>186</v>
      </c>
      <c r="B4813" t="s">
        <v>5234</v>
      </c>
      <c r="E4813" s="1515" t="s">
        <v>956</v>
      </c>
      <c r="F4813" s="1515"/>
      <c r="G4813" s="1515"/>
      <c r="H4813" s="1515"/>
      <c r="K4813" t="s">
        <v>7395</v>
      </c>
      <c r="V4813">
        <v>46</v>
      </c>
    </row>
    <row r="4814" spans="1:22" customFormat="1" ht="15" x14ac:dyDescent="0.25">
      <c r="A4814" t="s">
        <v>186</v>
      </c>
      <c r="B4814" t="s">
        <v>5234</v>
      </c>
      <c r="E4814" s="1507" t="s">
        <v>3773</v>
      </c>
      <c r="F4814" s="1507"/>
      <c r="G4814" s="584" t="s">
        <v>777</v>
      </c>
      <c r="H4814" s="576">
        <v>5</v>
      </c>
      <c r="K4814" t="s">
        <v>9002</v>
      </c>
      <c r="L4814" t="s">
        <v>690</v>
      </c>
      <c r="P4814" t="s">
        <v>9003</v>
      </c>
      <c r="V4814">
        <v>14</v>
      </c>
    </row>
    <row r="4815" spans="1:22" customFormat="1" ht="18.75" x14ac:dyDescent="0.25">
      <c r="A4815" t="s">
        <v>186</v>
      </c>
      <c r="B4815" t="s">
        <v>5234</v>
      </c>
      <c r="E4815" s="836" t="s">
        <v>3825</v>
      </c>
      <c r="F4815" s="386"/>
      <c r="G4815" s="386"/>
      <c r="H4815" s="386"/>
      <c r="K4815" t="s">
        <v>5216</v>
      </c>
      <c r="V4815">
        <v>10</v>
      </c>
    </row>
    <row r="4816" spans="1:22" customFormat="1" ht="15" x14ac:dyDescent="0.25">
      <c r="A4816" t="s">
        <v>186</v>
      </c>
      <c r="B4816" t="s">
        <v>5234</v>
      </c>
      <c r="E4816" s="1507" t="s">
        <v>1078</v>
      </c>
      <c r="F4816" s="1507"/>
      <c r="G4816" s="584" t="s">
        <v>3775</v>
      </c>
      <c r="H4816" s="608">
        <v>-0.6</v>
      </c>
      <c r="V4816">
        <v>68</v>
      </c>
    </row>
    <row r="4817" spans="1:22" customFormat="1" ht="15" x14ac:dyDescent="0.25">
      <c r="A4817" t="s">
        <v>186</v>
      </c>
      <c r="B4817" t="s">
        <v>5234</v>
      </c>
      <c r="E4817" s="1507" t="s">
        <v>1079</v>
      </c>
      <c r="F4817" s="1507"/>
      <c r="G4817" s="584" t="s">
        <v>1118</v>
      </c>
      <c r="H4817" s="576">
        <v>-1</v>
      </c>
      <c r="V4817">
        <v>87</v>
      </c>
    </row>
    <row r="4818" spans="1:22" customFormat="1" ht="15" x14ac:dyDescent="0.25">
      <c r="A4818" t="s">
        <v>186</v>
      </c>
      <c r="B4818" t="s">
        <v>5234</v>
      </c>
      <c r="E4818" s="1513" t="s">
        <v>6747</v>
      </c>
      <c r="F4818" s="1513"/>
      <c r="G4818" s="1513"/>
      <c r="H4818" s="1513"/>
      <c r="K4818" t="s">
        <v>6747</v>
      </c>
      <c r="V4818">
        <v>12</v>
      </c>
    </row>
    <row r="4819" spans="1:22" customFormat="1" ht="36" x14ac:dyDescent="0.25">
      <c r="A4819" t="s">
        <v>186</v>
      </c>
      <c r="B4819" t="s">
        <v>5234</v>
      </c>
      <c r="E4819" s="836" t="s">
        <v>3828</v>
      </c>
      <c r="F4819" s="386"/>
      <c r="G4819" s="386"/>
      <c r="H4819" s="386"/>
      <c r="K4819" t="s">
        <v>5217</v>
      </c>
      <c r="V4819">
        <v>24</v>
      </c>
    </row>
    <row r="4820" spans="1:22" customFormat="1" ht="15" x14ac:dyDescent="0.25">
      <c r="A4820" t="s">
        <v>186</v>
      </c>
      <c r="B4820" t="s">
        <v>5234</v>
      </c>
      <c r="E4820" s="1516" t="s">
        <v>951</v>
      </c>
      <c r="F4820" s="1516"/>
      <c r="G4820" s="1516"/>
      <c r="H4820" s="1516"/>
      <c r="V4820">
        <v>280</v>
      </c>
    </row>
    <row r="4821" spans="1:22" customFormat="1" ht="15" x14ac:dyDescent="0.25">
      <c r="A4821" t="s">
        <v>186</v>
      </c>
      <c r="B4821" t="s">
        <v>5234</v>
      </c>
      <c r="E4821" s="1516" t="s">
        <v>1081</v>
      </c>
      <c r="F4821" s="1516"/>
      <c r="G4821" s="1516"/>
      <c r="H4821" s="1516"/>
      <c r="V4821">
        <v>353</v>
      </c>
    </row>
    <row r="4822" spans="1:22" customFormat="1" ht="15" x14ac:dyDescent="0.25">
      <c r="A4822" t="s">
        <v>186</v>
      </c>
      <c r="B4822" t="s">
        <v>5234</v>
      </c>
      <c r="E4822" s="1516" t="s">
        <v>3762</v>
      </c>
      <c r="F4822" s="1516"/>
      <c r="G4822" s="1516"/>
      <c r="H4822" s="1516"/>
      <c r="V4822">
        <v>247</v>
      </c>
    </row>
    <row r="4823" spans="1:22" customFormat="1" ht="15" x14ac:dyDescent="0.25">
      <c r="A4823" t="s">
        <v>186</v>
      </c>
      <c r="B4823" t="s">
        <v>5234</v>
      </c>
      <c r="E4823" s="835" t="s">
        <v>3830</v>
      </c>
      <c r="F4823" s="903"/>
      <c r="G4823" s="903"/>
      <c r="H4823" s="903"/>
      <c r="K4823" t="s">
        <v>5218</v>
      </c>
      <c r="V4823">
        <v>23</v>
      </c>
    </row>
    <row r="4824" spans="1:22" customFormat="1" ht="15" x14ac:dyDescent="0.25">
      <c r="A4824" t="s">
        <v>186</v>
      </c>
      <c r="B4824" t="s">
        <v>5234</v>
      </c>
      <c r="E4824" s="1517" t="s">
        <v>3832</v>
      </c>
      <c r="F4824" s="1517"/>
      <c r="G4824" s="584" t="s">
        <v>777</v>
      </c>
      <c r="H4824" s="576">
        <v>15</v>
      </c>
      <c r="V4824">
        <v>19</v>
      </c>
    </row>
    <row r="4825" spans="1:22" customFormat="1" ht="15" x14ac:dyDescent="0.25">
      <c r="A4825" t="s">
        <v>186</v>
      </c>
      <c r="B4825" t="s">
        <v>5234</v>
      </c>
      <c r="E4825" s="1517" t="s">
        <v>3833</v>
      </c>
      <c r="F4825" s="1517"/>
      <c r="G4825" s="584" t="s">
        <v>777</v>
      </c>
      <c r="H4825" s="576">
        <v>15</v>
      </c>
      <c r="V4825">
        <v>20</v>
      </c>
    </row>
    <row r="4826" spans="1:22" customFormat="1" ht="15" x14ac:dyDescent="0.25">
      <c r="A4826" t="s">
        <v>186</v>
      </c>
      <c r="B4826" t="s">
        <v>5234</v>
      </c>
      <c r="E4826" s="1517" t="s">
        <v>4054</v>
      </c>
      <c r="F4826" s="1517"/>
      <c r="G4826" s="584" t="s">
        <v>777</v>
      </c>
      <c r="H4826" s="576">
        <v>15</v>
      </c>
      <c r="V4826">
        <v>26</v>
      </c>
    </row>
    <row r="4827" spans="1:22" customFormat="1" ht="15" x14ac:dyDescent="0.25">
      <c r="A4827" t="s">
        <v>186</v>
      </c>
      <c r="B4827" t="s">
        <v>5234</v>
      </c>
      <c r="E4827" s="1517" t="s">
        <v>3834</v>
      </c>
      <c r="F4827" s="1517"/>
      <c r="G4827" s="584" t="s">
        <v>777</v>
      </c>
      <c r="H4827" s="576">
        <v>15</v>
      </c>
      <c r="V4827">
        <v>39</v>
      </c>
    </row>
    <row r="4828" spans="1:22" customFormat="1" ht="15" x14ac:dyDescent="0.25">
      <c r="A4828" t="s">
        <v>186</v>
      </c>
      <c r="B4828" t="s">
        <v>5234</v>
      </c>
      <c r="E4828" s="1517" t="s">
        <v>4055</v>
      </c>
      <c r="F4828" s="1517"/>
      <c r="G4828" s="584" t="s">
        <v>777</v>
      </c>
      <c r="H4828" s="576">
        <v>15</v>
      </c>
      <c r="V4828">
        <v>37</v>
      </c>
    </row>
    <row r="4829" spans="1:22" customFormat="1" ht="15" x14ac:dyDescent="0.25">
      <c r="A4829" t="s">
        <v>186</v>
      </c>
      <c r="B4829" t="s">
        <v>5234</v>
      </c>
      <c r="E4829" s="1517" t="s">
        <v>4056</v>
      </c>
      <c r="F4829" s="1517"/>
      <c r="G4829" s="584" t="s">
        <v>777</v>
      </c>
      <c r="H4829" s="576">
        <v>15</v>
      </c>
      <c r="V4829">
        <v>15</v>
      </c>
    </row>
    <row r="4830" spans="1:22" customFormat="1" ht="15" x14ac:dyDescent="0.25">
      <c r="A4830" t="s">
        <v>186</v>
      </c>
      <c r="B4830" t="s">
        <v>5234</v>
      </c>
      <c r="E4830" s="1517" t="s">
        <v>4057</v>
      </c>
      <c r="F4830" s="1517"/>
      <c r="G4830" s="584" t="s">
        <v>777</v>
      </c>
      <c r="H4830" s="576">
        <v>15</v>
      </c>
      <c r="V4830">
        <v>17</v>
      </c>
    </row>
    <row r="4831" spans="1:22" customFormat="1" ht="15" x14ac:dyDescent="0.25">
      <c r="A4831" t="s">
        <v>186</v>
      </c>
      <c r="B4831" t="s">
        <v>5234</v>
      </c>
      <c r="E4831" s="1517" t="s">
        <v>4419</v>
      </c>
      <c r="F4831" s="1517"/>
      <c r="G4831" s="584" t="s">
        <v>777</v>
      </c>
      <c r="H4831" s="576">
        <v>15</v>
      </c>
      <c r="V4831">
        <v>19</v>
      </c>
    </row>
    <row r="4832" spans="1:22" customFormat="1" ht="15" x14ac:dyDescent="0.25">
      <c r="A4832" t="s">
        <v>186</v>
      </c>
      <c r="B4832" t="s">
        <v>5234</v>
      </c>
      <c r="E4832" s="1517" t="s">
        <v>4058</v>
      </c>
      <c r="F4832" s="1517"/>
      <c r="G4832" s="584" t="s">
        <v>777</v>
      </c>
      <c r="H4832" s="576">
        <v>15</v>
      </c>
      <c r="V4832">
        <v>15</v>
      </c>
    </row>
    <row r="4833" spans="1:22" customFormat="1" ht="15" x14ac:dyDescent="0.25">
      <c r="A4833" t="s">
        <v>186</v>
      </c>
      <c r="B4833" t="s">
        <v>5234</v>
      </c>
      <c r="E4833" s="1517" t="s">
        <v>3836</v>
      </c>
      <c r="F4833" s="1517"/>
      <c r="G4833" s="584" t="s">
        <v>777</v>
      </c>
      <c r="H4833" s="576">
        <v>15</v>
      </c>
      <c r="V4833">
        <v>35</v>
      </c>
    </row>
    <row r="4834" spans="1:22" customFormat="1" ht="15" x14ac:dyDescent="0.25">
      <c r="A4834" t="s">
        <v>186</v>
      </c>
      <c r="B4834" t="s">
        <v>5234</v>
      </c>
      <c r="E4834" s="1517" t="s">
        <v>4420</v>
      </c>
      <c r="F4834" s="1517"/>
      <c r="G4834" s="584" t="s">
        <v>777</v>
      </c>
      <c r="H4834" s="576">
        <v>15</v>
      </c>
      <c r="V4834">
        <v>24</v>
      </c>
    </row>
    <row r="4835" spans="1:22" customFormat="1" ht="15" x14ac:dyDescent="0.25">
      <c r="A4835" t="s">
        <v>186</v>
      </c>
      <c r="B4835" t="s">
        <v>5234</v>
      </c>
      <c r="E4835" s="1517" t="s">
        <v>4059</v>
      </c>
      <c r="F4835" s="1517"/>
      <c r="G4835" s="584" t="s">
        <v>777</v>
      </c>
      <c r="H4835" s="576">
        <v>15</v>
      </c>
      <c r="V4835">
        <v>19</v>
      </c>
    </row>
    <row r="4836" spans="1:22" customFormat="1" ht="15" x14ac:dyDescent="0.25">
      <c r="A4836" t="s">
        <v>186</v>
      </c>
      <c r="B4836" t="s">
        <v>5234</v>
      </c>
      <c r="E4836" s="1517" t="s">
        <v>3837</v>
      </c>
      <c r="F4836" s="1517"/>
      <c r="G4836" s="584" t="s">
        <v>777</v>
      </c>
      <c r="H4836" s="576">
        <v>30</v>
      </c>
      <c r="V4836">
        <v>89</v>
      </c>
    </row>
    <row r="4837" spans="1:22" customFormat="1" ht="15" x14ac:dyDescent="0.25">
      <c r="A4837" t="s">
        <v>186</v>
      </c>
      <c r="B4837" t="s">
        <v>5234</v>
      </c>
      <c r="E4837" s="1517" t="s">
        <v>3914</v>
      </c>
      <c r="F4837" s="1517"/>
      <c r="G4837" s="584" t="s">
        <v>777</v>
      </c>
      <c r="H4837" s="576">
        <v>30</v>
      </c>
      <c r="V4837">
        <v>19</v>
      </c>
    </row>
    <row r="4838" spans="1:22" customFormat="1" ht="15" x14ac:dyDescent="0.25">
      <c r="A4838" t="s">
        <v>186</v>
      </c>
      <c r="B4838" t="s">
        <v>5234</v>
      </c>
      <c r="E4838" s="1517" t="s">
        <v>3838</v>
      </c>
      <c r="F4838" s="1517"/>
      <c r="G4838" s="584" t="s">
        <v>777</v>
      </c>
      <c r="H4838" s="576">
        <v>30</v>
      </c>
      <c r="V4838">
        <v>74</v>
      </c>
    </row>
    <row r="4839" spans="1:22" customFormat="1" ht="15" x14ac:dyDescent="0.25">
      <c r="A4839" t="s">
        <v>186</v>
      </c>
      <c r="B4839" t="s">
        <v>5234</v>
      </c>
      <c r="E4839" s="1517" t="s">
        <v>3835</v>
      </c>
      <c r="F4839" s="1517"/>
      <c r="G4839" s="584" t="s">
        <v>777</v>
      </c>
      <c r="H4839" s="576">
        <v>15</v>
      </c>
      <c r="V4839">
        <v>56</v>
      </c>
    </row>
    <row r="4840" spans="1:22" customFormat="1" ht="15" x14ac:dyDescent="0.25">
      <c r="A4840" t="s">
        <v>186</v>
      </c>
      <c r="B4840" t="s">
        <v>5234</v>
      </c>
      <c r="E4840" s="835" t="s">
        <v>4062</v>
      </c>
      <c r="F4840" s="903"/>
      <c r="G4840" s="903"/>
      <c r="H4840" s="903"/>
      <c r="K4840" t="s">
        <v>5224</v>
      </c>
      <c r="V4840">
        <v>22</v>
      </c>
    </row>
    <row r="4841" spans="1:22" customFormat="1" ht="15" x14ac:dyDescent="0.25">
      <c r="A4841" t="s">
        <v>186</v>
      </c>
      <c r="B4841" t="s">
        <v>5234</v>
      </c>
      <c r="E4841" s="1517" t="s">
        <v>4064</v>
      </c>
      <c r="F4841" s="1517"/>
      <c r="G4841" s="584" t="s">
        <v>1118</v>
      </c>
      <c r="H4841" s="576">
        <v>1.5</v>
      </c>
      <c r="V4841">
        <v>99</v>
      </c>
    </row>
    <row r="4842" spans="1:22" customFormat="1" ht="15" x14ac:dyDescent="0.25">
      <c r="A4842" t="s">
        <v>186</v>
      </c>
      <c r="B4842" t="s">
        <v>5234</v>
      </c>
      <c r="E4842" s="1517" t="s">
        <v>3842</v>
      </c>
      <c r="F4842" s="1517"/>
      <c r="G4842" s="584" t="s">
        <v>777</v>
      </c>
      <c r="H4842" s="576">
        <v>65</v>
      </c>
      <c r="V4842">
        <v>44</v>
      </c>
    </row>
    <row r="4843" spans="1:22" customFormat="1" ht="15" x14ac:dyDescent="0.25">
      <c r="A4843" t="s">
        <v>186</v>
      </c>
      <c r="B4843" t="s">
        <v>5234</v>
      </c>
      <c r="E4843" s="1517" t="s">
        <v>3843</v>
      </c>
      <c r="F4843" s="1517"/>
      <c r="G4843" s="584" t="s">
        <v>777</v>
      </c>
      <c r="H4843" s="576">
        <v>185</v>
      </c>
      <c r="V4843">
        <v>43</v>
      </c>
    </row>
    <row r="4844" spans="1:22" customFormat="1" ht="15" x14ac:dyDescent="0.25">
      <c r="A4844" t="s">
        <v>186</v>
      </c>
      <c r="B4844" t="s">
        <v>5234</v>
      </c>
      <c r="E4844" s="1517" t="s">
        <v>3844</v>
      </c>
      <c r="F4844" s="1517"/>
      <c r="G4844" s="584" t="s">
        <v>777</v>
      </c>
      <c r="H4844" s="576">
        <v>185</v>
      </c>
      <c r="V4844">
        <v>43</v>
      </c>
    </row>
    <row r="4845" spans="1:22" customFormat="1" ht="15" x14ac:dyDescent="0.25">
      <c r="A4845" t="s">
        <v>186</v>
      </c>
      <c r="B4845" t="s">
        <v>5234</v>
      </c>
      <c r="E4845" s="1517" t="s">
        <v>3845</v>
      </c>
      <c r="F4845" s="1517"/>
      <c r="G4845" s="584" t="s">
        <v>777</v>
      </c>
      <c r="H4845" s="576">
        <v>415</v>
      </c>
      <c r="V4845">
        <v>42</v>
      </c>
    </row>
    <row r="4846" spans="1:22" customFormat="1" ht="15" x14ac:dyDescent="0.25">
      <c r="A4846" t="s">
        <v>186</v>
      </c>
      <c r="B4846" t="s">
        <v>5234</v>
      </c>
      <c r="E4846" s="835" t="s">
        <v>3846</v>
      </c>
      <c r="F4846" s="582"/>
      <c r="G4846" s="582"/>
      <c r="H4846" s="582"/>
      <c r="V4846">
        <v>5</v>
      </c>
    </row>
    <row r="4847" spans="1:22" customFormat="1" ht="15" x14ac:dyDescent="0.25">
      <c r="A4847" t="s">
        <v>186</v>
      </c>
      <c r="B4847" t="s">
        <v>5234</v>
      </c>
      <c r="E4847" s="1517" t="s">
        <v>5257</v>
      </c>
      <c r="F4847" s="1517"/>
      <c r="G4847" s="584" t="s">
        <v>777</v>
      </c>
      <c r="H4847" s="576">
        <v>39.14</v>
      </c>
      <c r="V4847">
        <v>108</v>
      </c>
    </row>
    <row r="4848" spans="1:22" customFormat="1" ht="15" x14ac:dyDescent="0.25">
      <c r="A4848" t="s">
        <v>186</v>
      </c>
      <c r="B4848" t="s">
        <v>5234</v>
      </c>
      <c r="E4848" s="1517" t="s">
        <v>4217</v>
      </c>
      <c r="F4848" s="1517"/>
      <c r="G4848" s="584" t="s">
        <v>777</v>
      </c>
      <c r="H4848" s="576">
        <v>30</v>
      </c>
      <c r="V4848">
        <v>39</v>
      </c>
    </row>
    <row r="4849" spans="1:22" customFormat="1" ht="15" x14ac:dyDescent="0.25">
      <c r="A4849" t="s">
        <v>186</v>
      </c>
      <c r="B4849" t="s">
        <v>5234</v>
      </c>
      <c r="E4849" s="1517" t="s">
        <v>5052</v>
      </c>
      <c r="F4849" s="1517"/>
      <c r="G4849" s="584" t="s">
        <v>777</v>
      </c>
      <c r="H4849" s="576">
        <v>165</v>
      </c>
      <c r="V4849">
        <v>61</v>
      </c>
    </row>
    <row r="4850" spans="1:22" customFormat="1" ht="15" x14ac:dyDescent="0.25">
      <c r="A4850" t="s">
        <v>186</v>
      </c>
      <c r="B4850" t="s">
        <v>5234</v>
      </c>
      <c r="E4850" s="1513" t="s">
        <v>6747</v>
      </c>
      <c r="F4850" s="1513"/>
      <c r="G4850" s="1513"/>
      <c r="H4850" s="1513"/>
      <c r="K4850" t="s">
        <v>6747</v>
      </c>
      <c r="V4850">
        <v>12</v>
      </c>
    </row>
    <row r="4851" spans="1:22" customFormat="1" x14ac:dyDescent="0.25">
      <c r="A4851" t="s">
        <v>186</v>
      </c>
      <c r="B4851" t="s">
        <v>5234</v>
      </c>
      <c r="E4851" s="1492" t="s">
        <v>3851</v>
      </c>
      <c r="F4851" s="1492"/>
      <c r="G4851" s="1492"/>
      <c r="H4851" s="1492"/>
      <c r="K4851" t="s">
        <v>5229</v>
      </c>
      <c r="V4851">
        <v>38</v>
      </c>
    </row>
    <row r="4852" spans="1:22" customFormat="1" ht="15" x14ac:dyDescent="0.25">
      <c r="A4852" t="s">
        <v>186</v>
      </c>
      <c r="B4852" t="s">
        <v>5234</v>
      </c>
      <c r="E4852" s="1516" t="s">
        <v>951</v>
      </c>
      <c r="F4852" s="1516"/>
      <c r="G4852" s="1516"/>
      <c r="H4852" s="1516"/>
      <c r="V4852">
        <v>280</v>
      </c>
    </row>
    <row r="4853" spans="1:22" customFormat="1" ht="15" x14ac:dyDescent="0.25">
      <c r="A4853" t="s">
        <v>186</v>
      </c>
      <c r="B4853" t="s">
        <v>5234</v>
      </c>
      <c r="E4853" s="1516" t="s">
        <v>952</v>
      </c>
      <c r="F4853" s="1516"/>
      <c r="G4853" s="1516"/>
      <c r="H4853" s="1516"/>
      <c r="V4853">
        <v>411</v>
      </c>
    </row>
    <row r="4854" spans="1:22" customFormat="1" ht="15" x14ac:dyDescent="0.25">
      <c r="A4854" t="s">
        <v>186</v>
      </c>
      <c r="B4854" t="s">
        <v>5234</v>
      </c>
      <c r="E4854" s="1516" t="s">
        <v>1103</v>
      </c>
      <c r="F4854" s="1516"/>
      <c r="G4854" s="1516"/>
      <c r="H4854" s="1516"/>
      <c r="V4854">
        <v>211</v>
      </c>
    </row>
    <row r="4855" spans="1:22" customFormat="1" ht="15" x14ac:dyDescent="0.25">
      <c r="A4855" t="s">
        <v>186</v>
      </c>
      <c r="B4855" t="s">
        <v>5234</v>
      </c>
      <c r="E4855" s="1516" t="s">
        <v>3762</v>
      </c>
      <c r="F4855" s="1516"/>
      <c r="G4855" s="1516"/>
      <c r="H4855" s="1516"/>
      <c r="V4855">
        <v>247</v>
      </c>
    </row>
    <row r="4856" spans="1:22" customFormat="1" ht="15" x14ac:dyDescent="0.25">
      <c r="A4856" t="s">
        <v>186</v>
      </c>
      <c r="B4856" t="s">
        <v>5234</v>
      </c>
      <c r="E4856" s="1516" t="s">
        <v>1104</v>
      </c>
      <c r="F4856" s="1516"/>
      <c r="G4856" s="1516"/>
      <c r="H4856" s="1516"/>
      <c r="V4856">
        <v>142</v>
      </c>
    </row>
    <row r="4857" spans="1:22" customFormat="1" ht="15" x14ac:dyDescent="0.25">
      <c r="A4857" t="s">
        <v>186</v>
      </c>
      <c r="B4857" t="s">
        <v>5234</v>
      </c>
      <c r="E4857" s="1507" t="s">
        <v>849</v>
      </c>
      <c r="F4857" s="1507"/>
      <c r="G4857" s="582" t="s">
        <v>777</v>
      </c>
      <c r="H4857" s="267">
        <v>121.23</v>
      </c>
      <c r="V4857">
        <v>106</v>
      </c>
    </row>
    <row r="4858" spans="1:22" customFormat="1" ht="15" x14ac:dyDescent="0.25">
      <c r="A4858" t="s">
        <v>186</v>
      </c>
      <c r="B4858" t="s">
        <v>5234</v>
      </c>
      <c r="E4858" s="1507" t="s">
        <v>850</v>
      </c>
      <c r="F4858" s="1507"/>
      <c r="G4858" s="582" t="s">
        <v>777</v>
      </c>
      <c r="H4858" s="267">
        <v>48.5</v>
      </c>
      <c r="V4858">
        <v>34</v>
      </c>
    </row>
    <row r="4859" spans="1:22" customFormat="1" ht="15" x14ac:dyDescent="0.25">
      <c r="A4859" t="s">
        <v>186</v>
      </c>
      <c r="B4859" t="s">
        <v>5234</v>
      </c>
      <c r="E4859" s="1507" t="s">
        <v>851</v>
      </c>
      <c r="F4859" s="1507"/>
      <c r="G4859" s="582" t="s">
        <v>852</v>
      </c>
      <c r="H4859" s="267">
        <v>1.2</v>
      </c>
      <c r="V4859">
        <v>51</v>
      </c>
    </row>
    <row r="4860" spans="1:22" customFormat="1" ht="15" x14ac:dyDescent="0.25">
      <c r="A4860" t="s">
        <v>186</v>
      </c>
      <c r="B4860" t="s">
        <v>5234</v>
      </c>
      <c r="E4860" s="1507" t="s">
        <v>853</v>
      </c>
      <c r="F4860" s="1507"/>
      <c r="G4860" s="582" t="s">
        <v>852</v>
      </c>
      <c r="H4860" s="267">
        <v>0.71</v>
      </c>
      <c r="V4860">
        <v>75</v>
      </c>
    </row>
    <row r="4861" spans="1:22" customFormat="1" ht="15" x14ac:dyDescent="0.25">
      <c r="A4861" t="s">
        <v>186</v>
      </c>
      <c r="B4861" t="s">
        <v>5234</v>
      </c>
      <c r="E4861" s="1507" t="s">
        <v>854</v>
      </c>
      <c r="F4861" s="1507"/>
      <c r="G4861" s="582" t="s">
        <v>852</v>
      </c>
      <c r="H4861" s="267">
        <v>-0.71</v>
      </c>
      <c r="V4861">
        <v>72</v>
      </c>
    </row>
    <row r="4862" spans="1:22" customFormat="1" ht="15" x14ac:dyDescent="0.25">
      <c r="A4862" t="s">
        <v>186</v>
      </c>
      <c r="B4862" t="s">
        <v>5234</v>
      </c>
      <c r="E4862" s="1507" t="s">
        <v>855</v>
      </c>
      <c r="F4862" s="1507"/>
      <c r="G4862" s="582"/>
      <c r="H4862" s="657"/>
      <c r="V4862">
        <v>34</v>
      </c>
    </row>
    <row r="4863" spans="1:22" customFormat="1" ht="15" x14ac:dyDescent="0.25">
      <c r="A4863" t="s">
        <v>186</v>
      </c>
      <c r="B4863" t="s">
        <v>5234</v>
      </c>
      <c r="E4863" s="1511" t="s">
        <v>1106</v>
      </c>
      <c r="F4863" s="1511"/>
      <c r="G4863" s="582" t="s">
        <v>777</v>
      </c>
      <c r="H4863" s="267">
        <v>0.61</v>
      </c>
      <c r="V4863">
        <v>57</v>
      </c>
    </row>
    <row r="4864" spans="1:22" customFormat="1" ht="15" x14ac:dyDescent="0.25">
      <c r="A4864" t="s">
        <v>186</v>
      </c>
      <c r="B4864" t="s">
        <v>5234</v>
      </c>
      <c r="E4864" s="1511" t="s">
        <v>1107</v>
      </c>
      <c r="F4864" s="1511"/>
      <c r="G4864" s="582" t="s">
        <v>777</v>
      </c>
      <c r="H4864" s="267">
        <v>1.2</v>
      </c>
      <c r="V4864">
        <v>60</v>
      </c>
    </row>
    <row r="4865" spans="1:22" customFormat="1" ht="15" x14ac:dyDescent="0.25">
      <c r="A4865" t="s">
        <v>186</v>
      </c>
      <c r="B4865" t="s">
        <v>5234</v>
      </c>
      <c r="E4865" s="1507" t="s">
        <v>1108</v>
      </c>
      <c r="F4865" s="1507"/>
      <c r="G4865" s="582"/>
      <c r="H4865" s="865"/>
      <c r="V4865">
        <v>91</v>
      </c>
    </row>
    <row r="4866" spans="1:22" customFormat="1" ht="15" x14ac:dyDescent="0.25">
      <c r="A4866" t="s">
        <v>186</v>
      </c>
      <c r="B4866" t="s">
        <v>5234</v>
      </c>
      <c r="E4866" s="1507" t="s">
        <v>1109</v>
      </c>
      <c r="F4866" s="1507"/>
      <c r="G4866" s="582"/>
      <c r="H4866" s="657"/>
      <c r="V4866">
        <v>96</v>
      </c>
    </row>
    <row r="4867" spans="1:22" customFormat="1" ht="15" x14ac:dyDescent="0.25">
      <c r="A4867" t="s">
        <v>186</v>
      </c>
      <c r="B4867" t="s">
        <v>5234</v>
      </c>
      <c r="E4867" s="1507" t="s">
        <v>856</v>
      </c>
      <c r="F4867" s="1507"/>
      <c r="G4867" s="582"/>
      <c r="H4867" s="657"/>
      <c r="V4867">
        <v>77</v>
      </c>
    </row>
    <row r="4868" spans="1:22" customFormat="1" ht="15" x14ac:dyDescent="0.25">
      <c r="A4868" t="s">
        <v>186</v>
      </c>
      <c r="B4868" t="s">
        <v>5234</v>
      </c>
      <c r="E4868" s="1511" t="s">
        <v>1111</v>
      </c>
      <c r="F4868" s="1511"/>
      <c r="G4868" s="582" t="s">
        <v>777</v>
      </c>
      <c r="H4868" s="657" t="s">
        <v>857</v>
      </c>
      <c r="V4868">
        <v>18</v>
      </c>
    </row>
    <row r="4869" spans="1:22" customFormat="1" ht="15" x14ac:dyDescent="0.25">
      <c r="A4869" t="s">
        <v>186</v>
      </c>
      <c r="B4869" t="s">
        <v>5234</v>
      </c>
      <c r="E4869" s="1511" t="s">
        <v>1112</v>
      </c>
      <c r="F4869" s="1511"/>
      <c r="G4869" s="582" t="s">
        <v>777</v>
      </c>
      <c r="H4869" s="267">
        <v>4.8499999999999996</v>
      </c>
      <c r="V4869">
        <v>69</v>
      </c>
    </row>
    <row r="4870" spans="1:22" customFormat="1" ht="15" x14ac:dyDescent="0.25">
      <c r="A4870" t="s">
        <v>186</v>
      </c>
      <c r="B4870" t="s">
        <v>5234</v>
      </c>
      <c r="E4870" s="1507" t="s">
        <v>858</v>
      </c>
      <c r="F4870" s="1507"/>
      <c r="G4870" s="582" t="s">
        <v>777</v>
      </c>
      <c r="H4870" s="267">
        <v>2.42</v>
      </c>
      <c r="V4870">
        <v>199</v>
      </c>
    </row>
    <row r="4871" spans="1:22" customFormat="1" ht="18.75" x14ac:dyDescent="0.25">
      <c r="A4871" t="s">
        <v>186</v>
      </c>
      <c r="B4871" t="s">
        <v>5234</v>
      </c>
      <c r="E4871" s="836" t="s">
        <v>3853</v>
      </c>
      <c r="F4871" s="386"/>
      <c r="G4871" s="386"/>
      <c r="H4871" s="386"/>
      <c r="K4871" t="s">
        <v>5232</v>
      </c>
      <c r="V4871">
        <v>12</v>
      </c>
    </row>
    <row r="4872" spans="1:22" customFormat="1" ht="15" x14ac:dyDescent="0.25">
      <c r="A4872" t="s">
        <v>186</v>
      </c>
      <c r="B4872" t="s">
        <v>5234</v>
      </c>
      <c r="E4872" s="1507" t="s">
        <v>1114</v>
      </c>
      <c r="F4872" s="1507"/>
      <c r="G4872" s="1507"/>
      <c r="H4872" s="1507"/>
      <c r="V4872">
        <v>203</v>
      </c>
    </row>
    <row r="4873" spans="1:22" customFormat="1" ht="15" x14ac:dyDescent="0.25">
      <c r="A4873" t="s">
        <v>186</v>
      </c>
      <c r="B4873" t="s">
        <v>5234</v>
      </c>
      <c r="E4873" s="1507" t="s">
        <v>1115</v>
      </c>
      <c r="F4873" s="1507"/>
      <c r="G4873" s="584"/>
      <c r="H4873" s="650">
        <v>1.0306999999999999</v>
      </c>
      <c r="V4873">
        <v>57</v>
      </c>
    </row>
    <row r="4874" spans="1:22" customFormat="1" ht="15" x14ac:dyDescent="0.25">
      <c r="A4874" t="s">
        <v>186</v>
      </c>
      <c r="B4874" t="s">
        <v>5234</v>
      </c>
      <c r="E4874" s="1507" t="s">
        <v>4072</v>
      </c>
      <c r="F4874" s="1507"/>
      <c r="G4874" s="584"/>
      <c r="H4874" s="650">
        <v>1.0145</v>
      </c>
      <c r="V4874">
        <v>57</v>
      </c>
    </row>
    <row r="4875" spans="1:22" customFormat="1" ht="15" x14ac:dyDescent="0.25">
      <c r="A4875" t="s">
        <v>186</v>
      </c>
      <c r="B4875" t="s">
        <v>5234</v>
      </c>
      <c r="E4875" s="1507" t="s">
        <v>1117</v>
      </c>
      <c r="F4875" s="1507"/>
      <c r="G4875" s="584"/>
      <c r="H4875" s="650">
        <v>1.0204</v>
      </c>
      <c r="V4875">
        <v>55</v>
      </c>
    </row>
    <row r="4876" spans="1:22" customFormat="1" ht="15" x14ac:dyDescent="0.25">
      <c r="A4876" t="s">
        <v>186</v>
      </c>
      <c r="B4876" t="s">
        <v>5234</v>
      </c>
      <c r="E4876" s="1507" t="s">
        <v>4073</v>
      </c>
      <c r="F4876" s="1507"/>
      <c r="G4876" s="584"/>
      <c r="H4876" s="650">
        <v>1.0044999999999999</v>
      </c>
      <c r="J4876" t="s">
        <v>5258</v>
      </c>
      <c r="V4876">
        <v>55</v>
      </c>
    </row>
    <row r="4877" spans="1:22" customFormat="1" ht="23.25" x14ac:dyDescent="0.25">
      <c r="A4877" t="s">
        <v>267</v>
      </c>
      <c r="C4877" t="s">
        <v>3755</v>
      </c>
      <c r="E4877" s="1550" t="s">
        <v>267</v>
      </c>
      <c r="F4877" s="1540"/>
      <c r="G4877" s="1540"/>
      <c r="H4877" s="1540"/>
      <c r="I4877" t="s">
        <v>94</v>
      </c>
      <c r="J4877" t="s">
        <v>4502</v>
      </c>
      <c r="K4877" t="s">
        <v>267</v>
      </c>
      <c r="M4877">
        <v>8</v>
      </c>
      <c r="V4877">
        <v>20</v>
      </c>
    </row>
    <row r="4878" spans="1:22" customFormat="1" x14ac:dyDescent="0.25">
      <c r="A4878" t="s">
        <v>267</v>
      </c>
      <c r="C4878" t="s">
        <v>3757</v>
      </c>
      <c r="E4878" s="1551" t="s">
        <v>944</v>
      </c>
      <c r="F4878" s="1542"/>
      <c r="G4878" s="1542"/>
      <c r="H4878" s="1542"/>
      <c r="V4878">
        <v>27</v>
      </c>
    </row>
    <row r="4879" spans="1:22" customFormat="1" ht="15.75" x14ac:dyDescent="0.25">
      <c r="A4879" t="s">
        <v>267</v>
      </c>
      <c r="C4879" t="s">
        <v>3758</v>
      </c>
      <c r="E4879" s="1543" t="s">
        <v>6511</v>
      </c>
      <c r="F4879" s="1669"/>
      <c r="G4879" s="1669"/>
      <c r="H4879" s="1669"/>
      <c r="S4879">
        <v>45658</v>
      </c>
      <c r="V4879">
        <v>49</v>
      </c>
    </row>
    <row r="4880" spans="1:22" customFormat="1" ht="15" x14ac:dyDescent="0.25">
      <c r="A4880" t="s">
        <v>267</v>
      </c>
      <c r="C4880" t="s">
        <v>3759</v>
      </c>
      <c r="E4880" s="1544" t="s">
        <v>945</v>
      </c>
      <c r="F4880" s="1630"/>
      <c r="G4880" s="1630"/>
      <c r="H4880" s="1630"/>
      <c r="V4880">
        <v>52</v>
      </c>
    </row>
    <row r="4881" spans="1:22" customFormat="1" ht="15" x14ac:dyDescent="0.25">
      <c r="A4881" t="s">
        <v>267</v>
      </c>
      <c r="E4881" s="1544" t="s">
        <v>946</v>
      </c>
      <c r="F4881" s="1630"/>
      <c r="G4881" s="1630"/>
      <c r="H4881" s="1630"/>
      <c r="V4881">
        <v>53</v>
      </c>
    </row>
    <row r="4882" spans="1:22" customFormat="1" ht="15" x14ac:dyDescent="0.25">
      <c r="A4882" t="s">
        <v>267</v>
      </c>
      <c r="E4882" s="1513" t="s">
        <v>6774</v>
      </c>
      <c r="F4882" s="1514"/>
      <c r="G4882" s="1514"/>
      <c r="H4882" s="1514"/>
      <c r="K4882" t="s">
        <v>6774</v>
      </c>
      <c r="V4882">
        <v>12</v>
      </c>
    </row>
    <row r="4883" spans="1:22" customFormat="1" ht="15" x14ac:dyDescent="0.25">
      <c r="A4883" t="s">
        <v>267</v>
      </c>
      <c r="E4883" s="1492" t="s">
        <v>170</v>
      </c>
      <c r="F4883" s="1516"/>
      <c r="G4883" s="1516"/>
      <c r="H4883" s="1516"/>
      <c r="K4883" t="s">
        <v>947</v>
      </c>
      <c r="V4883">
        <v>34</v>
      </c>
    </row>
    <row r="4884" spans="1:22" customFormat="1" ht="15" x14ac:dyDescent="0.25">
      <c r="A4884" t="s">
        <v>267</v>
      </c>
      <c r="E4884" s="1516" t="s">
        <v>4503</v>
      </c>
      <c r="F4884" s="1516"/>
      <c r="G4884" s="1516"/>
      <c r="H4884" s="1516"/>
      <c r="K4884" t="s">
        <v>947</v>
      </c>
      <c r="V4884">
        <v>348</v>
      </c>
    </row>
    <row r="4885" spans="1:22" customFormat="1" ht="15" x14ac:dyDescent="0.25">
      <c r="A4885" t="s">
        <v>267</v>
      </c>
      <c r="E4885" s="1515" t="s">
        <v>950</v>
      </c>
      <c r="F4885" s="1516"/>
      <c r="G4885" s="1516"/>
      <c r="H4885" s="1516"/>
      <c r="K4885" t="s">
        <v>949</v>
      </c>
      <c r="V4885">
        <v>11</v>
      </c>
    </row>
    <row r="4886" spans="1:22" customFormat="1" ht="15" x14ac:dyDescent="0.25">
      <c r="A4886" t="s">
        <v>267</v>
      </c>
      <c r="E4886" s="1516" t="s">
        <v>951</v>
      </c>
      <c r="F4886" s="1516"/>
      <c r="G4886" s="1516"/>
      <c r="H4886" s="1516"/>
      <c r="K4886" t="s">
        <v>947</v>
      </c>
      <c r="V4886">
        <v>280</v>
      </c>
    </row>
    <row r="4887" spans="1:22" customFormat="1" ht="15" x14ac:dyDescent="0.25">
      <c r="A4887" t="s">
        <v>267</v>
      </c>
      <c r="E4887" s="1516" t="s">
        <v>952</v>
      </c>
      <c r="F4887" s="1516"/>
      <c r="G4887" s="1516"/>
      <c r="H4887" s="1516"/>
      <c r="K4887" t="s">
        <v>947</v>
      </c>
      <c r="V4887">
        <v>411</v>
      </c>
    </row>
    <row r="4888" spans="1:22" customFormat="1" ht="15" x14ac:dyDescent="0.25">
      <c r="A4888" t="s">
        <v>267</v>
      </c>
      <c r="E4888" s="1516" t="s">
        <v>953</v>
      </c>
      <c r="F4888" s="1516"/>
      <c r="G4888" s="1516"/>
      <c r="H4888" s="1516"/>
      <c r="K4888" t="s">
        <v>947</v>
      </c>
      <c r="V4888">
        <v>386</v>
      </c>
    </row>
    <row r="4889" spans="1:22" customFormat="1" ht="15" x14ac:dyDescent="0.25">
      <c r="A4889" t="s">
        <v>267</v>
      </c>
      <c r="E4889" s="1516" t="s">
        <v>954</v>
      </c>
      <c r="F4889" s="1516"/>
      <c r="G4889" s="1516"/>
      <c r="H4889" s="1516"/>
      <c r="K4889" t="s">
        <v>947</v>
      </c>
      <c r="V4889">
        <v>246</v>
      </c>
    </row>
    <row r="4890" spans="1:22" customFormat="1" ht="15" x14ac:dyDescent="0.25">
      <c r="A4890" t="s">
        <v>267</v>
      </c>
      <c r="E4890" s="1515" t="s">
        <v>956</v>
      </c>
      <c r="F4890" s="1516"/>
      <c r="G4890" s="1516"/>
      <c r="H4890" s="1516"/>
      <c r="K4890" t="s">
        <v>955</v>
      </c>
      <c r="V4890">
        <v>46</v>
      </c>
    </row>
    <row r="4891" spans="1:22" customFormat="1" ht="15" x14ac:dyDescent="0.25">
      <c r="A4891" t="s">
        <v>267</v>
      </c>
      <c r="E4891" s="1507" t="s">
        <v>3773</v>
      </c>
      <c r="F4891" s="1507"/>
      <c r="G4891" s="584" t="s">
        <v>777</v>
      </c>
      <c r="H4891" s="576">
        <v>47.33</v>
      </c>
      <c r="K4891" t="s">
        <v>947</v>
      </c>
      <c r="L4891" t="s">
        <v>690</v>
      </c>
      <c r="P4891" t="s">
        <v>957</v>
      </c>
      <c r="V4891">
        <v>14</v>
      </c>
    </row>
    <row r="4892" spans="1:22" customFormat="1" ht="15" x14ac:dyDescent="0.25">
      <c r="A4892" t="s">
        <v>267</v>
      </c>
      <c r="E4892" s="1507" t="s">
        <v>960</v>
      </c>
      <c r="F4892" s="1507"/>
      <c r="G4892" s="584" t="s">
        <v>777</v>
      </c>
      <c r="H4892" s="576">
        <v>0.42</v>
      </c>
      <c r="K4892" t="s">
        <v>947</v>
      </c>
      <c r="L4892" t="s">
        <v>692</v>
      </c>
      <c r="P4892" t="s">
        <v>959</v>
      </c>
      <c r="V4892">
        <v>64</v>
      </c>
    </row>
    <row r="4893" spans="1:22" customFormat="1" ht="15" x14ac:dyDescent="0.25">
      <c r="A4893" t="s">
        <v>267</v>
      </c>
      <c r="E4893" s="1507" t="s">
        <v>910</v>
      </c>
      <c r="F4893" s="1507"/>
      <c r="G4893" s="584" t="s">
        <v>845</v>
      </c>
      <c r="H4893" s="577">
        <v>4.0000000000000001E-3</v>
      </c>
      <c r="K4893" t="s">
        <v>947</v>
      </c>
      <c r="L4893" t="s">
        <v>692</v>
      </c>
      <c r="P4893" t="s">
        <v>961</v>
      </c>
      <c r="V4893">
        <v>24</v>
      </c>
    </row>
    <row r="4894" spans="1:22" customFormat="1" ht="15" x14ac:dyDescent="0.25">
      <c r="A4894" t="s">
        <v>267</v>
      </c>
      <c r="E4894" s="1507" t="s">
        <v>6519</v>
      </c>
      <c r="F4894" s="1510"/>
      <c r="G4894" s="584" t="s">
        <v>845</v>
      </c>
      <c r="H4894" s="577">
        <v>6.1000000000000004E-3</v>
      </c>
      <c r="K4894" t="s">
        <v>947</v>
      </c>
      <c r="L4894" t="s">
        <v>692</v>
      </c>
      <c r="P4894" t="s">
        <v>962</v>
      </c>
      <c r="T4894">
        <v>46022</v>
      </c>
      <c r="V4894">
        <v>142</v>
      </c>
    </row>
    <row r="4895" spans="1:22" customFormat="1" ht="15" x14ac:dyDescent="0.25">
      <c r="A4895" t="s">
        <v>267</v>
      </c>
      <c r="E4895" s="1507" t="s">
        <v>6520</v>
      </c>
      <c r="F4895" s="1510"/>
      <c r="G4895" s="584" t="s">
        <v>845</v>
      </c>
      <c r="H4895" s="577">
        <v>1.15E-2</v>
      </c>
      <c r="K4895" t="s">
        <v>947</v>
      </c>
      <c r="L4895" t="s">
        <v>692</v>
      </c>
      <c r="P4895" t="s">
        <v>963</v>
      </c>
      <c r="T4895">
        <v>46022</v>
      </c>
      <c r="V4895">
        <v>99</v>
      </c>
    </row>
    <row r="4896" spans="1:22" customFormat="1" ht="15" x14ac:dyDescent="0.25">
      <c r="A4896" t="s">
        <v>267</v>
      </c>
      <c r="E4896" s="1507" t="s">
        <v>6521</v>
      </c>
      <c r="F4896" s="1510"/>
      <c r="G4896" s="584" t="s">
        <v>845</v>
      </c>
      <c r="H4896" s="577">
        <v>2.0000000000000001E-4</v>
      </c>
      <c r="K4896" t="s">
        <v>947</v>
      </c>
      <c r="L4896" t="s">
        <v>692</v>
      </c>
      <c r="P4896" t="s">
        <v>3764</v>
      </c>
      <c r="T4896">
        <v>46022</v>
      </c>
      <c r="V4896">
        <v>149</v>
      </c>
    </row>
    <row r="4897" spans="1:22" customFormat="1" ht="15" x14ac:dyDescent="0.25">
      <c r="A4897" t="s">
        <v>267</v>
      </c>
      <c r="E4897" s="1507" t="s">
        <v>243</v>
      </c>
      <c r="F4897" s="1507"/>
      <c r="G4897" s="584" t="s">
        <v>845</v>
      </c>
      <c r="H4897" s="577">
        <v>1.24E-2</v>
      </c>
      <c r="K4897" t="s">
        <v>947</v>
      </c>
      <c r="L4897" t="s">
        <v>694</v>
      </c>
      <c r="P4897" t="s">
        <v>964</v>
      </c>
      <c r="V4897">
        <v>47</v>
      </c>
    </row>
    <row r="4898" spans="1:22" customFormat="1" ht="15" x14ac:dyDescent="0.25">
      <c r="A4898" t="s">
        <v>267</v>
      </c>
      <c r="E4898" s="1507" t="s">
        <v>175</v>
      </c>
      <c r="F4898" s="1507"/>
      <c r="G4898" s="584" t="s">
        <v>845</v>
      </c>
      <c r="H4898" s="577">
        <v>8.9999999999999993E-3</v>
      </c>
      <c r="K4898" t="s">
        <v>947</v>
      </c>
      <c r="L4898" t="s">
        <v>694</v>
      </c>
      <c r="P4898" t="s">
        <v>965</v>
      </c>
      <c r="V4898">
        <v>74</v>
      </c>
    </row>
    <row r="4899" spans="1:22" customFormat="1" ht="15" x14ac:dyDescent="0.25">
      <c r="A4899" t="s">
        <v>267</v>
      </c>
      <c r="E4899" s="1515" t="s">
        <v>967</v>
      </c>
      <c r="F4899" s="1507"/>
      <c r="G4899" s="584"/>
      <c r="H4899" s="584"/>
      <c r="K4899" t="s">
        <v>966</v>
      </c>
      <c r="V4899">
        <v>48</v>
      </c>
    </row>
    <row r="4900" spans="1:22" customFormat="1" ht="15" x14ac:dyDescent="0.25">
      <c r="A4900" t="s">
        <v>267</v>
      </c>
      <c r="E4900" s="1507" t="s">
        <v>844</v>
      </c>
      <c r="F4900" s="1507"/>
      <c r="G4900" s="584" t="s">
        <v>845</v>
      </c>
      <c r="H4900" s="577">
        <v>4.1000000000000003E-3</v>
      </c>
      <c r="K4900" t="s">
        <v>947</v>
      </c>
      <c r="L4900" t="s">
        <v>968</v>
      </c>
      <c r="P4900" t="s">
        <v>969</v>
      </c>
      <c r="V4900">
        <v>55</v>
      </c>
    </row>
    <row r="4901" spans="1:22" customFormat="1" ht="15" x14ac:dyDescent="0.25">
      <c r="A4901" t="s">
        <v>267</v>
      </c>
      <c r="E4901" s="1507" t="s">
        <v>846</v>
      </c>
      <c r="F4901" s="1507"/>
      <c r="G4901" s="584" t="s">
        <v>845</v>
      </c>
      <c r="H4901" s="577">
        <v>4.0000000000000002E-4</v>
      </c>
      <c r="K4901" t="s">
        <v>947</v>
      </c>
      <c r="L4901" t="s">
        <v>968</v>
      </c>
      <c r="P4901" t="s">
        <v>969</v>
      </c>
      <c r="V4901">
        <v>65</v>
      </c>
    </row>
    <row r="4902" spans="1:22" customFormat="1" ht="15" x14ac:dyDescent="0.25">
      <c r="A4902" t="s">
        <v>267</v>
      </c>
      <c r="E4902" s="1507" t="s">
        <v>847</v>
      </c>
      <c r="F4902" s="1507"/>
      <c r="G4902" s="584" t="s">
        <v>845</v>
      </c>
      <c r="H4902" s="577">
        <v>1.5E-3</v>
      </c>
      <c r="K4902" t="s">
        <v>947</v>
      </c>
      <c r="L4902" t="s">
        <v>968</v>
      </c>
      <c r="P4902" t="s">
        <v>970</v>
      </c>
      <c r="V4902">
        <v>57</v>
      </c>
    </row>
    <row r="4903" spans="1:22" customFormat="1" ht="15" x14ac:dyDescent="0.25">
      <c r="A4903" t="s">
        <v>267</v>
      </c>
      <c r="E4903" s="1507" t="s">
        <v>848</v>
      </c>
      <c r="F4903" s="1507"/>
      <c r="G4903" s="584" t="s">
        <v>777</v>
      </c>
      <c r="H4903" s="576">
        <v>0.25</v>
      </c>
      <c r="K4903" t="s">
        <v>947</v>
      </c>
      <c r="L4903" t="s">
        <v>968</v>
      </c>
      <c r="P4903" t="s">
        <v>971</v>
      </c>
      <c r="V4903">
        <v>63</v>
      </c>
    </row>
    <row r="4904" spans="1:22" customFormat="1" x14ac:dyDescent="0.25">
      <c r="A4904" t="s">
        <v>267</v>
      </c>
      <c r="E4904" s="1492" t="s">
        <v>174</v>
      </c>
      <c r="F4904" s="1493"/>
      <c r="G4904" s="1493"/>
      <c r="H4904" s="1493"/>
      <c r="K4904" t="s">
        <v>972</v>
      </c>
      <c r="V4904">
        <v>54</v>
      </c>
    </row>
    <row r="4905" spans="1:22" customFormat="1" ht="15" x14ac:dyDescent="0.25">
      <c r="A4905" t="s">
        <v>267</v>
      </c>
      <c r="E4905" s="1516" t="s">
        <v>4504</v>
      </c>
      <c r="F4905" s="1516"/>
      <c r="G4905" s="1516"/>
      <c r="H4905" s="1516"/>
      <c r="K4905" t="s">
        <v>972</v>
      </c>
      <c r="V4905">
        <v>253</v>
      </c>
    </row>
    <row r="4906" spans="1:22" customFormat="1" ht="15" x14ac:dyDescent="0.25">
      <c r="A4906" t="s">
        <v>267</v>
      </c>
      <c r="E4906" s="1515" t="s">
        <v>950</v>
      </c>
      <c r="F4906" s="1516"/>
      <c r="G4906" s="1516"/>
      <c r="H4906" s="1516"/>
      <c r="K4906" t="s">
        <v>974</v>
      </c>
      <c r="V4906">
        <v>11</v>
      </c>
    </row>
    <row r="4907" spans="1:22" customFormat="1" ht="15" x14ac:dyDescent="0.25">
      <c r="A4907" t="s">
        <v>267</v>
      </c>
      <c r="E4907" s="1516" t="s">
        <v>951</v>
      </c>
      <c r="F4907" s="1516"/>
      <c r="G4907" s="1516"/>
      <c r="H4907" s="1516"/>
      <c r="K4907" t="s">
        <v>972</v>
      </c>
      <c r="V4907">
        <v>280</v>
      </c>
    </row>
    <row r="4908" spans="1:22" customFormat="1" ht="15" x14ac:dyDescent="0.25">
      <c r="A4908" t="s">
        <v>267</v>
      </c>
      <c r="E4908" s="1516" t="s">
        <v>952</v>
      </c>
      <c r="F4908" s="1516"/>
      <c r="G4908" s="1516"/>
      <c r="H4908" s="1516"/>
      <c r="K4908" t="s">
        <v>972</v>
      </c>
      <c r="V4908">
        <v>411</v>
      </c>
    </row>
    <row r="4909" spans="1:22" customFormat="1" ht="15" x14ac:dyDescent="0.25">
      <c r="A4909" t="s">
        <v>267</v>
      </c>
      <c r="E4909" s="1516" t="s">
        <v>953</v>
      </c>
      <c r="F4909" s="1516"/>
      <c r="G4909" s="1516"/>
      <c r="H4909" s="1516"/>
      <c r="K4909" t="s">
        <v>972</v>
      </c>
      <c r="V4909">
        <v>386</v>
      </c>
    </row>
    <row r="4910" spans="1:22" customFormat="1" ht="15" x14ac:dyDescent="0.25">
      <c r="A4910" t="s">
        <v>267</v>
      </c>
      <c r="E4910" s="1516" t="s">
        <v>954</v>
      </c>
      <c r="F4910" s="1516"/>
      <c r="G4910" s="1516"/>
      <c r="H4910" s="1516"/>
      <c r="K4910" t="s">
        <v>972</v>
      </c>
      <c r="V4910">
        <v>246</v>
      </c>
    </row>
    <row r="4911" spans="1:22" customFormat="1" ht="15" x14ac:dyDescent="0.25">
      <c r="A4911" t="s">
        <v>267</v>
      </c>
      <c r="E4911" s="1515" t="s">
        <v>956</v>
      </c>
      <c r="F4911" s="1516"/>
      <c r="G4911" s="1516"/>
      <c r="H4911" s="1516"/>
      <c r="K4911" t="s">
        <v>975</v>
      </c>
      <c r="V4911">
        <v>46</v>
      </c>
    </row>
    <row r="4912" spans="1:22" customFormat="1" ht="15" x14ac:dyDescent="0.25">
      <c r="A4912" t="s">
        <v>267</v>
      </c>
      <c r="E4912" s="1507" t="s">
        <v>3773</v>
      </c>
      <c r="F4912" s="1507"/>
      <c r="G4912" s="584" t="s">
        <v>777</v>
      </c>
      <c r="H4912" s="576">
        <v>47.77</v>
      </c>
      <c r="K4912" t="s">
        <v>972</v>
      </c>
      <c r="L4912" t="s">
        <v>690</v>
      </c>
      <c r="P4912" t="s">
        <v>976</v>
      </c>
      <c r="V4912">
        <v>14</v>
      </c>
    </row>
    <row r="4913" spans="1:22" customFormat="1" ht="15" x14ac:dyDescent="0.25">
      <c r="A4913" t="s">
        <v>267</v>
      </c>
      <c r="E4913" s="1507" t="s">
        <v>960</v>
      </c>
      <c r="F4913" s="1507"/>
      <c r="G4913" s="584" t="s">
        <v>777</v>
      </c>
      <c r="H4913" s="576">
        <v>0.42</v>
      </c>
      <c r="K4913" t="s">
        <v>972</v>
      </c>
      <c r="L4913" t="s">
        <v>692</v>
      </c>
      <c r="P4913" t="s">
        <v>977</v>
      </c>
      <c r="V4913">
        <v>64</v>
      </c>
    </row>
    <row r="4914" spans="1:22" customFormat="1" ht="15" x14ac:dyDescent="0.25">
      <c r="A4914" t="s">
        <v>267</v>
      </c>
      <c r="E4914" s="1507" t="s">
        <v>3688</v>
      </c>
      <c r="F4914" s="1507"/>
      <c r="G4914" s="584" t="s">
        <v>845</v>
      </c>
      <c r="H4914" s="577">
        <v>1.0200000000000001E-2</v>
      </c>
      <c r="K4914" t="s">
        <v>972</v>
      </c>
      <c r="L4914" t="s">
        <v>690</v>
      </c>
      <c r="P4914" t="s">
        <v>978</v>
      </c>
      <c r="V4914">
        <v>28</v>
      </c>
    </row>
    <row r="4915" spans="1:22" customFormat="1" ht="15" x14ac:dyDescent="0.25">
      <c r="A4915" t="s">
        <v>267</v>
      </c>
      <c r="E4915" s="1507" t="s">
        <v>910</v>
      </c>
      <c r="F4915" s="1507"/>
      <c r="G4915" s="584" t="s">
        <v>845</v>
      </c>
      <c r="H4915" s="577">
        <v>3.7000000000000002E-3</v>
      </c>
      <c r="K4915" t="s">
        <v>972</v>
      </c>
      <c r="L4915" t="s">
        <v>692</v>
      </c>
      <c r="P4915" t="s">
        <v>980</v>
      </c>
      <c r="V4915">
        <v>24</v>
      </c>
    </row>
    <row r="4916" spans="1:22" customFormat="1" ht="15" x14ac:dyDescent="0.25">
      <c r="A4916" t="s">
        <v>267</v>
      </c>
      <c r="E4916" s="1507" t="s">
        <v>6519</v>
      </c>
      <c r="F4916" s="1510"/>
      <c r="G4916" s="584" t="s">
        <v>845</v>
      </c>
      <c r="H4916" s="577">
        <v>6.1000000000000004E-3</v>
      </c>
      <c r="K4916" t="s">
        <v>972</v>
      </c>
      <c r="L4916" t="s">
        <v>692</v>
      </c>
      <c r="P4916" t="s">
        <v>981</v>
      </c>
      <c r="T4916">
        <v>46022</v>
      </c>
      <c r="V4916">
        <v>142</v>
      </c>
    </row>
    <row r="4917" spans="1:22" customFormat="1" ht="15" x14ac:dyDescent="0.25">
      <c r="A4917" t="s">
        <v>267</v>
      </c>
      <c r="E4917" s="1507" t="s">
        <v>6520</v>
      </c>
      <c r="F4917" s="1510"/>
      <c r="G4917" s="584" t="s">
        <v>845</v>
      </c>
      <c r="H4917" s="577">
        <v>1.17E-2</v>
      </c>
      <c r="K4917" t="s">
        <v>972</v>
      </c>
      <c r="L4917" t="s">
        <v>692</v>
      </c>
      <c r="P4917" t="s">
        <v>982</v>
      </c>
      <c r="T4917">
        <v>46022</v>
      </c>
      <c r="V4917">
        <v>99</v>
      </c>
    </row>
    <row r="4918" spans="1:22" customFormat="1" ht="15" x14ac:dyDescent="0.25">
      <c r="A4918" t="s">
        <v>267</v>
      </c>
      <c r="E4918" s="1507" t="s">
        <v>6521</v>
      </c>
      <c r="F4918" s="1510"/>
      <c r="G4918" s="584" t="s">
        <v>845</v>
      </c>
      <c r="H4918" s="577">
        <v>2.0000000000000001E-4</v>
      </c>
      <c r="K4918" t="s">
        <v>972</v>
      </c>
      <c r="L4918" t="s">
        <v>692</v>
      </c>
      <c r="P4918" t="s">
        <v>3766</v>
      </c>
      <c r="T4918">
        <v>46022</v>
      </c>
      <c r="V4918">
        <v>149</v>
      </c>
    </row>
    <row r="4919" spans="1:22" customFormat="1" ht="15" x14ac:dyDescent="0.25">
      <c r="A4919" t="s">
        <v>267</v>
      </c>
      <c r="E4919" s="1507" t="s">
        <v>243</v>
      </c>
      <c r="F4919" s="1507"/>
      <c r="G4919" s="584" t="s">
        <v>845</v>
      </c>
      <c r="H4919" s="577">
        <v>1.12E-2</v>
      </c>
      <c r="K4919" t="s">
        <v>972</v>
      </c>
      <c r="L4919" t="s">
        <v>694</v>
      </c>
      <c r="P4919" t="s">
        <v>983</v>
      </c>
      <c r="V4919">
        <v>47</v>
      </c>
    </row>
    <row r="4920" spans="1:22" customFormat="1" ht="15" x14ac:dyDescent="0.25">
      <c r="A4920" t="s">
        <v>267</v>
      </c>
      <c r="E4920" s="1507" t="s">
        <v>175</v>
      </c>
      <c r="F4920" s="1507"/>
      <c r="G4920" s="584" t="s">
        <v>845</v>
      </c>
      <c r="H4920" s="577">
        <v>8.3000000000000001E-3</v>
      </c>
      <c r="K4920" t="s">
        <v>972</v>
      </c>
      <c r="L4920" t="s">
        <v>694</v>
      </c>
      <c r="P4920" t="s">
        <v>984</v>
      </c>
      <c r="V4920">
        <v>74</v>
      </c>
    </row>
    <row r="4921" spans="1:22" customFormat="1" ht="15" x14ac:dyDescent="0.25">
      <c r="A4921" t="s">
        <v>267</v>
      </c>
      <c r="E4921" s="1515" t="s">
        <v>967</v>
      </c>
      <c r="F4921" s="1507"/>
      <c r="G4921" s="584"/>
      <c r="H4921" s="584"/>
      <c r="K4921" t="s">
        <v>985</v>
      </c>
      <c r="V4921">
        <v>48</v>
      </c>
    </row>
    <row r="4922" spans="1:22" customFormat="1" ht="15" x14ac:dyDescent="0.25">
      <c r="A4922" t="s">
        <v>267</v>
      </c>
      <c r="E4922" s="1507" t="s">
        <v>844</v>
      </c>
      <c r="F4922" s="1507"/>
      <c r="G4922" s="584" t="s">
        <v>845</v>
      </c>
      <c r="H4922" s="577">
        <v>4.1000000000000003E-3</v>
      </c>
      <c r="K4922" t="s">
        <v>972</v>
      </c>
      <c r="L4922" t="s">
        <v>968</v>
      </c>
      <c r="P4922" t="s">
        <v>986</v>
      </c>
      <c r="V4922">
        <v>55</v>
      </c>
    </row>
    <row r="4923" spans="1:22" customFormat="1" ht="15" x14ac:dyDescent="0.25">
      <c r="A4923" t="s">
        <v>267</v>
      </c>
      <c r="E4923" s="1507" t="s">
        <v>846</v>
      </c>
      <c r="F4923" s="1507"/>
      <c r="G4923" s="584" t="s">
        <v>845</v>
      </c>
      <c r="H4923" s="577">
        <v>4.0000000000000002E-4</v>
      </c>
      <c r="K4923" t="s">
        <v>972</v>
      </c>
      <c r="L4923" t="s">
        <v>968</v>
      </c>
      <c r="P4923" t="s">
        <v>986</v>
      </c>
      <c r="V4923">
        <v>65</v>
      </c>
    </row>
    <row r="4924" spans="1:22" customFormat="1" ht="15" x14ac:dyDescent="0.25">
      <c r="A4924" t="s">
        <v>267</v>
      </c>
      <c r="E4924" s="1507" t="s">
        <v>847</v>
      </c>
      <c r="F4924" s="1507"/>
      <c r="G4924" s="584" t="s">
        <v>845</v>
      </c>
      <c r="H4924" s="577">
        <v>1.5E-3</v>
      </c>
      <c r="K4924" t="s">
        <v>972</v>
      </c>
      <c r="L4924" t="s">
        <v>968</v>
      </c>
      <c r="P4924" t="s">
        <v>987</v>
      </c>
      <c r="V4924">
        <v>57</v>
      </c>
    </row>
    <row r="4925" spans="1:22" customFormat="1" ht="15" x14ac:dyDescent="0.25">
      <c r="A4925" t="s">
        <v>267</v>
      </c>
      <c r="E4925" s="1507" t="s">
        <v>848</v>
      </c>
      <c r="F4925" s="1507"/>
      <c r="G4925" s="584" t="s">
        <v>777</v>
      </c>
      <c r="H4925" s="576">
        <v>0.25</v>
      </c>
      <c r="K4925" t="s">
        <v>972</v>
      </c>
      <c r="L4925" t="s">
        <v>968</v>
      </c>
      <c r="P4925" t="s">
        <v>988</v>
      </c>
      <c r="V4925">
        <v>63</v>
      </c>
    </row>
    <row r="4926" spans="1:22" customFormat="1" x14ac:dyDescent="0.25">
      <c r="A4926" t="s">
        <v>267</v>
      </c>
      <c r="E4926" s="1492" t="s">
        <v>3767</v>
      </c>
      <c r="F4926" s="1493"/>
      <c r="G4926" s="1493"/>
      <c r="H4926" s="1493"/>
      <c r="K4926" t="s">
        <v>3768</v>
      </c>
      <c r="V4926">
        <v>53</v>
      </c>
    </row>
    <row r="4927" spans="1:22" customFormat="1" ht="15" x14ac:dyDescent="0.25">
      <c r="A4927" t="s">
        <v>267</v>
      </c>
      <c r="E4927" s="1516" t="s">
        <v>4505</v>
      </c>
      <c r="F4927" s="1516"/>
      <c r="G4927" s="1516"/>
      <c r="H4927" s="1516"/>
      <c r="K4927" t="s">
        <v>3768</v>
      </c>
      <c r="V4927">
        <v>275</v>
      </c>
    </row>
    <row r="4928" spans="1:22" customFormat="1" ht="15" x14ac:dyDescent="0.25">
      <c r="A4928" t="s">
        <v>267</v>
      </c>
      <c r="E4928" s="1515" t="s">
        <v>950</v>
      </c>
      <c r="F4928" s="1516"/>
      <c r="G4928" s="1516"/>
      <c r="H4928" s="1516"/>
      <c r="K4928" t="s">
        <v>992</v>
      </c>
      <c r="V4928">
        <v>11</v>
      </c>
    </row>
    <row r="4929" spans="1:22" customFormat="1" ht="15" x14ac:dyDescent="0.25">
      <c r="A4929" t="s">
        <v>267</v>
      </c>
      <c r="E4929" s="1516" t="s">
        <v>951</v>
      </c>
      <c r="F4929" s="1516"/>
      <c r="G4929" s="1516"/>
      <c r="H4929" s="1516"/>
      <c r="K4929" t="s">
        <v>3768</v>
      </c>
      <c r="V4929">
        <v>280</v>
      </c>
    </row>
    <row r="4930" spans="1:22" customFormat="1" ht="15" x14ac:dyDescent="0.25">
      <c r="A4930" t="s">
        <v>267</v>
      </c>
      <c r="E4930" s="1516" t="s">
        <v>952</v>
      </c>
      <c r="F4930" s="1516"/>
      <c r="G4930" s="1516"/>
      <c r="H4930" s="1516"/>
      <c r="K4930" t="s">
        <v>3768</v>
      </c>
      <c r="V4930">
        <v>411</v>
      </c>
    </row>
    <row r="4931" spans="1:22" customFormat="1" ht="15" x14ac:dyDescent="0.25">
      <c r="A4931" t="s">
        <v>267</v>
      </c>
      <c r="E4931" s="1516" t="s">
        <v>953</v>
      </c>
      <c r="F4931" s="1516"/>
      <c r="G4931" s="1516"/>
      <c r="H4931" s="1516"/>
      <c r="K4931" t="s">
        <v>3768</v>
      </c>
      <c r="V4931">
        <v>386</v>
      </c>
    </row>
    <row r="4932" spans="1:22" customFormat="1" ht="15" x14ac:dyDescent="0.25">
      <c r="A4932" t="s">
        <v>267</v>
      </c>
      <c r="E4932" s="1516" t="s">
        <v>3771</v>
      </c>
      <c r="F4932" s="1516"/>
      <c r="G4932" s="1516"/>
      <c r="H4932" s="1516"/>
      <c r="K4932" t="s">
        <v>3768</v>
      </c>
      <c r="V4932">
        <v>677</v>
      </c>
    </row>
    <row r="4933" spans="1:22" customFormat="1" ht="15" x14ac:dyDescent="0.25">
      <c r="A4933" t="s">
        <v>267</v>
      </c>
      <c r="E4933" s="1516" t="s">
        <v>3772</v>
      </c>
      <c r="F4933" s="1516"/>
      <c r="G4933" s="1516"/>
      <c r="H4933" s="1516"/>
      <c r="K4933" t="s">
        <v>3768</v>
      </c>
      <c r="V4933">
        <v>693</v>
      </c>
    </row>
    <row r="4934" spans="1:22" customFormat="1" ht="15" x14ac:dyDescent="0.25">
      <c r="A4934" t="s">
        <v>267</v>
      </c>
      <c r="E4934" s="1516" t="s">
        <v>954</v>
      </c>
      <c r="F4934" s="1516"/>
      <c r="G4934" s="1516"/>
      <c r="H4934" s="1516"/>
      <c r="K4934" t="s">
        <v>3768</v>
      </c>
      <c r="V4934">
        <v>246</v>
      </c>
    </row>
    <row r="4935" spans="1:22" customFormat="1" ht="15" x14ac:dyDescent="0.25">
      <c r="A4935" t="s">
        <v>267</v>
      </c>
      <c r="E4935" s="1515" t="s">
        <v>956</v>
      </c>
      <c r="F4935" s="1516"/>
      <c r="G4935" s="1516"/>
      <c r="H4935" s="1516"/>
      <c r="K4935" t="s">
        <v>995</v>
      </c>
      <c r="V4935">
        <v>46</v>
      </c>
    </row>
    <row r="4936" spans="1:22" customFormat="1" ht="15" x14ac:dyDescent="0.25">
      <c r="A4936" t="s">
        <v>267</v>
      </c>
      <c r="E4936" s="1507" t="s">
        <v>3773</v>
      </c>
      <c r="F4936" s="1507"/>
      <c r="G4936" s="584" t="s">
        <v>777</v>
      </c>
      <c r="H4936" s="576">
        <v>244.33</v>
      </c>
      <c r="K4936" t="s">
        <v>3768</v>
      </c>
      <c r="L4936" t="s">
        <v>690</v>
      </c>
      <c r="P4936" t="s">
        <v>3774</v>
      </c>
      <c r="V4936">
        <v>14</v>
      </c>
    </row>
    <row r="4937" spans="1:22" customFormat="1" ht="15" x14ac:dyDescent="0.25">
      <c r="A4937" t="s">
        <v>267</v>
      </c>
      <c r="E4937" s="1507" t="s">
        <v>3688</v>
      </c>
      <c r="F4937" s="1507"/>
      <c r="G4937" s="584" t="s">
        <v>3775</v>
      </c>
      <c r="H4937" s="577">
        <v>5.4363999999999999</v>
      </c>
      <c r="K4937" t="s">
        <v>3768</v>
      </c>
      <c r="L4937" t="s">
        <v>690</v>
      </c>
      <c r="P4937" t="s">
        <v>3776</v>
      </c>
      <c r="V4937">
        <v>28</v>
      </c>
    </row>
    <row r="4938" spans="1:22" customFormat="1" ht="15" x14ac:dyDescent="0.25">
      <c r="A4938" t="s">
        <v>267</v>
      </c>
      <c r="E4938" s="1507" t="s">
        <v>910</v>
      </c>
      <c r="F4938" s="1507"/>
      <c r="G4938" s="584" t="s">
        <v>3775</v>
      </c>
      <c r="H4938" s="577">
        <v>1.9458</v>
      </c>
      <c r="K4938" t="s">
        <v>3768</v>
      </c>
      <c r="L4938" t="s">
        <v>692</v>
      </c>
      <c r="P4938" t="s">
        <v>3777</v>
      </c>
      <c r="V4938">
        <v>24</v>
      </c>
    </row>
    <row r="4939" spans="1:22" customFormat="1" ht="15" x14ac:dyDescent="0.25">
      <c r="A4939" t="s">
        <v>267</v>
      </c>
      <c r="E4939" s="1507" t="s">
        <v>6519</v>
      </c>
      <c r="F4939" s="1510"/>
      <c r="G4939" s="584" t="s">
        <v>845</v>
      </c>
      <c r="H4939" s="577">
        <v>6.1000000000000004E-3</v>
      </c>
      <c r="K4939" t="s">
        <v>3768</v>
      </c>
      <c r="L4939" t="s">
        <v>692</v>
      </c>
      <c r="P4939" t="s">
        <v>4232</v>
      </c>
      <c r="T4939">
        <v>46022</v>
      </c>
      <c r="V4939">
        <v>142</v>
      </c>
    </row>
    <row r="4940" spans="1:22" customFormat="1" ht="15" x14ac:dyDescent="0.25">
      <c r="A4940" t="s">
        <v>267</v>
      </c>
      <c r="E4940" s="1507" t="s">
        <v>6520</v>
      </c>
      <c r="F4940" s="1510"/>
      <c r="G4940" s="584" t="s">
        <v>3775</v>
      </c>
      <c r="H4940" s="577">
        <v>3.9291999999999998</v>
      </c>
      <c r="K4940" t="s">
        <v>3768</v>
      </c>
      <c r="L4940" t="s">
        <v>692</v>
      </c>
      <c r="P4940" t="s">
        <v>3779</v>
      </c>
      <c r="T4940">
        <v>46022</v>
      </c>
      <c r="V4940">
        <v>99</v>
      </c>
    </row>
    <row r="4941" spans="1:22" customFormat="1" ht="15" x14ac:dyDescent="0.25">
      <c r="A4941" t="s">
        <v>267</v>
      </c>
      <c r="E4941" s="1507" t="s">
        <v>6521</v>
      </c>
      <c r="F4941" s="1510"/>
      <c r="G4941" s="584" t="s">
        <v>3775</v>
      </c>
      <c r="H4941" s="577">
        <v>5.79E-2</v>
      </c>
      <c r="K4941" t="s">
        <v>3768</v>
      </c>
      <c r="L4941" t="s">
        <v>692</v>
      </c>
      <c r="P4941" t="s">
        <v>3778</v>
      </c>
      <c r="T4941">
        <v>46022</v>
      </c>
      <c r="V4941">
        <v>149</v>
      </c>
    </row>
    <row r="4942" spans="1:22" customFormat="1" ht="15" x14ac:dyDescent="0.25">
      <c r="A4942" t="s">
        <v>267</v>
      </c>
      <c r="E4942" s="1507" t="s">
        <v>243</v>
      </c>
      <c r="F4942" s="1507"/>
      <c r="G4942" s="584" t="s">
        <v>3775</v>
      </c>
      <c r="H4942" s="577">
        <v>4.4089999999999998</v>
      </c>
      <c r="K4942" t="s">
        <v>3768</v>
      </c>
      <c r="L4942" t="s">
        <v>694</v>
      </c>
      <c r="P4942" t="s">
        <v>3780</v>
      </c>
      <c r="V4942">
        <v>47</v>
      </c>
    </row>
    <row r="4943" spans="1:22" customFormat="1" ht="15" x14ac:dyDescent="0.25">
      <c r="A4943" t="s">
        <v>267</v>
      </c>
      <c r="E4943" s="1507" t="s">
        <v>4121</v>
      </c>
      <c r="F4943" s="1507"/>
      <c r="G4943" s="584" t="s">
        <v>3775</v>
      </c>
      <c r="H4943" s="577">
        <v>4.7236000000000002</v>
      </c>
      <c r="K4943" t="s">
        <v>3768</v>
      </c>
      <c r="L4943" t="s">
        <v>694</v>
      </c>
      <c r="P4943" t="s">
        <v>3781</v>
      </c>
      <c r="V4943">
        <v>75</v>
      </c>
    </row>
    <row r="4944" spans="1:22" customFormat="1" ht="15" x14ac:dyDescent="0.25">
      <c r="A4944" t="s">
        <v>267</v>
      </c>
      <c r="E4944" s="1507" t="s">
        <v>251</v>
      </c>
      <c r="F4944" s="1507"/>
      <c r="G4944" s="584" t="s">
        <v>3775</v>
      </c>
      <c r="H4944" s="577">
        <v>4.4089999999999998</v>
      </c>
      <c r="K4944" t="s">
        <v>3768</v>
      </c>
      <c r="L4944" t="s">
        <v>694</v>
      </c>
      <c r="P4944" t="s">
        <v>3780</v>
      </c>
      <c r="V4944">
        <v>66</v>
      </c>
    </row>
    <row r="4945" spans="1:22" customFormat="1" ht="15" x14ac:dyDescent="0.25">
      <c r="A4945" t="s">
        <v>267</v>
      </c>
      <c r="E4945" s="1507" t="s">
        <v>4444</v>
      </c>
      <c r="F4945" s="1507"/>
      <c r="G4945" s="584" t="s">
        <v>3775</v>
      </c>
      <c r="H4945" s="577">
        <v>4.4260000000000002</v>
      </c>
      <c r="K4945" t="s">
        <v>3768</v>
      </c>
      <c r="L4945" t="s">
        <v>694</v>
      </c>
      <c r="P4945" t="s">
        <v>3781</v>
      </c>
      <c r="V4945">
        <v>94</v>
      </c>
    </row>
    <row r="4946" spans="1:22" customFormat="1" ht="15" x14ac:dyDescent="0.25">
      <c r="A4946" t="s">
        <v>267</v>
      </c>
      <c r="E4946" s="1515" t="s">
        <v>967</v>
      </c>
      <c r="F4946" s="1507"/>
      <c r="G4946" s="584"/>
      <c r="H4946" s="584"/>
      <c r="K4946" t="s">
        <v>1003</v>
      </c>
      <c r="V4946">
        <v>48</v>
      </c>
    </row>
    <row r="4947" spans="1:22" customFormat="1" ht="15" x14ac:dyDescent="0.25">
      <c r="A4947" t="s">
        <v>267</v>
      </c>
      <c r="E4947" s="1507" t="s">
        <v>844</v>
      </c>
      <c r="F4947" s="1507"/>
      <c r="G4947" s="584" t="s">
        <v>845</v>
      </c>
      <c r="H4947" s="577">
        <v>4.1000000000000003E-3</v>
      </c>
      <c r="K4947" t="s">
        <v>3768</v>
      </c>
      <c r="L4947" t="s">
        <v>968</v>
      </c>
      <c r="P4947" t="s">
        <v>3782</v>
      </c>
      <c r="V4947">
        <v>55</v>
      </c>
    </row>
    <row r="4948" spans="1:22" customFormat="1" ht="15" x14ac:dyDescent="0.25">
      <c r="A4948" t="s">
        <v>267</v>
      </c>
      <c r="E4948" s="1507" t="s">
        <v>846</v>
      </c>
      <c r="F4948" s="1507"/>
      <c r="G4948" s="584" t="s">
        <v>845</v>
      </c>
      <c r="H4948" s="577">
        <v>4.0000000000000002E-4</v>
      </c>
      <c r="K4948" t="s">
        <v>3768</v>
      </c>
      <c r="L4948" t="s">
        <v>968</v>
      </c>
      <c r="P4948" t="s">
        <v>3782</v>
      </c>
      <c r="V4948">
        <v>65</v>
      </c>
    </row>
    <row r="4949" spans="1:22" customFormat="1" ht="15" x14ac:dyDescent="0.25">
      <c r="A4949" t="s">
        <v>267</v>
      </c>
      <c r="E4949" s="1507" t="s">
        <v>847</v>
      </c>
      <c r="F4949" s="1507"/>
      <c r="G4949" s="584" t="s">
        <v>845</v>
      </c>
      <c r="H4949" s="577">
        <v>1.5E-3</v>
      </c>
      <c r="K4949" t="s">
        <v>3768</v>
      </c>
      <c r="L4949" t="s">
        <v>968</v>
      </c>
      <c r="P4949" t="s">
        <v>3783</v>
      </c>
      <c r="V4949">
        <v>57</v>
      </c>
    </row>
    <row r="4950" spans="1:22" customFormat="1" ht="15" x14ac:dyDescent="0.25">
      <c r="A4950" t="s">
        <v>267</v>
      </c>
      <c r="E4950" s="1507" t="s">
        <v>848</v>
      </c>
      <c r="F4950" s="1507"/>
      <c r="G4950" s="584" t="s">
        <v>777</v>
      </c>
      <c r="H4950" s="576">
        <v>0.25</v>
      </c>
      <c r="K4950" t="s">
        <v>3768</v>
      </c>
      <c r="L4950" t="s">
        <v>968</v>
      </c>
      <c r="P4950" t="s">
        <v>3784</v>
      </c>
      <c r="V4950">
        <v>63</v>
      </c>
    </row>
    <row r="4951" spans="1:22" customFormat="1" x14ac:dyDescent="0.25">
      <c r="A4951" t="s">
        <v>267</v>
      </c>
      <c r="E4951" s="1492" t="s">
        <v>4007</v>
      </c>
      <c r="F4951" s="1492"/>
      <c r="G4951" s="1492"/>
      <c r="H4951" s="1492"/>
      <c r="K4951" t="s">
        <v>4506</v>
      </c>
      <c r="V4951">
        <v>43</v>
      </c>
    </row>
    <row r="4952" spans="1:22" customFormat="1" ht="15" x14ac:dyDescent="0.25">
      <c r="A4952" t="s">
        <v>267</v>
      </c>
      <c r="E4952" s="1516" t="s">
        <v>4507</v>
      </c>
      <c r="F4952" s="1516"/>
      <c r="G4952" s="1516"/>
      <c r="H4952" s="1516"/>
      <c r="K4952" t="s">
        <v>4506</v>
      </c>
      <c r="V4952">
        <v>315</v>
      </c>
    </row>
    <row r="4953" spans="1:22" customFormat="1" ht="15" x14ac:dyDescent="0.25">
      <c r="A4953" t="s">
        <v>267</v>
      </c>
      <c r="E4953" s="1515" t="s">
        <v>950</v>
      </c>
      <c r="F4953" s="1549"/>
      <c r="G4953" s="1549"/>
      <c r="H4953" s="1549"/>
      <c r="K4953" t="s">
        <v>1010</v>
      </c>
      <c r="V4953">
        <v>11</v>
      </c>
    </row>
    <row r="4954" spans="1:22" customFormat="1" ht="15" x14ac:dyDescent="0.25">
      <c r="A4954" t="s">
        <v>267</v>
      </c>
      <c r="E4954" s="1516" t="s">
        <v>951</v>
      </c>
      <c r="F4954" s="1516"/>
      <c r="G4954" s="1516"/>
      <c r="H4954" s="1516"/>
      <c r="K4954" t="s">
        <v>4506</v>
      </c>
      <c r="V4954">
        <v>280</v>
      </c>
    </row>
    <row r="4955" spans="1:22" customFormat="1" ht="15" x14ac:dyDescent="0.25">
      <c r="A4955" t="s">
        <v>267</v>
      </c>
      <c r="E4955" s="1516" t="s">
        <v>952</v>
      </c>
      <c r="F4955" s="1516"/>
      <c r="G4955" s="1516"/>
      <c r="H4955" s="1516"/>
      <c r="K4955" t="s">
        <v>4506</v>
      </c>
      <c r="V4955">
        <v>411</v>
      </c>
    </row>
    <row r="4956" spans="1:22" customFormat="1" ht="15" x14ac:dyDescent="0.25">
      <c r="A4956" t="s">
        <v>267</v>
      </c>
      <c r="E4956" s="1516" t="s">
        <v>953</v>
      </c>
      <c r="F4956" s="1516"/>
      <c r="G4956" s="1516"/>
      <c r="H4956" s="1516"/>
      <c r="K4956" t="s">
        <v>4506</v>
      </c>
      <c r="V4956">
        <v>386</v>
      </c>
    </row>
    <row r="4957" spans="1:22" customFormat="1" ht="15" x14ac:dyDescent="0.25">
      <c r="A4957" t="s">
        <v>267</v>
      </c>
      <c r="E4957" s="1516" t="s">
        <v>954</v>
      </c>
      <c r="F4957" s="1516"/>
      <c r="G4957" s="1516"/>
      <c r="H4957" s="1516"/>
      <c r="K4957" t="s">
        <v>4506</v>
      </c>
      <c r="V4957">
        <v>246</v>
      </c>
    </row>
    <row r="4958" spans="1:22" customFormat="1" ht="15" x14ac:dyDescent="0.25">
      <c r="A4958" t="s">
        <v>267</v>
      </c>
      <c r="E4958" s="1515" t="s">
        <v>956</v>
      </c>
      <c r="F4958" s="1549"/>
      <c r="G4958" s="1549"/>
      <c r="H4958" s="1549"/>
      <c r="K4958" t="s">
        <v>1011</v>
      </c>
      <c r="V4958">
        <v>46</v>
      </c>
    </row>
    <row r="4959" spans="1:22" customFormat="1" ht="15" x14ac:dyDescent="0.25">
      <c r="A4959" t="s">
        <v>267</v>
      </c>
      <c r="E4959" s="1507" t="s">
        <v>3773</v>
      </c>
      <c r="F4959" s="1507"/>
      <c r="G4959" s="584" t="s">
        <v>777</v>
      </c>
      <c r="H4959" s="576">
        <v>232.57</v>
      </c>
      <c r="K4959" t="s">
        <v>4506</v>
      </c>
      <c r="L4959" t="s">
        <v>690</v>
      </c>
      <c r="P4959" t="s">
        <v>4508</v>
      </c>
      <c r="V4959">
        <v>14</v>
      </c>
    </row>
    <row r="4960" spans="1:22" customFormat="1" ht="15" x14ac:dyDescent="0.25">
      <c r="A4960" t="s">
        <v>267</v>
      </c>
      <c r="E4960" s="1507" t="s">
        <v>3688</v>
      </c>
      <c r="F4960" s="1507"/>
      <c r="G4960" s="584" t="s">
        <v>3775</v>
      </c>
      <c r="H4960" s="577">
        <v>4.7130999999999998</v>
      </c>
      <c r="K4960" t="s">
        <v>4506</v>
      </c>
      <c r="L4960" t="s">
        <v>690</v>
      </c>
      <c r="P4960" t="s">
        <v>4509</v>
      </c>
      <c r="V4960">
        <v>28</v>
      </c>
    </row>
    <row r="4961" spans="1:22" customFormat="1" ht="15" x14ac:dyDescent="0.25">
      <c r="A4961" t="s">
        <v>267</v>
      </c>
      <c r="E4961" s="1507" t="s">
        <v>910</v>
      </c>
      <c r="F4961" s="1507"/>
      <c r="G4961" s="584" t="s">
        <v>3775</v>
      </c>
      <c r="H4961" s="577">
        <v>1.9458</v>
      </c>
      <c r="K4961" t="s">
        <v>4506</v>
      </c>
      <c r="L4961" t="s">
        <v>692</v>
      </c>
      <c r="P4961" t="s">
        <v>4510</v>
      </c>
      <c r="V4961">
        <v>24</v>
      </c>
    </row>
    <row r="4962" spans="1:22" customFormat="1" ht="15" x14ac:dyDescent="0.25">
      <c r="A4962" t="s">
        <v>267</v>
      </c>
      <c r="E4962" s="1507" t="s">
        <v>6519</v>
      </c>
      <c r="F4962" s="1510"/>
      <c r="G4962" s="584" t="s">
        <v>845</v>
      </c>
      <c r="H4962" s="577">
        <v>6.1000000000000004E-3</v>
      </c>
      <c r="K4962" t="s">
        <v>4506</v>
      </c>
      <c r="L4962" t="s">
        <v>692</v>
      </c>
      <c r="P4962" t="s">
        <v>4511</v>
      </c>
      <c r="T4962">
        <v>46022</v>
      </c>
      <c r="V4962">
        <v>142</v>
      </c>
    </row>
    <row r="4963" spans="1:22" customFormat="1" ht="15" x14ac:dyDescent="0.25">
      <c r="A4963" t="s">
        <v>267</v>
      </c>
      <c r="E4963" s="1507" t="s">
        <v>6520</v>
      </c>
      <c r="F4963" s="1510"/>
      <c r="G4963" s="584" t="s">
        <v>3775</v>
      </c>
      <c r="H4963" s="577">
        <v>4.5484</v>
      </c>
      <c r="K4963" t="s">
        <v>4506</v>
      </c>
      <c r="L4963" t="s">
        <v>692</v>
      </c>
      <c r="P4963" t="s">
        <v>4512</v>
      </c>
      <c r="T4963">
        <v>46022</v>
      </c>
      <c r="V4963">
        <v>99</v>
      </c>
    </row>
    <row r="4964" spans="1:22" customFormat="1" ht="15" x14ac:dyDescent="0.25">
      <c r="A4964" t="s">
        <v>267</v>
      </c>
      <c r="E4964" s="1507" t="s">
        <v>6521</v>
      </c>
      <c r="F4964" s="1510"/>
      <c r="G4964" s="584" t="s">
        <v>3775</v>
      </c>
      <c r="H4964" s="577">
        <v>6.5699999999999995E-2</v>
      </c>
      <c r="K4964" t="s">
        <v>4506</v>
      </c>
      <c r="L4964" t="s">
        <v>692</v>
      </c>
      <c r="P4964" t="s">
        <v>4513</v>
      </c>
      <c r="T4964">
        <v>46022</v>
      </c>
      <c r="V4964">
        <v>149</v>
      </c>
    </row>
    <row r="4965" spans="1:22" customFormat="1" ht="15" x14ac:dyDescent="0.25">
      <c r="A4965" t="s">
        <v>267</v>
      </c>
      <c r="E4965" s="1507" t="s">
        <v>243</v>
      </c>
      <c r="F4965" s="1507"/>
      <c r="G4965" s="584" t="s">
        <v>3775</v>
      </c>
      <c r="H4965" s="577">
        <v>4.4089999999999998</v>
      </c>
      <c r="K4965" t="s">
        <v>4506</v>
      </c>
      <c r="L4965" t="s">
        <v>694</v>
      </c>
      <c r="P4965" t="s">
        <v>4514</v>
      </c>
      <c r="V4965">
        <v>47</v>
      </c>
    </row>
    <row r="4966" spans="1:22" customFormat="1" ht="15" x14ac:dyDescent="0.25">
      <c r="A4966" t="s">
        <v>267</v>
      </c>
      <c r="E4966" s="1507" t="s">
        <v>175</v>
      </c>
      <c r="F4966" s="1507"/>
      <c r="G4966" s="584" t="s">
        <v>3775</v>
      </c>
      <c r="H4966" s="577">
        <v>4.4260000000000002</v>
      </c>
      <c r="K4966" t="s">
        <v>4506</v>
      </c>
      <c r="L4966" t="s">
        <v>694</v>
      </c>
      <c r="P4966" t="s">
        <v>4515</v>
      </c>
      <c r="V4966">
        <v>74</v>
      </c>
    </row>
    <row r="4967" spans="1:22" customFormat="1" ht="15" x14ac:dyDescent="0.25">
      <c r="A4967" t="s">
        <v>267</v>
      </c>
      <c r="E4967" s="1515" t="s">
        <v>967</v>
      </c>
      <c r="F4967" s="1612"/>
      <c r="G4967" s="584"/>
      <c r="H4967" s="584"/>
      <c r="K4967" t="s">
        <v>1019</v>
      </c>
      <c r="V4967">
        <v>48</v>
      </c>
    </row>
    <row r="4968" spans="1:22" customFormat="1" ht="15" x14ac:dyDescent="0.25">
      <c r="A4968" t="s">
        <v>267</v>
      </c>
      <c r="E4968" s="1507" t="s">
        <v>844</v>
      </c>
      <c r="F4968" s="1507"/>
      <c r="G4968" s="584" t="s">
        <v>845</v>
      </c>
      <c r="H4968" s="577">
        <v>4.1000000000000003E-3</v>
      </c>
      <c r="K4968" t="s">
        <v>4506</v>
      </c>
      <c r="L4968" t="s">
        <v>968</v>
      </c>
      <c r="P4968" t="s">
        <v>4516</v>
      </c>
      <c r="V4968">
        <v>55</v>
      </c>
    </row>
    <row r="4969" spans="1:22" customFormat="1" ht="15" x14ac:dyDescent="0.25">
      <c r="A4969" t="s">
        <v>267</v>
      </c>
      <c r="E4969" s="1507" t="s">
        <v>846</v>
      </c>
      <c r="F4969" s="1507"/>
      <c r="G4969" s="584" t="s">
        <v>845</v>
      </c>
      <c r="H4969" s="577">
        <v>4.0000000000000002E-4</v>
      </c>
      <c r="K4969" t="s">
        <v>4506</v>
      </c>
      <c r="L4969" t="s">
        <v>968</v>
      </c>
      <c r="P4969" t="s">
        <v>4516</v>
      </c>
      <c r="V4969">
        <v>65</v>
      </c>
    </row>
    <row r="4970" spans="1:22" customFormat="1" ht="15" x14ac:dyDescent="0.25">
      <c r="A4970" t="s">
        <v>267</v>
      </c>
      <c r="E4970" s="1507" t="s">
        <v>847</v>
      </c>
      <c r="F4970" s="1507"/>
      <c r="G4970" s="584" t="s">
        <v>845</v>
      </c>
      <c r="H4970" s="577">
        <v>1.5E-3</v>
      </c>
      <c r="K4970" t="s">
        <v>4506</v>
      </c>
      <c r="L4970" t="s">
        <v>968</v>
      </c>
      <c r="P4970" t="s">
        <v>4517</v>
      </c>
      <c r="V4970">
        <v>57</v>
      </c>
    </row>
    <row r="4971" spans="1:22" customFormat="1" ht="15" x14ac:dyDescent="0.25">
      <c r="A4971" t="s">
        <v>267</v>
      </c>
      <c r="E4971" s="1507" t="s">
        <v>848</v>
      </c>
      <c r="F4971" s="1507"/>
      <c r="G4971" s="584" t="s">
        <v>777</v>
      </c>
      <c r="H4971" s="576">
        <v>0.25</v>
      </c>
      <c r="K4971" t="s">
        <v>4506</v>
      </c>
      <c r="L4971" t="s">
        <v>968</v>
      </c>
      <c r="P4971" t="s">
        <v>4518</v>
      </c>
      <c r="V4971">
        <v>63</v>
      </c>
    </row>
    <row r="4972" spans="1:22" customFormat="1" x14ac:dyDescent="0.25">
      <c r="A4972" t="s">
        <v>267</v>
      </c>
      <c r="E4972" s="1492" t="s">
        <v>194</v>
      </c>
      <c r="F4972" s="1493"/>
      <c r="G4972" s="1493"/>
      <c r="H4972" s="1493"/>
      <c r="K4972" t="s">
        <v>1023</v>
      </c>
      <c r="V4972">
        <v>47</v>
      </c>
    </row>
    <row r="4973" spans="1:22" customFormat="1" ht="15" x14ac:dyDescent="0.25">
      <c r="A4973" t="s">
        <v>267</v>
      </c>
      <c r="E4973" s="1516" t="s">
        <v>4519</v>
      </c>
      <c r="F4973" s="1516"/>
      <c r="G4973" s="1516"/>
      <c r="H4973" s="1516"/>
      <c r="K4973" t="s">
        <v>1023</v>
      </c>
      <c r="V4973">
        <v>366</v>
      </c>
    </row>
    <row r="4974" spans="1:22" customFormat="1" ht="15" x14ac:dyDescent="0.25">
      <c r="A4974" t="s">
        <v>267</v>
      </c>
      <c r="E4974" s="1515" t="s">
        <v>950</v>
      </c>
      <c r="F4974" s="1516"/>
      <c r="G4974" s="1516"/>
      <c r="H4974" s="1516"/>
      <c r="K4974" t="s">
        <v>1025</v>
      </c>
      <c r="V4974">
        <v>11</v>
      </c>
    </row>
    <row r="4975" spans="1:22" customFormat="1" ht="15" x14ac:dyDescent="0.25">
      <c r="A4975" t="s">
        <v>267</v>
      </c>
      <c r="E4975" s="1516" t="s">
        <v>951</v>
      </c>
      <c r="F4975" s="1516"/>
      <c r="G4975" s="1516"/>
      <c r="H4975" s="1516"/>
      <c r="K4975" t="s">
        <v>1023</v>
      </c>
      <c r="V4975">
        <v>280</v>
      </c>
    </row>
    <row r="4976" spans="1:22" customFormat="1" ht="15" x14ac:dyDescent="0.25">
      <c r="A4976" t="s">
        <v>267</v>
      </c>
      <c r="E4976" s="1516" t="s">
        <v>952</v>
      </c>
      <c r="F4976" s="1516"/>
      <c r="G4976" s="1516"/>
      <c r="H4976" s="1516"/>
      <c r="K4976" t="s">
        <v>1023</v>
      </c>
      <c r="V4976">
        <v>411</v>
      </c>
    </row>
    <row r="4977" spans="1:22" customFormat="1" ht="15" x14ac:dyDescent="0.25">
      <c r="A4977" t="s">
        <v>267</v>
      </c>
      <c r="E4977" s="1516" t="s">
        <v>953</v>
      </c>
      <c r="F4977" s="1516"/>
      <c r="G4977" s="1516"/>
      <c r="H4977" s="1516"/>
      <c r="K4977" t="s">
        <v>1023</v>
      </c>
      <c r="V4977">
        <v>386</v>
      </c>
    </row>
    <row r="4978" spans="1:22" customFormat="1" ht="15" x14ac:dyDescent="0.25">
      <c r="A4978" t="s">
        <v>267</v>
      </c>
      <c r="E4978" s="1516" t="s">
        <v>954</v>
      </c>
      <c r="F4978" s="1516"/>
      <c r="G4978" s="1516"/>
      <c r="H4978" s="1516"/>
      <c r="K4978" t="s">
        <v>1023</v>
      </c>
      <c r="V4978">
        <v>246</v>
      </c>
    </row>
    <row r="4979" spans="1:22" customFormat="1" ht="15" x14ac:dyDescent="0.25">
      <c r="A4979" t="s">
        <v>267</v>
      </c>
      <c r="E4979" s="1515" t="s">
        <v>956</v>
      </c>
      <c r="F4979" s="1516"/>
      <c r="G4979" s="1516"/>
      <c r="H4979" s="1516"/>
      <c r="K4979" t="s">
        <v>1026</v>
      </c>
      <c r="V4979">
        <v>46</v>
      </c>
    </row>
    <row r="4980" spans="1:22" customFormat="1" ht="15" x14ac:dyDescent="0.25">
      <c r="A4980" t="s">
        <v>267</v>
      </c>
      <c r="E4980" s="1507" t="s">
        <v>3874</v>
      </c>
      <c r="F4980" s="1507"/>
      <c r="G4980" s="584" t="s">
        <v>777</v>
      </c>
      <c r="H4980" s="576">
        <v>12.52</v>
      </c>
      <c r="K4980" t="s">
        <v>1023</v>
      </c>
      <c r="L4980" t="s">
        <v>690</v>
      </c>
      <c r="P4980" t="s">
        <v>1027</v>
      </c>
      <c r="V4980">
        <v>31</v>
      </c>
    </row>
    <row r="4981" spans="1:22" customFormat="1" ht="15" x14ac:dyDescent="0.25">
      <c r="A4981" t="s">
        <v>267</v>
      </c>
      <c r="E4981" s="1507" t="s">
        <v>3688</v>
      </c>
      <c r="F4981" s="1507"/>
      <c r="G4981" s="584" t="s">
        <v>845</v>
      </c>
      <c r="H4981" s="577">
        <v>2.1100000000000001E-2</v>
      </c>
      <c r="K4981" t="s">
        <v>1023</v>
      </c>
      <c r="L4981" t="s">
        <v>690</v>
      </c>
      <c r="P4981" t="s">
        <v>1029</v>
      </c>
      <c r="V4981">
        <v>28</v>
      </c>
    </row>
    <row r="4982" spans="1:22" customFormat="1" ht="15" x14ac:dyDescent="0.25">
      <c r="A4982" t="s">
        <v>267</v>
      </c>
      <c r="E4982" s="1507" t="s">
        <v>910</v>
      </c>
      <c r="F4982" s="1507"/>
      <c r="G4982" s="584" t="s">
        <v>845</v>
      </c>
      <c r="H4982" s="577">
        <v>3.7000000000000002E-3</v>
      </c>
      <c r="K4982" t="s">
        <v>1023</v>
      </c>
      <c r="L4982" t="s">
        <v>692</v>
      </c>
      <c r="P4982" t="s">
        <v>1030</v>
      </c>
      <c r="V4982">
        <v>24</v>
      </c>
    </row>
    <row r="4983" spans="1:22" customFormat="1" ht="15" x14ac:dyDescent="0.25">
      <c r="A4983" t="s">
        <v>267</v>
      </c>
      <c r="E4983" s="1507" t="s">
        <v>6519</v>
      </c>
      <c r="F4983" s="1510"/>
      <c r="G4983" s="584" t="s">
        <v>845</v>
      </c>
      <c r="H4983" s="577">
        <v>6.1000000000000004E-3</v>
      </c>
      <c r="K4983" t="s">
        <v>1023</v>
      </c>
      <c r="L4983" t="s">
        <v>692</v>
      </c>
      <c r="P4983" t="s">
        <v>1031</v>
      </c>
      <c r="T4983">
        <v>46022</v>
      </c>
      <c r="V4983">
        <v>142</v>
      </c>
    </row>
    <row r="4984" spans="1:22" customFormat="1" ht="15" x14ac:dyDescent="0.25">
      <c r="A4984" t="s">
        <v>267</v>
      </c>
      <c r="E4984" s="1507" t="s">
        <v>6520</v>
      </c>
      <c r="F4984" s="1510"/>
      <c r="G4984" s="584" t="s">
        <v>845</v>
      </c>
      <c r="H4984" s="577">
        <v>1.1599999999999999E-2</v>
      </c>
      <c r="K4984" t="s">
        <v>1023</v>
      </c>
      <c r="L4984" t="s">
        <v>692</v>
      </c>
      <c r="P4984" t="s">
        <v>1032</v>
      </c>
      <c r="T4984">
        <v>46022</v>
      </c>
      <c r="V4984">
        <v>99</v>
      </c>
    </row>
    <row r="4985" spans="1:22" customFormat="1" ht="15" x14ac:dyDescent="0.25">
      <c r="A4985" t="s">
        <v>267</v>
      </c>
      <c r="E4985" s="1507" t="s">
        <v>6521</v>
      </c>
      <c r="F4985" s="1510"/>
      <c r="G4985" s="584" t="s">
        <v>845</v>
      </c>
      <c r="H4985" s="577">
        <v>2.0000000000000001E-4</v>
      </c>
      <c r="K4985" t="s">
        <v>1023</v>
      </c>
      <c r="L4985" t="s">
        <v>692</v>
      </c>
      <c r="P4985" t="s">
        <v>4520</v>
      </c>
      <c r="T4985">
        <v>46022</v>
      </c>
      <c r="V4985">
        <v>149</v>
      </c>
    </row>
    <row r="4986" spans="1:22" customFormat="1" ht="15" x14ac:dyDescent="0.25">
      <c r="A4986" t="s">
        <v>267</v>
      </c>
      <c r="E4986" s="1507" t="s">
        <v>243</v>
      </c>
      <c r="F4986" s="1507"/>
      <c r="G4986" s="584" t="s">
        <v>845</v>
      </c>
      <c r="H4986" s="577">
        <v>1.12E-2</v>
      </c>
      <c r="K4986" t="s">
        <v>1023</v>
      </c>
      <c r="L4986" t="s">
        <v>694</v>
      </c>
      <c r="P4986" t="s">
        <v>1033</v>
      </c>
      <c r="V4986">
        <v>47</v>
      </c>
    </row>
    <row r="4987" spans="1:22" customFormat="1" ht="15" x14ac:dyDescent="0.25">
      <c r="A4987" t="s">
        <v>267</v>
      </c>
      <c r="E4987" s="1507" t="s">
        <v>175</v>
      </c>
      <c r="F4987" s="1507"/>
      <c r="G4987" s="584" t="s">
        <v>845</v>
      </c>
      <c r="H4987" s="577">
        <v>8.3000000000000001E-3</v>
      </c>
      <c r="K4987" t="s">
        <v>1023</v>
      </c>
      <c r="L4987" t="s">
        <v>694</v>
      </c>
      <c r="P4987" t="s">
        <v>1034</v>
      </c>
      <c r="V4987">
        <v>74</v>
      </c>
    </row>
    <row r="4988" spans="1:22" customFormat="1" ht="15" x14ac:dyDescent="0.25">
      <c r="A4988" t="s">
        <v>267</v>
      </c>
      <c r="E4988" s="1515" t="s">
        <v>967</v>
      </c>
      <c r="F4988" s="1507"/>
      <c r="G4988" s="584"/>
      <c r="H4988" s="584"/>
      <c r="K4988" t="s">
        <v>1035</v>
      </c>
      <c r="V4988">
        <v>48</v>
      </c>
    </row>
    <row r="4989" spans="1:22" customFormat="1" ht="15" x14ac:dyDescent="0.25">
      <c r="A4989" t="s">
        <v>267</v>
      </c>
      <c r="E4989" s="1507" t="s">
        <v>844</v>
      </c>
      <c r="F4989" s="1507"/>
      <c r="G4989" s="584" t="s">
        <v>845</v>
      </c>
      <c r="H4989" s="577">
        <v>4.1000000000000003E-3</v>
      </c>
      <c r="K4989" t="s">
        <v>1023</v>
      </c>
      <c r="L4989" t="s">
        <v>968</v>
      </c>
      <c r="P4989" t="s">
        <v>1036</v>
      </c>
      <c r="V4989">
        <v>55</v>
      </c>
    </row>
    <row r="4990" spans="1:22" customFormat="1" ht="15" x14ac:dyDescent="0.25">
      <c r="A4990" t="s">
        <v>267</v>
      </c>
      <c r="E4990" s="1507" t="s">
        <v>846</v>
      </c>
      <c r="F4990" s="1507"/>
      <c r="G4990" s="584" t="s">
        <v>845</v>
      </c>
      <c r="H4990" s="577">
        <v>4.0000000000000002E-4</v>
      </c>
      <c r="K4990" t="s">
        <v>1023</v>
      </c>
      <c r="L4990" t="s">
        <v>968</v>
      </c>
      <c r="P4990" t="s">
        <v>1036</v>
      </c>
      <c r="V4990">
        <v>65</v>
      </c>
    </row>
    <row r="4991" spans="1:22" customFormat="1" ht="15" x14ac:dyDescent="0.25">
      <c r="A4991" t="s">
        <v>267</v>
      </c>
      <c r="E4991" s="1507" t="s">
        <v>847</v>
      </c>
      <c r="F4991" s="1507"/>
      <c r="G4991" s="584" t="s">
        <v>845</v>
      </c>
      <c r="H4991" s="577">
        <v>1.5E-3</v>
      </c>
      <c r="K4991" t="s">
        <v>1023</v>
      </c>
      <c r="L4991" t="s">
        <v>968</v>
      </c>
      <c r="P4991" t="s">
        <v>1037</v>
      </c>
      <c r="V4991">
        <v>57</v>
      </c>
    </row>
    <row r="4992" spans="1:22" customFormat="1" ht="15" x14ac:dyDescent="0.25">
      <c r="A4992" t="s">
        <v>267</v>
      </c>
      <c r="E4992" s="1507" t="s">
        <v>848</v>
      </c>
      <c r="F4992" s="1507"/>
      <c r="G4992" s="584" t="s">
        <v>777</v>
      </c>
      <c r="H4992" s="576">
        <v>0.25</v>
      </c>
      <c r="K4992" t="s">
        <v>1023</v>
      </c>
      <c r="L4992" t="s">
        <v>968</v>
      </c>
      <c r="P4992" t="s">
        <v>1038</v>
      </c>
      <c r="V4992">
        <v>63</v>
      </c>
    </row>
    <row r="4993" spans="1:22" customFormat="1" x14ac:dyDescent="0.25">
      <c r="A4993" t="s">
        <v>267</v>
      </c>
      <c r="E4993" s="1492" t="s">
        <v>198</v>
      </c>
      <c r="F4993" s="1493"/>
      <c r="G4993" s="1493"/>
      <c r="H4993" s="1493"/>
      <c r="K4993" t="s">
        <v>1039</v>
      </c>
      <c r="V4993">
        <v>40</v>
      </c>
    </row>
    <row r="4994" spans="1:22" customFormat="1" ht="15" x14ac:dyDescent="0.25">
      <c r="A4994" t="s">
        <v>267</v>
      </c>
      <c r="E4994" s="1516" t="s">
        <v>4521</v>
      </c>
      <c r="F4994" s="1516"/>
      <c r="G4994" s="1516"/>
      <c r="H4994" s="1516"/>
      <c r="K4994" t="s">
        <v>1039</v>
      </c>
      <c r="V4994">
        <v>188</v>
      </c>
    </row>
    <row r="4995" spans="1:22" customFormat="1" ht="15" x14ac:dyDescent="0.25">
      <c r="A4995" t="s">
        <v>267</v>
      </c>
      <c r="E4995" s="1515" t="s">
        <v>950</v>
      </c>
      <c r="F4995" s="1516"/>
      <c r="G4995" s="1516"/>
      <c r="H4995" s="1516"/>
      <c r="K4995" t="s">
        <v>1041</v>
      </c>
      <c r="V4995">
        <v>11</v>
      </c>
    </row>
    <row r="4996" spans="1:22" customFormat="1" ht="15" x14ac:dyDescent="0.25">
      <c r="A4996" t="s">
        <v>267</v>
      </c>
      <c r="E4996" s="1516" t="s">
        <v>951</v>
      </c>
      <c r="F4996" s="1516"/>
      <c r="G4996" s="1516"/>
      <c r="H4996" s="1516"/>
      <c r="K4996" t="s">
        <v>1039</v>
      </c>
      <c r="V4996">
        <v>280</v>
      </c>
    </row>
    <row r="4997" spans="1:22" customFormat="1" ht="15" x14ac:dyDescent="0.25">
      <c r="A4997" t="s">
        <v>267</v>
      </c>
      <c r="E4997" s="1516" t="s">
        <v>952</v>
      </c>
      <c r="F4997" s="1516"/>
      <c r="G4997" s="1516"/>
      <c r="H4997" s="1516"/>
      <c r="K4997" t="s">
        <v>1039</v>
      </c>
      <c r="V4997">
        <v>411</v>
      </c>
    </row>
    <row r="4998" spans="1:22" customFormat="1" ht="15" x14ac:dyDescent="0.25">
      <c r="A4998" t="s">
        <v>267</v>
      </c>
      <c r="E4998" s="1516" t="s">
        <v>953</v>
      </c>
      <c r="F4998" s="1516"/>
      <c r="G4998" s="1516"/>
      <c r="H4998" s="1516"/>
      <c r="K4998" t="s">
        <v>1039</v>
      </c>
      <c r="V4998">
        <v>386</v>
      </c>
    </row>
    <row r="4999" spans="1:22" customFormat="1" ht="15" x14ac:dyDescent="0.25">
      <c r="A4999" t="s">
        <v>267</v>
      </c>
      <c r="E4999" s="1516" t="s">
        <v>954</v>
      </c>
      <c r="F4999" s="1516"/>
      <c r="G4999" s="1516"/>
      <c r="H4999" s="1516"/>
      <c r="K4999" t="s">
        <v>1039</v>
      </c>
      <c r="V4999">
        <v>246</v>
      </c>
    </row>
    <row r="5000" spans="1:22" customFormat="1" ht="15" x14ac:dyDescent="0.25">
      <c r="A5000" t="s">
        <v>267</v>
      </c>
      <c r="E5000" s="1515" t="s">
        <v>956</v>
      </c>
      <c r="F5000" s="1516"/>
      <c r="G5000" s="1516"/>
      <c r="H5000" s="1516"/>
      <c r="K5000" t="s">
        <v>1042</v>
      </c>
      <c r="V5000">
        <v>46</v>
      </c>
    </row>
    <row r="5001" spans="1:22" customFormat="1" ht="15" x14ac:dyDescent="0.25">
      <c r="A5001" t="s">
        <v>267</v>
      </c>
      <c r="E5001" s="1507" t="s">
        <v>3874</v>
      </c>
      <c r="F5001" s="1507"/>
      <c r="G5001" s="584" t="s">
        <v>777</v>
      </c>
      <c r="H5001" s="576">
        <v>10.16</v>
      </c>
      <c r="K5001" t="s">
        <v>1039</v>
      </c>
      <c r="L5001" t="s">
        <v>690</v>
      </c>
      <c r="P5001" t="s">
        <v>1043</v>
      </c>
      <c r="V5001">
        <v>31</v>
      </c>
    </row>
    <row r="5002" spans="1:22" customFormat="1" ht="15" x14ac:dyDescent="0.25">
      <c r="A5002" t="s">
        <v>267</v>
      </c>
      <c r="E5002" s="1507" t="s">
        <v>3688</v>
      </c>
      <c r="F5002" s="1507"/>
      <c r="G5002" s="584" t="s">
        <v>3775</v>
      </c>
      <c r="H5002" s="577">
        <v>46.331200000000003</v>
      </c>
      <c r="K5002" t="s">
        <v>1039</v>
      </c>
      <c r="L5002" t="s">
        <v>690</v>
      </c>
      <c r="P5002" t="s">
        <v>1044</v>
      </c>
      <c r="V5002">
        <v>28</v>
      </c>
    </row>
    <row r="5003" spans="1:22" customFormat="1" ht="15" x14ac:dyDescent="0.25">
      <c r="A5003" t="s">
        <v>267</v>
      </c>
      <c r="E5003" s="1507" t="s">
        <v>910</v>
      </c>
      <c r="F5003" s="1507"/>
      <c r="G5003" s="584" t="s">
        <v>3775</v>
      </c>
      <c r="H5003" s="577">
        <v>1.6229</v>
      </c>
      <c r="K5003" t="s">
        <v>1039</v>
      </c>
      <c r="L5003" t="s">
        <v>692</v>
      </c>
      <c r="P5003" t="s">
        <v>1045</v>
      </c>
      <c r="V5003">
        <v>24</v>
      </c>
    </row>
    <row r="5004" spans="1:22" customFormat="1" ht="15" x14ac:dyDescent="0.25">
      <c r="A5004" t="s">
        <v>267</v>
      </c>
      <c r="E5004" s="1507" t="s">
        <v>6519</v>
      </c>
      <c r="F5004" s="1510"/>
      <c r="G5004" s="584" t="s">
        <v>845</v>
      </c>
      <c r="H5004" s="577">
        <v>6.1000000000000004E-3</v>
      </c>
      <c r="K5004" t="s">
        <v>1039</v>
      </c>
      <c r="L5004" t="s">
        <v>692</v>
      </c>
      <c r="P5004" t="s">
        <v>4522</v>
      </c>
      <c r="T5004">
        <v>46022</v>
      </c>
      <c r="V5004">
        <v>142</v>
      </c>
    </row>
    <row r="5005" spans="1:22" customFormat="1" ht="15" x14ac:dyDescent="0.25">
      <c r="A5005" t="s">
        <v>267</v>
      </c>
      <c r="E5005" s="1507" t="s">
        <v>6520</v>
      </c>
      <c r="F5005" s="1510"/>
      <c r="G5005" s="584" t="s">
        <v>3775</v>
      </c>
      <c r="H5005" s="577">
        <v>4.1763000000000003</v>
      </c>
      <c r="K5005" t="s">
        <v>1039</v>
      </c>
      <c r="L5005" t="s">
        <v>692</v>
      </c>
      <c r="P5005" t="s">
        <v>1046</v>
      </c>
      <c r="T5005">
        <v>46022</v>
      </c>
      <c r="V5005">
        <v>99</v>
      </c>
    </row>
    <row r="5006" spans="1:22" customFormat="1" ht="15" x14ac:dyDescent="0.25">
      <c r="A5006" t="s">
        <v>267</v>
      </c>
      <c r="E5006" s="1507" t="s">
        <v>6521</v>
      </c>
      <c r="F5006" s="1510"/>
      <c r="G5006" s="584" t="s">
        <v>3775</v>
      </c>
      <c r="H5006" s="577">
        <v>6.3E-2</v>
      </c>
      <c r="K5006" t="s">
        <v>1039</v>
      </c>
      <c r="L5006" t="s">
        <v>692</v>
      </c>
      <c r="P5006" t="s">
        <v>4523</v>
      </c>
      <c r="T5006">
        <v>46022</v>
      </c>
      <c r="V5006">
        <v>149</v>
      </c>
    </row>
    <row r="5007" spans="1:22" customFormat="1" ht="15" x14ac:dyDescent="0.25">
      <c r="A5007" t="s">
        <v>267</v>
      </c>
      <c r="E5007" s="1507" t="s">
        <v>243</v>
      </c>
      <c r="F5007" s="1507"/>
      <c r="G5007" s="584" t="s">
        <v>3775</v>
      </c>
      <c r="H5007" s="577">
        <v>3.4504999999999999</v>
      </c>
      <c r="K5007" t="s">
        <v>1039</v>
      </c>
      <c r="L5007" t="s">
        <v>694</v>
      </c>
      <c r="P5007" t="s">
        <v>1047</v>
      </c>
      <c r="V5007">
        <v>47</v>
      </c>
    </row>
    <row r="5008" spans="1:22" customFormat="1" ht="15" x14ac:dyDescent="0.25">
      <c r="A5008" t="s">
        <v>267</v>
      </c>
      <c r="E5008" s="1507" t="s">
        <v>175</v>
      </c>
      <c r="F5008" s="1507"/>
      <c r="G5008" s="584" t="s">
        <v>3775</v>
      </c>
      <c r="H5008" s="577">
        <v>3.6916000000000002</v>
      </c>
      <c r="K5008" t="s">
        <v>1039</v>
      </c>
      <c r="L5008" t="s">
        <v>694</v>
      </c>
      <c r="P5008" t="s">
        <v>1048</v>
      </c>
      <c r="V5008">
        <v>74</v>
      </c>
    </row>
    <row r="5009" spans="1:22" customFormat="1" ht="15" x14ac:dyDescent="0.25">
      <c r="A5009" t="s">
        <v>267</v>
      </c>
      <c r="E5009" s="1515" t="s">
        <v>967</v>
      </c>
      <c r="F5009" s="1507"/>
      <c r="G5009" s="584"/>
      <c r="H5009" s="584"/>
      <c r="K5009" t="s">
        <v>1049</v>
      </c>
      <c r="V5009">
        <v>48</v>
      </c>
    </row>
    <row r="5010" spans="1:22" customFormat="1" ht="15" x14ac:dyDescent="0.25">
      <c r="A5010" t="s">
        <v>267</v>
      </c>
      <c r="E5010" s="1507" t="s">
        <v>844</v>
      </c>
      <c r="F5010" s="1507"/>
      <c r="G5010" s="584" t="s">
        <v>845</v>
      </c>
      <c r="H5010" s="577">
        <v>4.1000000000000003E-3</v>
      </c>
      <c r="K5010" t="s">
        <v>1039</v>
      </c>
      <c r="L5010" t="s">
        <v>968</v>
      </c>
      <c r="P5010" t="s">
        <v>1050</v>
      </c>
      <c r="V5010">
        <v>55</v>
      </c>
    </row>
    <row r="5011" spans="1:22" customFormat="1" ht="15" x14ac:dyDescent="0.25">
      <c r="A5011" t="s">
        <v>267</v>
      </c>
      <c r="E5011" s="1507" t="s">
        <v>846</v>
      </c>
      <c r="F5011" s="1507"/>
      <c r="G5011" s="584" t="s">
        <v>845</v>
      </c>
      <c r="H5011" s="577">
        <v>4.0000000000000002E-4</v>
      </c>
      <c r="K5011" t="s">
        <v>1039</v>
      </c>
      <c r="L5011" t="s">
        <v>968</v>
      </c>
      <c r="P5011" t="s">
        <v>1050</v>
      </c>
      <c r="V5011">
        <v>65</v>
      </c>
    </row>
    <row r="5012" spans="1:22" customFormat="1" ht="15" x14ac:dyDescent="0.25">
      <c r="A5012" t="s">
        <v>267</v>
      </c>
      <c r="E5012" s="1507" t="s">
        <v>847</v>
      </c>
      <c r="F5012" s="1507"/>
      <c r="G5012" s="584" t="s">
        <v>845</v>
      </c>
      <c r="H5012" s="577">
        <v>1.5E-3</v>
      </c>
      <c r="K5012" t="s">
        <v>1039</v>
      </c>
      <c r="L5012" t="s">
        <v>968</v>
      </c>
      <c r="P5012" t="s">
        <v>1051</v>
      </c>
      <c r="V5012">
        <v>57</v>
      </c>
    </row>
    <row r="5013" spans="1:22" customFormat="1" ht="15" x14ac:dyDescent="0.25">
      <c r="A5013" t="s">
        <v>267</v>
      </c>
      <c r="E5013" s="1507" t="s">
        <v>848</v>
      </c>
      <c r="F5013" s="1507"/>
      <c r="G5013" s="584" t="s">
        <v>777</v>
      </c>
      <c r="H5013" s="576">
        <v>0.25</v>
      </c>
      <c r="K5013" t="s">
        <v>1039</v>
      </c>
      <c r="L5013" t="s">
        <v>968</v>
      </c>
      <c r="P5013" t="s">
        <v>1052</v>
      </c>
      <c r="V5013">
        <v>63</v>
      </c>
    </row>
    <row r="5014" spans="1:22" customFormat="1" x14ac:dyDescent="0.25">
      <c r="A5014" t="s">
        <v>267</v>
      </c>
      <c r="E5014" s="1492" t="s">
        <v>202</v>
      </c>
      <c r="F5014" s="1493"/>
      <c r="G5014" s="1493"/>
      <c r="H5014" s="1493"/>
      <c r="K5014" t="s">
        <v>1053</v>
      </c>
      <c r="V5014">
        <v>38</v>
      </c>
    </row>
    <row r="5015" spans="1:22" customFormat="1" ht="15" x14ac:dyDescent="0.25">
      <c r="A5015" t="s">
        <v>267</v>
      </c>
      <c r="E5015" s="1516" t="s">
        <v>4524</v>
      </c>
      <c r="F5015" s="1516"/>
      <c r="G5015" s="1516"/>
      <c r="H5015" s="1516"/>
      <c r="K5015" t="s">
        <v>1053</v>
      </c>
      <c r="V5015">
        <v>458</v>
      </c>
    </row>
    <row r="5016" spans="1:22" customFormat="1" ht="15" x14ac:dyDescent="0.25">
      <c r="A5016" t="s">
        <v>267</v>
      </c>
      <c r="E5016" s="1515" t="s">
        <v>950</v>
      </c>
      <c r="F5016" s="1516"/>
      <c r="G5016" s="1516"/>
      <c r="H5016" s="1516"/>
      <c r="K5016" t="s">
        <v>1055</v>
      </c>
      <c r="V5016">
        <v>11</v>
      </c>
    </row>
    <row r="5017" spans="1:22" customFormat="1" ht="15" x14ac:dyDescent="0.25">
      <c r="A5017" t="s">
        <v>267</v>
      </c>
      <c r="E5017" s="1516" t="s">
        <v>951</v>
      </c>
      <c r="F5017" s="1516"/>
      <c r="G5017" s="1516"/>
      <c r="H5017" s="1516"/>
      <c r="K5017" t="s">
        <v>1053</v>
      </c>
      <c r="V5017">
        <v>280</v>
      </c>
    </row>
    <row r="5018" spans="1:22" customFormat="1" ht="15" x14ac:dyDescent="0.25">
      <c r="A5018" t="s">
        <v>267</v>
      </c>
      <c r="E5018" s="1516" t="s">
        <v>952</v>
      </c>
      <c r="F5018" s="1516"/>
      <c r="G5018" s="1516"/>
      <c r="H5018" s="1516"/>
      <c r="K5018" t="s">
        <v>1053</v>
      </c>
      <c r="V5018">
        <v>411</v>
      </c>
    </row>
    <row r="5019" spans="1:22" customFormat="1" ht="15" x14ac:dyDescent="0.25">
      <c r="A5019" t="s">
        <v>267</v>
      </c>
      <c r="E5019" s="1516" t="s">
        <v>953</v>
      </c>
      <c r="F5019" s="1516"/>
      <c r="G5019" s="1516"/>
      <c r="H5019" s="1516"/>
      <c r="K5019" t="s">
        <v>1053</v>
      </c>
      <c r="V5019">
        <v>386</v>
      </c>
    </row>
    <row r="5020" spans="1:22" customFormat="1" ht="15" x14ac:dyDescent="0.25">
      <c r="A5020" t="s">
        <v>267</v>
      </c>
      <c r="E5020" s="1516" t="s">
        <v>954</v>
      </c>
      <c r="F5020" s="1516"/>
      <c r="G5020" s="1516"/>
      <c r="H5020" s="1516"/>
      <c r="K5020" t="s">
        <v>1053</v>
      </c>
      <c r="V5020">
        <v>246</v>
      </c>
    </row>
    <row r="5021" spans="1:22" customFormat="1" ht="15" x14ac:dyDescent="0.25">
      <c r="A5021" t="s">
        <v>267</v>
      </c>
      <c r="E5021" s="1515" t="s">
        <v>956</v>
      </c>
      <c r="F5021" s="1516"/>
      <c r="G5021" s="1516"/>
      <c r="H5021" s="1516"/>
      <c r="K5021" t="s">
        <v>1056</v>
      </c>
      <c r="V5021">
        <v>46</v>
      </c>
    </row>
    <row r="5022" spans="1:22" customFormat="1" ht="15" x14ac:dyDescent="0.25">
      <c r="A5022" t="s">
        <v>267</v>
      </c>
      <c r="E5022" s="1507" t="s">
        <v>3874</v>
      </c>
      <c r="F5022" s="1507"/>
      <c r="G5022" s="584" t="s">
        <v>777</v>
      </c>
      <c r="H5022" s="576">
        <v>3.04</v>
      </c>
      <c r="K5022" t="s">
        <v>1053</v>
      </c>
      <c r="L5022" t="s">
        <v>690</v>
      </c>
      <c r="P5022" t="s">
        <v>1057</v>
      </c>
      <c r="V5022">
        <v>31</v>
      </c>
    </row>
    <row r="5023" spans="1:22" customFormat="1" ht="15" x14ac:dyDescent="0.25">
      <c r="A5023" t="s">
        <v>267</v>
      </c>
      <c r="E5023" s="1507" t="s">
        <v>3688</v>
      </c>
      <c r="F5023" s="1507"/>
      <c r="G5023" s="584" t="s">
        <v>3775</v>
      </c>
      <c r="H5023" s="577">
        <v>21.010999999999999</v>
      </c>
      <c r="K5023" t="s">
        <v>1053</v>
      </c>
      <c r="L5023" t="s">
        <v>690</v>
      </c>
      <c r="P5023" t="s">
        <v>1059</v>
      </c>
      <c r="V5023">
        <v>28</v>
      </c>
    </row>
    <row r="5024" spans="1:22" customFormat="1" ht="15" x14ac:dyDescent="0.25">
      <c r="A5024" t="s">
        <v>267</v>
      </c>
      <c r="E5024" s="1507" t="s">
        <v>910</v>
      </c>
      <c r="F5024" s="1507"/>
      <c r="G5024" s="584" t="s">
        <v>3775</v>
      </c>
      <c r="H5024" s="577">
        <v>1.0946</v>
      </c>
      <c r="K5024" t="s">
        <v>1053</v>
      </c>
      <c r="L5024" t="s">
        <v>692</v>
      </c>
      <c r="P5024" t="s">
        <v>1060</v>
      </c>
      <c r="V5024">
        <v>24</v>
      </c>
    </row>
    <row r="5025" spans="1:22" customFormat="1" ht="15" x14ac:dyDescent="0.25">
      <c r="A5025" t="s">
        <v>267</v>
      </c>
      <c r="E5025" s="1507" t="s">
        <v>6519</v>
      </c>
      <c r="F5025" s="1510"/>
      <c r="G5025" s="584" t="s">
        <v>845</v>
      </c>
      <c r="H5025" s="577">
        <v>6.1000000000000004E-3</v>
      </c>
      <c r="K5025" t="s">
        <v>1053</v>
      </c>
      <c r="L5025" t="s">
        <v>692</v>
      </c>
      <c r="P5025" t="s">
        <v>1061</v>
      </c>
      <c r="T5025">
        <v>46022</v>
      </c>
      <c r="V5025">
        <v>142</v>
      </c>
    </row>
    <row r="5026" spans="1:22" customFormat="1" ht="15" x14ac:dyDescent="0.25">
      <c r="A5026" t="s">
        <v>267</v>
      </c>
      <c r="E5026" s="1507" t="s">
        <v>6520</v>
      </c>
      <c r="F5026" s="1510"/>
      <c r="G5026" s="584" t="s">
        <v>3775</v>
      </c>
      <c r="H5026" s="577">
        <v>3.9173</v>
      </c>
      <c r="K5026" t="s">
        <v>1053</v>
      </c>
      <c r="L5026" t="s">
        <v>692</v>
      </c>
      <c r="P5026" t="s">
        <v>1062</v>
      </c>
      <c r="T5026">
        <v>46022</v>
      </c>
      <c r="V5026">
        <v>99</v>
      </c>
    </row>
    <row r="5027" spans="1:22" customFormat="1" ht="15" x14ac:dyDescent="0.25">
      <c r="A5027" t="s">
        <v>267</v>
      </c>
      <c r="E5027" s="1507" t="s">
        <v>6521</v>
      </c>
      <c r="F5027" s="1510"/>
      <c r="G5027" s="584" t="s">
        <v>3775</v>
      </c>
      <c r="H5027" s="577">
        <v>5.9200000000000003E-2</v>
      </c>
      <c r="K5027" t="s">
        <v>1053</v>
      </c>
      <c r="L5027" t="s">
        <v>692</v>
      </c>
      <c r="P5027" t="s">
        <v>3997</v>
      </c>
      <c r="T5027">
        <v>46022</v>
      </c>
      <c r="V5027">
        <v>149</v>
      </c>
    </row>
    <row r="5028" spans="1:22" customFormat="1" ht="15" x14ac:dyDescent="0.25">
      <c r="A5028" t="s">
        <v>267</v>
      </c>
      <c r="E5028" s="1507" t="s">
        <v>243</v>
      </c>
      <c r="F5028" s="1507"/>
      <c r="G5028" s="584" t="s">
        <v>3775</v>
      </c>
      <c r="H5028" s="577">
        <v>3.4333</v>
      </c>
      <c r="K5028" t="s">
        <v>1053</v>
      </c>
      <c r="L5028" t="s">
        <v>694</v>
      </c>
      <c r="P5028" t="s">
        <v>1063</v>
      </c>
      <c r="V5028">
        <v>47</v>
      </c>
    </row>
    <row r="5029" spans="1:22" customFormat="1" ht="15" x14ac:dyDescent="0.25">
      <c r="A5029" t="s">
        <v>267</v>
      </c>
      <c r="E5029" s="1507" t="s">
        <v>175</v>
      </c>
      <c r="F5029" s="1507"/>
      <c r="G5029" s="584" t="s">
        <v>3775</v>
      </c>
      <c r="H5029" s="577">
        <v>2.4899</v>
      </c>
      <c r="K5029" t="s">
        <v>1053</v>
      </c>
      <c r="L5029" t="s">
        <v>694</v>
      </c>
      <c r="P5029" t="s">
        <v>1064</v>
      </c>
      <c r="V5029">
        <v>74</v>
      </c>
    </row>
    <row r="5030" spans="1:22" customFormat="1" ht="15" x14ac:dyDescent="0.25">
      <c r="A5030" t="s">
        <v>267</v>
      </c>
      <c r="E5030" s="1515" t="s">
        <v>967</v>
      </c>
      <c r="F5030" s="1507"/>
      <c r="G5030" s="584"/>
      <c r="H5030" s="584"/>
      <c r="K5030" t="s">
        <v>1065</v>
      </c>
      <c r="V5030">
        <v>48</v>
      </c>
    </row>
    <row r="5031" spans="1:22" customFormat="1" ht="15" x14ac:dyDescent="0.25">
      <c r="A5031" t="s">
        <v>267</v>
      </c>
      <c r="E5031" s="1507" t="s">
        <v>844</v>
      </c>
      <c r="F5031" s="1507"/>
      <c r="G5031" s="584" t="s">
        <v>845</v>
      </c>
      <c r="H5031" s="577">
        <v>4.1000000000000003E-3</v>
      </c>
      <c r="K5031" t="s">
        <v>1053</v>
      </c>
      <c r="L5031" t="s">
        <v>968</v>
      </c>
      <c r="P5031" t="s">
        <v>1066</v>
      </c>
      <c r="V5031">
        <v>55</v>
      </c>
    </row>
    <row r="5032" spans="1:22" customFormat="1" ht="15" x14ac:dyDescent="0.25">
      <c r="A5032" t="s">
        <v>267</v>
      </c>
      <c r="E5032" s="1507" t="s">
        <v>846</v>
      </c>
      <c r="F5032" s="1507"/>
      <c r="G5032" s="584" t="s">
        <v>845</v>
      </c>
      <c r="H5032" s="577">
        <v>4.0000000000000002E-4</v>
      </c>
      <c r="K5032" t="s">
        <v>1053</v>
      </c>
      <c r="L5032" t="s">
        <v>968</v>
      </c>
      <c r="P5032" t="s">
        <v>1066</v>
      </c>
      <c r="V5032">
        <v>65</v>
      </c>
    </row>
    <row r="5033" spans="1:22" customFormat="1" ht="15" x14ac:dyDescent="0.25">
      <c r="A5033" t="s">
        <v>267</v>
      </c>
      <c r="E5033" s="1507" t="s">
        <v>847</v>
      </c>
      <c r="F5033" s="1507"/>
      <c r="G5033" s="584" t="s">
        <v>845</v>
      </c>
      <c r="H5033" s="577">
        <v>1.5E-3</v>
      </c>
      <c r="K5033" t="s">
        <v>1053</v>
      </c>
      <c r="L5033" t="s">
        <v>968</v>
      </c>
      <c r="P5033" t="s">
        <v>1067</v>
      </c>
      <c r="V5033">
        <v>57</v>
      </c>
    </row>
    <row r="5034" spans="1:22" customFormat="1" ht="15" x14ac:dyDescent="0.25">
      <c r="A5034" t="s">
        <v>267</v>
      </c>
      <c r="E5034" s="1507" t="s">
        <v>848</v>
      </c>
      <c r="F5034" s="1507"/>
      <c r="G5034" s="584" t="s">
        <v>777</v>
      </c>
      <c r="H5034" s="576">
        <v>0.25</v>
      </c>
      <c r="K5034" t="s">
        <v>1053</v>
      </c>
      <c r="L5034" t="s">
        <v>968</v>
      </c>
      <c r="P5034" t="s">
        <v>1068</v>
      </c>
      <c r="V5034">
        <v>63</v>
      </c>
    </row>
    <row r="5035" spans="1:22" customFormat="1" x14ac:dyDescent="0.25">
      <c r="A5035" t="s">
        <v>267</v>
      </c>
      <c r="E5035" s="1492" t="s">
        <v>207</v>
      </c>
      <c r="F5035" s="1493"/>
      <c r="G5035" s="1493"/>
      <c r="H5035" s="1493"/>
      <c r="K5035" t="s">
        <v>1069</v>
      </c>
      <c r="V5035">
        <v>31</v>
      </c>
    </row>
    <row r="5036" spans="1:22" customFormat="1" ht="15" x14ac:dyDescent="0.25">
      <c r="A5036" t="s">
        <v>267</v>
      </c>
      <c r="E5036" s="1516" t="s">
        <v>4525</v>
      </c>
      <c r="F5036" s="1516"/>
      <c r="G5036" s="1516"/>
      <c r="H5036" s="1516"/>
      <c r="K5036" t="s">
        <v>1069</v>
      </c>
      <c r="V5036">
        <v>201</v>
      </c>
    </row>
    <row r="5037" spans="1:22" customFormat="1" ht="15" x14ac:dyDescent="0.25">
      <c r="A5037" t="s">
        <v>267</v>
      </c>
      <c r="E5037" s="1515" t="s">
        <v>950</v>
      </c>
      <c r="F5037" s="1516"/>
      <c r="G5037" s="1516"/>
      <c r="H5037" s="1516"/>
      <c r="K5037" t="s">
        <v>1071</v>
      </c>
      <c r="V5037">
        <v>11</v>
      </c>
    </row>
    <row r="5038" spans="1:22" customFormat="1" ht="15" x14ac:dyDescent="0.25">
      <c r="A5038" t="s">
        <v>267</v>
      </c>
      <c r="E5038" s="1516" t="s">
        <v>951</v>
      </c>
      <c r="F5038" s="1516"/>
      <c r="G5038" s="1516"/>
      <c r="H5038" s="1516"/>
      <c r="K5038" t="s">
        <v>1069</v>
      </c>
      <c r="V5038">
        <v>280</v>
      </c>
    </row>
    <row r="5039" spans="1:22" customFormat="1" ht="15" x14ac:dyDescent="0.25">
      <c r="A5039" t="s">
        <v>267</v>
      </c>
      <c r="E5039" s="1516" t="s">
        <v>952</v>
      </c>
      <c r="F5039" s="1516"/>
      <c r="G5039" s="1516"/>
      <c r="H5039" s="1516"/>
      <c r="K5039" t="s">
        <v>1069</v>
      </c>
      <c r="V5039">
        <v>411</v>
      </c>
    </row>
    <row r="5040" spans="1:22" customFormat="1" ht="15" x14ac:dyDescent="0.25">
      <c r="A5040" t="s">
        <v>267</v>
      </c>
      <c r="E5040" s="1516" t="s">
        <v>1103</v>
      </c>
      <c r="F5040" s="1516"/>
      <c r="G5040" s="1516"/>
      <c r="H5040" s="1516"/>
      <c r="K5040" t="s">
        <v>1069</v>
      </c>
      <c r="V5040">
        <v>211</v>
      </c>
    </row>
    <row r="5041" spans="1:22" customFormat="1" ht="15" x14ac:dyDescent="0.25">
      <c r="A5041" t="s">
        <v>267</v>
      </c>
      <c r="E5041" s="1516" t="s">
        <v>954</v>
      </c>
      <c r="F5041" s="1516"/>
      <c r="G5041" s="1516"/>
      <c r="H5041" s="1516"/>
      <c r="K5041" t="s">
        <v>1069</v>
      </c>
      <c r="V5041">
        <v>246</v>
      </c>
    </row>
    <row r="5042" spans="1:22" customFormat="1" ht="15" x14ac:dyDescent="0.25">
      <c r="A5042" t="s">
        <v>267</v>
      </c>
      <c r="E5042" s="1515" t="s">
        <v>956</v>
      </c>
      <c r="F5042" s="1516"/>
      <c r="G5042" s="1516"/>
      <c r="H5042" s="1516"/>
      <c r="K5042" t="s">
        <v>1075</v>
      </c>
      <c r="V5042">
        <v>46</v>
      </c>
    </row>
    <row r="5043" spans="1:22" customFormat="1" ht="15" x14ac:dyDescent="0.25">
      <c r="A5043" t="s">
        <v>267</v>
      </c>
      <c r="E5043" s="1507" t="s">
        <v>3773</v>
      </c>
      <c r="F5043" s="1507"/>
      <c r="G5043" s="584" t="s">
        <v>777</v>
      </c>
      <c r="H5043" s="576">
        <v>5</v>
      </c>
      <c r="K5043" t="s">
        <v>1069</v>
      </c>
      <c r="L5043" t="s">
        <v>690</v>
      </c>
      <c r="P5043" t="s">
        <v>1076</v>
      </c>
      <c r="V5043">
        <v>14</v>
      </c>
    </row>
    <row r="5044" spans="1:22" customFormat="1" x14ac:dyDescent="0.25">
      <c r="A5044" t="s">
        <v>267</v>
      </c>
      <c r="E5044" s="685" t="s">
        <v>3825</v>
      </c>
      <c r="F5044" s="359"/>
      <c r="G5044" s="359"/>
      <c r="H5044" s="692"/>
      <c r="K5044" t="s">
        <v>4526</v>
      </c>
      <c r="V5044">
        <v>10</v>
      </c>
    </row>
    <row r="5045" spans="1:22" customFormat="1" ht="15" x14ac:dyDescent="0.25">
      <c r="A5045" t="s">
        <v>267</v>
      </c>
      <c r="E5045" s="1507" t="s">
        <v>1078</v>
      </c>
      <c r="F5045" s="1507"/>
      <c r="G5045" s="584" t="s">
        <v>3775</v>
      </c>
      <c r="H5045" s="352">
        <v>-0.6</v>
      </c>
      <c r="V5045">
        <v>68</v>
      </c>
    </row>
    <row r="5046" spans="1:22" customFormat="1" ht="15" x14ac:dyDescent="0.25">
      <c r="A5046" t="s">
        <v>267</v>
      </c>
      <c r="E5046" s="1507" t="s">
        <v>3827</v>
      </c>
      <c r="F5046" s="1507"/>
      <c r="G5046" s="584" t="s">
        <v>1118</v>
      </c>
      <c r="H5046" s="350">
        <v>-1</v>
      </c>
      <c r="V5046">
        <v>89</v>
      </c>
    </row>
    <row r="5047" spans="1:22" customFormat="1" ht="36" x14ac:dyDescent="0.25">
      <c r="A5047" t="s">
        <v>267</v>
      </c>
      <c r="E5047" s="836" t="s">
        <v>3828</v>
      </c>
      <c r="F5047" s="359"/>
      <c r="G5047" s="359"/>
      <c r="H5047" s="692"/>
      <c r="K5047" t="s">
        <v>4527</v>
      </c>
      <c r="V5047">
        <v>24</v>
      </c>
    </row>
    <row r="5048" spans="1:22" customFormat="1" ht="15" x14ac:dyDescent="0.25">
      <c r="A5048" t="s">
        <v>267</v>
      </c>
      <c r="E5048" s="1516" t="s">
        <v>951</v>
      </c>
      <c r="F5048" s="1516"/>
      <c r="G5048" s="1516"/>
      <c r="H5048" s="1516"/>
      <c r="V5048">
        <v>280</v>
      </c>
    </row>
    <row r="5049" spans="1:22" customFormat="1" ht="15" x14ac:dyDescent="0.25">
      <c r="A5049" t="s">
        <v>267</v>
      </c>
      <c r="E5049" s="1516" t="s">
        <v>1081</v>
      </c>
      <c r="F5049" s="1516"/>
      <c r="G5049" s="1516"/>
      <c r="H5049" s="1516"/>
      <c r="V5049">
        <v>353</v>
      </c>
    </row>
    <row r="5050" spans="1:22" customFormat="1" ht="15" x14ac:dyDescent="0.25">
      <c r="A5050" t="s">
        <v>267</v>
      </c>
      <c r="E5050" s="1516" t="s">
        <v>954</v>
      </c>
      <c r="F5050" s="1516"/>
      <c r="G5050" s="1516"/>
      <c r="H5050" s="1516"/>
      <c r="V5050">
        <v>246</v>
      </c>
    </row>
    <row r="5051" spans="1:22" customFormat="1" ht="15" x14ac:dyDescent="0.25">
      <c r="A5051" t="s">
        <v>267</v>
      </c>
      <c r="E5051" s="835" t="s">
        <v>3830</v>
      </c>
      <c r="F5051" s="359"/>
      <c r="G5051" s="359"/>
      <c r="H5051" s="692"/>
      <c r="K5051" t="s">
        <v>4528</v>
      </c>
      <c r="V5051">
        <v>23</v>
      </c>
    </row>
    <row r="5052" spans="1:22" customFormat="1" ht="15" x14ac:dyDescent="0.25">
      <c r="A5052" t="s">
        <v>267</v>
      </c>
      <c r="E5052" s="1517" t="s">
        <v>3832</v>
      </c>
      <c r="F5052" s="1517"/>
      <c r="G5052" s="584" t="s">
        <v>777</v>
      </c>
      <c r="H5052" s="576">
        <v>15</v>
      </c>
      <c r="V5052">
        <v>19</v>
      </c>
    </row>
    <row r="5053" spans="1:22" customFormat="1" ht="15" x14ac:dyDescent="0.25">
      <c r="A5053" t="s">
        <v>267</v>
      </c>
      <c r="E5053" s="1517" t="s">
        <v>4056</v>
      </c>
      <c r="F5053" s="1517"/>
      <c r="G5053" s="584" t="s">
        <v>777</v>
      </c>
      <c r="H5053" s="576">
        <v>15</v>
      </c>
      <c r="V5053">
        <v>15</v>
      </c>
    </row>
    <row r="5054" spans="1:22" customFormat="1" ht="15" x14ac:dyDescent="0.25">
      <c r="A5054" t="s">
        <v>267</v>
      </c>
      <c r="E5054" s="1517" t="s">
        <v>3835</v>
      </c>
      <c r="F5054" s="1517"/>
      <c r="G5054" s="584" t="s">
        <v>777</v>
      </c>
      <c r="H5054" s="576">
        <v>15</v>
      </c>
      <c r="V5054">
        <v>56</v>
      </c>
    </row>
    <row r="5055" spans="1:22" customFormat="1" ht="15" x14ac:dyDescent="0.25">
      <c r="A5055" t="s">
        <v>267</v>
      </c>
      <c r="E5055" s="1517" t="s">
        <v>3837</v>
      </c>
      <c r="F5055" s="1517"/>
      <c r="G5055" s="584" t="s">
        <v>777</v>
      </c>
      <c r="H5055" s="576">
        <v>30</v>
      </c>
      <c r="V5055">
        <v>89</v>
      </c>
    </row>
    <row r="5056" spans="1:22" customFormat="1" ht="15" x14ac:dyDescent="0.25">
      <c r="A5056" t="s">
        <v>267</v>
      </c>
      <c r="E5056" s="1517" t="s">
        <v>3836</v>
      </c>
      <c r="F5056" s="1517"/>
      <c r="G5056" s="584" t="s">
        <v>777</v>
      </c>
      <c r="H5056" s="576">
        <v>15</v>
      </c>
      <c r="V5056">
        <v>35</v>
      </c>
    </row>
    <row r="5057" spans="1:22" customFormat="1" ht="15" x14ac:dyDescent="0.25">
      <c r="A5057" t="s">
        <v>267</v>
      </c>
      <c r="E5057" s="1517" t="s">
        <v>3838</v>
      </c>
      <c r="F5057" s="1517"/>
      <c r="G5057" s="584" t="s">
        <v>777</v>
      </c>
      <c r="H5057" s="576">
        <v>30</v>
      </c>
      <c r="V5057">
        <v>74</v>
      </c>
    </row>
    <row r="5058" spans="1:22" customFormat="1" ht="15" x14ac:dyDescent="0.25">
      <c r="A5058" t="s">
        <v>267</v>
      </c>
      <c r="E5058" s="835" t="s">
        <v>4062</v>
      </c>
      <c r="F5058" s="359"/>
      <c r="G5058" s="359"/>
      <c r="H5058" s="692"/>
      <c r="K5058" t="s">
        <v>4529</v>
      </c>
      <c r="V5058">
        <v>22</v>
      </c>
    </row>
    <row r="5059" spans="1:22" customFormat="1" ht="15" x14ac:dyDescent="0.25">
      <c r="A5059" t="s">
        <v>267</v>
      </c>
      <c r="E5059" s="1517" t="s">
        <v>4064</v>
      </c>
      <c r="F5059" s="1517"/>
      <c r="G5059" s="584" t="s">
        <v>1118</v>
      </c>
      <c r="H5059" s="576">
        <v>1.5</v>
      </c>
      <c r="V5059">
        <v>99</v>
      </c>
    </row>
    <row r="5060" spans="1:22" customFormat="1" ht="15" x14ac:dyDescent="0.25">
      <c r="A5060" t="s">
        <v>267</v>
      </c>
      <c r="E5060" s="1517" t="s">
        <v>3842</v>
      </c>
      <c r="F5060" s="1517"/>
      <c r="G5060" s="584" t="s">
        <v>777</v>
      </c>
      <c r="H5060" s="576">
        <v>65</v>
      </c>
      <c r="V5060">
        <v>44</v>
      </c>
    </row>
    <row r="5061" spans="1:22" customFormat="1" ht="15" x14ac:dyDescent="0.25">
      <c r="A5061" t="s">
        <v>267</v>
      </c>
      <c r="E5061" s="1517" t="s">
        <v>3843</v>
      </c>
      <c r="F5061" s="1517"/>
      <c r="G5061" s="584" t="s">
        <v>777</v>
      </c>
      <c r="H5061" s="576">
        <v>185</v>
      </c>
      <c r="V5061">
        <v>43</v>
      </c>
    </row>
    <row r="5062" spans="1:22" customFormat="1" ht="15" x14ac:dyDescent="0.25">
      <c r="A5062" t="s">
        <v>267</v>
      </c>
      <c r="E5062" s="1517" t="s">
        <v>3844</v>
      </c>
      <c r="F5062" s="1517"/>
      <c r="G5062" s="584" t="s">
        <v>777</v>
      </c>
      <c r="H5062" s="576">
        <v>185</v>
      </c>
      <c r="V5062">
        <v>43</v>
      </c>
    </row>
    <row r="5063" spans="1:22" customFormat="1" ht="15" x14ac:dyDescent="0.25">
      <c r="A5063" t="s">
        <v>267</v>
      </c>
      <c r="E5063" s="1517" t="s">
        <v>3845</v>
      </c>
      <c r="F5063" s="1517"/>
      <c r="G5063" s="584" t="s">
        <v>777</v>
      </c>
      <c r="H5063" s="576">
        <v>415</v>
      </c>
      <c r="V5063">
        <v>42</v>
      </c>
    </row>
    <row r="5064" spans="1:22" customFormat="1" ht="15" x14ac:dyDescent="0.25">
      <c r="A5064" t="s">
        <v>267</v>
      </c>
      <c r="E5064" s="1631" t="s">
        <v>4530</v>
      </c>
      <c r="F5064" s="1517"/>
      <c r="G5064" s="584"/>
      <c r="H5064" s="650"/>
      <c r="V5064">
        <v>18</v>
      </c>
    </row>
    <row r="5065" spans="1:22" customFormat="1" ht="15" x14ac:dyDescent="0.25">
      <c r="A5065" t="s">
        <v>267</v>
      </c>
      <c r="E5065" s="1517" t="s">
        <v>3842</v>
      </c>
      <c r="F5065" s="1517"/>
      <c r="G5065" s="584" t="s">
        <v>777</v>
      </c>
      <c r="H5065" s="576">
        <v>65</v>
      </c>
      <c r="V5065">
        <v>44</v>
      </c>
    </row>
    <row r="5066" spans="1:22" customFormat="1" ht="15" x14ac:dyDescent="0.25">
      <c r="A5066" t="s">
        <v>267</v>
      </c>
      <c r="E5066" s="1517" t="s">
        <v>3843</v>
      </c>
      <c r="F5066" s="1517"/>
      <c r="G5066" s="584" t="s">
        <v>777</v>
      </c>
      <c r="H5066" s="576">
        <v>185</v>
      </c>
      <c r="V5066">
        <v>43</v>
      </c>
    </row>
    <row r="5067" spans="1:22" customFormat="1" ht="15" x14ac:dyDescent="0.25">
      <c r="A5067" t="s">
        <v>267</v>
      </c>
      <c r="E5067" s="1517" t="s">
        <v>3844</v>
      </c>
      <c r="F5067" s="1517"/>
      <c r="G5067" s="584" t="s">
        <v>777</v>
      </c>
      <c r="H5067" s="576">
        <v>185</v>
      </c>
      <c r="V5067">
        <v>43</v>
      </c>
    </row>
    <row r="5068" spans="1:22" customFormat="1" ht="15" x14ac:dyDescent="0.25">
      <c r="A5068" t="s">
        <v>267</v>
      </c>
      <c r="E5068" s="1517" t="s">
        <v>3845</v>
      </c>
      <c r="F5068" s="1517"/>
      <c r="G5068" s="584" t="s">
        <v>777</v>
      </c>
      <c r="H5068" s="576">
        <v>415</v>
      </c>
      <c r="V5068">
        <v>42</v>
      </c>
    </row>
    <row r="5069" spans="1:22" customFormat="1" ht="15" x14ac:dyDescent="0.25">
      <c r="A5069" t="s">
        <v>267</v>
      </c>
      <c r="E5069" s="835" t="s">
        <v>3846</v>
      </c>
      <c r="F5069" s="480"/>
      <c r="G5069" s="480"/>
      <c r="H5069" s="752"/>
      <c r="V5069">
        <v>5</v>
      </c>
    </row>
    <row r="5070" spans="1:22" customFormat="1" ht="15" x14ac:dyDescent="0.25">
      <c r="A5070" t="s">
        <v>267</v>
      </c>
      <c r="E5070" s="1517" t="s">
        <v>3914</v>
      </c>
      <c r="F5070" s="1517"/>
      <c r="G5070" s="584" t="s">
        <v>777</v>
      </c>
      <c r="H5070" s="576">
        <v>30</v>
      </c>
      <c r="V5070">
        <v>19</v>
      </c>
    </row>
    <row r="5071" spans="1:22" customFormat="1" ht="15" x14ac:dyDescent="0.25">
      <c r="A5071" t="s">
        <v>267</v>
      </c>
      <c r="E5071" s="1517" t="s">
        <v>3848</v>
      </c>
      <c r="F5071" s="1517"/>
      <c r="G5071" s="584" t="s">
        <v>777</v>
      </c>
      <c r="H5071" s="576">
        <v>632</v>
      </c>
      <c r="V5071">
        <v>64</v>
      </c>
    </row>
    <row r="5072" spans="1:22" customFormat="1" ht="15" x14ac:dyDescent="0.25">
      <c r="A5072" t="s">
        <v>267</v>
      </c>
      <c r="E5072" s="1517" t="s">
        <v>4494</v>
      </c>
      <c r="F5072" s="1517"/>
      <c r="G5072" s="584" t="s">
        <v>777</v>
      </c>
      <c r="H5072" s="576">
        <v>468</v>
      </c>
      <c r="V5072">
        <v>75</v>
      </c>
    </row>
    <row r="5073" spans="1:22" customFormat="1" ht="15" x14ac:dyDescent="0.25">
      <c r="A5073" t="s">
        <v>267</v>
      </c>
      <c r="E5073" s="1517" t="s">
        <v>4495</v>
      </c>
      <c r="F5073" s="1517"/>
      <c r="G5073" s="584" t="s">
        <v>777</v>
      </c>
      <c r="H5073" s="576">
        <v>2525</v>
      </c>
      <c r="V5073">
        <v>74</v>
      </c>
    </row>
    <row r="5074" spans="1:22" customFormat="1" ht="15" x14ac:dyDescent="0.25">
      <c r="A5074" t="s">
        <v>267</v>
      </c>
      <c r="E5074" s="1517" t="s">
        <v>4531</v>
      </c>
      <c r="F5074" s="1517"/>
      <c r="G5074" s="584" t="s">
        <v>777</v>
      </c>
      <c r="H5074" s="576">
        <v>39.14</v>
      </c>
      <c r="V5074">
        <v>104</v>
      </c>
    </row>
    <row r="5075" spans="1:22" customFormat="1" ht="15" x14ac:dyDescent="0.25">
      <c r="A5075" t="s">
        <v>267</v>
      </c>
      <c r="E5075" s="1492" t="s">
        <v>3851</v>
      </c>
      <c r="F5075" s="1510"/>
      <c r="G5075" s="1510"/>
      <c r="H5075" s="1510"/>
      <c r="K5075" t="s">
        <v>4532</v>
      </c>
      <c r="V5075">
        <v>38</v>
      </c>
    </row>
    <row r="5076" spans="1:22" customFormat="1" ht="15" x14ac:dyDescent="0.25">
      <c r="A5076" t="s">
        <v>267</v>
      </c>
      <c r="E5076" s="1516" t="s">
        <v>951</v>
      </c>
      <c r="F5076" s="1516"/>
      <c r="G5076" s="1516"/>
      <c r="H5076" s="1516"/>
      <c r="V5076">
        <v>280</v>
      </c>
    </row>
    <row r="5077" spans="1:22" customFormat="1" ht="15" x14ac:dyDescent="0.25">
      <c r="A5077" t="s">
        <v>267</v>
      </c>
      <c r="E5077" s="1516" t="s">
        <v>952</v>
      </c>
      <c r="F5077" s="1516"/>
      <c r="G5077" s="1516"/>
      <c r="H5077" s="1516"/>
      <c r="V5077">
        <v>411</v>
      </c>
    </row>
    <row r="5078" spans="1:22" customFormat="1" ht="15" x14ac:dyDescent="0.25">
      <c r="A5078" t="s">
        <v>267</v>
      </c>
      <c r="E5078" s="1516" t="s">
        <v>1103</v>
      </c>
      <c r="F5078" s="1516"/>
      <c r="G5078" s="1516"/>
      <c r="H5078" s="1516"/>
      <c r="V5078">
        <v>211</v>
      </c>
    </row>
    <row r="5079" spans="1:22" customFormat="1" ht="15" x14ac:dyDescent="0.25">
      <c r="A5079" t="s">
        <v>267</v>
      </c>
      <c r="E5079" s="1516" t="s">
        <v>954</v>
      </c>
      <c r="F5079" s="1516"/>
      <c r="G5079" s="1516"/>
      <c r="H5079" s="1516"/>
      <c r="V5079">
        <v>246</v>
      </c>
    </row>
    <row r="5080" spans="1:22" customFormat="1" ht="15" x14ac:dyDescent="0.25">
      <c r="A5080" t="s">
        <v>267</v>
      </c>
      <c r="E5080" s="1516" t="s">
        <v>1104</v>
      </c>
      <c r="F5080" s="1516"/>
      <c r="G5080" s="1516"/>
      <c r="H5080" s="1516"/>
      <c r="V5080">
        <v>142</v>
      </c>
    </row>
    <row r="5081" spans="1:22" customFormat="1" ht="15" x14ac:dyDescent="0.25">
      <c r="A5081" t="s">
        <v>267</v>
      </c>
      <c r="E5081" s="1507" t="s">
        <v>849</v>
      </c>
      <c r="F5081" s="1507"/>
      <c r="G5081" s="582" t="s">
        <v>777</v>
      </c>
      <c r="H5081" s="267">
        <v>121.23</v>
      </c>
      <c r="V5081">
        <v>106</v>
      </c>
    </row>
    <row r="5082" spans="1:22" customFormat="1" ht="15" x14ac:dyDescent="0.25">
      <c r="A5082" t="s">
        <v>267</v>
      </c>
      <c r="E5082" s="1507" t="s">
        <v>4471</v>
      </c>
      <c r="F5082" s="1507"/>
      <c r="G5082" s="582" t="s">
        <v>777</v>
      </c>
      <c r="H5082" s="267">
        <v>48.5</v>
      </c>
      <c r="V5082">
        <v>34</v>
      </c>
    </row>
    <row r="5083" spans="1:22" customFormat="1" ht="15" x14ac:dyDescent="0.25">
      <c r="A5083" t="s">
        <v>267</v>
      </c>
      <c r="E5083" s="1507" t="s">
        <v>4472</v>
      </c>
      <c r="F5083" s="1507"/>
      <c r="G5083" s="582" t="s">
        <v>852</v>
      </c>
      <c r="H5083" s="267">
        <v>1.2</v>
      </c>
      <c r="V5083">
        <v>51</v>
      </c>
    </row>
    <row r="5084" spans="1:22" customFormat="1" ht="15" x14ac:dyDescent="0.25">
      <c r="A5084" t="s">
        <v>267</v>
      </c>
      <c r="E5084" s="1507" t="s">
        <v>853</v>
      </c>
      <c r="F5084" s="1507"/>
      <c r="G5084" s="582" t="s">
        <v>852</v>
      </c>
      <c r="H5084" s="267">
        <v>0.71</v>
      </c>
      <c r="V5084">
        <v>75</v>
      </c>
    </row>
    <row r="5085" spans="1:22" customFormat="1" ht="15" x14ac:dyDescent="0.25">
      <c r="A5085" t="s">
        <v>267</v>
      </c>
      <c r="E5085" s="1507" t="s">
        <v>854</v>
      </c>
      <c r="F5085" s="1507"/>
      <c r="G5085" s="582" t="s">
        <v>852</v>
      </c>
      <c r="H5085" s="351">
        <v>-0.71</v>
      </c>
      <c r="V5085">
        <v>72</v>
      </c>
    </row>
    <row r="5086" spans="1:22" customFormat="1" ht="15" x14ac:dyDescent="0.25">
      <c r="A5086" t="s">
        <v>267</v>
      </c>
      <c r="E5086" s="1507" t="s">
        <v>855</v>
      </c>
      <c r="F5086" s="1507"/>
      <c r="G5086" s="582"/>
      <c r="H5086" s="657"/>
      <c r="V5086">
        <v>34</v>
      </c>
    </row>
    <row r="5087" spans="1:22" customFormat="1" ht="15" x14ac:dyDescent="0.25">
      <c r="A5087" t="s">
        <v>267</v>
      </c>
      <c r="E5087" s="1511" t="s">
        <v>1106</v>
      </c>
      <c r="F5087" s="1511"/>
      <c r="G5087" s="582" t="s">
        <v>777</v>
      </c>
      <c r="H5087" s="267">
        <v>0.61</v>
      </c>
      <c r="V5087">
        <v>57</v>
      </c>
    </row>
    <row r="5088" spans="1:22" customFormat="1" ht="15" x14ac:dyDescent="0.25">
      <c r="A5088" t="s">
        <v>267</v>
      </c>
      <c r="E5088" s="1511" t="s">
        <v>1107</v>
      </c>
      <c r="F5088" s="1511"/>
      <c r="G5088" s="582" t="s">
        <v>777</v>
      </c>
      <c r="H5088" s="267">
        <v>1.2</v>
      </c>
      <c r="V5088">
        <v>60</v>
      </c>
    </row>
    <row r="5089" spans="1:22" customFormat="1" ht="15" x14ac:dyDescent="0.25">
      <c r="A5089" t="s">
        <v>267</v>
      </c>
      <c r="E5089" s="1507" t="s">
        <v>1108</v>
      </c>
      <c r="F5089" s="1507"/>
      <c r="G5089" s="582"/>
      <c r="H5089" s="657"/>
      <c r="V5089">
        <v>91</v>
      </c>
    </row>
    <row r="5090" spans="1:22" customFormat="1" ht="15" x14ac:dyDescent="0.25">
      <c r="A5090" t="s">
        <v>267</v>
      </c>
      <c r="E5090" s="1507" t="s">
        <v>1109</v>
      </c>
      <c r="F5090" s="1507"/>
      <c r="G5090" s="582"/>
      <c r="H5090" s="657"/>
      <c r="V5090">
        <v>96</v>
      </c>
    </row>
    <row r="5091" spans="1:22" customFormat="1" ht="15" x14ac:dyDescent="0.25">
      <c r="A5091" t="s">
        <v>267</v>
      </c>
      <c r="E5091" s="1507" t="s">
        <v>856</v>
      </c>
      <c r="F5091" s="1507"/>
      <c r="G5091" s="582"/>
      <c r="H5091" s="657"/>
      <c r="V5091">
        <v>77</v>
      </c>
    </row>
    <row r="5092" spans="1:22" customFormat="1" ht="15" x14ac:dyDescent="0.25">
      <c r="A5092" t="s">
        <v>267</v>
      </c>
      <c r="E5092" s="1511" t="s">
        <v>1111</v>
      </c>
      <c r="F5092" s="1511"/>
      <c r="G5092" s="582" t="s">
        <v>777</v>
      </c>
      <c r="H5092" s="657" t="s">
        <v>857</v>
      </c>
      <c r="V5092">
        <v>18</v>
      </c>
    </row>
    <row r="5093" spans="1:22" customFormat="1" ht="15" x14ac:dyDescent="0.25">
      <c r="A5093" t="s">
        <v>267</v>
      </c>
      <c r="E5093" s="1511" t="s">
        <v>1112</v>
      </c>
      <c r="F5093" s="1511"/>
      <c r="G5093" s="582" t="s">
        <v>777</v>
      </c>
      <c r="H5093" s="267">
        <v>4.8499999999999996</v>
      </c>
      <c r="V5093">
        <v>69</v>
      </c>
    </row>
    <row r="5094" spans="1:22" customFormat="1" ht="15" x14ac:dyDescent="0.25">
      <c r="A5094" t="s">
        <v>267</v>
      </c>
      <c r="E5094" s="1507" t="s">
        <v>858</v>
      </c>
      <c r="F5094" s="1507"/>
      <c r="G5094" s="837" t="s">
        <v>777</v>
      </c>
      <c r="H5094" s="397">
        <v>2.42</v>
      </c>
      <c r="V5094">
        <v>199</v>
      </c>
    </row>
    <row r="5095" spans="1:22" customFormat="1" x14ac:dyDescent="0.25">
      <c r="A5095" t="s">
        <v>267</v>
      </c>
      <c r="E5095" s="836" t="s">
        <v>3853</v>
      </c>
      <c r="F5095" s="359"/>
      <c r="G5095" s="359"/>
      <c r="H5095" s="692"/>
      <c r="K5095" t="s">
        <v>4533</v>
      </c>
      <c r="V5095">
        <v>12</v>
      </c>
    </row>
    <row r="5096" spans="1:22" customFormat="1" ht="15" x14ac:dyDescent="0.25">
      <c r="A5096" t="s">
        <v>267</v>
      </c>
      <c r="E5096" s="1507" t="s">
        <v>1114</v>
      </c>
      <c r="F5096" s="1507"/>
      <c r="G5096" s="1507"/>
      <c r="H5096" s="1507"/>
      <c r="V5096">
        <v>203</v>
      </c>
    </row>
    <row r="5097" spans="1:22" customFormat="1" ht="15" x14ac:dyDescent="0.25">
      <c r="A5097" t="s">
        <v>267</v>
      </c>
      <c r="E5097" s="1507" t="s">
        <v>1115</v>
      </c>
      <c r="F5097" s="1507"/>
      <c r="G5097" s="584"/>
      <c r="H5097" s="650">
        <v>1.0821000000000001</v>
      </c>
      <c r="V5097">
        <v>57</v>
      </c>
    </row>
    <row r="5098" spans="1:22" customFormat="1" ht="15" x14ac:dyDescent="0.25">
      <c r="A5098" t="s">
        <v>267</v>
      </c>
      <c r="E5098" s="1507" t="s">
        <v>1117</v>
      </c>
      <c r="F5098" s="1507"/>
      <c r="G5098" s="584"/>
      <c r="H5098" s="650">
        <v>1.0712999999999999</v>
      </c>
      <c r="J5098" t="s">
        <v>4534</v>
      </c>
      <c r="V5098">
        <v>55</v>
      </c>
    </row>
    <row r="5099" spans="1:22" customFormat="1" ht="23.25" x14ac:dyDescent="0.25">
      <c r="A5099" t="s">
        <v>269</v>
      </c>
      <c r="C5099" t="s">
        <v>3755</v>
      </c>
      <c r="E5099" s="1555" t="s">
        <v>269</v>
      </c>
      <c r="F5099" s="1555"/>
      <c r="G5099" s="1555"/>
      <c r="H5099" s="1555"/>
      <c r="I5099" t="s">
        <v>94</v>
      </c>
      <c r="J5099" t="s">
        <v>4954</v>
      </c>
      <c r="K5099" t="s">
        <v>269</v>
      </c>
      <c r="M5099">
        <v>8</v>
      </c>
      <c r="V5099">
        <v>26</v>
      </c>
    </row>
    <row r="5100" spans="1:22" customFormat="1" x14ac:dyDescent="0.25">
      <c r="A5100" t="s">
        <v>269</v>
      </c>
      <c r="C5100" t="s">
        <v>3757</v>
      </c>
      <c r="E5100" s="1632" t="s">
        <v>944</v>
      </c>
      <c r="F5100" s="1632"/>
      <c r="G5100" s="1632"/>
      <c r="H5100" s="1632"/>
      <c r="V5100">
        <v>27</v>
      </c>
    </row>
    <row r="5101" spans="1:22" customFormat="1" ht="15.75" x14ac:dyDescent="0.25">
      <c r="A5101" t="s">
        <v>269</v>
      </c>
      <c r="C5101" t="s">
        <v>3758</v>
      </c>
      <c r="E5101" s="1633" t="s">
        <v>6511</v>
      </c>
      <c r="F5101" s="1633"/>
      <c r="G5101" s="1633"/>
      <c r="H5101" s="1633"/>
      <c r="S5101">
        <v>45658</v>
      </c>
      <c r="V5101">
        <v>49</v>
      </c>
    </row>
    <row r="5102" spans="1:22" customFormat="1" ht="15" x14ac:dyDescent="0.25">
      <c r="A5102" t="s">
        <v>269</v>
      </c>
      <c r="C5102" t="s">
        <v>3759</v>
      </c>
      <c r="E5102" s="1634" t="s">
        <v>945</v>
      </c>
      <c r="F5102" s="1634"/>
      <c r="G5102" s="1634"/>
      <c r="H5102" s="1634"/>
      <c r="V5102">
        <v>52</v>
      </c>
    </row>
    <row r="5103" spans="1:22" customFormat="1" ht="15" x14ac:dyDescent="0.25">
      <c r="A5103" t="s">
        <v>269</v>
      </c>
      <c r="E5103" s="1634" t="s">
        <v>946</v>
      </c>
      <c r="F5103" s="1634"/>
      <c r="G5103" s="1634"/>
      <c r="H5103" s="1634"/>
      <c r="V5103">
        <v>53</v>
      </c>
    </row>
    <row r="5104" spans="1:22" customFormat="1" ht="15" x14ac:dyDescent="0.25">
      <c r="A5104" t="s">
        <v>269</v>
      </c>
      <c r="E5104" s="1635" t="s">
        <v>6775</v>
      </c>
      <c r="F5104" s="1635"/>
      <c r="G5104" s="1635"/>
      <c r="H5104" s="1635"/>
      <c r="K5104" t="s">
        <v>6775</v>
      </c>
      <c r="V5104">
        <v>12</v>
      </c>
    </row>
    <row r="5105" spans="1:22" customFormat="1" ht="15" x14ac:dyDescent="0.25">
      <c r="A5105" t="s">
        <v>269</v>
      </c>
      <c r="E5105" s="1636" t="s">
        <v>170</v>
      </c>
      <c r="F5105" s="1637"/>
      <c r="G5105" s="1637"/>
      <c r="H5105" s="1637"/>
      <c r="K5105" t="s">
        <v>947</v>
      </c>
      <c r="V5105">
        <v>34</v>
      </c>
    </row>
    <row r="5106" spans="1:22" customFormat="1" ht="15" x14ac:dyDescent="0.25">
      <c r="A5106" t="s">
        <v>269</v>
      </c>
      <c r="E5106" s="1738" t="s">
        <v>4955</v>
      </c>
      <c r="F5106" s="1738"/>
      <c r="G5106" s="1738"/>
      <c r="H5106" s="1738"/>
      <c r="K5106" t="s">
        <v>947</v>
      </c>
      <c r="V5106">
        <v>649</v>
      </c>
    </row>
    <row r="5107" spans="1:22" customFormat="1" ht="15" x14ac:dyDescent="0.25">
      <c r="A5107" t="s">
        <v>269</v>
      </c>
      <c r="E5107" s="1638" t="s">
        <v>950</v>
      </c>
      <c r="F5107" s="1530"/>
      <c r="G5107" s="1530"/>
      <c r="H5107" s="1530"/>
      <c r="K5107" t="s">
        <v>949</v>
      </c>
      <c r="V5107">
        <v>11</v>
      </c>
    </row>
    <row r="5108" spans="1:22" customFormat="1" ht="15" x14ac:dyDescent="0.25">
      <c r="A5108" t="s">
        <v>269</v>
      </c>
      <c r="E5108" s="1738" t="s">
        <v>4956</v>
      </c>
      <c r="F5108" s="1738"/>
      <c r="G5108" s="1738"/>
      <c r="H5108" s="1738"/>
      <c r="K5108" t="s">
        <v>947</v>
      </c>
      <c r="V5108">
        <v>281</v>
      </c>
    </row>
    <row r="5109" spans="1:22" customFormat="1" ht="15" x14ac:dyDescent="0.25">
      <c r="A5109" t="s">
        <v>269</v>
      </c>
      <c r="E5109" s="1738" t="s">
        <v>4957</v>
      </c>
      <c r="F5109" s="1738"/>
      <c r="G5109" s="1738"/>
      <c r="H5109" s="1738"/>
      <c r="K5109" t="s">
        <v>947</v>
      </c>
      <c r="V5109">
        <v>412</v>
      </c>
    </row>
    <row r="5110" spans="1:22" customFormat="1" ht="15" x14ac:dyDescent="0.25">
      <c r="A5110" t="s">
        <v>269</v>
      </c>
      <c r="E5110" s="1738" t="s">
        <v>4958</v>
      </c>
      <c r="F5110" s="1738"/>
      <c r="G5110" s="1738"/>
      <c r="H5110" s="1738"/>
      <c r="K5110" t="s">
        <v>947</v>
      </c>
      <c r="V5110">
        <v>387</v>
      </c>
    </row>
    <row r="5111" spans="1:22" customFormat="1" ht="15" x14ac:dyDescent="0.25">
      <c r="A5111" t="s">
        <v>269</v>
      </c>
      <c r="E5111" s="1738" t="s">
        <v>4959</v>
      </c>
      <c r="F5111" s="1738"/>
      <c r="G5111" s="1738"/>
      <c r="H5111" s="1738"/>
      <c r="K5111" t="s">
        <v>947</v>
      </c>
      <c r="V5111">
        <v>247</v>
      </c>
    </row>
    <row r="5112" spans="1:22" customFormat="1" ht="15" x14ac:dyDescent="0.25">
      <c r="A5112" t="s">
        <v>269</v>
      </c>
      <c r="E5112" s="1638" t="s">
        <v>956</v>
      </c>
      <c r="F5112" s="1530"/>
      <c r="G5112" s="1530"/>
      <c r="H5112" s="1530"/>
      <c r="K5112" t="s">
        <v>955</v>
      </c>
      <c r="V5112">
        <v>46</v>
      </c>
    </row>
    <row r="5113" spans="1:22" customFormat="1" ht="15" x14ac:dyDescent="0.25">
      <c r="A5113" t="s">
        <v>269</v>
      </c>
      <c r="E5113" s="1554" t="s">
        <v>3773</v>
      </c>
      <c r="F5113" s="1554"/>
      <c r="G5113" s="737" t="s">
        <v>777</v>
      </c>
      <c r="H5113" s="576">
        <v>31.06</v>
      </c>
      <c r="K5113" t="s">
        <v>947</v>
      </c>
      <c r="L5113" t="s">
        <v>690</v>
      </c>
      <c r="P5113" t="s">
        <v>957</v>
      </c>
      <c r="V5113">
        <v>14</v>
      </c>
    </row>
    <row r="5114" spans="1:22" customFormat="1" ht="15" x14ac:dyDescent="0.25">
      <c r="A5114" t="s">
        <v>269</v>
      </c>
      <c r="E5114" s="1554" t="s">
        <v>960</v>
      </c>
      <c r="F5114" s="1554"/>
      <c r="G5114" s="737" t="s">
        <v>777</v>
      </c>
      <c r="H5114" s="738">
        <v>0.42</v>
      </c>
      <c r="K5114" t="s">
        <v>947</v>
      </c>
      <c r="L5114" t="s">
        <v>692</v>
      </c>
      <c r="P5114" t="s">
        <v>959</v>
      </c>
      <c r="V5114">
        <v>64</v>
      </c>
    </row>
    <row r="5115" spans="1:22" customFormat="1" ht="15" x14ac:dyDescent="0.25">
      <c r="A5115" t="s">
        <v>269</v>
      </c>
      <c r="E5115" s="1554" t="s">
        <v>910</v>
      </c>
      <c r="F5115" s="1554"/>
      <c r="G5115" s="737" t="s">
        <v>845</v>
      </c>
      <c r="H5115" s="739">
        <v>1.6000000000000001E-3</v>
      </c>
      <c r="K5115" t="s">
        <v>947</v>
      </c>
      <c r="L5115" t="s">
        <v>692</v>
      </c>
      <c r="P5115" t="s">
        <v>961</v>
      </c>
      <c r="V5115">
        <v>24</v>
      </c>
    </row>
    <row r="5116" spans="1:22" customFormat="1" ht="15" x14ac:dyDescent="0.25">
      <c r="A5116" t="s">
        <v>269</v>
      </c>
      <c r="E5116" s="1554" t="s">
        <v>6519</v>
      </c>
      <c r="F5116" s="1510"/>
      <c r="G5116" s="737" t="s">
        <v>845</v>
      </c>
      <c r="H5116" s="739">
        <v>1.6000000000000001E-3</v>
      </c>
      <c r="K5116" t="s">
        <v>947</v>
      </c>
      <c r="L5116" t="s">
        <v>692</v>
      </c>
      <c r="P5116" t="s">
        <v>962</v>
      </c>
      <c r="T5116">
        <v>46022</v>
      </c>
      <c r="V5116">
        <v>142</v>
      </c>
    </row>
    <row r="5117" spans="1:22" customFormat="1" ht="15" x14ac:dyDescent="0.25">
      <c r="A5117" t="s">
        <v>269</v>
      </c>
      <c r="E5117" s="1554" t="s">
        <v>6520</v>
      </c>
      <c r="F5117" s="1510"/>
      <c r="G5117" s="737" t="s">
        <v>845</v>
      </c>
      <c r="H5117" s="739">
        <v>-4.0000000000000002E-4</v>
      </c>
      <c r="K5117" t="s">
        <v>947</v>
      </c>
      <c r="L5117" t="s">
        <v>692</v>
      </c>
      <c r="P5117" t="s">
        <v>963</v>
      </c>
      <c r="T5117">
        <v>46022</v>
      </c>
      <c r="V5117">
        <v>99</v>
      </c>
    </row>
    <row r="5118" spans="1:22" customFormat="1" ht="15" x14ac:dyDescent="0.25">
      <c r="A5118" t="s">
        <v>269</v>
      </c>
      <c r="E5118" s="1554" t="s">
        <v>6634</v>
      </c>
      <c r="F5118" s="1510"/>
      <c r="G5118" s="737" t="s">
        <v>845</v>
      </c>
      <c r="H5118" s="739">
        <v>1E-4</v>
      </c>
      <c r="K5118" t="s">
        <v>947</v>
      </c>
      <c r="L5118" t="s">
        <v>692</v>
      </c>
      <c r="P5118" t="s">
        <v>3764</v>
      </c>
      <c r="T5118">
        <v>46022</v>
      </c>
      <c r="V5118">
        <v>142</v>
      </c>
    </row>
    <row r="5119" spans="1:22" customFormat="1" ht="15" x14ac:dyDescent="0.25">
      <c r="A5119" t="s">
        <v>269</v>
      </c>
      <c r="E5119" s="1554" t="s">
        <v>243</v>
      </c>
      <c r="F5119" s="1554"/>
      <c r="G5119" s="737" t="s">
        <v>845</v>
      </c>
      <c r="H5119" s="577">
        <v>1.12E-2</v>
      </c>
      <c r="K5119" t="s">
        <v>947</v>
      </c>
      <c r="L5119" t="s">
        <v>694</v>
      </c>
      <c r="P5119" t="s">
        <v>964</v>
      </c>
      <c r="V5119">
        <v>47</v>
      </c>
    </row>
    <row r="5120" spans="1:22" customFormat="1" ht="15" x14ac:dyDescent="0.25">
      <c r="A5120" t="s">
        <v>269</v>
      </c>
      <c r="E5120" s="1554" t="s">
        <v>175</v>
      </c>
      <c r="F5120" s="1554"/>
      <c r="G5120" s="737" t="s">
        <v>845</v>
      </c>
      <c r="H5120" s="577">
        <v>8.6E-3</v>
      </c>
      <c r="K5120" t="s">
        <v>947</v>
      </c>
      <c r="L5120" t="s">
        <v>694</v>
      </c>
      <c r="P5120" t="s">
        <v>965</v>
      </c>
      <c r="V5120">
        <v>74</v>
      </c>
    </row>
    <row r="5121" spans="1:22" customFormat="1" ht="15" x14ac:dyDescent="0.25">
      <c r="A5121" t="s">
        <v>269</v>
      </c>
      <c r="E5121" s="1737" t="s">
        <v>967</v>
      </c>
      <c r="F5121" s="1507"/>
      <c r="G5121" s="740"/>
      <c r="H5121" s="740"/>
      <c r="K5121" t="s">
        <v>966</v>
      </c>
      <c r="V5121">
        <v>48</v>
      </c>
    </row>
    <row r="5122" spans="1:22" customFormat="1" ht="15" x14ac:dyDescent="0.25">
      <c r="A5122" t="s">
        <v>269</v>
      </c>
      <c r="E5122" s="1554" t="s">
        <v>844</v>
      </c>
      <c r="F5122" s="1554"/>
      <c r="G5122" s="740" t="s">
        <v>845</v>
      </c>
      <c r="H5122" s="741">
        <v>4.1000000000000003E-3</v>
      </c>
      <c r="K5122" t="s">
        <v>947</v>
      </c>
      <c r="L5122" t="s">
        <v>968</v>
      </c>
      <c r="P5122" t="s">
        <v>969</v>
      </c>
      <c r="V5122">
        <v>55</v>
      </c>
    </row>
    <row r="5123" spans="1:22" customFormat="1" ht="15" x14ac:dyDescent="0.25">
      <c r="A5123" t="s">
        <v>269</v>
      </c>
      <c r="E5123" s="1554" t="s">
        <v>846</v>
      </c>
      <c r="F5123" s="1554"/>
      <c r="G5123" s="740" t="s">
        <v>845</v>
      </c>
      <c r="H5123" s="741">
        <v>4.0000000000000002E-4</v>
      </c>
      <c r="K5123" t="s">
        <v>947</v>
      </c>
      <c r="L5123" t="s">
        <v>968</v>
      </c>
      <c r="P5123" t="s">
        <v>969</v>
      </c>
      <c r="V5123">
        <v>65</v>
      </c>
    </row>
    <row r="5124" spans="1:22" customFormat="1" ht="15" x14ac:dyDescent="0.25">
      <c r="A5124" t="s">
        <v>269</v>
      </c>
      <c r="E5124" s="1554" t="s">
        <v>847</v>
      </c>
      <c r="F5124" s="1554"/>
      <c r="G5124" s="740" t="s">
        <v>845</v>
      </c>
      <c r="H5124" s="741">
        <v>1.5E-3</v>
      </c>
      <c r="K5124" t="s">
        <v>947</v>
      </c>
      <c r="L5124" t="s">
        <v>968</v>
      </c>
      <c r="P5124" t="s">
        <v>970</v>
      </c>
      <c r="V5124">
        <v>57</v>
      </c>
    </row>
    <row r="5125" spans="1:22" customFormat="1" ht="15" x14ac:dyDescent="0.25">
      <c r="A5125" t="s">
        <v>269</v>
      </c>
      <c r="E5125" s="1554" t="s">
        <v>848</v>
      </c>
      <c r="F5125" s="1554"/>
      <c r="G5125" s="740" t="s">
        <v>777</v>
      </c>
      <c r="H5125" s="742">
        <v>0.25</v>
      </c>
      <c r="K5125" t="s">
        <v>947</v>
      </c>
      <c r="L5125" t="s">
        <v>968</v>
      </c>
      <c r="P5125" t="s">
        <v>971</v>
      </c>
      <c r="V5125">
        <v>63</v>
      </c>
    </row>
    <row r="5126" spans="1:22" customFormat="1" x14ac:dyDescent="0.25">
      <c r="A5126" t="s">
        <v>269</v>
      </c>
      <c r="E5126" s="1636" t="s">
        <v>174</v>
      </c>
      <c r="F5126" s="1636"/>
      <c r="G5126" s="1636"/>
      <c r="H5126" s="1740"/>
      <c r="K5126" t="s">
        <v>972</v>
      </c>
      <c r="V5126">
        <v>54</v>
      </c>
    </row>
    <row r="5127" spans="1:22" customFormat="1" ht="15" x14ac:dyDescent="0.25">
      <c r="A5127" t="s">
        <v>269</v>
      </c>
      <c r="E5127" s="1738" t="s">
        <v>4960</v>
      </c>
      <c r="F5127" s="1738"/>
      <c r="G5127" s="1738"/>
      <c r="H5127" s="1739"/>
      <c r="K5127" t="s">
        <v>972</v>
      </c>
      <c r="V5127">
        <v>331</v>
      </c>
    </row>
    <row r="5128" spans="1:22" customFormat="1" ht="15" x14ac:dyDescent="0.25">
      <c r="A5128" t="s">
        <v>269</v>
      </c>
      <c r="E5128" s="1638" t="s">
        <v>950</v>
      </c>
      <c r="F5128" s="1530"/>
      <c r="G5128" s="1530"/>
      <c r="H5128" s="1530"/>
      <c r="K5128" t="s">
        <v>974</v>
      </c>
      <c r="V5128">
        <v>11</v>
      </c>
    </row>
    <row r="5129" spans="1:22" customFormat="1" ht="15" x14ac:dyDescent="0.25">
      <c r="A5129" t="s">
        <v>269</v>
      </c>
      <c r="E5129" s="1738" t="s">
        <v>951</v>
      </c>
      <c r="F5129" s="1738"/>
      <c r="G5129" s="1738"/>
      <c r="H5129" s="1739"/>
      <c r="K5129" t="s">
        <v>972</v>
      </c>
      <c r="V5129">
        <v>280</v>
      </c>
    </row>
    <row r="5130" spans="1:22" customFormat="1" ht="15" x14ac:dyDescent="0.25">
      <c r="A5130" t="s">
        <v>269</v>
      </c>
      <c r="E5130" s="1738" t="s">
        <v>952</v>
      </c>
      <c r="F5130" s="1738"/>
      <c r="G5130" s="1738"/>
      <c r="H5130" s="1738"/>
      <c r="K5130" t="s">
        <v>972</v>
      </c>
      <c r="V5130">
        <v>411</v>
      </c>
    </row>
    <row r="5131" spans="1:22" customFormat="1" ht="15" x14ac:dyDescent="0.25">
      <c r="A5131" t="s">
        <v>269</v>
      </c>
      <c r="E5131" s="1738" t="s">
        <v>953</v>
      </c>
      <c r="F5131" s="1738"/>
      <c r="G5131" s="1738"/>
      <c r="H5131" s="1739"/>
      <c r="K5131" t="s">
        <v>972</v>
      </c>
      <c r="V5131">
        <v>386</v>
      </c>
    </row>
    <row r="5132" spans="1:22" customFormat="1" ht="15" x14ac:dyDescent="0.25">
      <c r="A5132" t="s">
        <v>269</v>
      </c>
      <c r="E5132" s="1738" t="s">
        <v>4961</v>
      </c>
      <c r="F5132" s="1738"/>
      <c r="G5132" s="1738"/>
      <c r="H5132" s="1739"/>
      <c r="K5132" t="s">
        <v>972</v>
      </c>
      <c r="V5132">
        <v>246</v>
      </c>
    </row>
    <row r="5133" spans="1:22" customFormat="1" ht="15" x14ac:dyDescent="0.25">
      <c r="A5133" t="s">
        <v>269</v>
      </c>
      <c r="E5133" s="1638" t="s">
        <v>956</v>
      </c>
      <c r="F5133" s="1530"/>
      <c r="G5133" s="1530"/>
      <c r="H5133" s="1530"/>
      <c r="K5133" t="s">
        <v>975</v>
      </c>
      <c r="V5133">
        <v>46</v>
      </c>
    </row>
    <row r="5134" spans="1:22" customFormat="1" ht="15" x14ac:dyDescent="0.25">
      <c r="A5134" t="s">
        <v>269</v>
      </c>
      <c r="E5134" s="1554" t="s">
        <v>3773</v>
      </c>
      <c r="F5134" s="1554"/>
      <c r="G5134" s="737" t="s">
        <v>777</v>
      </c>
      <c r="H5134" s="576">
        <v>17.63</v>
      </c>
      <c r="K5134" t="s">
        <v>972</v>
      </c>
      <c r="L5134" t="s">
        <v>690</v>
      </c>
      <c r="P5134" t="s">
        <v>976</v>
      </c>
      <c r="V5134">
        <v>14</v>
      </c>
    </row>
    <row r="5135" spans="1:22" customFormat="1" ht="15" x14ac:dyDescent="0.25">
      <c r="A5135" t="s">
        <v>269</v>
      </c>
      <c r="E5135" s="1554" t="s">
        <v>960</v>
      </c>
      <c r="F5135" s="1554"/>
      <c r="G5135" s="737" t="s">
        <v>777</v>
      </c>
      <c r="H5135" s="738">
        <v>0.42</v>
      </c>
      <c r="K5135" t="s">
        <v>972</v>
      </c>
      <c r="L5135" t="s">
        <v>692</v>
      </c>
      <c r="P5135" t="s">
        <v>977</v>
      </c>
      <c r="V5135">
        <v>64</v>
      </c>
    </row>
    <row r="5136" spans="1:22" customFormat="1" ht="15" x14ac:dyDescent="0.25">
      <c r="A5136" t="s">
        <v>269</v>
      </c>
      <c r="E5136" s="1554" t="s">
        <v>3688</v>
      </c>
      <c r="F5136" s="1554"/>
      <c r="G5136" s="737" t="s">
        <v>845</v>
      </c>
      <c r="H5136" s="577">
        <v>1.9300000000000001E-2</v>
      </c>
      <c r="K5136" t="s">
        <v>972</v>
      </c>
      <c r="L5136" t="s">
        <v>690</v>
      </c>
      <c r="P5136" t="s">
        <v>978</v>
      </c>
      <c r="V5136">
        <v>28</v>
      </c>
    </row>
    <row r="5137" spans="1:22" customFormat="1" ht="15" x14ac:dyDescent="0.25">
      <c r="A5137" t="s">
        <v>269</v>
      </c>
      <c r="E5137" s="1554" t="s">
        <v>910</v>
      </c>
      <c r="F5137" s="1554"/>
      <c r="G5137" s="737" t="s">
        <v>845</v>
      </c>
      <c r="H5137" s="739">
        <v>1.5E-3</v>
      </c>
      <c r="K5137" t="s">
        <v>972</v>
      </c>
      <c r="L5137" t="s">
        <v>692</v>
      </c>
      <c r="P5137" t="s">
        <v>980</v>
      </c>
      <c r="V5137">
        <v>24</v>
      </c>
    </row>
    <row r="5138" spans="1:22" customFormat="1" ht="15" x14ac:dyDescent="0.25">
      <c r="A5138" t="s">
        <v>269</v>
      </c>
      <c r="E5138" s="1554" t="s">
        <v>6519</v>
      </c>
      <c r="F5138" s="1510"/>
      <c r="G5138" s="737" t="s">
        <v>845</v>
      </c>
      <c r="H5138" s="739">
        <v>1.6000000000000001E-3</v>
      </c>
      <c r="K5138" t="s">
        <v>972</v>
      </c>
      <c r="L5138" t="s">
        <v>692</v>
      </c>
      <c r="P5138" t="s">
        <v>981</v>
      </c>
      <c r="T5138">
        <v>46022</v>
      </c>
      <c r="V5138">
        <v>142</v>
      </c>
    </row>
    <row r="5139" spans="1:22" customFormat="1" ht="15" x14ac:dyDescent="0.25">
      <c r="A5139" t="s">
        <v>269</v>
      </c>
      <c r="E5139" s="1554" t="s">
        <v>6520</v>
      </c>
      <c r="F5139" s="1510"/>
      <c r="G5139" s="737" t="s">
        <v>845</v>
      </c>
      <c r="H5139" s="739">
        <v>-2.0000000000000001E-4</v>
      </c>
      <c r="K5139" t="s">
        <v>972</v>
      </c>
      <c r="L5139" t="s">
        <v>692</v>
      </c>
      <c r="P5139" t="s">
        <v>982</v>
      </c>
      <c r="T5139">
        <v>46022</v>
      </c>
      <c r="V5139">
        <v>99</v>
      </c>
    </row>
    <row r="5140" spans="1:22" customFormat="1" ht="15" x14ac:dyDescent="0.25">
      <c r="A5140" t="s">
        <v>269</v>
      </c>
      <c r="E5140" s="1554" t="s">
        <v>6634</v>
      </c>
      <c r="F5140" s="1510"/>
      <c r="G5140" s="737" t="s">
        <v>845</v>
      </c>
      <c r="H5140" s="739">
        <v>1E-4</v>
      </c>
      <c r="K5140" t="s">
        <v>972</v>
      </c>
      <c r="L5140" t="s">
        <v>692</v>
      </c>
      <c r="P5140" t="s">
        <v>3766</v>
      </c>
      <c r="T5140">
        <v>46022</v>
      </c>
      <c r="V5140">
        <v>142</v>
      </c>
    </row>
    <row r="5141" spans="1:22" customFormat="1" ht="15" x14ac:dyDescent="0.25">
      <c r="A5141" t="s">
        <v>269</v>
      </c>
      <c r="E5141" s="1554" t="s">
        <v>243</v>
      </c>
      <c r="F5141" s="1554"/>
      <c r="G5141" s="737" t="s">
        <v>845</v>
      </c>
      <c r="H5141" s="577">
        <v>1.01E-2</v>
      </c>
      <c r="K5141" t="s">
        <v>972</v>
      </c>
      <c r="L5141" t="s">
        <v>694</v>
      </c>
      <c r="P5141" t="s">
        <v>983</v>
      </c>
      <c r="V5141">
        <v>47</v>
      </c>
    </row>
    <row r="5142" spans="1:22" customFormat="1" ht="15" x14ac:dyDescent="0.25">
      <c r="A5142" t="s">
        <v>269</v>
      </c>
      <c r="E5142" s="1554" t="s">
        <v>175</v>
      </c>
      <c r="F5142" s="1554"/>
      <c r="G5142" s="737" t="s">
        <v>845</v>
      </c>
      <c r="H5142" s="577">
        <v>7.7999999999999996E-3</v>
      </c>
      <c r="K5142" t="s">
        <v>972</v>
      </c>
      <c r="L5142" t="s">
        <v>694</v>
      </c>
      <c r="P5142" t="s">
        <v>984</v>
      </c>
      <c r="V5142">
        <v>74</v>
      </c>
    </row>
    <row r="5143" spans="1:22" customFormat="1" ht="15" x14ac:dyDescent="0.25">
      <c r="A5143" t="s">
        <v>269</v>
      </c>
      <c r="E5143" s="1737" t="s">
        <v>967</v>
      </c>
      <c r="F5143" s="1507"/>
      <c r="G5143" s="740"/>
      <c r="H5143" s="740"/>
      <c r="K5143" t="s">
        <v>985</v>
      </c>
      <c r="V5143">
        <v>48</v>
      </c>
    </row>
    <row r="5144" spans="1:22" customFormat="1" ht="15" x14ac:dyDescent="0.25">
      <c r="A5144" t="s">
        <v>269</v>
      </c>
      <c r="E5144" s="1554" t="s">
        <v>844</v>
      </c>
      <c r="F5144" s="1554"/>
      <c r="G5144" s="740" t="s">
        <v>845</v>
      </c>
      <c r="H5144" s="741">
        <v>4.1000000000000003E-3</v>
      </c>
      <c r="K5144" t="s">
        <v>972</v>
      </c>
      <c r="L5144" t="s">
        <v>968</v>
      </c>
      <c r="P5144" t="s">
        <v>986</v>
      </c>
      <c r="V5144">
        <v>55</v>
      </c>
    </row>
    <row r="5145" spans="1:22" customFormat="1" ht="15" x14ac:dyDescent="0.25">
      <c r="A5145" t="s">
        <v>269</v>
      </c>
      <c r="E5145" s="1554" t="s">
        <v>846</v>
      </c>
      <c r="F5145" s="1554"/>
      <c r="G5145" s="740" t="s">
        <v>845</v>
      </c>
      <c r="H5145" s="741">
        <v>4.0000000000000002E-4</v>
      </c>
      <c r="K5145" t="s">
        <v>972</v>
      </c>
      <c r="L5145" t="s">
        <v>968</v>
      </c>
      <c r="P5145" t="s">
        <v>986</v>
      </c>
      <c r="V5145">
        <v>65</v>
      </c>
    </row>
    <row r="5146" spans="1:22" customFormat="1" ht="15" x14ac:dyDescent="0.25">
      <c r="A5146" t="s">
        <v>269</v>
      </c>
      <c r="E5146" s="1554" t="s">
        <v>847</v>
      </c>
      <c r="F5146" s="1554"/>
      <c r="G5146" s="740" t="s">
        <v>845</v>
      </c>
      <c r="H5146" s="741">
        <v>1.5E-3</v>
      </c>
      <c r="K5146" t="s">
        <v>972</v>
      </c>
      <c r="L5146" t="s">
        <v>968</v>
      </c>
      <c r="P5146" t="s">
        <v>987</v>
      </c>
      <c r="V5146">
        <v>57</v>
      </c>
    </row>
    <row r="5147" spans="1:22" customFormat="1" ht="15" x14ac:dyDescent="0.25">
      <c r="A5147" t="s">
        <v>269</v>
      </c>
      <c r="E5147" s="1554" t="s">
        <v>848</v>
      </c>
      <c r="F5147" s="1554"/>
      <c r="G5147" s="740" t="s">
        <v>777</v>
      </c>
      <c r="H5147" s="742">
        <v>0.25</v>
      </c>
      <c r="K5147" t="s">
        <v>972</v>
      </c>
      <c r="L5147" t="s">
        <v>968</v>
      </c>
      <c r="P5147" t="s">
        <v>988</v>
      </c>
      <c r="V5147">
        <v>63</v>
      </c>
    </row>
    <row r="5148" spans="1:22" customFormat="1" x14ac:dyDescent="0.25">
      <c r="A5148" t="s">
        <v>269</v>
      </c>
      <c r="E5148" s="1636" t="s">
        <v>3767</v>
      </c>
      <c r="F5148" s="1636"/>
      <c r="G5148" s="1636"/>
      <c r="H5148" s="1740"/>
      <c r="K5148" t="s">
        <v>3768</v>
      </c>
      <c r="V5148">
        <v>53</v>
      </c>
    </row>
    <row r="5149" spans="1:22" customFormat="1" ht="15" x14ac:dyDescent="0.25">
      <c r="A5149" t="s">
        <v>269</v>
      </c>
      <c r="E5149" s="1738" t="s">
        <v>4962</v>
      </c>
      <c r="F5149" s="1738"/>
      <c r="G5149" s="1738"/>
      <c r="H5149" s="1739"/>
      <c r="K5149" t="s">
        <v>3768</v>
      </c>
      <c r="V5149">
        <v>356</v>
      </c>
    </row>
    <row r="5150" spans="1:22" customFormat="1" ht="15" x14ac:dyDescent="0.25">
      <c r="A5150" t="s">
        <v>269</v>
      </c>
      <c r="E5150" s="1638" t="s">
        <v>950</v>
      </c>
      <c r="F5150" s="1530"/>
      <c r="G5150" s="1530"/>
      <c r="H5150" s="1530"/>
      <c r="K5150" t="s">
        <v>992</v>
      </c>
      <c r="V5150">
        <v>11</v>
      </c>
    </row>
    <row r="5151" spans="1:22" customFormat="1" ht="15" x14ac:dyDescent="0.25">
      <c r="A5151" t="s">
        <v>269</v>
      </c>
      <c r="E5151" s="1738" t="s">
        <v>951</v>
      </c>
      <c r="F5151" s="1738"/>
      <c r="G5151" s="1738"/>
      <c r="H5151" s="1739"/>
      <c r="K5151" t="s">
        <v>3768</v>
      </c>
      <c r="V5151">
        <v>280</v>
      </c>
    </row>
    <row r="5152" spans="1:22" customFormat="1" ht="15" x14ac:dyDescent="0.25">
      <c r="A5152" t="s">
        <v>269</v>
      </c>
      <c r="E5152" s="1738" t="s">
        <v>1072</v>
      </c>
      <c r="F5152" s="1738"/>
      <c r="G5152" s="1738"/>
      <c r="H5152" s="1739"/>
      <c r="K5152" t="s">
        <v>3768</v>
      </c>
      <c r="V5152">
        <v>411</v>
      </c>
    </row>
    <row r="5153" spans="1:22" customFormat="1" ht="15" x14ac:dyDescent="0.25">
      <c r="A5153" t="s">
        <v>269</v>
      </c>
      <c r="E5153" s="1738" t="s">
        <v>953</v>
      </c>
      <c r="F5153" s="1738"/>
      <c r="G5153" s="1738"/>
      <c r="H5153" s="1739"/>
      <c r="K5153" t="s">
        <v>3768</v>
      </c>
      <c r="V5153">
        <v>386</v>
      </c>
    </row>
    <row r="5154" spans="1:22" customFormat="1" ht="15" x14ac:dyDescent="0.25">
      <c r="A5154" t="s">
        <v>269</v>
      </c>
      <c r="E5154" s="1516" t="s">
        <v>3771</v>
      </c>
      <c r="F5154" s="1516"/>
      <c r="G5154" s="1516"/>
      <c r="H5154" s="1516"/>
      <c r="K5154" t="s">
        <v>3768</v>
      </c>
      <c r="V5154">
        <v>677</v>
      </c>
    </row>
    <row r="5155" spans="1:22" customFormat="1" ht="15" x14ac:dyDescent="0.25">
      <c r="A5155" t="s">
        <v>269</v>
      </c>
      <c r="E5155" s="1516" t="s">
        <v>3772</v>
      </c>
      <c r="F5155" s="1516"/>
      <c r="G5155" s="1516"/>
      <c r="H5155" s="1516"/>
      <c r="K5155" t="s">
        <v>3768</v>
      </c>
      <c r="V5155">
        <v>693</v>
      </c>
    </row>
    <row r="5156" spans="1:22" customFormat="1" ht="15" x14ac:dyDescent="0.25">
      <c r="A5156" t="s">
        <v>269</v>
      </c>
      <c r="E5156" s="1738" t="s">
        <v>4961</v>
      </c>
      <c r="F5156" s="1738"/>
      <c r="G5156" s="1738"/>
      <c r="H5156" s="1739"/>
      <c r="K5156" t="s">
        <v>3768</v>
      </c>
      <c r="V5156">
        <v>246</v>
      </c>
    </row>
    <row r="5157" spans="1:22" customFormat="1" ht="15" x14ac:dyDescent="0.25">
      <c r="A5157" t="s">
        <v>269</v>
      </c>
      <c r="E5157" s="1638" t="s">
        <v>956</v>
      </c>
      <c r="F5157" s="1530"/>
      <c r="G5157" s="1530"/>
      <c r="H5157" s="1530"/>
      <c r="K5157" t="s">
        <v>995</v>
      </c>
      <c r="V5157">
        <v>46</v>
      </c>
    </row>
    <row r="5158" spans="1:22" customFormat="1" ht="15" x14ac:dyDescent="0.25">
      <c r="A5158" t="s">
        <v>269</v>
      </c>
      <c r="E5158" s="1554" t="s">
        <v>3773</v>
      </c>
      <c r="F5158" s="1554"/>
      <c r="G5158" s="737" t="s">
        <v>777</v>
      </c>
      <c r="H5158" s="576">
        <v>133.44999999999999</v>
      </c>
      <c r="K5158" t="s">
        <v>3768</v>
      </c>
      <c r="L5158" t="s">
        <v>690</v>
      </c>
      <c r="P5158" t="s">
        <v>3774</v>
      </c>
      <c r="V5158">
        <v>14</v>
      </c>
    </row>
    <row r="5159" spans="1:22" customFormat="1" ht="15" x14ac:dyDescent="0.25">
      <c r="A5159" t="s">
        <v>269</v>
      </c>
      <c r="E5159" s="1554" t="s">
        <v>3688</v>
      </c>
      <c r="F5159" s="1554"/>
      <c r="G5159" s="737" t="s">
        <v>3775</v>
      </c>
      <c r="H5159" s="577">
        <v>4.0711000000000004</v>
      </c>
      <c r="K5159" t="s">
        <v>3768</v>
      </c>
      <c r="L5159" t="s">
        <v>690</v>
      </c>
      <c r="P5159" t="s">
        <v>3776</v>
      </c>
      <c r="V5159">
        <v>28</v>
      </c>
    </row>
    <row r="5160" spans="1:22" customFormat="1" ht="15" x14ac:dyDescent="0.25">
      <c r="A5160" t="s">
        <v>269</v>
      </c>
      <c r="E5160" s="1554" t="s">
        <v>910</v>
      </c>
      <c r="F5160" s="1554"/>
      <c r="G5160" s="737" t="s">
        <v>3775</v>
      </c>
      <c r="H5160" s="739">
        <v>0.61570000000000003</v>
      </c>
      <c r="K5160" t="s">
        <v>3768</v>
      </c>
      <c r="L5160" t="s">
        <v>692</v>
      </c>
      <c r="P5160" t="s">
        <v>3777</v>
      </c>
      <c r="V5160">
        <v>24</v>
      </c>
    </row>
    <row r="5161" spans="1:22" customFormat="1" ht="15" x14ac:dyDescent="0.25">
      <c r="A5161" t="s">
        <v>269</v>
      </c>
      <c r="E5161" s="1554" t="s">
        <v>6519</v>
      </c>
      <c r="F5161" s="1510"/>
      <c r="G5161" s="737" t="s">
        <v>845</v>
      </c>
      <c r="H5161" s="739">
        <v>1.6000000000000001E-3</v>
      </c>
      <c r="K5161" t="s">
        <v>3768</v>
      </c>
      <c r="L5161" t="s">
        <v>692</v>
      </c>
      <c r="P5161" t="s">
        <v>4232</v>
      </c>
      <c r="T5161">
        <v>46022</v>
      </c>
      <c r="V5161">
        <v>142</v>
      </c>
    </row>
    <row r="5162" spans="1:22" customFormat="1" ht="15" x14ac:dyDescent="0.25">
      <c r="A5162" t="s">
        <v>269</v>
      </c>
      <c r="E5162" s="1554" t="s">
        <v>6525</v>
      </c>
      <c r="F5162" s="1510"/>
      <c r="G5162" s="737" t="s">
        <v>3775</v>
      </c>
      <c r="H5162" s="739">
        <v>-0.55900000000000005</v>
      </c>
      <c r="K5162" t="s">
        <v>3768</v>
      </c>
      <c r="L5162" t="s">
        <v>692</v>
      </c>
      <c r="P5162" t="s">
        <v>3779</v>
      </c>
      <c r="T5162">
        <v>46022</v>
      </c>
      <c r="V5162">
        <v>159</v>
      </c>
    </row>
    <row r="5163" spans="1:22" customFormat="1" ht="15" x14ac:dyDescent="0.25">
      <c r="A5163" t="s">
        <v>269</v>
      </c>
      <c r="E5163" s="1554" t="s">
        <v>6520</v>
      </c>
      <c r="F5163" s="1510"/>
      <c r="G5163" s="737" t="s">
        <v>3775</v>
      </c>
      <c r="H5163" s="739">
        <v>0.54920000000000002</v>
      </c>
      <c r="K5163" t="s">
        <v>3768</v>
      </c>
      <c r="L5163" t="s">
        <v>692</v>
      </c>
      <c r="P5163" t="s">
        <v>3779</v>
      </c>
      <c r="T5163">
        <v>46022</v>
      </c>
      <c r="V5163">
        <v>99</v>
      </c>
    </row>
    <row r="5164" spans="1:22" customFormat="1" ht="15" x14ac:dyDescent="0.25">
      <c r="A5164" t="s">
        <v>269</v>
      </c>
      <c r="E5164" s="1554" t="s">
        <v>6634</v>
      </c>
      <c r="F5164" s="1510"/>
      <c r="G5164" s="737" t="s">
        <v>3775</v>
      </c>
      <c r="H5164" s="739">
        <v>5.4899999999999997E-2</v>
      </c>
      <c r="K5164" t="s">
        <v>3768</v>
      </c>
      <c r="L5164" t="s">
        <v>692</v>
      </c>
      <c r="P5164" t="s">
        <v>3778</v>
      </c>
      <c r="T5164">
        <v>46022</v>
      </c>
      <c r="V5164">
        <v>142</v>
      </c>
    </row>
    <row r="5165" spans="1:22" customFormat="1" ht="15" x14ac:dyDescent="0.25">
      <c r="A5165" t="s">
        <v>269</v>
      </c>
      <c r="E5165" s="1554" t="s">
        <v>243</v>
      </c>
      <c r="F5165" s="1554"/>
      <c r="G5165" s="737" t="s">
        <v>3775</v>
      </c>
      <c r="H5165" s="577">
        <v>4.4211999999999998</v>
      </c>
      <c r="K5165" t="s">
        <v>3768</v>
      </c>
      <c r="L5165" t="s">
        <v>694</v>
      </c>
      <c r="P5165" t="s">
        <v>3780</v>
      </c>
      <c r="V5165">
        <v>47</v>
      </c>
    </row>
    <row r="5166" spans="1:22" customFormat="1" ht="15" x14ac:dyDescent="0.25">
      <c r="A5166" t="s">
        <v>269</v>
      </c>
      <c r="E5166" s="1554" t="s">
        <v>175</v>
      </c>
      <c r="F5166" s="1554"/>
      <c r="G5166" s="737" t="s">
        <v>3775</v>
      </c>
      <c r="H5166" s="577">
        <v>3.3839000000000001</v>
      </c>
      <c r="K5166" t="s">
        <v>3768</v>
      </c>
      <c r="L5166" t="s">
        <v>694</v>
      </c>
      <c r="P5166" t="s">
        <v>3781</v>
      </c>
      <c r="V5166">
        <v>74</v>
      </c>
    </row>
    <row r="5167" spans="1:22" customFormat="1" ht="15" x14ac:dyDescent="0.25">
      <c r="A5167" t="s">
        <v>269</v>
      </c>
      <c r="E5167" s="1737" t="s">
        <v>967</v>
      </c>
      <c r="F5167" s="1507"/>
      <c r="G5167" s="740"/>
      <c r="H5167" s="740"/>
      <c r="K5167" t="s">
        <v>1003</v>
      </c>
      <c r="V5167">
        <v>48</v>
      </c>
    </row>
    <row r="5168" spans="1:22" customFormat="1" ht="15" x14ac:dyDescent="0.25">
      <c r="A5168" t="s">
        <v>269</v>
      </c>
      <c r="E5168" s="1554" t="s">
        <v>844</v>
      </c>
      <c r="F5168" s="1554"/>
      <c r="G5168" s="740" t="s">
        <v>845</v>
      </c>
      <c r="H5168" s="741">
        <v>4.1000000000000003E-3</v>
      </c>
      <c r="K5168" t="s">
        <v>3768</v>
      </c>
      <c r="L5168" t="s">
        <v>968</v>
      </c>
      <c r="P5168" t="s">
        <v>3782</v>
      </c>
      <c r="V5168">
        <v>55</v>
      </c>
    </row>
    <row r="5169" spans="1:22" customFormat="1" ht="15" x14ac:dyDescent="0.25">
      <c r="A5169" t="s">
        <v>269</v>
      </c>
      <c r="E5169" s="1554" t="s">
        <v>846</v>
      </c>
      <c r="F5169" s="1554"/>
      <c r="G5169" s="740" t="s">
        <v>845</v>
      </c>
      <c r="H5169" s="741">
        <v>4.0000000000000002E-4</v>
      </c>
      <c r="K5169" t="s">
        <v>3768</v>
      </c>
      <c r="L5169" t="s">
        <v>968</v>
      </c>
      <c r="P5169" t="s">
        <v>3782</v>
      </c>
      <c r="V5169">
        <v>65</v>
      </c>
    </row>
    <row r="5170" spans="1:22" customFormat="1" ht="15" x14ac:dyDescent="0.25">
      <c r="A5170" t="s">
        <v>269</v>
      </c>
      <c r="E5170" s="1554" t="s">
        <v>847</v>
      </c>
      <c r="F5170" s="1554"/>
      <c r="G5170" s="740" t="s">
        <v>845</v>
      </c>
      <c r="H5170" s="741">
        <v>1.5E-3</v>
      </c>
      <c r="K5170" t="s">
        <v>3768</v>
      </c>
      <c r="L5170" t="s">
        <v>968</v>
      </c>
      <c r="P5170" t="s">
        <v>3783</v>
      </c>
      <c r="V5170">
        <v>57</v>
      </c>
    </row>
    <row r="5171" spans="1:22" customFormat="1" ht="15" x14ac:dyDescent="0.25">
      <c r="A5171" t="s">
        <v>269</v>
      </c>
      <c r="E5171" s="1554" t="s">
        <v>848</v>
      </c>
      <c r="F5171" s="1554"/>
      <c r="G5171" s="740" t="s">
        <v>777</v>
      </c>
      <c r="H5171" s="742">
        <v>0.25</v>
      </c>
      <c r="K5171" t="s">
        <v>3768</v>
      </c>
      <c r="L5171" t="s">
        <v>968</v>
      </c>
      <c r="P5171" t="s">
        <v>3784</v>
      </c>
      <c r="V5171">
        <v>63</v>
      </c>
    </row>
    <row r="5172" spans="1:22" customFormat="1" x14ac:dyDescent="0.25">
      <c r="A5172" t="s">
        <v>269</v>
      </c>
      <c r="E5172" s="1636" t="s">
        <v>189</v>
      </c>
      <c r="F5172" s="1636"/>
      <c r="G5172" s="1636"/>
      <c r="H5172" s="1740"/>
      <c r="K5172" t="s">
        <v>4234</v>
      </c>
      <c r="V5172">
        <v>32</v>
      </c>
    </row>
    <row r="5173" spans="1:22" customFormat="1" ht="15" x14ac:dyDescent="0.25">
      <c r="A5173" t="s">
        <v>269</v>
      </c>
      <c r="E5173" s="1738" t="s">
        <v>4963</v>
      </c>
      <c r="F5173" s="1738"/>
      <c r="G5173" s="1738"/>
      <c r="H5173" s="1739"/>
      <c r="K5173" t="s">
        <v>4234</v>
      </c>
      <c r="V5173">
        <v>321</v>
      </c>
    </row>
    <row r="5174" spans="1:22" customFormat="1" ht="15" x14ac:dyDescent="0.25">
      <c r="A5174" t="s">
        <v>269</v>
      </c>
      <c r="E5174" s="1638" t="s">
        <v>950</v>
      </c>
      <c r="F5174" s="1530"/>
      <c r="G5174" s="1530"/>
      <c r="H5174" s="1530"/>
      <c r="K5174" t="s">
        <v>1010</v>
      </c>
      <c r="V5174">
        <v>11</v>
      </c>
    </row>
    <row r="5175" spans="1:22" customFormat="1" ht="15" x14ac:dyDescent="0.25">
      <c r="A5175" t="s">
        <v>269</v>
      </c>
      <c r="E5175" s="1738" t="s">
        <v>951</v>
      </c>
      <c r="F5175" s="1738"/>
      <c r="G5175" s="1738"/>
      <c r="H5175" s="1739"/>
      <c r="K5175" t="s">
        <v>4234</v>
      </c>
      <c r="V5175">
        <v>280</v>
      </c>
    </row>
    <row r="5176" spans="1:22" customFormat="1" ht="15" x14ac:dyDescent="0.25">
      <c r="A5176" t="s">
        <v>269</v>
      </c>
      <c r="E5176" s="1738" t="s">
        <v>1072</v>
      </c>
      <c r="F5176" s="1738"/>
      <c r="G5176" s="1738"/>
      <c r="H5176" s="1739"/>
      <c r="K5176" t="s">
        <v>4234</v>
      </c>
      <c r="V5176">
        <v>411</v>
      </c>
    </row>
    <row r="5177" spans="1:22" customFormat="1" ht="15" x14ac:dyDescent="0.25">
      <c r="A5177" t="s">
        <v>269</v>
      </c>
      <c r="E5177" s="1738" t="s">
        <v>953</v>
      </c>
      <c r="F5177" s="1738"/>
      <c r="G5177" s="1738"/>
      <c r="H5177" s="1739"/>
      <c r="K5177" t="s">
        <v>4234</v>
      </c>
      <c r="V5177">
        <v>386</v>
      </c>
    </row>
    <row r="5178" spans="1:22" customFormat="1" ht="15" x14ac:dyDescent="0.25">
      <c r="A5178" t="s">
        <v>269</v>
      </c>
      <c r="E5178" s="1516" t="s">
        <v>3771</v>
      </c>
      <c r="F5178" s="1516"/>
      <c r="G5178" s="1516"/>
      <c r="H5178" s="1516"/>
      <c r="K5178" t="s">
        <v>4234</v>
      </c>
      <c r="V5178">
        <v>677</v>
      </c>
    </row>
    <row r="5179" spans="1:22" customFormat="1" ht="15" x14ac:dyDescent="0.25">
      <c r="A5179" t="s">
        <v>269</v>
      </c>
      <c r="E5179" s="1516" t="s">
        <v>3772</v>
      </c>
      <c r="F5179" s="1516"/>
      <c r="G5179" s="1516"/>
      <c r="H5179" s="1516"/>
      <c r="K5179" t="s">
        <v>4234</v>
      </c>
      <c r="V5179">
        <v>693</v>
      </c>
    </row>
    <row r="5180" spans="1:22" customFormat="1" ht="15" x14ac:dyDescent="0.25">
      <c r="A5180" t="s">
        <v>269</v>
      </c>
      <c r="E5180" s="1738" t="s">
        <v>4961</v>
      </c>
      <c r="F5180" s="1738"/>
      <c r="G5180" s="1738"/>
      <c r="H5180" s="1739"/>
      <c r="K5180" t="s">
        <v>4234</v>
      </c>
      <c r="V5180">
        <v>246</v>
      </c>
    </row>
    <row r="5181" spans="1:22" customFormat="1" ht="15" x14ac:dyDescent="0.25">
      <c r="A5181" t="s">
        <v>269</v>
      </c>
      <c r="E5181" s="1638" t="s">
        <v>956</v>
      </c>
      <c r="F5181" s="1530"/>
      <c r="G5181" s="1530"/>
      <c r="H5181" s="1530"/>
      <c r="K5181" t="s">
        <v>1011</v>
      </c>
      <c r="V5181">
        <v>46</v>
      </c>
    </row>
    <row r="5182" spans="1:22" customFormat="1" ht="15" x14ac:dyDescent="0.25">
      <c r="A5182" t="s">
        <v>269</v>
      </c>
      <c r="E5182" s="1554" t="s">
        <v>3773</v>
      </c>
      <c r="F5182" s="1554"/>
      <c r="G5182" s="737" t="s">
        <v>777</v>
      </c>
      <c r="H5182" s="576">
        <v>5867.69</v>
      </c>
      <c r="K5182" t="s">
        <v>4234</v>
      </c>
      <c r="L5182" t="s">
        <v>690</v>
      </c>
      <c r="P5182" t="s">
        <v>4236</v>
      </c>
      <c r="V5182">
        <v>14</v>
      </c>
    </row>
    <row r="5183" spans="1:22" customFormat="1" ht="15" x14ac:dyDescent="0.25">
      <c r="A5183" t="s">
        <v>269</v>
      </c>
      <c r="E5183" s="1554" t="s">
        <v>3688</v>
      </c>
      <c r="F5183" s="1554"/>
      <c r="G5183" s="737" t="s">
        <v>3775</v>
      </c>
      <c r="H5183" s="577">
        <v>1.8145</v>
      </c>
      <c r="K5183" t="s">
        <v>4234</v>
      </c>
      <c r="L5183" t="s">
        <v>690</v>
      </c>
      <c r="P5183" t="s">
        <v>4237</v>
      </c>
      <c r="V5183">
        <v>28</v>
      </c>
    </row>
    <row r="5184" spans="1:22" customFormat="1" ht="15" x14ac:dyDescent="0.25">
      <c r="A5184" t="s">
        <v>269</v>
      </c>
      <c r="E5184" s="1554" t="s">
        <v>910</v>
      </c>
      <c r="F5184" s="1554"/>
      <c r="G5184" s="737" t="s">
        <v>3775</v>
      </c>
      <c r="H5184" s="739">
        <v>0.74180000000000001</v>
      </c>
      <c r="K5184" t="s">
        <v>4234</v>
      </c>
      <c r="L5184" t="s">
        <v>692</v>
      </c>
      <c r="P5184" t="s">
        <v>4238</v>
      </c>
      <c r="V5184">
        <v>24</v>
      </c>
    </row>
    <row r="5185" spans="1:22" customFormat="1" ht="15" x14ac:dyDescent="0.25">
      <c r="A5185" t="s">
        <v>269</v>
      </c>
      <c r="E5185" s="1554" t="s">
        <v>6520</v>
      </c>
      <c r="F5185" s="1510"/>
      <c r="G5185" s="737" t="s">
        <v>3775</v>
      </c>
      <c r="H5185" s="739">
        <v>-4.6800000000000001E-2</v>
      </c>
      <c r="K5185" t="s">
        <v>4234</v>
      </c>
      <c r="L5185" t="s">
        <v>692</v>
      </c>
      <c r="P5185" t="s">
        <v>4240</v>
      </c>
      <c r="T5185">
        <v>46022</v>
      </c>
      <c r="V5185">
        <v>99</v>
      </c>
    </row>
    <row r="5186" spans="1:22" customFormat="1" ht="15" x14ac:dyDescent="0.25">
      <c r="A5186" t="s">
        <v>269</v>
      </c>
      <c r="E5186" s="1554" t="s">
        <v>243</v>
      </c>
      <c r="F5186" s="1554"/>
      <c r="G5186" s="737" t="s">
        <v>3775</v>
      </c>
      <c r="H5186" s="577">
        <v>5.327</v>
      </c>
      <c r="K5186" t="s">
        <v>4234</v>
      </c>
      <c r="L5186" t="s">
        <v>694</v>
      </c>
      <c r="P5186" t="s">
        <v>4241</v>
      </c>
      <c r="V5186">
        <v>47</v>
      </c>
    </row>
    <row r="5187" spans="1:22" customFormat="1" ht="15" x14ac:dyDescent="0.25">
      <c r="A5187" t="s">
        <v>269</v>
      </c>
      <c r="E5187" s="1554" t="s">
        <v>175</v>
      </c>
      <c r="F5187" s="1554"/>
      <c r="G5187" s="737" t="s">
        <v>3775</v>
      </c>
      <c r="H5187" s="577">
        <v>4.0773000000000001</v>
      </c>
      <c r="K5187" t="s">
        <v>4234</v>
      </c>
      <c r="L5187" t="s">
        <v>694</v>
      </c>
      <c r="P5187" t="s">
        <v>4242</v>
      </c>
      <c r="V5187">
        <v>74</v>
      </c>
    </row>
    <row r="5188" spans="1:22" customFormat="1" ht="15" x14ac:dyDescent="0.25">
      <c r="A5188" t="s">
        <v>269</v>
      </c>
      <c r="E5188" s="1737" t="s">
        <v>967</v>
      </c>
      <c r="F5188" s="1507"/>
      <c r="G5188" s="740"/>
      <c r="H5188" s="740"/>
      <c r="K5188" t="s">
        <v>1019</v>
      </c>
      <c r="V5188">
        <v>48</v>
      </c>
    </row>
    <row r="5189" spans="1:22" customFormat="1" ht="15" x14ac:dyDescent="0.25">
      <c r="A5189" t="s">
        <v>269</v>
      </c>
      <c r="E5189" s="1554" t="s">
        <v>844</v>
      </c>
      <c r="F5189" s="1554"/>
      <c r="G5189" s="740" t="s">
        <v>845</v>
      </c>
      <c r="H5189" s="741">
        <v>4.1000000000000003E-3</v>
      </c>
      <c r="K5189" t="s">
        <v>4234</v>
      </c>
      <c r="L5189" t="s">
        <v>968</v>
      </c>
      <c r="P5189" t="s">
        <v>4243</v>
      </c>
      <c r="V5189">
        <v>55</v>
      </c>
    </row>
    <row r="5190" spans="1:22" customFormat="1" ht="15" x14ac:dyDescent="0.25">
      <c r="A5190" t="s">
        <v>269</v>
      </c>
      <c r="E5190" s="1554" t="s">
        <v>846</v>
      </c>
      <c r="F5190" s="1554"/>
      <c r="G5190" s="740" t="s">
        <v>845</v>
      </c>
      <c r="H5190" s="741">
        <v>4.0000000000000002E-4</v>
      </c>
      <c r="K5190" t="s">
        <v>4234</v>
      </c>
      <c r="L5190" t="s">
        <v>968</v>
      </c>
      <c r="P5190" t="s">
        <v>4243</v>
      </c>
      <c r="V5190">
        <v>65</v>
      </c>
    </row>
    <row r="5191" spans="1:22" customFormat="1" ht="15" x14ac:dyDescent="0.25">
      <c r="A5191" t="s">
        <v>269</v>
      </c>
      <c r="E5191" s="1554" t="s">
        <v>847</v>
      </c>
      <c r="F5191" s="1554"/>
      <c r="G5191" s="740" t="s">
        <v>845</v>
      </c>
      <c r="H5191" s="741">
        <v>1.5E-3</v>
      </c>
      <c r="K5191" t="s">
        <v>4234</v>
      </c>
      <c r="L5191" t="s">
        <v>968</v>
      </c>
      <c r="P5191" t="s">
        <v>4244</v>
      </c>
      <c r="V5191">
        <v>57</v>
      </c>
    </row>
    <row r="5192" spans="1:22" customFormat="1" ht="15" x14ac:dyDescent="0.25">
      <c r="A5192" t="s">
        <v>269</v>
      </c>
      <c r="E5192" s="1554" t="s">
        <v>848</v>
      </c>
      <c r="F5192" s="1554"/>
      <c r="G5192" s="740" t="s">
        <v>777</v>
      </c>
      <c r="H5192" s="742">
        <v>0.25</v>
      </c>
      <c r="K5192" t="s">
        <v>4234</v>
      </c>
      <c r="L5192" t="s">
        <v>968</v>
      </c>
      <c r="P5192" t="s">
        <v>4245</v>
      </c>
      <c r="V5192">
        <v>63</v>
      </c>
    </row>
    <row r="5193" spans="1:22" customFormat="1" x14ac:dyDescent="0.25">
      <c r="A5193" t="s">
        <v>269</v>
      </c>
      <c r="E5193" s="1636" t="s">
        <v>194</v>
      </c>
      <c r="F5193" s="1636"/>
      <c r="G5193" s="1636"/>
      <c r="H5193" s="1740"/>
      <c r="K5193" t="s">
        <v>1023</v>
      </c>
      <c r="V5193">
        <v>47</v>
      </c>
    </row>
    <row r="5194" spans="1:22" customFormat="1" ht="15" x14ac:dyDescent="0.25">
      <c r="A5194" t="s">
        <v>269</v>
      </c>
      <c r="E5194" s="1738" t="s">
        <v>4964</v>
      </c>
      <c r="F5194" s="1738"/>
      <c r="G5194" s="1738"/>
      <c r="H5194" s="1739"/>
      <c r="K5194" t="s">
        <v>1023</v>
      </c>
      <c r="V5194">
        <v>619</v>
      </c>
    </row>
    <row r="5195" spans="1:22" customFormat="1" ht="15" x14ac:dyDescent="0.25">
      <c r="A5195" t="s">
        <v>269</v>
      </c>
      <c r="E5195" s="1638" t="s">
        <v>950</v>
      </c>
      <c r="F5195" s="1530"/>
      <c r="G5195" s="1530"/>
      <c r="H5195" s="1530"/>
      <c r="K5195" t="s">
        <v>1025</v>
      </c>
      <c r="V5195">
        <v>11</v>
      </c>
    </row>
    <row r="5196" spans="1:22" customFormat="1" ht="15" x14ac:dyDescent="0.25">
      <c r="A5196" t="s">
        <v>269</v>
      </c>
      <c r="E5196" s="1738" t="s">
        <v>951</v>
      </c>
      <c r="F5196" s="1738"/>
      <c r="G5196" s="1738"/>
      <c r="H5196" s="1739"/>
      <c r="K5196" t="s">
        <v>1023</v>
      </c>
      <c r="V5196">
        <v>280</v>
      </c>
    </row>
    <row r="5197" spans="1:22" customFormat="1" ht="15" x14ac:dyDescent="0.25">
      <c r="A5197" t="s">
        <v>269</v>
      </c>
      <c r="E5197" s="1738" t="s">
        <v>1072</v>
      </c>
      <c r="F5197" s="1738"/>
      <c r="G5197" s="1738"/>
      <c r="H5197" s="1739"/>
      <c r="K5197" t="s">
        <v>1023</v>
      </c>
      <c r="V5197">
        <v>411</v>
      </c>
    </row>
    <row r="5198" spans="1:22" customFormat="1" ht="15" x14ac:dyDescent="0.25">
      <c r="A5198" t="s">
        <v>269</v>
      </c>
      <c r="E5198" s="1738" t="s">
        <v>953</v>
      </c>
      <c r="F5198" s="1738"/>
      <c r="G5198" s="1738"/>
      <c r="H5198" s="1739"/>
      <c r="K5198" t="s">
        <v>1023</v>
      </c>
      <c r="V5198">
        <v>386</v>
      </c>
    </row>
    <row r="5199" spans="1:22" customFormat="1" ht="15" x14ac:dyDescent="0.25">
      <c r="A5199" t="s">
        <v>269</v>
      </c>
      <c r="E5199" s="1738" t="s">
        <v>4961</v>
      </c>
      <c r="F5199" s="1738"/>
      <c r="G5199" s="1738"/>
      <c r="H5199" s="1739"/>
      <c r="K5199" t="s">
        <v>1023</v>
      </c>
      <c r="V5199">
        <v>246</v>
      </c>
    </row>
    <row r="5200" spans="1:22" customFormat="1" ht="15" x14ac:dyDescent="0.25">
      <c r="A5200" t="s">
        <v>269</v>
      </c>
      <c r="E5200" s="1638" t="s">
        <v>956</v>
      </c>
      <c r="F5200" s="1530"/>
      <c r="G5200" s="1530"/>
      <c r="H5200" s="1530"/>
      <c r="K5200" t="s">
        <v>1026</v>
      </c>
      <c r="V5200">
        <v>46</v>
      </c>
    </row>
    <row r="5201" spans="1:22" customFormat="1" ht="15" x14ac:dyDescent="0.25">
      <c r="A5201" t="s">
        <v>269</v>
      </c>
      <c r="E5201" s="1554" t="s">
        <v>3893</v>
      </c>
      <c r="F5201" s="1554"/>
      <c r="G5201" s="737" t="s">
        <v>777</v>
      </c>
      <c r="H5201" s="576">
        <v>7.73</v>
      </c>
      <c r="K5201" t="s">
        <v>1023</v>
      </c>
      <c r="L5201" t="s">
        <v>690</v>
      </c>
      <c r="P5201" t="s">
        <v>1027</v>
      </c>
      <c r="V5201">
        <v>29</v>
      </c>
    </row>
    <row r="5202" spans="1:22" customFormat="1" ht="15" x14ac:dyDescent="0.25">
      <c r="A5202" t="s">
        <v>269</v>
      </c>
      <c r="E5202" s="1554" t="s">
        <v>3688</v>
      </c>
      <c r="F5202" s="1554"/>
      <c r="G5202" s="737" t="s">
        <v>845</v>
      </c>
      <c r="H5202" s="577">
        <v>1.5299999999999999E-2</v>
      </c>
      <c r="K5202" t="s">
        <v>1023</v>
      </c>
      <c r="L5202" t="s">
        <v>690</v>
      </c>
      <c r="P5202" t="s">
        <v>1029</v>
      </c>
      <c r="V5202">
        <v>28</v>
      </c>
    </row>
    <row r="5203" spans="1:22" customFormat="1" ht="15" x14ac:dyDescent="0.25">
      <c r="A5203" t="s">
        <v>269</v>
      </c>
      <c r="E5203" s="1554" t="s">
        <v>910</v>
      </c>
      <c r="F5203" s="1554"/>
      <c r="G5203" s="737" t="s">
        <v>845</v>
      </c>
      <c r="H5203" s="739">
        <v>1.6000000000000001E-3</v>
      </c>
      <c r="K5203" t="s">
        <v>1023</v>
      </c>
      <c r="L5203" t="s">
        <v>692</v>
      </c>
      <c r="P5203" t="s">
        <v>1030</v>
      </c>
      <c r="V5203">
        <v>24</v>
      </c>
    </row>
    <row r="5204" spans="1:22" customFormat="1" ht="15" x14ac:dyDescent="0.25">
      <c r="A5204" t="s">
        <v>269</v>
      </c>
      <c r="E5204" s="1554" t="s">
        <v>6519</v>
      </c>
      <c r="F5204" s="1510"/>
      <c r="G5204" s="737" t="s">
        <v>845</v>
      </c>
      <c r="H5204" s="739">
        <v>1.6000000000000001E-3</v>
      </c>
      <c r="K5204" t="s">
        <v>1023</v>
      </c>
      <c r="L5204" t="s">
        <v>692</v>
      </c>
      <c r="P5204" t="s">
        <v>1031</v>
      </c>
      <c r="T5204">
        <v>46022</v>
      </c>
      <c r="V5204">
        <v>142</v>
      </c>
    </row>
    <row r="5205" spans="1:22" customFormat="1" ht="15" x14ac:dyDescent="0.25">
      <c r="A5205" t="s">
        <v>269</v>
      </c>
      <c r="E5205" s="1554" t="s">
        <v>6520</v>
      </c>
      <c r="F5205" s="1510"/>
      <c r="G5205" s="737" t="s">
        <v>845</v>
      </c>
      <c r="H5205" s="739">
        <v>-1E-4</v>
      </c>
      <c r="K5205" t="s">
        <v>1023</v>
      </c>
      <c r="L5205" t="s">
        <v>692</v>
      </c>
      <c r="P5205" t="s">
        <v>1032</v>
      </c>
      <c r="T5205">
        <v>46022</v>
      </c>
      <c r="V5205">
        <v>99</v>
      </c>
    </row>
    <row r="5206" spans="1:22" customFormat="1" ht="15" x14ac:dyDescent="0.25">
      <c r="A5206" t="s">
        <v>269</v>
      </c>
      <c r="E5206" s="1554" t="s">
        <v>6634</v>
      </c>
      <c r="F5206" s="1510"/>
      <c r="G5206" s="737" t="s">
        <v>845</v>
      </c>
      <c r="H5206" s="739">
        <v>1E-4</v>
      </c>
      <c r="K5206" t="s">
        <v>1023</v>
      </c>
      <c r="L5206" t="s">
        <v>692</v>
      </c>
      <c r="P5206" t="s">
        <v>4520</v>
      </c>
      <c r="T5206">
        <v>46022</v>
      </c>
      <c r="V5206">
        <v>142</v>
      </c>
    </row>
    <row r="5207" spans="1:22" customFormat="1" ht="15" x14ac:dyDescent="0.25">
      <c r="A5207" t="s">
        <v>269</v>
      </c>
      <c r="E5207" s="1554" t="s">
        <v>243</v>
      </c>
      <c r="F5207" s="1554"/>
      <c r="G5207" s="737" t="s">
        <v>845</v>
      </c>
      <c r="H5207" s="577">
        <v>1.12E-2</v>
      </c>
      <c r="K5207" t="s">
        <v>1023</v>
      </c>
      <c r="L5207" t="s">
        <v>694</v>
      </c>
      <c r="P5207" t="s">
        <v>1033</v>
      </c>
      <c r="V5207">
        <v>47</v>
      </c>
    </row>
    <row r="5208" spans="1:22" customFormat="1" ht="15" x14ac:dyDescent="0.25">
      <c r="A5208" t="s">
        <v>269</v>
      </c>
      <c r="E5208" s="1554" t="s">
        <v>175</v>
      </c>
      <c r="F5208" s="1554"/>
      <c r="G5208" s="737" t="s">
        <v>845</v>
      </c>
      <c r="H5208" s="577">
        <v>8.6E-3</v>
      </c>
      <c r="K5208" t="s">
        <v>1023</v>
      </c>
      <c r="L5208" t="s">
        <v>694</v>
      </c>
      <c r="P5208" t="s">
        <v>1034</v>
      </c>
      <c r="V5208">
        <v>74</v>
      </c>
    </row>
    <row r="5209" spans="1:22" customFormat="1" ht="15" x14ac:dyDescent="0.25">
      <c r="A5209" t="s">
        <v>269</v>
      </c>
      <c r="E5209" s="1737" t="s">
        <v>967</v>
      </c>
      <c r="F5209" s="1507"/>
      <c r="G5209" s="740"/>
      <c r="H5209" s="740"/>
      <c r="K5209" t="s">
        <v>1035</v>
      </c>
      <c r="V5209">
        <v>48</v>
      </c>
    </row>
    <row r="5210" spans="1:22" customFormat="1" ht="15" x14ac:dyDescent="0.25">
      <c r="A5210" t="s">
        <v>269</v>
      </c>
      <c r="E5210" s="1554" t="s">
        <v>844</v>
      </c>
      <c r="F5210" s="1554"/>
      <c r="G5210" s="740" t="s">
        <v>845</v>
      </c>
      <c r="H5210" s="741">
        <v>4.1000000000000003E-3</v>
      </c>
      <c r="K5210" t="s">
        <v>1023</v>
      </c>
      <c r="L5210" t="s">
        <v>968</v>
      </c>
      <c r="P5210" t="s">
        <v>1036</v>
      </c>
      <c r="V5210">
        <v>55</v>
      </c>
    </row>
    <row r="5211" spans="1:22" customFormat="1" ht="15" x14ac:dyDescent="0.25">
      <c r="A5211" t="s">
        <v>269</v>
      </c>
      <c r="E5211" s="1554" t="s">
        <v>846</v>
      </c>
      <c r="F5211" s="1554"/>
      <c r="G5211" s="740" t="s">
        <v>845</v>
      </c>
      <c r="H5211" s="741">
        <v>4.0000000000000002E-4</v>
      </c>
      <c r="K5211" t="s">
        <v>1023</v>
      </c>
      <c r="L5211" t="s">
        <v>968</v>
      </c>
      <c r="P5211" t="s">
        <v>1036</v>
      </c>
      <c r="V5211">
        <v>65</v>
      </c>
    </row>
    <row r="5212" spans="1:22" customFormat="1" ht="15" x14ac:dyDescent="0.25">
      <c r="A5212" t="s">
        <v>269</v>
      </c>
      <c r="E5212" s="1554" t="s">
        <v>847</v>
      </c>
      <c r="F5212" s="1554"/>
      <c r="G5212" s="740" t="s">
        <v>845</v>
      </c>
      <c r="H5212" s="741">
        <v>1.5E-3</v>
      </c>
      <c r="K5212" t="s">
        <v>1023</v>
      </c>
      <c r="L5212" t="s">
        <v>968</v>
      </c>
      <c r="P5212" t="s">
        <v>1037</v>
      </c>
      <c r="V5212">
        <v>57</v>
      </c>
    </row>
    <row r="5213" spans="1:22" customFormat="1" ht="15" x14ac:dyDescent="0.25">
      <c r="A5213" t="s">
        <v>269</v>
      </c>
      <c r="E5213" s="1554" t="s">
        <v>848</v>
      </c>
      <c r="F5213" s="1554"/>
      <c r="G5213" s="740" t="s">
        <v>777</v>
      </c>
      <c r="H5213" s="742">
        <v>0.25</v>
      </c>
      <c r="K5213" t="s">
        <v>1023</v>
      </c>
      <c r="L5213" t="s">
        <v>968</v>
      </c>
      <c r="P5213" t="s">
        <v>1038</v>
      </c>
      <c r="V5213">
        <v>63</v>
      </c>
    </row>
    <row r="5214" spans="1:22" customFormat="1" x14ac:dyDescent="0.25">
      <c r="A5214" t="s">
        <v>269</v>
      </c>
      <c r="E5214" s="1636" t="s">
        <v>4002</v>
      </c>
      <c r="F5214" s="1636"/>
      <c r="G5214" s="1636"/>
      <c r="H5214" s="1740"/>
      <c r="K5214" t="s">
        <v>4259</v>
      </c>
      <c r="V5214">
        <v>36</v>
      </c>
    </row>
    <row r="5215" spans="1:22" customFormat="1" ht="15" x14ac:dyDescent="0.25">
      <c r="A5215" t="s">
        <v>269</v>
      </c>
      <c r="E5215" s="1738" t="s">
        <v>4965</v>
      </c>
      <c r="F5215" s="1738"/>
      <c r="G5215" s="1738"/>
      <c r="H5215" s="1739"/>
      <c r="K5215" t="s">
        <v>4259</v>
      </c>
      <c r="V5215">
        <v>498</v>
      </c>
    </row>
    <row r="5216" spans="1:22" customFormat="1" ht="15" x14ac:dyDescent="0.25">
      <c r="A5216" t="s">
        <v>269</v>
      </c>
      <c r="E5216" s="1638" t="s">
        <v>950</v>
      </c>
      <c r="F5216" s="1530"/>
      <c r="G5216" s="1530"/>
      <c r="H5216" s="1530"/>
      <c r="K5216" t="s">
        <v>1041</v>
      </c>
      <c r="V5216">
        <v>11</v>
      </c>
    </row>
    <row r="5217" spans="1:22" customFormat="1" ht="15" x14ac:dyDescent="0.25">
      <c r="A5217" t="s">
        <v>269</v>
      </c>
      <c r="E5217" s="1738" t="s">
        <v>951</v>
      </c>
      <c r="F5217" s="1738"/>
      <c r="G5217" s="1738"/>
      <c r="H5217" s="1739"/>
      <c r="K5217" t="s">
        <v>4259</v>
      </c>
      <c r="V5217">
        <v>280</v>
      </c>
    </row>
    <row r="5218" spans="1:22" customFormat="1" ht="15" x14ac:dyDescent="0.25">
      <c r="A5218" t="s">
        <v>269</v>
      </c>
      <c r="E5218" s="1738" t="s">
        <v>1072</v>
      </c>
      <c r="F5218" s="1738"/>
      <c r="G5218" s="1738"/>
      <c r="H5218" s="1739"/>
      <c r="K5218" t="s">
        <v>4259</v>
      </c>
      <c r="V5218">
        <v>411</v>
      </c>
    </row>
    <row r="5219" spans="1:22" customFormat="1" ht="15" x14ac:dyDescent="0.25">
      <c r="A5219" t="s">
        <v>269</v>
      </c>
      <c r="E5219" s="1738" t="s">
        <v>953</v>
      </c>
      <c r="F5219" s="1738"/>
      <c r="G5219" s="1738"/>
      <c r="H5219" s="1739"/>
      <c r="K5219" t="s">
        <v>4259</v>
      </c>
      <c r="V5219">
        <v>386</v>
      </c>
    </row>
    <row r="5220" spans="1:22" customFormat="1" ht="15" x14ac:dyDescent="0.25">
      <c r="A5220" t="s">
        <v>269</v>
      </c>
      <c r="E5220" s="1738" t="s">
        <v>4961</v>
      </c>
      <c r="F5220" s="1738"/>
      <c r="G5220" s="1738"/>
      <c r="H5220" s="1739"/>
      <c r="K5220" t="s">
        <v>4259</v>
      </c>
      <c r="V5220">
        <v>246</v>
      </c>
    </row>
    <row r="5221" spans="1:22" customFormat="1" ht="15" x14ac:dyDescent="0.25">
      <c r="A5221" t="s">
        <v>269</v>
      </c>
      <c r="E5221" s="1638" t="s">
        <v>4966</v>
      </c>
      <c r="F5221" s="1530"/>
      <c r="G5221" s="1530"/>
      <c r="H5221" s="1530"/>
      <c r="K5221" t="s">
        <v>4967</v>
      </c>
      <c r="V5221">
        <v>25</v>
      </c>
    </row>
    <row r="5222" spans="1:22" customFormat="1" ht="15" x14ac:dyDescent="0.25">
      <c r="A5222" t="s">
        <v>269</v>
      </c>
      <c r="E5222" s="1741" t="s">
        <v>4968</v>
      </c>
      <c r="F5222" s="1741"/>
      <c r="G5222" s="1741"/>
      <c r="H5222" s="1742"/>
      <c r="K5222" t="s">
        <v>4259</v>
      </c>
      <c r="V5222">
        <v>222</v>
      </c>
    </row>
    <row r="5223" spans="1:22" customFormat="1" ht="15" x14ac:dyDescent="0.25">
      <c r="A5223" t="s">
        <v>269</v>
      </c>
      <c r="E5223" s="1741" t="s">
        <v>4969</v>
      </c>
      <c r="F5223" s="1741"/>
      <c r="G5223" s="1741"/>
      <c r="H5223" s="1742"/>
      <c r="K5223" t="s">
        <v>4259</v>
      </c>
      <c r="V5223">
        <v>462</v>
      </c>
    </row>
    <row r="5224" spans="1:22" customFormat="1" ht="15" x14ac:dyDescent="0.25">
      <c r="A5224" t="s">
        <v>269</v>
      </c>
      <c r="E5224" s="1741" t="s">
        <v>4970</v>
      </c>
      <c r="F5224" s="1741"/>
      <c r="G5224" s="1741"/>
      <c r="H5224" s="1742"/>
      <c r="K5224" t="s">
        <v>4259</v>
      </c>
      <c r="V5224">
        <v>355</v>
      </c>
    </row>
    <row r="5225" spans="1:22" customFormat="1" ht="15" x14ac:dyDescent="0.25">
      <c r="A5225" t="s">
        <v>269</v>
      </c>
      <c r="E5225" s="1741" t="s">
        <v>4971</v>
      </c>
      <c r="F5225" s="1741"/>
      <c r="G5225" s="1741"/>
      <c r="H5225" s="1742"/>
      <c r="K5225" t="s">
        <v>4259</v>
      </c>
      <c r="V5225">
        <v>567</v>
      </c>
    </row>
    <row r="5226" spans="1:22" customFormat="1" ht="15" x14ac:dyDescent="0.25">
      <c r="A5226" t="s">
        <v>269</v>
      </c>
      <c r="E5226" s="1743" t="s">
        <v>4972</v>
      </c>
      <c r="F5226" s="1741"/>
      <c r="G5226" s="1741"/>
      <c r="H5226" s="1742"/>
      <c r="K5226" t="s">
        <v>4259</v>
      </c>
      <c r="V5226">
        <v>324</v>
      </c>
    </row>
    <row r="5227" spans="1:22" customFormat="1" x14ac:dyDescent="0.25">
      <c r="A5227" t="s">
        <v>269</v>
      </c>
      <c r="E5227" s="1636" t="s">
        <v>202</v>
      </c>
      <c r="F5227" s="1636"/>
      <c r="G5227" s="1636"/>
      <c r="H5227" s="1740"/>
      <c r="K5227" t="s">
        <v>1053</v>
      </c>
      <c r="V5227">
        <v>38</v>
      </c>
    </row>
    <row r="5228" spans="1:22" customFormat="1" ht="15" x14ac:dyDescent="0.25">
      <c r="A5228" t="s">
        <v>269</v>
      </c>
      <c r="E5228" s="1738" t="s">
        <v>4973</v>
      </c>
      <c r="F5228" s="1738"/>
      <c r="G5228" s="1738"/>
      <c r="H5228" s="1739"/>
      <c r="K5228" t="s">
        <v>1053</v>
      </c>
      <c r="V5228">
        <v>551</v>
      </c>
    </row>
    <row r="5229" spans="1:22" customFormat="1" ht="15" x14ac:dyDescent="0.25">
      <c r="A5229" t="s">
        <v>269</v>
      </c>
      <c r="E5229" s="1638" t="s">
        <v>950</v>
      </c>
      <c r="F5229" s="1530"/>
      <c r="G5229" s="1530"/>
      <c r="H5229" s="1530"/>
      <c r="K5229" t="s">
        <v>1055</v>
      </c>
      <c r="V5229">
        <v>11</v>
      </c>
    </row>
    <row r="5230" spans="1:22" customFormat="1" ht="15" x14ac:dyDescent="0.25">
      <c r="A5230" t="s">
        <v>269</v>
      </c>
      <c r="E5230" s="1738" t="s">
        <v>951</v>
      </c>
      <c r="F5230" s="1738"/>
      <c r="G5230" s="1738"/>
      <c r="H5230" s="1739"/>
      <c r="K5230" t="s">
        <v>1053</v>
      </c>
      <c r="V5230">
        <v>280</v>
      </c>
    </row>
    <row r="5231" spans="1:22" customFormat="1" ht="15" x14ac:dyDescent="0.25">
      <c r="A5231" t="s">
        <v>269</v>
      </c>
      <c r="E5231" s="1738" t="s">
        <v>1072</v>
      </c>
      <c r="F5231" s="1738"/>
      <c r="G5231" s="1738"/>
      <c r="H5231" s="1739"/>
      <c r="K5231" t="s">
        <v>1053</v>
      </c>
      <c r="V5231">
        <v>411</v>
      </c>
    </row>
    <row r="5232" spans="1:22" customFormat="1" ht="15" x14ac:dyDescent="0.25">
      <c r="A5232" t="s">
        <v>269</v>
      </c>
      <c r="E5232" s="1738" t="s">
        <v>953</v>
      </c>
      <c r="F5232" s="1738"/>
      <c r="G5232" s="1738"/>
      <c r="H5232" s="1739"/>
      <c r="K5232" t="s">
        <v>1053</v>
      </c>
      <c r="V5232">
        <v>386</v>
      </c>
    </row>
    <row r="5233" spans="1:22" customFormat="1" ht="15" x14ac:dyDescent="0.25">
      <c r="A5233" t="s">
        <v>269</v>
      </c>
      <c r="E5233" s="1738" t="s">
        <v>4961</v>
      </c>
      <c r="F5233" s="1738"/>
      <c r="G5233" s="1738"/>
      <c r="H5233" s="1739"/>
      <c r="K5233" t="s">
        <v>1053</v>
      </c>
      <c r="V5233">
        <v>246</v>
      </c>
    </row>
    <row r="5234" spans="1:22" customFormat="1" ht="15" x14ac:dyDescent="0.25">
      <c r="A5234" t="s">
        <v>269</v>
      </c>
      <c r="E5234" s="1638" t="s">
        <v>956</v>
      </c>
      <c r="F5234" s="1530"/>
      <c r="G5234" s="1530"/>
      <c r="H5234" s="1530"/>
      <c r="K5234" t="s">
        <v>1056</v>
      </c>
      <c r="V5234">
        <v>46</v>
      </c>
    </row>
    <row r="5235" spans="1:22" customFormat="1" ht="15" x14ac:dyDescent="0.25">
      <c r="A5235" t="s">
        <v>269</v>
      </c>
      <c r="E5235" s="1554" t="s">
        <v>4695</v>
      </c>
      <c r="F5235" s="1554"/>
      <c r="G5235" s="737" t="s">
        <v>777</v>
      </c>
      <c r="H5235" s="576">
        <v>1.74</v>
      </c>
      <c r="K5235" t="s">
        <v>1053</v>
      </c>
      <c r="L5235" t="s">
        <v>690</v>
      </c>
      <c r="P5235" t="s">
        <v>1057</v>
      </c>
      <c r="V5235">
        <v>26</v>
      </c>
    </row>
    <row r="5236" spans="1:22" customFormat="1" ht="15" x14ac:dyDescent="0.25">
      <c r="A5236" t="s">
        <v>269</v>
      </c>
      <c r="E5236" s="1554" t="s">
        <v>3688</v>
      </c>
      <c r="F5236" s="1554"/>
      <c r="G5236" s="737" t="s">
        <v>3775</v>
      </c>
      <c r="H5236" s="577">
        <v>19.8933</v>
      </c>
      <c r="K5236" t="s">
        <v>1053</v>
      </c>
      <c r="L5236" t="s">
        <v>690</v>
      </c>
      <c r="P5236" t="s">
        <v>1059</v>
      </c>
      <c r="V5236">
        <v>28</v>
      </c>
    </row>
    <row r="5237" spans="1:22" customFormat="1" ht="15" x14ac:dyDescent="0.25">
      <c r="A5237" t="s">
        <v>269</v>
      </c>
      <c r="E5237" s="1554" t="s">
        <v>910</v>
      </c>
      <c r="F5237" s="1554"/>
      <c r="G5237" s="737" t="s">
        <v>3775</v>
      </c>
      <c r="H5237" s="739">
        <v>0.44469999999999998</v>
      </c>
      <c r="K5237" t="s">
        <v>1053</v>
      </c>
      <c r="L5237" t="s">
        <v>692</v>
      </c>
      <c r="P5237" t="s">
        <v>1060</v>
      </c>
      <c r="V5237">
        <v>24</v>
      </c>
    </row>
    <row r="5238" spans="1:22" customFormat="1" ht="15" x14ac:dyDescent="0.25">
      <c r="A5238" t="s">
        <v>269</v>
      </c>
      <c r="E5238" s="1554" t="s">
        <v>6519</v>
      </c>
      <c r="F5238" s="1510"/>
      <c r="G5238" s="737" t="s">
        <v>845</v>
      </c>
      <c r="H5238" s="739">
        <v>1.6000000000000001E-3</v>
      </c>
      <c r="K5238" t="s">
        <v>1053</v>
      </c>
      <c r="L5238" t="s">
        <v>692</v>
      </c>
      <c r="P5238" t="s">
        <v>1061</v>
      </c>
      <c r="T5238">
        <v>46022</v>
      </c>
      <c r="V5238">
        <v>142</v>
      </c>
    </row>
    <row r="5239" spans="1:22" customFormat="1" ht="15" x14ac:dyDescent="0.25">
      <c r="A5239" t="s">
        <v>269</v>
      </c>
      <c r="E5239" s="1554" t="s">
        <v>6520</v>
      </c>
      <c r="F5239" s="1510"/>
      <c r="G5239" s="737" t="s">
        <v>3775</v>
      </c>
      <c r="H5239" s="739">
        <v>-3.27E-2</v>
      </c>
      <c r="K5239" t="s">
        <v>1053</v>
      </c>
      <c r="L5239" t="s">
        <v>692</v>
      </c>
      <c r="P5239" t="s">
        <v>1062</v>
      </c>
      <c r="T5239">
        <v>46022</v>
      </c>
      <c r="V5239">
        <v>99</v>
      </c>
    </row>
    <row r="5240" spans="1:22" customFormat="1" ht="15" x14ac:dyDescent="0.25">
      <c r="A5240" t="s">
        <v>269</v>
      </c>
      <c r="E5240" s="1554" t="s">
        <v>6634</v>
      </c>
      <c r="F5240" s="1510"/>
      <c r="G5240" s="737" t="s">
        <v>3775</v>
      </c>
      <c r="H5240" s="739">
        <v>4.9099999999999998E-2</v>
      </c>
      <c r="K5240" t="s">
        <v>1053</v>
      </c>
      <c r="L5240" t="s">
        <v>692</v>
      </c>
      <c r="P5240" t="s">
        <v>3997</v>
      </c>
      <c r="T5240">
        <v>46022</v>
      </c>
      <c r="V5240">
        <v>142</v>
      </c>
    </row>
    <row r="5241" spans="1:22" customFormat="1" ht="15" x14ac:dyDescent="0.25">
      <c r="A5241" t="s">
        <v>269</v>
      </c>
      <c r="E5241" s="1554" t="s">
        <v>243</v>
      </c>
      <c r="F5241" s="1554"/>
      <c r="G5241" s="737" t="s">
        <v>3775</v>
      </c>
      <c r="H5241" s="577">
        <v>3.1936</v>
      </c>
      <c r="K5241" t="s">
        <v>1053</v>
      </c>
      <c r="L5241" t="s">
        <v>694</v>
      </c>
      <c r="P5241" t="s">
        <v>1063</v>
      </c>
      <c r="V5241">
        <v>47</v>
      </c>
    </row>
    <row r="5242" spans="1:22" customFormat="1" ht="15" x14ac:dyDescent="0.25">
      <c r="A5242" t="s">
        <v>269</v>
      </c>
      <c r="E5242" s="1554" t="s">
        <v>175</v>
      </c>
      <c r="F5242" s="1554"/>
      <c r="G5242" s="737" t="s">
        <v>3775</v>
      </c>
      <c r="H5242" s="577">
        <v>2.4441000000000002</v>
      </c>
      <c r="K5242" t="s">
        <v>1053</v>
      </c>
      <c r="L5242" t="s">
        <v>694</v>
      </c>
      <c r="P5242" t="s">
        <v>1064</v>
      </c>
      <c r="V5242">
        <v>74</v>
      </c>
    </row>
    <row r="5243" spans="1:22" customFormat="1" ht="15" x14ac:dyDescent="0.25">
      <c r="A5243" t="s">
        <v>269</v>
      </c>
      <c r="E5243" s="1737" t="s">
        <v>967</v>
      </c>
      <c r="F5243" s="1507"/>
      <c r="G5243" s="740"/>
      <c r="H5243" s="740"/>
      <c r="K5243" t="s">
        <v>1065</v>
      </c>
      <c r="V5243">
        <v>48</v>
      </c>
    </row>
    <row r="5244" spans="1:22" customFormat="1" ht="15" x14ac:dyDescent="0.25">
      <c r="A5244" t="s">
        <v>269</v>
      </c>
      <c r="E5244" s="1554" t="s">
        <v>844</v>
      </c>
      <c r="F5244" s="1554"/>
      <c r="G5244" s="740" t="s">
        <v>845</v>
      </c>
      <c r="H5244" s="741">
        <v>4.1000000000000003E-3</v>
      </c>
      <c r="K5244" t="s">
        <v>1053</v>
      </c>
      <c r="L5244" t="s">
        <v>968</v>
      </c>
      <c r="P5244" t="s">
        <v>1066</v>
      </c>
      <c r="V5244">
        <v>55</v>
      </c>
    </row>
    <row r="5245" spans="1:22" customFormat="1" ht="15" x14ac:dyDescent="0.25">
      <c r="A5245" t="s">
        <v>269</v>
      </c>
      <c r="E5245" s="1554" t="s">
        <v>846</v>
      </c>
      <c r="F5245" s="1554"/>
      <c r="G5245" s="740" t="s">
        <v>845</v>
      </c>
      <c r="H5245" s="741">
        <v>4.0000000000000002E-4</v>
      </c>
      <c r="K5245" t="s">
        <v>1053</v>
      </c>
      <c r="L5245" t="s">
        <v>968</v>
      </c>
      <c r="P5245" t="s">
        <v>1066</v>
      </c>
      <c r="V5245">
        <v>65</v>
      </c>
    </row>
    <row r="5246" spans="1:22" customFormat="1" ht="15" x14ac:dyDescent="0.25">
      <c r="A5246" t="s">
        <v>269</v>
      </c>
      <c r="E5246" s="1554" t="s">
        <v>847</v>
      </c>
      <c r="F5246" s="1554"/>
      <c r="G5246" s="740" t="s">
        <v>845</v>
      </c>
      <c r="H5246" s="741">
        <v>1.5E-3</v>
      </c>
      <c r="K5246" t="s">
        <v>1053</v>
      </c>
      <c r="L5246" t="s">
        <v>968</v>
      </c>
      <c r="P5246" t="s">
        <v>1067</v>
      </c>
      <c r="V5246">
        <v>57</v>
      </c>
    </row>
    <row r="5247" spans="1:22" customFormat="1" ht="15" x14ac:dyDescent="0.25">
      <c r="A5247" t="s">
        <v>269</v>
      </c>
      <c r="E5247" s="1554" t="s">
        <v>848</v>
      </c>
      <c r="F5247" s="1554"/>
      <c r="G5247" s="740" t="s">
        <v>777</v>
      </c>
      <c r="H5247" s="742">
        <v>0.25</v>
      </c>
      <c r="K5247" t="s">
        <v>1053</v>
      </c>
      <c r="L5247" t="s">
        <v>968</v>
      </c>
      <c r="P5247" t="s">
        <v>1068</v>
      </c>
      <c r="V5247">
        <v>63</v>
      </c>
    </row>
    <row r="5248" spans="1:22" customFormat="1" x14ac:dyDescent="0.25">
      <c r="A5248" t="s">
        <v>269</v>
      </c>
      <c r="E5248" s="1636" t="s">
        <v>207</v>
      </c>
      <c r="F5248" s="1636"/>
      <c r="G5248" s="1636"/>
      <c r="H5248" s="1740"/>
      <c r="K5248" t="s">
        <v>1069</v>
      </c>
      <c r="V5248">
        <v>31</v>
      </c>
    </row>
    <row r="5249" spans="1:22" customFormat="1" ht="15" x14ac:dyDescent="0.25">
      <c r="A5249" t="s">
        <v>269</v>
      </c>
      <c r="E5249" s="1738" t="s">
        <v>1070</v>
      </c>
      <c r="F5249" s="1738"/>
      <c r="G5249" s="1738"/>
      <c r="H5249" s="1739"/>
      <c r="K5249" t="s">
        <v>1069</v>
      </c>
      <c r="V5249">
        <v>285</v>
      </c>
    </row>
    <row r="5250" spans="1:22" customFormat="1" ht="15" x14ac:dyDescent="0.25">
      <c r="A5250" t="s">
        <v>269</v>
      </c>
      <c r="E5250" s="1638" t="s">
        <v>950</v>
      </c>
      <c r="F5250" s="1530"/>
      <c r="G5250" s="1530"/>
      <c r="H5250" s="1530"/>
      <c r="K5250" t="s">
        <v>1071</v>
      </c>
      <c r="V5250">
        <v>11</v>
      </c>
    </row>
    <row r="5251" spans="1:22" customFormat="1" ht="15" x14ac:dyDescent="0.25">
      <c r="A5251" t="s">
        <v>269</v>
      </c>
      <c r="E5251" s="1738" t="s">
        <v>951</v>
      </c>
      <c r="F5251" s="1738"/>
      <c r="G5251" s="1738"/>
      <c r="H5251" s="1739"/>
      <c r="K5251" t="s">
        <v>1069</v>
      </c>
      <c r="V5251">
        <v>280</v>
      </c>
    </row>
    <row r="5252" spans="1:22" customFormat="1" ht="15" x14ac:dyDescent="0.25">
      <c r="A5252" t="s">
        <v>269</v>
      </c>
      <c r="E5252" s="1738" t="s">
        <v>1072</v>
      </c>
      <c r="F5252" s="1738"/>
      <c r="G5252" s="1738"/>
      <c r="H5252" s="1739"/>
      <c r="K5252" t="s">
        <v>1069</v>
      </c>
      <c r="V5252">
        <v>411</v>
      </c>
    </row>
    <row r="5253" spans="1:22" customFormat="1" ht="15" x14ac:dyDescent="0.25">
      <c r="A5253" t="s">
        <v>269</v>
      </c>
      <c r="E5253" s="1738" t="s">
        <v>953</v>
      </c>
      <c r="F5253" s="1738"/>
      <c r="G5253" s="1738"/>
      <c r="H5253" s="1739"/>
      <c r="K5253" t="s">
        <v>1069</v>
      </c>
      <c r="V5253">
        <v>386</v>
      </c>
    </row>
    <row r="5254" spans="1:22" customFormat="1" ht="15" x14ac:dyDescent="0.25">
      <c r="A5254" t="s">
        <v>269</v>
      </c>
      <c r="E5254" s="1738" t="s">
        <v>4974</v>
      </c>
      <c r="F5254" s="1738"/>
      <c r="G5254" s="1738"/>
      <c r="H5254" s="1739"/>
      <c r="K5254" t="s">
        <v>1069</v>
      </c>
      <c r="V5254">
        <v>247</v>
      </c>
    </row>
    <row r="5255" spans="1:22" customFormat="1" ht="15" x14ac:dyDescent="0.25">
      <c r="A5255" t="s">
        <v>269</v>
      </c>
      <c r="E5255" s="1638" t="s">
        <v>956</v>
      </c>
      <c r="F5255" s="1530"/>
      <c r="G5255" s="1530"/>
      <c r="H5255" s="1530"/>
      <c r="K5255" t="s">
        <v>1075</v>
      </c>
      <c r="V5255">
        <v>46</v>
      </c>
    </row>
    <row r="5256" spans="1:22" customFormat="1" ht="15" x14ac:dyDescent="0.25">
      <c r="A5256" t="s">
        <v>269</v>
      </c>
      <c r="E5256" s="1554" t="s">
        <v>3773</v>
      </c>
      <c r="F5256" s="1554"/>
      <c r="G5256" s="737" t="s">
        <v>777</v>
      </c>
      <c r="H5256" s="576">
        <v>5</v>
      </c>
      <c r="K5256" t="s">
        <v>1069</v>
      </c>
      <c r="L5256" t="s">
        <v>690</v>
      </c>
      <c r="P5256" t="s">
        <v>1076</v>
      </c>
      <c r="V5256">
        <v>14</v>
      </c>
    </row>
    <row r="5257" spans="1:22" customFormat="1" x14ac:dyDescent="0.25">
      <c r="A5257" t="s">
        <v>269</v>
      </c>
      <c r="E5257" s="858" t="s">
        <v>3825</v>
      </c>
      <c r="F5257" s="627"/>
      <c r="G5257" s="627"/>
      <c r="H5257" s="627"/>
      <c r="K5257" t="s">
        <v>4975</v>
      </c>
      <c r="V5257">
        <v>10</v>
      </c>
    </row>
    <row r="5258" spans="1:22" customFormat="1" ht="15" x14ac:dyDescent="0.25">
      <c r="A5258" t="s">
        <v>269</v>
      </c>
      <c r="E5258" s="1507" t="s">
        <v>1078</v>
      </c>
      <c r="F5258" s="1507"/>
      <c r="G5258" s="624" t="s">
        <v>3775</v>
      </c>
      <c r="H5258" s="739">
        <v>-0.6</v>
      </c>
      <c r="V5258">
        <v>68</v>
      </c>
    </row>
    <row r="5259" spans="1:22" customFormat="1" ht="15" x14ac:dyDescent="0.25">
      <c r="A5259" t="s">
        <v>269</v>
      </c>
      <c r="E5259" s="1554" t="s">
        <v>1079</v>
      </c>
      <c r="F5259" s="1554"/>
      <c r="G5259" s="624" t="s">
        <v>1118</v>
      </c>
      <c r="H5259" s="738">
        <v>-1</v>
      </c>
      <c r="V5259">
        <v>87</v>
      </c>
    </row>
    <row r="5260" spans="1:22" customFormat="1" x14ac:dyDescent="0.25">
      <c r="A5260" t="s">
        <v>269</v>
      </c>
      <c r="E5260" s="858" t="s">
        <v>3828</v>
      </c>
      <c r="F5260" s="627"/>
      <c r="G5260" s="627"/>
      <c r="H5260" s="628"/>
      <c r="K5260" t="s">
        <v>4976</v>
      </c>
      <c r="V5260">
        <v>24</v>
      </c>
    </row>
    <row r="5261" spans="1:22" customFormat="1" ht="15" x14ac:dyDescent="0.25">
      <c r="A5261" t="s">
        <v>269</v>
      </c>
      <c r="E5261" s="1535" t="s">
        <v>950</v>
      </c>
      <c r="F5261" s="1516"/>
      <c r="G5261" s="1516"/>
      <c r="H5261" s="1516"/>
      <c r="V5261">
        <v>11</v>
      </c>
    </row>
    <row r="5262" spans="1:22" customFormat="1" ht="15" x14ac:dyDescent="0.25">
      <c r="A5262" t="s">
        <v>269</v>
      </c>
      <c r="E5262" s="1744" t="s">
        <v>951</v>
      </c>
      <c r="F5262" s="1744"/>
      <c r="G5262" s="1744"/>
      <c r="H5262" s="1745"/>
      <c r="V5262">
        <v>280</v>
      </c>
    </row>
    <row r="5263" spans="1:22" customFormat="1" ht="15" x14ac:dyDescent="0.25">
      <c r="A5263" t="s">
        <v>269</v>
      </c>
      <c r="E5263" s="1744" t="s">
        <v>1081</v>
      </c>
      <c r="F5263" s="1744"/>
      <c r="G5263" s="1744"/>
      <c r="H5263" s="1745"/>
      <c r="V5263">
        <v>353</v>
      </c>
    </row>
    <row r="5264" spans="1:22" customFormat="1" ht="15" x14ac:dyDescent="0.25">
      <c r="A5264" t="s">
        <v>269</v>
      </c>
      <c r="E5264" s="1744" t="s">
        <v>954</v>
      </c>
      <c r="F5264" s="1744"/>
      <c r="G5264" s="1744"/>
      <c r="H5264" s="1745"/>
      <c r="V5264">
        <v>246</v>
      </c>
    </row>
    <row r="5265" spans="1:22" customFormat="1" ht="15" x14ac:dyDescent="0.25">
      <c r="A5265" t="s">
        <v>269</v>
      </c>
      <c r="E5265" s="626" t="s">
        <v>3830</v>
      </c>
      <c r="F5265" s="627"/>
      <c r="G5265" s="627"/>
      <c r="H5265" s="628"/>
      <c r="K5265" t="s">
        <v>4977</v>
      </c>
      <c r="V5265">
        <v>23</v>
      </c>
    </row>
    <row r="5266" spans="1:22" customFormat="1" ht="15" x14ac:dyDescent="0.25">
      <c r="A5266" t="s">
        <v>269</v>
      </c>
      <c r="E5266" s="1509" t="s">
        <v>4284</v>
      </c>
      <c r="F5266" s="1509"/>
      <c r="G5266" s="740" t="s">
        <v>777</v>
      </c>
      <c r="H5266" s="742">
        <v>15</v>
      </c>
      <c r="V5266">
        <v>24</v>
      </c>
    </row>
    <row r="5267" spans="1:22" customFormat="1" ht="15" x14ac:dyDescent="0.25">
      <c r="A5267" t="s">
        <v>269</v>
      </c>
      <c r="E5267" s="1509" t="s">
        <v>4285</v>
      </c>
      <c r="F5267" s="1509"/>
      <c r="G5267" s="740" t="s">
        <v>777</v>
      </c>
      <c r="H5267" s="742">
        <v>15</v>
      </c>
      <c r="V5267">
        <v>25</v>
      </c>
    </row>
    <row r="5268" spans="1:22" customFormat="1" ht="15" x14ac:dyDescent="0.25">
      <c r="A5268" t="s">
        <v>269</v>
      </c>
      <c r="E5268" s="1509" t="s">
        <v>4288</v>
      </c>
      <c r="F5268" s="1509"/>
      <c r="G5268" s="740" t="s">
        <v>777</v>
      </c>
      <c r="H5268" s="742">
        <v>15</v>
      </c>
      <c r="V5268">
        <v>42</v>
      </c>
    </row>
    <row r="5269" spans="1:22" customFormat="1" ht="15" x14ac:dyDescent="0.25">
      <c r="A5269" t="s">
        <v>269</v>
      </c>
      <c r="E5269" s="1509" t="s">
        <v>4292</v>
      </c>
      <c r="F5269" s="1509"/>
      <c r="G5269" s="740" t="s">
        <v>777</v>
      </c>
      <c r="H5269" s="742">
        <v>15</v>
      </c>
      <c r="V5269">
        <v>20</v>
      </c>
    </row>
    <row r="5270" spans="1:22" customFormat="1" ht="15" x14ac:dyDescent="0.25">
      <c r="A5270" t="s">
        <v>269</v>
      </c>
      <c r="E5270" s="1509" t="s">
        <v>4978</v>
      </c>
      <c r="F5270" s="1509"/>
      <c r="G5270" s="740" t="s">
        <v>777</v>
      </c>
      <c r="H5270" s="742">
        <v>15</v>
      </c>
      <c r="V5270">
        <v>40</v>
      </c>
    </row>
    <row r="5271" spans="1:22" customFormat="1" ht="15" x14ac:dyDescent="0.25">
      <c r="A5271" t="s">
        <v>269</v>
      </c>
      <c r="E5271" s="1509" t="s">
        <v>4979</v>
      </c>
      <c r="F5271" s="1509"/>
      <c r="G5271" s="740" t="s">
        <v>777</v>
      </c>
      <c r="H5271" s="742">
        <v>15</v>
      </c>
      <c r="V5271">
        <v>17</v>
      </c>
    </row>
    <row r="5272" spans="1:22" customFormat="1" ht="15" x14ac:dyDescent="0.25">
      <c r="A5272" t="s">
        <v>269</v>
      </c>
      <c r="E5272" s="1509" t="s">
        <v>4296</v>
      </c>
      <c r="F5272" s="1509"/>
      <c r="G5272" s="740" t="s">
        <v>777</v>
      </c>
      <c r="H5272" s="742">
        <v>15</v>
      </c>
      <c r="V5272">
        <v>94</v>
      </c>
    </row>
    <row r="5273" spans="1:22" customFormat="1" ht="15" x14ac:dyDescent="0.25">
      <c r="A5273" t="s">
        <v>269</v>
      </c>
      <c r="E5273" s="1509" t="s">
        <v>4297</v>
      </c>
      <c r="F5273" s="1509"/>
      <c r="G5273" s="740" t="s">
        <v>777</v>
      </c>
      <c r="H5273" s="742">
        <v>30</v>
      </c>
      <c r="V5273">
        <v>24</v>
      </c>
    </row>
    <row r="5274" spans="1:22" customFormat="1" ht="15" x14ac:dyDescent="0.25">
      <c r="A5274" t="s">
        <v>269</v>
      </c>
      <c r="E5274" s="1509" t="s">
        <v>4298</v>
      </c>
      <c r="F5274" s="1509"/>
      <c r="G5274" s="740" t="s">
        <v>777</v>
      </c>
      <c r="H5274" s="742">
        <v>30</v>
      </c>
      <c r="V5274">
        <v>79</v>
      </c>
    </row>
    <row r="5275" spans="1:22" customFormat="1" ht="15" x14ac:dyDescent="0.25">
      <c r="A5275" t="s">
        <v>269</v>
      </c>
      <c r="E5275" s="626" t="s">
        <v>4062</v>
      </c>
      <c r="F5275" s="627"/>
      <c r="G5275" s="627"/>
      <c r="H5275" s="628"/>
      <c r="K5275" t="s">
        <v>4980</v>
      </c>
      <c r="V5275">
        <v>22</v>
      </c>
    </row>
    <row r="5276" spans="1:22" customFormat="1" ht="15" x14ac:dyDescent="0.25">
      <c r="A5276" t="s">
        <v>269</v>
      </c>
      <c r="E5276" s="1509" t="s">
        <v>4981</v>
      </c>
      <c r="F5276" s="1509"/>
      <c r="G5276" s="584"/>
      <c r="H5276" s="650"/>
      <c r="V5276">
        <v>29</v>
      </c>
    </row>
    <row r="5277" spans="1:22" customFormat="1" ht="15" x14ac:dyDescent="0.25">
      <c r="A5277" t="s">
        <v>269</v>
      </c>
      <c r="E5277" s="1509" t="s">
        <v>4982</v>
      </c>
      <c r="F5277" s="1509"/>
      <c r="G5277" s="740" t="s">
        <v>1118</v>
      </c>
      <c r="H5277" s="742">
        <v>1.5</v>
      </c>
      <c r="V5277">
        <v>79</v>
      </c>
    </row>
    <row r="5278" spans="1:22" customFormat="1" ht="15" x14ac:dyDescent="0.25">
      <c r="A5278" t="s">
        <v>269</v>
      </c>
      <c r="E5278" s="1509" t="s">
        <v>4838</v>
      </c>
      <c r="F5278" s="1509"/>
      <c r="G5278" s="740" t="s">
        <v>777</v>
      </c>
      <c r="H5278" s="742">
        <v>65</v>
      </c>
      <c r="V5278">
        <v>58</v>
      </c>
    </row>
    <row r="5279" spans="1:22" customFormat="1" ht="15" x14ac:dyDescent="0.25">
      <c r="A5279" t="s">
        <v>269</v>
      </c>
      <c r="E5279" s="1509" t="s">
        <v>4839</v>
      </c>
      <c r="F5279" s="1509"/>
      <c r="G5279" s="740" t="s">
        <v>777</v>
      </c>
      <c r="H5279" s="742">
        <v>185</v>
      </c>
      <c r="V5279">
        <v>57</v>
      </c>
    </row>
    <row r="5280" spans="1:22" customFormat="1" ht="15" x14ac:dyDescent="0.25">
      <c r="A5280" t="s">
        <v>269</v>
      </c>
      <c r="E5280" s="1509" t="s">
        <v>4840</v>
      </c>
      <c r="F5280" s="1509"/>
      <c r="G5280" s="740" t="s">
        <v>777</v>
      </c>
      <c r="H5280" s="742">
        <v>185</v>
      </c>
      <c r="V5280">
        <v>57</v>
      </c>
    </row>
    <row r="5281" spans="1:22" customFormat="1" ht="15" x14ac:dyDescent="0.25">
      <c r="A5281" t="s">
        <v>269</v>
      </c>
      <c r="E5281" s="1509" t="s">
        <v>4841</v>
      </c>
      <c r="F5281" s="1509"/>
      <c r="G5281" s="740" t="s">
        <v>777</v>
      </c>
      <c r="H5281" s="742">
        <v>415</v>
      </c>
      <c r="V5281">
        <v>56</v>
      </c>
    </row>
    <row r="5282" spans="1:22" customFormat="1" ht="15" x14ac:dyDescent="0.25">
      <c r="A5282" t="s">
        <v>269</v>
      </c>
      <c r="E5282" s="626" t="s">
        <v>3846</v>
      </c>
      <c r="F5282" s="627"/>
      <c r="G5282" s="743"/>
      <c r="H5282" s="629"/>
      <c r="V5282">
        <v>5</v>
      </c>
    </row>
    <row r="5283" spans="1:22" customFormat="1" ht="15" x14ac:dyDescent="0.25">
      <c r="A5283" t="s">
        <v>269</v>
      </c>
      <c r="E5283" s="1509" t="s">
        <v>4983</v>
      </c>
      <c r="F5283" s="1509"/>
      <c r="G5283" s="740" t="s">
        <v>777</v>
      </c>
      <c r="H5283" s="742">
        <v>39.14</v>
      </c>
      <c r="V5283">
        <v>107</v>
      </c>
    </row>
    <row r="5284" spans="1:22" customFormat="1" ht="15" x14ac:dyDescent="0.25">
      <c r="A5284" t="s">
        <v>269</v>
      </c>
      <c r="E5284" s="1509" t="s">
        <v>4984</v>
      </c>
      <c r="F5284" s="1509"/>
      <c r="G5284" s="740" t="s">
        <v>777</v>
      </c>
      <c r="H5284" s="742">
        <v>200</v>
      </c>
      <c r="V5284">
        <v>19</v>
      </c>
    </row>
    <row r="5285" spans="1:22" customFormat="1" x14ac:dyDescent="0.25">
      <c r="A5285" t="s">
        <v>269</v>
      </c>
      <c r="E5285" s="858" t="s">
        <v>3851</v>
      </c>
      <c r="F5285" s="627"/>
      <c r="G5285" s="627"/>
      <c r="H5285" s="628"/>
      <c r="K5285" t="s">
        <v>4985</v>
      </c>
      <c r="V5285">
        <v>38</v>
      </c>
    </row>
    <row r="5286" spans="1:22" customFormat="1" ht="15" x14ac:dyDescent="0.25">
      <c r="A5286" t="s">
        <v>269</v>
      </c>
      <c r="E5286" s="1744" t="s">
        <v>951</v>
      </c>
      <c r="F5286" s="1744"/>
      <c r="G5286" s="1744"/>
      <c r="H5286" s="1745"/>
      <c r="V5286">
        <v>280</v>
      </c>
    </row>
    <row r="5287" spans="1:22" customFormat="1" ht="15" x14ac:dyDescent="0.25">
      <c r="A5287" t="s">
        <v>269</v>
      </c>
      <c r="E5287" s="1744" t="s">
        <v>952</v>
      </c>
      <c r="F5287" s="1744"/>
      <c r="G5287" s="1744"/>
      <c r="H5287" s="1745"/>
      <c r="V5287">
        <v>411</v>
      </c>
    </row>
    <row r="5288" spans="1:22" customFormat="1" ht="15" x14ac:dyDescent="0.25">
      <c r="A5288" t="s">
        <v>269</v>
      </c>
      <c r="E5288" s="1744" t="s">
        <v>1103</v>
      </c>
      <c r="F5288" s="1744"/>
      <c r="G5288" s="1744"/>
      <c r="H5288" s="1745"/>
      <c r="V5288">
        <v>211</v>
      </c>
    </row>
    <row r="5289" spans="1:22" customFormat="1" ht="15" x14ac:dyDescent="0.25">
      <c r="A5289" t="s">
        <v>269</v>
      </c>
      <c r="E5289" s="1744" t="s">
        <v>954</v>
      </c>
      <c r="F5289" s="1744"/>
      <c r="G5289" s="1744"/>
      <c r="H5289" s="1745"/>
      <c r="V5289">
        <v>246</v>
      </c>
    </row>
    <row r="5290" spans="1:22" customFormat="1" ht="15" x14ac:dyDescent="0.25">
      <c r="A5290" t="s">
        <v>269</v>
      </c>
      <c r="E5290" s="1744" t="s">
        <v>1104</v>
      </c>
      <c r="F5290" s="1744"/>
      <c r="G5290" s="1744"/>
      <c r="H5290" s="1745"/>
      <c r="V5290">
        <v>142</v>
      </c>
    </row>
    <row r="5291" spans="1:22" customFormat="1" ht="15" x14ac:dyDescent="0.25">
      <c r="A5291" t="s">
        <v>269</v>
      </c>
      <c r="E5291" s="1554" t="s">
        <v>849</v>
      </c>
      <c r="F5291" s="1554"/>
      <c r="G5291" s="637" t="s">
        <v>777</v>
      </c>
      <c r="H5291" s="638">
        <v>121.23</v>
      </c>
      <c r="V5291">
        <v>106</v>
      </c>
    </row>
    <row r="5292" spans="1:22" customFormat="1" ht="15" x14ac:dyDescent="0.25">
      <c r="A5292" t="s">
        <v>269</v>
      </c>
      <c r="E5292" s="1554" t="s">
        <v>850</v>
      </c>
      <c r="F5292" s="1554"/>
      <c r="G5292" s="637" t="s">
        <v>777</v>
      </c>
      <c r="H5292" s="638">
        <v>48.5</v>
      </c>
      <c r="V5292">
        <v>34</v>
      </c>
    </row>
    <row r="5293" spans="1:22" customFormat="1" ht="15" x14ac:dyDescent="0.25">
      <c r="A5293" t="s">
        <v>269</v>
      </c>
      <c r="E5293" s="1554" t="s">
        <v>851</v>
      </c>
      <c r="F5293" s="1554"/>
      <c r="G5293" s="637" t="s">
        <v>852</v>
      </c>
      <c r="H5293" s="638">
        <v>1.2</v>
      </c>
      <c r="V5293">
        <v>51</v>
      </c>
    </row>
    <row r="5294" spans="1:22" customFormat="1" ht="15" x14ac:dyDescent="0.25">
      <c r="A5294" t="s">
        <v>269</v>
      </c>
      <c r="E5294" s="1554" t="s">
        <v>853</v>
      </c>
      <c r="F5294" s="1554"/>
      <c r="G5294" s="637" t="s">
        <v>852</v>
      </c>
      <c r="H5294" s="638">
        <v>0.71</v>
      </c>
      <c r="V5294">
        <v>75</v>
      </c>
    </row>
    <row r="5295" spans="1:22" customFormat="1" ht="15" x14ac:dyDescent="0.25">
      <c r="A5295" t="s">
        <v>269</v>
      </c>
      <c r="E5295" s="1554" t="s">
        <v>854</v>
      </c>
      <c r="F5295" s="1554"/>
      <c r="G5295" s="637" t="s">
        <v>852</v>
      </c>
      <c r="H5295" s="638">
        <v>-0.71</v>
      </c>
      <c r="V5295">
        <v>72</v>
      </c>
    </row>
    <row r="5296" spans="1:22" customFormat="1" ht="15" x14ac:dyDescent="0.25">
      <c r="A5296" t="s">
        <v>269</v>
      </c>
      <c r="E5296" s="1554" t="s">
        <v>1105</v>
      </c>
      <c r="F5296" s="1554"/>
      <c r="G5296" s="744"/>
      <c r="H5296" s="744"/>
      <c r="V5296">
        <v>35</v>
      </c>
    </row>
    <row r="5297" spans="1:22" customFormat="1" ht="15" x14ac:dyDescent="0.25">
      <c r="A5297" t="s">
        <v>269</v>
      </c>
      <c r="E5297" s="1746" t="s">
        <v>1106</v>
      </c>
      <c r="F5297" s="1746"/>
      <c r="G5297" s="637" t="s">
        <v>777</v>
      </c>
      <c r="H5297" s="638">
        <v>0.61</v>
      </c>
      <c r="V5297">
        <v>57</v>
      </c>
    </row>
    <row r="5298" spans="1:22" customFormat="1" ht="15" x14ac:dyDescent="0.25">
      <c r="A5298" t="s">
        <v>269</v>
      </c>
      <c r="E5298" s="1746" t="s">
        <v>1107</v>
      </c>
      <c r="F5298" s="1746"/>
      <c r="G5298" s="637" t="s">
        <v>777</v>
      </c>
      <c r="H5298" s="638">
        <v>1.2</v>
      </c>
      <c r="V5298">
        <v>60</v>
      </c>
    </row>
    <row r="5299" spans="1:22" customFormat="1" ht="15" x14ac:dyDescent="0.25">
      <c r="A5299" t="s">
        <v>269</v>
      </c>
      <c r="E5299" s="1554" t="s">
        <v>1108</v>
      </c>
      <c r="F5299" s="1554"/>
      <c r="G5299" s="744"/>
      <c r="H5299" s="744"/>
      <c r="V5299">
        <v>91</v>
      </c>
    </row>
    <row r="5300" spans="1:22" customFormat="1" ht="15" x14ac:dyDescent="0.25">
      <c r="A5300" t="s">
        <v>269</v>
      </c>
      <c r="E5300" s="1554" t="s">
        <v>1109</v>
      </c>
      <c r="F5300" s="1554"/>
      <c r="G5300" s="744"/>
      <c r="H5300" s="744"/>
      <c r="V5300">
        <v>96</v>
      </c>
    </row>
    <row r="5301" spans="1:22" customFormat="1" ht="15" x14ac:dyDescent="0.25">
      <c r="A5301" t="s">
        <v>269</v>
      </c>
      <c r="E5301" s="1554" t="s">
        <v>1110</v>
      </c>
      <c r="F5301" s="1554"/>
      <c r="G5301" s="744"/>
      <c r="H5301" s="744"/>
      <c r="V5301">
        <v>78</v>
      </c>
    </row>
    <row r="5302" spans="1:22" customFormat="1" ht="15" x14ac:dyDescent="0.25">
      <c r="A5302" t="s">
        <v>269</v>
      </c>
      <c r="E5302" s="1746" t="s">
        <v>1111</v>
      </c>
      <c r="F5302" s="1746"/>
      <c r="G5302" s="637" t="s">
        <v>777</v>
      </c>
      <c r="H5302" s="695" t="s">
        <v>857</v>
      </c>
      <c r="V5302">
        <v>18</v>
      </c>
    </row>
    <row r="5303" spans="1:22" customFormat="1" ht="15" x14ac:dyDescent="0.25">
      <c r="A5303" t="s">
        <v>269</v>
      </c>
      <c r="E5303" s="1746" t="s">
        <v>1112</v>
      </c>
      <c r="F5303" s="1746"/>
      <c r="G5303" s="637" t="s">
        <v>777</v>
      </c>
      <c r="H5303" s="638">
        <v>4.8499999999999996</v>
      </c>
      <c r="V5303">
        <v>69</v>
      </c>
    </row>
    <row r="5304" spans="1:22" customFormat="1" ht="15" x14ac:dyDescent="0.25">
      <c r="A5304" t="s">
        <v>269</v>
      </c>
      <c r="E5304" s="1554" t="s">
        <v>858</v>
      </c>
      <c r="F5304" s="1554"/>
      <c r="G5304" s="637" t="s">
        <v>777</v>
      </c>
      <c r="H5304" s="638">
        <v>2.42</v>
      </c>
      <c r="V5304">
        <v>199</v>
      </c>
    </row>
    <row r="5305" spans="1:22" customFormat="1" x14ac:dyDescent="0.25">
      <c r="A5305" t="s">
        <v>269</v>
      </c>
      <c r="E5305" s="858" t="s">
        <v>3853</v>
      </c>
      <c r="F5305" s="627"/>
      <c r="G5305" s="627"/>
      <c r="H5305" s="628"/>
      <c r="K5305" t="s">
        <v>4986</v>
      </c>
      <c r="V5305">
        <v>12</v>
      </c>
    </row>
    <row r="5306" spans="1:22" customFormat="1" ht="15" x14ac:dyDescent="0.25">
      <c r="A5306" t="s">
        <v>269</v>
      </c>
      <c r="E5306" s="1554" t="s">
        <v>1114</v>
      </c>
      <c r="F5306" s="1554"/>
      <c r="G5306" s="1554"/>
      <c r="H5306" s="1747"/>
      <c r="V5306">
        <v>203</v>
      </c>
    </row>
    <row r="5307" spans="1:22" customFormat="1" ht="15" x14ac:dyDescent="0.25">
      <c r="A5307" t="s">
        <v>269</v>
      </c>
      <c r="E5307" s="1554" t="s">
        <v>1115</v>
      </c>
      <c r="F5307" s="1554"/>
      <c r="G5307" s="740"/>
      <c r="H5307" s="745">
        <v>1.0468999999999999</v>
      </c>
      <c r="V5307">
        <v>57</v>
      </c>
    </row>
    <row r="5308" spans="1:22" customFormat="1" ht="15" x14ac:dyDescent="0.25">
      <c r="A5308" t="s">
        <v>269</v>
      </c>
      <c r="E5308" s="1554" t="s">
        <v>4072</v>
      </c>
      <c r="F5308" s="1554"/>
      <c r="G5308" s="740"/>
      <c r="H5308" s="745">
        <v>1.0139</v>
      </c>
      <c r="V5308">
        <v>57</v>
      </c>
    </row>
    <row r="5309" spans="1:22" customFormat="1" ht="15" x14ac:dyDescent="0.25">
      <c r="A5309" t="s">
        <v>269</v>
      </c>
      <c r="E5309" s="1554" t="s">
        <v>1117</v>
      </c>
      <c r="F5309" s="1554"/>
      <c r="G5309" s="740"/>
      <c r="H5309" s="745">
        <v>1.0364</v>
      </c>
      <c r="V5309">
        <v>55</v>
      </c>
    </row>
    <row r="5310" spans="1:22" customFormat="1" ht="15" x14ac:dyDescent="0.25">
      <c r="A5310" t="s">
        <v>269</v>
      </c>
      <c r="E5310" s="1554" t="s">
        <v>4073</v>
      </c>
      <c r="F5310" s="1554"/>
      <c r="G5310" s="740"/>
      <c r="H5310" s="745">
        <v>1.0038</v>
      </c>
      <c r="J5310" t="s">
        <v>4987</v>
      </c>
      <c r="V5310">
        <v>55</v>
      </c>
    </row>
    <row r="5311" spans="1:22" customFormat="1" ht="23.25" x14ac:dyDescent="0.25">
      <c r="A5311" t="s">
        <v>277</v>
      </c>
      <c r="C5311" t="s">
        <v>3755</v>
      </c>
      <c r="E5311" s="1550" t="s">
        <v>277</v>
      </c>
      <c r="F5311" s="1550"/>
      <c r="G5311" s="1550"/>
      <c r="H5311" s="1550"/>
      <c r="I5311" t="s">
        <v>94</v>
      </c>
      <c r="J5311" t="s">
        <v>5002</v>
      </c>
      <c r="K5311" t="s">
        <v>277</v>
      </c>
      <c r="M5311">
        <v>9</v>
      </c>
      <c r="V5311">
        <v>30</v>
      </c>
    </row>
    <row r="5312" spans="1:22" customFormat="1" x14ac:dyDescent="0.25">
      <c r="A5312" t="s">
        <v>277</v>
      </c>
      <c r="C5312" t="s">
        <v>3757</v>
      </c>
      <c r="E5312" s="1551" t="s">
        <v>944</v>
      </c>
      <c r="F5312" s="1551"/>
      <c r="G5312" s="1551"/>
      <c r="H5312" s="1551"/>
      <c r="V5312">
        <v>27</v>
      </c>
    </row>
    <row r="5313" spans="1:22" customFormat="1" ht="15.75" x14ac:dyDescent="0.25">
      <c r="A5313" t="s">
        <v>277</v>
      </c>
      <c r="C5313" t="s">
        <v>3758</v>
      </c>
      <c r="E5313" s="1543" t="s">
        <v>6511</v>
      </c>
      <c r="F5313" s="1543"/>
      <c r="G5313" s="1543"/>
      <c r="H5313" s="1543"/>
      <c r="S5313">
        <v>45658</v>
      </c>
      <c r="V5313">
        <v>49</v>
      </c>
    </row>
    <row r="5314" spans="1:22" customFormat="1" ht="15" x14ac:dyDescent="0.25">
      <c r="A5314" t="s">
        <v>277</v>
      </c>
      <c r="C5314" t="s">
        <v>3759</v>
      </c>
      <c r="E5314" s="1544" t="s">
        <v>945</v>
      </c>
      <c r="F5314" s="1544"/>
      <c r="G5314" s="1544"/>
      <c r="H5314" s="1544"/>
      <c r="V5314">
        <v>52</v>
      </c>
    </row>
    <row r="5315" spans="1:22" customFormat="1" ht="15" x14ac:dyDescent="0.25">
      <c r="A5315" t="s">
        <v>277</v>
      </c>
      <c r="E5315" s="1544" t="s">
        <v>946</v>
      </c>
      <c r="F5315" s="1544"/>
      <c r="G5315" s="1544"/>
      <c r="H5315" s="1544"/>
      <c r="V5315">
        <v>53</v>
      </c>
    </row>
    <row r="5316" spans="1:22" customFormat="1" ht="15" x14ac:dyDescent="0.25">
      <c r="A5316" t="s">
        <v>277</v>
      </c>
      <c r="E5316" s="1513" t="s">
        <v>6776</v>
      </c>
      <c r="F5316" s="1513"/>
      <c r="G5316" s="1513"/>
      <c r="H5316" s="1513"/>
      <c r="K5316" t="s">
        <v>6776</v>
      </c>
      <c r="V5316">
        <v>12</v>
      </c>
    </row>
    <row r="5317" spans="1:22" customFormat="1" x14ac:dyDescent="0.25">
      <c r="A5317" t="s">
        <v>277</v>
      </c>
      <c r="E5317" s="1499" t="s">
        <v>170</v>
      </c>
      <c r="F5317" s="1530"/>
      <c r="G5317" s="1530"/>
      <c r="H5317" s="1530"/>
      <c r="K5317" t="s">
        <v>947</v>
      </c>
      <c r="V5317">
        <v>34</v>
      </c>
    </row>
    <row r="5318" spans="1:22" customFormat="1" ht="15" x14ac:dyDescent="0.25">
      <c r="A5318" t="s">
        <v>277</v>
      </c>
      <c r="E5318" s="1516" t="s">
        <v>5003</v>
      </c>
      <c r="F5318" s="1516"/>
      <c r="G5318" s="1516"/>
      <c r="H5318" s="1516"/>
      <c r="K5318" t="s">
        <v>947</v>
      </c>
      <c r="V5318">
        <v>635</v>
      </c>
    </row>
    <row r="5319" spans="1:22" customFormat="1" ht="15" x14ac:dyDescent="0.25">
      <c r="A5319" t="s">
        <v>277</v>
      </c>
      <c r="E5319" s="1516" t="s">
        <v>5004</v>
      </c>
      <c r="F5319" s="1516"/>
      <c r="G5319" s="1516"/>
      <c r="H5319" s="1516"/>
      <c r="K5319" t="s">
        <v>947</v>
      </c>
      <c r="V5319">
        <v>789</v>
      </c>
    </row>
    <row r="5320" spans="1:22" customFormat="1" ht="15" x14ac:dyDescent="0.25">
      <c r="A5320" t="s">
        <v>277</v>
      </c>
      <c r="E5320" s="1553" t="s">
        <v>950</v>
      </c>
      <c r="F5320" s="1530"/>
      <c r="G5320" s="1530"/>
      <c r="H5320" s="1530"/>
      <c r="K5320" t="s">
        <v>949</v>
      </c>
      <c r="V5320">
        <v>11</v>
      </c>
    </row>
    <row r="5321" spans="1:22" customFormat="1" ht="15" x14ac:dyDescent="0.25">
      <c r="A5321" t="s">
        <v>277</v>
      </c>
      <c r="E5321" s="1516" t="s">
        <v>951</v>
      </c>
      <c r="F5321" s="1516"/>
      <c r="G5321" s="1516"/>
      <c r="H5321" s="1516"/>
      <c r="K5321" t="s">
        <v>947</v>
      </c>
      <c r="V5321">
        <v>280</v>
      </c>
    </row>
    <row r="5322" spans="1:22" customFormat="1" ht="15" x14ac:dyDescent="0.25">
      <c r="A5322" t="s">
        <v>277</v>
      </c>
      <c r="E5322" s="1516" t="s">
        <v>952</v>
      </c>
      <c r="F5322" s="1516"/>
      <c r="G5322" s="1516"/>
      <c r="H5322" s="1516"/>
      <c r="K5322" t="s">
        <v>947</v>
      </c>
      <c r="V5322">
        <v>411</v>
      </c>
    </row>
    <row r="5323" spans="1:22" customFormat="1" ht="15" x14ac:dyDescent="0.25">
      <c r="A5323" t="s">
        <v>277</v>
      </c>
      <c r="E5323" s="1516" t="s">
        <v>3761</v>
      </c>
      <c r="F5323" s="1516"/>
      <c r="G5323" s="1516"/>
      <c r="H5323" s="1516"/>
      <c r="K5323" t="s">
        <v>947</v>
      </c>
      <c r="V5323">
        <v>387</v>
      </c>
    </row>
    <row r="5324" spans="1:22" customFormat="1" ht="15" x14ac:dyDescent="0.25">
      <c r="A5324" t="s">
        <v>277</v>
      </c>
      <c r="E5324" s="1516" t="s">
        <v>4209</v>
      </c>
      <c r="F5324" s="1516"/>
      <c r="G5324" s="1516"/>
      <c r="H5324" s="1516"/>
      <c r="K5324" t="s">
        <v>947</v>
      </c>
      <c r="V5324">
        <v>247</v>
      </c>
    </row>
    <row r="5325" spans="1:22" customFormat="1" ht="15" x14ac:dyDescent="0.25">
      <c r="A5325" t="s">
        <v>277</v>
      </c>
      <c r="E5325" s="1553" t="s">
        <v>956</v>
      </c>
      <c r="F5325" s="1530"/>
      <c r="G5325" s="1530"/>
      <c r="H5325" s="1530"/>
      <c r="K5325" t="s">
        <v>955</v>
      </c>
      <c r="V5325">
        <v>46</v>
      </c>
    </row>
    <row r="5326" spans="1:22" customFormat="1" ht="15" x14ac:dyDescent="0.25">
      <c r="A5326" t="s">
        <v>277</v>
      </c>
      <c r="E5326" s="1507" t="s">
        <v>3773</v>
      </c>
      <c r="F5326" s="1507"/>
      <c r="G5326" s="584" t="s">
        <v>777</v>
      </c>
      <c r="H5326" s="576">
        <v>36.17</v>
      </c>
      <c r="K5326" t="s">
        <v>947</v>
      </c>
      <c r="L5326" t="s">
        <v>690</v>
      </c>
      <c r="P5326" t="s">
        <v>957</v>
      </c>
      <c r="V5326">
        <v>14</v>
      </c>
    </row>
    <row r="5327" spans="1:22" customFormat="1" ht="15" x14ac:dyDescent="0.25">
      <c r="A5327" t="s">
        <v>277</v>
      </c>
      <c r="E5327" s="1507" t="s">
        <v>960</v>
      </c>
      <c r="F5327" s="1507"/>
      <c r="G5327" s="584" t="s">
        <v>777</v>
      </c>
      <c r="H5327" s="576">
        <v>0.42</v>
      </c>
      <c r="K5327" t="s">
        <v>947</v>
      </c>
      <c r="L5327" t="s">
        <v>692</v>
      </c>
      <c r="P5327" t="s">
        <v>959</v>
      </c>
      <c r="V5327">
        <v>64</v>
      </c>
    </row>
    <row r="5328" spans="1:22" customFormat="1" ht="15" x14ac:dyDescent="0.25">
      <c r="A5328" t="s">
        <v>277</v>
      </c>
      <c r="E5328" s="1507" t="s">
        <v>910</v>
      </c>
      <c r="F5328" s="1507"/>
      <c r="G5328" s="584" t="s">
        <v>845</v>
      </c>
      <c r="H5328" s="577">
        <v>1.6000000000000001E-3</v>
      </c>
      <c r="K5328" t="s">
        <v>947</v>
      </c>
      <c r="L5328" t="s">
        <v>692</v>
      </c>
      <c r="P5328" t="s">
        <v>961</v>
      </c>
      <c r="V5328">
        <v>24</v>
      </c>
    </row>
    <row r="5329" spans="1:22" customFormat="1" ht="15" x14ac:dyDescent="0.25">
      <c r="A5329" t="s">
        <v>277</v>
      </c>
      <c r="E5329" s="1507" t="s">
        <v>6519</v>
      </c>
      <c r="F5329" s="1510"/>
      <c r="G5329" s="584" t="s">
        <v>845</v>
      </c>
      <c r="H5329" s="577">
        <v>3.3E-3</v>
      </c>
      <c r="K5329" t="s">
        <v>947</v>
      </c>
      <c r="L5329" t="s">
        <v>692</v>
      </c>
      <c r="P5329" t="s">
        <v>962</v>
      </c>
      <c r="T5329">
        <v>46022</v>
      </c>
      <c r="V5329">
        <v>142</v>
      </c>
    </row>
    <row r="5330" spans="1:22" customFormat="1" ht="15" x14ac:dyDescent="0.25">
      <c r="A5330" t="s">
        <v>277</v>
      </c>
      <c r="E5330" s="1507" t="s">
        <v>6520</v>
      </c>
      <c r="F5330" s="1510"/>
      <c r="G5330" s="584" t="s">
        <v>845</v>
      </c>
      <c r="H5330" s="577">
        <v>2.9999999999999997E-4</v>
      </c>
      <c r="K5330" t="s">
        <v>947</v>
      </c>
      <c r="L5330" t="s">
        <v>692</v>
      </c>
      <c r="P5330" t="s">
        <v>963</v>
      </c>
      <c r="T5330">
        <v>46022</v>
      </c>
      <c r="V5330">
        <v>99</v>
      </c>
    </row>
    <row r="5331" spans="1:22" customFormat="1" ht="15" x14ac:dyDescent="0.25">
      <c r="A5331" t="s">
        <v>277</v>
      </c>
      <c r="E5331" s="1507" t="s">
        <v>243</v>
      </c>
      <c r="F5331" s="1507"/>
      <c r="G5331" s="584" t="s">
        <v>845</v>
      </c>
      <c r="H5331" s="577">
        <v>1.1599999999999999E-2</v>
      </c>
      <c r="K5331" t="s">
        <v>947</v>
      </c>
      <c r="L5331" t="s">
        <v>694</v>
      </c>
      <c r="P5331" t="s">
        <v>964</v>
      </c>
      <c r="V5331">
        <v>47</v>
      </c>
    </row>
    <row r="5332" spans="1:22" customFormat="1" ht="15" x14ac:dyDescent="0.25">
      <c r="A5332" t="s">
        <v>277</v>
      </c>
      <c r="E5332" s="1507" t="s">
        <v>175</v>
      </c>
      <c r="F5332" s="1507"/>
      <c r="G5332" s="584" t="s">
        <v>845</v>
      </c>
      <c r="H5332" s="577">
        <v>8.5000000000000006E-3</v>
      </c>
      <c r="K5332" t="s">
        <v>947</v>
      </c>
      <c r="L5332" t="s">
        <v>694</v>
      </c>
      <c r="P5332" t="s">
        <v>965</v>
      </c>
      <c r="V5332">
        <v>74</v>
      </c>
    </row>
    <row r="5333" spans="1:22" customFormat="1" ht="15" x14ac:dyDescent="0.25">
      <c r="A5333" t="s">
        <v>277</v>
      </c>
      <c r="E5333" s="1515" t="s">
        <v>967</v>
      </c>
      <c r="F5333" s="1507"/>
      <c r="G5333" s="584"/>
      <c r="H5333" s="584"/>
      <c r="K5333" t="s">
        <v>966</v>
      </c>
      <c r="V5333">
        <v>48</v>
      </c>
    </row>
    <row r="5334" spans="1:22" customFormat="1" ht="15" x14ac:dyDescent="0.25">
      <c r="A5334" t="s">
        <v>277</v>
      </c>
      <c r="E5334" s="1507" t="s">
        <v>844</v>
      </c>
      <c r="F5334" s="1507"/>
      <c r="G5334" s="584" t="s">
        <v>845</v>
      </c>
      <c r="H5334" s="577">
        <v>4.1000000000000003E-3</v>
      </c>
      <c r="K5334" t="s">
        <v>947</v>
      </c>
      <c r="L5334" t="s">
        <v>968</v>
      </c>
      <c r="P5334" t="s">
        <v>969</v>
      </c>
      <c r="V5334">
        <v>55</v>
      </c>
    </row>
    <row r="5335" spans="1:22" customFormat="1" ht="15" x14ac:dyDescent="0.25">
      <c r="A5335" t="s">
        <v>277</v>
      </c>
      <c r="E5335" s="1507" t="s">
        <v>846</v>
      </c>
      <c r="F5335" s="1507"/>
      <c r="G5335" s="584" t="s">
        <v>845</v>
      </c>
      <c r="H5335" s="577">
        <v>4.0000000000000002E-4</v>
      </c>
      <c r="K5335" t="s">
        <v>947</v>
      </c>
      <c r="L5335" t="s">
        <v>968</v>
      </c>
      <c r="P5335" t="s">
        <v>969</v>
      </c>
      <c r="V5335">
        <v>65</v>
      </c>
    </row>
    <row r="5336" spans="1:22" customFormat="1" ht="15" x14ac:dyDescent="0.25">
      <c r="A5336" t="s">
        <v>277</v>
      </c>
      <c r="E5336" s="1507" t="s">
        <v>847</v>
      </c>
      <c r="F5336" s="1507"/>
      <c r="G5336" s="584" t="s">
        <v>845</v>
      </c>
      <c r="H5336" s="577">
        <v>1.5E-3</v>
      </c>
      <c r="K5336" t="s">
        <v>947</v>
      </c>
      <c r="L5336" t="s">
        <v>968</v>
      </c>
      <c r="P5336" t="s">
        <v>970</v>
      </c>
      <c r="V5336">
        <v>57</v>
      </c>
    </row>
    <row r="5337" spans="1:22" customFormat="1" ht="15" x14ac:dyDescent="0.25">
      <c r="A5337" t="s">
        <v>277</v>
      </c>
      <c r="E5337" s="1507" t="s">
        <v>848</v>
      </c>
      <c r="F5337" s="1507"/>
      <c r="G5337" s="584" t="s">
        <v>777</v>
      </c>
      <c r="H5337" s="576">
        <v>0.25</v>
      </c>
      <c r="K5337" t="s">
        <v>947</v>
      </c>
      <c r="L5337" t="s">
        <v>968</v>
      </c>
      <c r="P5337" t="s">
        <v>971</v>
      </c>
      <c r="V5337">
        <v>63</v>
      </c>
    </row>
    <row r="5338" spans="1:22" customFormat="1" x14ac:dyDescent="0.25">
      <c r="A5338" t="s">
        <v>277</v>
      </c>
      <c r="E5338" s="1499" t="s">
        <v>174</v>
      </c>
      <c r="F5338" s="1500"/>
      <c r="G5338" s="1500"/>
      <c r="H5338" s="1500"/>
      <c r="K5338" t="s">
        <v>972</v>
      </c>
      <c r="V5338">
        <v>54</v>
      </c>
    </row>
    <row r="5339" spans="1:22" customFormat="1" ht="15" x14ac:dyDescent="0.25">
      <c r="A5339" t="s">
        <v>277</v>
      </c>
      <c r="E5339" s="1516" t="s">
        <v>5006</v>
      </c>
      <c r="F5339" s="1516"/>
      <c r="G5339" s="1516"/>
      <c r="H5339" s="1516"/>
      <c r="K5339" t="s">
        <v>972</v>
      </c>
      <c r="V5339">
        <v>391</v>
      </c>
    </row>
    <row r="5340" spans="1:22" customFormat="1" ht="15" x14ac:dyDescent="0.25">
      <c r="A5340" t="s">
        <v>277</v>
      </c>
      <c r="E5340" s="1553" t="s">
        <v>950</v>
      </c>
      <c r="F5340" s="1530"/>
      <c r="G5340" s="1530"/>
      <c r="H5340" s="1530"/>
      <c r="K5340" t="s">
        <v>974</v>
      </c>
      <c r="V5340">
        <v>11</v>
      </c>
    </row>
    <row r="5341" spans="1:22" customFormat="1" ht="15" x14ac:dyDescent="0.25">
      <c r="A5341" t="s">
        <v>277</v>
      </c>
      <c r="E5341" s="1516" t="s">
        <v>951</v>
      </c>
      <c r="F5341" s="1516"/>
      <c r="G5341" s="1516"/>
      <c r="H5341" s="1516"/>
      <c r="K5341" t="s">
        <v>972</v>
      </c>
      <c r="V5341">
        <v>280</v>
      </c>
    </row>
    <row r="5342" spans="1:22" customFormat="1" ht="15" x14ac:dyDescent="0.25">
      <c r="A5342" t="s">
        <v>277</v>
      </c>
      <c r="E5342" s="1516" t="s">
        <v>952</v>
      </c>
      <c r="F5342" s="1516"/>
      <c r="G5342" s="1516"/>
      <c r="H5342" s="1516"/>
      <c r="K5342" t="s">
        <v>972</v>
      </c>
      <c r="V5342">
        <v>411</v>
      </c>
    </row>
    <row r="5343" spans="1:22" customFormat="1" ht="15" x14ac:dyDescent="0.25">
      <c r="A5343" t="s">
        <v>277</v>
      </c>
      <c r="E5343" s="1516" t="s">
        <v>3761</v>
      </c>
      <c r="F5343" s="1516"/>
      <c r="G5343" s="1516"/>
      <c r="H5343" s="1516"/>
      <c r="K5343" t="s">
        <v>972</v>
      </c>
      <c r="V5343">
        <v>387</v>
      </c>
    </row>
    <row r="5344" spans="1:22" customFormat="1" ht="15" x14ac:dyDescent="0.25">
      <c r="A5344" t="s">
        <v>277</v>
      </c>
      <c r="E5344" s="1516" t="s">
        <v>5005</v>
      </c>
      <c r="F5344" s="1516"/>
      <c r="G5344" s="1516"/>
      <c r="H5344" s="1516"/>
      <c r="K5344" t="s">
        <v>972</v>
      </c>
      <c r="V5344">
        <v>278</v>
      </c>
    </row>
    <row r="5345" spans="1:22" customFormat="1" ht="15" x14ac:dyDescent="0.25">
      <c r="A5345" t="s">
        <v>277</v>
      </c>
      <c r="E5345" s="1553" t="s">
        <v>956</v>
      </c>
      <c r="F5345" s="1530"/>
      <c r="G5345" s="1530"/>
      <c r="H5345" s="1530"/>
      <c r="K5345" t="s">
        <v>975</v>
      </c>
      <c r="V5345">
        <v>46</v>
      </c>
    </row>
    <row r="5346" spans="1:22" customFormat="1" ht="15" x14ac:dyDescent="0.25">
      <c r="A5346" t="s">
        <v>277</v>
      </c>
      <c r="E5346" s="1507" t="s">
        <v>3773</v>
      </c>
      <c r="F5346" s="1507"/>
      <c r="G5346" s="584" t="s">
        <v>777</v>
      </c>
      <c r="H5346" s="576">
        <v>22.24</v>
      </c>
      <c r="K5346" t="s">
        <v>972</v>
      </c>
      <c r="L5346" t="s">
        <v>690</v>
      </c>
      <c r="P5346" t="s">
        <v>976</v>
      </c>
      <c r="V5346">
        <v>14</v>
      </c>
    </row>
    <row r="5347" spans="1:22" customFormat="1" ht="15" x14ac:dyDescent="0.25">
      <c r="A5347" t="s">
        <v>277</v>
      </c>
      <c r="E5347" s="1507" t="s">
        <v>960</v>
      </c>
      <c r="F5347" s="1507"/>
      <c r="G5347" s="584" t="s">
        <v>777</v>
      </c>
      <c r="H5347" s="576">
        <v>0.42</v>
      </c>
      <c r="K5347" t="s">
        <v>972</v>
      </c>
      <c r="L5347" t="s">
        <v>692</v>
      </c>
      <c r="P5347" t="s">
        <v>977</v>
      </c>
      <c r="V5347">
        <v>64</v>
      </c>
    </row>
    <row r="5348" spans="1:22" customFormat="1" ht="15" x14ac:dyDescent="0.25">
      <c r="A5348" t="s">
        <v>277</v>
      </c>
      <c r="E5348" s="1507" t="s">
        <v>3688</v>
      </c>
      <c r="F5348" s="1507"/>
      <c r="G5348" s="584" t="s">
        <v>845</v>
      </c>
      <c r="H5348" s="577">
        <v>2.3400000000000001E-2</v>
      </c>
      <c r="K5348" t="s">
        <v>972</v>
      </c>
      <c r="L5348" t="s">
        <v>690</v>
      </c>
      <c r="P5348" t="s">
        <v>978</v>
      </c>
      <c r="V5348">
        <v>28</v>
      </c>
    </row>
    <row r="5349" spans="1:22" customFormat="1" ht="15" x14ac:dyDescent="0.25">
      <c r="A5349" t="s">
        <v>277</v>
      </c>
      <c r="E5349" s="1507" t="s">
        <v>910</v>
      </c>
      <c r="F5349" s="1507"/>
      <c r="G5349" s="584" t="s">
        <v>845</v>
      </c>
      <c r="H5349" s="577">
        <v>1.4E-3</v>
      </c>
      <c r="K5349" t="s">
        <v>972</v>
      </c>
      <c r="L5349" t="s">
        <v>692</v>
      </c>
      <c r="P5349" t="s">
        <v>980</v>
      </c>
      <c r="V5349">
        <v>24</v>
      </c>
    </row>
    <row r="5350" spans="1:22" customFormat="1" ht="15" x14ac:dyDescent="0.25">
      <c r="A5350" t="s">
        <v>277</v>
      </c>
      <c r="E5350" s="1507" t="s">
        <v>6519</v>
      </c>
      <c r="F5350" s="1510"/>
      <c r="G5350" s="584" t="s">
        <v>845</v>
      </c>
      <c r="H5350" s="577">
        <v>3.3E-3</v>
      </c>
      <c r="K5350" t="s">
        <v>972</v>
      </c>
      <c r="L5350" t="s">
        <v>692</v>
      </c>
      <c r="P5350" t="s">
        <v>981</v>
      </c>
      <c r="T5350">
        <v>46022</v>
      </c>
      <c r="V5350">
        <v>142</v>
      </c>
    </row>
    <row r="5351" spans="1:22" customFormat="1" ht="15" x14ac:dyDescent="0.25">
      <c r="A5351" t="s">
        <v>277</v>
      </c>
      <c r="E5351" s="1507" t="s">
        <v>6520</v>
      </c>
      <c r="F5351" s="1510"/>
      <c r="G5351" s="584" t="s">
        <v>845</v>
      </c>
      <c r="H5351" s="577">
        <v>5.0000000000000001E-4</v>
      </c>
      <c r="K5351" t="s">
        <v>972</v>
      </c>
      <c r="L5351" t="s">
        <v>692</v>
      </c>
      <c r="P5351" t="s">
        <v>982</v>
      </c>
      <c r="T5351">
        <v>46022</v>
      </c>
      <c r="V5351">
        <v>99</v>
      </c>
    </row>
    <row r="5352" spans="1:22" customFormat="1" ht="15" x14ac:dyDescent="0.25">
      <c r="A5352" t="s">
        <v>277</v>
      </c>
      <c r="E5352" s="1507" t="s">
        <v>243</v>
      </c>
      <c r="F5352" s="1507"/>
      <c r="G5352" s="584" t="s">
        <v>845</v>
      </c>
      <c r="H5352" s="577">
        <v>1.04E-2</v>
      </c>
      <c r="K5352" t="s">
        <v>972</v>
      </c>
      <c r="L5352" t="s">
        <v>694</v>
      </c>
      <c r="P5352" t="s">
        <v>983</v>
      </c>
      <c r="V5352">
        <v>47</v>
      </c>
    </row>
    <row r="5353" spans="1:22" customFormat="1" ht="15" x14ac:dyDescent="0.25">
      <c r="A5353" t="s">
        <v>277</v>
      </c>
      <c r="E5353" s="1507" t="s">
        <v>175</v>
      </c>
      <c r="F5353" s="1507"/>
      <c r="G5353" s="584" t="s">
        <v>845</v>
      </c>
      <c r="H5353" s="577">
        <v>7.6E-3</v>
      </c>
      <c r="K5353" t="s">
        <v>972</v>
      </c>
      <c r="L5353" t="s">
        <v>694</v>
      </c>
      <c r="P5353" t="s">
        <v>984</v>
      </c>
      <c r="V5353">
        <v>74</v>
      </c>
    </row>
    <row r="5354" spans="1:22" customFormat="1" ht="15" x14ac:dyDescent="0.25">
      <c r="A5354" t="s">
        <v>277</v>
      </c>
      <c r="E5354" s="1515" t="s">
        <v>967</v>
      </c>
      <c r="F5354" s="1507"/>
      <c r="G5354" s="584"/>
      <c r="H5354" s="584"/>
      <c r="K5354" t="s">
        <v>985</v>
      </c>
      <c r="V5354">
        <v>48</v>
      </c>
    </row>
    <row r="5355" spans="1:22" customFormat="1" ht="15" x14ac:dyDescent="0.25">
      <c r="A5355" t="s">
        <v>277</v>
      </c>
      <c r="E5355" s="1507" t="s">
        <v>844</v>
      </c>
      <c r="F5355" s="1507"/>
      <c r="G5355" s="584" t="s">
        <v>845</v>
      </c>
      <c r="H5355" s="577">
        <v>4.1000000000000003E-3</v>
      </c>
      <c r="K5355" t="s">
        <v>972</v>
      </c>
      <c r="L5355" t="s">
        <v>968</v>
      </c>
      <c r="P5355" t="s">
        <v>986</v>
      </c>
      <c r="V5355">
        <v>55</v>
      </c>
    </row>
    <row r="5356" spans="1:22" customFormat="1" ht="15" x14ac:dyDescent="0.25">
      <c r="A5356" t="s">
        <v>277</v>
      </c>
      <c r="E5356" s="1507" t="s">
        <v>846</v>
      </c>
      <c r="F5356" s="1507"/>
      <c r="G5356" s="584" t="s">
        <v>845</v>
      </c>
      <c r="H5356" s="577">
        <v>4.0000000000000002E-4</v>
      </c>
      <c r="K5356" t="s">
        <v>972</v>
      </c>
      <c r="L5356" t="s">
        <v>968</v>
      </c>
      <c r="P5356" t="s">
        <v>986</v>
      </c>
      <c r="V5356">
        <v>65</v>
      </c>
    </row>
    <row r="5357" spans="1:22" customFormat="1" ht="15" x14ac:dyDescent="0.25">
      <c r="A5357" t="s">
        <v>277</v>
      </c>
      <c r="E5357" s="1507" t="s">
        <v>847</v>
      </c>
      <c r="F5357" s="1507"/>
      <c r="G5357" s="584" t="s">
        <v>845</v>
      </c>
      <c r="H5357" s="577">
        <v>1.5E-3</v>
      </c>
      <c r="K5357" t="s">
        <v>972</v>
      </c>
      <c r="L5357" t="s">
        <v>968</v>
      </c>
      <c r="P5357" t="s">
        <v>987</v>
      </c>
      <c r="V5357">
        <v>57</v>
      </c>
    </row>
    <row r="5358" spans="1:22" customFormat="1" ht="15" x14ac:dyDescent="0.25">
      <c r="A5358" t="s">
        <v>277</v>
      </c>
      <c r="E5358" s="1507" t="s">
        <v>848</v>
      </c>
      <c r="F5358" s="1507"/>
      <c r="G5358" s="584" t="s">
        <v>777</v>
      </c>
      <c r="H5358" s="576">
        <v>0.25</v>
      </c>
      <c r="K5358" t="s">
        <v>972</v>
      </c>
      <c r="L5358" t="s">
        <v>968</v>
      </c>
      <c r="P5358" t="s">
        <v>988</v>
      </c>
      <c r="V5358">
        <v>63</v>
      </c>
    </row>
    <row r="5359" spans="1:22" customFormat="1" x14ac:dyDescent="0.25">
      <c r="A5359" t="s">
        <v>277</v>
      </c>
      <c r="E5359" s="1499" t="s">
        <v>990</v>
      </c>
      <c r="F5359" s="1500"/>
      <c r="G5359" s="1500"/>
      <c r="H5359" s="1500"/>
      <c r="K5359" t="s">
        <v>989</v>
      </c>
      <c r="V5359">
        <v>51</v>
      </c>
    </row>
    <row r="5360" spans="1:22" customFormat="1" ht="15" x14ac:dyDescent="0.25">
      <c r="A5360" t="s">
        <v>277</v>
      </c>
      <c r="E5360" s="1516" t="s">
        <v>5007</v>
      </c>
      <c r="F5360" s="1516"/>
      <c r="G5360" s="1516"/>
      <c r="H5360" s="1516"/>
      <c r="K5360" t="s">
        <v>989</v>
      </c>
      <c r="V5360">
        <v>433</v>
      </c>
    </row>
    <row r="5361" spans="1:22" customFormat="1" ht="15" x14ac:dyDescent="0.25">
      <c r="A5361" t="s">
        <v>277</v>
      </c>
      <c r="E5361" s="1553" t="s">
        <v>950</v>
      </c>
      <c r="F5361" s="1530"/>
      <c r="G5361" s="1530"/>
      <c r="H5361" s="1530"/>
      <c r="K5361" t="s">
        <v>992</v>
      </c>
      <c r="V5361">
        <v>11</v>
      </c>
    </row>
    <row r="5362" spans="1:22" customFormat="1" ht="15" x14ac:dyDescent="0.25">
      <c r="A5362" t="s">
        <v>277</v>
      </c>
      <c r="E5362" s="1516" t="s">
        <v>951</v>
      </c>
      <c r="F5362" s="1516"/>
      <c r="G5362" s="1516"/>
      <c r="H5362" s="1516"/>
      <c r="K5362" t="s">
        <v>989</v>
      </c>
      <c r="V5362">
        <v>280</v>
      </c>
    </row>
    <row r="5363" spans="1:22" customFormat="1" ht="15" x14ac:dyDescent="0.25">
      <c r="A5363" t="s">
        <v>277</v>
      </c>
      <c r="E5363" s="1516" t="s">
        <v>952</v>
      </c>
      <c r="F5363" s="1516"/>
      <c r="G5363" s="1516"/>
      <c r="H5363" s="1516"/>
      <c r="K5363" t="s">
        <v>989</v>
      </c>
      <c r="V5363">
        <v>411</v>
      </c>
    </row>
    <row r="5364" spans="1:22" customFormat="1" ht="15" x14ac:dyDescent="0.25">
      <c r="A5364" t="s">
        <v>277</v>
      </c>
      <c r="E5364" s="1516" t="s">
        <v>3761</v>
      </c>
      <c r="F5364" s="1516"/>
      <c r="G5364" s="1516"/>
      <c r="H5364" s="1516"/>
      <c r="K5364" t="s">
        <v>989</v>
      </c>
      <c r="V5364">
        <v>387</v>
      </c>
    </row>
    <row r="5365" spans="1:22" customFormat="1" ht="15" x14ac:dyDescent="0.25">
      <c r="A5365" t="s">
        <v>277</v>
      </c>
      <c r="E5365" s="1516" t="s">
        <v>3771</v>
      </c>
      <c r="F5365" s="1516"/>
      <c r="G5365" s="1516"/>
      <c r="H5365" s="1516"/>
      <c r="K5365" t="s">
        <v>989</v>
      </c>
      <c r="V5365">
        <v>677</v>
      </c>
    </row>
    <row r="5366" spans="1:22" customFormat="1" ht="15" x14ac:dyDescent="0.25">
      <c r="A5366" t="s">
        <v>277</v>
      </c>
      <c r="E5366" s="1516" t="s">
        <v>3772</v>
      </c>
      <c r="F5366" s="1516"/>
      <c r="G5366" s="1516"/>
      <c r="H5366" s="1516"/>
      <c r="K5366" t="s">
        <v>989</v>
      </c>
      <c r="V5366">
        <v>693</v>
      </c>
    </row>
    <row r="5367" spans="1:22" customFormat="1" ht="15" x14ac:dyDescent="0.25">
      <c r="A5367" t="s">
        <v>277</v>
      </c>
      <c r="E5367" s="1516" t="s">
        <v>954</v>
      </c>
      <c r="F5367" s="1516"/>
      <c r="G5367" s="1516"/>
      <c r="H5367" s="1516"/>
      <c r="K5367" t="s">
        <v>989</v>
      </c>
      <c r="V5367">
        <v>246</v>
      </c>
    </row>
    <row r="5368" spans="1:22" customFormat="1" ht="15" x14ac:dyDescent="0.25">
      <c r="A5368" t="s">
        <v>277</v>
      </c>
      <c r="E5368" s="1553" t="s">
        <v>956</v>
      </c>
      <c r="F5368" s="1530"/>
      <c r="G5368" s="1530"/>
      <c r="H5368" s="1530"/>
      <c r="K5368" t="s">
        <v>995</v>
      </c>
      <c r="V5368">
        <v>46</v>
      </c>
    </row>
    <row r="5369" spans="1:22" customFormat="1" ht="15" x14ac:dyDescent="0.25">
      <c r="A5369" t="s">
        <v>277</v>
      </c>
      <c r="E5369" s="1507" t="s">
        <v>3773</v>
      </c>
      <c r="F5369" s="1507"/>
      <c r="G5369" s="584" t="s">
        <v>777</v>
      </c>
      <c r="H5369" s="576">
        <v>94.17</v>
      </c>
      <c r="K5369" t="s">
        <v>989</v>
      </c>
      <c r="L5369" t="s">
        <v>690</v>
      </c>
      <c r="P5369" t="s">
        <v>996</v>
      </c>
      <c r="V5369">
        <v>14</v>
      </c>
    </row>
    <row r="5370" spans="1:22" customFormat="1" ht="15" x14ac:dyDescent="0.25">
      <c r="A5370" t="s">
        <v>277</v>
      </c>
      <c r="E5370" s="1507" t="s">
        <v>3688</v>
      </c>
      <c r="F5370" s="1507"/>
      <c r="G5370" s="584" t="s">
        <v>3775</v>
      </c>
      <c r="H5370" s="577">
        <v>4.1272000000000002</v>
      </c>
      <c r="K5370" t="s">
        <v>989</v>
      </c>
      <c r="L5370" t="s">
        <v>690</v>
      </c>
      <c r="P5370" t="s">
        <v>997</v>
      </c>
      <c r="V5370">
        <v>28</v>
      </c>
    </row>
    <row r="5371" spans="1:22" customFormat="1" ht="15" x14ac:dyDescent="0.25">
      <c r="A5371" t="s">
        <v>277</v>
      </c>
      <c r="E5371" s="1507" t="s">
        <v>910</v>
      </c>
      <c r="F5371" s="1507"/>
      <c r="G5371" s="584" t="s">
        <v>3775</v>
      </c>
      <c r="H5371" s="577">
        <v>0.63449999999999995</v>
      </c>
      <c r="K5371" t="s">
        <v>989</v>
      </c>
      <c r="L5371" t="s">
        <v>692</v>
      </c>
      <c r="P5371" t="s">
        <v>998</v>
      </c>
      <c r="V5371">
        <v>24</v>
      </c>
    </row>
    <row r="5372" spans="1:22" customFormat="1" ht="15" x14ac:dyDescent="0.25">
      <c r="A5372" t="s">
        <v>277</v>
      </c>
      <c r="E5372" s="1507" t="s">
        <v>6519</v>
      </c>
      <c r="F5372" s="1510"/>
      <c r="G5372" s="584" t="s">
        <v>845</v>
      </c>
      <c r="H5372" s="577">
        <v>3.3E-3</v>
      </c>
      <c r="K5372" t="s">
        <v>989</v>
      </c>
      <c r="L5372" t="s">
        <v>692</v>
      </c>
      <c r="P5372" t="s">
        <v>999</v>
      </c>
      <c r="T5372">
        <v>46022</v>
      </c>
      <c r="V5372">
        <v>142</v>
      </c>
    </row>
    <row r="5373" spans="1:22" customFormat="1" ht="15" x14ac:dyDescent="0.25">
      <c r="A5373" t="s">
        <v>277</v>
      </c>
      <c r="E5373" s="1507" t="s">
        <v>6525</v>
      </c>
      <c r="F5373" s="1510"/>
      <c r="G5373" s="584" t="s">
        <v>3775</v>
      </c>
      <c r="H5373" s="577">
        <v>-0.36449999999999999</v>
      </c>
      <c r="K5373" t="s">
        <v>989</v>
      </c>
      <c r="L5373" t="s">
        <v>692</v>
      </c>
      <c r="P5373" t="s">
        <v>1000</v>
      </c>
      <c r="T5373">
        <v>46022</v>
      </c>
      <c r="V5373">
        <v>159</v>
      </c>
    </row>
    <row r="5374" spans="1:22" customFormat="1" ht="15" x14ac:dyDescent="0.25">
      <c r="A5374" t="s">
        <v>277</v>
      </c>
      <c r="E5374" s="1507" t="s">
        <v>6520</v>
      </c>
      <c r="F5374" s="1510"/>
      <c r="G5374" s="584" t="s">
        <v>3775</v>
      </c>
      <c r="H5374" s="577">
        <v>0.5554</v>
      </c>
      <c r="K5374" t="s">
        <v>989</v>
      </c>
      <c r="L5374" t="s">
        <v>692</v>
      </c>
      <c r="P5374" t="s">
        <v>1000</v>
      </c>
      <c r="T5374">
        <v>46022</v>
      </c>
      <c r="V5374">
        <v>99</v>
      </c>
    </row>
    <row r="5375" spans="1:22" customFormat="1" ht="15" x14ac:dyDescent="0.25">
      <c r="A5375" t="s">
        <v>277</v>
      </c>
      <c r="E5375" s="1507" t="s">
        <v>243</v>
      </c>
      <c r="F5375" s="1507"/>
      <c r="G5375" s="584" t="s">
        <v>3775</v>
      </c>
      <c r="H5375" s="577">
        <v>4.6832000000000003</v>
      </c>
      <c r="K5375" t="s">
        <v>989</v>
      </c>
      <c r="L5375" t="s">
        <v>694</v>
      </c>
      <c r="P5375" t="s">
        <v>1001</v>
      </c>
      <c r="V5375">
        <v>47</v>
      </c>
    </row>
    <row r="5376" spans="1:22" customFormat="1" ht="15" x14ac:dyDescent="0.25">
      <c r="A5376" t="s">
        <v>277</v>
      </c>
      <c r="E5376" s="1507" t="s">
        <v>175</v>
      </c>
      <c r="F5376" s="1507"/>
      <c r="G5376" s="584" t="s">
        <v>3775</v>
      </c>
      <c r="H5376" s="577">
        <v>3.4373</v>
      </c>
      <c r="K5376" t="s">
        <v>989</v>
      </c>
      <c r="L5376" t="s">
        <v>694</v>
      </c>
      <c r="P5376" t="s">
        <v>1002</v>
      </c>
      <c r="V5376">
        <v>74</v>
      </c>
    </row>
    <row r="5377" spans="1:22" customFormat="1" ht="15" x14ac:dyDescent="0.25">
      <c r="A5377" t="s">
        <v>277</v>
      </c>
      <c r="E5377" s="1515" t="s">
        <v>967</v>
      </c>
      <c r="F5377" s="1507"/>
      <c r="G5377" s="584"/>
      <c r="H5377" s="584"/>
      <c r="K5377" t="s">
        <v>1003</v>
      </c>
      <c r="V5377">
        <v>48</v>
      </c>
    </row>
    <row r="5378" spans="1:22" customFormat="1" ht="15" x14ac:dyDescent="0.25">
      <c r="A5378" t="s">
        <v>277</v>
      </c>
      <c r="E5378" s="1507" t="s">
        <v>844</v>
      </c>
      <c r="F5378" s="1507"/>
      <c r="G5378" s="584" t="s">
        <v>845</v>
      </c>
      <c r="H5378" s="577">
        <v>4.1000000000000003E-3</v>
      </c>
      <c r="K5378" t="s">
        <v>989</v>
      </c>
      <c r="L5378" t="s">
        <v>968</v>
      </c>
      <c r="P5378" t="s">
        <v>1004</v>
      </c>
      <c r="V5378">
        <v>55</v>
      </c>
    </row>
    <row r="5379" spans="1:22" customFormat="1" ht="15" x14ac:dyDescent="0.25">
      <c r="A5379" t="s">
        <v>277</v>
      </c>
      <c r="E5379" s="1507" t="s">
        <v>846</v>
      </c>
      <c r="F5379" s="1507"/>
      <c r="G5379" s="584" t="s">
        <v>845</v>
      </c>
      <c r="H5379" s="577">
        <v>4.0000000000000002E-4</v>
      </c>
      <c r="K5379" t="s">
        <v>989</v>
      </c>
      <c r="L5379" t="s">
        <v>968</v>
      </c>
      <c r="P5379" t="s">
        <v>1004</v>
      </c>
      <c r="V5379">
        <v>65</v>
      </c>
    </row>
    <row r="5380" spans="1:22" customFormat="1" ht="15" x14ac:dyDescent="0.25">
      <c r="A5380" t="s">
        <v>277</v>
      </c>
      <c r="E5380" s="1507" t="s">
        <v>847</v>
      </c>
      <c r="F5380" s="1507"/>
      <c r="G5380" s="584" t="s">
        <v>845</v>
      </c>
      <c r="H5380" s="577">
        <v>1.5E-3</v>
      </c>
      <c r="K5380" t="s">
        <v>989</v>
      </c>
      <c r="L5380" t="s">
        <v>968</v>
      </c>
      <c r="P5380" t="s">
        <v>1005</v>
      </c>
      <c r="V5380">
        <v>57</v>
      </c>
    </row>
    <row r="5381" spans="1:22" customFormat="1" ht="15" x14ac:dyDescent="0.25">
      <c r="A5381" t="s">
        <v>277</v>
      </c>
      <c r="E5381" s="1507" t="s">
        <v>848</v>
      </c>
      <c r="F5381" s="1507"/>
      <c r="G5381" s="584" t="s">
        <v>777</v>
      </c>
      <c r="H5381" s="576">
        <v>0.25</v>
      </c>
      <c r="K5381" t="s">
        <v>989</v>
      </c>
      <c r="L5381" t="s">
        <v>968</v>
      </c>
      <c r="P5381" t="s">
        <v>1006</v>
      </c>
      <c r="V5381">
        <v>63</v>
      </c>
    </row>
    <row r="5382" spans="1:22" customFormat="1" x14ac:dyDescent="0.25">
      <c r="A5382" t="s">
        <v>277</v>
      </c>
      <c r="E5382" s="1499" t="s">
        <v>1008</v>
      </c>
      <c r="F5382" s="1500"/>
      <c r="G5382" s="1500"/>
      <c r="H5382" s="1500"/>
      <c r="K5382" t="s">
        <v>1007</v>
      </c>
      <c r="V5382">
        <v>56</v>
      </c>
    </row>
    <row r="5383" spans="1:22" customFormat="1" ht="15" x14ac:dyDescent="0.25">
      <c r="A5383" t="s">
        <v>277</v>
      </c>
      <c r="E5383" s="1516" t="s">
        <v>5008</v>
      </c>
      <c r="F5383" s="1516"/>
      <c r="G5383" s="1516"/>
      <c r="H5383" s="1516"/>
      <c r="K5383" t="s">
        <v>1007</v>
      </c>
      <c r="V5383">
        <v>487</v>
      </c>
    </row>
    <row r="5384" spans="1:22" customFormat="1" ht="15" x14ac:dyDescent="0.25">
      <c r="A5384" t="s">
        <v>277</v>
      </c>
      <c r="E5384" s="1553" t="s">
        <v>950</v>
      </c>
      <c r="F5384" s="1530"/>
      <c r="G5384" s="1530"/>
      <c r="H5384" s="1530"/>
      <c r="K5384" t="s">
        <v>1010</v>
      </c>
      <c r="V5384">
        <v>11</v>
      </c>
    </row>
    <row r="5385" spans="1:22" customFormat="1" ht="15" x14ac:dyDescent="0.25">
      <c r="A5385" t="s">
        <v>277</v>
      </c>
      <c r="E5385" s="1516" t="s">
        <v>951</v>
      </c>
      <c r="F5385" s="1516"/>
      <c r="G5385" s="1516"/>
      <c r="H5385" s="1516"/>
      <c r="K5385" t="s">
        <v>1007</v>
      </c>
      <c r="V5385">
        <v>280</v>
      </c>
    </row>
    <row r="5386" spans="1:22" customFormat="1" ht="15" x14ac:dyDescent="0.25">
      <c r="A5386" t="s">
        <v>277</v>
      </c>
      <c r="E5386" s="1516" t="s">
        <v>952</v>
      </c>
      <c r="F5386" s="1516"/>
      <c r="G5386" s="1516"/>
      <c r="H5386" s="1516"/>
      <c r="K5386" t="s">
        <v>1007</v>
      </c>
      <c r="V5386">
        <v>411</v>
      </c>
    </row>
    <row r="5387" spans="1:22" customFormat="1" ht="15" x14ac:dyDescent="0.25">
      <c r="A5387" t="s">
        <v>277</v>
      </c>
      <c r="E5387" s="1516" t="s">
        <v>3761</v>
      </c>
      <c r="F5387" s="1516"/>
      <c r="G5387" s="1516"/>
      <c r="H5387" s="1516"/>
      <c r="K5387" t="s">
        <v>1007</v>
      </c>
      <c r="V5387">
        <v>387</v>
      </c>
    </row>
    <row r="5388" spans="1:22" customFormat="1" ht="15" x14ac:dyDescent="0.25">
      <c r="A5388" t="s">
        <v>277</v>
      </c>
      <c r="E5388" s="1516" t="s">
        <v>3771</v>
      </c>
      <c r="F5388" s="1516"/>
      <c r="G5388" s="1516"/>
      <c r="H5388" s="1516"/>
      <c r="K5388" t="s">
        <v>1007</v>
      </c>
      <c r="V5388">
        <v>677</v>
      </c>
    </row>
    <row r="5389" spans="1:22" customFormat="1" ht="15" x14ac:dyDescent="0.25">
      <c r="A5389" t="s">
        <v>277</v>
      </c>
      <c r="E5389" s="1516" t="s">
        <v>3772</v>
      </c>
      <c r="F5389" s="1516"/>
      <c r="G5389" s="1516"/>
      <c r="H5389" s="1516"/>
      <c r="K5389" t="s">
        <v>1007</v>
      </c>
      <c r="V5389">
        <v>693</v>
      </c>
    </row>
    <row r="5390" spans="1:22" customFormat="1" ht="15" x14ac:dyDescent="0.25">
      <c r="A5390" t="s">
        <v>277</v>
      </c>
      <c r="E5390" s="1516" t="s">
        <v>954</v>
      </c>
      <c r="F5390" s="1516"/>
      <c r="G5390" s="1516"/>
      <c r="H5390" s="1516"/>
      <c r="K5390" t="s">
        <v>1007</v>
      </c>
      <c r="V5390">
        <v>246</v>
      </c>
    </row>
    <row r="5391" spans="1:22" customFormat="1" ht="15" x14ac:dyDescent="0.25">
      <c r="A5391" t="s">
        <v>277</v>
      </c>
      <c r="E5391" s="1553" t="s">
        <v>956</v>
      </c>
      <c r="F5391" s="1530"/>
      <c r="G5391" s="1530"/>
      <c r="H5391" s="1530"/>
      <c r="K5391" t="s">
        <v>1011</v>
      </c>
      <c r="V5391">
        <v>46</v>
      </c>
    </row>
    <row r="5392" spans="1:22" customFormat="1" ht="15" x14ac:dyDescent="0.25">
      <c r="A5392" t="s">
        <v>277</v>
      </c>
      <c r="E5392" s="1507" t="s">
        <v>3773</v>
      </c>
      <c r="F5392" s="1507"/>
      <c r="G5392" s="584" t="s">
        <v>777</v>
      </c>
      <c r="H5392" s="576">
        <v>740.93</v>
      </c>
      <c r="K5392" t="s">
        <v>1007</v>
      </c>
      <c r="L5392" t="s">
        <v>690</v>
      </c>
      <c r="P5392" t="s">
        <v>1012</v>
      </c>
      <c r="V5392">
        <v>14</v>
      </c>
    </row>
    <row r="5393" spans="1:22" customFormat="1" ht="15" x14ac:dyDescent="0.25">
      <c r="A5393" t="s">
        <v>277</v>
      </c>
      <c r="E5393" s="1507" t="s">
        <v>3688</v>
      </c>
      <c r="F5393" s="1507"/>
      <c r="G5393" s="584" t="s">
        <v>3775</v>
      </c>
      <c r="H5393" s="577">
        <v>2.8338999999999999</v>
      </c>
      <c r="K5393" t="s">
        <v>1007</v>
      </c>
      <c r="L5393" t="s">
        <v>690</v>
      </c>
      <c r="P5393" t="s">
        <v>1013</v>
      </c>
      <c r="V5393">
        <v>28</v>
      </c>
    </row>
    <row r="5394" spans="1:22" customFormat="1" ht="15" x14ac:dyDescent="0.25">
      <c r="A5394" t="s">
        <v>277</v>
      </c>
      <c r="E5394" s="1507" t="s">
        <v>910</v>
      </c>
      <c r="F5394" s="1507"/>
      <c r="G5394" s="584" t="s">
        <v>3775</v>
      </c>
      <c r="H5394" s="577">
        <v>0.62409999999999999</v>
      </c>
      <c r="K5394" t="s">
        <v>1007</v>
      </c>
      <c r="L5394" t="s">
        <v>692</v>
      </c>
      <c r="P5394" t="s">
        <v>1014</v>
      </c>
      <c r="V5394">
        <v>24</v>
      </c>
    </row>
    <row r="5395" spans="1:22" customFormat="1" ht="15" x14ac:dyDescent="0.25">
      <c r="A5395" t="s">
        <v>277</v>
      </c>
      <c r="E5395" s="1507" t="s">
        <v>6520</v>
      </c>
      <c r="F5395" s="1510"/>
      <c r="G5395" s="584" t="s">
        <v>3775</v>
      </c>
      <c r="H5395" s="577">
        <v>0.25</v>
      </c>
      <c r="K5395" t="s">
        <v>1007</v>
      </c>
      <c r="L5395" t="s">
        <v>692</v>
      </c>
      <c r="P5395" t="s">
        <v>1016</v>
      </c>
      <c r="T5395">
        <v>46022</v>
      </c>
      <c r="V5395">
        <v>99</v>
      </c>
    </row>
    <row r="5396" spans="1:22" customFormat="1" ht="15" x14ac:dyDescent="0.25">
      <c r="A5396" t="s">
        <v>277</v>
      </c>
      <c r="E5396" s="1507" t="s">
        <v>243</v>
      </c>
      <c r="F5396" s="1507"/>
      <c r="G5396" s="584" t="s">
        <v>3775</v>
      </c>
      <c r="H5396" s="577">
        <v>4.6058000000000003</v>
      </c>
      <c r="K5396" t="s">
        <v>1007</v>
      </c>
      <c r="L5396" t="s">
        <v>694</v>
      </c>
      <c r="P5396" t="s">
        <v>1017</v>
      </c>
      <c r="V5396">
        <v>47</v>
      </c>
    </row>
    <row r="5397" spans="1:22" customFormat="1" ht="15" x14ac:dyDescent="0.25">
      <c r="A5397" t="s">
        <v>277</v>
      </c>
      <c r="E5397" s="1507" t="s">
        <v>175</v>
      </c>
      <c r="F5397" s="1507"/>
      <c r="G5397" s="584" t="s">
        <v>3775</v>
      </c>
      <c r="H5397" s="577">
        <v>3.3814000000000002</v>
      </c>
      <c r="K5397" t="s">
        <v>1007</v>
      </c>
      <c r="L5397" t="s">
        <v>694</v>
      </c>
      <c r="P5397" t="s">
        <v>1018</v>
      </c>
      <c r="V5397">
        <v>74</v>
      </c>
    </row>
    <row r="5398" spans="1:22" customFormat="1" ht="15" x14ac:dyDescent="0.25">
      <c r="A5398" t="s">
        <v>277</v>
      </c>
      <c r="E5398" s="1515" t="s">
        <v>967</v>
      </c>
      <c r="F5398" s="1507"/>
      <c r="G5398" s="584"/>
      <c r="H5398" s="584"/>
      <c r="K5398" t="s">
        <v>1019</v>
      </c>
      <c r="V5398">
        <v>48</v>
      </c>
    </row>
    <row r="5399" spans="1:22" customFormat="1" ht="15" x14ac:dyDescent="0.25">
      <c r="A5399" t="s">
        <v>277</v>
      </c>
      <c r="E5399" s="1507" t="s">
        <v>844</v>
      </c>
      <c r="F5399" s="1507"/>
      <c r="G5399" s="584" t="s">
        <v>845</v>
      </c>
      <c r="H5399" s="577">
        <v>4.1000000000000003E-3</v>
      </c>
      <c r="K5399" t="s">
        <v>1007</v>
      </c>
      <c r="L5399" t="s">
        <v>968</v>
      </c>
      <c r="P5399" t="s">
        <v>1020</v>
      </c>
      <c r="V5399">
        <v>55</v>
      </c>
    </row>
    <row r="5400" spans="1:22" customFormat="1" ht="15" x14ac:dyDescent="0.25">
      <c r="A5400" t="s">
        <v>277</v>
      </c>
      <c r="E5400" s="1507" t="s">
        <v>846</v>
      </c>
      <c r="F5400" s="1507"/>
      <c r="G5400" s="584" t="s">
        <v>845</v>
      </c>
      <c r="H5400" s="577">
        <v>4.0000000000000002E-4</v>
      </c>
      <c r="K5400" t="s">
        <v>1007</v>
      </c>
      <c r="L5400" t="s">
        <v>968</v>
      </c>
      <c r="P5400" t="s">
        <v>1020</v>
      </c>
      <c r="V5400">
        <v>65</v>
      </c>
    </row>
    <row r="5401" spans="1:22" customFormat="1" ht="15" x14ac:dyDescent="0.25">
      <c r="A5401" t="s">
        <v>277</v>
      </c>
      <c r="E5401" s="1507" t="s">
        <v>847</v>
      </c>
      <c r="F5401" s="1507"/>
      <c r="G5401" s="584" t="s">
        <v>845</v>
      </c>
      <c r="H5401" s="577">
        <v>1.5E-3</v>
      </c>
      <c r="K5401" t="s">
        <v>1007</v>
      </c>
      <c r="L5401" t="s">
        <v>968</v>
      </c>
      <c r="P5401" t="s">
        <v>1021</v>
      </c>
      <c r="V5401">
        <v>57</v>
      </c>
    </row>
    <row r="5402" spans="1:22" customFormat="1" ht="15" x14ac:dyDescent="0.25">
      <c r="A5402" t="s">
        <v>277</v>
      </c>
      <c r="E5402" s="1507" t="s">
        <v>848</v>
      </c>
      <c r="F5402" s="1507"/>
      <c r="G5402" s="584" t="s">
        <v>777</v>
      </c>
      <c r="H5402" s="576">
        <v>0.25</v>
      </c>
      <c r="K5402" t="s">
        <v>1007</v>
      </c>
      <c r="L5402" t="s">
        <v>968</v>
      </c>
      <c r="P5402" t="s">
        <v>1022</v>
      </c>
      <c r="V5402">
        <v>63</v>
      </c>
    </row>
    <row r="5403" spans="1:22" customFormat="1" x14ac:dyDescent="0.25">
      <c r="A5403" t="s">
        <v>277</v>
      </c>
      <c r="E5403" s="1499" t="s">
        <v>189</v>
      </c>
      <c r="F5403" s="1500"/>
      <c r="G5403" s="1500"/>
      <c r="H5403" s="1500"/>
      <c r="K5403" t="s">
        <v>3967</v>
      </c>
      <c r="V5403">
        <v>32</v>
      </c>
    </row>
    <row r="5404" spans="1:22" customFormat="1" ht="15" x14ac:dyDescent="0.25">
      <c r="A5404" t="s">
        <v>277</v>
      </c>
      <c r="E5404" s="1516" t="s">
        <v>5009</v>
      </c>
      <c r="F5404" s="1516"/>
      <c r="G5404" s="1516"/>
      <c r="H5404" s="1516"/>
      <c r="K5404" t="s">
        <v>3967</v>
      </c>
      <c r="V5404">
        <v>464</v>
      </c>
    </row>
    <row r="5405" spans="1:22" customFormat="1" ht="15" x14ac:dyDescent="0.25">
      <c r="A5405" t="s">
        <v>277</v>
      </c>
      <c r="E5405" s="1553" t="s">
        <v>950</v>
      </c>
      <c r="F5405" s="1530"/>
      <c r="G5405" s="1530"/>
      <c r="H5405" s="1530"/>
      <c r="K5405" t="s">
        <v>1025</v>
      </c>
      <c r="V5405">
        <v>11</v>
      </c>
    </row>
    <row r="5406" spans="1:22" customFormat="1" ht="15" x14ac:dyDescent="0.25">
      <c r="A5406" t="s">
        <v>277</v>
      </c>
      <c r="E5406" s="1516" t="s">
        <v>951</v>
      </c>
      <c r="F5406" s="1516"/>
      <c r="G5406" s="1516"/>
      <c r="H5406" s="1516"/>
      <c r="K5406" t="s">
        <v>3967</v>
      </c>
      <c r="V5406">
        <v>280</v>
      </c>
    </row>
    <row r="5407" spans="1:22" customFormat="1" ht="15" x14ac:dyDescent="0.25">
      <c r="A5407" t="s">
        <v>277</v>
      </c>
      <c r="E5407" s="1516" t="s">
        <v>952</v>
      </c>
      <c r="F5407" s="1516"/>
      <c r="G5407" s="1516"/>
      <c r="H5407" s="1516"/>
      <c r="K5407" t="s">
        <v>3967</v>
      </c>
      <c r="V5407">
        <v>411</v>
      </c>
    </row>
    <row r="5408" spans="1:22" customFormat="1" ht="15" x14ac:dyDescent="0.25">
      <c r="A5408" t="s">
        <v>277</v>
      </c>
      <c r="E5408" s="1516" t="s">
        <v>3761</v>
      </c>
      <c r="F5408" s="1516"/>
      <c r="G5408" s="1516"/>
      <c r="H5408" s="1516"/>
      <c r="K5408" t="s">
        <v>3967</v>
      </c>
      <c r="V5408">
        <v>387</v>
      </c>
    </row>
    <row r="5409" spans="1:22" customFormat="1" ht="15" x14ac:dyDescent="0.25">
      <c r="A5409" t="s">
        <v>277</v>
      </c>
      <c r="E5409" s="1516" t="s">
        <v>3771</v>
      </c>
      <c r="F5409" s="1516"/>
      <c r="G5409" s="1516"/>
      <c r="H5409" s="1516"/>
      <c r="K5409" t="s">
        <v>3967</v>
      </c>
      <c r="V5409">
        <v>677</v>
      </c>
    </row>
    <row r="5410" spans="1:22" customFormat="1" ht="15" x14ac:dyDescent="0.25">
      <c r="A5410" t="s">
        <v>277</v>
      </c>
      <c r="E5410" s="1516" t="s">
        <v>3772</v>
      </c>
      <c r="F5410" s="1516"/>
      <c r="G5410" s="1516"/>
      <c r="H5410" s="1516"/>
      <c r="K5410" t="s">
        <v>3967</v>
      </c>
      <c r="V5410">
        <v>693</v>
      </c>
    </row>
    <row r="5411" spans="1:22" customFormat="1" ht="15" x14ac:dyDescent="0.25">
      <c r="A5411" t="s">
        <v>277</v>
      </c>
      <c r="E5411" s="1516" t="s">
        <v>5010</v>
      </c>
      <c r="F5411" s="1516"/>
      <c r="G5411" s="1516"/>
      <c r="H5411" s="1516"/>
      <c r="K5411" t="s">
        <v>3967</v>
      </c>
      <c r="V5411">
        <v>243</v>
      </c>
    </row>
    <row r="5412" spans="1:22" customFormat="1" ht="15" x14ac:dyDescent="0.25">
      <c r="A5412" t="s">
        <v>277</v>
      </c>
      <c r="E5412" s="1553" t="s">
        <v>956</v>
      </c>
      <c r="F5412" s="1530"/>
      <c r="G5412" s="1530"/>
      <c r="H5412" s="1530"/>
      <c r="K5412" t="s">
        <v>1026</v>
      </c>
      <c r="V5412">
        <v>46</v>
      </c>
    </row>
    <row r="5413" spans="1:22" customFormat="1" ht="15" x14ac:dyDescent="0.25">
      <c r="A5413" t="s">
        <v>277</v>
      </c>
      <c r="E5413" s="1507" t="s">
        <v>3773</v>
      </c>
      <c r="F5413" s="1507"/>
      <c r="G5413" s="584" t="s">
        <v>777</v>
      </c>
      <c r="H5413" s="576">
        <v>2958.74</v>
      </c>
      <c r="K5413" t="s">
        <v>3967</v>
      </c>
      <c r="L5413" t="s">
        <v>690</v>
      </c>
      <c r="P5413" t="s">
        <v>3969</v>
      </c>
      <c r="V5413">
        <v>14</v>
      </c>
    </row>
    <row r="5414" spans="1:22" customFormat="1" ht="15" x14ac:dyDescent="0.25">
      <c r="A5414" t="s">
        <v>277</v>
      </c>
      <c r="E5414" s="1507" t="s">
        <v>3688</v>
      </c>
      <c r="F5414" s="1507"/>
      <c r="G5414" s="584" t="s">
        <v>3775</v>
      </c>
      <c r="H5414" s="577">
        <v>2.0204</v>
      </c>
      <c r="K5414" t="s">
        <v>3967</v>
      </c>
      <c r="L5414" t="s">
        <v>690</v>
      </c>
      <c r="P5414" t="s">
        <v>3972</v>
      </c>
      <c r="V5414">
        <v>28</v>
      </c>
    </row>
    <row r="5415" spans="1:22" customFormat="1" ht="15" x14ac:dyDescent="0.25">
      <c r="A5415" t="s">
        <v>277</v>
      </c>
      <c r="E5415" s="1507" t="s">
        <v>910</v>
      </c>
      <c r="F5415" s="1507"/>
      <c r="G5415" s="584" t="s">
        <v>3775</v>
      </c>
      <c r="H5415" s="577">
        <v>0.69799999999999995</v>
      </c>
      <c r="K5415" t="s">
        <v>3967</v>
      </c>
      <c r="L5415" t="s">
        <v>692</v>
      </c>
      <c r="P5415" t="s">
        <v>3973</v>
      </c>
      <c r="V5415">
        <v>24</v>
      </c>
    </row>
    <row r="5416" spans="1:22" customFormat="1" ht="15" x14ac:dyDescent="0.25">
      <c r="A5416" t="s">
        <v>277</v>
      </c>
      <c r="E5416" s="1507" t="s">
        <v>6520</v>
      </c>
      <c r="F5416" s="1510"/>
      <c r="G5416" s="584" t="s">
        <v>3775</v>
      </c>
      <c r="H5416" s="577">
        <v>0.2384</v>
      </c>
      <c r="K5416" t="s">
        <v>3967</v>
      </c>
      <c r="L5416" t="s">
        <v>692</v>
      </c>
      <c r="P5416" t="s">
        <v>3975</v>
      </c>
      <c r="T5416">
        <v>46022</v>
      </c>
      <c r="V5416">
        <v>99</v>
      </c>
    </row>
    <row r="5417" spans="1:22" customFormat="1" ht="15" x14ac:dyDescent="0.25">
      <c r="A5417" t="s">
        <v>277</v>
      </c>
      <c r="E5417" s="1507" t="s">
        <v>251</v>
      </c>
      <c r="F5417" s="1507"/>
      <c r="G5417" s="584" t="s">
        <v>3775</v>
      </c>
      <c r="H5417" s="577">
        <v>4.9878</v>
      </c>
      <c r="K5417" t="s">
        <v>3967</v>
      </c>
      <c r="L5417" t="s">
        <v>694</v>
      </c>
      <c r="P5417" t="s">
        <v>3978</v>
      </c>
      <c r="V5417">
        <v>66</v>
      </c>
    </row>
    <row r="5418" spans="1:22" customFormat="1" ht="15" x14ac:dyDescent="0.25">
      <c r="A5418" t="s">
        <v>277</v>
      </c>
      <c r="E5418" s="1507" t="s">
        <v>185</v>
      </c>
      <c r="F5418" s="1507"/>
      <c r="G5418" s="584" t="s">
        <v>3775</v>
      </c>
      <c r="H5418" s="577">
        <v>3.7814000000000001</v>
      </c>
      <c r="K5418" t="s">
        <v>3967</v>
      </c>
      <c r="L5418" t="s">
        <v>694</v>
      </c>
      <c r="P5418" t="s">
        <v>3979</v>
      </c>
      <c r="V5418">
        <v>93</v>
      </c>
    </row>
    <row r="5419" spans="1:22" customFormat="1" ht="15" x14ac:dyDescent="0.25">
      <c r="A5419" t="s">
        <v>277</v>
      </c>
      <c r="E5419" s="1515" t="s">
        <v>967</v>
      </c>
      <c r="F5419" s="1507"/>
      <c r="G5419" s="584"/>
      <c r="H5419" s="584"/>
      <c r="K5419" t="s">
        <v>1035</v>
      </c>
      <c r="V5419">
        <v>48</v>
      </c>
    </row>
    <row r="5420" spans="1:22" customFormat="1" ht="15" x14ac:dyDescent="0.25">
      <c r="A5420" t="s">
        <v>277</v>
      </c>
      <c r="E5420" s="1507" t="s">
        <v>844</v>
      </c>
      <c r="F5420" s="1507"/>
      <c r="G5420" s="584" t="s">
        <v>845</v>
      </c>
      <c r="H5420" s="577">
        <v>4.1000000000000003E-3</v>
      </c>
      <c r="K5420" t="s">
        <v>3967</v>
      </c>
      <c r="L5420" t="s">
        <v>968</v>
      </c>
      <c r="P5420" t="s">
        <v>3980</v>
      </c>
      <c r="V5420">
        <v>55</v>
      </c>
    </row>
    <row r="5421" spans="1:22" customFormat="1" ht="15" x14ac:dyDescent="0.25">
      <c r="A5421" t="s">
        <v>277</v>
      </c>
      <c r="E5421" s="1507" t="s">
        <v>846</v>
      </c>
      <c r="F5421" s="1507"/>
      <c r="G5421" s="584" t="s">
        <v>845</v>
      </c>
      <c r="H5421" s="577">
        <v>4.0000000000000002E-4</v>
      </c>
      <c r="K5421" t="s">
        <v>3967</v>
      </c>
      <c r="L5421" t="s">
        <v>968</v>
      </c>
      <c r="P5421" t="s">
        <v>3980</v>
      </c>
      <c r="V5421">
        <v>65</v>
      </c>
    </row>
    <row r="5422" spans="1:22" customFormat="1" ht="15" x14ac:dyDescent="0.25">
      <c r="A5422" t="s">
        <v>277</v>
      </c>
      <c r="E5422" s="1507" t="s">
        <v>847</v>
      </c>
      <c r="F5422" s="1507"/>
      <c r="G5422" s="584" t="s">
        <v>845</v>
      </c>
      <c r="H5422" s="577">
        <v>1.5E-3</v>
      </c>
      <c r="K5422" t="s">
        <v>3967</v>
      </c>
      <c r="L5422" t="s">
        <v>968</v>
      </c>
      <c r="P5422" t="s">
        <v>3981</v>
      </c>
      <c r="V5422">
        <v>57</v>
      </c>
    </row>
    <row r="5423" spans="1:22" customFormat="1" ht="15" x14ac:dyDescent="0.25">
      <c r="A5423" t="s">
        <v>277</v>
      </c>
      <c r="E5423" s="1507" t="s">
        <v>848</v>
      </c>
      <c r="F5423" s="1507"/>
      <c r="G5423" s="584" t="s">
        <v>777</v>
      </c>
      <c r="H5423" s="576">
        <v>0.25</v>
      </c>
      <c r="K5423" t="s">
        <v>3967</v>
      </c>
      <c r="L5423" t="s">
        <v>968</v>
      </c>
      <c r="P5423" t="s">
        <v>3982</v>
      </c>
      <c r="V5423">
        <v>63</v>
      </c>
    </row>
    <row r="5424" spans="1:22" customFormat="1" x14ac:dyDescent="0.25">
      <c r="A5424" t="s">
        <v>277</v>
      </c>
      <c r="E5424" s="1499" t="s">
        <v>194</v>
      </c>
      <c r="F5424" s="1500"/>
      <c r="G5424" s="1500"/>
      <c r="H5424" s="1500"/>
      <c r="K5424" t="s">
        <v>3872</v>
      </c>
      <c r="V5424">
        <v>47</v>
      </c>
    </row>
    <row r="5425" spans="1:22" customFormat="1" ht="15" x14ac:dyDescent="0.25">
      <c r="A5425" t="s">
        <v>277</v>
      </c>
      <c r="E5425" s="1516" t="s">
        <v>5011</v>
      </c>
      <c r="F5425" s="1516"/>
      <c r="G5425" s="1516"/>
      <c r="H5425" s="1516"/>
      <c r="K5425" t="s">
        <v>3872</v>
      </c>
      <c r="V5425">
        <v>491</v>
      </c>
    </row>
    <row r="5426" spans="1:22" customFormat="1" ht="15" x14ac:dyDescent="0.25">
      <c r="A5426" t="s">
        <v>277</v>
      </c>
      <c r="E5426" s="1553" t="s">
        <v>950</v>
      </c>
      <c r="F5426" s="1530"/>
      <c r="G5426" s="1530"/>
      <c r="H5426" s="1530"/>
      <c r="K5426" t="s">
        <v>1041</v>
      </c>
      <c r="V5426">
        <v>11</v>
      </c>
    </row>
    <row r="5427" spans="1:22" customFormat="1" ht="15" x14ac:dyDescent="0.25">
      <c r="A5427" t="s">
        <v>277</v>
      </c>
      <c r="E5427" s="1516" t="s">
        <v>951</v>
      </c>
      <c r="F5427" s="1516"/>
      <c r="G5427" s="1516"/>
      <c r="H5427" s="1516"/>
      <c r="K5427" t="s">
        <v>3872</v>
      </c>
      <c r="V5427">
        <v>280</v>
      </c>
    </row>
    <row r="5428" spans="1:22" customFormat="1" ht="15" x14ac:dyDescent="0.25">
      <c r="A5428" t="s">
        <v>277</v>
      </c>
      <c r="E5428" s="1516" t="s">
        <v>952</v>
      </c>
      <c r="F5428" s="1516"/>
      <c r="G5428" s="1516"/>
      <c r="H5428" s="1516"/>
      <c r="K5428" t="s">
        <v>3872</v>
      </c>
      <c r="V5428">
        <v>411</v>
      </c>
    </row>
    <row r="5429" spans="1:22" customFormat="1" ht="15" x14ac:dyDescent="0.25">
      <c r="A5429" t="s">
        <v>277</v>
      </c>
      <c r="E5429" s="1516" t="s">
        <v>3761</v>
      </c>
      <c r="F5429" s="1516"/>
      <c r="G5429" s="1516"/>
      <c r="H5429" s="1516"/>
      <c r="K5429" t="s">
        <v>3872</v>
      </c>
      <c r="V5429">
        <v>387</v>
      </c>
    </row>
    <row r="5430" spans="1:22" customFormat="1" ht="15" x14ac:dyDescent="0.25">
      <c r="A5430" t="s">
        <v>277</v>
      </c>
      <c r="E5430" s="1516" t="s">
        <v>954</v>
      </c>
      <c r="F5430" s="1516"/>
      <c r="G5430" s="1516"/>
      <c r="H5430" s="1516"/>
      <c r="K5430" t="s">
        <v>3872</v>
      </c>
      <c r="V5430">
        <v>246</v>
      </c>
    </row>
    <row r="5431" spans="1:22" customFormat="1" ht="15" x14ac:dyDescent="0.25">
      <c r="A5431" t="s">
        <v>277</v>
      </c>
      <c r="E5431" s="1553" t="s">
        <v>956</v>
      </c>
      <c r="F5431" s="1530"/>
      <c r="G5431" s="1530"/>
      <c r="H5431" s="1530"/>
      <c r="K5431" t="s">
        <v>1042</v>
      </c>
      <c r="V5431">
        <v>46</v>
      </c>
    </row>
    <row r="5432" spans="1:22" customFormat="1" ht="15" x14ac:dyDescent="0.25">
      <c r="A5432" t="s">
        <v>277</v>
      </c>
      <c r="E5432" s="1507" t="s">
        <v>3874</v>
      </c>
      <c r="F5432" s="1507"/>
      <c r="G5432" s="584" t="s">
        <v>777</v>
      </c>
      <c r="H5432" s="576">
        <v>10.61</v>
      </c>
      <c r="K5432" t="s">
        <v>3872</v>
      </c>
      <c r="L5432" t="s">
        <v>690</v>
      </c>
      <c r="P5432" t="s">
        <v>3875</v>
      </c>
      <c r="V5432">
        <v>31</v>
      </c>
    </row>
    <row r="5433" spans="1:22" customFormat="1" ht="15" x14ac:dyDescent="0.25">
      <c r="A5433" t="s">
        <v>277</v>
      </c>
      <c r="E5433" s="1507" t="s">
        <v>3688</v>
      </c>
      <c r="F5433" s="1507"/>
      <c r="G5433" s="584" t="s">
        <v>845</v>
      </c>
      <c r="H5433" s="577">
        <v>2.2499999999999999E-2</v>
      </c>
      <c r="K5433" t="s">
        <v>3872</v>
      </c>
      <c r="L5433" t="s">
        <v>690</v>
      </c>
      <c r="P5433" t="s">
        <v>3876</v>
      </c>
      <c r="V5433">
        <v>28</v>
      </c>
    </row>
    <row r="5434" spans="1:22" customFormat="1" ht="15" x14ac:dyDescent="0.25">
      <c r="A5434" t="s">
        <v>277</v>
      </c>
      <c r="E5434" s="1507" t="s">
        <v>910</v>
      </c>
      <c r="F5434" s="1507"/>
      <c r="G5434" s="584" t="s">
        <v>845</v>
      </c>
      <c r="H5434" s="577">
        <v>1.4E-3</v>
      </c>
      <c r="K5434" t="s">
        <v>3872</v>
      </c>
      <c r="L5434" t="s">
        <v>692</v>
      </c>
      <c r="P5434" t="s">
        <v>3986</v>
      </c>
      <c r="V5434">
        <v>24</v>
      </c>
    </row>
    <row r="5435" spans="1:22" customFormat="1" ht="15" x14ac:dyDescent="0.25">
      <c r="A5435" t="s">
        <v>277</v>
      </c>
      <c r="E5435" s="1507" t="s">
        <v>6519</v>
      </c>
      <c r="F5435" s="1510"/>
      <c r="G5435" s="584" t="s">
        <v>845</v>
      </c>
      <c r="H5435" s="577">
        <v>3.3E-3</v>
      </c>
      <c r="K5435" t="s">
        <v>3872</v>
      </c>
      <c r="L5435" t="s">
        <v>692</v>
      </c>
      <c r="P5435" t="s">
        <v>3987</v>
      </c>
      <c r="T5435">
        <v>46022</v>
      </c>
      <c r="V5435">
        <v>142</v>
      </c>
    </row>
    <row r="5436" spans="1:22" customFormat="1" ht="15" x14ac:dyDescent="0.25">
      <c r="A5436" t="s">
        <v>277</v>
      </c>
      <c r="E5436" s="1507" t="s">
        <v>6520</v>
      </c>
      <c r="F5436" s="1510"/>
      <c r="G5436" s="584" t="s">
        <v>845</v>
      </c>
      <c r="H5436" s="577">
        <v>5.9999999999999995E-4</v>
      </c>
      <c r="K5436" t="s">
        <v>3872</v>
      </c>
      <c r="L5436" t="s">
        <v>692</v>
      </c>
      <c r="P5436" t="s">
        <v>3990</v>
      </c>
      <c r="T5436">
        <v>46022</v>
      </c>
      <c r="V5436">
        <v>99</v>
      </c>
    </row>
    <row r="5437" spans="1:22" customFormat="1" ht="15" x14ac:dyDescent="0.25">
      <c r="A5437" t="s">
        <v>277</v>
      </c>
      <c r="E5437" s="1507" t="s">
        <v>243</v>
      </c>
      <c r="F5437" s="1507"/>
      <c r="G5437" s="584" t="s">
        <v>845</v>
      </c>
      <c r="H5437" s="577">
        <v>1.04E-2</v>
      </c>
      <c r="K5437" t="s">
        <v>3872</v>
      </c>
      <c r="L5437" t="s">
        <v>694</v>
      </c>
      <c r="P5437" t="s">
        <v>3877</v>
      </c>
      <c r="V5437">
        <v>47</v>
      </c>
    </row>
    <row r="5438" spans="1:22" customFormat="1" ht="15" x14ac:dyDescent="0.25">
      <c r="A5438" t="s">
        <v>277</v>
      </c>
      <c r="E5438" s="1507" t="s">
        <v>175</v>
      </c>
      <c r="F5438" s="1507"/>
      <c r="G5438" s="584" t="s">
        <v>845</v>
      </c>
      <c r="H5438" s="577">
        <v>7.6E-3</v>
      </c>
      <c r="K5438" t="s">
        <v>3872</v>
      </c>
      <c r="L5438" t="s">
        <v>694</v>
      </c>
      <c r="P5438" t="s">
        <v>3878</v>
      </c>
      <c r="V5438">
        <v>74</v>
      </c>
    </row>
    <row r="5439" spans="1:22" customFormat="1" ht="15" x14ac:dyDescent="0.25">
      <c r="A5439" t="s">
        <v>277</v>
      </c>
      <c r="E5439" s="1515" t="s">
        <v>967</v>
      </c>
      <c r="F5439" s="1507"/>
      <c r="G5439" s="584"/>
      <c r="H5439" s="584"/>
      <c r="K5439" t="s">
        <v>1049</v>
      </c>
      <c r="V5439">
        <v>48</v>
      </c>
    </row>
    <row r="5440" spans="1:22" customFormat="1" ht="15" x14ac:dyDescent="0.25">
      <c r="A5440" t="s">
        <v>277</v>
      </c>
      <c r="E5440" s="1507" t="s">
        <v>844</v>
      </c>
      <c r="F5440" s="1507"/>
      <c r="G5440" s="584" t="s">
        <v>845</v>
      </c>
      <c r="H5440" s="577">
        <v>4.1000000000000003E-3</v>
      </c>
      <c r="K5440" t="s">
        <v>3872</v>
      </c>
      <c r="L5440" t="s">
        <v>968</v>
      </c>
      <c r="P5440" t="s">
        <v>3879</v>
      </c>
      <c r="V5440">
        <v>55</v>
      </c>
    </row>
    <row r="5441" spans="1:22" customFormat="1" ht="15" x14ac:dyDescent="0.25">
      <c r="A5441" t="s">
        <v>277</v>
      </c>
      <c r="E5441" s="1507" t="s">
        <v>846</v>
      </c>
      <c r="F5441" s="1507"/>
      <c r="G5441" s="584" t="s">
        <v>845</v>
      </c>
      <c r="H5441" s="577">
        <v>4.0000000000000002E-4</v>
      </c>
      <c r="K5441" t="s">
        <v>3872</v>
      </c>
      <c r="L5441" t="s">
        <v>968</v>
      </c>
      <c r="P5441" t="s">
        <v>3879</v>
      </c>
      <c r="V5441">
        <v>65</v>
      </c>
    </row>
    <row r="5442" spans="1:22" customFormat="1" ht="15" x14ac:dyDescent="0.25">
      <c r="A5442" t="s">
        <v>277</v>
      </c>
      <c r="E5442" s="1507" t="s">
        <v>847</v>
      </c>
      <c r="F5442" s="1507"/>
      <c r="G5442" s="584" t="s">
        <v>845</v>
      </c>
      <c r="H5442" s="577">
        <v>1.5E-3</v>
      </c>
      <c r="K5442" t="s">
        <v>3872</v>
      </c>
      <c r="L5442" t="s">
        <v>968</v>
      </c>
      <c r="P5442" t="s">
        <v>3880</v>
      </c>
      <c r="V5442">
        <v>57</v>
      </c>
    </row>
    <row r="5443" spans="1:22" customFormat="1" ht="15" x14ac:dyDescent="0.25">
      <c r="A5443" t="s">
        <v>277</v>
      </c>
      <c r="E5443" s="1507" t="s">
        <v>848</v>
      </c>
      <c r="F5443" s="1507"/>
      <c r="G5443" s="584" t="s">
        <v>777</v>
      </c>
      <c r="H5443" s="576">
        <v>0.25</v>
      </c>
      <c r="K5443" t="s">
        <v>3872</v>
      </c>
      <c r="L5443" t="s">
        <v>968</v>
      </c>
      <c r="P5443" t="s">
        <v>3881</v>
      </c>
      <c r="V5443">
        <v>63</v>
      </c>
    </row>
    <row r="5444" spans="1:22" customFormat="1" x14ac:dyDescent="0.25">
      <c r="A5444" t="s">
        <v>277</v>
      </c>
      <c r="E5444" s="1499" t="s">
        <v>198</v>
      </c>
      <c r="F5444" s="1500"/>
      <c r="G5444" s="1500"/>
      <c r="H5444" s="1500"/>
      <c r="K5444" t="s">
        <v>3882</v>
      </c>
      <c r="V5444">
        <v>40</v>
      </c>
    </row>
    <row r="5445" spans="1:22" customFormat="1" ht="15" x14ac:dyDescent="0.25">
      <c r="A5445" t="s">
        <v>277</v>
      </c>
      <c r="E5445" s="1516" t="s">
        <v>5012</v>
      </c>
      <c r="F5445" s="1516"/>
      <c r="G5445" s="1516"/>
      <c r="H5445" s="1516"/>
      <c r="K5445" t="s">
        <v>3882</v>
      </c>
      <c r="V5445">
        <v>240</v>
      </c>
    </row>
    <row r="5446" spans="1:22" customFormat="1" ht="15" x14ac:dyDescent="0.25">
      <c r="A5446" t="s">
        <v>277</v>
      </c>
      <c r="E5446" s="1553" t="s">
        <v>950</v>
      </c>
      <c r="F5446" s="1530"/>
      <c r="G5446" s="1530"/>
      <c r="H5446" s="1530"/>
      <c r="K5446" t="s">
        <v>1055</v>
      </c>
      <c r="V5446">
        <v>11</v>
      </c>
    </row>
    <row r="5447" spans="1:22" customFormat="1" ht="15" x14ac:dyDescent="0.25">
      <c r="A5447" t="s">
        <v>277</v>
      </c>
      <c r="E5447" s="1516" t="s">
        <v>951</v>
      </c>
      <c r="F5447" s="1516"/>
      <c r="G5447" s="1516"/>
      <c r="H5447" s="1516"/>
      <c r="K5447" t="s">
        <v>3882</v>
      </c>
      <c r="V5447">
        <v>280</v>
      </c>
    </row>
    <row r="5448" spans="1:22" customFormat="1" ht="15" x14ac:dyDescent="0.25">
      <c r="A5448" t="s">
        <v>277</v>
      </c>
      <c r="E5448" s="1516" t="s">
        <v>952</v>
      </c>
      <c r="F5448" s="1516"/>
      <c r="G5448" s="1516"/>
      <c r="H5448" s="1516"/>
      <c r="K5448" t="s">
        <v>3882</v>
      </c>
      <c r="V5448">
        <v>411</v>
      </c>
    </row>
    <row r="5449" spans="1:22" customFormat="1" ht="15" x14ac:dyDescent="0.25">
      <c r="A5449" t="s">
        <v>277</v>
      </c>
      <c r="E5449" s="1516" t="s">
        <v>3761</v>
      </c>
      <c r="F5449" s="1516"/>
      <c r="G5449" s="1516"/>
      <c r="H5449" s="1516"/>
      <c r="K5449" t="s">
        <v>3882</v>
      </c>
      <c r="V5449">
        <v>387</v>
      </c>
    </row>
    <row r="5450" spans="1:22" customFormat="1" ht="15" x14ac:dyDescent="0.25">
      <c r="A5450" t="s">
        <v>277</v>
      </c>
      <c r="E5450" s="1516" t="s">
        <v>954</v>
      </c>
      <c r="F5450" s="1516"/>
      <c r="G5450" s="1516"/>
      <c r="H5450" s="1516"/>
      <c r="K5450" t="s">
        <v>3882</v>
      </c>
      <c r="V5450">
        <v>246</v>
      </c>
    </row>
    <row r="5451" spans="1:22" customFormat="1" ht="15" x14ac:dyDescent="0.25">
      <c r="A5451" t="s">
        <v>277</v>
      </c>
      <c r="E5451" s="1553" t="s">
        <v>956</v>
      </c>
      <c r="F5451" s="1530"/>
      <c r="G5451" s="1530"/>
      <c r="H5451" s="1530"/>
      <c r="K5451" t="s">
        <v>1056</v>
      </c>
      <c r="V5451">
        <v>46</v>
      </c>
    </row>
    <row r="5452" spans="1:22" customFormat="1" ht="15" x14ac:dyDescent="0.25">
      <c r="A5452" t="s">
        <v>277</v>
      </c>
      <c r="E5452" s="1507" t="s">
        <v>3874</v>
      </c>
      <c r="F5452" s="1507"/>
      <c r="G5452" s="584" t="s">
        <v>777</v>
      </c>
      <c r="H5452" s="576">
        <v>7</v>
      </c>
      <c r="K5452" t="s">
        <v>3882</v>
      </c>
      <c r="L5452" t="s">
        <v>690</v>
      </c>
      <c r="P5452" t="s">
        <v>3884</v>
      </c>
      <c r="V5452">
        <v>31</v>
      </c>
    </row>
    <row r="5453" spans="1:22" customFormat="1" ht="15" x14ac:dyDescent="0.25">
      <c r="A5453" t="s">
        <v>277</v>
      </c>
      <c r="E5453" s="1507" t="s">
        <v>3688</v>
      </c>
      <c r="F5453" s="1507"/>
      <c r="G5453" s="584" t="s">
        <v>3775</v>
      </c>
      <c r="H5453" s="577">
        <v>53.097099999999998</v>
      </c>
      <c r="K5453" t="s">
        <v>3882</v>
      </c>
      <c r="L5453" t="s">
        <v>690</v>
      </c>
      <c r="P5453" t="s">
        <v>3885</v>
      </c>
      <c r="V5453">
        <v>28</v>
      </c>
    </row>
    <row r="5454" spans="1:22" customFormat="1" ht="15" x14ac:dyDescent="0.25">
      <c r="A5454" t="s">
        <v>277</v>
      </c>
      <c r="E5454" s="1507" t="s">
        <v>910</v>
      </c>
      <c r="F5454" s="1507"/>
      <c r="G5454" s="584" t="s">
        <v>3775</v>
      </c>
      <c r="H5454" s="577">
        <v>0.43580000000000002</v>
      </c>
      <c r="K5454" t="s">
        <v>3882</v>
      </c>
      <c r="L5454" t="s">
        <v>692</v>
      </c>
      <c r="P5454" t="s">
        <v>4344</v>
      </c>
      <c r="V5454">
        <v>24</v>
      </c>
    </row>
    <row r="5455" spans="1:22" customFormat="1" ht="15" x14ac:dyDescent="0.25">
      <c r="A5455" t="s">
        <v>277</v>
      </c>
      <c r="E5455" s="1507" t="s">
        <v>6520</v>
      </c>
      <c r="F5455" s="1510"/>
      <c r="G5455" s="584" t="s">
        <v>3775</v>
      </c>
      <c r="H5455" s="577">
        <v>0.1978</v>
      </c>
      <c r="K5455" t="s">
        <v>3882</v>
      </c>
      <c r="L5455" t="s">
        <v>692</v>
      </c>
      <c r="P5455" t="s">
        <v>4347</v>
      </c>
      <c r="T5455">
        <v>46022</v>
      </c>
      <c r="V5455">
        <v>99</v>
      </c>
    </row>
    <row r="5456" spans="1:22" customFormat="1" ht="15" x14ac:dyDescent="0.25">
      <c r="A5456" t="s">
        <v>277</v>
      </c>
      <c r="E5456" s="1507" t="s">
        <v>243</v>
      </c>
      <c r="F5456" s="1507"/>
      <c r="G5456" s="584" t="s">
        <v>3775</v>
      </c>
      <c r="H5456" s="577">
        <v>3.1882999999999999</v>
      </c>
      <c r="K5456" t="s">
        <v>3882</v>
      </c>
      <c r="L5456" t="s">
        <v>694</v>
      </c>
      <c r="P5456" t="s">
        <v>3886</v>
      </c>
      <c r="V5456">
        <v>47</v>
      </c>
    </row>
    <row r="5457" spans="1:22" customFormat="1" ht="15" x14ac:dyDescent="0.25">
      <c r="A5457" t="s">
        <v>277</v>
      </c>
      <c r="E5457" s="1507" t="s">
        <v>175</v>
      </c>
      <c r="F5457" s="1507"/>
      <c r="G5457" s="584" t="s">
        <v>3775</v>
      </c>
      <c r="H5457" s="577">
        <v>2.3607999999999998</v>
      </c>
      <c r="K5457" t="s">
        <v>3882</v>
      </c>
      <c r="L5457" t="s">
        <v>694</v>
      </c>
      <c r="P5457" t="s">
        <v>3887</v>
      </c>
      <c r="V5457">
        <v>74</v>
      </c>
    </row>
    <row r="5458" spans="1:22" customFormat="1" ht="15" x14ac:dyDescent="0.25">
      <c r="A5458" t="s">
        <v>277</v>
      </c>
      <c r="E5458" s="1515" t="s">
        <v>967</v>
      </c>
      <c r="F5458" s="1507"/>
      <c r="G5458" s="584"/>
      <c r="H5458" s="584"/>
      <c r="K5458" t="s">
        <v>1065</v>
      </c>
      <c r="V5458">
        <v>48</v>
      </c>
    </row>
    <row r="5459" spans="1:22" customFormat="1" ht="15" x14ac:dyDescent="0.25">
      <c r="A5459" t="s">
        <v>277</v>
      </c>
      <c r="E5459" s="1507" t="s">
        <v>844</v>
      </c>
      <c r="F5459" s="1507"/>
      <c r="G5459" s="584" t="s">
        <v>845</v>
      </c>
      <c r="H5459" s="577">
        <v>4.1000000000000003E-3</v>
      </c>
      <c r="K5459" t="s">
        <v>3882</v>
      </c>
      <c r="L5459" t="s">
        <v>968</v>
      </c>
      <c r="P5459" t="s">
        <v>3888</v>
      </c>
      <c r="V5459">
        <v>55</v>
      </c>
    </row>
    <row r="5460" spans="1:22" customFormat="1" ht="15" x14ac:dyDescent="0.25">
      <c r="A5460" t="s">
        <v>277</v>
      </c>
      <c r="E5460" s="1507" t="s">
        <v>846</v>
      </c>
      <c r="F5460" s="1507"/>
      <c r="G5460" s="584" t="s">
        <v>845</v>
      </c>
      <c r="H5460" s="577">
        <v>4.0000000000000002E-4</v>
      </c>
      <c r="K5460" t="s">
        <v>3882</v>
      </c>
      <c r="L5460" t="s">
        <v>968</v>
      </c>
      <c r="P5460" t="s">
        <v>3888</v>
      </c>
      <c r="V5460">
        <v>65</v>
      </c>
    </row>
    <row r="5461" spans="1:22" customFormat="1" ht="15" x14ac:dyDescent="0.25">
      <c r="A5461" t="s">
        <v>277</v>
      </c>
      <c r="E5461" s="1507" t="s">
        <v>847</v>
      </c>
      <c r="F5461" s="1507"/>
      <c r="G5461" s="584" t="s">
        <v>845</v>
      </c>
      <c r="H5461" s="577">
        <v>1.5E-3</v>
      </c>
      <c r="K5461" t="s">
        <v>3882</v>
      </c>
      <c r="L5461" t="s">
        <v>968</v>
      </c>
      <c r="P5461" t="s">
        <v>3889</v>
      </c>
      <c r="V5461">
        <v>57</v>
      </c>
    </row>
    <row r="5462" spans="1:22" customFormat="1" ht="15" x14ac:dyDescent="0.25">
      <c r="A5462" t="s">
        <v>277</v>
      </c>
      <c r="E5462" s="1507" t="s">
        <v>848</v>
      </c>
      <c r="F5462" s="1507"/>
      <c r="G5462" s="584" t="s">
        <v>777</v>
      </c>
      <c r="H5462" s="576">
        <v>0.25</v>
      </c>
      <c r="K5462" t="s">
        <v>3882</v>
      </c>
      <c r="L5462" t="s">
        <v>968</v>
      </c>
      <c r="P5462" t="s">
        <v>3890</v>
      </c>
      <c r="V5462">
        <v>63</v>
      </c>
    </row>
    <row r="5463" spans="1:22" customFormat="1" x14ac:dyDescent="0.25">
      <c r="A5463" t="s">
        <v>277</v>
      </c>
      <c r="E5463" s="1499" t="s">
        <v>202</v>
      </c>
      <c r="F5463" s="1500"/>
      <c r="G5463" s="1500"/>
      <c r="H5463" s="1500"/>
      <c r="K5463" t="s">
        <v>3891</v>
      </c>
      <c r="V5463">
        <v>38</v>
      </c>
    </row>
    <row r="5464" spans="1:22" customFormat="1" ht="15" x14ac:dyDescent="0.25">
      <c r="A5464" t="s">
        <v>277</v>
      </c>
      <c r="E5464" s="1516" t="s">
        <v>5013</v>
      </c>
      <c r="F5464" s="1516"/>
      <c r="G5464" s="1516"/>
      <c r="H5464" s="1516"/>
      <c r="K5464" t="s">
        <v>3891</v>
      </c>
      <c r="V5464">
        <v>297</v>
      </c>
    </row>
    <row r="5465" spans="1:22" customFormat="1" ht="15" x14ac:dyDescent="0.25">
      <c r="A5465" t="s">
        <v>277</v>
      </c>
      <c r="E5465" s="1553" t="s">
        <v>950</v>
      </c>
      <c r="F5465" s="1530"/>
      <c r="G5465" s="1530"/>
      <c r="H5465" s="1530"/>
      <c r="K5465" t="s">
        <v>1071</v>
      </c>
      <c r="V5465">
        <v>11</v>
      </c>
    </row>
    <row r="5466" spans="1:22" customFormat="1" ht="15" x14ac:dyDescent="0.25">
      <c r="A5466" t="s">
        <v>277</v>
      </c>
      <c r="E5466" s="1516" t="s">
        <v>951</v>
      </c>
      <c r="F5466" s="1516"/>
      <c r="G5466" s="1516"/>
      <c r="H5466" s="1516"/>
      <c r="K5466" t="s">
        <v>3891</v>
      </c>
      <c r="V5466">
        <v>280</v>
      </c>
    </row>
    <row r="5467" spans="1:22" customFormat="1" ht="15" x14ac:dyDescent="0.25">
      <c r="A5467" t="s">
        <v>277</v>
      </c>
      <c r="E5467" s="1516" t="s">
        <v>952</v>
      </c>
      <c r="F5467" s="1516"/>
      <c r="G5467" s="1516"/>
      <c r="H5467" s="1516"/>
      <c r="K5467" t="s">
        <v>3891</v>
      </c>
      <c r="V5467">
        <v>411</v>
      </c>
    </row>
    <row r="5468" spans="1:22" customFormat="1" ht="15" x14ac:dyDescent="0.25">
      <c r="A5468" t="s">
        <v>277</v>
      </c>
      <c r="E5468" s="1516" t="s">
        <v>3761</v>
      </c>
      <c r="F5468" s="1516"/>
      <c r="G5468" s="1516"/>
      <c r="H5468" s="1516"/>
      <c r="K5468" t="s">
        <v>3891</v>
      </c>
      <c r="V5468">
        <v>387</v>
      </c>
    </row>
    <row r="5469" spans="1:22" customFormat="1" ht="15" x14ac:dyDescent="0.25">
      <c r="A5469" t="s">
        <v>277</v>
      </c>
      <c r="E5469" s="1516" t="s">
        <v>954</v>
      </c>
      <c r="F5469" s="1516"/>
      <c r="G5469" s="1516"/>
      <c r="H5469" s="1516"/>
      <c r="K5469" t="s">
        <v>3891</v>
      </c>
      <c r="V5469">
        <v>246</v>
      </c>
    </row>
    <row r="5470" spans="1:22" customFormat="1" ht="15" x14ac:dyDescent="0.25">
      <c r="A5470" t="s">
        <v>277</v>
      </c>
      <c r="E5470" s="1553" t="s">
        <v>956</v>
      </c>
      <c r="F5470" s="1530"/>
      <c r="G5470" s="1530"/>
      <c r="H5470" s="1530"/>
      <c r="K5470" t="s">
        <v>1075</v>
      </c>
      <c r="V5470">
        <v>46</v>
      </c>
    </row>
    <row r="5471" spans="1:22" customFormat="1" ht="15" x14ac:dyDescent="0.25">
      <c r="A5471" t="s">
        <v>277</v>
      </c>
      <c r="E5471" s="1507" t="s">
        <v>3874</v>
      </c>
      <c r="F5471" s="1507"/>
      <c r="G5471" s="584" t="s">
        <v>777</v>
      </c>
      <c r="H5471" s="576">
        <v>2.91</v>
      </c>
      <c r="K5471" t="s">
        <v>3891</v>
      </c>
      <c r="L5471" t="s">
        <v>690</v>
      </c>
      <c r="P5471" t="s">
        <v>3894</v>
      </c>
      <c r="V5471">
        <v>31</v>
      </c>
    </row>
    <row r="5472" spans="1:22" customFormat="1" ht="15" x14ac:dyDescent="0.25">
      <c r="A5472" t="s">
        <v>277</v>
      </c>
      <c r="E5472" s="1507" t="s">
        <v>3688</v>
      </c>
      <c r="F5472" s="1507"/>
      <c r="G5472" s="584" t="s">
        <v>3775</v>
      </c>
      <c r="H5472" s="577">
        <v>15.0303</v>
      </c>
      <c r="K5472" t="s">
        <v>3891</v>
      </c>
      <c r="L5472" t="s">
        <v>690</v>
      </c>
      <c r="P5472" t="s">
        <v>3895</v>
      </c>
      <c r="V5472">
        <v>28</v>
      </c>
    </row>
    <row r="5473" spans="1:22" customFormat="1" ht="15" x14ac:dyDescent="0.25">
      <c r="A5473" t="s">
        <v>277</v>
      </c>
      <c r="E5473" s="1507" t="s">
        <v>910</v>
      </c>
      <c r="F5473" s="1507"/>
      <c r="G5473" s="584" t="s">
        <v>3775</v>
      </c>
      <c r="H5473" s="577">
        <v>0.42680000000000001</v>
      </c>
      <c r="K5473" t="s">
        <v>3891</v>
      </c>
      <c r="L5473" t="s">
        <v>692</v>
      </c>
      <c r="P5473" t="s">
        <v>4350</v>
      </c>
      <c r="V5473">
        <v>24</v>
      </c>
    </row>
    <row r="5474" spans="1:22" customFormat="1" ht="15" x14ac:dyDescent="0.25">
      <c r="A5474" t="s">
        <v>277</v>
      </c>
      <c r="E5474" s="1507" t="s">
        <v>6519</v>
      </c>
      <c r="F5474" s="1510"/>
      <c r="G5474" s="584" t="s">
        <v>845</v>
      </c>
      <c r="H5474" s="577">
        <v>3.3E-3</v>
      </c>
      <c r="K5474" t="s">
        <v>3891</v>
      </c>
      <c r="L5474" t="s">
        <v>692</v>
      </c>
      <c r="P5474" t="s">
        <v>4351</v>
      </c>
      <c r="T5474">
        <v>46022</v>
      </c>
      <c r="V5474">
        <v>142</v>
      </c>
    </row>
    <row r="5475" spans="1:22" customFormat="1" ht="15" x14ac:dyDescent="0.25">
      <c r="A5475" t="s">
        <v>277</v>
      </c>
      <c r="E5475" s="1507" t="s">
        <v>6520</v>
      </c>
      <c r="F5475" s="1510"/>
      <c r="G5475" s="584" t="s">
        <v>3775</v>
      </c>
      <c r="H5475" s="577">
        <v>0.1822</v>
      </c>
      <c r="K5475" t="s">
        <v>3891</v>
      </c>
      <c r="L5475" t="s">
        <v>692</v>
      </c>
      <c r="P5475" t="s">
        <v>4353</v>
      </c>
      <c r="T5475">
        <v>46022</v>
      </c>
      <c r="V5475">
        <v>99</v>
      </c>
    </row>
    <row r="5476" spans="1:22" customFormat="1" ht="15" x14ac:dyDescent="0.25">
      <c r="A5476" t="s">
        <v>277</v>
      </c>
      <c r="E5476" s="1507" t="s">
        <v>243</v>
      </c>
      <c r="F5476" s="1507"/>
      <c r="G5476" s="584" t="s">
        <v>3775</v>
      </c>
      <c r="H5476" s="577">
        <v>3.1715</v>
      </c>
      <c r="K5476" t="s">
        <v>3891</v>
      </c>
      <c r="L5476" t="s">
        <v>694</v>
      </c>
      <c r="P5476" t="s">
        <v>3896</v>
      </c>
      <c r="V5476">
        <v>47</v>
      </c>
    </row>
    <row r="5477" spans="1:22" customFormat="1" ht="15" x14ac:dyDescent="0.25">
      <c r="A5477" t="s">
        <v>277</v>
      </c>
      <c r="E5477" s="1507" t="s">
        <v>175</v>
      </c>
      <c r="F5477" s="1507"/>
      <c r="G5477" s="584" t="s">
        <v>3775</v>
      </c>
      <c r="H5477" s="577">
        <v>2.3121999999999998</v>
      </c>
      <c r="K5477" t="s">
        <v>3891</v>
      </c>
      <c r="L5477" t="s">
        <v>694</v>
      </c>
      <c r="P5477" t="s">
        <v>3897</v>
      </c>
      <c r="V5477">
        <v>74</v>
      </c>
    </row>
    <row r="5478" spans="1:22" customFormat="1" ht="15" x14ac:dyDescent="0.25">
      <c r="A5478" t="s">
        <v>277</v>
      </c>
      <c r="E5478" s="1515" t="s">
        <v>967</v>
      </c>
      <c r="F5478" s="1507"/>
      <c r="G5478" s="584"/>
      <c r="H5478" s="584"/>
      <c r="K5478" t="s">
        <v>3898</v>
      </c>
      <c r="V5478">
        <v>48</v>
      </c>
    </row>
    <row r="5479" spans="1:22" customFormat="1" ht="15" x14ac:dyDescent="0.25">
      <c r="A5479" t="s">
        <v>277</v>
      </c>
      <c r="E5479" s="1507" t="s">
        <v>844</v>
      </c>
      <c r="F5479" s="1507"/>
      <c r="G5479" s="584" t="s">
        <v>845</v>
      </c>
      <c r="H5479" s="577">
        <v>4.1000000000000003E-3</v>
      </c>
      <c r="K5479" t="s">
        <v>3891</v>
      </c>
      <c r="L5479" t="s">
        <v>968</v>
      </c>
      <c r="P5479" t="s">
        <v>3899</v>
      </c>
      <c r="V5479">
        <v>55</v>
      </c>
    </row>
    <row r="5480" spans="1:22" customFormat="1" ht="15" x14ac:dyDescent="0.25">
      <c r="A5480" t="s">
        <v>277</v>
      </c>
      <c r="E5480" s="1507" t="s">
        <v>846</v>
      </c>
      <c r="F5480" s="1507"/>
      <c r="G5480" s="584" t="s">
        <v>845</v>
      </c>
      <c r="H5480" s="577">
        <v>4.0000000000000002E-4</v>
      </c>
      <c r="K5480" t="s">
        <v>3891</v>
      </c>
      <c r="L5480" t="s">
        <v>968</v>
      </c>
      <c r="P5480" t="s">
        <v>3899</v>
      </c>
      <c r="V5480">
        <v>65</v>
      </c>
    </row>
    <row r="5481" spans="1:22" customFormat="1" ht="15" x14ac:dyDescent="0.25">
      <c r="A5481" t="s">
        <v>277</v>
      </c>
      <c r="E5481" s="1507" t="s">
        <v>847</v>
      </c>
      <c r="F5481" s="1507"/>
      <c r="G5481" s="584" t="s">
        <v>845</v>
      </c>
      <c r="H5481" s="577">
        <v>1.5E-3</v>
      </c>
      <c r="K5481" t="s">
        <v>3891</v>
      </c>
      <c r="L5481" t="s">
        <v>968</v>
      </c>
      <c r="P5481" t="s">
        <v>3900</v>
      </c>
      <c r="V5481">
        <v>57</v>
      </c>
    </row>
    <row r="5482" spans="1:22" customFormat="1" ht="15" x14ac:dyDescent="0.25">
      <c r="A5482" t="s">
        <v>277</v>
      </c>
      <c r="E5482" s="1507" t="s">
        <v>848</v>
      </c>
      <c r="F5482" s="1507"/>
      <c r="G5482" s="584" t="s">
        <v>777</v>
      </c>
      <c r="H5482" s="576">
        <v>0.25</v>
      </c>
      <c r="K5482" t="s">
        <v>3891</v>
      </c>
      <c r="L5482" t="s">
        <v>968</v>
      </c>
      <c r="P5482" t="s">
        <v>3901</v>
      </c>
      <c r="V5482">
        <v>63</v>
      </c>
    </row>
    <row r="5483" spans="1:22" customFormat="1" x14ac:dyDescent="0.25">
      <c r="A5483" t="s">
        <v>277</v>
      </c>
      <c r="E5483" s="1499" t="s">
        <v>207</v>
      </c>
      <c r="F5483" s="1500"/>
      <c r="G5483" s="1500"/>
      <c r="H5483" s="1500"/>
      <c r="K5483" t="s">
        <v>3902</v>
      </c>
      <c r="V5483">
        <v>31</v>
      </c>
    </row>
    <row r="5484" spans="1:22" customFormat="1" ht="15" x14ac:dyDescent="0.25">
      <c r="A5484" t="s">
        <v>277</v>
      </c>
      <c r="E5484" s="1516" t="s">
        <v>5014</v>
      </c>
      <c r="F5484" s="1516"/>
      <c r="G5484" s="1516"/>
      <c r="H5484" s="1516"/>
      <c r="K5484" t="s">
        <v>3902</v>
      </c>
      <c r="V5484">
        <v>284</v>
      </c>
    </row>
    <row r="5485" spans="1:22" customFormat="1" ht="15" x14ac:dyDescent="0.25">
      <c r="A5485" t="s">
        <v>277</v>
      </c>
      <c r="E5485" s="1553" t="s">
        <v>950</v>
      </c>
      <c r="F5485" s="1530"/>
      <c r="G5485" s="1530"/>
      <c r="H5485" s="1530"/>
      <c r="K5485" t="s">
        <v>3904</v>
      </c>
      <c r="V5485">
        <v>11</v>
      </c>
    </row>
    <row r="5486" spans="1:22" customFormat="1" ht="15" x14ac:dyDescent="0.25">
      <c r="A5486" t="s">
        <v>277</v>
      </c>
      <c r="E5486" s="1516" t="s">
        <v>951</v>
      </c>
      <c r="F5486" s="1516"/>
      <c r="G5486" s="1516"/>
      <c r="H5486" s="1516"/>
      <c r="K5486" t="s">
        <v>3902</v>
      </c>
      <c r="V5486">
        <v>280</v>
      </c>
    </row>
    <row r="5487" spans="1:22" customFormat="1" ht="15" x14ac:dyDescent="0.25">
      <c r="A5487" t="s">
        <v>277</v>
      </c>
      <c r="E5487" s="1516" t="s">
        <v>952</v>
      </c>
      <c r="F5487" s="1516"/>
      <c r="G5487" s="1516"/>
      <c r="H5487" s="1516"/>
      <c r="K5487" t="s">
        <v>3902</v>
      </c>
      <c r="V5487">
        <v>411</v>
      </c>
    </row>
    <row r="5488" spans="1:22" customFormat="1" ht="15" x14ac:dyDescent="0.25">
      <c r="A5488" t="s">
        <v>277</v>
      </c>
      <c r="E5488" s="1516" t="s">
        <v>1103</v>
      </c>
      <c r="F5488" s="1516"/>
      <c r="G5488" s="1516"/>
      <c r="H5488" s="1516"/>
      <c r="K5488" t="s">
        <v>3902</v>
      </c>
      <c r="V5488">
        <v>211</v>
      </c>
    </row>
    <row r="5489" spans="1:22" customFormat="1" ht="15" x14ac:dyDescent="0.25">
      <c r="A5489" t="s">
        <v>277</v>
      </c>
      <c r="E5489" s="1516" t="s">
        <v>954</v>
      </c>
      <c r="F5489" s="1516"/>
      <c r="G5489" s="1516"/>
      <c r="H5489" s="1516"/>
      <c r="K5489" t="s">
        <v>3902</v>
      </c>
      <c r="V5489">
        <v>246</v>
      </c>
    </row>
    <row r="5490" spans="1:22" customFormat="1" ht="15" x14ac:dyDescent="0.25">
      <c r="A5490" t="s">
        <v>277</v>
      </c>
      <c r="E5490" s="1553" t="s">
        <v>956</v>
      </c>
      <c r="F5490" s="1530"/>
      <c r="G5490" s="1530"/>
      <c r="H5490" s="1530"/>
      <c r="K5490" t="s">
        <v>3905</v>
      </c>
      <c r="V5490">
        <v>46</v>
      </c>
    </row>
    <row r="5491" spans="1:22" customFormat="1" ht="15" x14ac:dyDescent="0.25">
      <c r="A5491" t="s">
        <v>277</v>
      </c>
      <c r="E5491" s="1507" t="s">
        <v>3773</v>
      </c>
      <c r="F5491" s="1507"/>
      <c r="G5491" s="584" t="s">
        <v>777</v>
      </c>
      <c r="H5491" s="576">
        <v>5</v>
      </c>
      <c r="K5491" t="s">
        <v>3902</v>
      </c>
      <c r="L5491" t="s">
        <v>690</v>
      </c>
      <c r="P5491" t="s">
        <v>3906</v>
      </c>
      <c r="V5491">
        <v>14</v>
      </c>
    </row>
    <row r="5492" spans="1:22" customFormat="1" x14ac:dyDescent="0.25">
      <c r="A5492" t="s">
        <v>277</v>
      </c>
      <c r="E5492" s="833" t="s">
        <v>3825</v>
      </c>
      <c r="F5492" s="396"/>
      <c r="G5492" s="396"/>
      <c r="H5492" s="396"/>
      <c r="K5492" t="s">
        <v>5015</v>
      </c>
      <c r="V5492">
        <v>10</v>
      </c>
    </row>
    <row r="5493" spans="1:22" customFormat="1" ht="15" x14ac:dyDescent="0.25">
      <c r="A5493" t="s">
        <v>277</v>
      </c>
      <c r="E5493" s="1507" t="s">
        <v>1078</v>
      </c>
      <c r="F5493" s="1507"/>
      <c r="G5493" s="584" t="s">
        <v>3775</v>
      </c>
      <c r="H5493" s="577">
        <v>-0.6</v>
      </c>
      <c r="V5493">
        <v>68</v>
      </c>
    </row>
    <row r="5494" spans="1:22" customFormat="1" ht="15" x14ac:dyDescent="0.25">
      <c r="A5494" t="s">
        <v>277</v>
      </c>
      <c r="E5494" s="1507" t="s">
        <v>1079</v>
      </c>
      <c r="F5494" s="1507"/>
      <c r="G5494" s="584" t="s">
        <v>1118</v>
      </c>
      <c r="H5494" s="576">
        <v>-1</v>
      </c>
      <c r="V5494">
        <v>87</v>
      </c>
    </row>
    <row r="5495" spans="1:22" customFormat="1" x14ac:dyDescent="0.25">
      <c r="A5495" t="s">
        <v>277</v>
      </c>
      <c r="E5495" s="833" t="s">
        <v>3828</v>
      </c>
      <c r="F5495" s="396"/>
      <c r="G5495" s="396"/>
      <c r="H5495" s="396"/>
      <c r="K5495" t="s">
        <v>5016</v>
      </c>
      <c r="V5495">
        <v>24</v>
      </c>
    </row>
    <row r="5496" spans="1:22" customFormat="1" ht="15" x14ac:dyDescent="0.25">
      <c r="A5496" t="s">
        <v>277</v>
      </c>
      <c r="E5496" s="1516" t="s">
        <v>951</v>
      </c>
      <c r="F5496" s="1516"/>
      <c r="G5496" s="1516"/>
      <c r="H5496" s="1516"/>
      <c r="V5496">
        <v>280</v>
      </c>
    </row>
    <row r="5497" spans="1:22" customFormat="1" ht="15" x14ac:dyDescent="0.25">
      <c r="A5497" t="s">
        <v>277</v>
      </c>
      <c r="E5497" s="1516" t="s">
        <v>5017</v>
      </c>
      <c r="F5497" s="1516"/>
      <c r="G5497" s="1516"/>
      <c r="H5497" s="1516"/>
      <c r="V5497">
        <v>355</v>
      </c>
    </row>
    <row r="5498" spans="1:22" customFormat="1" ht="15" x14ac:dyDescent="0.25">
      <c r="A5498" t="s">
        <v>277</v>
      </c>
      <c r="E5498" s="1516" t="s">
        <v>3762</v>
      </c>
      <c r="F5498" s="1516"/>
      <c r="G5498" s="1516"/>
      <c r="H5498" s="1516"/>
      <c r="V5498">
        <v>247</v>
      </c>
    </row>
    <row r="5499" spans="1:22" customFormat="1" ht="15" x14ac:dyDescent="0.25">
      <c r="A5499" t="s">
        <v>277</v>
      </c>
      <c r="E5499" s="847" t="s">
        <v>3830</v>
      </c>
      <c r="F5499" s="776"/>
      <c r="G5499" s="776"/>
      <c r="H5499" s="776"/>
      <c r="K5499" t="s">
        <v>5018</v>
      </c>
      <c r="V5499">
        <v>23</v>
      </c>
    </row>
    <row r="5500" spans="1:22" customFormat="1" ht="15" x14ac:dyDescent="0.25">
      <c r="A5500" t="s">
        <v>277</v>
      </c>
      <c r="E5500" s="1517" t="s">
        <v>3832</v>
      </c>
      <c r="F5500" s="1517"/>
      <c r="G5500" s="584" t="s">
        <v>777</v>
      </c>
      <c r="H5500" s="576">
        <v>15</v>
      </c>
      <c r="V5500">
        <v>19</v>
      </c>
    </row>
    <row r="5501" spans="1:22" customFormat="1" ht="15" x14ac:dyDescent="0.25">
      <c r="A5501" t="s">
        <v>277</v>
      </c>
      <c r="E5501" s="1517" t="s">
        <v>3833</v>
      </c>
      <c r="F5501" s="1517"/>
      <c r="G5501" s="584" t="s">
        <v>777</v>
      </c>
      <c r="H5501" s="576">
        <v>15</v>
      </c>
      <c r="V5501">
        <v>20</v>
      </c>
    </row>
    <row r="5502" spans="1:22" customFormat="1" ht="15" x14ac:dyDescent="0.25">
      <c r="A5502" t="s">
        <v>277</v>
      </c>
      <c r="E5502" s="1517" t="s">
        <v>4056</v>
      </c>
      <c r="F5502" s="1517"/>
      <c r="G5502" s="584" t="s">
        <v>777</v>
      </c>
      <c r="H5502" s="576">
        <v>15</v>
      </c>
      <c r="V5502">
        <v>15</v>
      </c>
    </row>
    <row r="5503" spans="1:22" customFormat="1" ht="15" x14ac:dyDescent="0.25">
      <c r="A5503" t="s">
        <v>277</v>
      </c>
      <c r="E5503" s="1517" t="s">
        <v>3835</v>
      </c>
      <c r="F5503" s="1517"/>
      <c r="G5503" s="584" t="s">
        <v>777</v>
      </c>
      <c r="H5503" s="576">
        <v>15</v>
      </c>
      <c r="V5503">
        <v>56</v>
      </c>
    </row>
    <row r="5504" spans="1:22" customFormat="1" ht="15" x14ac:dyDescent="0.25">
      <c r="A5504" t="s">
        <v>277</v>
      </c>
      <c r="E5504" s="1517" t="s">
        <v>3837</v>
      </c>
      <c r="F5504" s="1517"/>
      <c r="G5504" s="584" t="s">
        <v>777</v>
      </c>
      <c r="H5504" s="576">
        <v>30</v>
      </c>
      <c r="V5504">
        <v>89</v>
      </c>
    </row>
    <row r="5505" spans="1:22" customFormat="1" ht="15" x14ac:dyDescent="0.25">
      <c r="A5505" t="s">
        <v>277</v>
      </c>
      <c r="E5505" s="1517" t="s">
        <v>3836</v>
      </c>
      <c r="F5505" s="1517"/>
      <c r="G5505" s="584" t="s">
        <v>777</v>
      </c>
      <c r="H5505" s="576">
        <v>15</v>
      </c>
      <c r="V5505">
        <v>35</v>
      </c>
    </row>
    <row r="5506" spans="1:22" customFormat="1" ht="15" x14ac:dyDescent="0.25">
      <c r="A5506" t="s">
        <v>277</v>
      </c>
      <c r="E5506" s="1517" t="s">
        <v>3914</v>
      </c>
      <c r="F5506" s="1517"/>
      <c r="G5506" s="584" t="s">
        <v>777</v>
      </c>
      <c r="H5506" s="576">
        <v>30</v>
      </c>
      <c r="V5506">
        <v>19</v>
      </c>
    </row>
    <row r="5507" spans="1:22" customFormat="1" ht="15" x14ac:dyDescent="0.25">
      <c r="A5507" t="s">
        <v>277</v>
      </c>
      <c r="E5507" s="847" t="s">
        <v>4062</v>
      </c>
      <c r="F5507" s="776"/>
      <c r="G5507" s="776"/>
      <c r="H5507" s="776"/>
      <c r="K5507" t="s">
        <v>5019</v>
      </c>
      <c r="V5507">
        <v>22</v>
      </c>
    </row>
    <row r="5508" spans="1:22" customFormat="1" ht="15" x14ac:dyDescent="0.25">
      <c r="A5508" t="s">
        <v>277</v>
      </c>
      <c r="E5508" s="1517" t="s">
        <v>4700</v>
      </c>
      <c r="F5508" s="1517"/>
      <c r="G5508" s="584"/>
      <c r="H5508" s="650"/>
      <c r="V5508">
        <v>24</v>
      </c>
    </row>
    <row r="5509" spans="1:22" customFormat="1" ht="15" x14ac:dyDescent="0.25">
      <c r="A5509" t="s">
        <v>277</v>
      </c>
      <c r="E5509" s="1517" t="s">
        <v>4701</v>
      </c>
      <c r="F5509" s="1517"/>
      <c r="G5509" s="584" t="s">
        <v>1118</v>
      </c>
      <c r="H5509" s="576">
        <v>1.5</v>
      </c>
      <c r="V5509">
        <v>74</v>
      </c>
    </row>
    <row r="5510" spans="1:22" customFormat="1" ht="15" x14ac:dyDescent="0.25">
      <c r="A5510" t="s">
        <v>277</v>
      </c>
      <c r="E5510" s="1517" t="s">
        <v>5020</v>
      </c>
      <c r="F5510" s="1517"/>
      <c r="G5510" s="584" t="s">
        <v>777</v>
      </c>
      <c r="H5510" s="576">
        <v>65</v>
      </c>
      <c r="V5510">
        <v>71</v>
      </c>
    </row>
    <row r="5511" spans="1:22" customFormat="1" ht="15" x14ac:dyDescent="0.25">
      <c r="A5511" t="s">
        <v>277</v>
      </c>
      <c r="E5511" s="1517" t="s">
        <v>5021</v>
      </c>
      <c r="F5511" s="1517"/>
      <c r="G5511" s="584" t="s">
        <v>777</v>
      </c>
      <c r="H5511" s="576">
        <v>185</v>
      </c>
      <c r="V5511">
        <v>70</v>
      </c>
    </row>
    <row r="5512" spans="1:22" customFormat="1" ht="15" x14ac:dyDescent="0.25">
      <c r="A5512" t="s">
        <v>277</v>
      </c>
      <c r="E5512" s="847" t="s">
        <v>3846</v>
      </c>
      <c r="F5512" s="481"/>
      <c r="G5512" s="585"/>
      <c r="H5512" s="585"/>
      <c r="V5512">
        <v>5</v>
      </c>
    </row>
    <row r="5513" spans="1:22" customFormat="1" ht="15" x14ac:dyDescent="0.25">
      <c r="A5513" t="s">
        <v>277</v>
      </c>
      <c r="E5513" s="1517" t="s">
        <v>5022</v>
      </c>
      <c r="F5513" s="1517"/>
      <c r="G5513" s="584" t="s">
        <v>777</v>
      </c>
      <c r="H5513" s="576">
        <v>5.5</v>
      </c>
      <c r="V5513">
        <v>42</v>
      </c>
    </row>
    <row r="5514" spans="1:22" customFormat="1" ht="15" x14ac:dyDescent="0.25">
      <c r="A5514" t="s">
        <v>277</v>
      </c>
      <c r="E5514" s="1509" t="s">
        <v>5023</v>
      </c>
      <c r="F5514" s="1517"/>
      <c r="G5514" s="584" t="s">
        <v>777</v>
      </c>
      <c r="H5514" s="576">
        <v>39.14</v>
      </c>
      <c r="V5514">
        <v>104</v>
      </c>
    </row>
    <row r="5515" spans="1:22" customFormat="1" ht="15" x14ac:dyDescent="0.25">
      <c r="A5515" t="s">
        <v>277</v>
      </c>
      <c r="E5515" s="1517" t="s">
        <v>5024</v>
      </c>
      <c r="F5515" s="1517"/>
      <c r="G5515" s="584" t="s">
        <v>777</v>
      </c>
      <c r="H5515" s="576">
        <v>5.59</v>
      </c>
      <c r="V5515">
        <v>44</v>
      </c>
    </row>
    <row r="5516" spans="1:22" customFormat="1" x14ac:dyDescent="0.25">
      <c r="A5516" t="s">
        <v>277</v>
      </c>
      <c r="E5516" s="833" t="s">
        <v>3851</v>
      </c>
      <c r="F5516" s="396"/>
      <c r="G5516" s="396"/>
      <c r="H5516" s="396"/>
      <c r="K5516" t="s">
        <v>5025</v>
      </c>
      <c r="V5516">
        <v>38</v>
      </c>
    </row>
    <row r="5517" spans="1:22" customFormat="1" ht="15" x14ac:dyDescent="0.25">
      <c r="A5517" t="s">
        <v>277</v>
      </c>
      <c r="E5517" s="1516" t="s">
        <v>5026</v>
      </c>
      <c r="F5517" s="1516"/>
      <c r="G5517" s="1516"/>
      <c r="H5517" s="1516"/>
      <c r="V5517">
        <v>281</v>
      </c>
    </row>
    <row r="5518" spans="1:22" customFormat="1" ht="15" x14ac:dyDescent="0.25">
      <c r="A5518" t="s">
        <v>277</v>
      </c>
      <c r="E5518" s="1516" t="s">
        <v>5027</v>
      </c>
      <c r="F5518" s="1516"/>
      <c r="G5518" s="1516"/>
      <c r="H5518" s="1516"/>
      <c r="V5518">
        <v>414</v>
      </c>
    </row>
    <row r="5519" spans="1:22" customFormat="1" ht="15" x14ac:dyDescent="0.25">
      <c r="A5519" t="s">
        <v>277</v>
      </c>
      <c r="E5519" s="1516" t="s">
        <v>1103</v>
      </c>
      <c r="F5519" s="1516"/>
      <c r="G5519" s="1516"/>
      <c r="H5519" s="1516"/>
      <c r="V5519">
        <v>211</v>
      </c>
    </row>
    <row r="5520" spans="1:22" customFormat="1" ht="15" x14ac:dyDescent="0.25">
      <c r="A5520" t="s">
        <v>277</v>
      </c>
      <c r="E5520" s="1516" t="s">
        <v>5028</v>
      </c>
      <c r="F5520" s="1516"/>
      <c r="G5520" s="1516"/>
      <c r="H5520" s="1516"/>
      <c r="V5520">
        <v>249</v>
      </c>
    </row>
    <row r="5521" spans="1:22" customFormat="1" ht="15" x14ac:dyDescent="0.25">
      <c r="A5521" t="s">
        <v>277</v>
      </c>
      <c r="E5521" s="1516" t="s">
        <v>1104</v>
      </c>
      <c r="F5521" s="1516"/>
      <c r="G5521" s="1516"/>
      <c r="H5521" s="1516"/>
      <c r="V5521">
        <v>142</v>
      </c>
    </row>
    <row r="5522" spans="1:22" customFormat="1" ht="15" x14ac:dyDescent="0.25">
      <c r="A5522" t="s">
        <v>277</v>
      </c>
      <c r="E5522" s="1507" t="s">
        <v>849</v>
      </c>
      <c r="F5522" s="1507"/>
      <c r="G5522" s="268" t="s">
        <v>777</v>
      </c>
      <c r="H5522" s="576">
        <v>121.23</v>
      </c>
      <c r="V5522">
        <v>106</v>
      </c>
    </row>
    <row r="5523" spans="1:22" customFormat="1" ht="15" x14ac:dyDescent="0.25">
      <c r="A5523" t="s">
        <v>277</v>
      </c>
      <c r="E5523" s="1507" t="s">
        <v>850</v>
      </c>
      <c r="F5523" s="1507"/>
      <c r="G5523" s="268" t="s">
        <v>777</v>
      </c>
      <c r="H5523" s="576">
        <v>48.5</v>
      </c>
      <c r="V5523">
        <v>34</v>
      </c>
    </row>
    <row r="5524" spans="1:22" customFormat="1" ht="15" x14ac:dyDescent="0.25">
      <c r="A5524" t="s">
        <v>277</v>
      </c>
      <c r="E5524" s="1507" t="s">
        <v>851</v>
      </c>
      <c r="F5524" s="1507"/>
      <c r="G5524" s="268" t="s">
        <v>852</v>
      </c>
      <c r="H5524" s="576">
        <v>1.2</v>
      </c>
      <c r="V5524">
        <v>51</v>
      </c>
    </row>
    <row r="5525" spans="1:22" customFormat="1" ht="15" x14ac:dyDescent="0.25">
      <c r="A5525" t="s">
        <v>277</v>
      </c>
      <c r="E5525" s="1507" t="s">
        <v>853</v>
      </c>
      <c r="F5525" s="1507"/>
      <c r="G5525" s="268" t="s">
        <v>852</v>
      </c>
      <c r="H5525" s="576">
        <v>0.71</v>
      </c>
      <c r="V5525">
        <v>75</v>
      </c>
    </row>
    <row r="5526" spans="1:22" customFormat="1" ht="15" x14ac:dyDescent="0.25">
      <c r="A5526" t="s">
        <v>277</v>
      </c>
      <c r="E5526" s="1507" t="s">
        <v>854</v>
      </c>
      <c r="F5526" s="1507"/>
      <c r="G5526" s="268" t="s">
        <v>852</v>
      </c>
      <c r="H5526" s="576">
        <v>-0.71</v>
      </c>
      <c r="V5526">
        <v>72</v>
      </c>
    </row>
    <row r="5527" spans="1:22" customFormat="1" ht="15" x14ac:dyDescent="0.25">
      <c r="A5527" t="s">
        <v>277</v>
      </c>
      <c r="E5527" s="1507" t="s">
        <v>1105</v>
      </c>
      <c r="F5527" s="1507"/>
      <c r="G5527" s="268"/>
      <c r="H5527" s="650"/>
      <c r="V5527">
        <v>35</v>
      </c>
    </row>
    <row r="5528" spans="1:22" customFormat="1" ht="15" x14ac:dyDescent="0.25">
      <c r="A5528" t="s">
        <v>277</v>
      </c>
      <c r="E5528" s="1511" t="s">
        <v>1106</v>
      </c>
      <c r="F5528" s="1511"/>
      <c r="G5528" s="268" t="s">
        <v>777</v>
      </c>
      <c r="H5528" s="576">
        <v>0.61</v>
      </c>
      <c r="V5528">
        <v>57</v>
      </c>
    </row>
    <row r="5529" spans="1:22" customFormat="1" ht="15" x14ac:dyDescent="0.25">
      <c r="A5529" t="s">
        <v>277</v>
      </c>
      <c r="E5529" s="1511" t="s">
        <v>1107</v>
      </c>
      <c r="F5529" s="1511"/>
      <c r="G5529" s="268" t="s">
        <v>777</v>
      </c>
      <c r="H5529" s="576">
        <v>1.2</v>
      </c>
      <c r="V5529">
        <v>60</v>
      </c>
    </row>
    <row r="5530" spans="1:22" customFormat="1" ht="15" x14ac:dyDescent="0.25">
      <c r="A5530" t="s">
        <v>277</v>
      </c>
      <c r="E5530" s="1507" t="s">
        <v>1108</v>
      </c>
      <c r="F5530" s="1507"/>
      <c r="G5530" s="268"/>
      <c r="H5530" s="650"/>
      <c r="V5530">
        <v>91</v>
      </c>
    </row>
    <row r="5531" spans="1:22" customFormat="1" ht="15" x14ac:dyDescent="0.25">
      <c r="A5531" t="s">
        <v>277</v>
      </c>
      <c r="E5531" s="1507" t="s">
        <v>1109</v>
      </c>
      <c r="F5531" s="1507"/>
      <c r="G5531" s="268"/>
      <c r="H5531" s="650"/>
      <c r="V5531">
        <v>96</v>
      </c>
    </row>
    <row r="5532" spans="1:22" customFormat="1" ht="15" x14ac:dyDescent="0.25">
      <c r="A5532" t="s">
        <v>277</v>
      </c>
      <c r="E5532" s="1507" t="s">
        <v>1110</v>
      </c>
      <c r="F5532" s="1507"/>
      <c r="G5532" s="268"/>
      <c r="H5532" s="650"/>
      <c r="V5532">
        <v>78</v>
      </c>
    </row>
    <row r="5533" spans="1:22" customFormat="1" ht="15" x14ac:dyDescent="0.25">
      <c r="A5533" t="s">
        <v>277</v>
      </c>
      <c r="E5533" s="1511" t="s">
        <v>1111</v>
      </c>
      <c r="F5533" s="1511"/>
      <c r="G5533" s="268" t="s">
        <v>777</v>
      </c>
      <c r="H5533" s="650" t="s">
        <v>857</v>
      </c>
      <c r="V5533">
        <v>18</v>
      </c>
    </row>
    <row r="5534" spans="1:22" customFormat="1" ht="15" x14ac:dyDescent="0.25">
      <c r="A5534" t="s">
        <v>277</v>
      </c>
      <c r="E5534" s="1511" t="s">
        <v>1112</v>
      </c>
      <c r="F5534" s="1511"/>
      <c r="G5534" s="268" t="s">
        <v>777</v>
      </c>
      <c r="H5534" s="576">
        <v>4.8499999999999996</v>
      </c>
      <c r="V5534">
        <v>69</v>
      </c>
    </row>
    <row r="5535" spans="1:22" customFormat="1" ht="15" x14ac:dyDescent="0.25">
      <c r="A5535" t="s">
        <v>277</v>
      </c>
      <c r="E5535" s="1507" t="s">
        <v>858</v>
      </c>
      <c r="F5535" s="1507"/>
      <c r="G5535" s="268" t="s">
        <v>777</v>
      </c>
      <c r="H5535" s="576">
        <v>2.42</v>
      </c>
      <c r="V5535">
        <v>199</v>
      </c>
    </row>
    <row r="5536" spans="1:22" customFormat="1" x14ac:dyDescent="0.25">
      <c r="A5536" t="s">
        <v>277</v>
      </c>
      <c r="E5536" s="833" t="s">
        <v>3853</v>
      </c>
      <c r="F5536" s="396"/>
      <c r="G5536" s="396"/>
      <c r="H5536" s="396"/>
      <c r="K5536" t="s">
        <v>5029</v>
      </c>
      <c r="V5536">
        <v>12</v>
      </c>
    </row>
    <row r="5537" spans="1:22" customFormat="1" ht="15" x14ac:dyDescent="0.25">
      <c r="A5537" t="s">
        <v>277</v>
      </c>
      <c r="E5537" s="1507" t="s">
        <v>1114</v>
      </c>
      <c r="F5537" s="1507"/>
      <c r="G5537" s="1507"/>
      <c r="H5537" s="1507"/>
      <c r="V5537">
        <v>203</v>
      </c>
    </row>
    <row r="5538" spans="1:22" customFormat="1" ht="15" x14ac:dyDescent="0.25">
      <c r="A5538" t="s">
        <v>277</v>
      </c>
      <c r="E5538" s="1507" t="s">
        <v>1115</v>
      </c>
      <c r="F5538" s="1507"/>
      <c r="G5538" s="584"/>
      <c r="H5538" s="650">
        <v>1.0385</v>
      </c>
      <c r="V5538">
        <v>57</v>
      </c>
    </row>
    <row r="5539" spans="1:22" customFormat="1" ht="15" x14ac:dyDescent="0.25">
      <c r="A5539" t="s">
        <v>277</v>
      </c>
      <c r="E5539" s="1507" t="s">
        <v>4072</v>
      </c>
      <c r="F5539" s="1507"/>
      <c r="G5539" s="584"/>
      <c r="H5539" s="650">
        <v>1.0133000000000001</v>
      </c>
      <c r="V5539">
        <v>57</v>
      </c>
    </row>
    <row r="5540" spans="1:22" customFormat="1" ht="15" x14ac:dyDescent="0.25">
      <c r="A5540" t="s">
        <v>277</v>
      </c>
      <c r="E5540" s="1507" t="s">
        <v>1117</v>
      </c>
      <c r="F5540" s="1507"/>
      <c r="G5540" s="584"/>
      <c r="H5540" s="650">
        <v>1.0281</v>
      </c>
      <c r="V5540">
        <v>55</v>
      </c>
    </row>
    <row r="5541" spans="1:22" customFormat="1" ht="15" x14ac:dyDescent="0.25">
      <c r="A5541" t="s">
        <v>277</v>
      </c>
      <c r="E5541" s="1507" t="s">
        <v>4073</v>
      </c>
      <c r="F5541" s="1507"/>
      <c r="G5541" s="584"/>
      <c r="H5541" s="650">
        <v>1.0031000000000001</v>
      </c>
      <c r="J5541" t="s">
        <v>5030</v>
      </c>
      <c r="V5541">
        <v>55</v>
      </c>
    </row>
    <row r="5542" spans="1:22" customFormat="1" ht="23.25" x14ac:dyDescent="0.25">
      <c r="A5542" t="s">
        <v>285</v>
      </c>
      <c r="C5542" t="s">
        <v>3755</v>
      </c>
      <c r="E5542" s="1550" t="s">
        <v>285</v>
      </c>
      <c r="F5542" s="1550"/>
      <c r="G5542" s="1550"/>
      <c r="H5542" s="1550"/>
      <c r="I5542" t="s">
        <v>94</v>
      </c>
      <c r="J5542" t="s">
        <v>5031</v>
      </c>
      <c r="K5542" t="s">
        <v>285</v>
      </c>
      <c r="M5542">
        <v>8</v>
      </c>
      <c r="V5542">
        <v>30</v>
      </c>
    </row>
    <row r="5543" spans="1:22" customFormat="1" x14ac:dyDescent="0.25">
      <c r="A5543" t="s">
        <v>285</v>
      </c>
      <c r="C5543" t="s">
        <v>3757</v>
      </c>
      <c r="E5543" s="1551" t="s">
        <v>944</v>
      </c>
      <c r="F5543" s="1551"/>
      <c r="G5543" s="1551"/>
      <c r="H5543" s="1551"/>
      <c r="V5543">
        <v>27</v>
      </c>
    </row>
    <row r="5544" spans="1:22" customFormat="1" ht="15.75" x14ac:dyDescent="0.25">
      <c r="A5544" t="s">
        <v>285</v>
      </c>
      <c r="C5544" t="s">
        <v>3758</v>
      </c>
      <c r="E5544" s="1543" t="s">
        <v>6511</v>
      </c>
      <c r="F5544" s="1543"/>
      <c r="G5544" s="1543"/>
      <c r="H5544" s="1543"/>
      <c r="S5544">
        <v>45658</v>
      </c>
      <c r="V5544">
        <v>49</v>
      </c>
    </row>
    <row r="5545" spans="1:22" customFormat="1" ht="15" x14ac:dyDescent="0.25">
      <c r="A5545" t="s">
        <v>285</v>
      </c>
      <c r="C5545" t="s">
        <v>3759</v>
      </c>
      <c r="E5545" s="1544" t="s">
        <v>945</v>
      </c>
      <c r="F5545" s="1544"/>
      <c r="G5545" s="1544"/>
      <c r="H5545" s="1544"/>
      <c r="V5545">
        <v>52</v>
      </c>
    </row>
    <row r="5546" spans="1:22" customFormat="1" ht="15" x14ac:dyDescent="0.25">
      <c r="A5546" t="s">
        <v>285</v>
      </c>
      <c r="E5546" s="1544" t="s">
        <v>946</v>
      </c>
      <c r="F5546" s="1544"/>
      <c r="G5546" s="1544"/>
      <c r="H5546" s="1544"/>
      <c r="V5546">
        <v>53</v>
      </c>
    </row>
    <row r="5547" spans="1:22" customFormat="1" ht="15" x14ac:dyDescent="0.25">
      <c r="A5547" t="s">
        <v>285</v>
      </c>
      <c r="E5547" s="1513" t="s">
        <v>6777</v>
      </c>
      <c r="F5547" s="1513"/>
      <c r="G5547" s="1513"/>
      <c r="H5547" s="1513"/>
      <c r="K5547" t="s">
        <v>6777</v>
      </c>
      <c r="V5547">
        <v>12</v>
      </c>
    </row>
    <row r="5548" spans="1:22" customFormat="1" ht="15" x14ac:dyDescent="0.25">
      <c r="A5548" t="s">
        <v>285</v>
      </c>
      <c r="E5548" s="1492" t="s">
        <v>170</v>
      </c>
      <c r="F5548" s="1516"/>
      <c r="G5548" s="1516"/>
      <c r="H5548" s="1516"/>
      <c r="K5548" t="s">
        <v>947</v>
      </c>
      <c r="V5548">
        <v>34</v>
      </c>
    </row>
    <row r="5549" spans="1:22" customFormat="1" ht="15" x14ac:dyDescent="0.25">
      <c r="A5549" t="s">
        <v>285</v>
      </c>
      <c r="E5549" s="1516" t="s">
        <v>5032</v>
      </c>
      <c r="F5549" s="1516"/>
      <c r="G5549" s="1516"/>
      <c r="H5549" s="1516"/>
      <c r="K5549" t="s">
        <v>947</v>
      </c>
      <c r="V5549">
        <v>620</v>
      </c>
    </row>
    <row r="5550" spans="1:22" customFormat="1" ht="15" x14ac:dyDescent="0.25">
      <c r="A5550" t="s">
        <v>285</v>
      </c>
      <c r="E5550" s="1515" t="s">
        <v>950</v>
      </c>
      <c r="F5550" s="1516"/>
      <c r="G5550" s="1516"/>
      <c r="H5550" s="1516"/>
      <c r="K5550" t="s">
        <v>949</v>
      </c>
      <c r="V5550">
        <v>11</v>
      </c>
    </row>
    <row r="5551" spans="1:22" customFormat="1" ht="15" x14ac:dyDescent="0.25">
      <c r="A5551" t="s">
        <v>285</v>
      </c>
      <c r="E5551" s="1516" t="s">
        <v>951</v>
      </c>
      <c r="F5551" s="1516"/>
      <c r="G5551" s="1516"/>
      <c r="H5551" s="1516"/>
      <c r="K5551" t="s">
        <v>947</v>
      </c>
      <c r="V5551">
        <v>280</v>
      </c>
    </row>
    <row r="5552" spans="1:22" customFormat="1" ht="15" x14ac:dyDescent="0.25">
      <c r="A5552" t="s">
        <v>285</v>
      </c>
      <c r="E5552" s="1516" t="s">
        <v>952</v>
      </c>
      <c r="F5552" s="1516"/>
      <c r="G5552" s="1516"/>
      <c r="H5552" s="1516"/>
      <c r="K5552" t="s">
        <v>947</v>
      </c>
      <c r="V5552">
        <v>411</v>
      </c>
    </row>
    <row r="5553" spans="1:22" customFormat="1" ht="15" x14ac:dyDescent="0.25">
      <c r="A5553" t="s">
        <v>285</v>
      </c>
      <c r="E5553" s="1516" t="s">
        <v>3761</v>
      </c>
      <c r="F5553" s="1516"/>
      <c r="G5553" s="1516"/>
      <c r="H5553" s="1516"/>
      <c r="K5553" t="s">
        <v>947</v>
      </c>
      <c r="V5553">
        <v>387</v>
      </c>
    </row>
    <row r="5554" spans="1:22" customFormat="1" ht="15" x14ac:dyDescent="0.25">
      <c r="A5554" t="s">
        <v>285</v>
      </c>
      <c r="E5554" s="1516" t="s">
        <v>3762</v>
      </c>
      <c r="F5554" s="1516"/>
      <c r="G5554" s="1516"/>
      <c r="H5554" s="1516"/>
      <c r="K5554" t="s">
        <v>947</v>
      </c>
      <c r="V5554">
        <v>247</v>
      </c>
    </row>
    <row r="5555" spans="1:22" customFormat="1" ht="15" x14ac:dyDescent="0.25">
      <c r="A5555" t="s">
        <v>285</v>
      </c>
      <c r="E5555" s="1515" t="s">
        <v>956</v>
      </c>
      <c r="F5555" s="1516"/>
      <c r="G5555" s="1516"/>
      <c r="H5555" s="1516"/>
      <c r="K5555" t="s">
        <v>955</v>
      </c>
      <c r="V5555">
        <v>46</v>
      </c>
    </row>
    <row r="5556" spans="1:22" customFormat="1" ht="15" x14ac:dyDescent="0.25">
      <c r="A5556" t="s">
        <v>285</v>
      </c>
      <c r="E5556" s="1507" t="s">
        <v>3773</v>
      </c>
      <c r="F5556" s="1507"/>
      <c r="G5556" s="584" t="s">
        <v>777</v>
      </c>
      <c r="H5556" s="576">
        <v>35.46</v>
      </c>
      <c r="K5556" t="s">
        <v>947</v>
      </c>
      <c r="L5556" t="s">
        <v>690</v>
      </c>
      <c r="P5556" t="s">
        <v>957</v>
      </c>
      <c r="V5556">
        <v>14</v>
      </c>
    </row>
    <row r="5557" spans="1:22" customFormat="1" ht="15" x14ac:dyDescent="0.25">
      <c r="A5557" t="s">
        <v>285</v>
      </c>
      <c r="E5557" s="1467" t="s">
        <v>6778</v>
      </c>
      <c r="F5557" s="1467"/>
      <c r="G5557" s="952" t="s">
        <v>777</v>
      </c>
      <c r="H5557" s="953">
        <v>-0.33</v>
      </c>
      <c r="K5557" t="s">
        <v>947</v>
      </c>
      <c r="L5557" t="s">
        <v>692</v>
      </c>
      <c r="P5557" t="s">
        <v>963</v>
      </c>
      <c r="T5557">
        <v>46022</v>
      </c>
      <c r="V5557">
        <v>102</v>
      </c>
    </row>
    <row r="5558" spans="1:22" customFormat="1" ht="15" x14ac:dyDescent="0.25">
      <c r="A5558" t="s">
        <v>285</v>
      </c>
      <c r="E5558" s="1507" t="s">
        <v>960</v>
      </c>
      <c r="F5558" s="1507"/>
      <c r="G5558" s="584" t="s">
        <v>777</v>
      </c>
      <c r="H5558" s="576">
        <v>0.42</v>
      </c>
      <c r="K5558" t="s">
        <v>947</v>
      </c>
      <c r="L5558" t="s">
        <v>692</v>
      </c>
      <c r="P5558" t="s">
        <v>959</v>
      </c>
      <c r="V5558">
        <v>64</v>
      </c>
    </row>
    <row r="5559" spans="1:22" customFormat="1" ht="15" x14ac:dyDescent="0.25">
      <c r="A5559" t="s">
        <v>285</v>
      </c>
      <c r="E5559" s="1507" t="s">
        <v>6519</v>
      </c>
      <c r="F5559" s="1510"/>
      <c r="G5559" s="584" t="s">
        <v>845</v>
      </c>
      <c r="H5559" s="577">
        <v>5.9999999999999995E-4</v>
      </c>
      <c r="K5559" t="s">
        <v>947</v>
      </c>
      <c r="L5559" t="s">
        <v>692</v>
      </c>
      <c r="P5559" t="s">
        <v>962</v>
      </c>
      <c r="T5559">
        <v>46022</v>
      </c>
      <c r="V5559">
        <v>142</v>
      </c>
    </row>
    <row r="5560" spans="1:22" customFormat="1" ht="15" x14ac:dyDescent="0.25">
      <c r="A5560" t="s">
        <v>285</v>
      </c>
      <c r="E5560" s="1507" t="s">
        <v>6520</v>
      </c>
      <c r="F5560" s="1510"/>
      <c r="G5560" s="584" t="s">
        <v>845</v>
      </c>
      <c r="H5560" s="577">
        <v>-1E-3</v>
      </c>
      <c r="K5560" t="s">
        <v>947</v>
      </c>
      <c r="L5560" t="s">
        <v>692</v>
      </c>
      <c r="P5560" t="s">
        <v>963</v>
      </c>
      <c r="T5560">
        <v>46022</v>
      </c>
      <c r="V5560">
        <v>99</v>
      </c>
    </row>
    <row r="5561" spans="1:22" customFormat="1" ht="15" x14ac:dyDescent="0.25">
      <c r="A5561" t="s">
        <v>285</v>
      </c>
      <c r="E5561" s="1467" t="s">
        <v>6779</v>
      </c>
      <c r="F5561" s="1468"/>
      <c r="G5561" s="952" t="s">
        <v>845</v>
      </c>
      <c r="H5561" s="432">
        <v>2.0000000000000001E-4</v>
      </c>
      <c r="K5561" t="s">
        <v>947</v>
      </c>
      <c r="L5561" t="s">
        <v>692</v>
      </c>
      <c r="P5561" t="s">
        <v>3764</v>
      </c>
      <c r="T5561">
        <v>46022</v>
      </c>
      <c r="V5561">
        <v>148</v>
      </c>
    </row>
    <row r="5562" spans="1:22" customFormat="1" ht="15" x14ac:dyDescent="0.25">
      <c r="A5562" t="s">
        <v>285</v>
      </c>
      <c r="E5562" s="1507" t="s">
        <v>243</v>
      </c>
      <c r="F5562" s="1507"/>
      <c r="G5562" s="584" t="s">
        <v>845</v>
      </c>
      <c r="H5562" s="577">
        <v>1.15E-2</v>
      </c>
      <c r="K5562" t="s">
        <v>947</v>
      </c>
      <c r="L5562" t="s">
        <v>694</v>
      </c>
      <c r="P5562" t="s">
        <v>964</v>
      </c>
      <c r="V5562">
        <v>47</v>
      </c>
    </row>
    <row r="5563" spans="1:22" customFormat="1" ht="15" x14ac:dyDescent="0.25">
      <c r="A5563" t="s">
        <v>285</v>
      </c>
      <c r="E5563" s="1507" t="s">
        <v>175</v>
      </c>
      <c r="F5563" s="1507"/>
      <c r="G5563" s="584" t="s">
        <v>845</v>
      </c>
      <c r="H5563" s="577">
        <v>1.4E-3</v>
      </c>
      <c r="K5563" t="s">
        <v>947</v>
      </c>
      <c r="L5563" t="s">
        <v>694</v>
      </c>
      <c r="P5563" t="s">
        <v>965</v>
      </c>
      <c r="V5563">
        <v>74</v>
      </c>
    </row>
    <row r="5564" spans="1:22" customFormat="1" ht="15" x14ac:dyDescent="0.25">
      <c r="A5564" t="s">
        <v>285</v>
      </c>
      <c r="E5564" s="1515" t="s">
        <v>967</v>
      </c>
      <c r="F5564" s="1612"/>
      <c r="G5564" s="584"/>
      <c r="H5564" s="584"/>
      <c r="K5564" t="s">
        <v>966</v>
      </c>
      <c r="V5564">
        <v>48</v>
      </c>
    </row>
    <row r="5565" spans="1:22" customFormat="1" ht="15" x14ac:dyDescent="0.25">
      <c r="A5565" t="s">
        <v>285</v>
      </c>
      <c r="E5565" s="1507" t="s">
        <v>844</v>
      </c>
      <c r="F5565" s="1507"/>
      <c r="G5565" s="584" t="s">
        <v>845</v>
      </c>
      <c r="H5565" s="577">
        <v>4.1000000000000003E-3</v>
      </c>
      <c r="K5565" t="s">
        <v>947</v>
      </c>
      <c r="L5565" t="s">
        <v>968</v>
      </c>
      <c r="P5565" t="s">
        <v>969</v>
      </c>
      <c r="V5565">
        <v>55</v>
      </c>
    </row>
    <row r="5566" spans="1:22" customFormat="1" ht="15" x14ac:dyDescent="0.25">
      <c r="A5566" t="s">
        <v>285</v>
      </c>
      <c r="E5566" s="1507" t="s">
        <v>846</v>
      </c>
      <c r="F5566" s="1507"/>
      <c r="G5566" s="584" t="s">
        <v>845</v>
      </c>
      <c r="H5566" s="577">
        <v>4.0000000000000002E-4</v>
      </c>
      <c r="K5566" t="s">
        <v>947</v>
      </c>
      <c r="L5566" t="s">
        <v>968</v>
      </c>
      <c r="P5566" t="s">
        <v>969</v>
      </c>
      <c r="V5566">
        <v>65</v>
      </c>
    </row>
    <row r="5567" spans="1:22" customFormat="1" ht="15" x14ac:dyDescent="0.25">
      <c r="A5567" t="s">
        <v>285</v>
      </c>
      <c r="E5567" s="1507" t="s">
        <v>847</v>
      </c>
      <c r="F5567" s="1507"/>
      <c r="G5567" s="584" t="s">
        <v>845</v>
      </c>
      <c r="H5567" s="577">
        <v>1.5E-3</v>
      </c>
      <c r="K5567" t="s">
        <v>947</v>
      </c>
      <c r="L5567" t="s">
        <v>968</v>
      </c>
      <c r="P5567" t="s">
        <v>970</v>
      </c>
      <c r="V5567">
        <v>57</v>
      </c>
    </row>
    <row r="5568" spans="1:22" customFormat="1" ht="15" x14ac:dyDescent="0.25">
      <c r="A5568" t="s">
        <v>285</v>
      </c>
      <c r="E5568" s="1507" t="s">
        <v>848</v>
      </c>
      <c r="F5568" s="1507"/>
      <c r="G5568" s="584" t="s">
        <v>777</v>
      </c>
      <c r="H5568" s="576">
        <v>0.25</v>
      </c>
      <c r="K5568" t="s">
        <v>947</v>
      </c>
      <c r="L5568" t="s">
        <v>968</v>
      </c>
      <c r="P5568" t="s">
        <v>971</v>
      </c>
      <c r="V5568">
        <v>63</v>
      </c>
    </row>
    <row r="5569" spans="1:22" customFormat="1" x14ac:dyDescent="0.25">
      <c r="A5569" t="s">
        <v>285</v>
      </c>
      <c r="E5569" s="1492" t="s">
        <v>174</v>
      </c>
      <c r="F5569" s="1493"/>
      <c r="G5569" s="1493"/>
      <c r="H5569" s="1493"/>
      <c r="K5569" t="s">
        <v>972</v>
      </c>
      <c r="V5569">
        <v>54</v>
      </c>
    </row>
    <row r="5570" spans="1:22" customFormat="1" ht="15" x14ac:dyDescent="0.25">
      <c r="A5570" t="s">
        <v>285</v>
      </c>
      <c r="E5570" s="1516" t="s">
        <v>5033</v>
      </c>
      <c r="F5570" s="1516"/>
      <c r="G5570" s="1516"/>
      <c r="H5570" s="1516"/>
      <c r="K5570" t="s">
        <v>972</v>
      </c>
      <c r="V5570">
        <v>332</v>
      </c>
    </row>
    <row r="5571" spans="1:22" customFormat="1" ht="15" x14ac:dyDescent="0.25">
      <c r="A5571" t="s">
        <v>285</v>
      </c>
      <c r="E5571" s="1515" t="s">
        <v>950</v>
      </c>
      <c r="F5571" s="1516"/>
      <c r="G5571" s="1516"/>
      <c r="H5571" s="1516"/>
      <c r="K5571" t="s">
        <v>974</v>
      </c>
      <c r="V5571">
        <v>11</v>
      </c>
    </row>
    <row r="5572" spans="1:22" customFormat="1" ht="15" x14ac:dyDescent="0.25">
      <c r="A5572" t="s">
        <v>285</v>
      </c>
      <c r="E5572" s="1516" t="s">
        <v>951</v>
      </c>
      <c r="F5572" s="1516"/>
      <c r="G5572" s="1516"/>
      <c r="H5572" s="1516"/>
      <c r="K5572" t="s">
        <v>972</v>
      </c>
      <c r="V5572">
        <v>280</v>
      </c>
    </row>
    <row r="5573" spans="1:22" customFormat="1" ht="15" x14ac:dyDescent="0.25">
      <c r="A5573" t="s">
        <v>285</v>
      </c>
      <c r="E5573" s="1516" t="s">
        <v>952</v>
      </c>
      <c r="F5573" s="1516"/>
      <c r="G5573" s="1516"/>
      <c r="H5573" s="1516"/>
      <c r="K5573" t="s">
        <v>972</v>
      </c>
      <c r="V5573">
        <v>411</v>
      </c>
    </row>
    <row r="5574" spans="1:22" customFormat="1" ht="15" x14ac:dyDescent="0.25">
      <c r="A5574" t="s">
        <v>285</v>
      </c>
      <c r="E5574" s="1516" t="s">
        <v>3761</v>
      </c>
      <c r="F5574" s="1516"/>
      <c r="G5574" s="1516"/>
      <c r="H5574" s="1516"/>
      <c r="K5574" t="s">
        <v>972</v>
      </c>
      <c r="V5574">
        <v>387</v>
      </c>
    </row>
    <row r="5575" spans="1:22" customFormat="1" ht="15" x14ac:dyDescent="0.25">
      <c r="A5575" t="s">
        <v>285</v>
      </c>
      <c r="E5575" s="1516" t="s">
        <v>3762</v>
      </c>
      <c r="F5575" s="1516"/>
      <c r="G5575" s="1516"/>
      <c r="H5575" s="1516"/>
      <c r="K5575" t="s">
        <v>972</v>
      </c>
      <c r="V5575">
        <v>247</v>
      </c>
    </row>
    <row r="5576" spans="1:22" customFormat="1" ht="15" x14ac:dyDescent="0.25">
      <c r="A5576" t="s">
        <v>285</v>
      </c>
      <c r="E5576" s="1515" t="s">
        <v>956</v>
      </c>
      <c r="F5576" s="1516"/>
      <c r="G5576" s="1516"/>
      <c r="H5576" s="1516"/>
      <c r="K5576" t="s">
        <v>975</v>
      </c>
      <c r="V5576">
        <v>46</v>
      </c>
    </row>
    <row r="5577" spans="1:22" customFormat="1" ht="15" x14ac:dyDescent="0.25">
      <c r="A5577" t="s">
        <v>285</v>
      </c>
      <c r="E5577" s="1507" t="s">
        <v>3773</v>
      </c>
      <c r="F5577" s="1507"/>
      <c r="G5577" s="584" t="s">
        <v>777</v>
      </c>
      <c r="H5577" s="576">
        <v>45.06</v>
      </c>
      <c r="K5577" t="s">
        <v>972</v>
      </c>
      <c r="L5577" t="s">
        <v>690</v>
      </c>
      <c r="P5577" t="s">
        <v>976</v>
      </c>
      <c r="V5577">
        <v>14</v>
      </c>
    </row>
    <row r="5578" spans="1:22" customFormat="1" ht="15" x14ac:dyDescent="0.25">
      <c r="A5578" t="s">
        <v>285</v>
      </c>
      <c r="E5578" s="1507" t="s">
        <v>960</v>
      </c>
      <c r="F5578" s="1507"/>
      <c r="G5578" s="584" t="s">
        <v>777</v>
      </c>
      <c r="H5578" s="576">
        <v>0.42</v>
      </c>
      <c r="K5578" t="s">
        <v>972</v>
      </c>
      <c r="L5578" t="s">
        <v>692</v>
      </c>
      <c r="P5578" t="s">
        <v>977</v>
      </c>
      <c r="V5578">
        <v>64</v>
      </c>
    </row>
    <row r="5579" spans="1:22" customFormat="1" ht="15" x14ac:dyDescent="0.25">
      <c r="A5579" t="s">
        <v>285</v>
      </c>
      <c r="E5579" s="1507" t="s">
        <v>3688</v>
      </c>
      <c r="F5579" s="1507"/>
      <c r="G5579" s="584" t="s">
        <v>845</v>
      </c>
      <c r="H5579" s="577">
        <v>1.5599999999999999E-2</v>
      </c>
      <c r="K5579" t="s">
        <v>972</v>
      </c>
      <c r="L5579" t="s">
        <v>690</v>
      </c>
      <c r="P5579" t="s">
        <v>978</v>
      </c>
      <c r="V5579">
        <v>28</v>
      </c>
    </row>
    <row r="5580" spans="1:22" customFormat="1" ht="15" x14ac:dyDescent="0.25">
      <c r="A5580" t="s">
        <v>285</v>
      </c>
      <c r="E5580" s="1507" t="s">
        <v>6519</v>
      </c>
      <c r="F5580" s="1510"/>
      <c r="G5580" s="584" t="s">
        <v>845</v>
      </c>
      <c r="H5580" s="577">
        <v>5.9999999999999995E-4</v>
      </c>
      <c r="K5580" t="s">
        <v>972</v>
      </c>
      <c r="L5580" t="s">
        <v>692</v>
      </c>
      <c r="P5580" t="s">
        <v>981</v>
      </c>
      <c r="T5580">
        <v>46022</v>
      </c>
      <c r="V5580">
        <v>142</v>
      </c>
    </row>
    <row r="5581" spans="1:22" customFormat="1" ht="15" x14ac:dyDescent="0.25">
      <c r="A5581" t="s">
        <v>285</v>
      </c>
      <c r="E5581" s="1507" t="s">
        <v>6520</v>
      </c>
      <c r="F5581" s="1510"/>
      <c r="G5581" s="584" t="s">
        <v>845</v>
      </c>
      <c r="H5581" s="577">
        <v>-8.0000000000000004E-4</v>
      </c>
      <c r="K5581" t="s">
        <v>972</v>
      </c>
      <c r="L5581" t="s">
        <v>692</v>
      </c>
      <c r="P5581" t="s">
        <v>982</v>
      </c>
      <c r="T5581">
        <v>46022</v>
      </c>
      <c r="V5581">
        <v>99</v>
      </c>
    </row>
    <row r="5582" spans="1:22" customFormat="1" ht="15" x14ac:dyDescent="0.25">
      <c r="A5582" t="s">
        <v>285</v>
      </c>
      <c r="E5582" s="1467" t="s">
        <v>6779</v>
      </c>
      <c r="F5582" s="1468"/>
      <c r="G5582" s="584" t="s">
        <v>845</v>
      </c>
      <c r="H5582" s="577">
        <v>2.0000000000000001E-4</v>
      </c>
      <c r="K5582" t="s">
        <v>972</v>
      </c>
      <c r="L5582" t="s">
        <v>692</v>
      </c>
      <c r="P5582" t="s">
        <v>3766</v>
      </c>
      <c r="T5582">
        <v>46022</v>
      </c>
      <c r="V5582">
        <v>148</v>
      </c>
    </row>
    <row r="5583" spans="1:22" customFormat="1" ht="15" x14ac:dyDescent="0.25">
      <c r="A5583" t="s">
        <v>285</v>
      </c>
      <c r="E5583" s="1467" t="s">
        <v>6778</v>
      </c>
      <c r="F5583" s="1467"/>
      <c r="G5583" s="584" t="s">
        <v>845</v>
      </c>
      <c r="H5583" s="577">
        <v>-2.9999999999999997E-4</v>
      </c>
      <c r="K5583" t="s">
        <v>972</v>
      </c>
      <c r="L5583" t="s">
        <v>692</v>
      </c>
      <c r="P5583" t="s">
        <v>982</v>
      </c>
      <c r="T5583">
        <v>46022</v>
      </c>
      <c r="V5583">
        <v>102</v>
      </c>
    </row>
    <row r="5584" spans="1:22" customFormat="1" ht="15" x14ac:dyDescent="0.25">
      <c r="A5584" t="s">
        <v>285</v>
      </c>
      <c r="E5584" s="1507" t="s">
        <v>243</v>
      </c>
      <c r="F5584" s="1507"/>
      <c r="G5584" s="584" t="s">
        <v>845</v>
      </c>
      <c r="H5584" s="577">
        <v>1.0500000000000001E-2</v>
      </c>
      <c r="K5584" t="s">
        <v>972</v>
      </c>
      <c r="L5584" t="s">
        <v>694</v>
      </c>
      <c r="P5584" t="s">
        <v>983</v>
      </c>
      <c r="V5584">
        <v>47</v>
      </c>
    </row>
    <row r="5585" spans="1:22" customFormat="1" ht="15" x14ac:dyDescent="0.25">
      <c r="A5585" t="s">
        <v>285</v>
      </c>
      <c r="E5585" s="1507" t="s">
        <v>175</v>
      </c>
      <c r="F5585" s="1507"/>
      <c r="G5585" s="584" t="s">
        <v>845</v>
      </c>
      <c r="H5585" s="577">
        <v>1.4E-3</v>
      </c>
      <c r="K5585" t="s">
        <v>972</v>
      </c>
      <c r="L5585" t="s">
        <v>694</v>
      </c>
      <c r="P5585" t="s">
        <v>984</v>
      </c>
      <c r="V5585">
        <v>74</v>
      </c>
    </row>
    <row r="5586" spans="1:22" customFormat="1" ht="15" x14ac:dyDescent="0.25">
      <c r="A5586" t="s">
        <v>285</v>
      </c>
      <c r="E5586" s="1515" t="s">
        <v>967</v>
      </c>
      <c r="F5586" s="1507"/>
      <c r="G5586" s="584"/>
      <c r="H5586" s="584"/>
      <c r="K5586" t="s">
        <v>985</v>
      </c>
      <c r="V5586">
        <v>48</v>
      </c>
    </row>
    <row r="5587" spans="1:22" customFormat="1" ht="15" x14ac:dyDescent="0.25">
      <c r="A5587" t="s">
        <v>285</v>
      </c>
      <c r="E5587" s="1507" t="s">
        <v>844</v>
      </c>
      <c r="F5587" s="1507"/>
      <c r="G5587" s="584" t="s">
        <v>845</v>
      </c>
      <c r="H5587" s="577">
        <v>4.1000000000000003E-3</v>
      </c>
      <c r="K5587" t="s">
        <v>972</v>
      </c>
      <c r="L5587" t="s">
        <v>968</v>
      </c>
      <c r="P5587" t="s">
        <v>986</v>
      </c>
      <c r="V5587">
        <v>55</v>
      </c>
    </row>
    <row r="5588" spans="1:22" customFormat="1" ht="15" x14ac:dyDescent="0.25">
      <c r="A5588" t="s">
        <v>285</v>
      </c>
      <c r="E5588" s="1507" t="s">
        <v>846</v>
      </c>
      <c r="F5588" s="1507"/>
      <c r="G5588" s="584" t="s">
        <v>845</v>
      </c>
      <c r="H5588" s="577">
        <v>4.0000000000000002E-4</v>
      </c>
      <c r="K5588" t="s">
        <v>972</v>
      </c>
      <c r="L5588" t="s">
        <v>968</v>
      </c>
      <c r="P5588" t="s">
        <v>986</v>
      </c>
      <c r="V5588">
        <v>65</v>
      </c>
    </row>
    <row r="5589" spans="1:22" customFormat="1" ht="15" x14ac:dyDescent="0.25">
      <c r="A5589" t="s">
        <v>285</v>
      </c>
      <c r="E5589" s="1507" t="s">
        <v>847</v>
      </c>
      <c r="F5589" s="1507"/>
      <c r="G5589" s="584" t="s">
        <v>845</v>
      </c>
      <c r="H5589" s="577">
        <v>1.5E-3</v>
      </c>
      <c r="K5589" t="s">
        <v>972</v>
      </c>
      <c r="L5589" t="s">
        <v>968</v>
      </c>
      <c r="P5589" t="s">
        <v>987</v>
      </c>
      <c r="V5589">
        <v>57</v>
      </c>
    </row>
    <row r="5590" spans="1:22" customFormat="1" ht="15" x14ac:dyDescent="0.25">
      <c r="A5590" t="s">
        <v>285</v>
      </c>
      <c r="E5590" s="1507" t="s">
        <v>848</v>
      </c>
      <c r="F5590" s="1507"/>
      <c r="G5590" s="584" t="s">
        <v>777</v>
      </c>
      <c r="H5590" s="576">
        <v>0.25</v>
      </c>
      <c r="K5590" t="s">
        <v>972</v>
      </c>
      <c r="L5590" t="s">
        <v>968</v>
      </c>
      <c r="P5590" t="s">
        <v>988</v>
      </c>
      <c r="V5590">
        <v>63</v>
      </c>
    </row>
    <row r="5591" spans="1:22" customFormat="1" x14ac:dyDescent="0.25">
      <c r="A5591" t="s">
        <v>285</v>
      </c>
      <c r="E5591" s="1492" t="s">
        <v>3767</v>
      </c>
      <c r="F5591" s="1493"/>
      <c r="G5591" s="1493"/>
      <c r="H5591" s="1493"/>
      <c r="K5591" t="s">
        <v>3768</v>
      </c>
      <c r="V5591">
        <v>53</v>
      </c>
    </row>
    <row r="5592" spans="1:22" customFormat="1" ht="15" x14ac:dyDescent="0.25">
      <c r="A5592" t="s">
        <v>285</v>
      </c>
      <c r="E5592" s="1516" t="s">
        <v>5034</v>
      </c>
      <c r="F5592" s="1516"/>
      <c r="G5592" s="1516"/>
      <c r="H5592" s="1516"/>
      <c r="K5592" t="s">
        <v>3768</v>
      </c>
      <c r="V5592">
        <v>357</v>
      </c>
    </row>
    <row r="5593" spans="1:22" customFormat="1" ht="15" x14ac:dyDescent="0.25">
      <c r="A5593" t="s">
        <v>285</v>
      </c>
      <c r="E5593" s="1515" t="s">
        <v>950</v>
      </c>
      <c r="F5593" s="1516"/>
      <c r="G5593" s="1516"/>
      <c r="H5593" s="1516"/>
      <c r="K5593" t="s">
        <v>992</v>
      </c>
      <c r="V5593">
        <v>11</v>
      </c>
    </row>
    <row r="5594" spans="1:22" customFormat="1" ht="15" x14ac:dyDescent="0.25">
      <c r="A5594" t="s">
        <v>285</v>
      </c>
      <c r="E5594" s="1516" t="s">
        <v>951</v>
      </c>
      <c r="F5594" s="1516"/>
      <c r="G5594" s="1516"/>
      <c r="H5594" s="1516"/>
      <c r="K5594" t="s">
        <v>3768</v>
      </c>
      <c r="V5594">
        <v>280</v>
      </c>
    </row>
    <row r="5595" spans="1:22" customFormat="1" ht="15" x14ac:dyDescent="0.25">
      <c r="A5595" t="s">
        <v>285</v>
      </c>
      <c r="E5595" s="1516" t="s">
        <v>952</v>
      </c>
      <c r="F5595" s="1516"/>
      <c r="G5595" s="1516"/>
      <c r="H5595" s="1516"/>
      <c r="K5595" t="s">
        <v>3768</v>
      </c>
      <c r="V5595">
        <v>411</v>
      </c>
    </row>
    <row r="5596" spans="1:22" customFormat="1" ht="15" x14ac:dyDescent="0.25">
      <c r="A5596" t="s">
        <v>285</v>
      </c>
      <c r="E5596" s="1516" t="s">
        <v>3761</v>
      </c>
      <c r="F5596" s="1516"/>
      <c r="G5596" s="1516"/>
      <c r="H5596" s="1516"/>
      <c r="K5596" t="s">
        <v>3768</v>
      </c>
      <c r="V5596">
        <v>387</v>
      </c>
    </row>
    <row r="5597" spans="1:22" customFormat="1" ht="15" x14ac:dyDescent="0.25">
      <c r="A5597" t="s">
        <v>285</v>
      </c>
      <c r="E5597" s="1516" t="s">
        <v>3771</v>
      </c>
      <c r="F5597" s="1516"/>
      <c r="G5597" s="1516"/>
      <c r="H5597" s="1516"/>
      <c r="K5597" t="s">
        <v>3768</v>
      </c>
      <c r="V5597">
        <v>677</v>
      </c>
    </row>
    <row r="5598" spans="1:22" customFormat="1" ht="15" x14ac:dyDescent="0.25">
      <c r="A5598" t="s">
        <v>285</v>
      </c>
      <c r="E5598" s="1516" t="s">
        <v>3772</v>
      </c>
      <c r="F5598" s="1516"/>
      <c r="G5598" s="1516"/>
      <c r="H5598" s="1516"/>
      <c r="K5598" t="s">
        <v>3768</v>
      </c>
      <c r="V5598">
        <v>693</v>
      </c>
    </row>
    <row r="5599" spans="1:22" customFormat="1" ht="15" x14ac:dyDescent="0.25">
      <c r="A5599" t="s">
        <v>285</v>
      </c>
      <c r="E5599" s="1516" t="s">
        <v>3762</v>
      </c>
      <c r="F5599" s="1516"/>
      <c r="G5599" s="1516"/>
      <c r="H5599" s="1516"/>
      <c r="K5599" t="s">
        <v>3768</v>
      </c>
      <c r="V5599">
        <v>247</v>
      </c>
    </row>
    <row r="5600" spans="1:22" customFormat="1" ht="15" x14ac:dyDescent="0.25">
      <c r="A5600" t="s">
        <v>285</v>
      </c>
      <c r="E5600" s="1515" t="s">
        <v>956</v>
      </c>
      <c r="F5600" s="1516"/>
      <c r="G5600" s="1516"/>
      <c r="H5600" s="1516"/>
      <c r="K5600" t="s">
        <v>995</v>
      </c>
      <c r="V5600">
        <v>46</v>
      </c>
    </row>
    <row r="5601" spans="1:22" customFormat="1" ht="15" x14ac:dyDescent="0.25">
      <c r="A5601" t="s">
        <v>285</v>
      </c>
      <c r="E5601" s="1507" t="s">
        <v>3773</v>
      </c>
      <c r="F5601" s="1507"/>
      <c r="G5601" s="584" t="s">
        <v>777</v>
      </c>
      <c r="H5601" s="576">
        <v>322.05</v>
      </c>
      <c r="K5601" t="s">
        <v>3768</v>
      </c>
      <c r="L5601" t="s">
        <v>690</v>
      </c>
      <c r="P5601" t="s">
        <v>3774</v>
      </c>
      <c r="V5601">
        <v>14</v>
      </c>
    </row>
    <row r="5602" spans="1:22" customFormat="1" ht="15" x14ac:dyDescent="0.25">
      <c r="A5602" t="s">
        <v>285</v>
      </c>
      <c r="E5602" s="1507" t="s">
        <v>3688</v>
      </c>
      <c r="F5602" s="1507"/>
      <c r="G5602" s="584" t="s">
        <v>3775</v>
      </c>
      <c r="H5602" s="577">
        <v>3.0493000000000001</v>
      </c>
      <c r="K5602" t="s">
        <v>3768</v>
      </c>
      <c r="L5602" t="s">
        <v>690</v>
      </c>
      <c r="P5602" t="s">
        <v>3776</v>
      </c>
      <c r="V5602">
        <v>28</v>
      </c>
    </row>
    <row r="5603" spans="1:22" customFormat="1" ht="15" x14ac:dyDescent="0.25">
      <c r="A5603" t="s">
        <v>285</v>
      </c>
      <c r="E5603" s="1507" t="s">
        <v>6519</v>
      </c>
      <c r="F5603" s="1510"/>
      <c r="G5603" s="584" t="s">
        <v>845</v>
      </c>
      <c r="H5603" s="577">
        <v>5.9999999999999995E-4</v>
      </c>
      <c r="K5603" t="s">
        <v>3768</v>
      </c>
      <c r="L5603" t="s">
        <v>692</v>
      </c>
      <c r="P5603" t="s">
        <v>4232</v>
      </c>
      <c r="T5603">
        <v>46022</v>
      </c>
      <c r="V5603">
        <v>142</v>
      </c>
    </row>
    <row r="5604" spans="1:22" customFormat="1" ht="15" x14ac:dyDescent="0.25">
      <c r="A5604" t="s">
        <v>285</v>
      </c>
      <c r="E5604" s="1507" t="s">
        <v>6520</v>
      </c>
      <c r="F5604" s="1510"/>
      <c r="G5604" s="584" t="s">
        <v>3775</v>
      </c>
      <c r="H5604" s="577">
        <v>-0.25569999999999998</v>
      </c>
      <c r="K5604" t="s">
        <v>3768</v>
      </c>
      <c r="L5604" t="s">
        <v>692</v>
      </c>
      <c r="P5604" t="s">
        <v>3779</v>
      </c>
      <c r="T5604">
        <v>46022</v>
      </c>
      <c r="V5604">
        <v>99</v>
      </c>
    </row>
    <row r="5605" spans="1:22" customFormat="1" ht="15" x14ac:dyDescent="0.25">
      <c r="A5605" t="s">
        <v>285</v>
      </c>
      <c r="E5605" s="1467" t="s">
        <v>6779</v>
      </c>
      <c r="F5605" s="1468"/>
      <c r="G5605" s="584" t="s">
        <v>3775</v>
      </c>
      <c r="H5605" s="577">
        <v>7.3899999999999993E-2</v>
      </c>
      <c r="K5605" t="s">
        <v>3768</v>
      </c>
      <c r="L5605" t="s">
        <v>692</v>
      </c>
      <c r="P5605" t="s">
        <v>3778</v>
      </c>
      <c r="T5605">
        <v>46022</v>
      </c>
      <c r="V5605">
        <v>148</v>
      </c>
    </row>
    <row r="5606" spans="1:22" customFormat="1" ht="15" x14ac:dyDescent="0.25">
      <c r="A5606" t="s">
        <v>285</v>
      </c>
      <c r="E5606" s="1467" t="s">
        <v>6778</v>
      </c>
      <c r="F5606" s="1467"/>
      <c r="G5606" s="584" t="s">
        <v>3775</v>
      </c>
      <c r="H5606" s="577">
        <v>-4.82E-2</v>
      </c>
      <c r="K5606" t="s">
        <v>3768</v>
      </c>
      <c r="L5606" t="s">
        <v>692</v>
      </c>
      <c r="P5606" t="s">
        <v>3779</v>
      </c>
      <c r="T5606">
        <v>46022</v>
      </c>
      <c r="V5606">
        <v>102</v>
      </c>
    </row>
    <row r="5607" spans="1:22" customFormat="1" ht="15" x14ac:dyDescent="0.25">
      <c r="A5607" t="s">
        <v>285</v>
      </c>
      <c r="E5607" s="1507" t="s">
        <v>251</v>
      </c>
      <c r="F5607" s="1507"/>
      <c r="G5607" s="584" t="s">
        <v>3775</v>
      </c>
      <c r="H5607" s="577">
        <v>4.6345999999999998</v>
      </c>
      <c r="K5607" t="s">
        <v>3768</v>
      </c>
      <c r="L5607" t="s">
        <v>694</v>
      </c>
      <c r="P5607" t="s">
        <v>3780</v>
      </c>
      <c r="V5607">
        <v>66</v>
      </c>
    </row>
    <row r="5608" spans="1:22" customFormat="1" ht="15" x14ac:dyDescent="0.25">
      <c r="A5608" t="s">
        <v>285</v>
      </c>
      <c r="E5608" s="1507" t="s">
        <v>185</v>
      </c>
      <c r="F5608" s="1507"/>
      <c r="G5608" s="584" t="s">
        <v>3775</v>
      </c>
      <c r="H5608" s="577">
        <v>1.0673999999999999</v>
      </c>
      <c r="K5608" t="s">
        <v>3768</v>
      </c>
      <c r="L5608" t="s">
        <v>694</v>
      </c>
      <c r="P5608" t="s">
        <v>3781</v>
      </c>
      <c r="V5608">
        <v>93</v>
      </c>
    </row>
    <row r="5609" spans="1:22" customFormat="1" ht="15" x14ac:dyDescent="0.25">
      <c r="A5609" t="s">
        <v>285</v>
      </c>
      <c r="E5609" s="1515" t="s">
        <v>967</v>
      </c>
      <c r="F5609" s="1507"/>
      <c r="G5609" s="584"/>
      <c r="H5609" s="584"/>
      <c r="K5609" t="s">
        <v>1003</v>
      </c>
      <c r="V5609">
        <v>48</v>
      </c>
    </row>
    <row r="5610" spans="1:22" customFormat="1" ht="15" x14ac:dyDescent="0.25">
      <c r="A5610" t="s">
        <v>285</v>
      </c>
      <c r="E5610" s="1507" t="s">
        <v>844</v>
      </c>
      <c r="F5610" s="1507"/>
      <c r="G5610" s="584" t="s">
        <v>845</v>
      </c>
      <c r="H5610" s="577">
        <v>4.1000000000000003E-3</v>
      </c>
      <c r="K5610" t="s">
        <v>3768</v>
      </c>
      <c r="L5610" t="s">
        <v>968</v>
      </c>
      <c r="P5610" t="s">
        <v>3782</v>
      </c>
      <c r="V5610">
        <v>55</v>
      </c>
    </row>
    <row r="5611" spans="1:22" customFormat="1" ht="15" x14ac:dyDescent="0.25">
      <c r="A5611" t="s">
        <v>285</v>
      </c>
      <c r="E5611" s="1507" t="s">
        <v>846</v>
      </c>
      <c r="F5611" s="1507"/>
      <c r="G5611" s="584" t="s">
        <v>845</v>
      </c>
      <c r="H5611" s="577">
        <v>4.0000000000000002E-4</v>
      </c>
      <c r="K5611" t="s">
        <v>3768</v>
      </c>
      <c r="L5611" t="s">
        <v>968</v>
      </c>
      <c r="P5611" t="s">
        <v>3782</v>
      </c>
      <c r="V5611">
        <v>65</v>
      </c>
    </row>
    <row r="5612" spans="1:22" customFormat="1" ht="15" x14ac:dyDescent="0.25">
      <c r="A5612" t="s">
        <v>285</v>
      </c>
      <c r="E5612" s="1507" t="s">
        <v>847</v>
      </c>
      <c r="F5612" s="1507"/>
      <c r="G5612" s="584" t="s">
        <v>845</v>
      </c>
      <c r="H5612" s="577">
        <v>1.5E-3</v>
      </c>
      <c r="K5612" t="s">
        <v>3768</v>
      </c>
      <c r="L5612" t="s">
        <v>968</v>
      </c>
      <c r="P5612" t="s">
        <v>3783</v>
      </c>
      <c r="V5612">
        <v>57</v>
      </c>
    </row>
    <row r="5613" spans="1:22" customFormat="1" ht="15" x14ac:dyDescent="0.25">
      <c r="A5613" t="s">
        <v>285</v>
      </c>
      <c r="E5613" s="1507" t="s">
        <v>848</v>
      </c>
      <c r="F5613" s="1507"/>
      <c r="G5613" s="584" t="s">
        <v>777</v>
      </c>
      <c r="H5613" s="576">
        <v>0.25</v>
      </c>
      <c r="K5613" t="s">
        <v>3768</v>
      </c>
      <c r="L5613" t="s">
        <v>968</v>
      </c>
      <c r="P5613" t="s">
        <v>3784</v>
      </c>
      <c r="V5613">
        <v>63</v>
      </c>
    </row>
    <row r="5614" spans="1:22" customFormat="1" x14ac:dyDescent="0.25">
      <c r="A5614" t="s">
        <v>285</v>
      </c>
      <c r="E5614" s="1492" t="s">
        <v>189</v>
      </c>
      <c r="F5614" s="1493"/>
      <c r="G5614" s="1493"/>
      <c r="H5614" s="1493"/>
      <c r="K5614" t="s">
        <v>4234</v>
      </c>
      <c r="V5614">
        <v>32</v>
      </c>
    </row>
    <row r="5615" spans="1:22" customFormat="1" ht="15" x14ac:dyDescent="0.25">
      <c r="A5615" t="s">
        <v>285</v>
      </c>
      <c r="E5615" s="1516" t="s">
        <v>5035</v>
      </c>
      <c r="F5615" s="1516"/>
      <c r="G5615" s="1516"/>
      <c r="H5615" s="1516"/>
      <c r="K5615" t="s">
        <v>4234</v>
      </c>
      <c r="V5615">
        <v>337</v>
      </c>
    </row>
    <row r="5616" spans="1:22" customFormat="1" ht="15" x14ac:dyDescent="0.25">
      <c r="A5616" t="s">
        <v>285</v>
      </c>
      <c r="E5616" s="1515" t="s">
        <v>950</v>
      </c>
      <c r="F5616" s="1516"/>
      <c r="G5616" s="1516"/>
      <c r="H5616" s="1516"/>
      <c r="K5616" t="s">
        <v>1010</v>
      </c>
      <c r="V5616">
        <v>11</v>
      </c>
    </row>
    <row r="5617" spans="1:22" customFormat="1" ht="15" x14ac:dyDescent="0.25">
      <c r="A5617" t="s">
        <v>285</v>
      </c>
      <c r="E5617" s="1516" t="s">
        <v>951</v>
      </c>
      <c r="F5617" s="1516"/>
      <c r="G5617" s="1516"/>
      <c r="H5617" s="1516"/>
      <c r="K5617" t="s">
        <v>4234</v>
      </c>
      <c r="V5617">
        <v>280</v>
      </c>
    </row>
    <row r="5618" spans="1:22" customFormat="1" ht="15" x14ac:dyDescent="0.25">
      <c r="A5618" t="s">
        <v>285</v>
      </c>
      <c r="E5618" s="1516" t="s">
        <v>952</v>
      </c>
      <c r="F5618" s="1516"/>
      <c r="G5618" s="1516"/>
      <c r="H5618" s="1516"/>
      <c r="K5618" t="s">
        <v>4234</v>
      </c>
      <c r="V5618">
        <v>411</v>
      </c>
    </row>
    <row r="5619" spans="1:22" customFormat="1" ht="15" x14ac:dyDescent="0.25">
      <c r="A5619" t="s">
        <v>285</v>
      </c>
      <c r="E5619" s="1516" t="s">
        <v>3761</v>
      </c>
      <c r="F5619" s="1516"/>
      <c r="G5619" s="1516"/>
      <c r="H5619" s="1516"/>
      <c r="K5619" t="s">
        <v>4234</v>
      </c>
      <c r="V5619">
        <v>387</v>
      </c>
    </row>
    <row r="5620" spans="1:22" customFormat="1" ht="15" x14ac:dyDescent="0.25">
      <c r="A5620" t="s">
        <v>285</v>
      </c>
      <c r="E5620" s="1516" t="s">
        <v>3771</v>
      </c>
      <c r="F5620" s="1516"/>
      <c r="G5620" s="1516"/>
      <c r="H5620" s="1516"/>
      <c r="K5620" t="s">
        <v>4234</v>
      </c>
      <c r="V5620">
        <v>677</v>
      </c>
    </row>
    <row r="5621" spans="1:22" customFormat="1" ht="15" x14ac:dyDescent="0.25">
      <c r="A5621" t="s">
        <v>285</v>
      </c>
      <c r="E5621" s="1516" t="s">
        <v>3772</v>
      </c>
      <c r="F5621" s="1516"/>
      <c r="G5621" s="1516"/>
      <c r="H5621" s="1516"/>
      <c r="K5621" t="s">
        <v>4234</v>
      </c>
      <c r="V5621">
        <v>693</v>
      </c>
    </row>
    <row r="5622" spans="1:22" customFormat="1" ht="15" x14ac:dyDescent="0.25">
      <c r="A5622" t="s">
        <v>285</v>
      </c>
      <c r="E5622" s="1516" t="s">
        <v>3762</v>
      </c>
      <c r="F5622" s="1516"/>
      <c r="G5622" s="1516"/>
      <c r="H5622" s="1516"/>
      <c r="K5622" t="s">
        <v>4234</v>
      </c>
      <c r="V5622">
        <v>247</v>
      </c>
    </row>
    <row r="5623" spans="1:22" customFormat="1" ht="15" x14ac:dyDescent="0.25">
      <c r="A5623" t="s">
        <v>285</v>
      </c>
      <c r="E5623" s="1515" t="s">
        <v>956</v>
      </c>
      <c r="F5623" s="1516"/>
      <c r="G5623" s="1516"/>
      <c r="H5623" s="1516"/>
      <c r="K5623" t="s">
        <v>1011</v>
      </c>
      <c r="V5623">
        <v>46</v>
      </c>
    </row>
    <row r="5624" spans="1:22" customFormat="1" ht="15" x14ac:dyDescent="0.25">
      <c r="A5624" t="s">
        <v>285</v>
      </c>
      <c r="E5624" s="1507" t="s">
        <v>3773</v>
      </c>
      <c r="F5624" s="1507"/>
      <c r="G5624" s="584" t="s">
        <v>777</v>
      </c>
      <c r="H5624" s="576">
        <v>4221.78</v>
      </c>
      <c r="K5624" t="s">
        <v>4234</v>
      </c>
      <c r="L5624" t="s">
        <v>690</v>
      </c>
      <c r="P5624" t="s">
        <v>4236</v>
      </c>
      <c r="V5624">
        <v>14</v>
      </c>
    </row>
    <row r="5625" spans="1:22" customFormat="1" ht="15" x14ac:dyDescent="0.25">
      <c r="A5625" t="s">
        <v>285</v>
      </c>
      <c r="E5625" s="1507" t="s">
        <v>3688</v>
      </c>
      <c r="F5625" s="1507"/>
      <c r="G5625" s="584" t="s">
        <v>3775</v>
      </c>
      <c r="H5625" s="577">
        <v>2.9095</v>
      </c>
      <c r="K5625" t="s">
        <v>4234</v>
      </c>
      <c r="L5625" t="s">
        <v>690</v>
      </c>
      <c r="P5625" t="s">
        <v>4237</v>
      </c>
      <c r="V5625">
        <v>28</v>
      </c>
    </row>
    <row r="5626" spans="1:22" customFormat="1" ht="15" x14ac:dyDescent="0.25">
      <c r="A5626" t="s">
        <v>285</v>
      </c>
      <c r="E5626" s="1507" t="s">
        <v>6520</v>
      </c>
      <c r="F5626" s="1510"/>
      <c r="G5626" s="584" t="s">
        <v>3775</v>
      </c>
      <c r="H5626" s="577">
        <v>-0.3589</v>
      </c>
      <c r="K5626" t="s">
        <v>4234</v>
      </c>
      <c r="L5626" t="s">
        <v>692</v>
      </c>
      <c r="P5626" t="s">
        <v>4240</v>
      </c>
      <c r="T5626">
        <v>46022</v>
      </c>
      <c r="V5626">
        <v>99</v>
      </c>
    </row>
    <row r="5627" spans="1:22" customFormat="1" ht="15" x14ac:dyDescent="0.25">
      <c r="A5627" t="s">
        <v>285</v>
      </c>
      <c r="E5627" s="1467" t="s">
        <v>6778</v>
      </c>
      <c r="F5627" s="1467"/>
      <c r="G5627" s="584" t="s">
        <v>3775</v>
      </c>
      <c r="H5627" s="577">
        <v>-2.5899999999999999E-2</v>
      </c>
      <c r="K5627" t="s">
        <v>4234</v>
      </c>
      <c r="L5627" t="s">
        <v>692</v>
      </c>
      <c r="P5627" t="s">
        <v>4240</v>
      </c>
      <c r="T5627">
        <v>46022</v>
      </c>
      <c r="V5627">
        <v>102</v>
      </c>
    </row>
    <row r="5628" spans="1:22" customFormat="1" ht="15" x14ac:dyDescent="0.25">
      <c r="A5628" t="s">
        <v>285</v>
      </c>
      <c r="E5628" s="1507" t="s">
        <v>251</v>
      </c>
      <c r="F5628" s="1507"/>
      <c r="G5628" s="584" t="s">
        <v>3775</v>
      </c>
      <c r="H5628" s="577">
        <v>6.25</v>
      </c>
      <c r="K5628" t="s">
        <v>4234</v>
      </c>
      <c r="L5628" t="s">
        <v>694</v>
      </c>
      <c r="P5628" t="s">
        <v>4241</v>
      </c>
      <c r="V5628">
        <v>66</v>
      </c>
    </row>
    <row r="5629" spans="1:22" customFormat="1" ht="15" x14ac:dyDescent="0.25">
      <c r="A5629" t="s">
        <v>285</v>
      </c>
      <c r="E5629" s="1507" t="s">
        <v>4444</v>
      </c>
      <c r="F5629" s="1507"/>
      <c r="G5629" s="584" t="s">
        <v>3775</v>
      </c>
      <c r="H5629" s="577">
        <v>1</v>
      </c>
      <c r="K5629" t="s">
        <v>4234</v>
      </c>
      <c r="L5629" t="s">
        <v>694</v>
      </c>
      <c r="P5629" t="s">
        <v>4242</v>
      </c>
      <c r="V5629">
        <v>94</v>
      </c>
    </row>
    <row r="5630" spans="1:22" customFormat="1" ht="15" x14ac:dyDescent="0.25">
      <c r="A5630" t="s">
        <v>285</v>
      </c>
      <c r="E5630" s="1515" t="s">
        <v>967</v>
      </c>
      <c r="F5630" s="1507"/>
      <c r="G5630" s="584"/>
      <c r="H5630" s="584"/>
      <c r="K5630" t="s">
        <v>1019</v>
      </c>
      <c r="V5630">
        <v>48</v>
      </c>
    </row>
    <row r="5631" spans="1:22" customFormat="1" ht="15" x14ac:dyDescent="0.25">
      <c r="A5631" t="s">
        <v>285</v>
      </c>
      <c r="E5631" s="1507" t="s">
        <v>844</v>
      </c>
      <c r="F5631" s="1507"/>
      <c r="G5631" s="584" t="s">
        <v>845</v>
      </c>
      <c r="H5631" s="577">
        <v>4.1000000000000003E-3</v>
      </c>
      <c r="K5631" t="s">
        <v>4234</v>
      </c>
      <c r="L5631" t="s">
        <v>968</v>
      </c>
      <c r="P5631" t="s">
        <v>4243</v>
      </c>
      <c r="V5631">
        <v>55</v>
      </c>
    </row>
    <row r="5632" spans="1:22" customFormat="1" ht="15" x14ac:dyDescent="0.25">
      <c r="A5632" t="s">
        <v>285</v>
      </c>
      <c r="E5632" s="1507" t="s">
        <v>846</v>
      </c>
      <c r="F5632" s="1507"/>
      <c r="G5632" s="584" t="s">
        <v>845</v>
      </c>
      <c r="H5632" s="577">
        <v>4.0000000000000002E-4</v>
      </c>
      <c r="K5632" t="s">
        <v>4234</v>
      </c>
      <c r="L5632" t="s">
        <v>968</v>
      </c>
      <c r="P5632" t="s">
        <v>4243</v>
      </c>
      <c r="V5632">
        <v>65</v>
      </c>
    </row>
    <row r="5633" spans="1:22" customFormat="1" ht="15" x14ac:dyDescent="0.25">
      <c r="A5633" t="s">
        <v>285</v>
      </c>
      <c r="E5633" s="1507" t="s">
        <v>847</v>
      </c>
      <c r="F5633" s="1507"/>
      <c r="G5633" s="584" t="s">
        <v>845</v>
      </c>
      <c r="H5633" s="577">
        <v>1.5E-3</v>
      </c>
      <c r="K5633" t="s">
        <v>4234</v>
      </c>
      <c r="L5633" t="s">
        <v>968</v>
      </c>
      <c r="P5633" t="s">
        <v>4244</v>
      </c>
      <c r="V5633">
        <v>57</v>
      </c>
    </row>
    <row r="5634" spans="1:22" customFormat="1" ht="15" x14ac:dyDescent="0.25">
      <c r="A5634" t="s">
        <v>285</v>
      </c>
      <c r="E5634" s="1507" t="s">
        <v>848</v>
      </c>
      <c r="F5634" s="1507"/>
      <c r="G5634" s="584" t="s">
        <v>777</v>
      </c>
      <c r="H5634" s="576">
        <v>0.25</v>
      </c>
      <c r="K5634" t="s">
        <v>4234</v>
      </c>
      <c r="L5634" t="s">
        <v>968</v>
      </c>
      <c r="P5634" t="s">
        <v>4245</v>
      </c>
      <c r="V5634">
        <v>63</v>
      </c>
    </row>
    <row r="5635" spans="1:22" customFormat="1" x14ac:dyDescent="0.25">
      <c r="A5635" t="s">
        <v>285</v>
      </c>
      <c r="E5635" s="1492" t="s">
        <v>194</v>
      </c>
      <c r="F5635" s="1493"/>
      <c r="G5635" s="1493"/>
      <c r="H5635" s="1493"/>
      <c r="K5635" t="s">
        <v>1023</v>
      </c>
      <c r="V5635">
        <v>47</v>
      </c>
    </row>
    <row r="5636" spans="1:22" customFormat="1" ht="15" x14ac:dyDescent="0.25">
      <c r="A5636" t="s">
        <v>285</v>
      </c>
      <c r="E5636" s="1516" t="s">
        <v>5036</v>
      </c>
      <c r="F5636" s="1516"/>
      <c r="G5636" s="1516"/>
      <c r="H5636" s="1516"/>
      <c r="K5636" t="s">
        <v>1023</v>
      </c>
      <c r="V5636">
        <v>723</v>
      </c>
    </row>
    <row r="5637" spans="1:22" customFormat="1" ht="15" x14ac:dyDescent="0.25">
      <c r="A5637" t="s">
        <v>285</v>
      </c>
      <c r="E5637" s="1515" t="s">
        <v>950</v>
      </c>
      <c r="F5637" s="1516"/>
      <c r="G5637" s="1516"/>
      <c r="H5637" s="1516"/>
      <c r="K5637" t="s">
        <v>1025</v>
      </c>
      <c r="V5637">
        <v>11</v>
      </c>
    </row>
    <row r="5638" spans="1:22" customFormat="1" ht="15" x14ac:dyDescent="0.25">
      <c r="A5638" t="s">
        <v>285</v>
      </c>
      <c r="E5638" s="1516" t="s">
        <v>951</v>
      </c>
      <c r="F5638" s="1516"/>
      <c r="G5638" s="1516"/>
      <c r="H5638" s="1516"/>
      <c r="K5638" t="s">
        <v>1023</v>
      </c>
      <c r="V5638">
        <v>280</v>
      </c>
    </row>
    <row r="5639" spans="1:22" customFormat="1" ht="15" x14ac:dyDescent="0.25">
      <c r="A5639" t="s">
        <v>285</v>
      </c>
      <c r="E5639" s="1516" t="s">
        <v>952</v>
      </c>
      <c r="F5639" s="1516"/>
      <c r="G5639" s="1516"/>
      <c r="H5639" s="1516"/>
      <c r="K5639" t="s">
        <v>1023</v>
      </c>
      <c r="V5639">
        <v>411</v>
      </c>
    </row>
    <row r="5640" spans="1:22" customFormat="1" ht="15" x14ac:dyDescent="0.25">
      <c r="A5640" t="s">
        <v>285</v>
      </c>
      <c r="E5640" s="1516" t="s">
        <v>3761</v>
      </c>
      <c r="F5640" s="1516"/>
      <c r="G5640" s="1516"/>
      <c r="H5640" s="1516"/>
      <c r="K5640" t="s">
        <v>1023</v>
      </c>
      <c r="V5640">
        <v>387</v>
      </c>
    </row>
    <row r="5641" spans="1:22" customFormat="1" ht="15" x14ac:dyDescent="0.25">
      <c r="A5641" t="s">
        <v>285</v>
      </c>
      <c r="E5641" s="1516" t="s">
        <v>3762</v>
      </c>
      <c r="F5641" s="1516"/>
      <c r="G5641" s="1516"/>
      <c r="H5641" s="1516"/>
      <c r="K5641" t="s">
        <v>1023</v>
      </c>
      <c r="V5641">
        <v>247</v>
      </c>
    </row>
    <row r="5642" spans="1:22" customFormat="1" ht="15" x14ac:dyDescent="0.25">
      <c r="A5642" t="s">
        <v>285</v>
      </c>
      <c r="E5642" s="1515" t="s">
        <v>956</v>
      </c>
      <c r="F5642" s="1516"/>
      <c r="G5642" s="1516"/>
      <c r="H5642" s="1516"/>
      <c r="K5642" t="s">
        <v>1026</v>
      </c>
      <c r="V5642">
        <v>46</v>
      </c>
    </row>
    <row r="5643" spans="1:22" customFormat="1" ht="15" x14ac:dyDescent="0.25">
      <c r="A5643" t="s">
        <v>285</v>
      </c>
      <c r="E5643" s="1507" t="s">
        <v>3893</v>
      </c>
      <c r="F5643" s="1507"/>
      <c r="G5643" s="584" t="s">
        <v>777</v>
      </c>
      <c r="H5643" s="576">
        <v>25.78</v>
      </c>
      <c r="K5643" t="s">
        <v>1023</v>
      </c>
      <c r="L5643" t="s">
        <v>690</v>
      </c>
      <c r="P5643" t="s">
        <v>1027</v>
      </c>
      <c r="V5643">
        <v>29</v>
      </c>
    </row>
    <row r="5644" spans="1:22" customFormat="1" ht="15" x14ac:dyDescent="0.25">
      <c r="A5644" t="s">
        <v>285</v>
      </c>
      <c r="E5644" s="1507" t="s">
        <v>3688</v>
      </c>
      <c r="F5644" s="1507"/>
      <c r="G5644" s="584" t="s">
        <v>845</v>
      </c>
      <c r="H5644" s="577">
        <v>7.0000000000000001E-3</v>
      </c>
      <c r="K5644" t="s">
        <v>1023</v>
      </c>
      <c r="L5644" t="s">
        <v>690</v>
      </c>
      <c r="P5644" t="s">
        <v>1029</v>
      </c>
      <c r="V5644">
        <v>28</v>
      </c>
    </row>
    <row r="5645" spans="1:22" customFormat="1" ht="15" x14ac:dyDescent="0.25">
      <c r="A5645" t="s">
        <v>285</v>
      </c>
      <c r="E5645" s="1507" t="s">
        <v>6519</v>
      </c>
      <c r="F5645" s="1510"/>
      <c r="G5645" s="584" t="s">
        <v>845</v>
      </c>
      <c r="H5645" s="577">
        <v>5.9999999999999995E-4</v>
      </c>
      <c r="K5645" t="s">
        <v>1023</v>
      </c>
      <c r="L5645" t="s">
        <v>692</v>
      </c>
      <c r="P5645" t="s">
        <v>1031</v>
      </c>
      <c r="T5645">
        <v>46022</v>
      </c>
      <c r="V5645">
        <v>142</v>
      </c>
    </row>
    <row r="5646" spans="1:22" customFormat="1" ht="15" x14ac:dyDescent="0.25">
      <c r="A5646" t="s">
        <v>285</v>
      </c>
      <c r="E5646" s="1507" t="s">
        <v>6520</v>
      </c>
      <c r="F5646" s="1510"/>
      <c r="G5646" s="584" t="s">
        <v>845</v>
      </c>
      <c r="H5646" s="577">
        <v>-8.0000000000000004E-4</v>
      </c>
      <c r="K5646" t="s">
        <v>1023</v>
      </c>
      <c r="L5646" t="s">
        <v>692</v>
      </c>
      <c r="P5646" t="s">
        <v>1032</v>
      </c>
      <c r="T5646">
        <v>46022</v>
      </c>
      <c r="V5646">
        <v>99</v>
      </c>
    </row>
    <row r="5647" spans="1:22" customFormat="1" ht="15" x14ac:dyDescent="0.25">
      <c r="A5647" t="s">
        <v>285</v>
      </c>
      <c r="E5647" s="1467" t="s">
        <v>6779</v>
      </c>
      <c r="F5647" s="1468"/>
      <c r="G5647" s="584" t="s">
        <v>845</v>
      </c>
      <c r="H5647" s="577">
        <v>2.0000000000000001E-4</v>
      </c>
      <c r="K5647" t="s">
        <v>1023</v>
      </c>
      <c r="L5647" t="s">
        <v>692</v>
      </c>
      <c r="P5647" t="s">
        <v>4520</v>
      </c>
      <c r="T5647">
        <v>46022</v>
      </c>
      <c r="V5647">
        <v>148</v>
      </c>
    </row>
    <row r="5648" spans="1:22" customFormat="1" ht="15" x14ac:dyDescent="0.25">
      <c r="A5648" t="s">
        <v>285</v>
      </c>
      <c r="E5648" s="1467" t="s">
        <v>6778</v>
      </c>
      <c r="F5648" s="1467"/>
      <c r="G5648" s="584" t="s">
        <v>845</v>
      </c>
      <c r="H5648" s="577">
        <v>-5.9999999999999995E-4</v>
      </c>
      <c r="K5648" t="s">
        <v>1023</v>
      </c>
      <c r="L5648" t="s">
        <v>692</v>
      </c>
      <c r="P5648" t="s">
        <v>1032</v>
      </c>
      <c r="T5648">
        <v>46022</v>
      </c>
      <c r="V5648">
        <v>102</v>
      </c>
    </row>
    <row r="5649" spans="1:22" customFormat="1" ht="15" x14ac:dyDescent="0.25">
      <c r="A5649" t="s">
        <v>285</v>
      </c>
      <c r="E5649" s="1507" t="s">
        <v>243</v>
      </c>
      <c r="F5649" s="1507"/>
      <c r="G5649" s="584" t="s">
        <v>845</v>
      </c>
      <c r="H5649" s="577">
        <v>1.0500000000000001E-2</v>
      </c>
      <c r="K5649" t="s">
        <v>1023</v>
      </c>
      <c r="L5649" t="s">
        <v>694</v>
      </c>
      <c r="P5649" t="s">
        <v>1033</v>
      </c>
      <c r="V5649">
        <v>47</v>
      </c>
    </row>
    <row r="5650" spans="1:22" customFormat="1" ht="15" x14ac:dyDescent="0.25">
      <c r="A5650" t="s">
        <v>285</v>
      </c>
      <c r="E5650" s="1507" t="s">
        <v>175</v>
      </c>
      <c r="F5650" s="1507"/>
      <c r="G5650" s="584" t="s">
        <v>845</v>
      </c>
      <c r="H5650" s="577">
        <v>1.4E-3</v>
      </c>
      <c r="K5650" t="s">
        <v>1023</v>
      </c>
      <c r="L5650" t="s">
        <v>694</v>
      </c>
      <c r="P5650" t="s">
        <v>1034</v>
      </c>
      <c r="V5650">
        <v>74</v>
      </c>
    </row>
    <row r="5651" spans="1:22" customFormat="1" ht="15" x14ac:dyDescent="0.25">
      <c r="A5651" t="s">
        <v>285</v>
      </c>
      <c r="E5651" s="1515" t="s">
        <v>967</v>
      </c>
      <c r="F5651" s="1507"/>
      <c r="G5651" s="584"/>
      <c r="H5651" s="584"/>
      <c r="K5651" t="s">
        <v>1035</v>
      </c>
      <c r="V5651">
        <v>48</v>
      </c>
    </row>
    <row r="5652" spans="1:22" customFormat="1" ht="15" x14ac:dyDescent="0.25">
      <c r="A5652" t="s">
        <v>285</v>
      </c>
      <c r="E5652" s="1507" t="s">
        <v>844</v>
      </c>
      <c r="F5652" s="1507"/>
      <c r="G5652" s="584" t="s">
        <v>845</v>
      </c>
      <c r="H5652" s="577">
        <v>4.1000000000000003E-3</v>
      </c>
      <c r="K5652" t="s">
        <v>1023</v>
      </c>
      <c r="L5652" t="s">
        <v>968</v>
      </c>
      <c r="P5652" t="s">
        <v>1036</v>
      </c>
      <c r="V5652">
        <v>55</v>
      </c>
    </row>
    <row r="5653" spans="1:22" customFormat="1" ht="15" x14ac:dyDescent="0.25">
      <c r="A5653" t="s">
        <v>285</v>
      </c>
      <c r="E5653" s="1507" t="s">
        <v>846</v>
      </c>
      <c r="F5653" s="1507"/>
      <c r="G5653" s="584" t="s">
        <v>845</v>
      </c>
      <c r="H5653" s="577">
        <v>4.0000000000000002E-4</v>
      </c>
      <c r="K5653" t="s">
        <v>1023</v>
      </c>
      <c r="L5653" t="s">
        <v>968</v>
      </c>
      <c r="P5653" t="s">
        <v>1036</v>
      </c>
      <c r="V5653">
        <v>65</v>
      </c>
    </row>
    <row r="5654" spans="1:22" customFormat="1" ht="15" x14ac:dyDescent="0.25">
      <c r="A5654" t="s">
        <v>285</v>
      </c>
      <c r="E5654" s="1507" t="s">
        <v>847</v>
      </c>
      <c r="F5654" s="1507"/>
      <c r="G5654" s="584" t="s">
        <v>845</v>
      </c>
      <c r="H5654" s="577">
        <v>1.5E-3</v>
      </c>
      <c r="K5654" t="s">
        <v>1023</v>
      </c>
      <c r="L5654" t="s">
        <v>968</v>
      </c>
      <c r="P5654" t="s">
        <v>1037</v>
      </c>
      <c r="V5654">
        <v>57</v>
      </c>
    </row>
    <row r="5655" spans="1:22" customFormat="1" ht="15" x14ac:dyDescent="0.25">
      <c r="A5655" t="s">
        <v>285</v>
      </c>
      <c r="E5655" s="1507" t="s">
        <v>848</v>
      </c>
      <c r="F5655" s="1507"/>
      <c r="G5655" s="584" t="s">
        <v>777</v>
      </c>
      <c r="H5655" s="576">
        <v>0.25</v>
      </c>
      <c r="K5655" t="s">
        <v>1023</v>
      </c>
      <c r="L5655" t="s">
        <v>968</v>
      </c>
      <c r="P5655" t="s">
        <v>1038</v>
      </c>
      <c r="V5655">
        <v>63</v>
      </c>
    </row>
    <row r="5656" spans="1:22" customFormat="1" x14ac:dyDescent="0.25">
      <c r="A5656" t="s">
        <v>285</v>
      </c>
      <c r="E5656" s="1492" t="s">
        <v>202</v>
      </c>
      <c r="F5656" s="1493"/>
      <c r="G5656" s="1493"/>
      <c r="H5656" s="1493"/>
      <c r="K5656" t="s">
        <v>3811</v>
      </c>
      <c r="V5656">
        <v>38</v>
      </c>
    </row>
    <row r="5657" spans="1:22" customFormat="1" ht="15" x14ac:dyDescent="0.25">
      <c r="A5657" t="s">
        <v>285</v>
      </c>
      <c r="E5657" s="1516" t="s">
        <v>5037</v>
      </c>
      <c r="F5657" s="1516"/>
      <c r="G5657" s="1516"/>
      <c r="H5657" s="1516"/>
      <c r="K5657" t="s">
        <v>3811</v>
      </c>
      <c r="V5657">
        <v>523</v>
      </c>
    </row>
    <row r="5658" spans="1:22" customFormat="1" ht="15" x14ac:dyDescent="0.25">
      <c r="A5658" t="s">
        <v>285</v>
      </c>
      <c r="E5658" s="1515" t="s">
        <v>950</v>
      </c>
      <c r="F5658" s="1516"/>
      <c r="G5658" s="1516"/>
      <c r="H5658" s="1516"/>
      <c r="K5658" t="s">
        <v>1041</v>
      </c>
      <c r="V5658">
        <v>11</v>
      </c>
    </row>
    <row r="5659" spans="1:22" customFormat="1" ht="15" x14ac:dyDescent="0.25">
      <c r="A5659" t="s">
        <v>285</v>
      </c>
      <c r="E5659" s="1516" t="s">
        <v>951</v>
      </c>
      <c r="F5659" s="1516"/>
      <c r="G5659" s="1516"/>
      <c r="H5659" s="1516"/>
      <c r="K5659" t="s">
        <v>3811</v>
      </c>
      <c r="V5659">
        <v>280</v>
      </c>
    </row>
    <row r="5660" spans="1:22" customFormat="1" ht="15" x14ac:dyDescent="0.25">
      <c r="A5660" t="s">
        <v>285</v>
      </c>
      <c r="E5660" s="1516" t="s">
        <v>952</v>
      </c>
      <c r="F5660" s="1516"/>
      <c r="G5660" s="1516"/>
      <c r="H5660" s="1516"/>
      <c r="K5660" t="s">
        <v>3811</v>
      </c>
      <c r="V5660">
        <v>411</v>
      </c>
    </row>
    <row r="5661" spans="1:22" customFormat="1" ht="15" x14ac:dyDescent="0.25">
      <c r="A5661" t="s">
        <v>285</v>
      </c>
      <c r="E5661" s="1516" t="s">
        <v>3761</v>
      </c>
      <c r="F5661" s="1516"/>
      <c r="G5661" s="1516"/>
      <c r="H5661" s="1516"/>
      <c r="K5661" t="s">
        <v>3811</v>
      </c>
      <c r="V5661">
        <v>387</v>
      </c>
    </row>
    <row r="5662" spans="1:22" customFormat="1" ht="15" x14ac:dyDescent="0.25">
      <c r="A5662" t="s">
        <v>285</v>
      </c>
      <c r="E5662" s="1516" t="s">
        <v>3762</v>
      </c>
      <c r="F5662" s="1516"/>
      <c r="G5662" s="1516"/>
      <c r="H5662" s="1516"/>
      <c r="K5662" t="s">
        <v>3811</v>
      </c>
      <c r="V5662">
        <v>247</v>
      </c>
    </row>
    <row r="5663" spans="1:22" customFormat="1" ht="15" x14ac:dyDescent="0.25">
      <c r="A5663" t="s">
        <v>285</v>
      </c>
      <c r="E5663" s="1515" t="s">
        <v>956</v>
      </c>
      <c r="F5663" s="1516"/>
      <c r="G5663" s="1516"/>
      <c r="H5663" s="1516"/>
      <c r="K5663" t="s">
        <v>1042</v>
      </c>
      <c r="V5663">
        <v>46</v>
      </c>
    </row>
    <row r="5664" spans="1:22" customFormat="1" ht="15" x14ac:dyDescent="0.25">
      <c r="A5664" t="s">
        <v>285</v>
      </c>
      <c r="E5664" s="1507" t="s">
        <v>3874</v>
      </c>
      <c r="F5664" s="1507"/>
      <c r="G5664" s="584" t="s">
        <v>777</v>
      </c>
      <c r="H5664" s="576">
        <v>8.2200000000000006</v>
      </c>
      <c r="K5664" t="s">
        <v>3811</v>
      </c>
      <c r="L5664" t="s">
        <v>690</v>
      </c>
      <c r="P5664" t="s">
        <v>3813</v>
      </c>
      <c r="V5664">
        <v>31</v>
      </c>
    </row>
    <row r="5665" spans="1:22" customFormat="1" ht="15" x14ac:dyDescent="0.25">
      <c r="A5665" t="s">
        <v>285</v>
      </c>
      <c r="E5665" s="1507" t="s">
        <v>3688</v>
      </c>
      <c r="F5665" s="1507"/>
      <c r="G5665" s="584" t="s">
        <v>3775</v>
      </c>
      <c r="H5665" s="577">
        <v>12.350099999999999</v>
      </c>
      <c r="K5665" t="s">
        <v>3811</v>
      </c>
      <c r="L5665" t="s">
        <v>690</v>
      </c>
      <c r="P5665" t="s">
        <v>3814</v>
      </c>
      <c r="V5665">
        <v>28</v>
      </c>
    </row>
    <row r="5666" spans="1:22" customFormat="1" ht="15" x14ac:dyDescent="0.25">
      <c r="A5666" t="s">
        <v>285</v>
      </c>
      <c r="E5666" s="1507" t="s">
        <v>6519</v>
      </c>
      <c r="F5666" s="1510"/>
      <c r="G5666" s="584" t="s">
        <v>845</v>
      </c>
      <c r="H5666" s="577">
        <v>5.9999999999999995E-4</v>
      </c>
      <c r="K5666" t="s">
        <v>3811</v>
      </c>
      <c r="L5666" t="s">
        <v>692</v>
      </c>
      <c r="P5666" t="s">
        <v>4543</v>
      </c>
      <c r="T5666">
        <v>46022</v>
      </c>
      <c r="V5666">
        <v>142</v>
      </c>
    </row>
    <row r="5667" spans="1:22" customFormat="1" ht="15" x14ac:dyDescent="0.25">
      <c r="A5667" t="s">
        <v>285</v>
      </c>
      <c r="E5667" s="1507" t="s">
        <v>6520</v>
      </c>
      <c r="F5667" s="1510"/>
      <c r="G5667" s="584" t="s">
        <v>3775</v>
      </c>
      <c r="H5667" s="577">
        <v>-2.3871000000000002</v>
      </c>
      <c r="K5667" t="s">
        <v>3811</v>
      </c>
      <c r="L5667" t="s">
        <v>692</v>
      </c>
      <c r="P5667" t="s">
        <v>3817</v>
      </c>
      <c r="T5667">
        <v>46022</v>
      </c>
      <c r="V5667">
        <v>99</v>
      </c>
    </row>
    <row r="5668" spans="1:22" customFormat="1" ht="15" x14ac:dyDescent="0.25">
      <c r="A5668" t="s">
        <v>285</v>
      </c>
      <c r="E5668" s="1467" t="s">
        <v>6779</v>
      </c>
      <c r="F5668" s="1468"/>
      <c r="G5668" s="584" t="s">
        <v>3775</v>
      </c>
      <c r="H5668" s="577">
        <v>7.1300000000000002E-2</v>
      </c>
      <c r="K5668" t="s">
        <v>3811</v>
      </c>
      <c r="L5668" t="s">
        <v>692</v>
      </c>
      <c r="P5668" t="s">
        <v>3816</v>
      </c>
      <c r="T5668">
        <v>46022</v>
      </c>
      <c r="V5668">
        <v>148</v>
      </c>
    </row>
    <row r="5669" spans="1:22" customFormat="1" ht="15" x14ac:dyDescent="0.25">
      <c r="A5669" t="s">
        <v>285</v>
      </c>
      <c r="E5669" s="1467" t="s">
        <v>6778</v>
      </c>
      <c r="F5669" s="1467"/>
      <c r="G5669" s="584" t="s">
        <v>3775</v>
      </c>
      <c r="H5669" s="577">
        <v>-1.4399</v>
      </c>
      <c r="K5669" t="s">
        <v>3811</v>
      </c>
      <c r="L5669" t="s">
        <v>692</v>
      </c>
      <c r="P5669" t="s">
        <v>3817</v>
      </c>
      <c r="T5669">
        <v>46022</v>
      </c>
      <c r="V5669">
        <v>102</v>
      </c>
    </row>
    <row r="5670" spans="1:22" customFormat="1" ht="15" x14ac:dyDescent="0.25">
      <c r="A5670" t="s">
        <v>285</v>
      </c>
      <c r="E5670" s="1507" t="s">
        <v>243</v>
      </c>
      <c r="F5670" s="1507"/>
      <c r="G5670" s="584" t="s">
        <v>3775</v>
      </c>
      <c r="H5670" s="577">
        <v>3.2334999999999998</v>
      </c>
      <c r="K5670" t="s">
        <v>3811</v>
      </c>
      <c r="L5670" t="s">
        <v>694</v>
      </c>
      <c r="P5670" t="s">
        <v>3818</v>
      </c>
      <c r="V5670">
        <v>47</v>
      </c>
    </row>
    <row r="5671" spans="1:22" customFormat="1" ht="15" x14ac:dyDescent="0.25">
      <c r="A5671" t="s">
        <v>285</v>
      </c>
      <c r="E5671" s="1507" t="s">
        <v>175</v>
      </c>
      <c r="F5671" s="1507"/>
      <c r="G5671" s="584" t="s">
        <v>3775</v>
      </c>
      <c r="H5671" s="577">
        <v>0.34310000000000002</v>
      </c>
      <c r="K5671" t="s">
        <v>3811</v>
      </c>
      <c r="L5671" t="s">
        <v>694</v>
      </c>
      <c r="P5671" t="s">
        <v>3819</v>
      </c>
      <c r="V5671">
        <v>74</v>
      </c>
    </row>
    <row r="5672" spans="1:22" customFormat="1" ht="15" x14ac:dyDescent="0.25">
      <c r="A5672" t="s">
        <v>285</v>
      </c>
      <c r="E5672" s="1515" t="s">
        <v>967</v>
      </c>
      <c r="F5672" s="1507"/>
      <c r="G5672" s="584"/>
      <c r="H5672" s="584"/>
      <c r="K5672" t="s">
        <v>1049</v>
      </c>
      <c r="V5672">
        <v>48</v>
      </c>
    </row>
    <row r="5673" spans="1:22" customFormat="1" ht="15" x14ac:dyDescent="0.25">
      <c r="A5673" t="s">
        <v>285</v>
      </c>
      <c r="E5673" s="1507" t="s">
        <v>844</v>
      </c>
      <c r="F5673" s="1507"/>
      <c r="G5673" s="584" t="s">
        <v>845</v>
      </c>
      <c r="H5673" s="577">
        <v>4.1000000000000003E-3</v>
      </c>
      <c r="K5673" t="s">
        <v>3811</v>
      </c>
      <c r="L5673" t="s">
        <v>968</v>
      </c>
      <c r="P5673" t="s">
        <v>3820</v>
      </c>
      <c r="V5673">
        <v>55</v>
      </c>
    </row>
    <row r="5674" spans="1:22" customFormat="1" ht="15" x14ac:dyDescent="0.25">
      <c r="A5674" t="s">
        <v>285</v>
      </c>
      <c r="E5674" s="1507" t="s">
        <v>846</v>
      </c>
      <c r="F5674" s="1507"/>
      <c r="G5674" s="584" t="s">
        <v>845</v>
      </c>
      <c r="H5674" s="577">
        <v>4.0000000000000002E-4</v>
      </c>
      <c r="K5674" t="s">
        <v>3811</v>
      </c>
      <c r="L5674" t="s">
        <v>968</v>
      </c>
      <c r="P5674" t="s">
        <v>3820</v>
      </c>
      <c r="V5674">
        <v>65</v>
      </c>
    </row>
    <row r="5675" spans="1:22" customFormat="1" ht="15" x14ac:dyDescent="0.25">
      <c r="A5675" t="s">
        <v>285</v>
      </c>
      <c r="E5675" s="1507" t="s">
        <v>847</v>
      </c>
      <c r="F5675" s="1507"/>
      <c r="G5675" s="584" t="s">
        <v>845</v>
      </c>
      <c r="H5675" s="577">
        <v>1.5E-3</v>
      </c>
      <c r="K5675" t="s">
        <v>3811</v>
      </c>
      <c r="L5675" t="s">
        <v>968</v>
      </c>
      <c r="P5675" t="s">
        <v>3821</v>
      </c>
      <c r="V5675">
        <v>57</v>
      </c>
    </row>
    <row r="5676" spans="1:22" customFormat="1" ht="15" x14ac:dyDescent="0.25">
      <c r="A5676" t="s">
        <v>285</v>
      </c>
      <c r="E5676" s="1507" t="s">
        <v>848</v>
      </c>
      <c r="F5676" s="1507"/>
      <c r="G5676" s="584" t="s">
        <v>777</v>
      </c>
      <c r="H5676" s="576">
        <v>0.25</v>
      </c>
      <c r="K5676" t="s">
        <v>3811</v>
      </c>
      <c r="L5676" t="s">
        <v>968</v>
      </c>
      <c r="P5676" t="s">
        <v>3822</v>
      </c>
      <c r="V5676">
        <v>63</v>
      </c>
    </row>
    <row r="5677" spans="1:22" customFormat="1" x14ac:dyDescent="0.25">
      <c r="A5677" t="s">
        <v>285</v>
      </c>
      <c r="E5677" s="1492" t="s">
        <v>4002</v>
      </c>
      <c r="F5677" s="1493"/>
      <c r="G5677" s="1493"/>
      <c r="H5677" s="1493"/>
      <c r="K5677" t="s">
        <v>4175</v>
      </c>
      <c r="V5677">
        <v>36</v>
      </c>
    </row>
    <row r="5678" spans="1:22" customFormat="1" ht="15" x14ac:dyDescent="0.25">
      <c r="A5678" t="s">
        <v>285</v>
      </c>
      <c r="E5678" s="1516" t="s">
        <v>5038</v>
      </c>
      <c r="F5678" s="1516"/>
      <c r="G5678" s="1516"/>
      <c r="H5678" s="1516"/>
      <c r="K5678" t="s">
        <v>4175</v>
      </c>
      <c r="V5678">
        <v>731</v>
      </c>
    </row>
    <row r="5679" spans="1:22" customFormat="1" ht="15" x14ac:dyDescent="0.25">
      <c r="A5679" t="s">
        <v>285</v>
      </c>
      <c r="E5679" s="1515" t="s">
        <v>950</v>
      </c>
      <c r="F5679" s="1516"/>
      <c r="G5679" s="1516"/>
      <c r="H5679" s="1516"/>
      <c r="K5679" t="s">
        <v>1055</v>
      </c>
      <c r="V5679">
        <v>11</v>
      </c>
    </row>
    <row r="5680" spans="1:22" customFormat="1" ht="15" x14ac:dyDescent="0.25">
      <c r="A5680" t="s">
        <v>285</v>
      </c>
      <c r="E5680" s="1516" t="s">
        <v>5039</v>
      </c>
      <c r="F5680" s="1516"/>
      <c r="G5680" s="1516"/>
      <c r="H5680" s="1516"/>
      <c r="K5680" t="s">
        <v>4175</v>
      </c>
      <c r="V5680">
        <v>281</v>
      </c>
    </row>
    <row r="5681" spans="1:22" customFormat="1" ht="15" x14ac:dyDescent="0.25">
      <c r="A5681" t="s">
        <v>285</v>
      </c>
      <c r="E5681" s="1516" t="s">
        <v>1072</v>
      </c>
      <c r="F5681" s="1516"/>
      <c r="G5681" s="1516"/>
      <c r="H5681" s="1516"/>
      <c r="K5681" t="s">
        <v>4175</v>
      </c>
      <c r="V5681">
        <v>411</v>
      </c>
    </row>
    <row r="5682" spans="1:22" customFormat="1" ht="15" x14ac:dyDescent="0.25">
      <c r="A5682" t="s">
        <v>285</v>
      </c>
      <c r="E5682" s="1516" t="s">
        <v>5040</v>
      </c>
      <c r="F5682" s="1516"/>
      <c r="G5682" s="1516"/>
      <c r="H5682" s="1516"/>
      <c r="K5682" t="s">
        <v>4175</v>
      </c>
      <c r="V5682">
        <v>387</v>
      </c>
    </row>
    <row r="5683" spans="1:22" customFormat="1" ht="15" x14ac:dyDescent="0.25">
      <c r="A5683" t="s">
        <v>285</v>
      </c>
      <c r="E5683" s="1516" t="s">
        <v>5041</v>
      </c>
      <c r="F5683" s="1516"/>
      <c r="G5683" s="1516"/>
      <c r="H5683" s="1516"/>
      <c r="K5683" t="s">
        <v>4175</v>
      </c>
      <c r="V5683">
        <v>248</v>
      </c>
    </row>
    <row r="5684" spans="1:22" customFormat="1" ht="15" x14ac:dyDescent="0.25">
      <c r="A5684" t="s">
        <v>285</v>
      </c>
      <c r="E5684" s="1515" t="s">
        <v>4966</v>
      </c>
      <c r="F5684" s="1516"/>
      <c r="G5684" s="1516"/>
      <c r="H5684" s="1516"/>
      <c r="K5684" t="s">
        <v>5042</v>
      </c>
      <c r="V5684">
        <v>25</v>
      </c>
    </row>
    <row r="5685" spans="1:22" customFormat="1" ht="15" x14ac:dyDescent="0.25">
      <c r="A5685" t="s">
        <v>285</v>
      </c>
      <c r="E5685" s="1507" t="s">
        <v>5043</v>
      </c>
      <c r="F5685" s="1507"/>
      <c r="G5685" s="1507"/>
      <c r="H5685" s="1507"/>
      <c r="K5685" t="s">
        <v>4175</v>
      </c>
      <c r="V5685">
        <v>198</v>
      </c>
    </row>
    <row r="5686" spans="1:22" customFormat="1" ht="15" x14ac:dyDescent="0.25">
      <c r="A5686" t="s">
        <v>285</v>
      </c>
      <c r="E5686" s="1507" t="s">
        <v>5044</v>
      </c>
      <c r="F5686" s="1507"/>
      <c r="G5686" s="1507"/>
      <c r="H5686" s="1507"/>
      <c r="K5686" t="s">
        <v>4175</v>
      </c>
      <c r="V5686">
        <v>495</v>
      </c>
    </row>
    <row r="5687" spans="1:22" customFormat="1" x14ac:dyDescent="0.25">
      <c r="A5687" t="s">
        <v>285</v>
      </c>
      <c r="E5687" s="1492" t="s">
        <v>207</v>
      </c>
      <c r="F5687" s="1493"/>
      <c r="G5687" s="1493"/>
      <c r="H5687" s="1493"/>
      <c r="K5687" t="s">
        <v>1069</v>
      </c>
      <c r="V5687">
        <v>31</v>
      </c>
    </row>
    <row r="5688" spans="1:22" customFormat="1" ht="15" x14ac:dyDescent="0.25">
      <c r="A5688" t="s">
        <v>285</v>
      </c>
      <c r="E5688" s="1516" t="s">
        <v>5045</v>
      </c>
      <c r="F5688" s="1516"/>
      <c r="G5688" s="1516"/>
      <c r="H5688" s="1516"/>
      <c r="K5688" t="s">
        <v>1069</v>
      </c>
      <c r="V5688">
        <v>285</v>
      </c>
    </row>
    <row r="5689" spans="1:22" customFormat="1" ht="15" x14ac:dyDescent="0.25">
      <c r="A5689" t="s">
        <v>285</v>
      </c>
      <c r="E5689" s="1515" t="s">
        <v>950</v>
      </c>
      <c r="F5689" s="1516"/>
      <c r="G5689" s="1516"/>
      <c r="H5689" s="1516"/>
      <c r="K5689" t="s">
        <v>1071</v>
      </c>
      <c r="V5689">
        <v>11</v>
      </c>
    </row>
    <row r="5690" spans="1:22" customFormat="1" ht="15" x14ac:dyDescent="0.25">
      <c r="A5690" t="s">
        <v>285</v>
      </c>
      <c r="E5690" s="1516" t="s">
        <v>951</v>
      </c>
      <c r="F5690" s="1516"/>
      <c r="G5690" s="1516"/>
      <c r="H5690" s="1516"/>
      <c r="K5690" t="s">
        <v>1069</v>
      </c>
      <c r="V5690">
        <v>280</v>
      </c>
    </row>
    <row r="5691" spans="1:22" customFormat="1" ht="15" x14ac:dyDescent="0.25">
      <c r="A5691" t="s">
        <v>285</v>
      </c>
      <c r="E5691" s="1516" t="s">
        <v>952</v>
      </c>
      <c r="F5691" s="1516"/>
      <c r="G5691" s="1516"/>
      <c r="H5691" s="1516"/>
      <c r="K5691" t="s">
        <v>1069</v>
      </c>
      <c r="V5691">
        <v>411</v>
      </c>
    </row>
    <row r="5692" spans="1:22" customFormat="1" ht="15" x14ac:dyDescent="0.25">
      <c r="A5692" t="s">
        <v>285</v>
      </c>
      <c r="E5692" s="1516" t="s">
        <v>1103</v>
      </c>
      <c r="F5692" s="1516"/>
      <c r="G5692" s="1516"/>
      <c r="H5692" s="1516"/>
      <c r="K5692" t="s">
        <v>1069</v>
      </c>
      <c r="V5692">
        <v>211</v>
      </c>
    </row>
    <row r="5693" spans="1:22" customFormat="1" ht="15" x14ac:dyDescent="0.25">
      <c r="A5693" t="s">
        <v>285</v>
      </c>
      <c r="E5693" s="1516" t="s">
        <v>3762</v>
      </c>
      <c r="F5693" s="1516"/>
      <c r="G5693" s="1516"/>
      <c r="H5693" s="1516"/>
      <c r="K5693" t="s">
        <v>1069</v>
      </c>
      <c r="V5693">
        <v>247</v>
      </c>
    </row>
    <row r="5694" spans="1:22" customFormat="1" ht="15" x14ac:dyDescent="0.25">
      <c r="A5694" t="s">
        <v>285</v>
      </c>
      <c r="E5694" s="1515" t="s">
        <v>956</v>
      </c>
      <c r="F5694" s="1516"/>
      <c r="G5694" s="1516"/>
      <c r="H5694" s="1516"/>
      <c r="K5694" t="s">
        <v>1075</v>
      </c>
      <c r="V5694">
        <v>46</v>
      </c>
    </row>
    <row r="5695" spans="1:22" customFormat="1" ht="15" x14ac:dyDescent="0.25">
      <c r="A5695" t="s">
        <v>285</v>
      </c>
      <c r="E5695" s="1507" t="s">
        <v>3773</v>
      </c>
      <c r="F5695" s="1507"/>
      <c r="G5695" s="584" t="s">
        <v>777</v>
      </c>
      <c r="H5695" s="576">
        <v>10</v>
      </c>
      <c r="K5695" t="s">
        <v>1069</v>
      </c>
      <c r="L5695" t="s">
        <v>690</v>
      </c>
      <c r="P5695" t="s">
        <v>1076</v>
      </c>
      <c r="V5695">
        <v>14</v>
      </c>
    </row>
    <row r="5696" spans="1:22" customFormat="1" ht="18.75" x14ac:dyDescent="0.3">
      <c r="A5696" t="s">
        <v>285</v>
      </c>
      <c r="E5696" s="836" t="s">
        <v>3825</v>
      </c>
      <c r="F5696" s="381"/>
      <c r="G5696" s="381"/>
      <c r="H5696" s="382"/>
      <c r="K5696" t="s">
        <v>5046</v>
      </c>
      <c r="V5696">
        <v>10</v>
      </c>
    </row>
    <row r="5697" spans="1:22" customFormat="1" ht="15" x14ac:dyDescent="0.25">
      <c r="A5697" t="s">
        <v>285</v>
      </c>
      <c r="E5697" s="1507" t="s">
        <v>1078</v>
      </c>
      <c r="F5697" s="1507"/>
      <c r="G5697" s="584" t="s">
        <v>3775</v>
      </c>
      <c r="H5697" s="577">
        <v>-0.56000000000000005</v>
      </c>
      <c r="V5697">
        <v>68</v>
      </c>
    </row>
    <row r="5698" spans="1:22" customFormat="1" ht="15" x14ac:dyDescent="0.25">
      <c r="A5698" t="s">
        <v>285</v>
      </c>
      <c r="E5698" s="1507" t="s">
        <v>1079</v>
      </c>
      <c r="F5698" s="1507"/>
      <c r="G5698" s="584" t="s">
        <v>1118</v>
      </c>
      <c r="H5698" s="576">
        <v>-1</v>
      </c>
      <c r="V5698">
        <v>87</v>
      </c>
    </row>
    <row r="5699" spans="1:22" customFormat="1" ht="36" x14ac:dyDescent="0.3">
      <c r="A5699" t="s">
        <v>285</v>
      </c>
      <c r="E5699" s="836" t="s">
        <v>3828</v>
      </c>
      <c r="F5699" s="381"/>
      <c r="G5699" s="381"/>
      <c r="H5699" s="382"/>
      <c r="K5699" t="s">
        <v>5047</v>
      </c>
      <c r="V5699">
        <v>24</v>
      </c>
    </row>
    <row r="5700" spans="1:22" customFormat="1" ht="15" x14ac:dyDescent="0.25">
      <c r="A5700" t="s">
        <v>285</v>
      </c>
      <c r="E5700" s="1516" t="s">
        <v>951</v>
      </c>
      <c r="F5700" s="1516"/>
      <c r="G5700" s="1516"/>
      <c r="H5700" s="1516"/>
      <c r="V5700">
        <v>280</v>
      </c>
    </row>
    <row r="5701" spans="1:22" customFormat="1" ht="15" x14ac:dyDescent="0.25">
      <c r="A5701" t="s">
        <v>285</v>
      </c>
      <c r="E5701" s="1516" t="s">
        <v>1081</v>
      </c>
      <c r="F5701" s="1516"/>
      <c r="G5701" s="1516"/>
      <c r="H5701" s="1516"/>
      <c r="V5701">
        <v>353</v>
      </c>
    </row>
    <row r="5702" spans="1:22" customFormat="1" ht="15" x14ac:dyDescent="0.25">
      <c r="A5702" t="s">
        <v>285</v>
      </c>
      <c r="E5702" s="1516" t="s">
        <v>3762</v>
      </c>
      <c r="F5702" s="1516"/>
      <c r="G5702" s="1516"/>
      <c r="H5702" s="1516"/>
      <c r="V5702">
        <v>247</v>
      </c>
    </row>
    <row r="5703" spans="1:22" customFormat="1" ht="15" x14ac:dyDescent="0.25">
      <c r="A5703" t="s">
        <v>285</v>
      </c>
      <c r="E5703" s="835" t="s">
        <v>3830</v>
      </c>
      <c r="F5703" s="486"/>
      <c r="G5703" s="486"/>
      <c r="H5703" s="653"/>
      <c r="K5703" t="s">
        <v>5048</v>
      </c>
      <c r="V5703">
        <v>23</v>
      </c>
    </row>
    <row r="5704" spans="1:22" customFormat="1" ht="15" x14ac:dyDescent="0.25">
      <c r="A5704" t="s">
        <v>285</v>
      </c>
      <c r="E5704" s="1517" t="s">
        <v>3832</v>
      </c>
      <c r="F5704" s="1517"/>
      <c r="G5704" s="584" t="s">
        <v>777</v>
      </c>
      <c r="H5704" s="576">
        <v>15</v>
      </c>
      <c r="V5704">
        <v>19</v>
      </c>
    </row>
    <row r="5705" spans="1:22" customFormat="1" ht="15" x14ac:dyDescent="0.25">
      <c r="A5705" t="s">
        <v>285</v>
      </c>
      <c r="E5705" s="1517" t="s">
        <v>3833</v>
      </c>
      <c r="F5705" s="1517"/>
      <c r="G5705" s="584" t="s">
        <v>777</v>
      </c>
      <c r="H5705" s="576">
        <v>15</v>
      </c>
      <c r="V5705">
        <v>20</v>
      </c>
    </row>
    <row r="5706" spans="1:22" customFormat="1" ht="15" x14ac:dyDescent="0.25">
      <c r="A5706" t="s">
        <v>285</v>
      </c>
      <c r="E5706" s="1517" t="s">
        <v>4054</v>
      </c>
      <c r="F5706" s="1517"/>
      <c r="G5706" s="584" t="s">
        <v>777</v>
      </c>
      <c r="H5706" s="576">
        <v>15</v>
      </c>
      <c r="V5706">
        <v>26</v>
      </c>
    </row>
    <row r="5707" spans="1:22" customFormat="1" ht="15" x14ac:dyDescent="0.25">
      <c r="A5707" t="s">
        <v>285</v>
      </c>
      <c r="E5707" s="1517" t="s">
        <v>3834</v>
      </c>
      <c r="F5707" s="1517"/>
      <c r="G5707" s="584" t="s">
        <v>777</v>
      </c>
      <c r="H5707" s="576">
        <v>15</v>
      </c>
      <c r="V5707">
        <v>39</v>
      </c>
    </row>
    <row r="5708" spans="1:22" customFormat="1" ht="15" x14ac:dyDescent="0.25">
      <c r="A5708" t="s">
        <v>285</v>
      </c>
      <c r="E5708" s="1517" t="s">
        <v>4055</v>
      </c>
      <c r="F5708" s="1517"/>
      <c r="G5708" s="584" t="s">
        <v>777</v>
      </c>
      <c r="H5708" s="576">
        <v>15</v>
      </c>
      <c r="V5708">
        <v>37</v>
      </c>
    </row>
    <row r="5709" spans="1:22" customFormat="1" ht="15" x14ac:dyDescent="0.25">
      <c r="A5709" t="s">
        <v>285</v>
      </c>
      <c r="E5709" s="1517" t="s">
        <v>4056</v>
      </c>
      <c r="F5709" s="1517"/>
      <c r="G5709" s="584" t="s">
        <v>777</v>
      </c>
      <c r="H5709" s="576">
        <v>15</v>
      </c>
      <c r="V5709">
        <v>15</v>
      </c>
    </row>
    <row r="5710" spans="1:22" customFormat="1" ht="15" x14ac:dyDescent="0.25">
      <c r="A5710" t="s">
        <v>285</v>
      </c>
      <c r="E5710" s="1517" t="s">
        <v>4058</v>
      </c>
      <c r="F5710" s="1517"/>
      <c r="G5710" s="584" t="s">
        <v>777</v>
      </c>
      <c r="H5710" s="576">
        <v>15</v>
      </c>
      <c r="V5710">
        <v>15</v>
      </c>
    </row>
    <row r="5711" spans="1:22" customFormat="1" ht="15" x14ac:dyDescent="0.25">
      <c r="A5711" t="s">
        <v>285</v>
      </c>
      <c r="E5711" s="1517" t="s">
        <v>4490</v>
      </c>
      <c r="F5711" s="1517"/>
      <c r="G5711" s="584" t="s">
        <v>777</v>
      </c>
      <c r="H5711" s="576">
        <v>15</v>
      </c>
      <c r="V5711">
        <v>39</v>
      </c>
    </row>
    <row r="5712" spans="1:22" customFormat="1" ht="15" x14ac:dyDescent="0.25">
      <c r="A5712" t="s">
        <v>285</v>
      </c>
      <c r="E5712" s="1517" t="s">
        <v>3836</v>
      </c>
      <c r="F5712" s="1517"/>
      <c r="G5712" s="584" t="s">
        <v>777</v>
      </c>
      <c r="H5712" s="576">
        <v>15</v>
      </c>
      <c r="V5712">
        <v>35</v>
      </c>
    </row>
    <row r="5713" spans="1:22" customFormat="1" ht="15" x14ac:dyDescent="0.25">
      <c r="A5713" t="s">
        <v>285</v>
      </c>
      <c r="E5713" s="1517" t="s">
        <v>4420</v>
      </c>
      <c r="F5713" s="1517"/>
      <c r="G5713" s="584" t="s">
        <v>777</v>
      </c>
      <c r="H5713" s="576">
        <v>15</v>
      </c>
      <c r="V5713">
        <v>24</v>
      </c>
    </row>
    <row r="5714" spans="1:22" customFormat="1" ht="15" x14ac:dyDescent="0.25">
      <c r="A5714" t="s">
        <v>285</v>
      </c>
      <c r="E5714" s="1517" t="s">
        <v>3837</v>
      </c>
      <c r="F5714" s="1517"/>
      <c r="G5714" s="584" t="s">
        <v>777</v>
      </c>
      <c r="H5714" s="576">
        <v>30</v>
      </c>
      <c r="V5714">
        <v>89</v>
      </c>
    </row>
    <row r="5715" spans="1:22" customFormat="1" ht="15" x14ac:dyDescent="0.25">
      <c r="A5715" t="s">
        <v>285</v>
      </c>
      <c r="E5715" s="1517" t="s">
        <v>3914</v>
      </c>
      <c r="F5715" s="1517"/>
      <c r="G5715" s="584" t="s">
        <v>777</v>
      </c>
      <c r="H5715" s="576">
        <v>115</v>
      </c>
      <c r="V5715">
        <v>19</v>
      </c>
    </row>
    <row r="5716" spans="1:22" customFormat="1" ht="15" x14ac:dyDescent="0.25">
      <c r="A5716" t="s">
        <v>285</v>
      </c>
      <c r="E5716" s="1517" t="s">
        <v>3838</v>
      </c>
      <c r="F5716" s="1517"/>
      <c r="G5716" s="584" t="s">
        <v>777</v>
      </c>
      <c r="H5716" s="576">
        <v>145</v>
      </c>
      <c r="V5716">
        <v>74</v>
      </c>
    </row>
    <row r="5717" spans="1:22" customFormat="1" ht="15" x14ac:dyDescent="0.25">
      <c r="A5717" t="s">
        <v>285</v>
      </c>
      <c r="E5717" s="835" t="s">
        <v>4062</v>
      </c>
      <c r="F5717" s="810"/>
      <c r="G5717" s="810"/>
      <c r="H5717" s="811"/>
      <c r="K5717" t="s">
        <v>5049</v>
      </c>
      <c r="V5717">
        <v>22</v>
      </c>
    </row>
    <row r="5718" spans="1:22" customFormat="1" ht="15" x14ac:dyDescent="0.25">
      <c r="A5718" t="s">
        <v>285</v>
      </c>
      <c r="E5718" s="1517" t="s">
        <v>5050</v>
      </c>
      <c r="F5718" s="1517"/>
      <c r="G5718" s="584" t="s">
        <v>1118</v>
      </c>
      <c r="H5718" s="576">
        <v>1.5</v>
      </c>
      <c r="V5718">
        <v>94</v>
      </c>
    </row>
    <row r="5719" spans="1:22" customFormat="1" ht="15" x14ac:dyDescent="0.25">
      <c r="A5719" t="s">
        <v>285</v>
      </c>
      <c r="E5719" s="1517" t="s">
        <v>3842</v>
      </c>
      <c r="F5719" s="1517"/>
      <c r="G5719" s="584" t="s">
        <v>777</v>
      </c>
      <c r="H5719" s="576">
        <v>115</v>
      </c>
      <c r="V5719">
        <v>44</v>
      </c>
    </row>
    <row r="5720" spans="1:22" customFormat="1" ht="15" x14ac:dyDescent="0.25">
      <c r="A5720" t="s">
        <v>285</v>
      </c>
      <c r="E5720" s="1517" t="s">
        <v>3843</v>
      </c>
      <c r="F5720" s="1517"/>
      <c r="G5720" s="584" t="s">
        <v>777</v>
      </c>
      <c r="H5720" s="576">
        <v>415</v>
      </c>
      <c r="V5720">
        <v>43</v>
      </c>
    </row>
    <row r="5721" spans="1:22" customFormat="1" ht="15" x14ac:dyDescent="0.25">
      <c r="A5721" t="s">
        <v>285</v>
      </c>
      <c r="E5721" s="1517" t="s">
        <v>3844</v>
      </c>
      <c r="F5721" s="1517"/>
      <c r="G5721" s="584" t="s">
        <v>777</v>
      </c>
      <c r="H5721" s="576">
        <v>225</v>
      </c>
      <c r="V5721">
        <v>43</v>
      </c>
    </row>
    <row r="5722" spans="1:22" customFormat="1" ht="15" x14ac:dyDescent="0.25">
      <c r="A5722" t="s">
        <v>285</v>
      </c>
      <c r="E5722" s="1517" t="s">
        <v>3845</v>
      </c>
      <c r="F5722" s="1517"/>
      <c r="G5722" s="584" t="s">
        <v>777</v>
      </c>
      <c r="H5722" s="576">
        <v>810</v>
      </c>
      <c r="V5722">
        <v>42</v>
      </c>
    </row>
    <row r="5723" spans="1:22" customFormat="1" ht="15" x14ac:dyDescent="0.25">
      <c r="A5723" t="s">
        <v>285</v>
      </c>
      <c r="E5723" s="835" t="s">
        <v>3846</v>
      </c>
      <c r="F5723" s="486"/>
      <c r="G5723" s="486"/>
      <c r="H5723" s="653"/>
      <c r="V5723">
        <v>5</v>
      </c>
    </row>
    <row r="5724" spans="1:22" customFormat="1" ht="15" x14ac:dyDescent="0.25">
      <c r="A5724" t="s">
        <v>285</v>
      </c>
      <c r="E5724" s="1517" t="s">
        <v>5051</v>
      </c>
      <c r="F5724" s="1517"/>
      <c r="G5724" s="584" t="s">
        <v>777</v>
      </c>
      <c r="H5724" s="576">
        <v>225</v>
      </c>
      <c r="V5724">
        <v>62</v>
      </c>
    </row>
    <row r="5725" spans="1:22" customFormat="1" ht="15" x14ac:dyDescent="0.25">
      <c r="A5725" t="s">
        <v>285</v>
      </c>
      <c r="E5725" s="1517" t="s">
        <v>5052</v>
      </c>
      <c r="F5725" s="1517"/>
      <c r="G5725" s="584" t="s">
        <v>777</v>
      </c>
      <c r="H5725" s="576">
        <v>810</v>
      </c>
      <c r="V5725">
        <v>61</v>
      </c>
    </row>
    <row r="5726" spans="1:22" customFormat="1" ht="15" x14ac:dyDescent="0.25">
      <c r="A5726" t="s">
        <v>285</v>
      </c>
      <c r="E5726" s="1517" t="s">
        <v>3848</v>
      </c>
      <c r="F5726" s="1517"/>
      <c r="G5726" s="584" t="s">
        <v>777</v>
      </c>
      <c r="H5726" s="650" t="s">
        <v>5053</v>
      </c>
      <c r="V5726">
        <v>64</v>
      </c>
    </row>
    <row r="5727" spans="1:22" customFormat="1" ht="15" x14ac:dyDescent="0.25">
      <c r="A5727" t="s">
        <v>285</v>
      </c>
      <c r="E5727" s="1517" t="s">
        <v>4808</v>
      </c>
      <c r="F5727" s="1517"/>
      <c r="G5727" s="584" t="s">
        <v>777</v>
      </c>
      <c r="H5727" s="650" t="s">
        <v>5053</v>
      </c>
      <c r="V5727">
        <v>67</v>
      </c>
    </row>
    <row r="5728" spans="1:22" customFormat="1" ht="15" x14ac:dyDescent="0.25">
      <c r="A5728" t="s">
        <v>285</v>
      </c>
      <c r="E5728" s="1517" t="s">
        <v>3849</v>
      </c>
      <c r="F5728" s="1517"/>
      <c r="G5728" s="584" t="s">
        <v>777</v>
      </c>
      <c r="H5728" s="650" t="s">
        <v>5053</v>
      </c>
      <c r="V5728">
        <v>66</v>
      </c>
    </row>
    <row r="5729" spans="1:22" customFormat="1" ht="15" x14ac:dyDescent="0.25">
      <c r="A5729" t="s">
        <v>285</v>
      </c>
      <c r="E5729" s="1517" t="s">
        <v>4069</v>
      </c>
      <c r="F5729" s="1517"/>
      <c r="G5729" s="584" t="s">
        <v>777</v>
      </c>
      <c r="H5729" s="576">
        <v>39.14</v>
      </c>
      <c r="V5729">
        <v>106</v>
      </c>
    </row>
    <row r="5730" spans="1:22" customFormat="1" ht="18.75" x14ac:dyDescent="0.25">
      <c r="A5730" t="s">
        <v>285</v>
      </c>
      <c r="E5730" s="833" t="s">
        <v>3851</v>
      </c>
      <c r="F5730" s="589"/>
      <c r="G5730" s="476"/>
      <c r="H5730" s="475"/>
      <c r="K5730" t="s">
        <v>5054</v>
      </c>
      <c r="V5730">
        <v>38</v>
      </c>
    </row>
    <row r="5731" spans="1:22" customFormat="1" ht="15" x14ac:dyDescent="0.25">
      <c r="A5731" t="s">
        <v>285</v>
      </c>
      <c r="E5731" s="1516" t="s">
        <v>951</v>
      </c>
      <c r="F5731" s="1516"/>
      <c r="G5731" s="1516"/>
      <c r="H5731" s="1516"/>
      <c r="V5731">
        <v>280</v>
      </c>
    </row>
    <row r="5732" spans="1:22" customFormat="1" ht="15" x14ac:dyDescent="0.25">
      <c r="A5732" t="s">
        <v>285</v>
      </c>
      <c r="E5732" s="1516" t="s">
        <v>952</v>
      </c>
      <c r="F5732" s="1516"/>
      <c r="G5732" s="1516"/>
      <c r="H5732" s="1516"/>
      <c r="V5732">
        <v>411</v>
      </c>
    </row>
    <row r="5733" spans="1:22" customFormat="1" ht="15" x14ac:dyDescent="0.25">
      <c r="A5733" t="s">
        <v>285</v>
      </c>
      <c r="E5733" s="1516" t="s">
        <v>1103</v>
      </c>
      <c r="F5733" s="1516"/>
      <c r="G5733" s="1516"/>
      <c r="H5733" s="1516"/>
      <c r="V5733">
        <v>211</v>
      </c>
    </row>
    <row r="5734" spans="1:22" customFormat="1" ht="15" x14ac:dyDescent="0.25">
      <c r="A5734" t="s">
        <v>285</v>
      </c>
      <c r="E5734" s="1516" t="s">
        <v>3762</v>
      </c>
      <c r="F5734" s="1516"/>
      <c r="G5734" s="1516"/>
      <c r="H5734" s="1516"/>
      <c r="V5734">
        <v>247</v>
      </c>
    </row>
    <row r="5735" spans="1:22" customFormat="1" ht="15" x14ac:dyDescent="0.25">
      <c r="A5735" t="s">
        <v>285</v>
      </c>
      <c r="E5735" s="1516" t="s">
        <v>1104</v>
      </c>
      <c r="F5735" s="1516"/>
      <c r="G5735" s="1516"/>
      <c r="H5735" s="1516"/>
      <c r="V5735">
        <v>142</v>
      </c>
    </row>
    <row r="5736" spans="1:22" customFormat="1" ht="15" x14ac:dyDescent="0.25">
      <c r="A5736" t="s">
        <v>285</v>
      </c>
      <c r="E5736" s="1507" t="s">
        <v>849</v>
      </c>
      <c r="F5736" s="1507"/>
      <c r="G5736" s="268" t="s">
        <v>777</v>
      </c>
      <c r="H5736" s="576">
        <v>121.23</v>
      </c>
      <c r="V5736">
        <v>106</v>
      </c>
    </row>
    <row r="5737" spans="1:22" customFormat="1" ht="15" x14ac:dyDescent="0.25">
      <c r="A5737" t="s">
        <v>285</v>
      </c>
      <c r="E5737" s="1507" t="s">
        <v>850</v>
      </c>
      <c r="F5737" s="1507"/>
      <c r="G5737" s="268" t="s">
        <v>777</v>
      </c>
      <c r="H5737" s="576">
        <v>48.5</v>
      </c>
      <c r="V5737">
        <v>34</v>
      </c>
    </row>
    <row r="5738" spans="1:22" customFormat="1" ht="15" x14ac:dyDescent="0.25">
      <c r="A5738" t="s">
        <v>285</v>
      </c>
      <c r="E5738" s="1507" t="s">
        <v>851</v>
      </c>
      <c r="F5738" s="1507"/>
      <c r="G5738" s="268" t="s">
        <v>852</v>
      </c>
      <c r="H5738" s="576">
        <v>1.2</v>
      </c>
      <c r="V5738">
        <v>51</v>
      </c>
    </row>
    <row r="5739" spans="1:22" customFormat="1" ht="15" x14ac:dyDescent="0.25">
      <c r="A5739" t="s">
        <v>285</v>
      </c>
      <c r="E5739" s="1507" t="s">
        <v>853</v>
      </c>
      <c r="F5739" s="1507"/>
      <c r="G5739" s="268" t="s">
        <v>852</v>
      </c>
      <c r="H5739" s="576">
        <v>0.71</v>
      </c>
      <c r="V5739">
        <v>75</v>
      </c>
    </row>
    <row r="5740" spans="1:22" customFormat="1" ht="15" x14ac:dyDescent="0.25">
      <c r="A5740" t="s">
        <v>285</v>
      </c>
      <c r="E5740" s="1507" t="s">
        <v>854</v>
      </c>
      <c r="F5740" s="1507"/>
      <c r="G5740" s="268" t="s">
        <v>852</v>
      </c>
      <c r="H5740" s="576">
        <v>-0.71</v>
      </c>
      <c r="V5740">
        <v>72</v>
      </c>
    </row>
    <row r="5741" spans="1:22" customFormat="1" ht="15" x14ac:dyDescent="0.25">
      <c r="A5741" t="s">
        <v>285</v>
      </c>
      <c r="E5741" s="1507" t="s">
        <v>855</v>
      </c>
      <c r="F5741" s="1507"/>
      <c r="G5741" s="268"/>
      <c r="H5741" s="650"/>
      <c r="V5741">
        <v>34</v>
      </c>
    </row>
    <row r="5742" spans="1:22" customFormat="1" ht="15" x14ac:dyDescent="0.25">
      <c r="A5742" t="s">
        <v>285</v>
      </c>
      <c r="E5742" s="1511" t="s">
        <v>1106</v>
      </c>
      <c r="F5742" s="1511"/>
      <c r="G5742" s="268" t="s">
        <v>777</v>
      </c>
      <c r="H5742" s="576">
        <v>0.61</v>
      </c>
      <c r="V5742">
        <v>57</v>
      </c>
    </row>
    <row r="5743" spans="1:22" customFormat="1" ht="15" x14ac:dyDescent="0.25">
      <c r="A5743" t="s">
        <v>285</v>
      </c>
      <c r="E5743" s="1511" t="s">
        <v>1107</v>
      </c>
      <c r="F5743" s="1511"/>
      <c r="G5743" s="268" t="s">
        <v>777</v>
      </c>
      <c r="H5743" s="576">
        <v>1.2</v>
      </c>
      <c r="V5743">
        <v>60</v>
      </c>
    </row>
    <row r="5744" spans="1:22" customFormat="1" ht="15" x14ac:dyDescent="0.25">
      <c r="A5744" t="s">
        <v>285</v>
      </c>
      <c r="E5744" s="1507" t="s">
        <v>1108</v>
      </c>
      <c r="F5744" s="1507"/>
      <c r="G5744" s="268"/>
      <c r="H5744" s="650"/>
      <c r="V5744">
        <v>91</v>
      </c>
    </row>
    <row r="5745" spans="1:22" customFormat="1" ht="15" x14ac:dyDescent="0.25">
      <c r="A5745" t="s">
        <v>285</v>
      </c>
      <c r="E5745" s="1507" t="s">
        <v>1109</v>
      </c>
      <c r="F5745" s="1507"/>
      <c r="G5745" s="268"/>
      <c r="H5745" s="650"/>
      <c r="V5745">
        <v>96</v>
      </c>
    </row>
    <row r="5746" spans="1:22" customFormat="1" ht="15" x14ac:dyDescent="0.25">
      <c r="A5746" t="s">
        <v>285</v>
      </c>
      <c r="E5746" s="1507" t="s">
        <v>856</v>
      </c>
      <c r="F5746" s="1507"/>
      <c r="G5746" s="268"/>
      <c r="H5746" s="650"/>
      <c r="V5746">
        <v>77</v>
      </c>
    </row>
    <row r="5747" spans="1:22" customFormat="1" ht="15" x14ac:dyDescent="0.25">
      <c r="A5747" t="s">
        <v>285</v>
      </c>
      <c r="E5747" s="1511" t="s">
        <v>1111</v>
      </c>
      <c r="F5747" s="1511"/>
      <c r="G5747" s="268" t="s">
        <v>777</v>
      </c>
      <c r="H5747" s="650" t="s">
        <v>857</v>
      </c>
      <c r="V5747">
        <v>18</v>
      </c>
    </row>
    <row r="5748" spans="1:22" customFormat="1" ht="15" x14ac:dyDescent="0.25">
      <c r="A5748" t="s">
        <v>285</v>
      </c>
      <c r="E5748" s="1511" t="s">
        <v>1112</v>
      </c>
      <c r="F5748" s="1511"/>
      <c r="G5748" s="268" t="s">
        <v>777</v>
      </c>
      <c r="H5748" s="576">
        <v>4.8499999999999996</v>
      </c>
      <c r="V5748">
        <v>69</v>
      </c>
    </row>
    <row r="5749" spans="1:22" customFormat="1" ht="15" x14ac:dyDescent="0.25">
      <c r="A5749" t="s">
        <v>285</v>
      </c>
      <c r="E5749" s="1507" t="s">
        <v>858</v>
      </c>
      <c r="F5749" s="1507"/>
      <c r="G5749" s="268" t="s">
        <v>777</v>
      </c>
      <c r="H5749" s="576">
        <v>2.42</v>
      </c>
      <c r="V5749">
        <v>199</v>
      </c>
    </row>
    <row r="5750" spans="1:22" customFormat="1" ht="18.75" x14ac:dyDescent="0.25">
      <c r="A5750" t="s">
        <v>285</v>
      </c>
      <c r="E5750" s="836" t="s">
        <v>3853</v>
      </c>
      <c r="F5750" s="476"/>
      <c r="G5750" s="476"/>
      <c r="H5750" s="475"/>
      <c r="K5750" t="s">
        <v>5055</v>
      </c>
      <c r="V5750">
        <v>12</v>
      </c>
    </row>
    <row r="5751" spans="1:22" customFormat="1" ht="15" x14ac:dyDescent="0.25">
      <c r="A5751" t="s">
        <v>285</v>
      </c>
      <c r="E5751" s="1507" t="s">
        <v>1114</v>
      </c>
      <c r="F5751" s="1507"/>
      <c r="G5751" s="1507"/>
      <c r="H5751" s="1507"/>
      <c r="V5751">
        <v>203</v>
      </c>
    </row>
    <row r="5752" spans="1:22" customFormat="1" ht="15" x14ac:dyDescent="0.25">
      <c r="A5752" t="s">
        <v>285</v>
      </c>
      <c r="E5752" s="1507" t="s">
        <v>1115</v>
      </c>
      <c r="F5752" s="1507"/>
      <c r="G5752" s="584"/>
      <c r="H5752" s="650">
        <v>1.0374000000000001</v>
      </c>
      <c r="V5752">
        <v>57</v>
      </c>
    </row>
    <row r="5753" spans="1:22" customFormat="1" ht="15" x14ac:dyDescent="0.25">
      <c r="A5753" t="s">
        <v>285</v>
      </c>
      <c r="E5753" s="1507" t="s">
        <v>4072</v>
      </c>
      <c r="F5753" s="1507"/>
      <c r="G5753" s="584"/>
      <c r="H5753" s="650">
        <v>1.0145</v>
      </c>
      <c r="V5753">
        <v>57</v>
      </c>
    </row>
    <row r="5754" spans="1:22" customFormat="1" ht="15" x14ac:dyDescent="0.25">
      <c r="A5754" t="s">
        <v>285</v>
      </c>
      <c r="E5754" s="1507" t="s">
        <v>1117</v>
      </c>
      <c r="F5754" s="1507"/>
      <c r="G5754" s="584"/>
      <c r="H5754" s="650">
        <v>1.0274000000000001</v>
      </c>
      <c r="V5754">
        <v>55</v>
      </c>
    </row>
    <row r="5755" spans="1:22" customFormat="1" ht="15" x14ac:dyDescent="0.25">
      <c r="A5755" t="s">
        <v>285</v>
      </c>
      <c r="E5755" s="1507" t="s">
        <v>4073</v>
      </c>
      <c r="F5755" s="1507"/>
      <c r="G5755" s="584"/>
      <c r="H5755" s="650">
        <v>1.0044999999999999</v>
      </c>
      <c r="J5755" t="s">
        <v>5056</v>
      </c>
      <c r="V5755">
        <v>55</v>
      </c>
    </row>
    <row r="5756" spans="1:22" customFormat="1" ht="23.25" x14ac:dyDescent="0.25">
      <c r="A5756" t="s">
        <v>282</v>
      </c>
      <c r="C5756" t="s">
        <v>3755</v>
      </c>
      <c r="E5756" s="1550" t="s">
        <v>282</v>
      </c>
      <c r="F5756" s="1540"/>
      <c r="G5756" s="1540"/>
      <c r="H5756" s="1540"/>
      <c r="I5756" t="s">
        <v>94</v>
      </c>
      <c r="J5756" t="s">
        <v>5132</v>
      </c>
      <c r="K5756" t="s">
        <v>282</v>
      </c>
      <c r="M5756">
        <v>8</v>
      </c>
      <c r="V5756">
        <v>29</v>
      </c>
    </row>
    <row r="5757" spans="1:22" customFormat="1" x14ac:dyDescent="0.25">
      <c r="A5757" t="s">
        <v>282</v>
      </c>
      <c r="C5757" t="s">
        <v>3757</v>
      </c>
      <c r="E5757" s="1551" t="s">
        <v>944</v>
      </c>
      <c r="F5757" s="1542"/>
      <c r="G5757" s="1542"/>
      <c r="H5757" s="1542"/>
      <c r="V5757">
        <v>27</v>
      </c>
    </row>
    <row r="5758" spans="1:22" customFormat="1" ht="15.75" x14ac:dyDescent="0.25">
      <c r="A5758" t="s">
        <v>282</v>
      </c>
      <c r="C5758" t="s">
        <v>3758</v>
      </c>
      <c r="E5758" s="1543" t="s">
        <v>6511</v>
      </c>
      <c r="F5758" s="1669"/>
      <c r="G5758" s="1669"/>
      <c r="H5758" s="1669"/>
      <c r="S5758">
        <v>45658</v>
      </c>
      <c r="V5758">
        <v>49</v>
      </c>
    </row>
    <row r="5759" spans="1:22" customFormat="1" ht="15" x14ac:dyDescent="0.25">
      <c r="A5759" t="s">
        <v>282</v>
      </c>
      <c r="C5759" t="s">
        <v>3759</v>
      </c>
      <c r="E5759" s="1544" t="s">
        <v>945</v>
      </c>
      <c r="F5759" s="1630"/>
      <c r="G5759" s="1630"/>
      <c r="H5759" s="1630"/>
      <c r="V5759">
        <v>52</v>
      </c>
    </row>
    <row r="5760" spans="1:22" customFormat="1" ht="15" x14ac:dyDescent="0.25">
      <c r="A5760" t="s">
        <v>282</v>
      </c>
      <c r="E5760" s="1544" t="s">
        <v>946</v>
      </c>
      <c r="F5760" s="1630"/>
      <c r="G5760" s="1630"/>
      <c r="H5760" s="1630"/>
      <c r="V5760">
        <v>53</v>
      </c>
    </row>
    <row r="5761" spans="1:22" customFormat="1" ht="15" x14ac:dyDescent="0.25">
      <c r="A5761" t="s">
        <v>282</v>
      </c>
      <c r="E5761" s="1513" t="s">
        <v>6780</v>
      </c>
      <c r="F5761" s="1514"/>
      <c r="G5761" s="1514"/>
      <c r="H5761" s="1514"/>
      <c r="V5761">
        <v>12</v>
      </c>
    </row>
    <row r="5762" spans="1:22" customFormat="1" ht="15" x14ac:dyDescent="0.25">
      <c r="A5762" t="s">
        <v>282</v>
      </c>
      <c r="E5762" s="1492" t="s">
        <v>170</v>
      </c>
      <c r="F5762" s="1516"/>
      <c r="G5762" s="1516"/>
      <c r="H5762" s="1516"/>
      <c r="K5762" t="s">
        <v>947</v>
      </c>
      <c r="V5762">
        <v>34</v>
      </c>
    </row>
    <row r="5763" spans="1:22" customFormat="1" ht="15" x14ac:dyDescent="0.25">
      <c r="A5763" t="s">
        <v>282</v>
      </c>
      <c r="E5763" s="1516" t="s">
        <v>5133</v>
      </c>
      <c r="F5763" s="1516"/>
      <c r="G5763" s="1516"/>
      <c r="H5763" s="1516"/>
      <c r="K5763" t="s">
        <v>947</v>
      </c>
      <c r="V5763">
        <v>480</v>
      </c>
    </row>
    <row r="5764" spans="1:22" customFormat="1" ht="15" x14ac:dyDescent="0.25">
      <c r="A5764" t="s">
        <v>282</v>
      </c>
      <c r="E5764" s="1515" t="s">
        <v>950</v>
      </c>
      <c r="F5764" s="1516"/>
      <c r="G5764" s="1516"/>
      <c r="H5764" s="1516"/>
      <c r="K5764" t="s">
        <v>949</v>
      </c>
      <c r="V5764">
        <v>11</v>
      </c>
    </row>
    <row r="5765" spans="1:22" customFormat="1" ht="15" x14ac:dyDescent="0.25">
      <c r="A5765" t="s">
        <v>282</v>
      </c>
      <c r="E5765" s="1516" t="s">
        <v>951</v>
      </c>
      <c r="F5765" s="1516"/>
      <c r="G5765" s="1516"/>
      <c r="H5765" s="1516"/>
      <c r="K5765" t="s">
        <v>947</v>
      </c>
      <c r="V5765">
        <v>280</v>
      </c>
    </row>
    <row r="5766" spans="1:22" customFormat="1" ht="15" x14ac:dyDescent="0.25">
      <c r="A5766" t="s">
        <v>282</v>
      </c>
      <c r="E5766" s="1516" t="s">
        <v>952</v>
      </c>
      <c r="F5766" s="1516"/>
      <c r="G5766" s="1516"/>
      <c r="H5766" s="1516"/>
      <c r="K5766" t="s">
        <v>947</v>
      </c>
      <c r="V5766">
        <v>411</v>
      </c>
    </row>
    <row r="5767" spans="1:22" customFormat="1" ht="15" x14ac:dyDescent="0.25">
      <c r="A5767" t="s">
        <v>282</v>
      </c>
      <c r="E5767" s="1516" t="s">
        <v>953</v>
      </c>
      <c r="F5767" s="1516"/>
      <c r="G5767" s="1516"/>
      <c r="H5767" s="1516"/>
      <c r="K5767" t="s">
        <v>947</v>
      </c>
      <c r="V5767">
        <v>386</v>
      </c>
    </row>
    <row r="5768" spans="1:22" customFormat="1" ht="15" x14ac:dyDescent="0.25">
      <c r="A5768" t="s">
        <v>282</v>
      </c>
      <c r="E5768" s="1516" t="s">
        <v>954</v>
      </c>
      <c r="F5768" s="1516"/>
      <c r="G5768" s="1516"/>
      <c r="H5768" s="1516"/>
      <c r="K5768" t="s">
        <v>947</v>
      </c>
      <c r="V5768">
        <v>246</v>
      </c>
    </row>
    <row r="5769" spans="1:22" customFormat="1" ht="15" x14ac:dyDescent="0.25">
      <c r="A5769" t="s">
        <v>282</v>
      </c>
      <c r="E5769" s="1515" t="s">
        <v>956</v>
      </c>
      <c r="F5769" s="1516"/>
      <c r="G5769" s="1516"/>
      <c r="H5769" s="1516"/>
      <c r="K5769" t="s">
        <v>955</v>
      </c>
      <c r="V5769">
        <v>46</v>
      </c>
    </row>
    <row r="5770" spans="1:22" customFormat="1" ht="15" x14ac:dyDescent="0.25">
      <c r="A5770" t="s">
        <v>282</v>
      </c>
      <c r="E5770" s="1507" t="s">
        <v>3773</v>
      </c>
      <c r="F5770" s="1507"/>
      <c r="G5770" s="584" t="s">
        <v>777</v>
      </c>
      <c r="H5770" s="576">
        <v>40.659999999999997</v>
      </c>
      <c r="K5770" t="s">
        <v>947</v>
      </c>
      <c r="L5770" t="s">
        <v>690</v>
      </c>
      <c r="P5770" t="s">
        <v>957</v>
      </c>
      <c r="V5770">
        <v>14</v>
      </c>
    </row>
    <row r="5771" spans="1:22" customFormat="1" ht="15" x14ac:dyDescent="0.25">
      <c r="A5771" t="s">
        <v>282</v>
      </c>
      <c r="E5771" s="1507" t="s">
        <v>960</v>
      </c>
      <c r="F5771" s="1507"/>
      <c r="G5771" s="584" t="s">
        <v>777</v>
      </c>
      <c r="H5771" s="576">
        <v>0.42</v>
      </c>
      <c r="K5771" t="s">
        <v>947</v>
      </c>
      <c r="L5771" t="s">
        <v>692</v>
      </c>
      <c r="P5771" t="s">
        <v>959</v>
      </c>
      <c r="V5771">
        <v>64</v>
      </c>
    </row>
    <row r="5772" spans="1:22" customFormat="1" ht="15" x14ac:dyDescent="0.25">
      <c r="A5772" t="s">
        <v>282</v>
      </c>
      <c r="E5772" s="1507" t="s">
        <v>910</v>
      </c>
      <c r="F5772" s="1507"/>
      <c r="G5772" s="584" t="s">
        <v>845</v>
      </c>
      <c r="H5772" s="577">
        <v>1.6999999999999999E-3</v>
      </c>
      <c r="K5772" t="s">
        <v>947</v>
      </c>
      <c r="L5772" t="s">
        <v>692</v>
      </c>
      <c r="P5772" t="s">
        <v>961</v>
      </c>
      <c r="V5772">
        <v>24</v>
      </c>
    </row>
    <row r="5773" spans="1:22" customFormat="1" ht="15" x14ac:dyDescent="0.25">
      <c r="A5773" t="s">
        <v>282</v>
      </c>
      <c r="E5773" s="1507" t="s">
        <v>6519</v>
      </c>
      <c r="F5773" s="1510"/>
      <c r="G5773" s="584" t="s">
        <v>845</v>
      </c>
      <c r="H5773" s="577">
        <v>-2.0000000000000001E-4</v>
      </c>
      <c r="K5773" t="s">
        <v>947</v>
      </c>
      <c r="L5773" t="s">
        <v>692</v>
      </c>
      <c r="P5773" t="s">
        <v>962</v>
      </c>
      <c r="T5773">
        <v>46022</v>
      </c>
      <c r="V5773">
        <v>142</v>
      </c>
    </row>
    <row r="5774" spans="1:22" customFormat="1" ht="15" x14ac:dyDescent="0.25">
      <c r="A5774" t="s">
        <v>282</v>
      </c>
      <c r="E5774" s="1507" t="s">
        <v>6520</v>
      </c>
      <c r="F5774" s="1510"/>
      <c r="G5774" s="584" t="s">
        <v>845</v>
      </c>
      <c r="H5774" s="577">
        <v>4.0000000000000002E-4</v>
      </c>
      <c r="K5774" t="s">
        <v>947</v>
      </c>
      <c r="L5774" t="s">
        <v>692</v>
      </c>
      <c r="P5774" t="s">
        <v>963</v>
      </c>
      <c r="T5774">
        <v>46022</v>
      </c>
      <c r="V5774">
        <v>99</v>
      </c>
    </row>
    <row r="5775" spans="1:22" customFormat="1" ht="15" x14ac:dyDescent="0.25">
      <c r="A5775" t="s">
        <v>282</v>
      </c>
      <c r="E5775" s="1507" t="s">
        <v>6521</v>
      </c>
      <c r="F5775" s="1510"/>
      <c r="G5775" s="584" t="s">
        <v>845</v>
      </c>
      <c r="H5775" s="577">
        <v>2.0000000000000001E-4</v>
      </c>
      <c r="K5775" t="s">
        <v>947</v>
      </c>
      <c r="L5775" t="s">
        <v>692</v>
      </c>
      <c r="P5775" t="s">
        <v>3764</v>
      </c>
      <c r="T5775">
        <v>46022</v>
      </c>
      <c r="V5775">
        <v>149</v>
      </c>
    </row>
    <row r="5776" spans="1:22" customFormat="1" ht="15" x14ac:dyDescent="0.25">
      <c r="A5776" t="s">
        <v>282</v>
      </c>
      <c r="E5776" s="1507" t="s">
        <v>243</v>
      </c>
      <c r="F5776" s="1507"/>
      <c r="G5776" s="584" t="s">
        <v>845</v>
      </c>
      <c r="H5776" s="577">
        <v>1.17E-2</v>
      </c>
      <c r="K5776" t="s">
        <v>947</v>
      </c>
      <c r="L5776" t="s">
        <v>694</v>
      </c>
      <c r="P5776" t="s">
        <v>964</v>
      </c>
      <c r="V5776">
        <v>47</v>
      </c>
    </row>
    <row r="5777" spans="1:22" customFormat="1" ht="15" x14ac:dyDescent="0.25">
      <c r="A5777" t="s">
        <v>282</v>
      </c>
      <c r="E5777" s="1507" t="s">
        <v>175</v>
      </c>
      <c r="F5777" s="1507"/>
      <c r="G5777" s="584" t="s">
        <v>845</v>
      </c>
      <c r="H5777" s="577">
        <v>7.1000000000000004E-3</v>
      </c>
      <c r="K5777" t="s">
        <v>947</v>
      </c>
      <c r="L5777" t="s">
        <v>694</v>
      </c>
      <c r="P5777" t="s">
        <v>965</v>
      </c>
      <c r="V5777">
        <v>74</v>
      </c>
    </row>
    <row r="5778" spans="1:22" customFormat="1" ht="15" x14ac:dyDescent="0.25">
      <c r="A5778" t="s">
        <v>282</v>
      </c>
      <c r="E5778" s="1515" t="s">
        <v>967</v>
      </c>
      <c r="F5778" s="1507"/>
      <c r="G5778" s="1507"/>
      <c r="H5778" s="1507"/>
      <c r="K5778" t="s">
        <v>966</v>
      </c>
      <c r="V5778">
        <v>48</v>
      </c>
    </row>
    <row r="5779" spans="1:22" customFormat="1" ht="15" x14ac:dyDescent="0.25">
      <c r="A5779" t="s">
        <v>282</v>
      </c>
      <c r="E5779" s="1507" t="s">
        <v>844</v>
      </c>
      <c r="F5779" s="1507"/>
      <c r="G5779" s="584" t="s">
        <v>845</v>
      </c>
      <c r="H5779" s="577">
        <v>4.1000000000000003E-3</v>
      </c>
      <c r="K5779" t="s">
        <v>947</v>
      </c>
      <c r="L5779" t="s">
        <v>968</v>
      </c>
      <c r="P5779" t="s">
        <v>969</v>
      </c>
      <c r="V5779">
        <v>55</v>
      </c>
    </row>
    <row r="5780" spans="1:22" customFormat="1" ht="15" x14ac:dyDescent="0.25">
      <c r="A5780" t="s">
        <v>282</v>
      </c>
      <c r="E5780" s="1507" t="s">
        <v>846</v>
      </c>
      <c r="F5780" s="1507"/>
      <c r="G5780" s="584" t="s">
        <v>845</v>
      </c>
      <c r="H5780" s="577">
        <v>4.0000000000000002E-4</v>
      </c>
      <c r="K5780" t="s">
        <v>947</v>
      </c>
      <c r="L5780" t="s">
        <v>968</v>
      </c>
      <c r="P5780" t="s">
        <v>969</v>
      </c>
      <c r="V5780">
        <v>65</v>
      </c>
    </row>
    <row r="5781" spans="1:22" customFormat="1" ht="15" x14ac:dyDescent="0.25">
      <c r="A5781" t="s">
        <v>282</v>
      </c>
      <c r="E5781" s="1507" t="s">
        <v>847</v>
      </c>
      <c r="F5781" s="1507"/>
      <c r="G5781" s="584" t="s">
        <v>845</v>
      </c>
      <c r="H5781" s="577">
        <v>1.5E-3</v>
      </c>
      <c r="K5781" t="s">
        <v>947</v>
      </c>
      <c r="L5781" t="s">
        <v>968</v>
      </c>
      <c r="P5781" t="s">
        <v>970</v>
      </c>
      <c r="V5781">
        <v>57</v>
      </c>
    </row>
    <row r="5782" spans="1:22" customFormat="1" ht="15" x14ac:dyDescent="0.25">
      <c r="A5782" t="s">
        <v>282</v>
      </c>
      <c r="E5782" s="1507" t="s">
        <v>848</v>
      </c>
      <c r="F5782" s="1507"/>
      <c r="G5782" s="584" t="s">
        <v>777</v>
      </c>
      <c r="H5782" s="576">
        <v>0.25</v>
      </c>
      <c r="K5782" t="s">
        <v>947</v>
      </c>
      <c r="L5782" t="s">
        <v>968</v>
      </c>
      <c r="P5782" t="s">
        <v>971</v>
      </c>
      <c r="V5782">
        <v>63</v>
      </c>
    </row>
    <row r="5783" spans="1:22" customFormat="1" x14ac:dyDescent="0.25">
      <c r="A5783" t="s">
        <v>282</v>
      </c>
      <c r="E5783" s="1492" t="s">
        <v>174</v>
      </c>
      <c r="F5783" s="1493"/>
      <c r="G5783" s="1493"/>
      <c r="H5783" s="1493"/>
      <c r="K5783" t="s">
        <v>972</v>
      </c>
      <c r="V5783">
        <v>54</v>
      </c>
    </row>
    <row r="5784" spans="1:22" customFormat="1" ht="15" x14ac:dyDescent="0.25">
      <c r="A5784" t="s">
        <v>282</v>
      </c>
      <c r="E5784" s="1516" t="s">
        <v>5134</v>
      </c>
      <c r="F5784" s="1516"/>
      <c r="G5784" s="1516"/>
      <c r="H5784" s="1516"/>
      <c r="K5784" t="s">
        <v>972</v>
      </c>
      <c r="V5784">
        <v>322</v>
      </c>
    </row>
    <row r="5785" spans="1:22" customFormat="1" ht="15" x14ac:dyDescent="0.25">
      <c r="A5785" t="s">
        <v>282</v>
      </c>
      <c r="E5785" s="1515" t="s">
        <v>950</v>
      </c>
      <c r="F5785" s="1516"/>
      <c r="G5785" s="1516"/>
      <c r="H5785" s="1516"/>
      <c r="K5785" t="s">
        <v>974</v>
      </c>
      <c r="V5785">
        <v>11</v>
      </c>
    </row>
    <row r="5786" spans="1:22" customFormat="1" ht="15" x14ac:dyDescent="0.25">
      <c r="A5786" t="s">
        <v>282</v>
      </c>
      <c r="E5786" s="1516" t="s">
        <v>951</v>
      </c>
      <c r="F5786" s="1516"/>
      <c r="G5786" s="1516"/>
      <c r="H5786" s="1516"/>
      <c r="K5786" t="s">
        <v>972</v>
      </c>
      <c r="V5786">
        <v>280</v>
      </c>
    </row>
    <row r="5787" spans="1:22" customFormat="1" ht="15" x14ac:dyDescent="0.25">
      <c r="A5787" t="s">
        <v>282</v>
      </c>
      <c r="E5787" s="1516" t="s">
        <v>952</v>
      </c>
      <c r="F5787" s="1516"/>
      <c r="G5787" s="1516"/>
      <c r="H5787" s="1516"/>
      <c r="K5787" t="s">
        <v>972</v>
      </c>
      <c r="V5787">
        <v>411</v>
      </c>
    </row>
    <row r="5788" spans="1:22" customFormat="1" ht="15" x14ac:dyDescent="0.25">
      <c r="A5788" t="s">
        <v>282</v>
      </c>
      <c r="E5788" s="1516" t="s">
        <v>953</v>
      </c>
      <c r="F5788" s="1516"/>
      <c r="G5788" s="1516"/>
      <c r="H5788" s="1516"/>
      <c r="K5788" t="s">
        <v>972</v>
      </c>
      <c r="V5788">
        <v>386</v>
      </c>
    </row>
    <row r="5789" spans="1:22" customFormat="1" ht="15" x14ac:dyDescent="0.25">
      <c r="A5789" t="s">
        <v>282</v>
      </c>
      <c r="E5789" s="1516" t="s">
        <v>954</v>
      </c>
      <c r="F5789" s="1516"/>
      <c r="G5789" s="1516"/>
      <c r="H5789" s="1516"/>
      <c r="K5789" t="s">
        <v>972</v>
      </c>
      <c r="V5789">
        <v>246</v>
      </c>
    </row>
    <row r="5790" spans="1:22" customFormat="1" ht="15" x14ac:dyDescent="0.25">
      <c r="A5790" t="s">
        <v>282</v>
      </c>
      <c r="E5790" s="1515" t="s">
        <v>956</v>
      </c>
      <c r="F5790" s="1516"/>
      <c r="G5790" s="1516"/>
      <c r="H5790" s="1516"/>
      <c r="K5790" t="s">
        <v>975</v>
      </c>
      <c r="V5790">
        <v>46</v>
      </c>
    </row>
    <row r="5791" spans="1:22" customFormat="1" ht="15" x14ac:dyDescent="0.25">
      <c r="A5791" t="s">
        <v>282</v>
      </c>
      <c r="E5791" s="1507" t="s">
        <v>3773</v>
      </c>
      <c r="F5791" s="1507"/>
      <c r="G5791" s="584" t="s">
        <v>777</v>
      </c>
      <c r="H5791" s="576">
        <v>48.36</v>
      </c>
      <c r="K5791" t="s">
        <v>972</v>
      </c>
      <c r="L5791" t="s">
        <v>690</v>
      </c>
      <c r="P5791" t="s">
        <v>976</v>
      </c>
      <c r="V5791">
        <v>14</v>
      </c>
    </row>
    <row r="5792" spans="1:22" customFormat="1" ht="15" x14ac:dyDescent="0.25">
      <c r="A5792" t="s">
        <v>282</v>
      </c>
      <c r="E5792" s="1507" t="s">
        <v>960</v>
      </c>
      <c r="F5792" s="1507"/>
      <c r="G5792" s="584" t="s">
        <v>777</v>
      </c>
      <c r="H5792" s="576">
        <v>0.42</v>
      </c>
      <c r="K5792" t="s">
        <v>972</v>
      </c>
      <c r="L5792" t="s">
        <v>692</v>
      </c>
      <c r="P5792" t="s">
        <v>977</v>
      </c>
      <c r="V5792">
        <v>64</v>
      </c>
    </row>
    <row r="5793" spans="1:22" customFormat="1" ht="15" x14ac:dyDescent="0.25">
      <c r="A5793" t="s">
        <v>282</v>
      </c>
      <c r="E5793" s="1507" t="s">
        <v>3688</v>
      </c>
      <c r="F5793" s="1507"/>
      <c r="G5793" s="584" t="s">
        <v>845</v>
      </c>
      <c r="H5793" s="577">
        <v>1.7600000000000001E-2</v>
      </c>
      <c r="K5793" t="s">
        <v>972</v>
      </c>
      <c r="L5793" t="s">
        <v>690</v>
      </c>
      <c r="P5793" t="s">
        <v>978</v>
      </c>
      <c r="V5793">
        <v>28</v>
      </c>
    </row>
    <row r="5794" spans="1:22" customFormat="1" ht="15" x14ac:dyDescent="0.25">
      <c r="A5794" t="s">
        <v>282</v>
      </c>
      <c r="E5794" s="1507" t="s">
        <v>910</v>
      </c>
      <c r="F5794" s="1507"/>
      <c r="G5794" s="584" t="s">
        <v>845</v>
      </c>
      <c r="H5794" s="577">
        <v>1.4E-3</v>
      </c>
      <c r="K5794" t="s">
        <v>972</v>
      </c>
      <c r="L5794" t="s">
        <v>692</v>
      </c>
      <c r="P5794" t="s">
        <v>980</v>
      </c>
      <c r="V5794">
        <v>24</v>
      </c>
    </row>
    <row r="5795" spans="1:22" customFormat="1" ht="15" x14ac:dyDescent="0.25">
      <c r="A5795" t="s">
        <v>282</v>
      </c>
      <c r="E5795" s="1507" t="s">
        <v>6519</v>
      </c>
      <c r="F5795" s="1510"/>
      <c r="G5795" s="584" t="s">
        <v>845</v>
      </c>
      <c r="H5795" s="577">
        <v>-2.0000000000000001E-4</v>
      </c>
      <c r="K5795" t="s">
        <v>972</v>
      </c>
      <c r="L5795" t="s">
        <v>692</v>
      </c>
      <c r="P5795" t="s">
        <v>981</v>
      </c>
      <c r="T5795">
        <v>46022</v>
      </c>
      <c r="V5795">
        <v>142</v>
      </c>
    </row>
    <row r="5796" spans="1:22" customFormat="1" ht="15" x14ac:dyDescent="0.25">
      <c r="A5796" t="s">
        <v>282</v>
      </c>
      <c r="E5796" s="1507" t="s">
        <v>6520</v>
      </c>
      <c r="F5796" s="1510"/>
      <c r="G5796" s="584" t="s">
        <v>845</v>
      </c>
      <c r="H5796" s="577">
        <v>5.0000000000000001E-4</v>
      </c>
      <c r="K5796" t="s">
        <v>972</v>
      </c>
      <c r="L5796" t="s">
        <v>692</v>
      </c>
      <c r="P5796" t="s">
        <v>982</v>
      </c>
      <c r="T5796">
        <v>46022</v>
      </c>
      <c r="V5796">
        <v>99</v>
      </c>
    </row>
    <row r="5797" spans="1:22" customFormat="1" ht="15" x14ac:dyDescent="0.25">
      <c r="A5797" t="s">
        <v>282</v>
      </c>
      <c r="E5797" s="1507" t="s">
        <v>6521</v>
      </c>
      <c r="F5797" s="1510"/>
      <c r="G5797" s="584" t="s">
        <v>845</v>
      </c>
      <c r="H5797" s="577">
        <v>2.0000000000000001E-4</v>
      </c>
      <c r="K5797" t="s">
        <v>972</v>
      </c>
      <c r="L5797" t="s">
        <v>692</v>
      </c>
      <c r="P5797" t="s">
        <v>3766</v>
      </c>
      <c r="T5797">
        <v>46022</v>
      </c>
      <c r="V5797">
        <v>149</v>
      </c>
    </row>
    <row r="5798" spans="1:22" customFormat="1" ht="15" x14ac:dyDescent="0.25">
      <c r="A5798" t="s">
        <v>282</v>
      </c>
      <c r="E5798" s="1507" t="s">
        <v>243</v>
      </c>
      <c r="F5798" s="1507"/>
      <c r="G5798" s="584" t="s">
        <v>845</v>
      </c>
      <c r="H5798" s="577">
        <v>1.06E-2</v>
      </c>
      <c r="K5798" t="s">
        <v>972</v>
      </c>
      <c r="L5798" t="s">
        <v>694</v>
      </c>
      <c r="P5798" t="s">
        <v>983</v>
      </c>
      <c r="V5798">
        <v>47</v>
      </c>
    </row>
    <row r="5799" spans="1:22" customFormat="1" ht="15" x14ac:dyDescent="0.25">
      <c r="A5799" t="s">
        <v>282</v>
      </c>
      <c r="E5799" s="1507" t="s">
        <v>175</v>
      </c>
      <c r="F5799" s="1507"/>
      <c r="G5799" s="584" t="s">
        <v>845</v>
      </c>
      <c r="H5799" s="577">
        <v>6.0000000000000001E-3</v>
      </c>
      <c r="K5799" t="s">
        <v>972</v>
      </c>
      <c r="L5799" t="s">
        <v>694</v>
      </c>
      <c r="P5799" t="s">
        <v>984</v>
      </c>
      <c r="V5799">
        <v>74</v>
      </c>
    </row>
    <row r="5800" spans="1:22" customFormat="1" ht="15" x14ac:dyDescent="0.25">
      <c r="A5800" t="s">
        <v>282</v>
      </c>
      <c r="E5800" s="1515" t="s">
        <v>967</v>
      </c>
      <c r="F5800" s="1507"/>
      <c r="G5800" s="1507"/>
      <c r="H5800" s="1507"/>
      <c r="K5800" t="s">
        <v>985</v>
      </c>
      <c r="V5800">
        <v>48</v>
      </c>
    </row>
    <row r="5801" spans="1:22" customFormat="1" ht="15" x14ac:dyDescent="0.25">
      <c r="A5801" t="s">
        <v>282</v>
      </c>
      <c r="E5801" s="1507" t="s">
        <v>844</v>
      </c>
      <c r="F5801" s="1507"/>
      <c r="G5801" s="584" t="s">
        <v>845</v>
      </c>
      <c r="H5801" s="577">
        <v>4.1000000000000003E-3</v>
      </c>
      <c r="K5801" t="s">
        <v>972</v>
      </c>
      <c r="L5801" t="s">
        <v>968</v>
      </c>
      <c r="P5801" t="s">
        <v>986</v>
      </c>
      <c r="V5801">
        <v>55</v>
      </c>
    </row>
    <row r="5802" spans="1:22" customFormat="1" ht="15" x14ac:dyDescent="0.25">
      <c r="A5802" t="s">
        <v>282</v>
      </c>
      <c r="E5802" s="1507" t="s">
        <v>846</v>
      </c>
      <c r="F5802" s="1507"/>
      <c r="G5802" s="584" t="s">
        <v>845</v>
      </c>
      <c r="H5802" s="577">
        <v>4.0000000000000002E-4</v>
      </c>
      <c r="K5802" t="s">
        <v>972</v>
      </c>
      <c r="L5802" t="s">
        <v>968</v>
      </c>
      <c r="P5802" t="s">
        <v>986</v>
      </c>
      <c r="V5802">
        <v>65</v>
      </c>
    </row>
    <row r="5803" spans="1:22" customFormat="1" ht="15" x14ac:dyDescent="0.25">
      <c r="A5803" t="s">
        <v>282</v>
      </c>
      <c r="E5803" s="1507" t="s">
        <v>847</v>
      </c>
      <c r="F5803" s="1507"/>
      <c r="G5803" s="584" t="s">
        <v>845</v>
      </c>
      <c r="H5803" s="577">
        <v>1.5E-3</v>
      </c>
      <c r="K5803" t="s">
        <v>972</v>
      </c>
      <c r="L5803" t="s">
        <v>968</v>
      </c>
      <c r="P5803" t="s">
        <v>987</v>
      </c>
      <c r="V5803">
        <v>57</v>
      </c>
    </row>
    <row r="5804" spans="1:22" customFormat="1" ht="15" x14ac:dyDescent="0.25">
      <c r="A5804" t="s">
        <v>282</v>
      </c>
      <c r="E5804" s="1507" t="s">
        <v>848</v>
      </c>
      <c r="F5804" s="1507"/>
      <c r="G5804" s="584" t="s">
        <v>777</v>
      </c>
      <c r="H5804" s="576">
        <v>0.25</v>
      </c>
      <c r="K5804" t="s">
        <v>972</v>
      </c>
      <c r="L5804" t="s">
        <v>968</v>
      </c>
      <c r="P5804" t="s">
        <v>988</v>
      </c>
      <c r="V5804">
        <v>63</v>
      </c>
    </row>
    <row r="5805" spans="1:22" customFormat="1" x14ac:dyDescent="0.25">
      <c r="A5805" t="s">
        <v>282</v>
      </c>
      <c r="E5805" s="1492" t="s">
        <v>3767</v>
      </c>
      <c r="F5805" s="1493"/>
      <c r="G5805" s="1493"/>
      <c r="H5805" s="1493"/>
      <c r="K5805" t="s">
        <v>3768</v>
      </c>
      <c r="V5805">
        <v>53</v>
      </c>
    </row>
    <row r="5806" spans="1:22" customFormat="1" ht="15" x14ac:dyDescent="0.25">
      <c r="A5806" t="s">
        <v>282</v>
      </c>
      <c r="E5806" s="1516" t="s">
        <v>5135</v>
      </c>
      <c r="F5806" s="1516"/>
      <c r="G5806" s="1516"/>
      <c r="H5806" s="1516"/>
      <c r="K5806" t="s">
        <v>3768</v>
      </c>
      <c r="V5806">
        <v>352</v>
      </c>
    </row>
    <row r="5807" spans="1:22" customFormat="1" ht="15" x14ac:dyDescent="0.25">
      <c r="A5807" t="s">
        <v>282</v>
      </c>
      <c r="E5807" s="1515" t="s">
        <v>950</v>
      </c>
      <c r="F5807" s="1516"/>
      <c r="G5807" s="1516"/>
      <c r="H5807" s="1516"/>
      <c r="K5807" t="s">
        <v>992</v>
      </c>
      <c r="V5807">
        <v>11</v>
      </c>
    </row>
    <row r="5808" spans="1:22" customFormat="1" ht="15" x14ac:dyDescent="0.25">
      <c r="A5808" t="s">
        <v>282</v>
      </c>
      <c r="E5808" s="1516" t="s">
        <v>951</v>
      </c>
      <c r="F5808" s="1516"/>
      <c r="G5808" s="1516"/>
      <c r="H5808" s="1516"/>
      <c r="K5808" t="s">
        <v>3768</v>
      </c>
      <c r="V5808">
        <v>280</v>
      </c>
    </row>
    <row r="5809" spans="1:22" customFormat="1" ht="15" x14ac:dyDescent="0.25">
      <c r="A5809" t="s">
        <v>282</v>
      </c>
      <c r="E5809" s="1516" t="s">
        <v>952</v>
      </c>
      <c r="F5809" s="1516"/>
      <c r="G5809" s="1516"/>
      <c r="H5809" s="1516"/>
      <c r="K5809" t="s">
        <v>3768</v>
      </c>
      <c r="V5809">
        <v>411</v>
      </c>
    </row>
    <row r="5810" spans="1:22" customFormat="1" ht="15" x14ac:dyDescent="0.25">
      <c r="A5810" t="s">
        <v>282</v>
      </c>
      <c r="E5810" s="1516" t="s">
        <v>953</v>
      </c>
      <c r="F5810" s="1516"/>
      <c r="G5810" s="1516"/>
      <c r="H5810" s="1516"/>
      <c r="K5810" t="s">
        <v>3768</v>
      </c>
      <c r="V5810">
        <v>386</v>
      </c>
    </row>
    <row r="5811" spans="1:22" customFormat="1" ht="15" x14ac:dyDescent="0.25">
      <c r="A5811" t="s">
        <v>282</v>
      </c>
      <c r="E5811" s="1516" t="s">
        <v>993</v>
      </c>
      <c r="F5811" s="1516"/>
      <c r="G5811" s="1516"/>
      <c r="H5811" s="1516"/>
      <c r="K5811" t="s">
        <v>3768</v>
      </c>
      <c r="V5811">
        <v>680</v>
      </c>
    </row>
    <row r="5812" spans="1:22" customFormat="1" ht="15" x14ac:dyDescent="0.25">
      <c r="A5812" t="s">
        <v>282</v>
      </c>
      <c r="E5812" s="1516" t="s">
        <v>3772</v>
      </c>
      <c r="F5812" s="1516"/>
      <c r="G5812" s="1516"/>
      <c r="H5812" s="1516"/>
      <c r="K5812" t="s">
        <v>3768</v>
      </c>
      <c r="V5812">
        <v>693</v>
      </c>
    </row>
    <row r="5813" spans="1:22" customFormat="1" ht="15" x14ac:dyDescent="0.25">
      <c r="A5813" t="s">
        <v>282</v>
      </c>
      <c r="E5813" s="1516" t="s">
        <v>954</v>
      </c>
      <c r="F5813" s="1516"/>
      <c r="G5813" s="1516"/>
      <c r="H5813" s="1516"/>
      <c r="K5813" t="s">
        <v>3768</v>
      </c>
      <c r="V5813">
        <v>246</v>
      </c>
    </row>
    <row r="5814" spans="1:22" customFormat="1" ht="15" x14ac:dyDescent="0.25">
      <c r="A5814" t="s">
        <v>282</v>
      </c>
      <c r="E5814" s="1515" t="s">
        <v>956</v>
      </c>
      <c r="F5814" s="1516"/>
      <c r="G5814" s="1516"/>
      <c r="H5814" s="1516"/>
      <c r="K5814" t="s">
        <v>995</v>
      </c>
      <c r="V5814">
        <v>46</v>
      </c>
    </row>
    <row r="5815" spans="1:22" customFormat="1" ht="15" x14ac:dyDescent="0.25">
      <c r="A5815" t="s">
        <v>282</v>
      </c>
      <c r="E5815" s="1507" t="s">
        <v>3773</v>
      </c>
      <c r="F5815" s="1507"/>
      <c r="G5815" s="584" t="s">
        <v>777</v>
      </c>
      <c r="H5815" s="576">
        <v>150.16999999999999</v>
      </c>
      <c r="K5815" t="s">
        <v>3768</v>
      </c>
      <c r="L5815" t="s">
        <v>690</v>
      </c>
      <c r="P5815" t="s">
        <v>3774</v>
      </c>
      <c r="V5815">
        <v>14</v>
      </c>
    </row>
    <row r="5816" spans="1:22" customFormat="1" ht="15" x14ac:dyDescent="0.25">
      <c r="A5816" t="s">
        <v>282</v>
      </c>
      <c r="E5816" s="1507" t="s">
        <v>3688</v>
      </c>
      <c r="F5816" s="1507"/>
      <c r="G5816" s="584" t="s">
        <v>3775</v>
      </c>
      <c r="H5816" s="577">
        <v>4.1803999999999997</v>
      </c>
      <c r="K5816" t="s">
        <v>3768</v>
      </c>
      <c r="L5816" t="s">
        <v>690</v>
      </c>
      <c r="P5816" t="s">
        <v>3776</v>
      </c>
      <c r="V5816">
        <v>28</v>
      </c>
    </row>
    <row r="5817" spans="1:22" customFormat="1" ht="15" x14ac:dyDescent="0.25">
      <c r="A5817" t="s">
        <v>282</v>
      </c>
      <c r="E5817" s="1507" t="s">
        <v>910</v>
      </c>
      <c r="F5817" s="1507"/>
      <c r="G5817" s="584" t="s">
        <v>3775</v>
      </c>
      <c r="H5817" s="577">
        <v>0.55500000000000005</v>
      </c>
      <c r="K5817" t="s">
        <v>3768</v>
      </c>
      <c r="L5817" t="s">
        <v>692</v>
      </c>
      <c r="P5817" t="s">
        <v>3777</v>
      </c>
      <c r="V5817">
        <v>24</v>
      </c>
    </row>
    <row r="5818" spans="1:22" customFormat="1" ht="15" x14ac:dyDescent="0.25">
      <c r="A5818" t="s">
        <v>282</v>
      </c>
      <c r="E5818" s="1507" t="s">
        <v>6519</v>
      </c>
      <c r="F5818" s="1510"/>
      <c r="G5818" s="584" t="s">
        <v>845</v>
      </c>
      <c r="H5818" s="577">
        <v>-2.0000000000000001E-4</v>
      </c>
      <c r="K5818" t="s">
        <v>3768</v>
      </c>
      <c r="L5818" t="s">
        <v>692</v>
      </c>
      <c r="P5818" t="s">
        <v>4232</v>
      </c>
      <c r="T5818">
        <v>46022</v>
      </c>
      <c r="V5818">
        <v>142</v>
      </c>
    </row>
    <row r="5819" spans="1:22" customFormat="1" ht="15" x14ac:dyDescent="0.25">
      <c r="A5819" t="s">
        <v>282</v>
      </c>
      <c r="E5819" s="1507" t="s">
        <v>6525</v>
      </c>
      <c r="F5819" s="1510"/>
      <c r="G5819" s="584" t="s">
        <v>3775</v>
      </c>
      <c r="H5819" s="577">
        <v>-0.49070000000000003</v>
      </c>
      <c r="K5819" t="s">
        <v>3768</v>
      </c>
      <c r="L5819" t="s">
        <v>692</v>
      </c>
      <c r="P5819" t="s">
        <v>3779</v>
      </c>
      <c r="T5819">
        <v>46022</v>
      </c>
      <c r="V5819">
        <v>159</v>
      </c>
    </row>
    <row r="5820" spans="1:22" customFormat="1" ht="15" x14ac:dyDescent="0.25">
      <c r="A5820" t="s">
        <v>282</v>
      </c>
      <c r="E5820" s="1507" t="s">
        <v>6520</v>
      </c>
      <c r="F5820" s="1510"/>
      <c r="G5820" s="584" t="s">
        <v>3775</v>
      </c>
      <c r="H5820" s="577">
        <v>0.72119999999999995</v>
      </c>
      <c r="K5820" t="s">
        <v>3768</v>
      </c>
      <c r="L5820" t="s">
        <v>692</v>
      </c>
      <c r="P5820" t="s">
        <v>3779</v>
      </c>
      <c r="T5820">
        <v>46022</v>
      </c>
      <c r="V5820">
        <v>99</v>
      </c>
    </row>
    <row r="5821" spans="1:22" customFormat="1" ht="15" x14ac:dyDescent="0.25">
      <c r="A5821" t="s">
        <v>282</v>
      </c>
      <c r="E5821" s="1507" t="s">
        <v>6521</v>
      </c>
      <c r="F5821" s="1510"/>
      <c r="G5821" s="584" t="s">
        <v>3775</v>
      </c>
      <c r="H5821" s="577">
        <v>6.93E-2</v>
      </c>
      <c r="K5821" t="s">
        <v>3768</v>
      </c>
      <c r="L5821" t="s">
        <v>692</v>
      </c>
      <c r="P5821" t="s">
        <v>3778</v>
      </c>
      <c r="T5821">
        <v>46022</v>
      </c>
      <c r="V5821">
        <v>149</v>
      </c>
    </row>
    <row r="5822" spans="1:22" customFormat="1" ht="15" x14ac:dyDescent="0.25">
      <c r="A5822" t="s">
        <v>282</v>
      </c>
      <c r="E5822" s="1507" t="s">
        <v>243</v>
      </c>
      <c r="F5822" s="1507"/>
      <c r="G5822" s="584" t="s">
        <v>3775</v>
      </c>
      <c r="H5822" s="577">
        <v>4.415</v>
      </c>
      <c r="K5822" t="s">
        <v>3768</v>
      </c>
      <c r="L5822" t="s">
        <v>694</v>
      </c>
      <c r="P5822" t="s">
        <v>3780</v>
      </c>
      <c r="V5822">
        <v>47</v>
      </c>
    </row>
    <row r="5823" spans="1:22" customFormat="1" ht="15" x14ac:dyDescent="0.25">
      <c r="A5823" t="s">
        <v>282</v>
      </c>
      <c r="E5823" s="1507" t="s">
        <v>4121</v>
      </c>
      <c r="F5823" s="1507"/>
      <c r="G5823" s="584" t="s">
        <v>3775</v>
      </c>
      <c r="H5823" s="577">
        <v>2.4632999999999998</v>
      </c>
      <c r="K5823" t="s">
        <v>3768</v>
      </c>
      <c r="L5823" t="s">
        <v>694</v>
      </c>
      <c r="P5823" t="s">
        <v>3781</v>
      </c>
      <c r="V5823">
        <v>75</v>
      </c>
    </row>
    <row r="5824" spans="1:22" customFormat="1" ht="15" x14ac:dyDescent="0.25">
      <c r="A5824" t="s">
        <v>282</v>
      </c>
      <c r="E5824" s="1515" t="s">
        <v>967</v>
      </c>
      <c r="F5824" s="1507"/>
      <c r="G5824" s="1507"/>
      <c r="H5824" s="1507"/>
      <c r="K5824" t="s">
        <v>1003</v>
      </c>
      <c r="V5824">
        <v>48</v>
      </c>
    </row>
    <row r="5825" spans="1:22" customFormat="1" ht="15" x14ac:dyDescent="0.25">
      <c r="A5825" t="s">
        <v>282</v>
      </c>
      <c r="E5825" s="1507" t="s">
        <v>844</v>
      </c>
      <c r="F5825" s="1507"/>
      <c r="G5825" s="584" t="s">
        <v>845</v>
      </c>
      <c r="H5825" s="577">
        <v>4.1000000000000003E-3</v>
      </c>
      <c r="K5825" t="s">
        <v>3768</v>
      </c>
      <c r="L5825" t="s">
        <v>968</v>
      </c>
      <c r="P5825" t="s">
        <v>3782</v>
      </c>
      <c r="V5825">
        <v>55</v>
      </c>
    </row>
    <row r="5826" spans="1:22" customFormat="1" ht="15" x14ac:dyDescent="0.25">
      <c r="A5826" t="s">
        <v>282</v>
      </c>
      <c r="E5826" s="1507" t="s">
        <v>846</v>
      </c>
      <c r="F5826" s="1507"/>
      <c r="G5826" s="584" t="s">
        <v>845</v>
      </c>
      <c r="H5826" s="577">
        <v>4.0000000000000002E-4</v>
      </c>
      <c r="K5826" t="s">
        <v>3768</v>
      </c>
      <c r="L5826" t="s">
        <v>968</v>
      </c>
      <c r="P5826" t="s">
        <v>3782</v>
      </c>
      <c r="V5826">
        <v>65</v>
      </c>
    </row>
    <row r="5827" spans="1:22" customFormat="1" ht="15" x14ac:dyDescent="0.25">
      <c r="A5827" t="s">
        <v>282</v>
      </c>
      <c r="E5827" s="1507" t="s">
        <v>847</v>
      </c>
      <c r="F5827" s="1507"/>
      <c r="G5827" s="584" t="s">
        <v>845</v>
      </c>
      <c r="H5827" s="577">
        <v>1.5E-3</v>
      </c>
      <c r="K5827" t="s">
        <v>3768</v>
      </c>
      <c r="L5827" t="s">
        <v>968</v>
      </c>
      <c r="P5827" t="s">
        <v>3783</v>
      </c>
      <c r="V5827">
        <v>57</v>
      </c>
    </row>
    <row r="5828" spans="1:22" customFormat="1" ht="15" x14ac:dyDescent="0.25">
      <c r="A5828" t="s">
        <v>282</v>
      </c>
      <c r="E5828" s="1507" t="s">
        <v>848</v>
      </c>
      <c r="F5828" s="1507"/>
      <c r="G5828" s="584" t="s">
        <v>777</v>
      </c>
      <c r="H5828" s="576">
        <v>0.25</v>
      </c>
      <c r="K5828" t="s">
        <v>3768</v>
      </c>
      <c r="L5828" t="s">
        <v>968</v>
      </c>
      <c r="P5828" t="s">
        <v>3784</v>
      </c>
      <c r="V5828">
        <v>63</v>
      </c>
    </row>
    <row r="5829" spans="1:22" customFormat="1" x14ac:dyDescent="0.25">
      <c r="A5829" t="s">
        <v>282</v>
      </c>
      <c r="E5829" s="1492" t="s">
        <v>194</v>
      </c>
      <c r="F5829" s="1493"/>
      <c r="G5829" s="1493"/>
      <c r="H5829" s="1493"/>
      <c r="K5829" t="s">
        <v>3785</v>
      </c>
      <c r="V5829">
        <v>47</v>
      </c>
    </row>
    <row r="5830" spans="1:22" customFormat="1" ht="15" x14ac:dyDescent="0.25">
      <c r="A5830" t="s">
        <v>282</v>
      </c>
      <c r="E5830" s="1516" t="s">
        <v>5136</v>
      </c>
      <c r="F5830" s="1516"/>
      <c r="G5830" s="1516"/>
      <c r="H5830" s="1516"/>
      <c r="K5830" t="s">
        <v>3785</v>
      </c>
      <c r="V5830">
        <v>612</v>
      </c>
    </row>
    <row r="5831" spans="1:22" customFormat="1" ht="15" x14ac:dyDescent="0.25">
      <c r="A5831" t="s">
        <v>282</v>
      </c>
      <c r="E5831" s="1515" t="s">
        <v>950</v>
      </c>
      <c r="F5831" s="1516"/>
      <c r="G5831" s="1516"/>
      <c r="H5831" s="1516"/>
      <c r="K5831" t="s">
        <v>1010</v>
      </c>
      <c r="V5831">
        <v>11</v>
      </c>
    </row>
    <row r="5832" spans="1:22" customFormat="1" ht="15" x14ac:dyDescent="0.25">
      <c r="A5832" t="s">
        <v>282</v>
      </c>
      <c r="E5832" s="1516" t="s">
        <v>951</v>
      </c>
      <c r="F5832" s="1516"/>
      <c r="G5832" s="1516"/>
      <c r="H5832" s="1516"/>
      <c r="K5832" t="s">
        <v>3785</v>
      </c>
      <c r="V5832">
        <v>280</v>
      </c>
    </row>
    <row r="5833" spans="1:22" customFormat="1" ht="15" x14ac:dyDescent="0.25">
      <c r="A5833" t="s">
        <v>282</v>
      </c>
      <c r="E5833" s="1516" t="s">
        <v>952</v>
      </c>
      <c r="F5833" s="1516"/>
      <c r="G5833" s="1516"/>
      <c r="H5833" s="1516"/>
      <c r="K5833" t="s">
        <v>3785</v>
      </c>
      <c r="V5833">
        <v>411</v>
      </c>
    </row>
    <row r="5834" spans="1:22" customFormat="1" ht="15" x14ac:dyDescent="0.25">
      <c r="A5834" t="s">
        <v>282</v>
      </c>
      <c r="E5834" s="1516" t="s">
        <v>953</v>
      </c>
      <c r="F5834" s="1516"/>
      <c r="G5834" s="1516"/>
      <c r="H5834" s="1516"/>
      <c r="K5834" t="s">
        <v>3785</v>
      </c>
      <c r="V5834">
        <v>386</v>
      </c>
    </row>
    <row r="5835" spans="1:22" customFormat="1" ht="15" x14ac:dyDescent="0.25">
      <c r="A5835" t="s">
        <v>282</v>
      </c>
      <c r="E5835" s="1516" t="s">
        <v>954</v>
      </c>
      <c r="F5835" s="1516"/>
      <c r="G5835" s="1516"/>
      <c r="H5835" s="1516"/>
      <c r="K5835" t="s">
        <v>3785</v>
      </c>
      <c r="V5835">
        <v>246</v>
      </c>
    </row>
    <row r="5836" spans="1:22" customFormat="1" ht="15" x14ac:dyDescent="0.25">
      <c r="A5836" t="s">
        <v>282</v>
      </c>
      <c r="E5836" s="1515" t="s">
        <v>956</v>
      </c>
      <c r="F5836" s="1516"/>
      <c r="G5836" s="1516"/>
      <c r="H5836" s="1516"/>
      <c r="K5836" t="s">
        <v>1011</v>
      </c>
      <c r="V5836">
        <v>46</v>
      </c>
    </row>
    <row r="5837" spans="1:22" customFormat="1" ht="15" x14ac:dyDescent="0.25">
      <c r="A5837" t="s">
        <v>282</v>
      </c>
      <c r="E5837" s="1507" t="s">
        <v>3893</v>
      </c>
      <c r="F5837" s="1507"/>
      <c r="G5837" s="584" t="s">
        <v>777</v>
      </c>
      <c r="H5837" s="576">
        <v>23.52</v>
      </c>
      <c r="K5837" t="s">
        <v>3785</v>
      </c>
      <c r="L5837" t="s">
        <v>690</v>
      </c>
      <c r="P5837" t="s">
        <v>3788</v>
      </c>
      <c r="V5837">
        <v>29</v>
      </c>
    </row>
    <row r="5838" spans="1:22" customFormat="1" ht="15" x14ac:dyDescent="0.25">
      <c r="A5838" t="s">
        <v>282</v>
      </c>
      <c r="E5838" s="1507" t="s">
        <v>3688</v>
      </c>
      <c r="F5838" s="1507"/>
      <c r="G5838" s="584" t="s">
        <v>845</v>
      </c>
      <c r="H5838" s="577">
        <v>1.6299999999999999E-2</v>
      </c>
      <c r="K5838" t="s">
        <v>3785</v>
      </c>
      <c r="L5838" t="s">
        <v>690</v>
      </c>
      <c r="P5838" t="s">
        <v>3789</v>
      </c>
      <c r="V5838">
        <v>28</v>
      </c>
    </row>
    <row r="5839" spans="1:22" customFormat="1" ht="15" x14ac:dyDescent="0.25">
      <c r="A5839" t="s">
        <v>282</v>
      </c>
      <c r="E5839" s="1507" t="s">
        <v>910</v>
      </c>
      <c r="F5839" s="1507"/>
      <c r="G5839" s="584" t="s">
        <v>845</v>
      </c>
      <c r="H5839" s="577">
        <v>1.4E-3</v>
      </c>
      <c r="K5839" t="s">
        <v>3785</v>
      </c>
      <c r="L5839" t="s">
        <v>692</v>
      </c>
      <c r="P5839" t="s">
        <v>3790</v>
      </c>
      <c r="V5839">
        <v>24</v>
      </c>
    </row>
    <row r="5840" spans="1:22" customFormat="1" ht="15" x14ac:dyDescent="0.25">
      <c r="A5840" t="s">
        <v>282</v>
      </c>
      <c r="E5840" s="1507" t="s">
        <v>6521</v>
      </c>
      <c r="F5840" s="1510"/>
      <c r="G5840" s="584" t="s">
        <v>845</v>
      </c>
      <c r="H5840" s="577">
        <v>2.0000000000000001E-4</v>
      </c>
      <c r="K5840" t="s">
        <v>3785</v>
      </c>
      <c r="L5840" t="s">
        <v>692</v>
      </c>
      <c r="P5840" t="s">
        <v>3791</v>
      </c>
      <c r="T5840">
        <v>46022</v>
      </c>
      <c r="V5840">
        <v>149</v>
      </c>
    </row>
    <row r="5841" spans="1:22" customFormat="1" ht="15" x14ac:dyDescent="0.25">
      <c r="A5841" t="s">
        <v>282</v>
      </c>
      <c r="E5841" s="1507" t="s">
        <v>6520</v>
      </c>
      <c r="F5841" s="1510"/>
      <c r="G5841" s="584" t="s">
        <v>845</v>
      </c>
      <c r="H5841" s="577">
        <v>5.9999999999999995E-4</v>
      </c>
      <c r="K5841" t="s">
        <v>3785</v>
      </c>
      <c r="L5841" t="s">
        <v>692</v>
      </c>
      <c r="P5841" t="s">
        <v>3792</v>
      </c>
      <c r="T5841">
        <v>46022</v>
      </c>
      <c r="V5841">
        <v>99</v>
      </c>
    </row>
    <row r="5842" spans="1:22" customFormat="1" ht="15" x14ac:dyDescent="0.25">
      <c r="A5842" t="s">
        <v>282</v>
      </c>
      <c r="E5842" s="1507" t="s">
        <v>243</v>
      </c>
      <c r="F5842" s="1507"/>
      <c r="G5842" s="584" t="s">
        <v>845</v>
      </c>
      <c r="H5842" s="577">
        <v>1.06E-2</v>
      </c>
      <c r="K5842" t="s">
        <v>3785</v>
      </c>
      <c r="L5842" t="s">
        <v>694</v>
      </c>
      <c r="P5842" t="s">
        <v>3793</v>
      </c>
      <c r="V5842">
        <v>47</v>
      </c>
    </row>
    <row r="5843" spans="1:22" customFormat="1" ht="15" x14ac:dyDescent="0.25">
      <c r="A5843" t="s">
        <v>282</v>
      </c>
      <c r="E5843" s="1507" t="s">
        <v>175</v>
      </c>
      <c r="F5843" s="1507"/>
      <c r="G5843" s="584" t="s">
        <v>845</v>
      </c>
      <c r="H5843" s="577">
        <v>6.0000000000000001E-3</v>
      </c>
      <c r="K5843" t="s">
        <v>3785</v>
      </c>
      <c r="L5843" t="s">
        <v>694</v>
      </c>
      <c r="P5843" t="s">
        <v>3794</v>
      </c>
      <c r="V5843">
        <v>74</v>
      </c>
    </row>
    <row r="5844" spans="1:22" customFormat="1" ht="15" x14ac:dyDescent="0.25">
      <c r="A5844" t="s">
        <v>282</v>
      </c>
      <c r="E5844" s="1515" t="s">
        <v>967</v>
      </c>
      <c r="F5844" s="1507"/>
      <c r="G5844" s="1507"/>
      <c r="H5844" s="1507"/>
      <c r="K5844" t="s">
        <v>1019</v>
      </c>
      <c r="V5844">
        <v>48</v>
      </c>
    </row>
    <row r="5845" spans="1:22" customFormat="1" ht="15" x14ac:dyDescent="0.25">
      <c r="A5845" t="s">
        <v>282</v>
      </c>
      <c r="E5845" s="1507" t="s">
        <v>844</v>
      </c>
      <c r="F5845" s="1507"/>
      <c r="G5845" s="584" t="s">
        <v>845</v>
      </c>
      <c r="H5845" s="577">
        <v>4.1000000000000003E-3</v>
      </c>
      <c r="K5845" t="s">
        <v>3785</v>
      </c>
      <c r="L5845" t="s">
        <v>968</v>
      </c>
      <c r="P5845" t="s">
        <v>3795</v>
      </c>
      <c r="V5845">
        <v>55</v>
      </c>
    </row>
    <row r="5846" spans="1:22" customFormat="1" ht="15" x14ac:dyDescent="0.25">
      <c r="A5846" t="s">
        <v>282</v>
      </c>
      <c r="E5846" s="1507" t="s">
        <v>846</v>
      </c>
      <c r="F5846" s="1507"/>
      <c r="G5846" s="584" t="s">
        <v>845</v>
      </c>
      <c r="H5846" s="577">
        <v>4.0000000000000002E-4</v>
      </c>
      <c r="K5846" t="s">
        <v>3785</v>
      </c>
      <c r="L5846" t="s">
        <v>968</v>
      </c>
      <c r="P5846" t="s">
        <v>3795</v>
      </c>
      <c r="V5846">
        <v>65</v>
      </c>
    </row>
    <row r="5847" spans="1:22" customFormat="1" ht="15" x14ac:dyDescent="0.25">
      <c r="A5847" t="s">
        <v>282</v>
      </c>
      <c r="E5847" s="1507" t="s">
        <v>847</v>
      </c>
      <c r="F5847" s="1507"/>
      <c r="G5847" s="584" t="s">
        <v>845</v>
      </c>
      <c r="H5847" s="577">
        <v>1.5E-3</v>
      </c>
      <c r="K5847" t="s">
        <v>3785</v>
      </c>
      <c r="L5847" t="s">
        <v>968</v>
      </c>
      <c r="P5847" t="s">
        <v>3796</v>
      </c>
      <c r="V5847">
        <v>57</v>
      </c>
    </row>
    <row r="5848" spans="1:22" customFormat="1" ht="15" x14ac:dyDescent="0.25">
      <c r="A5848" t="s">
        <v>282</v>
      </c>
      <c r="E5848" s="1507" t="s">
        <v>848</v>
      </c>
      <c r="F5848" s="1507"/>
      <c r="G5848" s="584" t="s">
        <v>777</v>
      </c>
      <c r="H5848" s="576">
        <v>0.25</v>
      </c>
      <c r="K5848" t="s">
        <v>3785</v>
      </c>
      <c r="L5848" t="s">
        <v>968</v>
      </c>
      <c r="P5848" t="s">
        <v>3797</v>
      </c>
      <c r="V5848">
        <v>63</v>
      </c>
    </row>
    <row r="5849" spans="1:22" customFormat="1" x14ac:dyDescent="0.25">
      <c r="A5849" t="s">
        <v>282</v>
      </c>
      <c r="E5849" s="1492" t="s">
        <v>198</v>
      </c>
      <c r="F5849" s="1493"/>
      <c r="G5849" s="1493"/>
      <c r="H5849" s="1493"/>
      <c r="K5849" t="s">
        <v>3798</v>
      </c>
      <c r="V5849">
        <v>40</v>
      </c>
    </row>
    <row r="5850" spans="1:22" customFormat="1" ht="15" x14ac:dyDescent="0.25">
      <c r="A5850" t="s">
        <v>282</v>
      </c>
      <c r="E5850" s="1516" t="s">
        <v>4693</v>
      </c>
      <c r="F5850" s="1516"/>
      <c r="G5850" s="1516"/>
      <c r="H5850" s="1516"/>
      <c r="K5850" t="s">
        <v>3798</v>
      </c>
      <c r="V5850">
        <v>253</v>
      </c>
    </row>
    <row r="5851" spans="1:22" customFormat="1" ht="15" x14ac:dyDescent="0.25">
      <c r="A5851" t="s">
        <v>282</v>
      </c>
      <c r="E5851" s="1515" t="s">
        <v>950</v>
      </c>
      <c r="F5851" s="1516"/>
      <c r="G5851" s="1516"/>
      <c r="H5851" s="1516"/>
      <c r="K5851" t="s">
        <v>1025</v>
      </c>
      <c r="V5851">
        <v>11</v>
      </c>
    </row>
    <row r="5852" spans="1:22" customFormat="1" ht="15" x14ac:dyDescent="0.25">
      <c r="A5852" t="s">
        <v>282</v>
      </c>
      <c r="E5852" s="1516" t="s">
        <v>951</v>
      </c>
      <c r="F5852" s="1516"/>
      <c r="G5852" s="1516"/>
      <c r="H5852" s="1516"/>
      <c r="K5852" t="s">
        <v>3798</v>
      </c>
      <c r="V5852">
        <v>280</v>
      </c>
    </row>
    <row r="5853" spans="1:22" customFormat="1" ht="15" x14ac:dyDescent="0.25">
      <c r="A5853" t="s">
        <v>282</v>
      </c>
      <c r="E5853" s="1516" t="s">
        <v>952</v>
      </c>
      <c r="F5853" s="1516"/>
      <c r="G5853" s="1516"/>
      <c r="H5853" s="1516"/>
      <c r="K5853" t="s">
        <v>3798</v>
      </c>
      <c r="V5853">
        <v>411</v>
      </c>
    </row>
    <row r="5854" spans="1:22" customFormat="1" ht="15" x14ac:dyDescent="0.25">
      <c r="A5854" t="s">
        <v>282</v>
      </c>
      <c r="E5854" s="1516" t="s">
        <v>953</v>
      </c>
      <c r="F5854" s="1516"/>
      <c r="G5854" s="1516"/>
      <c r="H5854" s="1516"/>
      <c r="K5854" t="s">
        <v>3798</v>
      </c>
      <c r="V5854">
        <v>386</v>
      </c>
    </row>
    <row r="5855" spans="1:22" customFormat="1" ht="15" x14ac:dyDescent="0.25">
      <c r="A5855" t="s">
        <v>282</v>
      </c>
      <c r="E5855" s="1516" t="s">
        <v>954</v>
      </c>
      <c r="F5855" s="1516"/>
      <c r="G5855" s="1516"/>
      <c r="H5855" s="1516"/>
      <c r="K5855" t="s">
        <v>3798</v>
      </c>
      <c r="V5855">
        <v>246</v>
      </c>
    </row>
    <row r="5856" spans="1:22" customFormat="1" ht="15" x14ac:dyDescent="0.25">
      <c r="A5856" t="s">
        <v>282</v>
      </c>
      <c r="E5856" s="1515" t="s">
        <v>956</v>
      </c>
      <c r="F5856" s="1516"/>
      <c r="G5856" s="1516"/>
      <c r="H5856" s="1516"/>
      <c r="K5856" t="s">
        <v>1026</v>
      </c>
      <c r="V5856">
        <v>46</v>
      </c>
    </row>
    <row r="5857" spans="1:22" customFormat="1" ht="15" x14ac:dyDescent="0.25">
      <c r="A5857" t="s">
        <v>282</v>
      </c>
      <c r="E5857" s="1507" t="s">
        <v>3773</v>
      </c>
      <c r="F5857" s="1507"/>
      <c r="G5857" s="584" t="s">
        <v>777</v>
      </c>
      <c r="H5857" s="576">
        <v>21.71</v>
      </c>
      <c r="K5857" t="s">
        <v>3798</v>
      </c>
      <c r="L5857" t="s">
        <v>690</v>
      </c>
      <c r="P5857" t="s">
        <v>3801</v>
      </c>
      <c r="V5857">
        <v>14</v>
      </c>
    </row>
    <row r="5858" spans="1:22" customFormat="1" ht="15" x14ac:dyDescent="0.25">
      <c r="A5858" t="s">
        <v>282</v>
      </c>
      <c r="E5858" s="1507" t="s">
        <v>3688</v>
      </c>
      <c r="F5858" s="1507"/>
      <c r="G5858" s="584" t="s">
        <v>3775</v>
      </c>
      <c r="H5858" s="577">
        <v>27.1035</v>
      </c>
      <c r="K5858" t="s">
        <v>3798</v>
      </c>
      <c r="L5858" t="s">
        <v>690</v>
      </c>
      <c r="P5858" t="s">
        <v>3802</v>
      </c>
      <c r="V5858">
        <v>28</v>
      </c>
    </row>
    <row r="5859" spans="1:22" customFormat="1" ht="15" x14ac:dyDescent="0.25">
      <c r="A5859" t="s">
        <v>282</v>
      </c>
      <c r="E5859" s="1507" t="s">
        <v>910</v>
      </c>
      <c r="F5859" s="1507"/>
      <c r="G5859" s="584" t="s">
        <v>3775</v>
      </c>
      <c r="H5859" s="577">
        <v>0.46379999999999999</v>
      </c>
      <c r="K5859" t="s">
        <v>3798</v>
      </c>
      <c r="L5859" t="s">
        <v>692</v>
      </c>
      <c r="P5859" t="s">
        <v>3803</v>
      </c>
      <c r="V5859">
        <v>24</v>
      </c>
    </row>
    <row r="5860" spans="1:22" customFormat="1" ht="15" x14ac:dyDescent="0.25">
      <c r="A5860" t="s">
        <v>282</v>
      </c>
      <c r="E5860" s="1507" t="s">
        <v>6520</v>
      </c>
      <c r="F5860" s="1510"/>
      <c r="G5860" s="584" t="s">
        <v>3775</v>
      </c>
      <c r="H5860" s="577">
        <v>0.21659999999999999</v>
      </c>
      <c r="K5860" t="s">
        <v>3798</v>
      </c>
      <c r="L5860" t="s">
        <v>692</v>
      </c>
      <c r="P5860" t="s">
        <v>3805</v>
      </c>
      <c r="T5860">
        <v>46022</v>
      </c>
      <c r="V5860">
        <v>99</v>
      </c>
    </row>
    <row r="5861" spans="1:22" customFormat="1" ht="15" x14ac:dyDescent="0.25">
      <c r="A5861" t="s">
        <v>282</v>
      </c>
      <c r="E5861" s="1507" t="s">
        <v>6521</v>
      </c>
      <c r="F5861" s="1510"/>
      <c r="G5861" s="584" t="s">
        <v>3775</v>
      </c>
      <c r="H5861" s="577">
        <v>6.88E-2</v>
      </c>
      <c r="K5861" t="s">
        <v>3798</v>
      </c>
      <c r="L5861" t="s">
        <v>692</v>
      </c>
      <c r="P5861" t="s">
        <v>3804</v>
      </c>
      <c r="T5861">
        <v>46022</v>
      </c>
      <c r="V5861">
        <v>149</v>
      </c>
    </row>
    <row r="5862" spans="1:22" customFormat="1" ht="15" x14ac:dyDescent="0.25">
      <c r="A5862" t="s">
        <v>282</v>
      </c>
      <c r="E5862" s="1507" t="s">
        <v>243</v>
      </c>
      <c r="F5862" s="1507"/>
      <c r="G5862" s="584" t="s">
        <v>3775</v>
      </c>
      <c r="H5862" s="577">
        <v>3.2686000000000002</v>
      </c>
      <c r="K5862" t="s">
        <v>3798</v>
      </c>
      <c r="L5862" t="s">
        <v>694</v>
      </c>
      <c r="P5862" t="s">
        <v>3806</v>
      </c>
      <c r="V5862">
        <v>47</v>
      </c>
    </row>
    <row r="5863" spans="1:22" customFormat="1" ht="15" x14ac:dyDescent="0.25">
      <c r="A5863" t="s">
        <v>282</v>
      </c>
      <c r="E5863" s="1507" t="s">
        <v>175</v>
      </c>
      <c r="F5863" s="1507"/>
      <c r="G5863" s="584" t="s">
        <v>3775</v>
      </c>
      <c r="H5863" s="577">
        <v>2.0585</v>
      </c>
      <c r="K5863" t="s">
        <v>3798</v>
      </c>
      <c r="L5863" t="s">
        <v>694</v>
      </c>
      <c r="P5863" t="s">
        <v>3807</v>
      </c>
      <c r="V5863">
        <v>74</v>
      </c>
    </row>
    <row r="5864" spans="1:22" customFormat="1" ht="15" x14ac:dyDescent="0.25">
      <c r="A5864" t="s">
        <v>282</v>
      </c>
      <c r="E5864" s="1515" t="s">
        <v>967</v>
      </c>
      <c r="F5864" s="1507"/>
      <c r="G5864" s="1507"/>
      <c r="H5864" s="1507"/>
      <c r="K5864" t="s">
        <v>1035</v>
      </c>
      <c r="V5864">
        <v>48</v>
      </c>
    </row>
    <row r="5865" spans="1:22" customFormat="1" ht="15" x14ac:dyDescent="0.25">
      <c r="A5865" t="s">
        <v>282</v>
      </c>
      <c r="E5865" s="1507" t="s">
        <v>844</v>
      </c>
      <c r="F5865" s="1507"/>
      <c r="G5865" s="584" t="s">
        <v>845</v>
      </c>
      <c r="H5865" s="577">
        <v>4.1000000000000003E-3</v>
      </c>
      <c r="K5865" t="s">
        <v>3798</v>
      </c>
      <c r="L5865" t="s">
        <v>968</v>
      </c>
      <c r="P5865" t="s">
        <v>3808</v>
      </c>
      <c r="V5865">
        <v>55</v>
      </c>
    </row>
    <row r="5866" spans="1:22" customFormat="1" ht="15" x14ac:dyDescent="0.25">
      <c r="A5866" t="s">
        <v>282</v>
      </c>
      <c r="E5866" s="1507" t="s">
        <v>846</v>
      </c>
      <c r="F5866" s="1507"/>
      <c r="G5866" s="584" t="s">
        <v>845</v>
      </c>
      <c r="H5866" s="577">
        <v>4.0000000000000002E-4</v>
      </c>
      <c r="K5866" t="s">
        <v>3798</v>
      </c>
      <c r="L5866" t="s">
        <v>968</v>
      </c>
      <c r="P5866" t="s">
        <v>3808</v>
      </c>
      <c r="V5866">
        <v>65</v>
      </c>
    </row>
    <row r="5867" spans="1:22" customFormat="1" ht="15" x14ac:dyDescent="0.25">
      <c r="A5867" t="s">
        <v>282</v>
      </c>
      <c r="E5867" s="1507" t="s">
        <v>847</v>
      </c>
      <c r="F5867" s="1507"/>
      <c r="G5867" s="584" t="s">
        <v>845</v>
      </c>
      <c r="H5867" s="577">
        <v>1.5E-3</v>
      </c>
      <c r="K5867" t="s">
        <v>3798</v>
      </c>
      <c r="L5867" t="s">
        <v>968</v>
      </c>
      <c r="P5867" t="s">
        <v>3809</v>
      </c>
      <c r="V5867">
        <v>57</v>
      </c>
    </row>
    <row r="5868" spans="1:22" customFormat="1" ht="15" x14ac:dyDescent="0.25">
      <c r="A5868" t="s">
        <v>282</v>
      </c>
      <c r="E5868" s="1507" t="s">
        <v>848</v>
      </c>
      <c r="F5868" s="1507"/>
      <c r="G5868" s="584" t="s">
        <v>777</v>
      </c>
      <c r="H5868" s="576">
        <v>0.25</v>
      </c>
      <c r="K5868" t="s">
        <v>3798</v>
      </c>
      <c r="L5868" t="s">
        <v>968</v>
      </c>
      <c r="P5868" t="s">
        <v>3810</v>
      </c>
      <c r="V5868">
        <v>63</v>
      </c>
    </row>
    <row r="5869" spans="1:22" customFormat="1" x14ac:dyDescent="0.25">
      <c r="A5869" t="s">
        <v>282</v>
      </c>
      <c r="E5869" s="1492" t="s">
        <v>202</v>
      </c>
      <c r="F5869" s="1493"/>
      <c r="G5869" s="1493"/>
      <c r="H5869" s="1493"/>
      <c r="K5869" t="s">
        <v>3811</v>
      </c>
      <c r="V5869">
        <v>38</v>
      </c>
    </row>
    <row r="5870" spans="1:22" customFormat="1" ht="15" x14ac:dyDescent="0.25">
      <c r="A5870" t="s">
        <v>282</v>
      </c>
      <c r="E5870" s="1516" t="s">
        <v>5138</v>
      </c>
      <c r="F5870" s="1516"/>
      <c r="G5870" s="1516"/>
      <c r="H5870" s="1516"/>
      <c r="K5870" t="s">
        <v>3811</v>
      </c>
      <c r="V5870">
        <v>884</v>
      </c>
    </row>
    <row r="5871" spans="1:22" customFormat="1" ht="15" x14ac:dyDescent="0.25">
      <c r="A5871" t="s">
        <v>282</v>
      </c>
      <c r="E5871" s="1515" t="s">
        <v>950</v>
      </c>
      <c r="F5871" s="1516"/>
      <c r="G5871" s="1516"/>
      <c r="H5871" s="1516"/>
      <c r="K5871" t="s">
        <v>1041</v>
      </c>
      <c r="V5871">
        <v>11</v>
      </c>
    </row>
    <row r="5872" spans="1:22" customFormat="1" ht="15" x14ac:dyDescent="0.25">
      <c r="A5872" t="s">
        <v>282</v>
      </c>
      <c r="E5872" s="1516" t="s">
        <v>951</v>
      </c>
      <c r="F5872" s="1516"/>
      <c r="G5872" s="1516"/>
      <c r="H5872" s="1516"/>
      <c r="K5872" t="s">
        <v>3811</v>
      </c>
      <c r="V5872">
        <v>280</v>
      </c>
    </row>
    <row r="5873" spans="1:22" customFormat="1" ht="15" x14ac:dyDescent="0.25">
      <c r="A5873" t="s">
        <v>282</v>
      </c>
      <c r="E5873" s="1516" t="s">
        <v>952</v>
      </c>
      <c r="F5873" s="1516"/>
      <c r="G5873" s="1516"/>
      <c r="H5873" s="1516"/>
      <c r="K5873" t="s">
        <v>3811</v>
      </c>
      <c r="V5873">
        <v>411</v>
      </c>
    </row>
    <row r="5874" spans="1:22" customFormat="1" ht="15" x14ac:dyDescent="0.25">
      <c r="A5874" t="s">
        <v>282</v>
      </c>
      <c r="E5874" s="1516" t="s">
        <v>953</v>
      </c>
      <c r="F5874" s="1516"/>
      <c r="G5874" s="1516"/>
      <c r="H5874" s="1516"/>
      <c r="K5874" t="s">
        <v>3811</v>
      </c>
      <c r="V5874">
        <v>386</v>
      </c>
    </row>
    <row r="5875" spans="1:22" customFormat="1" ht="15" x14ac:dyDescent="0.25">
      <c r="A5875" t="s">
        <v>282</v>
      </c>
      <c r="E5875" s="1516" t="s">
        <v>954</v>
      </c>
      <c r="F5875" s="1516"/>
      <c r="G5875" s="1516"/>
      <c r="H5875" s="1516"/>
      <c r="K5875" t="s">
        <v>3811</v>
      </c>
      <c r="V5875">
        <v>246</v>
      </c>
    </row>
    <row r="5876" spans="1:22" customFormat="1" ht="15" x14ac:dyDescent="0.25">
      <c r="A5876" t="s">
        <v>282</v>
      </c>
      <c r="E5876" s="1515" t="s">
        <v>956</v>
      </c>
      <c r="F5876" s="1516"/>
      <c r="G5876" s="1516"/>
      <c r="H5876" s="1516"/>
      <c r="K5876" t="s">
        <v>1042</v>
      </c>
      <c r="V5876">
        <v>46</v>
      </c>
    </row>
    <row r="5877" spans="1:22" customFormat="1" ht="15" x14ac:dyDescent="0.25">
      <c r="A5877" t="s">
        <v>282</v>
      </c>
      <c r="E5877" s="1507" t="s">
        <v>3874</v>
      </c>
      <c r="F5877" s="1507"/>
      <c r="G5877" s="584" t="s">
        <v>777</v>
      </c>
      <c r="H5877" s="576">
        <v>1.31</v>
      </c>
      <c r="K5877" t="s">
        <v>3811</v>
      </c>
      <c r="L5877" t="s">
        <v>690</v>
      </c>
      <c r="P5877" t="s">
        <v>3813</v>
      </c>
      <c r="V5877">
        <v>31</v>
      </c>
    </row>
    <row r="5878" spans="1:22" customFormat="1" ht="15" x14ac:dyDescent="0.25">
      <c r="A5878" t="s">
        <v>282</v>
      </c>
      <c r="E5878" s="1507" t="s">
        <v>3688</v>
      </c>
      <c r="F5878" s="1507"/>
      <c r="G5878" s="584" t="s">
        <v>3775</v>
      </c>
      <c r="H5878" s="577">
        <v>5.1962999999999999</v>
      </c>
      <c r="K5878" t="s">
        <v>3811</v>
      </c>
      <c r="L5878" t="s">
        <v>690</v>
      </c>
      <c r="P5878" t="s">
        <v>3814</v>
      </c>
      <c r="V5878">
        <v>28</v>
      </c>
    </row>
    <row r="5879" spans="1:22" customFormat="1" ht="15" x14ac:dyDescent="0.25">
      <c r="A5879" t="s">
        <v>282</v>
      </c>
      <c r="E5879" s="1507" t="s">
        <v>910</v>
      </c>
      <c r="F5879" s="1507"/>
      <c r="G5879" s="584" t="s">
        <v>3775</v>
      </c>
      <c r="H5879" s="577">
        <v>0.4264</v>
      </c>
      <c r="K5879" t="s">
        <v>3811</v>
      </c>
      <c r="L5879" t="s">
        <v>692</v>
      </c>
      <c r="P5879" t="s">
        <v>3815</v>
      </c>
      <c r="V5879">
        <v>24</v>
      </c>
    </row>
    <row r="5880" spans="1:22" customFormat="1" ht="15" x14ac:dyDescent="0.25">
      <c r="A5880" t="s">
        <v>282</v>
      </c>
      <c r="E5880" s="1507" t="s">
        <v>6519</v>
      </c>
      <c r="F5880" s="1510"/>
      <c r="G5880" s="584" t="s">
        <v>845</v>
      </c>
      <c r="H5880" s="577">
        <v>-2.0000000000000001E-4</v>
      </c>
      <c r="K5880" t="s">
        <v>3811</v>
      </c>
      <c r="L5880" t="s">
        <v>692</v>
      </c>
      <c r="P5880" t="s">
        <v>4543</v>
      </c>
      <c r="T5880">
        <v>46022</v>
      </c>
      <c r="V5880">
        <v>142</v>
      </c>
    </row>
    <row r="5881" spans="1:22" customFormat="1" ht="15" x14ac:dyDescent="0.25">
      <c r="A5881" t="s">
        <v>282</v>
      </c>
      <c r="E5881" s="1507" t="s">
        <v>6520</v>
      </c>
      <c r="F5881" s="1510"/>
      <c r="G5881" s="584" t="s">
        <v>3775</v>
      </c>
      <c r="H5881" s="577">
        <v>0.2152</v>
      </c>
      <c r="K5881" t="s">
        <v>3811</v>
      </c>
      <c r="L5881" t="s">
        <v>692</v>
      </c>
      <c r="P5881" t="s">
        <v>3817</v>
      </c>
      <c r="T5881">
        <v>46022</v>
      </c>
      <c r="V5881">
        <v>99</v>
      </c>
    </row>
    <row r="5882" spans="1:22" customFormat="1" ht="15" x14ac:dyDescent="0.25">
      <c r="A5882" t="s">
        <v>282</v>
      </c>
      <c r="E5882" s="1507" t="s">
        <v>6521</v>
      </c>
      <c r="F5882" s="1510"/>
      <c r="G5882" s="584" t="s">
        <v>3775</v>
      </c>
      <c r="H5882" s="577">
        <v>6.8500000000000005E-2</v>
      </c>
      <c r="K5882" t="s">
        <v>3811</v>
      </c>
      <c r="L5882" t="s">
        <v>692</v>
      </c>
      <c r="P5882" t="s">
        <v>3816</v>
      </c>
      <c r="T5882">
        <v>46022</v>
      </c>
      <c r="V5882">
        <v>149</v>
      </c>
    </row>
    <row r="5883" spans="1:22" customFormat="1" ht="15" x14ac:dyDescent="0.25">
      <c r="A5883" t="s">
        <v>282</v>
      </c>
      <c r="E5883" s="1507" t="s">
        <v>243</v>
      </c>
      <c r="F5883" s="1507"/>
      <c r="G5883" s="584" t="s">
        <v>3775</v>
      </c>
      <c r="H5883" s="577">
        <v>3.3372000000000002</v>
      </c>
      <c r="K5883" t="s">
        <v>3811</v>
      </c>
      <c r="L5883" t="s">
        <v>694</v>
      </c>
      <c r="P5883" t="s">
        <v>3818</v>
      </c>
      <c r="V5883">
        <v>47</v>
      </c>
    </row>
    <row r="5884" spans="1:22" customFormat="1" ht="15" x14ac:dyDescent="0.25">
      <c r="A5884" t="s">
        <v>282</v>
      </c>
      <c r="E5884" s="1507" t="s">
        <v>175</v>
      </c>
      <c r="F5884" s="1507"/>
      <c r="G5884" s="584" t="s">
        <v>3775</v>
      </c>
      <c r="H5884" s="577">
        <v>1.8924000000000001</v>
      </c>
      <c r="K5884" t="s">
        <v>3811</v>
      </c>
      <c r="L5884" t="s">
        <v>694</v>
      </c>
      <c r="P5884" t="s">
        <v>3819</v>
      </c>
      <c r="V5884">
        <v>74</v>
      </c>
    </row>
    <row r="5885" spans="1:22" customFormat="1" ht="15" x14ac:dyDescent="0.25">
      <c r="A5885" t="s">
        <v>282</v>
      </c>
      <c r="E5885" s="1515" t="s">
        <v>967</v>
      </c>
      <c r="F5885" s="1507"/>
      <c r="G5885" s="1507"/>
      <c r="H5885" s="1507"/>
      <c r="K5885" t="s">
        <v>1049</v>
      </c>
      <c r="V5885">
        <v>48</v>
      </c>
    </row>
    <row r="5886" spans="1:22" customFormat="1" ht="15" x14ac:dyDescent="0.25">
      <c r="A5886" t="s">
        <v>282</v>
      </c>
      <c r="E5886" s="1507" t="s">
        <v>844</v>
      </c>
      <c r="F5886" s="1507"/>
      <c r="G5886" s="584" t="s">
        <v>845</v>
      </c>
      <c r="H5886" s="577">
        <v>4.1000000000000003E-3</v>
      </c>
      <c r="K5886" t="s">
        <v>3811</v>
      </c>
      <c r="L5886" t="s">
        <v>968</v>
      </c>
      <c r="P5886" t="s">
        <v>3820</v>
      </c>
      <c r="V5886">
        <v>55</v>
      </c>
    </row>
    <row r="5887" spans="1:22" customFormat="1" ht="15" x14ac:dyDescent="0.25">
      <c r="A5887" t="s">
        <v>282</v>
      </c>
      <c r="E5887" s="1507" t="s">
        <v>846</v>
      </c>
      <c r="F5887" s="1507"/>
      <c r="G5887" s="584" t="s">
        <v>845</v>
      </c>
      <c r="H5887" s="577">
        <v>4.0000000000000002E-4</v>
      </c>
      <c r="K5887" t="s">
        <v>3811</v>
      </c>
      <c r="L5887" t="s">
        <v>968</v>
      </c>
      <c r="P5887" t="s">
        <v>3820</v>
      </c>
      <c r="V5887">
        <v>65</v>
      </c>
    </row>
    <row r="5888" spans="1:22" customFormat="1" ht="15" x14ac:dyDescent="0.25">
      <c r="A5888" t="s">
        <v>282</v>
      </c>
      <c r="E5888" s="1507" t="s">
        <v>847</v>
      </c>
      <c r="F5888" s="1507"/>
      <c r="G5888" s="584" t="s">
        <v>845</v>
      </c>
      <c r="H5888" s="577">
        <v>1.5E-3</v>
      </c>
      <c r="K5888" t="s">
        <v>3811</v>
      </c>
      <c r="L5888" t="s">
        <v>968</v>
      </c>
      <c r="P5888" t="s">
        <v>3821</v>
      </c>
      <c r="V5888">
        <v>57</v>
      </c>
    </row>
    <row r="5889" spans="1:22" customFormat="1" ht="15" x14ac:dyDescent="0.25">
      <c r="A5889" t="s">
        <v>282</v>
      </c>
      <c r="E5889" s="1507" t="s">
        <v>848</v>
      </c>
      <c r="F5889" s="1507"/>
      <c r="G5889" s="584" t="s">
        <v>777</v>
      </c>
      <c r="H5889" s="576">
        <v>0.25</v>
      </c>
      <c r="K5889" t="s">
        <v>3811</v>
      </c>
      <c r="L5889" t="s">
        <v>968</v>
      </c>
      <c r="P5889" t="s">
        <v>3822</v>
      </c>
      <c r="V5889">
        <v>63</v>
      </c>
    </row>
    <row r="5890" spans="1:22" customFormat="1" x14ac:dyDescent="0.25">
      <c r="A5890" t="s">
        <v>282</v>
      </c>
      <c r="E5890" s="1492" t="s">
        <v>4007</v>
      </c>
      <c r="F5890" s="1493"/>
      <c r="G5890" s="1493"/>
      <c r="H5890" s="1493"/>
      <c r="K5890" t="s">
        <v>4544</v>
      </c>
      <c r="V5890">
        <v>43</v>
      </c>
    </row>
    <row r="5891" spans="1:22" customFormat="1" ht="15" x14ac:dyDescent="0.25">
      <c r="A5891" t="s">
        <v>282</v>
      </c>
      <c r="E5891" s="1516" t="s">
        <v>4545</v>
      </c>
      <c r="F5891" s="1516"/>
      <c r="G5891" s="1516"/>
      <c r="H5891" s="1516"/>
      <c r="K5891" t="s">
        <v>4544</v>
      </c>
      <c r="V5891">
        <v>250</v>
      </c>
    </row>
    <row r="5892" spans="1:22" customFormat="1" ht="15" x14ac:dyDescent="0.25">
      <c r="A5892" t="s">
        <v>282</v>
      </c>
      <c r="E5892" s="1515" t="s">
        <v>950</v>
      </c>
      <c r="F5892" s="1516"/>
      <c r="G5892" s="1516"/>
      <c r="H5892" s="1516"/>
      <c r="K5892" t="s">
        <v>1055</v>
      </c>
      <c r="V5892">
        <v>11</v>
      </c>
    </row>
    <row r="5893" spans="1:22" customFormat="1" ht="15" x14ac:dyDescent="0.25">
      <c r="A5893" t="s">
        <v>282</v>
      </c>
      <c r="E5893" s="1516" t="s">
        <v>951</v>
      </c>
      <c r="F5893" s="1516"/>
      <c r="G5893" s="1516"/>
      <c r="H5893" s="1516"/>
      <c r="K5893" t="s">
        <v>4544</v>
      </c>
      <c r="V5893">
        <v>280</v>
      </c>
    </row>
    <row r="5894" spans="1:22" customFormat="1" ht="15" x14ac:dyDescent="0.25">
      <c r="A5894" t="s">
        <v>282</v>
      </c>
      <c r="E5894" s="1516" t="s">
        <v>952</v>
      </c>
      <c r="F5894" s="1516"/>
      <c r="G5894" s="1516"/>
      <c r="H5894" s="1516"/>
      <c r="K5894" t="s">
        <v>4544</v>
      </c>
      <c r="V5894">
        <v>411</v>
      </c>
    </row>
    <row r="5895" spans="1:22" customFormat="1" ht="15" x14ac:dyDescent="0.25">
      <c r="A5895" t="s">
        <v>282</v>
      </c>
      <c r="E5895" s="1516" t="s">
        <v>953</v>
      </c>
      <c r="F5895" s="1516"/>
      <c r="G5895" s="1516"/>
      <c r="H5895" s="1516"/>
      <c r="K5895" t="s">
        <v>4544</v>
      </c>
      <c r="V5895">
        <v>386</v>
      </c>
    </row>
    <row r="5896" spans="1:22" customFormat="1" ht="15" x14ac:dyDescent="0.25">
      <c r="A5896" t="s">
        <v>282</v>
      </c>
      <c r="E5896" s="1516" t="s">
        <v>993</v>
      </c>
      <c r="F5896" s="1516"/>
      <c r="G5896" s="1516"/>
      <c r="H5896" s="1516"/>
      <c r="K5896" t="s">
        <v>4544</v>
      </c>
      <c r="V5896">
        <v>680</v>
      </c>
    </row>
    <row r="5897" spans="1:22" customFormat="1" ht="15" x14ac:dyDescent="0.25">
      <c r="A5897" t="s">
        <v>282</v>
      </c>
      <c r="E5897" s="1516" t="s">
        <v>3772</v>
      </c>
      <c r="F5897" s="1516"/>
      <c r="G5897" s="1516"/>
      <c r="H5897" s="1516"/>
      <c r="K5897" t="s">
        <v>4544</v>
      </c>
      <c r="V5897">
        <v>693</v>
      </c>
    </row>
    <row r="5898" spans="1:22" customFormat="1" ht="15" x14ac:dyDescent="0.25">
      <c r="A5898" t="s">
        <v>282</v>
      </c>
      <c r="E5898" s="1516" t="s">
        <v>954</v>
      </c>
      <c r="F5898" s="1516"/>
      <c r="G5898" s="1516"/>
      <c r="H5898" s="1516"/>
      <c r="K5898" t="s">
        <v>4544</v>
      </c>
      <c r="V5898">
        <v>246</v>
      </c>
    </row>
    <row r="5899" spans="1:22" customFormat="1" ht="15" x14ac:dyDescent="0.25">
      <c r="A5899" t="s">
        <v>282</v>
      </c>
      <c r="E5899" s="1515" t="s">
        <v>956</v>
      </c>
      <c r="F5899" s="1516"/>
      <c r="G5899" s="1516"/>
      <c r="H5899" s="1516"/>
      <c r="K5899" t="s">
        <v>1056</v>
      </c>
      <c r="V5899">
        <v>46</v>
      </c>
    </row>
    <row r="5900" spans="1:22" customFormat="1" ht="15" x14ac:dyDescent="0.25">
      <c r="A5900" t="s">
        <v>282</v>
      </c>
      <c r="E5900" s="1507" t="s">
        <v>3773</v>
      </c>
      <c r="F5900" s="1507"/>
      <c r="G5900" s="584" t="s">
        <v>777</v>
      </c>
      <c r="H5900" s="576">
        <v>162.94999999999999</v>
      </c>
      <c r="K5900" t="s">
        <v>4544</v>
      </c>
      <c r="L5900" t="s">
        <v>690</v>
      </c>
      <c r="P5900" t="s">
        <v>5139</v>
      </c>
      <c r="V5900">
        <v>14</v>
      </c>
    </row>
    <row r="5901" spans="1:22" customFormat="1" ht="15" x14ac:dyDescent="0.25">
      <c r="A5901" t="s">
        <v>282</v>
      </c>
      <c r="E5901" s="1507" t="s">
        <v>5140</v>
      </c>
      <c r="F5901" s="1507"/>
      <c r="G5901" s="584" t="s">
        <v>3775</v>
      </c>
      <c r="H5901" s="577">
        <v>3.1924999999999999</v>
      </c>
      <c r="K5901" t="s">
        <v>4544</v>
      </c>
      <c r="L5901" t="s">
        <v>690</v>
      </c>
      <c r="P5901" t="s">
        <v>4580</v>
      </c>
      <c r="V5901">
        <v>119</v>
      </c>
    </row>
    <row r="5902" spans="1:22" customFormat="1" ht="15" x14ac:dyDescent="0.25">
      <c r="A5902" t="s">
        <v>282</v>
      </c>
      <c r="E5902" s="1507" t="s">
        <v>5141</v>
      </c>
      <c r="F5902" s="1507"/>
      <c r="G5902" s="584" t="s">
        <v>3775</v>
      </c>
      <c r="H5902" s="577">
        <v>0.55500000000000005</v>
      </c>
      <c r="K5902" t="s">
        <v>4544</v>
      </c>
      <c r="L5902" t="s">
        <v>692</v>
      </c>
      <c r="P5902" t="s">
        <v>5142</v>
      </c>
      <c r="V5902">
        <v>114</v>
      </c>
    </row>
    <row r="5903" spans="1:22" customFormat="1" ht="15" x14ac:dyDescent="0.25">
      <c r="A5903" t="s">
        <v>282</v>
      </c>
      <c r="E5903" s="1507" t="s">
        <v>6519</v>
      </c>
      <c r="F5903" s="1510"/>
      <c r="G5903" s="584" t="s">
        <v>845</v>
      </c>
      <c r="H5903" s="577">
        <v>-2.0000000000000001E-4</v>
      </c>
      <c r="K5903" t="s">
        <v>4544</v>
      </c>
      <c r="L5903" t="s">
        <v>692</v>
      </c>
      <c r="P5903" t="s">
        <v>4581</v>
      </c>
      <c r="T5903">
        <v>46022</v>
      </c>
      <c r="V5903">
        <v>142</v>
      </c>
    </row>
    <row r="5904" spans="1:22" customFormat="1" ht="15" x14ac:dyDescent="0.25">
      <c r="A5904" t="s">
        <v>282</v>
      </c>
      <c r="E5904" s="1507" t="s">
        <v>6781</v>
      </c>
      <c r="F5904" s="1510"/>
      <c r="G5904" s="584" t="s">
        <v>3775</v>
      </c>
      <c r="H5904" s="577">
        <v>0.97389999999999999</v>
      </c>
      <c r="K5904" t="s">
        <v>4544</v>
      </c>
      <c r="L5904" t="s">
        <v>692</v>
      </c>
      <c r="P5904" t="s">
        <v>4548</v>
      </c>
      <c r="T5904">
        <v>46022</v>
      </c>
      <c r="V5904">
        <v>191</v>
      </c>
    </row>
    <row r="5905" spans="1:22" customFormat="1" ht="15" x14ac:dyDescent="0.25">
      <c r="A5905" t="s">
        <v>282</v>
      </c>
      <c r="E5905" s="1507" t="s">
        <v>6782</v>
      </c>
      <c r="F5905" s="1510"/>
      <c r="G5905" s="584" t="s">
        <v>3775</v>
      </c>
      <c r="H5905" s="577">
        <v>7.7799999999999994E-2</v>
      </c>
      <c r="K5905" t="s">
        <v>4544</v>
      </c>
      <c r="L5905" t="s">
        <v>692</v>
      </c>
      <c r="P5905" t="s">
        <v>4582</v>
      </c>
      <c r="T5905">
        <v>46022</v>
      </c>
      <c r="V5905">
        <v>242</v>
      </c>
    </row>
    <row r="5906" spans="1:22" customFormat="1" ht="15" x14ac:dyDescent="0.25">
      <c r="A5906" t="s">
        <v>282</v>
      </c>
      <c r="E5906" s="1507" t="s">
        <v>6783</v>
      </c>
      <c r="F5906" s="1507"/>
      <c r="G5906" s="584" t="s">
        <v>845</v>
      </c>
      <c r="H5906" s="577">
        <v>-1.2999999999999999E-3</v>
      </c>
      <c r="K5906" t="s">
        <v>4544</v>
      </c>
      <c r="L5906" t="s">
        <v>692</v>
      </c>
      <c r="P5906" t="s">
        <v>4548</v>
      </c>
      <c r="T5906">
        <v>46022</v>
      </c>
      <c r="V5906">
        <v>200</v>
      </c>
    </row>
    <row r="5907" spans="1:22" customFormat="1" ht="15" x14ac:dyDescent="0.25">
      <c r="A5907" t="s">
        <v>282</v>
      </c>
      <c r="E5907" s="1507" t="s">
        <v>6784</v>
      </c>
      <c r="F5907" s="1507"/>
      <c r="G5907" s="584" t="s">
        <v>845</v>
      </c>
      <c r="H5907" s="577">
        <v>2.0000000000000001E-4</v>
      </c>
      <c r="K5907" t="s">
        <v>4544</v>
      </c>
      <c r="L5907" t="s">
        <v>692</v>
      </c>
      <c r="P5907" t="s">
        <v>4582</v>
      </c>
      <c r="T5907">
        <v>46022</v>
      </c>
      <c r="V5907">
        <v>250</v>
      </c>
    </row>
    <row r="5908" spans="1:22" customFormat="1" ht="15" x14ac:dyDescent="0.25">
      <c r="A5908" t="s">
        <v>282</v>
      </c>
      <c r="E5908" s="1507" t="s">
        <v>5143</v>
      </c>
      <c r="F5908" s="1507"/>
      <c r="G5908" s="584" t="s">
        <v>3775</v>
      </c>
      <c r="H5908" s="577">
        <v>4.415</v>
      </c>
      <c r="K5908" t="s">
        <v>4544</v>
      </c>
      <c r="L5908" t="s">
        <v>694</v>
      </c>
      <c r="P5908" t="s">
        <v>4549</v>
      </c>
      <c r="V5908">
        <v>139</v>
      </c>
    </row>
    <row r="5909" spans="1:22" customFormat="1" ht="15" x14ac:dyDescent="0.25">
      <c r="A5909" t="s">
        <v>282</v>
      </c>
      <c r="E5909" s="1507" t="s">
        <v>5144</v>
      </c>
      <c r="F5909" s="1507"/>
      <c r="G5909" s="584" t="s">
        <v>3775</v>
      </c>
      <c r="H5909" s="577">
        <v>2.4632999999999998</v>
      </c>
      <c r="K5909" t="s">
        <v>4544</v>
      </c>
      <c r="L5909" t="s">
        <v>694</v>
      </c>
      <c r="P5909" t="s">
        <v>4550</v>
      </c>
      <c r="V5909">
        <v>166</v>
      </c>
    </row>
    <row r="5910" spans="1:22" customFormat="1" ht="15" x14ac:dyDescent="0.25">
      <c r="A5910" t="s">
        <v>282</v>
      </c>
      <c r="E5910" s="1515" t="s">
        <v>967</v>
      </c>
      <c r="F5910" s="1507"/>
      <c r="G5910" s="1507"/>
      <c r="H5910" s="1507"/>
      <c r="K5910" t="s">
        <v>1065</v>
      </c>
      <c r="V5910">
        <v>48</v>
      </c>
    </row>
    <row r="5911" spans="1:22" customFormat="1" ht="15" x14ac:dyDescent="0.25">
      <c r="A5911" t="s">
        <v>282</v>
      </c>
      <c r="E5911" s="1507" t="s">
        <v>844</v>
      </c>
      <c r="F5911" s="1507"/>
      <c r="G5911" s="584" t="s">
        <v>845</v>
      </c>
      <c r="H5911" s="577">
        <v>4.1000000000000003E-3</v>
      </c>
      <c r="K5911" t="s">
        <v>4544</v>
      </c>
      <c r="L5911" t="s">
        <v>968</v>
      </c>
      <c r="P5911" t="s">
        <v>4583</v>
      </c>
      <c r="V5911">
        <v>55</v>
      </c>
    </row>
    <row r="5912" spans="1:22" customFormat="1" ht="15" x14ac:dyDescent="0.25">
      <c r="A5912" t="s">
        <v>282</v>
      </c>
      <c r="E5912" s="1507" t="s">
        <v>846</v>
      </c>
      <c r="F5912" s="1507"/>
      <c r="G5912" s="584" t="s">
        <v>845</v>
      </c>
      <c r="H5912" s="577">
        <v>4.0000000000000002E-4</v>
      </c>
      <c r="K5912" t="s">
        <v>4544</v>
      </c>
      <c r="L5912" t="s">
        <v>968</v>
      </c>
      <c r="P5912" t="s">
        <v>4583</v>
      </c>
      <c r="V5912">
        <v>65</v>
      </c>
    </row>
    <row r="5913" spans="1:22" customFormat="1" ht="15" x14ac:dyDescent="0.25">
      <c r="A5913" t="s">
        <v>282</v>
      </c>
      <c r="E5913" s="1507" t="s">
        <v>847</v>
      </c>
      <c r="F5913" s="1507"/>
      <c r="G5913" s="584" t="s">
        <v>845</v>
      </c>
      <c r="H5913" s="577">
        <v>1.5E-3</v>
      </c>
      <c r="K5913" t="s">
        <v>4544</v>
      </c>
      <c r="L5913" t="s">
        <v>968</v>
      </c>
      <c r="P5913" t="s">
        <v>4584</v>
      </c>
      <c r="V5913">
        <v>57</v>
      </c>
    </row>
    <row r="5914" spans="1:22" customFormat="1" ht="15" x14ac:dyDescent="0.25">
      <c r="A5914" t="s">
        <v>282</v>
      </c>
      <c r="E5914" s="1507" t="s">
        <v>848</v>
      </c>
      <c r="F5914" s="1507"/>
      <c r="G5914" s="584" t="s">
        <v>777</v>
      </c>
      <c r="H5914" s="576">
        <v>0.25</v>
      </c>
      <c r="K5914" t="s">
        <v>4544</v>
      </c>
      <c r="L5914" t="s">
        <v>968</v>
      </c>
      <c r="P5914" t="s">
        <v>4585</v>
      </c>
      <c r="V5914">
        <v>63</v>
      </c>
    </row>
    <row r="5915" spans="1:22" customFormat="1" x14ac:dyDescent="0.25">
      <c r="A5915" t="s">
        <v>282</v>
      </c>
      <c r="E5915" s="1492" t="s">
        <v>207</v>
      </c>
      <c r="F5915" s="1493"/>
      <c r="G5915" s="1493"/>
      <c r="H5915" s="1493"/>
      <c r="K5915" t="s">
        <v>1069</v>
      </c>
      <c r="V5915">
        <v>31</v>
      </c>
    </row>
    <row r="5916" spans="1:22" customFormat="1" ht="15" x14ac:dyDescent="0.25">
      <c r="A5916" t="s">
        <v>282</v>
      </c>
      <c r="E5916" s="1516" t="s">
        <v>5145</v>
      </c>
      <c r="F5916" s="1516"/>
      <c r="G5916" s="1516"/>
      <c r="H5916" s="1516"/>
      <c r="K5916" t="s">
        <v>1069</v>
      </c>
      <c r="V5916">
        <v>285</v>
      </c>
    </row>
    <row r="5917" spans="1:22" customFormat="1" ht="15" x14ac:dyDescent="0.25">
      <c r="A5917" t="s">
        <v>282</v>
      </c>
      <c r="E5917" s="1515" t="s">
        <v>950</v>
      </c>
      <c r="F5917" s="1516"/>
      <c r="G5917" s="1516"/>
      <c r="H5917" s="1516"/>
      <c r="K5917" t="s">
        <v>1071</v>
      </c>
      <c r="V5917">
        <v>11</v>
      </c>
    </row>
    <row r="5918" spans="1:22" customFormat="1" ht="15" x14ac:dyDescent="0.25">
      <c r="A5918" t="s">
        <v>282</v>
      </c>
      <c r="E5918" s="1516" t="s">
        <v>951</v>
      </c>
      <c r="F5918" s="1516"/>
      <c r="G5918" s="1516"/>
      <c r="H5918" s="1516"/>
      <c r="K5918" t="s">
        <v>1069</v>
      </c>
      <c r="V5918">
        <v>280</v>
      </c>
    </row>
    <row r="5919" spans="1:22" customFormat="1" ht="15" x14ac:dyDescent="0.25">
      <c r="A5919" t="s">
        <v>282</v>
      </c>
      <c r="E5919" s="1516" t="s">
        <v>952</v>
      </c>
      <c r="F5919" s="1516"/>
      <c r="G5919" s="1516"/>
      <c r="H5919" s="1516"/>
      <c r="K5919" t="s">
        <v>1069</v>
      </c>
      <c r="V5919">
        <v>411</v>
      </c>
    </row>
    <row r="5920" spans="1:22" customFormat="1" ht="15" x14ac:dyDescent="0.25">
      <c r="A5920" t="s">
        <v>282</v>
      </c>
      <c r="E5920" s="1516" t="s">
        <v>1103</v>
      </c>
      <c r="F5920" s="1516"/>
      <c r="G5920" s="1516"/>
      <c r="H5920" s="1516"/>
      <c r="K5920" t="s">
        <v>1069</v>
      </c>
      <c r="V5920">
        <v>211</v>
      </c>
    </row>
    <row r="5921" spans="1:22" customFormat="1" ht="15" x14ac:dyDescent="0.25">
      <c r="A5921" t="s">
        <v>282</v>
      </c>
      <c r="E5921" s="1516" t="s">
        <v>954</v>
      </c>
      <c r="F5921" s="1516"/>
      <c r="G5921" s="1516"/>
      <c r="H5921" s="1516"/>
      <c r="K5921" t="s">
        <v>1069</v>
      </c>
      <c r="V5921">
        <v>246</v>
      </c>
    </row>
    <row r="5922" spans="1:22" customFormat="1" ht="15" x14ac:dyDescent="0.25">
      <c r="A5922" t="s">
        <v>282</v>
      </c>
      <c r="E5922" s="1515" t="s">
        <v>956</v>
      </c>
      <c r="F5922" s="1516"/>
      <c r="G5922" s="1516"/>
      <c r="H5922" s="1516"/>
      <c r="K5922" t="s">
        <v>1075</v>
      </c>
      <c r="V5922">
        <v>46</v>
      </c>
    </row>
    <row r="5923" spans="1:22" customFormat="1" ht="15" x14ac:dyDescent="0.25">
      <c r="A5923" t="s">
        <v>282</v>
      </c>
      <c r="E5923" s="1507" t="s">
        <v>3773</v>
      </c>
      <c r="F5923" s="1507"/>
      <c r="G5923" s="584" t="s">
        <v>777</v>
      </c>
      <c r="H5923" s="576">
        <v>5</v>
      </c>
      <c r="K5923" t="s">
        <v>1069</v>
      </c>
      <c r="L5923" t="s">
        <v>690</v>
      </c>
      <c r="P5923" t="s">
        <v>1076</v>
      </c>
      <c r="V5923">
        <v>14</v>
      </c>
    </row>
    <row r="5924" spans="1:22" customFormat="1" ht="18.75" x14ac:dyDescent="0.25">
      <c r="A5924" t="s">
        <v>282</v>
      </c>
      <c r="E5924" s="1492" t="s">
        <v>3825</v>
      </c>
      <c r="F5924" s="1528"/>
      <c r="G5924" s="1528"/>
      <c r="H5924" s="1528"/>
      <c r="K5924" t="s">
        <v>5146</v>
      </c>
      <c r="V5924">
        <v>10</v>
      </c>
    </row>
    <row r="5925" spans="1:22" customFormat="1" ht="15" x14ac:dyDescent="0.25">
      <c r="A5925" t="s">
        <v>282</v>
      </c>
      <c r="E5925" s="1507" t="s">
        <v>1078</v>
      </c>
      <c r="F5925" s="1507"/>
      <c r="G5925" s="584" t="s">
        <v>3775</v>
      </c>
      <c r="H5925" s="577">
        <v>-0.6</v>
      </c>
      <c r="V5925">
        <v>68</v>
      </c>
    </row>
    <row r="5926" spans="1:22" customFormat="1" ht="15" x14ac:dyDescent="0.25">
      <c r="A5926" t="s">
        <v>282</v>
      </c>
      <c r="E5926" s="1507" t="s">
        <v>1079</v>
      </c>
      <c r="F5926" s="1507"/>
      <c r="G5926" s="584" t="s">
        <v>1118</v>
      </c>
      <c r="H5926" s="576">
        <v>-1</v>
      </c>
      <c r="V5926">
        <v>87</v>
      </c>
    </row>
    <row r="5927" spans="1:22" customFormat="1" ht="18.75" x14ac:dyDescent="0.25">
      <c r="A5927" t="s">
        <v>282</v>
      </c>
      <c r="E5927" s="1492" t="s">
        <v>3828</v>
      </c>
      <c r="F5927" s="1528"/>
      <c r="G5927" s="1528"/>
      <c r="H5927" s="1528"/>
      <c r="K5927" t="s">
        <v>5147</v>
      </c>
      <c r="V5927">
        <v>24</v>
      </c>
    </row>
    <row r="5928" spans="1:22" customFormat="1" ht="15" x14ac:dyDescent="0.25">
      <c r="A5928" t="s">
        <v>282</v>
      </c>
      <c r="E5928" s="1515" t="s">
        <v>950</v>
      </c>
      <c r="F5928" s="1556"/>
      <c r="G5928" s="1556"/>
      <c r="H5928" s="1556"/>
      <c r="V5928">
        <v>11</v>
      </c>
    </row>
    <row r="5929" spans="1:22" customFormat="1" ht="15" x14ac:dyDescent="0.25">
      <c r="A5929" t="s">
        <v>282</v>
      </c>
      <c r="E5929" s="1516" t="s">
        <v>951</v>
      </c>
      <c r="F5929" s="1516"/>
      <c r="G5929" s="1516"/>
      <c r="H5929" s="1516"/>
      <c r="V5929">
        <v>280</v>
      </c>
    </row>
    <row r="5930" spans="1:22" customFormat="1" ht="15" x14ac:dyDescent="0.25">
      <c r="A5930" t="s">
        <v>282</v>
      </c>
      <c r="E5930" s="1516" t="s">
        <v>1081</v>
      </c>
      <c r="F5930" s="1516"/>
      <c r="G5930" s="1516"/>
      <c r="H5930" s="1516"/>
      <c r="V5930">
        <v>353</v>
      </c>
    </row>
    <row r="5931" spans="1:22" customFormat="1" ht="15" x14ac:dyDescent="0.25">
      <c r="A5931" t="s">
        <v>282</v>
      </c>
      <c r="E5931" s="1516" t="s">
        <v>954</v>
      </c>
      <c r="F5931" s="1516"/>
      <c r="G5931" s="1516"/>
      <c r="H5931" s="1516"/>
      <c r="V5931">
        <v>246</v>
      </c>
    </row>
    <row r="5932" spans="1:22" customFormat="1" ht="15" x14ac:dyDescent="0.25">
      <c r="A5932" t="s">
        <v>282</v>
      </c>
      <c r="E5932" s="1515" t="s">
        <v>3830</v>
      </c>
      <c r="F5932" s="1510"/>
      <c r="G5932" s="1510"/>
      <c r="H5932" s="1510"/>
      <c r="K5932" t="s">
        <v>5148</v>
      </c>
      <c r="V5932">
        <v>23</v>
      </c>
    </row>
    <row r="5933" spans="1:22" customFormat="1" ht="15" x14ac:dyDescent="0.25">
      <c r="A5933" t="s">
        <v>282</v>
      </c>
      <c r="E5933" s="1517" t="s">
        <v>5149</v>
      </c>
      <c r="F5933" s="1517"/>
      <c r="G5933" s="584" t="s">
        <v>777</v>
      </c>
      <c r="H5933" s="576">
        <v>20</v>
      </c>
      <c r="V5933">
        <v>42</v>
      </c>
    </row>
    <row r="5934" spans="1:22" customFormat="1" ht="15" x14ac:dyDescent="0.25">
      <c r="A5934" t="s">
        <v>282</v>
      </c>
      <c r="E5934" s="1517" t="s">
        <v>5150</v>
      </c>
      <c r="F5934" s="1517"/>
      <c r="G5934" s="584" t="s">
        <v>777</v>
      </c>
      <c r="H5934" s="576">
        <v>15</v>
      </c>
      <c r="V5934">
        <v>26</v>
      </c>
    </row>
    <row r="5935" spans="1:22" customFormat="1" ht="15" x14ac:dyDescent="0.25">
      <c r="A5935" t="s">
        <v>282</v>
      </c>
      <c r="E5935" s="1517" t="s">
        <v>5151</v>
      </c>
      <c r="F5935" s="1517"/>
      <c r="G5935" s="584" t="s">
        <v>777</v>
      </c>
      <c r="H5935" s="576">
        <v>30</v>
      </c>
      <c r="V5935">
        <v>96</v>
      </c>
    </row>
    <row r="5936" spans="1:22" customFormat="1" ht="15" x14ac:dyDescent="0.25">
      <c r="A5936" t="s">
        <v>282</v>
      </c>
      <c r="E5936" s="1517" t="s">
        <v>5152</v>
      </c>
      <c r="F5936" s="1517"/>
      <c r="G5936" s="584" t="s">
        <v>777</v>
      </c>
      <c r="H5936" s="576">
        <v>30</v>
      </c>
      <c r="V5936">
        <v>81</v>
      </c>
    </row>
    <row r="5937" spans="1:22" customFormat="1" ht="15" x14ac:dyDescent="0.25">
      <c r="A5937" t="s">
        <v>282</v>
      </c>
      <c r="E5937" s="1515" t="s">
        <v>4062</v>
      </c>
      <c r="F5937" s="1510"/>
      <c r="G5937" s="1510"/>
      <c r="H5937" s="1510"/>
      <c r="K5937" t="s">
        <v>5153</v>
      </c>
      <c r="V5937">
        <v>22</v>
      </c>
    </row>
    <row r="5938" spans="1:22" customFormat="1" ht="15" x14ac:dyDescent="0.25">
      <c r="A5938" t="s">
        <v>282</v>
      </c>
      <c r="E5938" s="1517" t="s">
        <v>5154</v>
      </c>
      <c r="F5938" s="1517"/>
      <c r="G5938" s="584" t="s">
        <v>1118</v>
      </c>
      <c r="H5938" s="576">
        <v>1.5</v>
      </c>
      <c r="V5938">
        <v>115</v>
      </c>
    </row>
    <row r="5939" spans="1:22" customFormat="1" ht="15" x14ac:dyDescent="0.25">
      <c r="A5939" t="s">
        <v>282</v>
      </c>
      <c r="E5939" s="1517" t="s">
        <v>5155</v>
      </c>
      <c r="F5939" s="1517"/>
      <c r="G5939" s="584" t="s">
        <v>777</v>
      </c>
      <c r="H5939" s="576">
        <v>65</v>
      </c>
      <c r="V5939">
        <v>52</v>
      </c>
    </row>
    <row r="5940" spans="1:22" customFormat="1" ht="15" x14ac:dyDescent="0.25">
      <c r="A5940" t="s">
        <v>282</v>
      </c>
      <c r="E5940" s="1517" t="s">
        <v>5156</v>
      </c>
      <c r="F5940" s="1517"/>
      <c r="G5940" s="584" t="s">
        <v>777</v>
      </c>
      <c r="H5940" s="576">
        <v>185</v>
      </c>
      <c r="V5940">
        <v>51</v>
      </c>
    </row>
    <row r="5941" spans="1:22" customFormat="1" ht="15" x14ac:dyDescent="0.25">
      <c r="A5941" t="s">
        <v>282</v>
      </c>
      <c r="E5941" s="1517" t="s">
        <v>5157</v>
      </c>
      <c r="F5941" s="1517"/>
      <c r="G5941" s="584" t="s">
        <v>777</v>
      </c>
      <c r="H5941" s="576">
        <v>185</v>
      </c>
      <c r="V5941">
        <v>51</v>
      </c>
    </row>
    <row r="5942" spans="1:22" customFormat="1" ht="15" x14ac:dyDescent="0.25">
      <c r="A5942" t="s">
        <v>282</v>
      </c>
      <c r="E5942" s="1517" t="s">
        <v>5158</v>
      </c>
      <c r="F5942" s="1517"/>
      <c r="G5942" s="584" t="s">
        <v>777</v>
      </c>
      <c r="H5942" s="576">
        <v>415</v>
      </c>
      <c r="V5942">
        <v>50</v>
      </c>
    </row>
    <row r="5943" spans="1:22" customFormat="1" ht="15" x14ac:dyDescent="0.25">
      <c r="A5943" t="s">
        <v>282</v>
      </c>
      <c r="E5943" s="1515" t="s">
        <v>3846</v>
      </c>
      <c r="F5943" s="1510"/>
      <c r="G5943" s="1510"/>
      <c r="H5943" s="1510"/>
      <c r="V5943">
        <v>5</v>
      </c>
    </row>
    <row r="5944" spans="1:22" customFormat="1" ht="15" x14ac:dyDescent="0.25">
      <c r="A5944" t="s">
        <v>282</v>
      </c>
      <c r="E5944" s="1517" t="s">
        <v>5159</v>
      </c>
      <c r="F5944" s="1517"/>
      <c r="G5944" s="584" t="s">
        <v>777</v>
      </c>
      <c r="H5944" s="576">
        <v>30</v>
      </c>
      <c r="V5944">
        <v>47</v>
      </c>
    </row>
    <row r="5945" spans="1:22" customFormat="1" ht="15" x14ac:dyDescent="0.25">
      <c r="A5945" t="s">
        <v>282</v>
      </c>
      <c r="E5945" s="1517" t="s">
        <v>5160</v>
      </c>
      <c r="F5945" s="1517"/>
      <c r="G5945" s="584" t="s">
        <v>777</v>
      </c>
      <c r="H5945" s="576">
        <v>165</v>
      </c>
      <c r="V5945">
        <v>42</v>
      </c>
    </row>
    <row r="5946" spans="1:22" customFormat="1" ht="15" x14ac:dyDescent="0.25">
      <c r="A5946" t="s">
        <v>282</v>
      </c>
      <c r="E5946" s="1517" t="s">
        <v>5161</v>
      </c>
      <c r="F5946" s="1517"/>
      <c r="G5946" s="584" t="s">
        <v>777</v>
      </c>
      <c r="H5946" s="576">
        <v>500</v>
      </c>
      <c r="V5946">
        <v>70</v>
      </c>
    </row>
    <row r="5947" spans="1:22" customFormat="1" ht="15" x14ac:dyDescent="0.25">
      <c r="A5947" t="s">
        <v>282</v>
      </c>
      <c r="E5947" s="1517" t="s">
        <v>5162</v>
      </c>
      <c r="F5947" s="1517"/>
      <c r="G5947" s="584" t="s">
        <v>777</v>
      </c>
      <c r="H5947" s="576">
        <v>300</v>
      </c>
      <c r="V5947">
        <v>73</v>
      </c>
    </row>
    <row r="5948" spans="1:22" customFormat="1" ht="15" x14ac:dyDescent="0.25">
      <c r="A5948" t="s">
        <v>282</v>
      </c>
      <c r="E5948" s="1517" t="s">
        <v>5163</v>
      </c>
      <c r="F5948" s="1517"/>
      <c r="G5948" s="584" t="s">
        <v>777</v>
      </c>
      <c r="H5948" s="576">
        <v>1000</v>
      </c>
      <c r="V5948">
        <v>72</v>
      </c>
    </row>
    <row r="5949" spans="1:22" customFormat="1" ht="15" x14ac:dyDescent="0.25">
      <c r="A5949" t="s">
        <v>282</v>
      </c>
      <c r="E5949" s="1517" t="s">
        <v>5164</v>
      </c>
      <c r="F5949" s="1517"/>
      <c r="G5949" s="584" t="s">
        <v>777</v>
      </c>
      <c r="H5949" s="576">
        <v>39.14</v>
      </c>
      <c r="V5949">
        <v>53</v>
      </c>
    </row>
    <row r="5950" spans="1:22" customFormat="1" ht="15" x14ac:dyDescent="0.25">
      <c r="A5950" t="s">
        <v>282</v>
      </c>
      <c r="E5950" s="1517" t="s">
        <v>5165</v>
      </c>
      <c r="F5950" s="1517"/>
      <c r="G5950" s="584"/>
      <c r="H5950" s="650"/>
      <c r="V5950">
        <v>52</v>
      </c>
    </row>
    <row r="5951" spans="1:22" customFormat="1" ht="18.75" x14ac:dyDescent="0.25">
      <c r="A5951" t="s">
        <v>282</v>
      </c>
      <c r="E5951" s="1492" t="s">
        <v>3851</v>
      </c>
      <c r="F5951" s="1528"/>
      <c r="G5951" s="1528"/>
      <c r="H5951" s="1528"/>
      <c r="K5951" t="s">
        <v>5166</v>
      </c>
      <c r="V5951">
        <v>38</v>
      </c>
    </row>
    <row r="5952" spans="1:22" customFormat="1" ht="15" x14ac:dyDescent="0.25">
      <c r="A5952" t="s">
        <v>282</v>
      </c>
      <c r="E5952" s="1515" t="s">
        <v>950</v>
      </c>
      <c r="F5952" s="1556"/>
      <c r="G5952" s="1556"/>
      <c r="H5952" s="1556"/>
      <c r="K5952" t="s">
        <v>1071</v>
      </c>
      <c r="V5952">
        <v>11</v>
      </c>
    </row>
    <row r="5953" spans="1:22" customFormat="1" ht="15" x14ac:dyDescent="0.25">
      <c r="A5953" t="s">
        <v>282</v>
      </c>
      <c r="E5953" s="1516" t="s">
        <v>951</v>
      </c>
      <c r="F5953" s="1516"/>
      <c r="G5953" s="1516"/>
      <c r="H5953" s="1516"/>
      <c r="V5953">
        <v>280</v>
      </c>
    </row>
    <row r="5954" spans="1:22" customFormat="1" ht="15" x14ac:dyDescent="0.25">
      <c r="A5954" t="s">
        <v>282</v>
      </c>
      <c r="E5954" s="1516" t="s">
        <v>952</v>
      </c>
      <c r="F5954" s="1516"/>
      <c r="G5954" s="1516"/>
      <c r="H5954" s="1516"/>
      <c r="V5954">
        <v>411</v>
      </c>
    </row>
    <row r="5955" spans="1:22" customFormat="1" ht="15" x14ac:dyDescent="0.25">
      <c r="A5955" t="s">
        <v>282</v>
      </c>
      <c r="E5955" s="1516" t="s">
        <v>1103</v>
      </c>
      <c r="F5955" s="1516"/>
      <c r="G5955" s="1516"/>
      <c r="H5955" s="1516"/>
      <c r="V5955">
        <v>211</v>
      </c>
    </row>
    <row r="5956" spans="1:22" customFormat="1" ht="15" x14ac:dyDescent="0.25">
      <c r="A5956" t="s">
        <v>282</v>
      </c>
      <c r="E5956" s="1516" t="s">
        <v>954</v>
      </c>
      <c r="F5956" s="1516"/>
      <c r="G5956" s="1516"/>
      <c r="H5956" s="1516"/>
      <c r="V5956">
        <v>246</v>
      </c>
    </row>
    <row r="5957" spans="1:22" customFormat="1" ht="15" x14ac:dyDescent="0.25">
      <c r="A5957" t="s">
        <v>282</v>
      </c>
      <c r="E5957" s="1507" t="s">
        <v>4598</v>
      </c>
      <c r="F5957" s="1507"/>
      <c r="G5957" s="1573"/>
      <c r="H5957" s="1573"/>
      <c r="V5957">
        <v>141</v>
      </c>
    </row>
    <row r="5958" spans="1:22" customFormat="1" ht="15" x14ac:dyDescent="0.25">
      <c r="A5958" t="s">
        <v>282</v>
      </c>
      <c r="E5958" s="1507" t="s">
        <v>849</v>
      </c>
      <c r="F5958" s="1507"/>
      <c r="G5958" s="585" t="s">
        <v>777</v>
      </c>
      <c r="H5958" s="349">
        <v>121.23</v>
      </c>
      <c r="V5958">
        <v>106</v>
      </c>
    </row>
    <row r="5959" spans="1:22" customFormat="1" ht="15" x14ac:dyDescent="0.25">
      <c r="A5959" t="s">
        <v>282</v>
      </c>
      <c r="E5959" s="1507" t="s">
        <v>850</v>
      </c>
      <c r="F5959" s="1507"/>
      <c r="G5959" s="585" t="s">
        <v>777</v>
      </c>
      <c r="H5959" s="349">
        <v>48.5</v>
      </c>
      <c r="V5959">
        <v>34</v>
      </c>
    </row>
    <row r="5960" spans="1:22" customFormat="1" ht="15" x14ac:dyDescent="0.25">
      <c r="A5960" t="s">
        <v>282</v>
      </c>
      <c r="E5960" s="1507" t="s">
        <v>851</v>
      </c>
      <c r="F5960" s="1507"/>
      <c r="G5960" s="585" t="s">
        <v>777</v>
      </c>
      <c r="H5960" s="349">
        <v>1.2</v>
      </c>
      <c r="V5960">
        <v>51</v>
      </c>
    </row>
    <row r="5961" spans="1:22" customFormat="1" ht="15" x14ac:dyDescent="0.25">
      <c r="A5961" t="s">
        <v>282</v>
      </c>
      <c r="E5961" s="1507" t="s">
        <v>853</v>
      </c>
      <c r="F5961" s="1507"/>
      <c r="G5961" s="585" t="s">
        <v>777</v>
      </c>
      <c r="H5961" s="349">
        <v>0.71</v>
      </c>
      <c r="V5961">
        <v>75</v>
      </c>
    </row>
    <row r="5962" spans="1:22" customFormat="1" ht="15" x14ac:dyDescent="0.25">
      <c r="A5962" t="s">
        <v>282</v>
      </c>
      <c r="E5962" s="1507" t="s">
        <v>854</v>
      </c>
      <c r="F5962" s="1507"/>
      <c r="G5962" s="585" t="s">
        <v>777</v>
      </c>
      <c r="H5962" s="349">
        <v>-0.71</v>
      </c>
      <c r="V5962">
        <v>72</v>
      </c>
    </row>
    <row r="5963" spans="1:22" customFormat="1" ht="15" x14ac:dyDescent="0.25">
      <c r="A5963" t="s">
        <v>282</v>
      </c>
      <c r="E5963" s="1507" t="s">
        <v>855</v>
      </c>
      <c r="F5963" s="1507"/>
      <c r="G5963" s="585"/>
      <c r="H5963" s="651"/>
      <c r="V5963">
        <v>34</v>
      </c>
    </row>
    <row r="5964" spans="1:22" customFormat="1" ht="15" x14ac:dyDescent="0.25">
      <c r="A5964" t="s">
        <v>282</v>
      </c>
      <c r="E5964" s="1511" t="s">
        <v>1106</v>
      </c>
      <c r="F5964" s="1511"/>
      <c r="G5964" s="585" t="s">
        <v>777</v>
      </c>
      <c r="H5964" s="349">
        <v>0.61</v>
      </c>
      <c r="V5964">
        <v>57</v>
      </c>
    </row>
    <row r="5965" spans="1:22" customFormat="1" ht="15" x14ac:dyDescent="0.25">
      <c r="A5965" t="s">
        <v>282</v>
      </c>
      <c r="E5965" s="1511" t="s">
        <v>1107</v>
      </c>
      <c r="F5965" s="1511"/>
      <c r="G5965" s="585" t="s">
        <v>777</v>
      </c>
      <c r="H5965" s="349">
        <v>1.2</v>
      </c>
      <c r="V5965">
        <v>60</v>
      </c>
    </row>
    <row r="5966" spans="1:22" customFormat="1" ht="15" x14ac:dyDescent="0.25">
      <c r="A5966" t="s">
        <v>282</v>
      </c>
      <c r="E5966" s="1507" t="s">
        <v>1108</v>
      </c>
      <c r="F5966" s="1507"/>
      <c r="G5966" s="585"/>
      <c r="H5966" s="651"/>
      <c r="V5966">
        <v>91</v>
      </c>
    </row>
    <row r="5967" spans="1:22" customFormat="1" ht="15" x14ac:dyDescent="0.25">
      <c r="A5967" t="s">
        <v>282</v>
      </c>
      <c r="E5967" s="1507" t="s">
        <v>1109</v>
      </c>
      <c r="F5967" s="1507"/>
      <c r="G5967" s="585"/>
      <c r="H5967" s="651"/>
      <c r="V5967">
        <v>96</v>
      </c>
    </row>
    <row r="5968" spans="1:22" customFormat="1" ht="15" x14ac:dyDescent="0.25">
      <c r="A5968" t="s">
        <v>282</v>
      </c>
      <c r="E5968" s="1507" t="s">
        <v>856</v>
      </c>
      <c r="F5968" s="1507"/>
      <c r="G5968" s="585"/>
      <c r="H5968" s="651"/>
      <c r="V5968">
        <v>77</v>
      </c>
    </row>
    <row r="5969" spans="1:22" customFormat="1" ht="15" x14ac:dyDescent="0.25">
      <c r="A5969" t="s">
        <v>282</v>
      </c>
      <c r="E5969" s="1511" t="s">
        <v>1111</v>
      </c>
      <c r="F5969" s="1511"/>
      <c r="G5969" s="585" t="s">
        <v>777</v>
      </c>
      <c r="H5969" s="651" t="s">
        <v>857</v>
      </c>
      <c r="V5969">
        <v>18</v>
      </c>
    </row>
    <row r="5970" spans="1:22" customFormat="1" ht="15" x14ac:dyDescent="0.25">
      <c r="A5970" t="s">
        <v>282</v>
      </c>
      <c r="E5970" s="1511" t="s">
        <v>1112</v>
      </c>
      <c r="F5970" s="1511"/>
      <c r="G5970" s="585" t="s">
        <v>777</v>
      </c>
      <c r="H5970" s="349">
        <v>4.8499999999999996</v>
      </c>
      <c r="V5970">
        <v>69</v>
      </c>
    </row>
    <row r="5971" spans="1:22" customFormat="1" ht="15" x14ac:dyDescent="0.25">
      <c r="A5971" t="s">
        <v>282</v>
      </c>
      <c r="E5971" s="1507" t="s">
        <v>858</v>
      </c>
      <c r="F5971" s="1507"/>
      <c r="G5971" s="268" t="s">
        <v>777</v>
      </c>
      <c r="H5971" s="576">
        <v>2.42</v>
      </c>
      <c r="V5971">
        <v>199</v>
      </c>
    </row>
    <row r="5972" spans="1:22" customFormat="1" ht="18.75" x14ac:dyDescent="0.25">
      <c r="A5972" t="s">
        <v>282</v>
      </c>
      <c r="E5972" s="1492" t="s">
        <v>3853</v>
      </c>
      <c r="F5972" s="1528"/>
      <c r="G5972" s="1528"/>
      <c r="H5972" s="1528"/>
      <c r="K5972" t="s">
        <v>5168</v>
      </c>
      <c r="V5972">
        <v>12</v>
      </c>
    </row>
    <row r="5973" spans="1:22" customFormat="1" ht="15" x14ac:dyDescent="0.25">
      <c r="A5973" t="s">
        <v>282</v>
      </c>
      <c r="E5973" s="1507" t="s">
        <v>1114</v>
      </c>
      <c r="F5973" s="1507"/>
      <c r="G5973" s="1507"/>
      <c r="H5973" s="1507"/>
      <c r="V5973">
        <v>203</v>
      </c>
    </row>
    <row r="5974" spans="1:22" customFormat="1" ht="15" x14ac:dyDescent="0.25">
      <c r="A5974" t="s">
        <v>282</v>
      </c>
      <c r="E5974" s="1507" t="s">
        <v>1115</v>
      </c>
      <c r="F5974" s="1507"/>
      <c r="G5974" s="584"/>
      <c r="H5974" s="650">
        <v>1.0423</v>
      </c>
      <c r="V5974">
        <v>57</v>
      </c>
    </row>
    <row r="5975" spans="1:22" customFormat="1" ht="15" x14ac:dyDescent="0.25">
      <c r="A5975" t="s">
        <v>282</v>
      </c>
      <c r="E5975" s="1507" t="s">
        <v>1117</v>
      </c>
      <c r="F5975" s="1507"/>
      <c r="G5975" s="584"/>
      <c r="H5975" s="650">
        <v>1.0318000000000001</v>
      </c>
      <c r="J5975" t="s">
        <v>5169</v>
      </c>
      <c r="V5975">
        <v>55</v>
      </c>
    </row>
    <row r="5976" spans="1:22" customFormat="1" ht="23.25" x14ac:dyDescent="0.25">
      <c r="A5976" t="s">
        <v>295</v>
      </c>
      <c r="C5976" t="s">
        <v>3755</v>
      </c>
      <c r="E5976" s="1529" t="s">
        <v>295</v>
      </c>
      <c r="F5976" s="1529"/>
      <c r="G5976" s="1529"/>
      <c r="H5976" s="1529"/>
      <c r="I5976" t="s">
        <v>94</v>
      </c>
      <c r="J5976" t="s">
        <v>5101</v>
      </c>
      <c r="K5976" t="s">
        <v>295</v>
      </c>
      <c r="M5976">
        <v>9</v>
      </c>
      <c r="V5976">
        <v>24</v>
      </c>
    </row>
    <row r="5977" spans="1:22" customFormat="1" x14ac:dyDescent="0.25">
      <c r="A5977" t="s">
        <v>295</v>
      </c>
      <c r="C5977" t="s">
        <v>3757</v>
      </c>
      <c r="E5977" s="1640" t="s">
        <v>944</v>
      </c>
      <c r="F5977" s="1640"/>
      <c r="G5977" s="1640"/>
      <c r="H5977" s="1640"/>
      <c r="V5977">
        <v>27</v>
      </c>
    </row>
    <row r="5978" spans="1:22" customFormat="1" ht="15.75" x14ac:dyDescent="0.25">
      <c r="A5978" t="s">
        <v>295</v>
      </c>
      <c r="C5978" t="s">
        <v>3758</v>
      </c>
      <c r="E5978" s="1641" t="s">
        <v>6511</v>
      </c>
      <c r="F5978" s="1641"/>
      <c r="G5978" s="1641"/>
      <c r="H5978" s="1641"/>
      <c r="S5978">
        <v>45658</v>
      </c>
      <c r="V5978">
        <v>49</v>
      </c>
    </row>
    <row r="5979" spans="1:22" customFormat="1" ht="15" x14ac:dyDescent="0.25">
      <c r="A5979" t="s">
        <v>295</v>
      </c>
      <c r="C5979" t="s">
        <v>3759</v>
      </c>
      <c r="E5979" s="1639" t="s">
        <v>945</v>
      </c>
      <c r="F5979" s="1639"/>
      <c r="G5979" s="1639"/>
      <c r="H5979" s="1639"/>
      <c r="V5979">
        <v>52</v>
      </c>
    </row>
    <row r="5980" spans="1:22" customFormat="1" ht="15" x14ac:dyDescent="0.25">
      <c r="A5980" t="s">
        <v>295</v>
      </c>
      <c r="E5980" s="1639" t="s">
        <v>946</v>
      </c>
      <c r="F5980" s="1639"/>
      <c r="G5980" s="1639"/>
      <c r="H5980" s="1639"/>
      <c r="V5980">
        <v>53</v>
      </c>
    </row>
    <row r="5981" spans="1:22" customFormat="1" ht="15" x14ac:dyDescent="0.25">
      <c r="A5981" t="s">
        <v>295</v>
      </c>
      <c r="E5981" s="1748" t="s">
        <v>6785</v>
      </c>
      <c r="F5981" s="1748"/>
      <c r="G5981" s="1748"/>
      <c r="H5981" s="1748"/>
      <c r="K5981" t="s">
        <v>6785</v>
      </c>
      <c r="V5981">
        <v>12</v>
      </c>
    </row>
    <row r="5982" spans="1:22" customFormat="1" ht="15" x14ac:dyDescent="0.25">
      <c r="A5982" t="s">
        <v>295</v>
      </c>
      <c r="E5982" s="1642" t="s">
        <v>170</v>
      </c>
      <c r="F5982" s="1582"/>
      <c r="G5982" s="1582"/>
      <c r="H5982" s="1582"/>
      <c r="K5982" t="s">
        <v>947</v>
      </c>
      <c r="V5982">
        <v>34</v>
      </c>
    </row>
    <row r="5983" spans="1:22" customFormat="1" ht="15" x14ac:dyDescent="0.25">
      <c r="A5983" t="s">
        <v>295</v>
      </c>
      <c r="E5983" s="1518" t="s">
        <v>5102</v>
      </c>
      <c r="F5983" s="1518"/>
      <c r="G5983" s="1518"/>
      <c r="H5983" s="1518"/>
      <c r="K5983" t="s">
        <v>947</v>
      </c>
      <c r="V5983">
        <v>291</v>
      </c>
    </row>
    <row r="5984" spans="1:22" customFormat="1" ht="15" x14ac:dyDescent="0.25">
      <c r="A5984" t="s">
        <v>295</v>
      </c>
      <c r="E5984" s="1520" t="s">
        <v>950</v>
      </c>
      <c r="F5984" s="1530"/>
      <c r="G5984" s="1530"/>
      <c r="H5984" s="1530"/>
      <c r="K5984" t="s">
        <v>949</v>
      </c>
      <c r="V5984">
        <v>11</v>
      </c>
    </row>
    <row r="5985" spans="1:22" customFormat="1" ht="15" x14ac:dyDescent="0.25">
      <c r="A5985" t="s">
        <v>295</v>
      </c>
      <c r="E5985" s="1518" t="s">
        <v>951</v>
      </c>
      <c r="F5985" s="1518"/>
      <c r="G5985" s="1518"/>
      <c r="H5985" s="1518"/>
      <c r="K5985" t="s">
        <v>947</v>
      </c>
      <c r="V5985">
        <v>280</v>
      </c>
    </row>
    <row r="5986" spans="1:22" customFormat="1" ht="15" x14ac:dyDescent="0.25">
      <c r="A5986" t="s">
        <v>295</v>
      </c>
      <c r="E5986" s="1518" t="s">
        <v>952</v>
      </c>
      <c r="F5986" s="1518"/>
      <c r="G5986" s="1518"/>
      <c r="H5986" s="1518"/>
      <c r="K5986" t="s">
        <v>947</v>
      </c>
      <c r="V5986">
        <v>411</v>
      </c>
    </row>
    <row r="5987" spans="1:22" customFormat="1" ht="15" x14ac:dyDescent="0.25">
      <c r="A5987" t="s">
        <v>295</v>
      </c>
      <c r="E5987" s="1518" t="s">
        <v>3761</v>
      </c>
      <c r="F5987" s="1518"/>
      <c r="G5987" s="1518"/>
      <c r="H5987" s="1518"/>
      <c r="K5987" t="s">
        <v>947</v>
      </c>
      <c r="V5987">
        <v>387</v>
      </c>
    </row>
    <row r="5988" spans="1:22" customFormat="1" ht="15" x14ac:dyDescent="0.25">
      <c r="A5988" t="s">
        <v>295</v>
      </c>
      <c r="E5988" s="1518" t="s">
        <v>954</v>
      </c>
      <c r="F5988" s="1518"/>
      <c r="G5988" s="1518"/>
      <c r="H5988" s="1518"/>
      <c r="K5988" t="s">
        <v>947</v>
      </c>
      <c r="V5988">
        <v>246</v>
      </c>
    </row>
    <row r="5989" spans="1:22" customFormat="1" ht="15" x14ac:dyDescent="0.25">
      <c r="A5989" t="s">
        <v>295</v>
      </c>
      <c r="E5989" s="1520" t="s">
        <v>956</v>
      </c>
      <c r="F5989" s="1530"/>
      <c r="G5989" s="1530"/>
      <c r="H5989" s="1530"/>
      <c r="K5989" t="s">
        <v>955</v>
      </c>
      <c r="V5989">
        <v>46</v>
      </c>
    </row>
    <row r="5990" spans="1:22" customFormat="1" ht="15" x14ac:dyDescent="0.25">
      <c r="A5990" t="s">
        <v>295</v>
      </c>
      <c r="E5990" s="1508" t="s">
        <v>3773</v>
      </c>
      <c r="F5990" s="1508"/>
      <c r="G5990" s="617" t="s">
        <v>777</v>
      </c>
      <c r="H5990" s="576">
        <v>29.79</v>
      </c>
      <c r="K5990" t="s">
        <v>947</v>
      </c>
      <c r="L5990" t="s">
        <v>690</v>
      </c>
      <c r="P5990" t="s">
        <v>957</v>
      </c>
      <c r="V5990">
        <v>14</v>
      </c>
    </row>
    <row r="5991" spans="1:22" customFormat="1" ht="15" x14ac:dyDescent="0.25">
      <c r="A5991" t="s">
        <v>295</v>
      </c>
      <c r="E5991" s="1507" t="s">
        <v>960</v>
      </c>
      <c r="F5991" s="1507"/>
      <c r="G5991" s="584" t="s">
        <v>777</v>
      </c>
      <c r="H5991" s="576">
        <v>0.42</v>
      </c>
      <c r="K5991" t="s">
        <v>947</v>
      </c>
      <c r="L5991" t="s">
        <v>692</v>
      </c>
      <c r="P5991" t="s">
        <v>959</v>
      </c>
      <c r="V5991">
        <v>64</v>
      </c>
    </row>
    <row r="5992" spans="1:22" customFormat="1" ht="15" x14ac:dyDescent="0.25">
      <c r="A5992" t="s">
        <v>295</v>
      </c>
      <c r="E5992" s="1507" t="s">
        <v>6519</v>
      </c>
      <c r="F5992" s="1510"/>
      <c r="G5992" s="584" t="s">
        <v>845</v>
      </c>
      <c r="H5992" s="577">
        <v>1.8E-3</v>
      </c>
      <c r="K5992" t="s">
        <v>947</v>
      </c>
      <c r="L5992" t="s">
        <v>692</v>
      </c>
      <c r="P5992" t="s">
        <v>962</v>
      </c>
      <c r="T5992">
        <v>46022</v>
      </c>
      <c r="V5992">
        <v>142</v>
      </c>
    </row>
    <row r="5993" spans="1:22" customFormat="1" ht="15" x14ac:dyDescent="0.25">
      <c r="A5993" t="s">
        <v>295</v>
      </c>
      <c r="E5993" s="1507" t="s">
        <v>6520</v>
      </c>
      <c r="F5993" s="1510"/>
      <c r="G5993" s="584" t="s">
        <v>845</v>
      </c>
      <c r="H5993" s="577">
        <v>2.0000000000000001E-4</v>
      </c>
      <c r="K5993" t="s">
        <v>947</v>
      </c>
      <c r="L5993" t="s">
        <v>692</v>
      </c>
      <c r="P5993" t="s">
        <v>963</v>
      </c>
      <c r="T5993">
        <v>46022</v>
      </c>
      <c r="V5993">
        <v>99</v>
      </c>
    </row>
    <row r="5994" spans="1:22" customFormat="1" ht="15" x14ac:dyDescent="0.25">
      <c r="A5994" t="s">
        <v>295</v>
      </c>
      <c r="E5994" s="1507" t="s">
        <v>6617</v>
      </c>
      <c r="F5994" s="1510"/>
      <c r="G5994" s="584" t="s">
        <v>845</v>
      </c>
      <c r="H5994" s="577">
        <v>2.0000000000000001E-4</v>
      </c>
      <c r="K5994" t="s">
        <v>947</v>
      </c>
      <c r="L5994" t="s">
        <v>692</v>
      </c>
      <c r="P5994" t="s">
        <v>3764</v>
      </c>
      <c r="V5994">
        <v>149</v>
      </c>
    </row>
    <row r="5995" spans="1:22" customFormat="1" ht="15" x14ac:dyDescent="0.25">
      <c r="A5995" t="s">
        <v>295</v>
      </c>
      <c r="E5995" s="1508" t="s">
        <v>243</v>
      </c>
      <c r="F5995" s="1508"/>
      <c r="G5995" s="617" t="s">
        <v>845</v>
      </c>
      <c r="H5995" s="577">
        <v>1.32E-2</v>
      </c>
      <c r="K5995" t="s">
        <v>947</v>
      </c>
      <c r="L5995" t="s">
        <v>694</v>
      </c>
      <c r="P5995" t="s">
        <v>964</v>
      </c>
      <c r="V5995">
        <v>47</v>
      </c>
    </row>
    <row r="5996" spans="1:22" customFormat="1" ht="15" x14ac:dyDescent="0.25">
      <c r="A5996" t="s">
        <v>295</v>
      </c>
      <c r="E5996" s="1508" t="s">
        <v>175</v>
      </c>
      <c r="F5996" s="1508"/>
      <c r="G5996" s="617" t="s">
        <v>845</v>
      </c>
      <c r="H5996" s="577">
        <v>1.01E-2</v>
      </c>
      <c r="K5996" t="s">
        <v>947</v>
      </c>
      <c r="L5996" t="s">
        <v>694</v>
      </c>
      <c r="P5996" t="s">
        <v>965</v>
      </c>
      <c r="V5996">
        <v>74</v>
      </c>
    </row>
    <row r="5997" spans="1:22" customFormat="1" ht="15" x14ac:dyDescent="0.25">
      <c r="A5997" t="s">
        <v>295</v>
      </c>
      <c r="E5997" s="1523" t="s">
        <v>967</v>
      </c>
      <c r="F5997" s="1507"/>
      <c r="G5997" s="620"/>
      <c r="H5997" s="620"/>
      <c r="K5997" t="s">
        <v>966</v>
      </c>
      <c r="V5997">
        <v>48</v>
      </c>
    </row>
    <row r="5998" spans="1:22" customFormat="1" ht="15" x14ac:dyDescent="0.25">
      <c r="A5998" t="s">
        <v>295</v>
      </c>
      <c r="E5998" s="1508" t="s">
        <v>844</v>
      </c>
      <c r="F5998" s="1508"/>
      <c r="G5998" s="620" t="s">
        <v>845</v>
      </c>
      <c r="H5998" s="621">
        <v>4.1000000000000003E-3</v>
      </c>
      <c r="K5998" t="s">
        <v>947</v>
      </c>
      <c r="L5998" t="s">
        <v>968</v>
      </c>
      <c r="P5998" t="s">
        <v>969</v>
      </c>
      <c r="V5998">
        <v>55</v>
      </c>
    </row>
    <row r="5999" spans="1:22" customFormat="1" ht="15" x14ac:dyDescent="0.25">
      <c r="A5999" t="s">
        <v>295</v>
      </c>
      <c r="E5999" s="1508" t="s">
        <v>846</v>
      </c>
      <c r="F5999" s="1507"/>
      <c r="G5999" s="620" t="s">
        <v>845</v>
      </c>
      <c r="H5999" s="621">
        <v>4.0000000000000002E-4</v>
      </c>
      <c r="K5999" t="s">
        <v>947</v>
      </c>
      <c r="L5999" t="s">
        <v>968</v>
      </c>
      <c r="P5999" t="s">
        <v>969</v>
      </c>
      <c r="V5999">
        <v>65</v>
      </c>
    </row>
    <row r="6000" spans="1:22" customFormat="1" ht="15" x14ac:dyDescent="0.25">
      <c r="A6000" t="s">
        <v>295</v>
      </c>
      <c r="E6000" s="1508" t="s">
        <v>847</v>
      </c>
      <c r="F6000" s="1508"/>
      <c r="G6000" s="620" t="s">
        <v>845</v>
      </c>
      <c r="H6000" s="621">
        <v>1.5E-3</v>
      </c>
      <c r="K6000" t="s">
        <v>947</v>
      </c>
      <c r="L6000" t="s">
        <v>968</v>
      </c>
      <c r="P6000" t="s">
        <v>970</v>
      </c>
      <c r="V6000">
        <v>57</v>
      </c>
    </row>
    <row r="6001" spans="1:22" customFormat="1" ht="15" x14ac:dyDescent="0.25">
      <c r="A6001" t="s">
        <v>295</v>
      </c>
      <c r="E6001" s="1508" t="s">
        <v>848</v>
      </c>
      <c r="F6001" s="1508"/>
      <c r="G6001" s="620" t="s">
        <v>777</v>
      </c>
      <c r="H6001" s="622">
        <v>0.25</v>
      </c>
      <c r="K6001" t="s">
        <v>947</v>
      </c>
      <c r="L6001" t="s">
        <v>968</v>
      </c>
      <c r="P6001" t="s">
        <v>971</v>
      </c>
      <c r="V6001">
        <v>63</v>
      </c>
    </row>
    <row r="6002" spans="1:22" customFormat="1" x14ac:dyDescent="0.25">
      <c r="A6002" t="s">
        <v>295</v>
      </c>
      <c r="E6002" s="1642" t="s">
        <v>174</v>
      </c>
      <c r="F6002" s="1642"/>
      <c r="G6002" s="1642"/>
      <c r="H6002" s="1643"/>
      <c r="K6002" t="s">
        <v>972</v>
      </c>
      <c r="V6002">
        <v>54</v>
      </c>
    </row>
    <row r="6003" spans="1:22" customFormat="1" ht="15" x14ac:dyDescent="0.25">
      <c r="A6003" t="s">
        <v>295</v>
      </c>
      <c r="E6003" s="1518" t="s">
        <v>5102</v>
      </c>
      <c r="F6003" s="1518"/>
      <c r="G6003" s="1518"/>
      <c r="H6003" s="1519"/>
      <c r="K6003" t="s">
        <v>972</v>
      </c>
      <c r="V6003">
        <v>291</v>
      </c>
    </row>
    <row r="6004" spans="1:22" customFormat="1" ht="15" x14ac:dyDescent="0.25">
      <c r="A6004" t="s">
        <v>295</v>
      </c>
      <c r="E6004" s="1520" t="s">
        <v>950</v>
      </c>
      <c r="F6004" s="1530"/>
      <c r="G6004" s="1530"/>
      <c r="H6004" s="1530"/>
      <c r="K6004" t="s">
        <v>974</v>
      </c>
      <c r="V6004">
        <v>11</v>
      </c>
    </row>
    <row r="6005" spans="1:22" customFormat="1" ht="15" x14ac:dyDescent="0.25">
      <c r="A6005" t="s">
        <v>295</v>
      </c>
      <c r="E6005" s="1583" t="s">
        <v>951</v>
      </c>
      <c r="F6005" s="1583"/>
      <c r="G6005" s="1583"/>
      <c r="H6005" s="1644"/>
      <c r="K6005" t="s">
        <v>972</v>
      </c>
      <c r="V6005">
        <v>280</v>
      </c>
    </row>
    <row r="6006" spans="1:22" customFormat="1" ht="15" x14ac:dyDescent="0.25">
      <c r="A6006" t="s">
        <v>295</v>
      </c>
      <c r="E6006" s="1518" t="s">
        <v>5103</v>
      </c>
      <c r="F6006" s="1518"/>
      <c r="G6006" s="1518"/>
      <c r="H6006" s="1519"/>
      <c r="K6006" t="s">
        <v>972</v>
      </c>
      <c r="V6006">
        <v>381</v>
      </c>
    </row>
    <row r="6007" spans="1:22" customFormat="1" ht="15" x14ac:dyDescent="0.25">
      <c r="A6007" t="s">
        <v>295</v>
      </c>
      <c r="E6007" s="1518" t="s">
        <v>4958</v>
      </c>
      <c r="F6007" s="1518"/>
      <c r="G6007" s="1518"/>
      <c r="H6007" s="1519"/>
      <c r="K6007" t="s">
        <v>972</v>
      </c>
      <c r="V6007">
        <v>387</v>
      </c>
    </row>
    <row r="6008" spans="1:22" customFormat="1" ht="15" x14ac:dyDescent="0.25">
      <c r="A6008" t="s">
        <v>295</v>
      </c>
      <c r="E6008" s="1518" t="s">
        <v>954</v>
      </c>
      <c r="F6008" s="1518"/>
      <c r="G6008" s="1518"/>
      <c r="H6008" s="1519"/>
      <c r="K6008" t="s">
        <v>972</v>
      </c>
      <c r="V6008">
        <v>246</v>
      </c>
    </row>
    <row r="6009" spans="1:22" customFormat="1" ht="15" x14ac:dyDescent="0.25">
      <c r="A6009" t="s">
        <v>295</v>
      </c>
      <c r="E6009" s="1520" t="s">
        <v>956</v>
      </c>
      <c r="F6009" s="1530"/>
      <c r="G6009" s="1530"/>
      <c r="H6009" s="1530"/>
      <c r="K6009" t="s">
        <v>975</v>
      </c>
      <c r="V6009">
        <v>46</v>
      </c>
    </row>
    <row r="6010" spans="1:22" customFormat="1" ht="15" x14ac:dyDescent="0.25">
      <c r="A6010" t="s">
        <v>295</v>
      </c>
      <c r="E6010" s="1508" t="s">
        <v>3773</v>
      </c>
      <c r="F6010" s="1508"/>
      <c r="G6010" s="617" t="s">
        <v>777</v>
      </c>
      <c r="H6010" s="576">
        <v>20.68</v>
      </c>
      <c r="K6010" t="s">
        <v>972</v>
      </c>
      <c r="L6010" t="s">
        <v>690</v>
      </c>
      <c r="P6010" t="s">
        <v>976</v>
      </c>
      <c r="V6010">
        <v>14</v>
      </c>
    </row>
    <row r="6011" spans="1:22" customFormat="1" ht="15" x14ac:dyDescent="0.25">
      <c r="A6011" t="s">
        <v>295</v>
      </c>
      <c r="E6011" s="1507" t="s">
        <v>960</v>
      </c>
      <c r="F6011" s="1507"/>
      <c r="G6011" s="584" t="s">
        <v>777</v>
      </c>
      <c r="H6011" s="576">
        <v>0.42</v>
      </c>
      <c r="K6011" t="s">
        <v>972</v>
      </c>
      <c r="L6011" t="s">
        <v>692</v>
      </c>
      <c r="P6011" t="s">
        <v>977</v>
      </c>
      <c r="V6011">
        <v>64</v>
      </c>
    </row>
    <row r="6012" spans="1:22" customFormat="1" ht="15" x14ac:dyDescent="0.25">
      <c r="A6012" t="s">
        <v>295</v>
      </c>
      <c r="E6012" s="1508" t="s">
        <v>3688</v>
      </c>
      <c r="F6012" s="1508"/>
      <c r="G6012" s="617" t="s">
        <v>845</v>
      </c>
      <c r="H6012" s="577">
        <v>2.1100000000000001E-2</v>
      </c>
      <c r="K6012" t="s">
        <v>972</v>
      </c>
      <c r="L6012" t="s">
        <v>690</v>
      </c>
      <c r="P6012" t="s">
        <v>978</v>
      </c>
      <c r="V6012">
        <v>28</v>
      </c>
    </row>
    <row r="6013" spans="1:22" customFormat="1" ht="15" x14ac:dyDescent="0.25">
      <c r="A6013" t="s">
        <v>295</v>
      </c>
      <c r="E6013" s="1508" t="s">
        <v>6519</v>
      </c>
      <c r="F6013" s="1510"/>
      <c r="G6013" s="617" t="s">
        <v>845</v>
      </c>
      <c r="H6013" s="577">
        <v>1.8E-3</v>
      </c>
      <c r="K6013" t="s">
        <v>972</v>
      </c>
      <c r="L6013" t="s">
        <v>692</v>
      </c>
      <c r="P6013" t="s">
        <v>981</v>
      </c>
      <c r="T6013">
        <v>46022</v>
      </c>
      <c r="V6013">
        <v>142</v>
      </c>
    </row>
    <row r="6014" spans="1:22" customFormat="1" ht="15" x14ac:dyDescent="0.25">
      <c r="A6014" t="s">
        <v>295</v>
      </c>
      <c r="E6014" s="1508" t="s">
        <v>6520</v>
      </c>
      <c r="F6014" s="1510"/>
      <c r="G6014" s="617" t="s">
        <v>845</v>
      </c>
      <c r="H6014" s="577">
        <v>4.0000000000000002E-4</v>
      </c>
      <c r="K6014" t="s">
        <v>972</v>
      </c>
      <c r="L6014" t="s">
        <v>692</v>
      </c>
      <c r="P6014" t="s">
        <v>982</v>
      </c>
      <c r="T6014">
        <v>46022</v>
      </c>
      <c r="V6014">
        <v>99</v>
      </c>
    </row>
    <row r="6015" spans="1:22" customFormat="1" ht="15" x14ac:dyDescent="0.25">
      <c r="A6015" t="s">
        <v>295</v>
      </c>
      <c r="E6015" s="1508" t="s">
        <v>6617</v>
      </c>
      <c r="F6015" s="1510"/>
      <c r="G6015" s="617" t="s">
        <v>845</v>
      </c>
      <c r="H6015" s="577">
        <v>2.0000000000000001E-4</v>
      </c>
      <c r="K6015" t="s">
        <v>972</v>
      </c>
      <c r="L6015" t="s">
        <v>692</v>
      </c>
      <c r="P6015" t="s">
        <v>3766</v>
      </c>
      <c r="V6015">
        <v>149</v>
      </c>
    </row>
    <row r="6016" spans="1:22" customFormat="1" ht="15" x14ac:dyDescent="0.25">
      <c r="A6016" t="s">
        <v>295</v>
      </c>
      <c r="E6016" s="1508" t="s">
        <v>243</v>
      </c>
      <c r="F6016" s="1508"/>
      <c r="G6016" s="617" t="s">
        <v>845</v>
      </c>
      <c r="H6016" s="577">
        <v>1.23E-2</v>
      </c>
      <c r="K6016" t="s">
        <v>972</v>
      </c>
      <c r="L6016" t="s">
        <v>694</v>
      </c>
      <c r="P6016" t="s">
        <v>983</v>
      </c>
      <c r="V6016">
        <v>47</v>
      </c>
    </row>
    <row r="6017" spans="1:22" customFormat="1" ht="15" x14ac:dyDescent="0.25">
      <c r="A6017" t="s">
        <v>295</v>
      </c>
      <c r="E6017" s="1508" t="s">
        <v>175</v>
      </c>
      <c r="F6017" s="1508"/>
      <c r="G6017" s="617" t="s">
        <v>845</v>
      </c>
      <c r="H6017" s="577">
        <v>9.2999999999999992E-3</v>
      </c>
      <c r="K6017" t="s">
        <v>972</v>
      </c>
      <c r="L6017" t="s">
        <v>694</v>
      </c>
      <c r="P6017" t="s">
        <v>984</v>
      </c>
      <c r="V6017">
        <v>74</v>
      </c>
    </row>
    <row r="6018" spans="1:22" customFormat="1" ht="15" x14ac:dyDescent="0.25">
      <c r="A6018" t="s">
        <v>295</v>
      </c>
      <c r="E6018" s="1523" t="s">
        <v>967</v>
      </c>
      <c r="F6018" s="1507"/>
      <c r="G6018" s="620"/>
      <c r="H6018" s="620"/>
      <c r="K6018" t="s">
        <v>985</v>
      </c>
      <c r="V6018">
        <v>48</v>
      </c>
    </row>
    <row r="6019" spans="1:22" customFormat="1" ht="15" x14ac:dyDescent="0.25">
      <c r="A6019" t="s">
        <v>295</v>
      </c>
      <c r="E6019" s="1508" t="s">
        <v>844</v>
      </c>
      <c r="F6019" s="1508"/>
      <c r="G6019" s="620" t="s">
        <v>845</v>
      </c>
      <c r="H6019" s="621">
        <v>4.1000000000000003E-3</v>
      </c>
      <c r="K6019" t="s">
        <v>972</v>
      </c>
      <c r="L6019" t="s">
        <v>968</v>
      </c>
      <c r="P6019" t="s">
        <v>986</v>
      </c>
      <c r="V6019">
        <v>55</v>
      </c>
    </row>
    <row r="6020" spans="1:22" customFormat="1" ht="15" x14ac:dyDescent="0.25">
      <c r="A6020" t="s">
        <v>295</v>
      </c>
      <c r="E6020" s="1508" t="s">
        <v>846</v>
      </c>
      <c r="F6020" s="1507"/>
      <c r="G6020" s="620" t="s">
        <v>845</v>
      </c>
      <c r="H6020" s="621">
        <v>4.0000000000000002E-4</v>
      </c>
      <c r="K6020" t="s">
        <v>972</v>
      </c>
      <c r="L6020" t="s">
        <v>968</v>
      </c>
      <c r="P6020" t="s">
        <v>986</v>
      </c>
      <c r="V6020">
        <v>65</v>
      </c>
    </row>
    <row r="6021" spans="1:22" customFormat="1" ht="15" x14ac:dyDescent="0.25">
      <c r="A6021" t="s">
        <v>295</v>
      </c>
      <c r="E6021" s="1508" t="s">
        <v>847</v>
      </c>
      <c r="F6021" s="1508"/>
      <c r="G6021" s="620" t="s">
        <v>845</v>
      </c>
      <c r="H6021" s="621">
        <v>1.5E-3</v>
      </c>
      <c r="K6021" t="s">
        <v>972</v>
      </c>
      <c r="L6021" t="s">
        <v>968</v>
      </c>
      <c r="P6021" t="s">
        <v>987</v>
      </c>
      <c r="V6021">
        <v>57</v>
      </c>
    </row>
    <row r="6022" spans="1:22" customFormat="1" ht="15" x14ac:dyDescent="0.25">
      <c r="A6022" t="s">
        <v>295</v>
      </c>
      <c r="E6022" s="1508" t="s">
        <v>848</v>
      </c>
      <c r="F6022" s="1508"/>
      <c r="G6022" s="620" t="s">
        <v>777</v>
      </c>
      <c r="H6022" s="622">
        <v>0.25</v>
      </c>
      <c r="K6022" t="s">
        <v>972</v>
      </c>
      <c r="L6022" t="s">
        <v>968</v>
      </c>
      <c r="P6022" t="s">
        <v>988</v>
      </c>
      <c r="V6022">
        <v>63</v>
      </c>
    </row>
    <row r="6023" spans="1:22" customFormat="1" x14ac:dyDescent="0.25">
      <c r="A6023" t="s">
        <v>295</v>
      </c>
      <c r="E6023" s="1642" t="s">
        <v>990</v>
      </c>
      <c r="F6023" s="1642"/>
      <c r="G6023" s="1642"/>
      <c r="H6023" s="1643"/>
      <c r="K6023" t="s">
        <v>989</v>
      </c>
      <c r="V6023">
        <v>51</v>
      </c>
    </row>
    <row r="6024" spans="1:22" customFormat="1" ht="15" x14ac:dyDescent="0.25">
      <c r="A6024" t="s">
        <v>295</v>
      </c>
      <c r="E6024" s="1518" t="s">
        <v>5104</v>
      </c>
      <c r="F6024" s="1518"/>
      <c r="G6024" s="1518"/>
      <c r="H6024" s="1519"/>
      <c r="K6024" t="s">
        <v>989</v>
      </c>
      <c r="V6024">
        <v>520</v>
      </c>
    </row>
    <row r="6025" spans="1:22" customFormat="1" ht="15" x14ac:dyDescent="0.25">
      <c r="A6025" t="s">
        <v>295</v>
      </c>
      <c r="E6025" s="1520" t="s">
        <v>950</v>
      </c>
      <c r="F6025" s="1530"/>
      <c r="G6025" s="1530"/>
      <c r="H6025" s="1530"/>
      <c r="K6025" t="s">
        <v>992</v>
      </c>
      <c r="V6025">
        <v>11</v>
      </c>
    </row>
    <row r="6026" spans="1:22" customFormat="1" ht="15" x14ac:dyDescent="0.25">
      <c r="A6026" t="s">
        <v>295</v>
      </c>
      <c r="E6026" s="1518" t="s">
        <v>951</v>
      </c>
      <c r="F6026" s="1518"/>
      <c r="G6026" s="1518"/>
      <c r="H6026" s="1519"/>
      <c r="K6026" t="s">
        <v>989</v>
      </c>
      <c r="V6026">
        <v>280</v>
      </c>
    </row>
    <row r="6027" spans="1:22" customFormat="1" ht="15" x14ac:dyDescent="0.25">
      <c r="A6027" t="s">
        <v>295</v>
      </c>
      <c r="E6027" s="1518" t="s">
        <v>952</v>
      </c>
      <c r="F6027" s="1518"/>
      <c r="G6027" s="1518"/>
      <c r="H6027" s="1519"/>
      <c r="K6027" t="s">
        <v>989</v>
      </c>
      <c r="V6027">
        <v>411</v>
      </c>
    </row>
    <row r="6028" spans="1:22" customFormat="1" ht="15" x14ac:dyDescent="0.25">
      <c r="A6028" t="s">
        <v>295</v>
      </c>
      <c r="E6028" s="1518" t="s">
        <v>3761</v>
      </c>
      <c r="F6028" s="1518"/>
      <c r="G6028" s="1518"/>
      <c r="H6028" s="1519"/>
      <c r="K6028" t="s">
        <v>989</v>
      </c>
      <c r="V6028">
        <v>387</v>
      </c>
    </row>
    <row r="6029" spans="1:22" customFormat="1" ht="15" x14ac:dyDescent="0.25">
      <c r="A6029" t="s">
        <v>295</v>
      </c>
      <c r="E6029" s="1516" t="s">
        <v>3771</v>
      </c>
      <c r="F6029" s="1516"/>
      <c r="G6029" s="1516"/>
      <c r="H6029" s="1516"/>
      <c r="K6029" t="s">
        <v>989</v>
      </c>
      <c r="V6029">
        <v>677</v>
      </c>
    </row>
    <row r="6030" spans="1:22" customFormat="1" ht="15" x14ac:dyDescent="0.25">
      <c r="A6030" t="s">
        <v>295</v>
      </c>
      <c r="E6030" s="1516" t="s">
        <v>3772</v>
      </c>
      <c r="F6030" s="1516"/>
      <c r="G6030" s="1516"/>
      <c r="H6030" s="1516"/>
      <c r="K6030" t="s">
        <v>989</v>
      </c>
      <c r="V6030">
        <v>693</v>
      </c>
    </row>
    <row r="6031" spans="1:22" customFormat="1" ht="15" x14ac:dyDescent="0.25">
      <c r="A6031" t="s">
        <v>295</v>
      </c>
      <c r="E6031" s="1518" t="s">
        <v>954</v>
      </c>
      <c r="F6031" s="1518"/>
      <c r="G6031" s="1518"/>
      <c r="H6031" s="1519"/>
      <c r="K6031" t="s">
        <v>989</v>
      </c>
      <c r="V6031">
        <v>246</v>
      </c>
    </row>
    <row r="6032" spans="1:22" customFormat="1" ht="15" x14ac:dyDescent="0.25">
      <c r="A6032" t="s">
        <v>295</v>
      </c>
      <c r="E6032" s="1520" t="s">
        <v>956</v>
      </c>
      <c r="F6032" s="1530"/>
      <c r="G6032" s="1530"/>
      <c r="H6032" s="1530"/>
      <c r="K6032" t="s">
        <v>995</v>
      </c>
      <c r="V6032">
        <v>46</v>
      </c>
    </row>
    <row r="6033" spans="1:22" customFormat="1" ht="15" x14ac:dyDescent="0.25">
      <c r="A6033" t="s">
        <v>295</v>
      </c>
      <c r="E6033" s="1508" t="s">
        <v>3773</v>
      </c>
      <c r="F6033" s="1508"/>
      <c r="G6033" s="617" t="s">
        <v>777</v>
      </c>
      <c r="H6033" s="576">
        <v>69.459999999999994</v>
      </c>
      <c r="K6033" t="s">
        <v>989</v>
      </c>
      <c r="L6033" t="s">
        <v>690</v>
      </c>
      <c r="P6033" t="s">
        <v>996</v>
      </c>
      <c r="V6033">
        <v>14</v>
      </c>
    </row>
    <row r="6034" spans="1:22" customFormat="1" ht="15" x14ac:dyDescent="0.25">
      <c r="A6034" t="s">
        <v>295</v>
      </c>
      <c r="E6034" s="1508" t="s">
        <v>3688</v>
      </c>
      <c r="F6034" s="1508"/>
      <c r="G6034" s="617" t="s">
        <v>3775</v>
      </c>
      <c r="H6034" s="577">
        <v>5.9455999999999998</v>
      </c>
      <c r="K6034" t="s">
        <v>989</v>
      </c>
      <c r="L6034" t="s">
        <v>690</v>
      </c>
      <c r="P6034" t="s">
        <v>997</v>
      </c>
      <c r="V6034">
        <v>28</v>
      </c>
    </row>
    <row r="6035" spans="1:22" customFormat="1" ht="15" x14ac:dyDescent="0.25">
      <c r="A6035" t="s">
        <v>295</v>
      </c>
      <c r="E6035" s="1508" t="s">
        <v>6519</v>
      </c>
      <c r="F6035" s="1510"/>
      <c r="G6035" s="617" t="s">
        <v>845</v>
      </c>
      <c r="H6035" s="577">
        <v>1.8E-3</v>
      </c>
      <c r="K6035" t="s">
        <v>989</v>
      </c>
      <c r="L6035" t="s">
        <v>692</v>
      </c>
      <c r="P6035" t="s">
        <v>999</v>
      </c>
      <c r="T6035">
        <v>46022</v>
      </c>
      <c r="V6035">
        <v>142</v>
      </c>
    </row>
    <row r="6036" spans="1:22" customFormat="1" ht="15" x14ac:dyDescent="0.25">
      <c r="A6036" t="s">
        <v>295</v>
      </c>
      <c r="E6036" s="1508" t="s">
        <v>6525</v>
      </c>
      <c r="F6036" s="1510"/>
      <c r="G6036" s="617" t="s">
        <v>3775</v>
      </c>
      <c r="H6036" s="577">
        <v>-0.19400000000000001</v>
      </c>
      <c r="K6036" t="s">
        <v>989</v>
      </c>
      <c r="L6036" t="s">
        <v>692</v>
      </c>
      <c r="P6036" t="s">
        <v>1000</v>
      </c>
      <c r="T6036">
        <v>46022</v>
      </c>
      <c r="V6036">
        <v>159</v>
      </c>
    </row>
    <row r="6037" spans="1:22" customFormat="1" ht="15" x14ac:dyDescent="0.25">
      <c r="A6037" t="s">
        <v>295</v>
      </c>
      <c r="E6037" s="1508" t="s">
        <v>6520</v>
      </c>
      <c r="F6037" s="1510"/>
      <c r="G6037" s="617" t="s">
        <v>3775</v>
      </c>
      <c r="H6037" s="577">
        <v>0.3735</v>
      </c>
      <c r="K6037" t="s">
        <v>989</v>
      </c>
      <c r="L6037" t="s">
        <v>692</v>
      </c>
      <c r="P6037" t="s">
        <v>1000</v>
      </c>
      <c r="T6037">
        <v>46022</v>
      </c>
      <c r="V6037">
        <v>99</v>
      </c>
    </row>
    <row r="6038" spans="1:22" customFormat="1" ht="15" x14ac:dyDescent="0.25">
      <c r="A6038" t="s">
        <v>295</v>
      </c>
      <c r="E6038" s="1508" t="s">
        <v>6617</v>
      </c>
      <c r="F6038" s="1510"/>
      <c r="G6038" s="617" t="s">
        <v>3775</v>
      </c>
      <c r="H6038" s="577">
        <v>6.6699999999999995E-2</v>
      </c>
      <c r="K6038" t="s">
        <v>989</v>
      </c>
      <c r="L6038" t="s">
        <v>692</v>
      </c>
      <c r="P6038" t="s">
        <v>4166</v>
      </c>
      <c r="V6038">
        <v>149</v>
      </c>
    </row>
    <row r="6039" spans="1:22" customFormat="1" ht="15" x14ac:dyDescent="0.25">
      <c r="A6039" t="s">
        <v>295</v>
      </c>
      <c r="E6039" s="1508" t="s">
        <v>243</v>
      </c>
      <c r="F6039" s="1508"/>
      <c r="G6039" s="617" t="s">
        <v>3775</v>
      </c>
      <c r="H6039" s="577">
        <v>4.4783999999999997</v>
      </c>
      <c r="K6039" t="s">
        <v>989</v>
      </c>
      <c r="L6039" t="s">
        <v>694</v>
      </c>
      <c r="P6039" t="s">
        <v>1001</v>
      </c>
      <c r="V6039">
        <v>47</v>
      </c>
    </row>
    <row r="6040" spans="1:22" customFormat="1" ht="15" x14ac:dyDescent="0.25">
      <c r="A6040" t="s">
        <v>295</v>
      </c>
      <c r="E6040" s="1508" t="s">
        <v>175</v>
      </c>
      <c r="F6040" s="1508"/>
      <c r="G6040" s="617" t="s">
        <v>3775</v>
      </c>
      <c r="H6040" s="577">
        <v>3.2799</v>
      </c>
      <c r="K6040" t="s">
        <v>989</v>
      </c>
      <c r="L6040" t="s">
        <v>694</v>
      </c>
      <c r="P6040" t="s">
        <v>1002</v>
      </c>
      <c r="V6040">
        <v>74</v>
      </c>
    </row>
    <row r="6041" spans="1:22" customFormat="1" ht="15" x14ac:dyDescent="0.25">
      <c r="A6041" t="s">
        <v>295</v>
      </c>
      <c r="E6041" s="1508" t="s">
        <v>251</v>
      </c>
      <c r="F6041" s="1508"/>
      <c r="G6041" s="617" t="s">
        <v>3775</v>
      </c>
      <c r="H6041" s="577">
        <v>5.7403000000000004</v>
      </c>
      <c r="K6041" t="s">
        <v>989</v>
      </c>
      <c r="L6041" t="s">
        <v>694</v>
      </c>
      <c r="P6041" t="s">
        <v>1001</v>
      </c>
      <c r="V6041">
        <v>66</v>
      </c>
    </row>
    <row r="6042" spans="1:22" customFormat="1" ht="15" x14ac:dyDescent="0.25">
      <c r="A6042" t="s">
        <v>295</v>
      </c>
      <c r="E6042" s="1508" t="s">
        <v>185</v>
      </c>
      <c r="F6042" s="1508"/>
      <c r="G6042" s="617" t="s">
        <v>3775</v>
      </c>
      <c r="H6042" s="577">
        <v>4.1664000000000003</v>
      </c>
      <c r="K6042" t="s">
        <v>989</v>
      </c>
      <c r="L6042" t="s">
        <v>694</v>
      </c>
      <c r="P6042" t="s">
        <v>1002</v>
      </c>
      <c r="V6042">
        <v>93</v>
      </c>
    </row>
    <row r="6043" spans="1:22" customFormat="1" ht="15" x14ac:dyDescent="0.25">
      <c r="A6043" t="s">
        <v>295</v>
      </c>
      <c r="E6043" s="1523" t="s">
        <v>967</v>
      </c>
      <c r="F6043" s="1507"/>
      <c r="G6043" s="620"/>
      <c r="H6043" s="620"/>
      <c r="K6043" t="s">
        <v>1003</v>
      </c>
      <c r="V6043">
        <v>48</v>
      </c>
    </row>
    <row r="6044" spans="1:22" customFormat="1" ht="15" x14ac:dyDescent="0.25">
      <c r="A6044" t="s">
        <v>295</v>
      </c>
      <c r="E6044" s="1508" t="s">
        <v>844</v>
      </c>
      <c r="F6044" s="1508"/>
      <c r="G6044" s="620" t="s">
        <v>845</v>
      </c>
      <c r="H6044" s="621">
        <v>4.1000000000000003E-3</v>
      </c>
      <c r="K6044" t="s">
        <v>989</v>
      </c>
      <c r="L6044" t="s">
        <v>968</v>
      </c>
      <c r="P6044" t="s">
        <v>1004</v>
      </c>
      <c r="V6044">
        <v>55</v>
      </c>
    </row>
    <row r="6045" spans="1:22" customFormat="1" ht="15" x14ac:dyDescent="0.25">
      <c r="A6045" t="s">
        <v>295</v>
      </c>
      <c r="E6045" s="1508" t="s">
        <v>846</v>
      </c>
      <c r="F6045" s="1507"/>
      <c r="G6045" s="620" t="s">
        <v>845</v>
      </c>
      <c r="H6045" s="621">
        <v>4.0000000000000002E-4</v>
      </c>
      <c r="K6045" t="s">
        <v>989</v>
      </c>
      <c r="L6045" t="s">
        <v>968</v>
      </c>
      <c r="P6045" t="s">
        <v>1004</v>
      </c>
      <c r="V6045">
        <v>65</v>
      </c>
    </row>
    <row r="6046" spans="1:22" customFormat="1" ht="15" x14ac:dyDescent="0.25">
      <c r="A6046" t="s">
        <v>295</v>
      </c>
      <c r="E6046" s="1508" t="s">
        <v>847</v>
      </c>
      <c r="F6046" s="1508"/>
      <c r="G6046" s="620" t="s">
        <v>845</v>
      </c>
      <c r="H6046" s="621">
        <v>1.5E-3</v>
      </c>
      <c r="K6046" t="s">
        <v>989</v>
      </c>
      <c r="L6046" t="s">
        <v>968</v>
      </c>
      <c r="P6046" t="s">
        <v>1005</v>
      </c>
      <c r="V6046">
        <v>57</v>
      </c>
    </row>
    <row r="6047" spans="1:22" customFormat="1" ht="15" x14ac:dyDescent="0.25">
      <c r="A6047" t="s">
        <v>295</v>
      </c>
      <c r="E6047" s="1508" t="s">
        <v>848</v>
      </c>
      <c r="F6047" s="1508"/>
      <c r="G6047" s="620" t="s">
        <v>777</v>
      </c>
      <c r="H6047" s="622">
        <v>0.25</v>
      </c>
      <c r="K6047" t="s">
        <v>989</v>
      </c>
      <c r="L6047" t="s">
        <v>968</v>
      </c>
      <c r="P6047" t="s">
        <v>1006</v>
      </c>
      <c r="V6047">
        <v>63</v>
      </c>
    </row>
    <row r="6048" spans="1:22" customFormat="1" x14ac:dyDescent="0.25">
      <c r="A6048" t="s">
        <v>295</v>
      </c>
      <c r="E6048" s="1642" t="s">
        <v>1008</v>
      </c>
      <c r="F6048" s="1642"/>
      <c r="G6048" s="1642"/>
      <c r="H6048" s="1643"/>
      <c r="K6048" t="s">
        <v>1007</v>
      </c>
      <c r="V6048">
        <v>56</v>
      </c>
    </row>
    <row r="6049" spans="1:22" customFormat="1" ht="15" x14ac:dyDescent="0.25">
      <c r="A6049" t="s">
        <v>295</v>
      </c>
      <c r="E6049" s="1518" t="s">
        <v>5105</v>
      </c>
      <c r="F6049" s="1518"/>
      <c r="G6049" s="1518"/>
      <c r="H6049" s="1519"/>
      <c r="K6049" t="s">
        <v>1007</v>
      </c>
      <c r="V6049">
        <v>391</v>
      </c>
    </row>
    <row r="6050" spans="1:22" customFormat="1" ht="15" x14ac:dyDescent="0.25">
      <c r="A6050" t="s">
        <v>295</v>
      </c>
      <c r="E6050" s="1520" t="s">
        <v>950</v>
      </c>
      <c r="F6050" s="1530"/>
      <c r="G6050" s="1530"/>
      <c r="H6050" s="1530"/>
      <c r="K6050" t="s">
        <v>1010</v>
      </c>
      <c r="V6050">
        <v>11</v>
      </c>
    </row>
    <row r="6051" spans="1:22" customFormat="1" ht="15" x14ac:dyDescent="0.25">
      <c r="A6051" t="s">
        <v>295</v>
      </c>
      <c r="E6051" s="1518" t="s">
        <v>951</v>
      </c>
      <c r="F6051" s="1518"/>
      <c r="G6051" s="1518"/>
      <c r="H6051" s="1519"/>
      <c r="K6051" t="s">
        <v>1007</v>
      </c>
      <c r="V6051">
        <v>280</v>
      </c>
    </row>
    <row r="6052" spans="1:22" customFormat="1" ht="15" x14ac:dyDescent="0.25">
      <c r="A6052" t="s">
        <v>295</v>
      </c>
      <c r="E6052" s="1518" t="s">
        <v>952</v>
      </c>
      <c r="F6052" s="1518"/>
      <c r="G6052" s="1518"/>
      <c r="H6052" s="1519"/>
      <c r="K6052" t="s">
        <v>1007</v>
      </c>
      <c r="V6052">
        <v>411</v>
      </c>
    </row>
    <row r="6053" spans="1:22" customFormat="1" ht="15" x14ac:dyDescent="0.25">
      <c r="A6053" t="s">
        <v>295</v>
      </c>
      <c r="E6053" s="1518" t="s">
        <v>3761</v>
      </c>
      <c r="F6053" s="1518"/>
      <c r="G6053" s="1518"/>
      <c r="H6053" s="1519"/>
      <c r="K6053" t="s">
        <v>1007</v>
      </c>
      <c r="V6053">
        <v>387</v>
      </c>
    </row>
    <row r="6054" spans="1:22" customFormat="1" ht="15" x14ac:dyDescent="0.25">
      <c r="A6054" t="s">
        <v>295</v>
      </c>
      <c r="E6054" s="1516" t="s">
        <v>3771</v>
      </c>
      <c r="F6054" s="1516"/>
      <c r="G6054" s="1516"/>
      <c r="H6054" s="1516"/>
      <c r="K6054" t="s">
        <v>1007</v>
      </c>
      <c r="V6054">
        <v>677</v>
      </c>
    </row>
    <row r="6055" spans="1:22" customFormat="1" ht="15" x14ac:dyDescent="0.25">
      <c r="A6055" t="s">
        <v>295</v>
      </c>
      <c r="E6055" s="1516" t="s">
        <v>3772</v>
      </c>
      <c r="F6055" s="1516"/>
      <c r="G6055" s="1516"/>
      <c r="H6055" s="1516"/>
      <c r="K6055" t="s">
        <v>1007</v>
      </c>
      <c r="V6055">
        <v>693</v>
      </c>
    </row>
    <row r="6056" spans="1:22" customFormat="1" ht="15" x14ac:dyDescent="0.25">
      <c r="A6056" t="s">
        <v>295</v>
      </c>
      <c r="E6056" s="1518" t="s">
        <v>954</v>
      </c>
      <c r="F6056" s="1518"/>
      <c r="G6056" s="1518"/>
      <c r="H6056" s="1519"/>
      <c r="K6056" t="s">
        <v>1007</v>
      </c>
      <c r="V6056">
        <v>246</v>
      </c>
    </row>
    <row r="6057" spans="1:22" customFormat="1" ht="15" x14ac:dyDescent="0.25">
      <c r="A6057" t="s">
        <v>295</v>
      </c>
      <c r="E6057" s="1520" t="s">
        <v>956</v>
      </c>
      <c r="F6057" s="1530"/>
      <c r="G6057" s="1530"/>
      <c r="H6057" s="1530"/>
      <c r="K6057" t="s">
        <v>1011</v>
      </c>
      <c r="V6057">
        <v>46</v>
      </c>
    </row>
    <row r="6058" spans="1:22" customFormat="1" ht="15" x14ac:dyDescent="0.25">
      <c r="A6058" t="s">
        <v>295</v>
      </c>
      <c r="E6058" s="1508" t="s">
        <v>3773</v>
      </c>
      <c r="F6058" s="1508"/>
      <c r="G6058" s="617" t="s">
        <v>777</v>
      </c>
      <c r="H6058" s="576">
        <v>1419.85</v>
      </c>
      <c r="K6058" t="s">
        <v>1007</v>
      </c>
      <c r="L6058" t="s">
        <v>690</v>
      </c>
      <c r="P6058" t="s">
        <v>1012</v>
      </c>
      <c r="V6058">
        <v>14</v>
      </c>
    </row>
    <row r="6059" spans="1:22" customFormat="1" ht="15" x14ac:dyDescent="0.25">
      <c r="A6059" t="s">
        <v>295</v>
      </c>
      <c r="E6059" s="1508" t="s">
        <v>3688</v>
      </c>
      <c r="F6059" s="1508"/>
      <c r="G6059" s="617" t="s">
        <v>3775</v>
      </c>
      <c r="H6059" s="577">
        <v>3.1225999999999998</v>
      </c>
      <c r="K6059" t="s">
        <v>1007</v>
      </c>
      <c r="L6059" t="s">
        <v>690</v>
      </c>
      <c r="P6059" t="s">
        <v>1013</v>
      </c>
      <c r="V6059">
        <v>28</v>
      </c>
    </row>
    <row r="6060" spans="1:22" customFormat="1" ht="15" x14ac:dyDescent="0.25">
      <c r="A6060" t="s">
        <v>295</v>
      </c>
      <c r="E6060" s="1508" t="s">
        <v>6519</v>
      </c>
      <c r="F6060" s="1510"/>
      <c r="G6060" s="617" t="s">
        <v>845</v>
      </c>
      <c r="H6060" s="577">
        <v>1.8E-3</v>
      </c>
      <c r="K6060" t="s">
        <v>1007</v>
      </c>
      <c r="L6060" t="s">
        <v>692</v>
      </c>
      <c r="P6060" t="s">
        <v>1015</v>
      </c>
      <c r="T6060">
        <v>46022</v>
      </c>
      <c r="V6060">
        <v>142</v>
      </c>
    </row>
    <row r="6061" spans="1:22" customFormat="1" ht="15" x14ac:dyDescent="0.25">
      <c r="A6061" t="s">
        <v>295</v>
      </c>
      <c r="E6061" s="1508" t="s">
        <v>6520</v>
      </c>
      <c r="F6061" s="1510"/>
      <c r="G6061" s="617" t="s">
        <v>3775</v>
      </c>
      <c r="H6061" s="577">
        <v>0.2021</v>
      </c>
      <c r="K6061" t="s">
        <v>1007</v>
      </c>
      <c r="L6061" t="s">
        <v>692</v>
      </c>
      <c r="P6061" t="s">
        <v>1016</v>
      </c>
      <c r="T6061">
        <v>46022</v>
      </c>
      <c r="V6061">
        <v>99</v>
      </c>
    </row>
    <row r="6062" spans="1:22" customFormat="1" ht="15" x14ac:dyDescent="0.25">
      <c r="A6062" t="s">
        <v>295</v>
      </c>
      <c r="E6062" s="1508" t="s">
        <v>6617</v>
      </c>
      <c r="F6062" s="1510"/>
      <c r="G6062" s="617" t="s">
        <v>3775</v>
      </c>
      <c r="H6062" s="577">
        <v>7.7499999999999999E-2</v>
      </c>
      <c r="K6062" t="s">
        <v>1007</v>
      </c>
      <c r="L6062" t="s">
        <v>692</v>
      </c>
      <c r="P6062" t="s">
        <v>4170</v>
      </c>
      <c r="V6062">
        <v>149</v>
      </c>
    </row>
    <row r="6063" spans="1:22" customFormat="1" ht="15" x14ac:dyDescent="0.25">
      <c r="A6063" t="s">
        <v>295</v>
      </c>
      <c r="E6063" s="1508" t="s">
        <v>251</v>
      </c>
      <c r="F6063" s="1508"/>
      <c r="G6063" s="617" t="s">
        <v>3775</v>
      </c>
      <c r="H6063" s="577">
        <v>5.7403000000000004</v>
      </c>
      <c r="K6063" t="s">
        <v>1007</v>
      </c>
      <c r="L6063" t="s">
        <v>694</v>
      </c>
      <c r="P6063" t="s">
        <v>1017</v>
      </c>
      <c r="V6063">
        <v>66</v>
      </c>
    </row>
    <row r="6064" spans="1:22" customFormat="1" ht="15" x14ac:dyDescent="0.25">
      <c r="A6064" t="s">
        <v>295</v>
      </c>
      <c r="E6064" s="1508" t="s">
        <v>185</v>
      </c>
      <c r="F6064" s="1508"/>
      <c r="G6064" s="617" t="s">
        <v>3775</v>
      </c>
      <c r="H6064" s="577">
        <v>4.1664000000000003</v>
      </c>
      <c r="K6064" t="s">
        <v>1007</v>
      </c>
      <c r="L6064" t="s">
        <v>694</v>
      </c>
      <c r="P6064" t="s">
        <v>1018</v>
      </c>
      <c r="V6064">
        <v>93</v>
      </c>
    </row>
    <row r="6065" spans="1:22" customFormat="1" ht="15" x14ac:dyDescent="0.25">
      <c r="A6065" t="s">
        <v>295</v>
      </c>
      <c r="E6065" s="1523" t="s">
        <v>967</v>
      </c>
      <c r="F6065" s="1507"/>
      <c r="G6065" s="620"/>
      <c r="H6065" s="620"/>
      <c r="K6065" t="s">
        <v>1019</v>
      </c>
      <c r="V6065">
        <v>48</v>
      </c>
    </row>
    <row r="6066" spans="1:22" customFormat="1" ht="15" x14ac:dyDescent="0.25">
      <c r="A6066" t="s">
        <v>295</v>
      </c>
      <c r="E6066" s="1508" t="s">
        <v>844</v>
      </c>
      <c r="F6066" s="1508"/>
      <c r="G6066" s="620" t="s">
        <v>845</v>
      </c>
      <c r="H6066" s="621">
        <v>4.1000000000000003E-3</v>
      </c>
      <c r="K6066" t="s">
        <v>1007</v>
      </c>
      <c r="L6066" t="s">
        <v>968</v>
      </c>
      <c r="P6066" t="s">
        <v>1020</v>
      </c>
      <c r="V6066">
        <v>55</v>
      </c>
    </row>
    <row r="6067" spans="1:22" customFormat="1" ht="15" x14ac:dyDescent="0.25">
      <c r="A6067" t="s">
        <v>295</v>
      </c>
      <c r="E6067" s="1508" t="s">
        <v>846</v>
      </c>
      <c r="F6067" s="1507"/>
      <c r="G6067" s="620" t="s">
        <v>845</v>
      </c>
      <c r="H6067" s="621">
        <v>4.0000000000000002E-4</v>
      </c>
      <c r="K6067" t="s">
        <v>1007</v>
      </c>
      <c r="L6067" t="s">
        <v>968</v>
      </c>
      <c r="P6067" t="s">
        <v>1020</v>
      </c>
      <c r="V6067">
        <v>65</v>
      </c>
    </row>
    <row r="6068" spans="1:22" customFormat="1" ht="15" x14ac:dyDescent="0.25">
      <c r="A6068" t="s">
        <v>295</v>
      </c>
      <c r="E6068" s="1508" t="s">
        <v>847</v>
      </c>
      <c r="F6068" s="1508"/>
      <c r="G6068" s="620" t="s">
        <v>845</v>
      </c>
      <c r="H6068" s="621">
        <v>1.5E-3</v>
      </c>
      <c r="K6068" t="s">
        <v>1007</v>
      </c>
      <c r="L6068" t="s">
        <v>968</v>
      </c>
      <c r="P6068" t="s">
        <v>1021</v>
      </c>
      <c r="V6068">
        <v>57</v>
      </c>
    </row>
    <row r="6069" spans="1:22" customFormat="1" ht="15" x14ac:dyDescent="0.25">
      <c r="A6069" t="s">
        <v>295</v>
      </c>
      <c r="E6069" s="1508" t="s">
        <v>848</v>
      </c>
      <c r="F6069" s="1508"/>
      <c r="G6069" s="620" t="s">
        <v>777</v>
      </c>
      <c r="H6069" s="622">
        <v>0.25</v>
      </c>
      <c r="K6069" t="s">
        <v>1007</v>
      </c>
      <c r="L6069" t="s">
        <v>968</v>
      </c>
      <c r="P6069" t="s">
        <v>1022</v>
      </c>
      <c r="V6069">
        <v>63</v>
      </c>
    </row>
    <row r="6070" spans="1:22" customFormat="1" x14ac:dyDescent="0.25">
      <c r="A6070" t="s">
        <v>295</v>
      </c>
      <c r="E6070" s="1642" t="s">
        <v>189</v>
      </c>
      <c r="F6070" s="1642"/>
      <c r="G6070" s="1642"/>
      <c r="H6070" s="1643"/>
      <c r="K6070" t="s">
        <v>3967</v>
      </c>
      <c r="V6070">
        <v>32</v>
      </c>
    </row>
    <row r="6071" spans="1:22" customFormat="1" ht="15" x14ac:dyDescent="0.25">
      <c r="A6071" t="s">
        <v>295</v>
      </c>
      <c r="E6071" s="1518" t="s">
        <v>4540</v>
      </c>
      <c r="F6071" s="1518"/>
      <c r="G6071" s="1518"/>
      <c r="H6071" s="1519"/>
      <c r="K6071" t="s">
        <v>3967</v>
      </c>
      <c r="V6071">
        <v>351</v>
      </c>
    </row>
    <row r="6072" spans="1:22" customFormat="1" ht="15" x14ac:dyDescent="0.25">
      <c r="A6072" t="s">
        <v>295</v>
      </c>
      <c r="E6072" s="1520" t="s">
        <v>950</v>
      </c>
      <c r="F6072" s="1530"/>
      <c r="G6072" s="1530"/>
      <c r="H6072" s="1530"/>
      <c r="K6072" t="s">
        <v>1025</v>
      </c>
      <c r="V6072">
        <v>11</v>
      </c>
    </row>
    <row r="6073" spans="1:22" customFormat="1" ht="15" x14ac:dyDescent="0.25">
      <c r="A6073" t="s">
        <v>295</v>
      </c>
      <c r="E6073" s="1518" t="s">
        <v>951</v>
      </c>
      <c r="F6073" s="1518"/>
      <c r="G6073" s="1518"/>
      <c r="H6073" s="1519"/>
      <c r="K6073" t="s">
        <v>3967</v>
      </c>
      <c r="V6073">
        <v>280</v>
      </c>
    </row>
    <row r="6074" spans="1:22" customFormat="1" ht="15" x14ac:dyDescent="0.25">
      <c r="A6074" t="s">
        <v>295</v>
      </c>
      <c r="E6074" s="1518" t="s">
        <v>952</v>
      </c>
      <c r="F6074" s="1518"/>
      <c r="G6074" s="1518"/>
      <c r="H6074" s="1519"/>
      <c r="K6074" t="s">
        <v>3967</v>
      </c>
      <c r="V6074">
        <v>411</v>
      </c>
    </row>
    <row r="6075" spans="1:22" customFormat="1" ht="15" x14ac:dyDescent="0.25">
      <c r="A6075" t="s">
        <v>295</v>
      </c>
      <c r="E6075" s="1518" t="s">
        <v>3761</v>
      </c>
      <c r="F6075" s="1518"/>
      <c r="G6075" s="1518"/>
      <c r="H6075" s="1519"/>
      <c r="K6075" t="s">
        <v>3967</v>
      </c>
      <c r="V6075">
        <v>387</v>
      </c>
    </row>
    <row r="6076" spans="1:22" customFormat="1" ht="15" x14ac:dyDescent="0.25">
      <c r="A6076" t="s">
        <v>295</v>
      </c>
      <c r="E6076" s="1516" t="s">
        <v>3771</v>
      </c>
      <c r="F6076" s="1516"/>
      <c r="G6076" s="1516"/>
      <c r="H6076" s="1516"/>
      <c r="K6076" t="s">
        <v>3967</v>
      </c>
      <c r="V6076">
        <v>677</v>
      </c>
    </row>
    <row r="6077" spans="1:22" customFormat="1" ht="15" x14ac:dyDescent="0.25">
      <c r="A6077" t="s">
        <v>295</v>
      </c>
      <c r="E6077" s="1516" t="s">
        <v>3772</v>
      </c>
      <c r="F6077" s="1516"/>
      <c r="G6077" s="1516"/>
      <c r="H6077" s="1516"/>
      <c r="K6077" t="s">
        <v>3967</v>
      </c>
      <c r="V6077">
        <v>693</v>
      </c>
    </row>
    <row r="6078" spans="1:22" customFormat="1" ht="15" x14ac:dyDescent="0.25">
      <c r="A6078" t="s">
        <v>295</v>
      </c>
      <c r="E6078" s="1518" t="s">
        <v>954</v>
      </c>
      <c r="F6078" s="1518"/>
      <c r="G6078" s="1518"/>
      <c r="H6078" s="1519"/>
      <c r="K6078" t="s">
        <v>3967</v>
      </c>
      <c r="V6078">
        <v>246</v>
      </c>
    </row>
    <row r="6079" spans="1:22" customFormat="1" ht="15" x14ac:dyDescent="0.25">
      <c r="A6079" t="s">
        <v>295</v>
      </c>
      <c r="E6079" s="1520" t="s">
        <v>956</v>
      </c>
      <c r="F6079" s="1530"/>
      <c r="G6079" s="1530"/>
      <c r="H6079" s="1530"/>
      <c r="K6079" t="s">
        <v>1026</v>
      </c>
      <c r="V6079">
        <v>46</v>
      </c>
    </row>
    <row r="6080" spans="1:22" customFormat="1" ht="15" x14ac:dyDescent="0.25">
      <c r="A6080" t="s">
        <v>295</v>
      </c>
      <c r="E6080" s="1508" t="s">
        <v>3773</v>
      </c>
      <c r="F6080" s="1508"/>
      <c r="G6080" s="617" t="s">
        <v>777</v>
      </c>
      <c r="H6080" s="576">
        <v>10803.95</v>
      </c>
      <c r="K6080" t="s">
        <v>3967</v>
      </c>
      <c r="L6080" t="s">
        <v>690</v>
      </c>
      <c r="P6080" t="s">
        <v>3969</v>
      </c>
      <c r="V6080">
        <v>14</v>
      </c>
    </row>
    <row r="6081" spans="1:22" customFormat="1" ht="15" x14ac:dyDescent="0.25">
      <c r="A6081" t="s">
        <v>295</v>
      </c>
      <c r="E6081" s="1508" t="s">
        <v>3688</v>
      </c>
      <c r="F6081" s="1508"/>
      <c r="G6081" s="617" t="s">
        <v>3775</v>
      </c>
      <c r="H6081" s="577">
        <v>2.7044000000000001</v>
      </c>
      <c r="K6081" t="s">
        <v>3967</v>
      </c>
      <c r="L6081" t="s">
        <v>690</v>
      </c>
      <c r="P6081" t="s">
        <v>3972</v>
      </c>
      <c r="V6081">
        <v>28</v>
      </c>
    </row>
    <row r="6082" spans="1:22" customFormat="1" ht="15" x14ac:dyDescent="0.25">
      <c r="A6082" t="s">
        <v>295</v>
      </c>
      <c r="E6082" s="1508" t="s">
        <v>6520</v>
      </c>
      <c r="F6082" s="1510"/>
      <c r="G6082" s="617" t="s">
        <v>3775</v>
      </c>
      <c r="H6082" s="577">
        <v>0.1903</v>
      </c>
      <c r="K6082" t="s">
        <v>3967</v>
      </c>
      <c r="L6082" t="s">
        <v>692</v>
      </c>
      <c r="P6082" t="s">
        <v>3975</v>
      </c>
      <c r="T6082">
        <v>46022</v>
      </c>
      <c r="V6082">
        <v>99</v>
      </c>
    </row>
    <row r="6083" spans="1:22" customFormat="1" ht="15" x14ac:dyDescent="0.25">
      <c r="A6083" t="s">
        <v>295</v>
      </c>
      <c r="E6083" s="1508" t="s">
        <v>251</v>
      </c>
      <c r="F6083" s="1508"/>
      <c r="G6083" s="617" t="s">
        <v>3775</v>
      </c>
      <c r="H6083" s="577">
        <v>6.1163999999999996</v>
      </c>
      <c r="K6083" t="s">
        <v>3967</v>
      </c>
      <c r="L6083" t="s">
        <v>694</v>
      </c>
      <c r="P6083" t="s">
        <v>3978</v>
      </c>
      <c r="V6083">
        <v>66</v>
      </c>
    </row>
    <row r="6084" spans="1:22" customFormat="1" ht="15" x14ac:dyDescent="0.25">
      <c r="A6084" t="s">
        <v>295</v>
      </c>
      <c r="E6084" s="1508" t="s">
        <v>185</v>
      </c>
      <c r="F6084" s="1508"/>
      <c r="G6084" s="617" t="s">
        <v>3775</v>
      </c>
      <c r="H6084" s="577">
        <v>4.5460000000000003</v>
      </c>
      <c r="K6084" t="s">
        <v>3967</v>
      </c>
      <c r="L6084" t="s">
        <v>694</v>
      </c>
      <c r="P6084" t="s">
        <v>3979</v>
      </c>
      <c r="V6084">
        <v>93</v>
      </c>
    </row>
    <row r="6085" spans="1:22" customFormat="1" ht="15" x14ac:dyDescent="0.25">
      <c r="A6085" t="s">
        <v>295</v>
      </c>
      <c r="E6085" s="1523" t="s">
        <v>967</v>
      </c>
      <c r="F6085" s="1507"/>
      <c r="G6085" s="620"/>
      <c r="H6085" s="620"/>
      <c r="K6085" t="s">
        <v>1035</v>
      </c>
      <c r="V6085">
        <v>48</v>
      </c>
    </row>
    <row r="6086" spans="1:22" customFormat="1" ht="15" x14ac:dyDescent="0.25">
      <c r="A6086" t="s">
        <v>295</v>
      </c>
      <c r="E6086" s="1508" t="s">
        <v>844</v>
      </c>
      <c r="F6086" s="1508"/>
      <c r="G6086" s="620" t="s">
        <v>845</v>
      </c>
      <c r="H6086" s="621">
        <v>4.1000000000000003E-3</v>
      </c>
      <c r="K6086" t="s">
        <v>3967</v>
      </c>
      <c r="L6086" t="s">
        <v>968</v>
      </c>
      <c r="P6086" t="s">
        <v>3980</v>
      </c>
      <c r="V6086">
        <v>55</v>
      </c>
    </row>
    <row r="6087" spans="1:22" customFormat="1" ht="15" x14ac:dyDescent="0.25">
      <c r="A6087" t="s">
        <v>295</v>
      </c>
      <c r="E6087" s="1508" t="s">
        <v>846</v>
      </c>
      <c r="F6087" s="1507"/>
      <c r="G6087" s="620" t="s">
        <v>845</v>
      </c>
      <c r="H6087" s="621">
        <v>4.0000000000000002E-4</v>
      </c>
      <c r="K6087" t="s">
        <v>3967</v>
      </c>
      <c r="L6087" t="s">
        <v>968</v>
      </c>
      <c r="P6087" t="s">
        <v>3980</v>
      </c>
      <c r="V6087">
        <v>65</v>
      </c>
    </row>
    <row r="6088" spans="1:22" customFormat="1" ht="15" x14ac:dyDescent="0.25">
      <c r="A6088" t="s">
        <v>295</v>
      </c>
      <c r="E6088" s="1508" t="s">
        <v>847</v>
      </c>
      <c r="F6088" s="1508"/>
      <c r="G6088" s="620" t="s">
        <v>845</v>
      </c>
      <c r="H6088" s="621">
        <v>1.5E-3</v>
      </c>
      <c r="K6088" t="s">
        <v>3967</v>
      </c>
      <c r="L6088" t="s">
        <v>968</v>
      </c>
      <c r="P6088" t="s">
        <v>3981</v>
      </c>
      <c r="V6088">
        <v>57</v>
      </c>
    </row>
    <row r="6089" spans="1:22" customFormat="1" ht="15" x14ac:dyDescent="0.25">
      <c r="A6089" t="s">
        <v>295</v>
      </c>
      <c r="E6089" s="1508" t="s">
        <v>848</v>
      </c>
      <c r="F6089" s="1508"/>
      <c r="G6089" s="620" t="s">
        <v>777</v>
      </c>
      <c r="H6089" s="622">
        <v>0.25</v>
      </c>
      <c r="K6089" t="s">
        <v>3967</v>
      </c>
      <c r="L6089" t="s">
        <v>968</v>
      </c>
      <c r="P6089" t="s">
        <v>3982</v>
      </c>
      <c r="V6089">
        <v>63</v>
      </c>
    </row>
    <row r="6090" spans="1:22" customFormat="1" x14ac:dyDescent="0.25">
      <c r="A6090" t="s">
        <v>295</v>
      </c>
      <c r="E6090" s="1642" t="s">
        <v>194</v>
      </c>
      <c r="F6090" s="1642"/>
      <c r="G6090" s="1642"/>
      <c r="H6090" s="1643"/>
      <c r="K6090" t="s">
        <v>3872</v>
      </c>
      <c r="V6090">
        <v>47</v>
      </c>
    </row>
    <row r="6091" spans="1:22" customFormat="1" ht="15" x14ac:dyDescent="0.25">
      <c r="A6091" t="s">
        <v>295</v>
      </c>
      <c r="E6091" s="1518" t="s">
        <v>5106</v>
      </c>
      <c r="F6091" s="1518"/>
      <c r="G6091" s="1518"/>
      <c r="H6091" s="1519"/>
      <c r="K6091" t="s">
        <v>3872</v>
      </c>
      <c r="V6091">
        <v>699</v>
      </c>
    </row>
    <row r="6092" spans="1:22" customFormat="1" ht="15" x14ac:dyDescent="0.25">
      <c r="A6092" t="s">
        <v>295</v>
      </c>
      <c r="E6092" s="1520" t="s">
        <v>950</v>
      </c>
      <c r="F6092" s="1530"/>
      <c r="G6092" s="1530"/>
      <c r="H6092" s="1530"/>
      <c r="K6092" t="s">
        <v>1041</v>
      </c>
      <c r="V6092">
        <v>11</v>
      </c>
    </row>
    <row r="6093" spans="1:22" customFormat="1" ht="15" x14ac:dyDescent="0.25">
      <c r="A6093" t="s">
        <v>295</v>
      </c>
      <c r="E6093" s="1518" t="s">
        <v>951</v>
      </c>
      <c r="F6093" s="1518"/>
      <c r="G6093" s="1518"/>
      <c r="H6093" s="1519"/>
      <c r="K6093" t="s">
        <v>3872</v>
      </c>
      <c r="V6093">
        <v>280</v>
      </c>
    </row>
    <row r="6094" spans="1:22" customFormat="1" ht="15" x14ac:dyDescent="0.25">
      <c r="A6094" t="s">
        <v>295</v>
      </c>
      <c r="E6094" s="1518" t="s">
        <v>952</v>
      </c>
      <c r="F6094" s="1518"/>
      <c r="G6094" s="1518"/>
      <c r="H6094" s="1519"/>
      <c r="K6094" t="s">
        <v>3872</v>
      </c>
      <c r="V6094">
        <v>411</v>
      </c>
    </row>
    <row r="6095" spans="1:22" customFormat="1" ht="15" x14ac:dyDescent="0.25">
      <c r="A6095" t="s">
        <v>295</v>
      </c>
      <c r="E6095" s="1518" t="s">
        <v>3761</v>
      </c>
      <c r="F6095" s="1518"/>
      <c r="G6095" s="1518"/>
      <c r="H6095" s="1519"/>
      <c r="K6095" t="s">
        <v>3872</v>
      </c>
      <c r="V6095">
        <v>387</v>
      </c>
    </row>
    <row r="6096" spans="1:22" customFormat="1" ht="15" x14ac:dyDescent="0.25">
      <c r="A6096" t="s">
        <v>295</v>
      </c>
      <c r="E6096" s="1518" t="s">
        <v>954</v>
      </c>
      <c r="F6096" s="1518"/>
      <c r="G6096" s="1518"/>
      <c r="H6096" s="1519"/>
      <c r="K6096" t="s">
        <v>3872</v>
      </c>
      <c r="V6096">
        <v>246</v>
      </c>
    </row>
    <row r="6097" spans="1:22" customFormat="1" ht="15" x14ac:dyDescent="0.25">
      <c r="A6097" t="s">
        <v>295</v>
      </c>
      <c r="E6097" s="1520" t="s">
        <v>956</v>
      </c>
      <c r="F6097" s="1530"/>
      <c r="G6097" s="1530"/>
      <c r="H6097" s="1530"/>
      <c r="K6097" t="s">
        <v>1042</v>
      </c>
      <c r="V6097">
        <v>46</v>
      </c>
    </row>
    <row r="6098" spans="1:22" customFormat="1" ht="15" x14ac:dyDescent="0.25">
      <c r="A6098" t="s">
        <v>295</v>
      </c>
      <c r="E6098" s="1508" t="s">
        <v>3874</v>
      </c>
      <c r="F6098" s="1508"/>
      <c r="G6098" s="617" t="s">
        <v>777</v>
      </c>
      <c r="H6098" s="576">
        <v>6.06</v>
      </c>
      <c r="K6098" t="s">
        <v>3872</v>
      </c>
      <c r="L6098" t="s">
        <v>690</v>
      </c>
      <c r="P6098" t="s">
        <v>3875</v>
      </c>
      <c r="V6098">
        <v>31</v>
      </c>
    </row>
    <row r="6099" spans="1:22" customFormat="1" ht="15" x14ac:dyDescent="0.25">
      <c r="A6099" t="s">
        <v>295</v>
      </c>
      <c r="E6099" s="1508" t="s">
        <v>3688</v>
      </c>
      <c r="F6099" s="1508"/>
      <c r="G6099" s="617" t="s">
        <v>845</v>
      </c>
      <c r="H6099" s="577">
        <v>2.4899999999999999E-2</v>
      </c>
      <c r="K6099" t="s">
        <v>3872</v>
      </c>
      <c r="L6099" t="s">
        <v>690</v>
      </c>
      <c r="P6099" t="s">
        <v>3876</v>
      </c>
      <c r="V6099">
        <v>28</v>
      </c>
    </row>
    <row r="6100" spans="1:22" customFormat="1" ht="15" x14ac:dyDescent="0.25">
      <c r="A6100" t="s">
        <v>295</v>
      </c>
      <c r="E6100" s="1508" t="s">
        <v>6617</v>
      </c>
      <c r="F6100" s="1510"/>
      <c r="G6100" s="617" t="s">
        <v>845</v>
      </c>
      <c r="H6100" s="577">
        <v>2.0000000000000001E-4</v>
      </c>
      <c r="K6100" t="s">
        <v>3872</v>
      </c>
      <c r="L6100" t="s">
        <v>692</v>
      </c>
      <c r="P6100" t="s">
        <v>3991</v>
      </c>
      <c r="V6100">
        <v>149</v>
      </c>
    </row>
    <row r="6101" spans="1:22" customFormat="1" ht="15" x14ac:dyDescent="0.25">
      <c r="A6101" t="s">
        <v>295</v>
      </c>
      <c r="E6101" s="1508" t="s">
        <v>6520</v>
      </c>
      <c r="F6101" s="1510"/>
      <c r="G6101" s="617" t="s">
        <v>845</v>
      </c>
      <c r="H6101" s="577">
        <v>5.0000000000000001E-4</v>
      </c>
      <c r="K6101" t="s">
        <v>3872</v>
      </c>
      <c r="L6101" t="s">
        <v>692</v>
      </c>
      <c r="P6101" t="s">
        <v>3990</v>
      </c>
      <c r="T6101">
        <v>46022</v>
      </c>
      <c r="V6101">
        <v>99</v>
      </c>
    </row>
    <row r="6102" spans="1:22" customFormat="1" ht="15" x14ac:dyDescent="0.25">
      <c r="A6102" t="s">
        <v>295</v>
      </c>
      <c r="E6102" s="1508" t="s">
        <v>243</v>
      </c>
      <c r="F6102" s="1508"/>
      <c r="G6102" s="617" t="s">
        <v>845</v>
      </c>
      <c r="H6102" s="577">
        <v>1.23E-2</v>
      </c>
      <c r="K6102" t="s">
        <v>3872</v>
      </c>
      <c r="L6102" t="s">
        <v>694</v>
      </c>
      <c r="P6102" t="s">
        <v>3877</v>
      </c>
      <c r="V6102">
        <v>47</v>
      </c>
    </row>
    <row r="6103" spans="1:22" customFormat="1" ht="15" x14ac:dyDescent="0.25">
      <c r="A6103" t="s">
        <v>295</v>
      </c>
      <c r="E6103" s="1508" t="s">
        <v>175</v>
      </c>
      <c r="F6103" s="1508"/>
      <c r="G6103" s="617" t="s">
        <v>845</v>
      </c>
      <c r="H6103" s="577">
        <v>9.2999999999999992E-3</v>
      </c>
      <c r="K6103" t="s">
        <v>3872</v>
      </c>
      <c r="L6103" t="s">
        <v>694</v>
      </c>
      <c r="P6103" t="s">
        <v>3878</v>
      </c>
      <c r="V6103">
        <v>74</v>
      </c>
    </row>
    <row r="6104" spans="1:22" customFormat="1" ht="15" x14ac:dyDescent="0.25">
      <c r="A6104" t="s">
        <v>295</v>
      </c>
      <c r="E6104" s="1523" t="s">
        <v>967</v>
      </c>
      <c r="F6104" s="1507"/>
      <c r="G6104" s="620"/>
      <c r="H6104" s="620"/>
      <c r="K6104" t="s">
        <v>1049</v>
      </c>
      <c r="V6104">
        <v>48</v>
      </c>
    </row>
    <row r="6105" spans="1:22" customFormat="1" ht="15" x14ac:dyDescent="0.25">
      <c r="A6105" t="s">
        <v>295</v>
      </c>
      <c r="E6105" s="1508" t="s">
        <v>844</v>
      </c>
      <c r="F6105" s="1508"/>
      <c r="G6105" s="620" t="s">
        <v>845</v>
      </c>
      <c r="H6105" s="621">
        <v>4.1000000000000003E-3</v>
      </c>
      <c r="K6105" t="s">
        <v>3872</v>
      </c>
      <c r="L6105" t="s">
        <v>968</v>
      </c>
      <c r="P6105" t="s">
        <v>3879</v>
      </c>
      <c r="V6105">
        <v>55</v>
      </c>
    </row>
    <row r="6106" spans="1:22" customFormat="1" ht="15" x14ac:dyDescent="0.25">
      <c r="A6106" t="s">
        <v>295</v>
      </c>
      <c r="E6106" s="1508" t="s">
        <v>846</v>
      </c>
      <c r="F6106" s="1507"/>
      <c r="G6106" s="620" t="s">
        <v>845</v>
      </c>
      <c r="H6106" s="621">
        <v>4.0000000000000002E-4</v>
      </c>
      <c r="K6106" t="s">
        <v>3872</v>
      </c>
      <c r="L6106" t="s">
        <v>968</v>
      </c>
      <c r="P6106" t="s">
        <v>3879</v>
      </c>
      <c r="V6106">
        <v>65</v>
      </c>
    </row>
    <row r="6107" spans="1:22" customFormat="1" ht="15" x14ac:dyDescent="0.25">
      <c r="A6107" t="s">
        <v>295</v>
      </c>
      <c r="E6107" s="1508" t="s">
        <v>847</v>
      </c>
      <c r="F6107" s="1508"/>
      <c r="G6107" s="620" t="s">
        <v>845</v>
      </c>
      <c r="H6107" s="621">
        <v>1.5E-3</v>
      </c>
      <c r="K6107" t="s">
        <v>3872</v>
      </c>
      <c r="L6107" t="s">
        <v>968</v>
      </c>
      <c r="P6107" t="s">
        <v>3880</v>
      </c>
      <c r="V6107">
        <v>57</v>
      </c>
    </row>
    <row r="6108" spans="1:22" customFormat="1" ht="15" x14ac:dyDescent="0.25">
      <c r="A6108" t="s">
        <v>295</v>
      </c>
      <c r="E6108" s="1508" t="s">
        <v>848</v>
      </c>
      <c r="F6108" s="1508"/>
      <c r="G6108" s="620" t="s">
        <v>777</v>
      </c>
      <c r="H6108" s="622">
        <v>0.25</v>
      </c>
      <c r="K6108" t="s">
        <v>3872</v>
      </c>
      <c r="L6108" t="s">
        <v>968</v>
      </c>
      <c r="P6108" t="s">
        <v>3881</v>
      </c>
      <c r="V6108">
        <v>63</v>
      </c>
    </row>
    <row r="6109" spans="1:22" customFormat="1" x14ac:dyDescent="0.25">
      <c r="A6109" t="s">
        <v>295</v>
      </c>
      <c r="E6109" s="1642" t="s">
        <v>198</v>
      </c>
      <c r="F6109" s="1642"/>
      <c r="G6109" s="1642"/>
      <c r="H6109" s="1643"/>
      <c r="K6109" t="s">
        <v>3882</v>
      </c>
      <c r="V6109">
        <v>40</v>
      </c>
    </row>
    <row r="6110" spans="1:22" customFormat="1" ht="15" x14ac:dyDescent="0.25">
      <c r="A6110" t="s">
        <v>295</v>
      </c>
      <c r="E6110" s="1518" t="s">
        <v>5107</v>
      </c>
      <c r="F6110" s="1518"/>
      <c r="G6110" s="1518"/>
      <c r="H6110" s="1519"/>
      <c r="K6110" t="s">
        <v>3882</v>
      </c>
      <c r="V6110">
        <v>188</v>
      </c>
    </row>
    <row r="6111" spans="1:22" customFormat="1" ht="15" x14ac:dyDescent="0.25">
      <c r="A6111" t="s">
        <v>295</v>
      </c>
      <c r="E6111" s="1520" t="s">
        <v>950</v>
      </c>
      <c r="F6111" s="1530"/>
      <c r="G6111" s="1530"/>
      <c r="H6111" s="1530"/>
      <c r="K6111" t="s">
        <v>1055</v>
      </c>
      <c r="V6111">
        <v>11</v>
      </c>
    </row>
    <row r="6112" spans="1:22" customFormat="1" ht="15" x14ac:dyDescent="0.25">
      <c r="A6112" t="s">
        <v>295</v>
      </c>
      <c r="E6112" s="1518" t="s">
        <v>951</v>
      </c>
      <c r="F6112" s="1518"/>
      <c r="G6112" s="1518"/>
      <c r="H6112" s="1519"/>
      <c r="K6112" t="s">
        <v>3882</v>
      </c>
      <c r="V6112">
        <v>280</v>
      </c>
    </row>
    <row r="6113" spans="1:22" customFormat="1" ht="15" x14ac:dyDescent="0.25">
      <c r="A6113" t="s">
        <v>295</v>
      </c>
      <c r="E6113" s="1518" t="s">
        <v>952</v>
      </c>
      <c r="F6113" s="1518"/>
      <c r="G6113" s="1518"/>
      <c r="H6113" s="1519"/>
      <c r="K6113" t="s">
        <v>3882</v>
      </c>
      <c r="V6113">
        <v>411</v>
      </c>
    </row>
    <row r="6114" spans="1:22" customFormat="1" ht="15" x14ac:dyDescent="0.25">
      <c r="A6114" t="s">
        <v>295</v>
      </c>
      <c r="E6114" s="1518" t="s">
        <v>3761</v>
      </c>
      <c r="F6114" s="1518"/>
      <c r="G6114" s="1518"/>
      <c r="H6114" s="1519"/>
      <c r="K6114" t="s">
        <v>3882</v>
      </c>
      <c r="V6114">
        <v>387</v>
      </c>
    </row>
    <row r="6115" spans="1:22" customFormat="1" ht="15" x14ac:dyDescent="0.25">
      <c r="A6115" t="s">
        <v>295</v>
      </c>
      <c r="E6115" s="1518" t="s">
        <v>954</v>
      </c>
      <c r="F6115" s="1518"/>
      <c r="G6115" s="1518"/>
      <c r="H6115" s="1519"/>
      <c r="K6115" t="s">
        <v>3882</v>
      </c>
      <c r="V6115">
        <v>246</v>
      </c>
    </row>
    <row r="6116" spans="1:22" customFormat="1" ht="15" x14ac:dyDescent="0.25">
      <c r="A6116" t="s">
        <v>295</v>
      </c>
      <c r="E6116" s="1520" t="s">
        <v>956</v>
      </c>
      <c r="F6116" s="1530"/>
      <c r="G6116" s="1530"/>
      <c r="H6116" s="1530"/>
      <c r="K6116" t="s">
        <v>1056</v>
      </c>
      <c r="V6116">
        <v>46</v>
      </c>
    </row>
    <row r="6117" spans="1:22" customFormat="1" ht="15" x14ac:dyDescent="0.25">
      <c r="A6117" t="s">
        <v>295</v>
      </c>
      <c r="E6117" s="1508" t="s">
        <v>3874</v>
      </c>
      <c r="F6117" s="1508"/>
      <c r="G6117" s="617" t="s">
        <v>777</v>
      </c>
      <c r="H6117" s="576">
        <v>6.82</v>
      </c>
      <c r="K6117" t="s">
        <v>3882</v>
      </c>
      <c r="L6117" t="s">
        <v>690</v>
      </c>
      <c r="P6117" t="s">
        <v>3884</v>
      </c>
      <c r="V6117">
        <v>31</v>
      </c>
    </row>
    <row r="6118" spans="1:22" customFormat="1" ht="15" x14ac:dyDescent="0.25">
      <c r="A6118" t="s">
        <v>295</v>
      </c>
      <c r="E6118" s="1508" t="s">
        <v>3688</v>
      </c>
      <c r="F6118" s="1508"/>
      <c r="G6118" s="617" t="s">
        <v>3775</v>
      </c>
      <c r="H6118" s="577">
        <v>9.7279</v>
      </c>
      <c r="K6118" t="s">
        <v>3882</v>
      </c>
      <c r="L6118" t="s">
        <v>690</v>
      </c>
      <c r="P6118" t="s">
        <v>3885</v>
      </c>
      <c r="V6118">
        <v>28</v>
      </c>
    </row>
    <row r="6119" spans="1:22" customFormat="1" ht="15" x14ac:dyDescent="0.25">
      <c r="A6119" t="s">
        <v>295</v>
      </c>
      <c r="E6119" s="1508" t="s">
        <v>6617</v>
      </c>
      <c r="F6119" s="1510"/>
      <c r="G6119" s="617" t="s">
        <v>3775</v>
      </c>
      <c r="H6119" s="577">
        <v>5.1900000000000002E-2</v>
      </c>
      <c r="K6119" t="s">
        <v>3882</v>
      </c>
      <c r="L6119" t="s">
        <v>692</v>
      </c>
      <c r="P6119" t="s">
        <v>4348</v>
      </c>
      <c r="V6119">
        <v>149</v>
      </c>
    </row>
    <row r="6120" spans="1:22" customFormat="1" ht="15" x14ac:dyDescent="0.25">
      <c r="A6120" t="s">
        <v>295</v>
      </c>
      <c r="E6120" s="1508" t="s">
        <v>6520</v>
      </c>
      <c r="F6120" s="1510"/>
      <c r="G6120" s="617" t="s">
        <v>3775</v>
      </c>
      <c r="H6120" s="577">
        <v>0.1426</v>
      </c>
      <c r="K6120" t="s">
        <v>3882</v>
      </c>
      <c r="L6120" t="s">
        <v>692</v>
      </c>
      <c r="P6120" t="s">
        <v>4347</v>
      </c>
      <c r="T6120">
        <v>46022</v>
      </c>
      <c r="V6120">
        <v>99</v>
      </c>
    </row>
    <row r="6121" spans="1:22" customFormat="1" ht="15" x14ac:dyDescent="0.25">
      <c r="A6121" t="s">
        <v>295</v>
      </c>
      <c r="E6121" s="1508" t="s">
        <v>243</v>
      </c>
      <c r="F6121" s="1508"/>
      <c r="G6121" s="617" t="s">
        <v>3775</v>
      </c>
      <c r="H6121" s="577">
        <v>3.0891000000000002</v>
      </c>
      <c r="K6121" t="s">
        <v>3882</v>
      </c>
      <c r="L6121" t="s">
        <v>694</v>
      </c>
      <c r="P6121" t="s">
        <v>3886</v>
      </c>
      <c r="V6121">
        <v>47</v>
      </c>
    </row>
    <row r="6122" spans="1:22" customFormat="1" ht="15" x14ac:dyDescent="0.25">
      <c r="A6122" t="s">
        <v>295</v>
      </c>
      <c r="E6122" s="1508" t="s">
        <v>175</v>
      </c>
      <c r="F6122" s="1508"/>
      <c r="G6122" s="617" t="s">
        <v>3775</v>
      </c>
      <c r="H6122" s="577">
        <v>3.8502000000000001</v>
      </c>
      <c r="K6122" t="s">
        <v>3882</v>
      </c>
      <c r="L6122" t="s">
        <v>694</v>
      </c>
      <c r="P6122" t="s">
        <v>3887</v>
      </c>
      <c r="V6122">
        <v>74</v>
      </c>
    </row>
    <row r="6123" spans="1:22" customFormat="1" ht="15" x14ac:dyDescent="0.25">
      <c r="A6123" t="s">
        <v>295</v>
      </c>
      <c r="E6123" s="1523" t="s">
        <v>967</v>
      </c>
      <c r="F6123" s="1507"/>
      <c r="G6123" s="620"/>
      <c r="H6123" s="620"/>
      <c r="K6123" t="s">
        <v>1065</v>
      </c>
      <c r="V6123">
        <v>48</v>
      </c>
    </row>
    <row r="6124" spans="1:22" customFormat="1" ht="15" x14ac:dyDescent="0.25">
      <c r="A6124" t="s">
        <v>295</v>
      </c>
      <c r="E6124" s="1508" t="s">
        <v>844</v>
      </c>
      <c r="F6124" s="1508"/>
      <c r="G6124" s="620" t="s">
        <v>845</v>
      </c>
      <c r="H6124" s="621">
        <v>4.1000000000000003E-3</v>
      </c>
      <c r="K6124" t="s">
        <v>3882</v>
      </c>
      <c r="L6124" t="s">
        <v>968</v>
      </c>
      <c r="P6124" t="s">
        <v>3888</v>
      </c>
      <c r="V6124">
        <v>55</v>
      </c>
    </row>
    <row r="6125" spans="1:22" customFormat="1" ht="15" x14ac:dyDescent="0.25">
      <c r="A6125" t="s">
        <v>295</v>
      </c>
      <c r="E6125" s="1508" t="s">
        <v>846</v>
      </c>
      <c r="F6125" s="1507"/>
      <c r="G6125" s="620" t="s">
        <v>845</v>
      </c>
      <c r="H6125" s="621">
        <v>4.0000000000000002E-4</v>
      </c>
      <c r="K6125" t="s">
        <v>3882</v>
      </c>
      <c r="L6125" t="s">
        <v>968</v>
      </c>
      <c r="P6125" t="s">
        <v>3888</v>
      </c>
      <c r="V6125">
        <v>65</v>
      </c>
    </row>
    <row r="6126" spans="1:22" customFormat="1" ht="15" x14ac:dyDescent="0.25">
      <c r="A6126" t="s">
        <v>295</v>
      </c>
      <c r="E6126" s="1508" t="s">
        <v>847</v>
      </c>
      <c r="F6126" s="1508"/>
      <c r="G6126" s="620" t="s">
        <v>845</v>
      </c>
      <c r="H6126" s="621">
        <v>1.5E-3</v>
      </c>
      <c r="K6126" t="s">
        <v>3882</v>
      </c>
      <c r="L6126" t="s">
        <v>968</v>
      </c>
      <c r="P6126" t="s">
        <v>3889</v>
      </c>
      <c r="V6126">
        <v>57</v>
      </c>
    </row>
    <row r="6127" spans="1:22" customFormat="1" ht="15" x14ac:dyDescent="0.25">
      <c r="A6127" t="s">
        <v>295</v>
      </c>
      <c r="E6127" s="1508" t="s">
        <v>848</v>
      </c>
      <c r="F6127" s="1508"/>
      <c r="G6127" s="620" t="s">
        <v>777</v>
      </c>
      <c r="H6127" s="622">
        <v>0.25</v>
      </c>
      <c r="K6127" t="s">
        <v>3882</v>
      </c>
      <c r="L6127" t="s">
        <v>968</v>
      </c>
      <c r="P6127" t="s">
        <v>3890</v>
      </c>
      <c r="V6127">
        <v>63</v>
      </c>
    </row>
    <row r="6128" spans="1:22" customFormat="1" x14ac:dyDescent="0.25">
      <c r="A6128" t="s">
        <v>295</v>
      </c>
      <c r="E6128" s="1642" t="s">
        <v>202</v>
      </c>
      <c r="F6128" s="1642"/>
      <c r="G6128" s="1642"/>
      <c r="H6128" s="1643"/>
      <c r="K6128" t="s">
        <v>3891</v>
      </c>
      <c r="V6128">
        <v>38</v>
      </c>
    </row>
    <row r="6129" spans="1:22" customFormat="1" ht="15" x14ac:dyDescent="0.25">
      <c r="A6129" t="s">
        <v>295</v>
      </c>
      <c r="E6129" s="1518" t="s">
        <v>5108</v>
      </c>
      <c r="F6129" s="1518"/>
      <c r="G6129" s="1518"/>
      <c r="H6129" s="1519"/>
      <c r="K6129" t="s">
        <v>3891</v>
      </c>
      <c r="V6129">
        <v>526</v>
      </c>
    </row>
    <row r="6130" spans="1:22" customFormat="1" ht="15" x14ac:dyDescent="0.25">
      <c r="A6130" t="s">
        <v>295</v>
      </c>
      <c r="E6130" s="1520" t="s">
        <v>950</v>
      </c>
      <c r="F6130" s="1530"/>
      <c r="G6130" s="1530"/>
      <c r="H6130" s="1530"/>
      <c r="K6130" t="s">
        <v>1071</v>
      </c>
      <c r="V6130">
        <v>11</v>
      </c>
    </row>
    <row r="6131" spans="1:22" customFormat="1" ht="15" x14ac:dyDescent="0.25">
      <c r="A6131" t="s">
        <v>295</v>
      </c>
      <c r="E6131" s="1518" t="s">
        <v>951</v>
      </c>
      <c r="F6131" s="1518"/>
      <c r="G6131" s="1518"/>
      <c r="H6131" s="1519"/>
      <c r="K6131" t="s">
        <v>3891</v>
      </c>
      <c r="V6131">
        <v>280</v>
      </c>
    </row>
    <row r="6132" spans="1:22" customFormat="1" ht="15" x14ac:dyDescent="0.25">
      <c r="A6132" t="s">
        <v>295</v>
      </c>
      <c r="E6132" s="1518" t="s">
        <v>952</v>
      </c>
      <c r="F6132" s="1518"/>
      <c r="G6132" s="1518"/>
      <c r="H6132" s="1519"/>
      <c r="K6132" t="s">
        <v>3891</v>
      </c>
      <c r="V6132">
        <v>411</v>
      </c>
    </row>
    <row r="6133" spans="1:22" customFormat="1" ht="15" x14ac:dyDescent="0.25">
      <c r="A6133" t="s">
        <v>295</v>
      </c>
      <c r="E6133" s="1518" t="s">
        <v>3761</v>
      </c>
      <c r="F6133" s="1518"/>
      <c r="G6133" s="1518"/>
      <c r="H6133" s="1519"/>
      <c r="K6133" t="s">
        <v>3891</v>
      </c>
      <c r="V6133">
        <v>387</v>
      </c>
    </row>
    <row r="6134" spans="1:22" customFormat="1" ht="15" x14ac:dyDescent="0.25">
      <c r="A6134" t="s">
        <v>295</v>
      </c>
      <c r="E6134" s="1518" t="s">
        <v>954</v>
      </c>
      <c r="F6134" s="1518"/>
      <c r="G6134" s="1518"/>
      <c r="H6134" s="1519"/>
      <c r="K6134" t="s">
        <v>3891</v>
      </c>
      <c r="V6134">
        <v>246</v>
      </c>
    </row>
    <row r="6135" spans="1:22" customFormat="1" ht="15" x14ac:dyDescent="0.25">
      <c r="A6135" t="s">
        <v>295</v>
      </c>
      <c r="E6135" s="1520" t="s">
        <v>956</v>
      </c>
      <c r="F6135" s="1530"/>
      <c r="G6135" s="1530"/>
      <c r="H6135" s="1530"/>
      <c r="K6135" t="s">
        <v>1075</v>
      </c>
      <c r="V6135">
        <v>46</v>
      </c>
    </row>
    <row r="6136" spans="1:22" customFormat="1" ht="15" x14ac:dyDescent="0.25">
      <c r="A6136" t="s">
        <v>295</v>
      </c>
      <c r="E6136" s="1508" t="s">
        <v>3874</v>
      </c>
      <c r="F6136" s="1508"/>
      <c r="G6136" s="617" t="s">
        <v>777</v>
      </c>
      <c r="H6136" s="576">
        <v>1.67</v>
      </c>
      <c r="K6136" t="s">
        <v>3891</v>
      </c>
      <c r="L6136" t="s">
        <v>690</v>
      </c>
      <c r="P6136" t="s">
        <v>3894</v>
      </c>
      <c r="V6136">
        <v>31</v>
      </c>
    </row>
    <row r="6137" spans="1:22" customFormat="1" ht="15" x14ac:dyDescent="0.25">
      <c r="A6137" t="s">
        <v>295</v>
      </c>
      <c r="E6137" s="1508" t="s">
        <v>3688</v>
      </c>
      <c r="F6137" s="1508"/>
      <c r="G6137" s="617" t="s">
        <v>3775</v>
      </c>
      <c r="H6137" s="577">
        <v>25.5825</v>
      </c>
      <c r="K6137" t="s">
        <v>3891</v>
      </c>
      <c r="L6137" t="s">
        <v>690</v>
      </c>
      <c r="P6137" t="s">
        <v>3895</v>
      </c>
      <c r="V6137">
        <v>28</v>
      </c>
    </row>
    <row r="6138" spans="1:22" customFormat="1" ht="15" x14ac:dyDescent="0.25">
      <c r="A6138" t="s">
        <v>295</v>
      </c>
      <c r="E6138" s="1508" t="s">
        <v>6519</v>
      </c>
      <c r="F6138" s="1510"/>
      <c r="G6138" s="617" t="s">
        <v>845</v>
      </c>
      <c r="H6138" s="577">
        <v>1.8E-3</v>
      </c>
      <c r="K6138" t="s">
        <v>3891</v>
      </c>
      <c r="L6138" t="s">
        <v>692</v>
      </c>
      <c r="P6138" t="s">
        <v>4351</v>
      </c>
      <c r="T6138">
        <v>46022</v>
      </c>
      <c r="V6138">
        <v>142</v>
      </c>
    </row>
    <row r="6139" spans="1:22" customFormat="1" ht="15" x14ac:dyDescent="0.25">
      <c r="A6139" t="s">
        <v>295</v>
      </c>
      <c r="E6139" s="1508" t="s">
        <v>6520</v>
      </c>
      <c r="F6139" s="1510"/>
      <c r="G6139" s="617" t="s">
        <v>3775</v>
      </c>
      <c r="H6139" s="577">
        <v>0.16800000000000001</v>
      </c>
      <c r="K6139" t="s">
        <v>3891</v>
      </c>
      <c r="L6139" t="s">
        <v>692</v>
      </c>
      <c r="P6139" t="s">
        <v>4353</v>
      </c>
      <c r="T6139">
        <v>46022</v>
      </c>
      <c r="V6139">
        <v>99</v>
      </c>
    </row>
    <row r="6140" spans="1:22" customFormat="1" ht="15" x14ac:dyDescent="0.25">
      <c r="A6140" t="s">
        <v>295</v>
      </c>
      <c r="E6140" s="1508" t="s">
        <v>6617</v>
      </c>
      <c r="F6140" s="1510"/>
      <c r="G6140" s="617" t="s">
        <v>3775</v>
      </c>
      <c r="H6140" s="577">
        <v>6.4000000000000001E-2</v>
      </c>
      <c r="K6140" t="s">
        <v>3891</v>
      </c>
      <c r="L6140" t="s">
        <v>692</v>
      </c>
      <c r="P6140" t="s">
        <v>4354</v>
      </c>
      <c r="V6140">
        <v>149</v>
      </c>
    </row>
    <row r="6141" spans="1:22" customFormat="1" ht="15" x14ac:dyDescent="0.25">
      <c r="A6141" t="s">
        <v>295</v>
      </c>
      <c r="E6141" s="1508" t="s">
        <v>243</v>
      </c>
      <c r="F6141" s="1508"/>
      <c r="G6141" s="617" t="s">
        <v>3775</v>
      </c>
      <c r="H6141" s="577">
        <v>3.0366</v>
      </c>
      <c r="K6141" t="s">
        <v>3891</v>
      </c>
      <c r="L6141" t="s">
        <v>694</v>
      </c>
      <c r="P6141" t="s">
        <v>3896</v>
      </c>
      <c r="V6141">
        <v>47</v>
      </c>
    </row>
    <row r="6142" spans="1:22" customFormat="1" ht="15" x14ac:dyDescent="0.25">
      <c r="A6142" t="s">
        <v>295</v>
      </c>
      <c r="E6142" s="1508" t="s">
        <v>175</v>
      </c>
      <c r="F6142" s="1508"/>
      <c r="G6142" s="617" t="s">
        <v>3775</v>
      </c>
      <c r="H6142" s="577">
        <v>3.7850000000000001</v>
      </c>
      <c r="K6142" t="s">
        <v>3891</v>
      </c>
      <c r="L6142" t="s">
        <v>694</v>
      </c>
      <c r="P6142" t="s">
        <v>3897</v>
      </c>
      <c r="V6142">
        <v>74</v>
      </c>
    </row>
    <row r="6143" spans="1:22" customFormat="1" ht="15" x14ac:dyDescent="0.25">
      <c r="A6143" t="s">
        <v>295</v>
      </c>
      <c r="E6143" s="1523" t="s">
        <v>967</v>
      </c>
      <c r="F6143" s="1507"/>
      <c r="G6143" s="620"/>
      <c r="H6143" s="620"/>
      <c r="K6143" t="s">
        <v>3898</v>
      </c>
      <c r="V6143">
        <v>48</v>
      </c>
    </row>
    <row r="6144" spans="1:22" customFormat="1" ht="15" x14ac:dyDescent="0.25">
      <c r="A6144" t="s">
        <v>295</v>
      </c>
      <c r="E6144" s="1508" t="s">
        <v>844</v>
      </c>
      <c r="F6144" s="1508"/>
      <c r="G6144" s="620" t="s">
        <v>845</v>
      </c>
      <c r="H6144" s="621">
        <v>4.1000000000000003E-3</v>
      </c>
      <c r="K6144" t="s">
        <v>3891</v>
      </c>
      <c r="L6144" t="s">
        <v>968</v>
      </c>
      <c r="P6144" t="s">
        <v>3899</v>
      </c>
      <c r="V6144">
        <v>55</v>
      </c>
    </row>
    <row r="6145" spans="1:22" customFormat="1" ht="15" x14ac:dyDescent="0.25">
      <c r="A6145" t="s">
        <v>295</v>
      </c>
      <c r="E6145" s="1508" t="s">
        <v>846</v>
      </c>
      <c r="F6145" s="1507"/>
      <c r="G6145" s="620" t="s">
        <v>845</v>
      </c>
      <c r="H6145" s="621">
        <v>4.0000000000000002E-4</v>
      </c>
      <c r="K6145" t="s">
        <v>3891</v>
      </c>
      <c r="L6145" t="s">
        <v>968</v>
      </c>
      <c r="P6145" t="s">
        <v>3899</v>
      </c>
      <c r="V6145">
        <v>65</v>
      </c>
    </row>
    <row r="6146" spans="1:22" customFormat="1" ht="15" x14ac:dyDescent="0.25">
      <c r="A6146" t="s">
        <v>295</v>
      </c>
      <c r="E6146" s="1508" t="s">
        <v>847</v>
      </c>
      <c r="F6146" s="1508"/>
      <c r="G6146" s="620" t="s">
        <v>845</v>
      </c>
      <c r="H6146" s="621">
        <v>1.5E-3</v>
      </c>
      <c r="K6146" t="s">
        <v>3891</v>
      </c>
      <c r="L6146" t="s">
        <v>968</v>
      </c>
      <c r="P6146" t="s">
        <v>3900</v>
      </c>
      <c r="V6146">
        <v>57</v>
      </c>
    </row>
    <row r="6147" spans="1:22" customFormat="1" ht="15" x14ac:dyDescent="0.25">
      <c r="A6147" t="s">
        <v>295</v>
      </c>
      <c r="E6147" s="1508" t="s">
        <v>848</v>
      </c>
      <c r="F6147" s="1508"/>
      <c r="G6147" s="620" t="s">
        <v>777</v>
      </c>
      <c r="H6147" s="622">
        <v>0.25</v>
      </c>
      <c r="K6147" t="s">
        <v>3891</v>
      </c>
      <c r="L6147" t="s">
        <v>968</v>
      </c>
      <c r="P6147" t="s">
        <v>3901</v>
      </c>
      <c r="V6147">
        <v>63</v>
      </c>
    </row>
    <row r="6148" spans="1:22" customFormat="1" x14ac:dyDescent="0.25">
      <c r="A6148" t="s">
        <v>295</v>
      </c>
      <c r="E6148" s="1642" t="s">
        <v>207</v>
      </c>
      <c r="F6148" s="1642"/>
      <c r="G6148" s="1642"/>
      <c r="H6148" s="1643"/>
      <c r="K6148" t="s">
        <v>3902</v>
      </c>
      <c r="V6148">
        <v>31</v>
      </c>
    </row>
    <row r="6149" spans="1:22" customFormat="1" ht="15" x14ac:dyDescent="0.25">
      <c r="A6149" t="s">
        <v>295</v>
      </c>
      <c r="E6149" s="1518" t="s">
        <v>4150</v>
      </c>
      <c r="F6149" s="1518"/>
      <c r="G6149" s="1518"/>
      <c r="H6149" s="1519"/>
      <c r="K6149" t="s">
        <v>3902</v>
      </c>
      <c r="V6149">
        <v>286</v>
      </c>
    </row>
    <row r="6150" spans="1:22" customFormat="1" ht="15" x14ac:dyDescent="0.25">
      <c r="A6150" t="s">
        <v>295</v>
      </c>
      <c r="E6150" s="1520" t="s">
        <v>950</v>
      </c>
      <c r="F6150" s="1530"/>
      <c r="G6150" s="1530"/>
      <c r="H6150" s="1530"/>
      <c r="K6150" t="s">
        <v>3904</v>
      </c>
      <c r="V6150">
        <v>11</v>
      </c>
    </row>
    <row r="6151" spans="1:22" customFormat="1" ht="15" x14ac:dyDescent="0.25">
      <c r="A6151" t="s">
        <v>295</v>
      </c>
      <c r="E6151" s="1518" t="s">
        <v>951</v>
      </c>
      <c r="F6151" s="1518"/>
      <c r="G6151" s="1518"/>
      <c r="H6151" s="1519"/>
      <c r="K6151" t="s">
        <v>3902</v>
      </c>
      <c r="V6151">
        <v>280</v>
      </c>
    </row>
    <row r="6152" spans="1:22" customFormat="1" ht="15" x14ac:dyDescent="0.25">
      <c r="A6152" t="s">
        <v>295</v>
      </c>
      <c r="E6152" s="1518" t="s">
        <v>952</v>
      </c>
      <c r="F6152" s="1518"/>
      <c r="G6152" s="1518"/>
      <c r="H6152" s="1519"/>
      <c r="K6152" t="s">
        <v>3902</v>
      </c>
      <c r="V6152">
        <v>411</v>
      </c>
    </row>
    <row r="6153" spans="1:22" customFormat="1" ht="15" x14ac:dyDescent="0.25">
      <c r="A6153" t="s">
        <v>295</v>
      </c>
      <c r="E6153" s="1518" t="s">
        <v>1103</v>
      </c>
      <c r="F6153" s="1518"/>
      <c r="G6153" s="1518"/>
      <c r="H6153" s="1519"/>
      <c r="K6153" t="s">
        <v>3902</v>
      </c>
      <c r="V6153">
        <v>211</v>
      </c>
    </row>
    <row r="6154" spans="1:22" customFormat="1" ht="15" x14ac:dyDescent="0.25">
      <c r="A6154" t="s">
        <v>295</v>
      </c>
      <c r="E6154" s="1518" t="s">
        <v>954</v>
      </c>
      <c r="F6154" s="1518"/>
      <c r="G6154" s="1518"/>
      <c r="H6154" s="1519"/>
      <c r="K6154" t="s">
        <v>3902</v>
      </c>
      <c r="V6154">
        <v>246</v>
      </c>
    </row>
    <row r="6155" spans="1:22" customFormat="1" ht="15" x14ac:dyDescent="0.25">
      <c r="A6155" t="s">
        <v>295</v>
      </c>
      <c r="E6155" s="1520" t="s">
        <v>956</v>
      </c>
      <c r="F6155" s="1530"/>
      <c r="G6155" s="1530"/>
      <c r="H6155" s="1530"/>
      <c r="K6155" t="s">
        <v>3905</v>
      </c>
      <c r="V6155">
        <v>46</v>
      </c>
    </row>
    <row r="6156" spans="1:22" customFormat="1" ht="15" x14ac:dyDescent="0.25">
      <c r="A6156" t="s">
        <v>295</v>
      </c>
      <c r="E6156" s="1508" t="s">
        <v>3773</v>
      </c>
      <c r="F6156" s="1508"/>
      <c r="G6156" s="617" t="s">
        <v>777</v>
      </c>
      <c r="H6156" s="576">
        <v>5</v>
      </c>
      <c r="K6156" t="s">
        <v>3902</v>
      </c>
      <c r="L6156" t="s">
        <v>690</v>
      </c>
      <c r="P6156" t="s">
        <v>3906</v>
      </c>
      <c r="V6156">
        <v>14</v>
      </c>
    </row>
    <row r="6157" spans="1:22" customFormat="1" x14ac:dyDescent="0.25">
      <c r="A6157" t="s">
        <v>295</v>
      </c>
      <c r="E6157" s="812" t="s">
        <v>3825</v>
      </c>
      <c r="F6157" s="764"/>
      <c r="G6157" s="764"/>
      <c r="H6157" s="765"/>
      <c r="K6157" t="s">
        <v>5109</v>
      </c>
      <c r="V6157">
        <v>10</v>
      </c>
    </row>
    <row r="6158" spans="1:22" customFormat="1" ht="15" x14ac:dyDescent="0.25">
      <c r="A6158" t="s">
        <v>295</v>
      </c>
      <c r="E6158" s="1508" t="s">
        <v>4283</v>
      </c>
      <c r="F6158" s="1508"/>
      <c r="G6158" s="620" t="s">
        <v>3775</v>
      </c>
      <c r="H6158" s="766">
        <v>-0.6</v>
      </c>
      <c r="V6158">
        <v>62</v>
      </c>
    </row>
    <row r="6159" spans="1:22" customFormat="1" ht="15" x14ac:dyDescent="0.25">
      <c r="A6159" t="s">
        <v>295</v>
      </c>
      <c r="E6159" s="1508" t="s">
        <v>1079</v>
      </c>
      <c r="F6159" s="1508"/>
      <c r="G6159" s="694" t="s">
        <v>1118</v>
      </c>
      <c r="H6159" s="767">
        <v>-1</v>
      </c>
      <c r="V6159">
        <v>87</v>
      </c>
    </row>
    <row r="6160" spans="1:22" customFormat="1" x14ac:dyDescent="0.25">
      <c r="A6160" t="s">
        <v>295</v>
      </c>
      <c r="E6160" s="954" t="s">
        <v>3828</v>
      </c>
      <c r="F6160" s="764"/>
      <c r="G6160" s="764"/>
      <c r="H6160" s="768"/>
      <c r="K6160" t="s">
        <v>5110</v>
      </c>
      <c r="V6160">
        <v>24</v>
      </c>
    </row>
    <row r="6161" spans="1:22" customFormat="1" ht="15" x14ac:dyDescent="0.25">
      <c r="A6161" t="s">
        <v>295</v>
      </c>
      <c r="E6161" s="1751" t="s">
        <v>950</v>
      </c>
      <c r="F6161" s="1516"/>
      <c r="G6161" s="1516"/>
      <c r="H6161" s="1516"/>
      <c r="V6161">
        <v>11</v>
      </c>
    </row>
    <row r="6162" spans="1:22" customFormat="1" ht="15" x14ac:dyDescent="0.25">
      <c r="A6162" t="s">
        <v>295</v>
      </c>
      <c r="E6162" s="1583" t="s">
        <v>951</v>
      </c>
      <c r="F6162" s="1583"/>
      <c r="G6162" s="1583"/>
      <c r="H6162" s="1644"/>
      <c r="V6162">
        <v>280</v>
      </c>
    </row>
    <row r="6163" spans="1:22" customFormat="1" ht="15" x14ac:dyDescent="0.25">
      <c r="A6163" t="s">
        <v>295</v>
      </c>
      <c r="E6163" s="1583" t="s">
        <v>1081</v>
      </c>
      <c r="F6163" s="1583"/>
      <c r="G6163" s="1583"/>
      <c r="H6163" s="1644"/>
      <c r="V6163">
        <v>353</v>
      </c>
    </row>
    <row r="6164" spans="1:22" customFormat="1" ht="15" x14ac:dyDescent="0.25">
      <c r="A6164" t="s">
        <v>295</v>
      </c>
      <c r="E6164" s="1518" t="s">
        <v>954</v>
      </c>
      <c r="F6164" s="1518"/>
      <c r="G6164" s="1518"/>
      <c r="H6164" s="1519"/>
      <c r="V6164">
        <v>246</v>
      </c>
    </row>
    <row r="6165" spans="1:22" customFormat="1" ht="15" x14ac:dyDescent="0.25">
      <c r="A6165" t="s">
        <v>295</v>
      </c>
      <c r="E6165" s="813" t="s">
        <v>3830</v>
      </c>
      <c r="F6165" s="764"/>
      <c r="G6165" s="764"/>
      <c r="H6165" s="768"/>
      <c r="K6165" t="s">
        <v>5111</v>
      </c>
      <c r="V6165">
        <v>23</v>
      </c>
    </row>
    <row r="6166" spans="1:22" customFormat="1" ht="15" x14ac:dyDescent="0.25">
      <c r="A6166" t="s">
        <v>295</v>
      </c>
      <c r="E6166" s="1509" t="s">
        <v>3832</v>
      </c>
      <c r="F6166" s="1509"/>
      <c r="G6166" s="694" t="s">
        <v>777</v>
      </c>
      <c r="H6166" s="769">
        <v>15</v>
      </c>
      <c r="V6166">
        <v>19</v>
      </c>
    </row>
    <row r="6167" spans="1:22" customFormat="1" ht="15" x14ac:dyDescent="0.25">
      <c r="A6167" t="s">
        <v>295</v>
      </c>
      <c r="E6167" s="1509" t="s">
        <v>4056</v>
      </c>
      <c r="F6167" s="1509"/>
      <c r="G6167" s="694" t="s">
        <v>777</v>
      </c>
      <c r="H6167" s="769">
        <v>15</v>
      </c>
      <c r="V6167">
        <v>15</v>
      </c>
    </row>
    <row r="6168" spans="1:22" customFormat="1" ht="15" x14ac:dyDescent="0.25">
      <c r="A6168" t="s">
        <v>295</v>
      </c>
      <c r="E6168" s="1509" t="s">
        <v>4058</v>
      </c>
      <c r="F6168" s="1509"/>
      <c r="G6168" s="694" t="s">
        <v>777</v>
      </c>
      <c r="H6168" s="769">
        <v>15</v>
      </c>
      <c r="V6168">
        <v>15</v>
      </c>
    </row>
    <row r="6169" spans="1:22" customFormat="1" ht="15" x14ac:dyDescent="0.25">
      <c r="A6169" t="s">
        <v>295</v>
      </c>
      <c r="E6169" s="1509" t="s">
        <v>5112</v>
      </c>
      <c r="F6169" s="1509"/>
      <c r="G6169" s="694" t="s">
        <v>777</v>
      </c>
      <c r="H6169" s="769">
        <v>15</v>
      </c>
      <c r="V6169">
        <v>23</v>
      </c>
    </row>
    <row r="6170" spans="1:22" customFormat="1" ht="15" x14ac:dyDescent="0.25">
      <c r="A6170" t="s">
        <v>295</v>
      </c>
      <c r="E6170" s="1509" t="s">
        <v>4490</v>
      </c>
      <c r="F6170" s="1509"/>
      <c r="G6170" s="694" t="s">
        <v>777</v>
      </c>
      <c r="H6170" s="769">
        <v>15</v>
      </c>
      <c r="V6170">
        <v>39</v>
      </c>
    </row>
    <row r="6171" spans="1:22" customFormat="1" ht="15" x14ac:dyDescent="0.25">
      <c r="A6171" t="s">
        <v>295</v>
      </c>
      <c r="E6171" s="1509" t="s">
        <v>5113</v>
      </c>
      <c r="F6171" s="1509"/>
      <c r="G6171" s="694" t="s">
        <v>777</v>
      </c>
      <c r="H6171" s="769">
        <v>15</v>
      </c>
      <c r="V6171">
        <v>42</v>
      </c>
    </row>
    <row r="6172" spans="1:22" customFormat="1" ht="15" x14ac:dyDescent="0.25">
      <c r="A6172" t="s">
        <v>295</v>
      </c>
      <c r="E6172" s="1509" t="s">
        <v>4059</v>
      </c>
      <c r="F6172" s="1509"/>
      <c r="G6172" s="694" t="s">
        <v>777</v>
      </c>
      <c r="H6172" s="769">
        <v>15</v>
      </c>
      <c r="V6172">
        <v>19</v>
      </c>
    </row>
    <row r="6173" spans="1:22" customFormat="1" ht="15" x14ac:dyDescent="0.25">
      <c r="A6173" t="s">
        <v>295</v>
      </c>
      <c r="E6173" s="1509" t="s">
        <v>3837</v>
      </c>
      <c r="F6173" s="1509"/>
      <c r="G6173" s="694" t="s">
        <v>777</v>
      </c>
      <c r="H6173" s="769">
        <v>30</v>
      </c>
      <c r="V6173">
        <v>89</v>
      </c>
    </row>
    <row r="6174" spans="1:22" customFormat="1" ht="15" x14ac:dyDescent="0.25">
      <c r="A6174" t="s">
        <v>295</v>
      </c>
      <c r="E6174" s="1509" t="s">
        <v>3914</v>
      </c>
      <c r="F6174" s="1509"/>
      <c r="G6174" s="694" t="s">
        <v>777</v>
      </c>
      <c r="H6174" s="769">
        <v>30</v>
      </c>
      <c r="V6174">
        <v>19</v>
      </c>
    </row>
    <row r="6175" spans="1:22" customFormat="1" ht="15" x14ac:dyDescent="0.25">
      <c r="A6175" t="s">
        <v>295</v>
      </c>
      <c r="E6175" s="1509" t="s">
        <v>3838</v>
      </c>
      <c r="F6175" s="1509"/>
      <c r="G6175" s="694" t="s">
        <v>777</v>
      </c>
      <c r="H6175" s="769">
        <v>30</v>
      </c>
      <c r="V6175">
        <v>74</v>
      </c>
    </row>
    <row r="6176" spans="1:22" customFormat="1" ht="15" x14ac:dyDescent="0.25">
      <c r="A6176" t="s">
        <v>295</v>
      </c>
      <c r="E6176" s="813" t="s">
        <v>4062</v>
      </c>
      <c r="F6176" s="764"/>
      <c r="G6176" s="770"/>
      <c r="H6176" s="771"/>
      <c r="K6176" t="s">
        <v>5114</v>
      </c>
      <c r="V6176">
        <v>22</v>
      </c>
    </row>
    <row r="6177" spans="1:22" customFormat="1" ht="15" x14ac:dyDescent="0.25">
      <c r="A6177" t="s">
        <v>295</v>
      </c>
      <c r="E6177" s="1517" t="s">
        <v>4064</v>
      </c>
      <c r="F6177" s="1517"/>
      <c r="G6177" s="584" t="s">
        <v>1118</v>
      </c>
      <c r="H6177" s="576">
        <v>1.5</v>
      </c>
      <c r="V6177">
        <v>99</v>
      </c>
    </row>
    <row r="6178" spans="1:22" customFormat="1" ht="15" x14ac:dyDescent="0.25">
      <c r="A6178" t="s">
        <v>295</v>
      </c>
      <c r="E6178" s="1517" t="s">
        <v>3842</v>
      </c>
      <c r="F6178" s="1517"/>
      <c r="G6178" s="584" t="s">
        <v>777</v>
      </c>
      <c r="H6178" s="576">
        <v>65</v>
      </c>
      <c r="V6178">
        <v>44</v>
      </c>
    </row>
    <row r="6179" spans="1:22" customFormat="1" ht="15" x14ac:dyDescent="0.25">
      <c r="A6179" t="s">
        <v>295</v>
      </c>
      <c r="E6179" s="1517" t="s">
        <v>3843</v>
      </c>
      <c r="F6179" s="1517"/>
      <c r="G6179" s="584" t="s">
        <v>777</v>
      </c>
      <c r="H6179" s="576">
        <v>185</v>
      </c>
      <c r="V6179">
        <v>43</v>
      </c>
    </row>
    <row r="6180" spans="1:22" customFormat="1" ht="15" x14ac:dyDescent="0.25">
      <c r="A6180" t="s">
        <v>295</v>
      </c>
      <c r="E6180" s="1517" t="s">
        <v>3844</v>
      </c>
      <c r="F6180" s="1517"/>
      <c r="G6180" s="584" t="s">
        <v>777</v>
      </c>
      <c r="H6180" s="576">
        <v>185</v>
      </c>
      <c r="V6180">
        <v>43</v>
      </c>
    </row>
    <row r="6181" spans="1:22" customFormat="1" ht="15" x14ac:dyDescent="0.25">
      <c r="A6181" t="s">
        <v>295</v>
      </c>
      <c r="E6181" s="1517" t="s">
        <v>3845</v>
      </c>
      <c r="F6181" s="1517"/>
      <c r="G6181" s="584" t="s">
        <v>777</v>
      </c>
      <c r="H6181" s="576">
        <v>415</v>
      </c>
      <c r="V6181">
        <v>42</v>
      </c>
    </row>
    <row r="6182" spans="1:22" customFormat="1" ht="15" x14ac:dyDescent="0.25">
      <c r="A6182" t="s">
        <v>295</v>
      </c>
      <c r="E6182" s="813" t="s">
        <v>3846</v>
      </c>
      <c r="F6182" s="764"/>
      <c r="G6182" s="770"/>
      <c r="H6182" s="771"/>
      <c r="V6182">
        <v>5</v>
      </c>
    </row>
    <row r="6183" spans="1:22" customFormat="1" ht="15" x14ac:dyDescent="0.25">
      <c r="A6183" t="s">
        <v>295</v>
      </c>
      <c r="E6183" s="1509" t="s">
        <v>4593</v>
      </c>
      <c r="F6183" s="1509"/>
      <c r="G6183" s="694" t="s">
        <v>777</v>
      </c>
      <c r="H6183" s="769">
        <v>39.14</v>
      </c>
      <c r="V6183">
        <v>105</v>
      </c>
    </row>
    <row r="6184" spans="1:22" customFormat="1" x14ac:dyDescent="0.25">
      <c r="A6184" t="s">
        <v>295</v>
      </c>
      <c r="E6184" s="812" t="s">
        <v>3851</v>
      </c>
      <c r="F6184" s="764"/>
      <c r="G6184" s="764"/>
      <c r="H6184" s="768"/>
      <c r="K6184" t="s">
        <v>5115</v>
      </c>
      <c r="V6184">
        <v>38</v>
      </c>
    </row>
    <row r="6185" spans="1:22" customFormat="1" ht="15" x14ac:dyDescent="0.25">
      <c r="A6185" t="s">
        <v>295</v>
      </c>
      <c r="E6185" s="1583" t="s">
        <v>951</v>
      </c>
      <c r="F6185" s="1583"/>
      <c r="G6185" s="1583"/>
      <c r="H6185" s="1644"/>
      <c r="V6185">
        <v>280</v>
      </c>
    </row>
    <row r="6186" spans="1:22" customFormat="1" ht="15" x14ac:dyDescent="0.25">
      <c r="A6186" t="s">
        <v>295</v>
      </c>
      <c r="E6186" s="1583" t="s">
        <v>952</v>
      </c>
      <c r="F6186" s="1583"/>
      <c r="G6186" s="1583"/>
      <c r="H6186" s="1644"/>
      <c r="V6186">
        <v>411</v>
      </c>
    </row>
    <row r="6187" spans="1:22" customFormat="1" ht="15" x14ac:dyDescent="0.25">
      <c r="A6187" t="s">
        <v>295</v>
      </c>
      <c r="E6187" s="1583" t="s">
        <v>1103</v>
      </c>
      <c r="F6187" s="1583"/>
      <c r="G6187" s="1583"/>
      <c r="H6187" s="1644"/>
      <c r="V6187">
        <v>211</v>
      </c>
    </row>
    <row r="6188" spans="1:22" customFormat="1" ht="15" x14ac:dyDescent="0.25">
      <c r="A6188" t="s">
        <v>295</v>
      </c>
      <c r="E6188" s="1518" t="s">
        <v>954</v>
      </c>
      <c r="F6188" s="1518"/>
      <c r="G6188" s="1518"/>
      <c r="H6188" s="1519"/>
      <c r="V6188">
        <v>246</v>
      </c>
    </row>
    <row r="6189" spans="1:22" customFormat="1" ht="15" x14ac:dyDescent="0.25">
      <c r="A6189" t="s">
        <v>295</v>
      </c>
      <c r="E6189" s="1583" t="s">
        <v>1104</v>
      </c>
      <c r="F6189" s="1583"/>
      <c r="G6189" s="1583"/>
      <c r="H6189" s="1644"/>
      <c r="V6189">
        <v>142</v>
      </c>
    </row>
    <row r="6190" spans="1:22" customFormat="1" ht="15" x14ac:dyDescent="0.25">
      <c r="A6190" t="s">
        <v>295</v>
      </c>
      <c r="E6190" s="1508" t="s">
        <v>849</v>
      </c>
      <c r="F6190" s="1508"/>
      <c r="G6190" s="772" t="s">
        <v>777</v>
      </c>
      <c r="H6190" s="773">
        <v>121.23</v>
      </c>
      <c r="V6190">
        <v>106</v>
      </c>
    </row>
    <row r="6191" spans="1:22" customFormat="1" ht="15" x14ac:dyDescent="0.25">
      <c r="A6191" t="s">
        <v>295</v>
      </c>
      <c r="E6191" s="1508" t="s">
        <v>850</v>
      </c>
      <c r="F6191" s="1508"/>
      <c r="G6191" s="772" t="s">
        <v>777</v>
      </c>
      <c r="H6191" s="773">
        <v>48.5</v>
      </c>
      <c r="V6191">
        <v>34</v>
      </c>
    </row>
    <row r="6192" spans="1:22" customFormat="1" ht="15" x14ac:dyDescent="0.25">
      <c r="A6192" t="s">
        <v>295</v>
      </c>
      <c r="E6192" s="1508" t="s">
        <v>851</v>
      </c>
      <c r="F6192" s="1508"/>
      <c r="G6192" s="772" t="s">
        <v>852</v>
      </c>
      <c r="H6192" s="773">
        <v>1.2</v>
      </c>
      <c r="V6192">
        <v>51</v>
      </c>
    </row>
    <row r="6193" spans="1:22" customFormat="1" ht="15" x14ac:dyDescent="0.25">
      <c r="A6193" t="s">
        <v>295</v>
      </c>
      <c r="E6193" s="1508" t="s">
        <v>853</v>
      </c>
      <c r="F6193" s="1508"/>
      <c r="G6193" s="772" t="s">
        <v>852</v>
      </c>
      <c r="H6193" s="773">
        <v>0.71</v>
      </c>
      <c r="V6193">
        <v>75</v>
      </c>
    </row>
    <row r="6194" spans="1:22" customFormat="1" ht="15" x14ac:dyDescent="0.25">
      <c r="A6194" t="s">
        <v>295</v>
      </c>
      <c r="E6194" s="1508" t="s">
        <v>854</v>
      </c>
      <c r="F6194" s="1508"/>
      <c r="G6194" s="772" t="s">
        <v>852</v>
      </c>
      <c r="H6194" s="773">
        <v>-0.71</v>
      </c>
      <c r="V6194">
        <v>72</v>
      </c>
    </row>
    <row r="6195" spans="1:22" customFormat="1" ht="15" x14ac:dyDescent="0.25">
      <c r="A6195" t="s">
        <v>295</v>
      </c>
      <c r="E6195" s="1508" t="s">
        <v>1105</v>
      </c>
      <c r="F6195" s="1508"/>
      <c r="G6195" s="774"/>
      <c r="H6195" s="635"/>
      <c r="V6195">
        <v>35</v>
      </c>
    </row>
    <row r="6196" spans="1:22" customFormat="1" ht="15" x14ac:dyDescent="0.25">
      <c r="A6196" t="s">
        <v>295</v>
      </c>
      <c r="E6196" s="1586" t="s">
        <v>1106</v>
      </c>
      <c r="F6196" s="1586"/>
      <c r="G6196" s="772" t="s">
        <v>777</v>
      </c>
      <c r="H6196" s="773">
        <v>0.61</v>
      </c>
      <c r="V6196">
        <v>57</v>
      </c>
    </row>
    <row r="6197" spans="1:22" customFormat="1" ht="15" x14ac:dyDescent="0.25">
      <c r="A6197" t="s">
        <v>295</v>
      </c>
      <c r="E6197" s="1586" t="s">
        <v>1107</v>
      </c>
      <c r="F6197" s="1586"/>
      <c r="G6197" s="772" t="s">
        <v>777</v>
      </c>
      <c r="H6197" s="773">
        <v>1.2</v>
      </c>
      <c r="V6197">
        <v>60</v>
      </c>
    </row>
    <row r="6198" spans="1:22" customFormat="1" ht="15" x14ac:dyDescent="0.25">
      <c r="A6198" t="s">
        <v>295</v>
      </c>
      <c r="E6198" s="1508" t="s">
        <v>1108</v>
      </c>
      <c r="F6198" s="1508"/>
      <c r="G6198" s="774"/>
      <c r="H6198" s="635"/>
      <c r="V6198">
        <v>91</v>
      </c>
    </row>
    <row r="6199" spans="1:22" customFormat="1" ht="15" x14ac:dyDescent="0.25">
      <c r="A6199" t="s">
        <v>295</v>
      </c>
      <c r="E6199" s="1508" t="s">
        <v>1109</v>
      </c>
      <c r="F6199" s="1508"/>
      <c r="G6199" s="774"/>
      <c r="H6199" s="635"/>
      <c r="V6199">
        <v>96</v>
      </c>
    </row>
    <row r="6200" spans="1:22" customFormat="1" ht="15" x14ac:dyDescent="0.25">
      <c r="A6200" t="s">
        <v>295</v>
      </c>
      <c r="E6200" s="1508" t="s">
        <v>1110</v>
      </c>
      <c r="F6200" s="1508"/>
      <c r="G6200" s="774"/>
      <c r="H6200" s="635"/>
      <c r="V6200">
        <v>78</v>
      </c>
    </row>
    <row r="6201" spans="1:22" customFormat="1" ht="15" x14ac:dyDescent="0.25">
      <c r="A6201" t="s">
        <v>295</v>
      </c>
      <c r="E6201" s="1586" t="s">
        <v>1111</v>
      </c>
      <c r="F6201" s="1586"/>
      <c r="G6201" s="772" t="s">
        <v>777</v>
      </c>
      <c r="H6201" s="775" t="s">
        <v>857</v>
      </c>
      <c r="V6201">
        <v>18</v>
      </c>
    </row>
    <row r="6202" spans="1:22" customFormat="1" ht="15" x14ac:dyDescent="0.25">
      <c r="A6202" t="s">
        <v>295</v>
      </c>
      <c r="E6202" s="1586" t="s">
        <v>1112</v>
      </c>
      <c r="F6202" s="1586"/>
      <c r="G6202" s="772" t="s">
        <v>777</v>
      </c>
      <c r="H6202" s="773">
        <v>4.8499999999999996</v>
      </c>
      <c r="V6202">
        <v>69</v>
      </c>
    </row>
    <row r="6203" spans="1:22" customFormat="1" ht="15" x14ac:dyDescent="0.25">
      <c r="A6203" t="s">
        <v>295</v>
      </c>
      <c r="E6203" s="1507" t="s">
        <v>858</v>
      </c>
      <c r="F6203" s="1507"/>
      <c r="G6203" s="837" t="s">
        <v>777</v>
      </c>
      <c r="H6203" s="397">
        <v>2.42</v>
      </c>
      <c r="V6203">
        <v>199</v>
      </c>
    </row>
    <row r="6204" spans="1:22" customFormat="1" x14ac:dyDescent="0.25">
      <c r="A6204" t="s">
        <v>295</v>
      </c>
      <c r="E6204" s="812" t="s">
        <v>3853</v>
      </c>
      <c r="F6204" s="764"/>
      <c r="G6204" s="764"/>
      <c r="H6204" s="768"/>
      <c r="K6204" t="s">
        <v>5116</v>
      </c>
      <c r="V6204">
        <v>12</v>
      </c>
    </row>
    <row r="6205" spans="1:22" customFormat="1" ht="15" x14ac:dyDescent="0.25">
      <c r="A6205" t="s">
        <v>295</v>
      </c>
      <c r="E6205" s="1522" t="s">
        <v>1114</v>
      </c>
      <c r="F6205" s="1522"/>
      <c r="G6205" s="1522"/>
      <c r="H6205" s="1750"/>
      <c r="V6205">
        <v>203</v>
      </c>
    </row>
    <row r="6206" spans="1:22" customFormat="1" ht="15" x14ac:dyDescent="0.25">
      <c r="A6206" t="s">
        <v>295</v>
      </c>
      <c r="E6206" s="1508" t="s">
        <v>4317</v>
      </c>
      <c r="F6206" s="1508"/>
      <c r="G6206" s="694"/>
      <c r="H6206" s="630">
        <v>1.0431999999999999</v>
      </c>
      <c r="V6206">
        <v>57</v>
      </c>
    </row>
    <row r="6207" spans="1:22" customFormat="1" ht="15" x14ac:dyDescent="0.25">
      <c r="A6207" t="s">
        <v>295</v>
      </c>
      <c r="E6207" s="1508" t="s">
        <v>4318</v>
      </c>
      <c r="F6207" s="1508"/>
      <c r="G6207" s="694"/>
      <c r="H6207" s="630">
        <v>1.0145</v>
      </c>
      <c r="V6207">
        <v>57</v>
      </c>
    </row>
    <row r="6208" spans="1:22" customFormat="1" ht="15" x14ac:dyDescent="0.25">
      <c r="A6208" t="s">
        <v>295</v>
      </c>
      <c r="E6208" s="1508" t="s">
        <v>4319</v>
      </c>
      <c r="F6208" s="1508"/>
      <c r="G6208" s="694"/>
      <c r="H6208" s="630">
        <v>1.044</v>
      </c>
      <c r="V6208">
        <v>55</v>
      </c>
    </row>
    <row r="6209" spans="1:22" customFormat="1" ht="15" x14ac:dyDescent="0.25">
      <c r="A6209" t="s">
        <v>295</v>
      </c>
      <c r="E6209" s="1508" t="s">
        <v>4320</v>
      </c>
      <c r="F6209" s="1508"/>
      <c r="G6209" s="694"/>
      <c r="H6209" s="630">
        <v>1.0044999999999999</v>
      </c>
      <c r="J6209" t="s">
        <v>5117</v>
      </c>
      <c r="V6209">
        <v>55</v>
      </c>
    </row>
    <row r="6210" spans="1:22" customFormat="1" ht="23.25" x14ac:dyDescent="0.25">
      <c r="A6210" t="s">
        <v>262</v>
      </c>
      <c r="B6210" t="s">
        <v>4851</v>
      </c>
      <c r="C6210" t="s">
        <v>3755</v>
      </c>
      <c r="E6210" s="1550" t="s">
        <v>262</v>
      </c>
      <c r="F6210" s="1550"/>
      <c r="G6210" s="1550"/>
      <c r="H6210" s="1550"/>
      <c r="I6210" t="s">
        <v>94</v>
      </c>
      <c r="J6210" t="s">
        <v>4852</v>
      </c>
      <c r="K6210" t="s">
        <v>262</v>
      </c>
      <c r="M6210">
        <v>8</v>
      </c>
      <c r="V6210">
        <v>23</v>
      </c>
    </row>
    <row r="6211" spans="1:22" customFormat="1" ht="20.25" x14ac:dyDescent="0.25">
      <c r="A6211" t="s">
        <v>262</v>
      </c>
      <c r="B6211" t="s">
        <v>4851</v>
      </c>
      <c r="C6211" t="s">
        <v>3757</v>
      </c>
      <c r="E6211" s="1749" t="s">
        <v>236</v>
      </c>
      <c r="F6211" s="1749"/>
      <c r="G6211" s="1749"/>
      <c r="H6211" s="1749"/>
      <c r="V6211">
        <v>58</v>
      </c>
    </row>
    <row r="6212" spans="1:22" customFormat="1" x14ac:dyDescent="0.25">
      <c r="A6212" t="s">
        <v>262</v>
      </c>
      <c r="B6212" t="s">
        <v>4851</v>
      </c>
      <c r="C6212" t="s">
        <v>3758</v>
      </c>
      <c r="E6212" s="1551" t="s">
        <v>944</v>
      </c>
      <c r="F6212" s="1551"/>
      <c r="G6212" s="1551"/>
      <c r="H6212" s="1551"/>
      <c r="V6212">
        <v>27</v>
      </c>
    </row>
    <row r="6213" spans="1:22" customFormat="1" ht="15.75" x14ac:dyDescent="0.25">
      <c r="A6213" t="s">
        <v>262</v>
      </c>
      <c r="B6213" t="s">
        <v>4851</v>
      </c>
      <c r="C6213" t="s">
        <v>3759</v>
      </c>
      <c r="E6213" s="1543" t="s">
        <v>6511</v>
      </c>
      <c r="F6213" s="1543"/>
      <c r="G6213" s="1543"/>
      <c r="H6213" s="1543"/>
      <c r="S6213">
        <v>45658</v>
      </c>
      <c r="V6213">
        <v>49</v>
      </c>
    </row>
    <row r="6214" spans="1:22" customFormat="1" ht="15" x14ac:dyDescent="0.25">
      <c r="A6214" t="s">
        <v>262</v>
      </c>
      <c r="B6214" t="s">
        <v>4851</v>
      </c>
      <c r="E6214" s="1544" t="s">
        <v>945</v>
      </c>
      <c r="F6214" s="1544"/>
      <c r="G6214" s="1544"/>
      <c r="H6214" s="1544"/>
      <c r="V6214">
        <v>52</v>
      </c>
    </row>
    <row r="6215" spans="1:22" customFormat="1" ht="15" x14ac:dyDescent="0.25">
      <c r="A6215" t="s">
        <v>262</v>
      </c>
      <c r="B6215" t="s">
        <v>4851</v>
      </c>
      <c r="E6215" s="1544" t="s">
        <v>946</v>
      </c>
      <c r="F6215" s="1544"/>
      <c r="G6215" s="1544"/>
      <c r="H6215" s="1544"/>
      <c r="V6215">
        <v>53</v>
      </c>
    </row>
    <row r="6216" spans="1:22" customFormat="1" ht="15" x14ac:dyDescent="0.25">
      <c r="A6216" t="s">
        <v>262</v>
      </c>
      <c r="B6216" t="s">
        <v>4851</v>
      </c>
      <c r="E6216" s="1513" t="s">
        <v>6786</v>
      </c>
      <c r="F6216" s="1513"/>
      <c r="G6216" s="1513"/>
      <c r="H6216" s="1513"/>
      <c r="K6216" t="s">
        <v>6786</v>
      </c>
      <c r="V6216">
        <v>12</v>
      </c>
    </row>
    <row r="6217" spans="1:22" customFormat="1" ht="15" x14ac:dyDescent="0.25">
      <c r="A6217" t="s">
        <v>262</v>
      </c>
      <c r="B6217" t="s">
        <v>4851</v>
      </c>
      <c r="E6217" s="1492" t="s">
        <v>170</v>
      </c>
      <c r="F6217" s="1516"/>
      <c r="G6217" s="1516"/>
      <c r="H6217" s="1516"/>
      <c r="K6217" t="s">
        <v>947</v>
      </c>
      <c r="V6217">
        <v>34</v>
      </c>
    </row>
    <row r="6218" spans="1:22" customFormat="1" ht="15" x14ac:dyDescent="0.25">
      <c r="A6218" t="s">
        <v>262</v>
      </c>
      <c r="B6218" t="s">
        <v>4851</v>
      </c>
      <c r="E6218" s="1516" t="s">
        <v>4853</v>
      </c>
      <c r="F6218" s="1516"/>
      <c r="G6218" s="1516"/>
      <c r="H6218" s="1516"/>
      <c r="K6218" t="s">
        <v>947</v>
      </c>
      <c r="V6218">
        <v>616</v>
      </c>
    </row>
    <row r="6219" spans="1:22" customFormat="1" ht="15" x14ac:dyDescent="0.25">
      <c r="A6219" t="s">
        <v>262</v>
      </c>
      <c r="B6219" t="s">
        <v>4851</v>
      </c>
      <c r="E6219" s="1515" t="s">
        <v>950</v>
      </c>
      <c r="F6219" s="1516"/>
      <c r="G6219" s="1516"/>
      <c r="H6219" s="1516"/>
      <c r="K6219" t="s">
        <v>949</v>
      </c>
      <c r="V6219">
        <v>11</v>
      </c>
    </row>
    <row r="6220" spans="1:22" customFormat="1" ht="15" x14ac:dyDescent="0.25">
      <c r="A6220" t="s">
        <v>262</v>
      </c>
      <c r="B6220" t="s">
        <v>4851</v>
      </c>
      <c r="E6220" s="1516" t="s">
        <v>951</v>
      </c>
      <c r="F6220" s="1516"/>
      <c r="G6220" s="1516"/>
      <c r="H6220" s="1516"/>
      <c r="K6220" t="s">
        <v>947</v>
      </c>
      <c r="V6220">
        <v>280</v>
      </c>
    </row>
    <row r="6221" spans="1:22" customFormat="1" ht="15" x14ac:dyDescent="0.25">
      <c r="A6221" t="s">
        <v>262</v>
      </c>
      <c r="B6221" t="s">
        <v>4851</v>
      </c>
      <c r="E6221" s="1516" t="s">
        <v>952</v>
      </c>
      <c r="F6221" s="1516"/>
      <c r="G6221" s="1516"/>
      <c r="H6221" s="1516"/>
      <c r="K6221" t="s">
        <v>947</v>
      </c>
      <c r="V6221">
        <v>411</v>
      </c>
    </row>
    <row r="6222" spans="1:22" customFormat="1" ht="15" x14ac:dyDescent="0.25">
      <c r="A6222" t="s">
        <v>262</v>
      </c>
      <c r="B6222" t="s">
        <v>4851</v>
      </c>
      <c r="E6222" s="1516" t="s">
        <v>953</v>
      </c>
      <c r="F6222" s="1516"/>
      <c r="G6222" s="1516"/>
      <c r="H6222" s="1516"/>
      <c r="K6222" t="s">
        <v>947</v>
      </c>
      <c r="V6222">
        <v>386</v>
      </c>
    </row>
    <row r="6223" spans="1:22" customFormat="1" ht="15" x14ac:dyDescent="0.25">
      <c r="A6223" t="s">
        <v>262</v>
      </c>
      <c r="B6223" t="s">
        <v>4851</v>
      </c>
      <c r="E6223" s="1516" t="s">
        <v>3762</v>
      </c>
      <c r="F6223" s="1516"/>
      <c r="G6223" s="1516"/>
      <c r="H6223" s="1516"/>
      <c r="K6223" t="s">
        <v>947</v>
      </c>
      <c r="V6223">
        <v>247</v>
      </c>
    </row>
    <row r="6224" spans="1:22" customFormat="1" ht="15" x14ac:dyDescent="0.25">
      <c r="A6224" t="s">
        <v>262</v>
      </c>
      <c r="B6224" t="s">
        <v>4851</v>
      </c>
      <c r="E6224" s="1515" t="s">
        <v>956</v>
      </c>
      <c r="F6224" s="1516"/>
      <c r="G6224" s="1516"/>
      <c r="H6224" s="1516"/>
      <c r="K6224" t="s">
        <v>955</v>
      </c>
      <c r="V6224">
        <v>46</v>
      </c>
    </row>
    <row r="6225" spans="1:22" customFormat="1" ht="15" x14ac:dyDescent="0.25">
      <c r="A6225" t="s">
        <v>262</v>
      </c>
      <c r="B6225" t="s">
        <v>4851</v>
      </c>
      <c r="E6225" s="1507" t="s">
        <v>3773</v>
      </c>
      <c r="F6225" s="1507"/>
      <c r="G6225" s="584" t="s">
        <v>777</v>
      </c>
      <c r="H6225" s="650">
        <v>27.93</v>
      </c>
      <c r="K6225" t="s">
        <v>947</v>
      </c>
      <c r="L6225" t="s">
        <v>690</v>
      </c>
      <c r="P6225" t="s">
        <v>957</v>
      </c>
      <c r="V6225">
        <v>14</v>
      </c>
    </row>
    <row r="6226" spans="1:22" customFormat="1" ht="15" x14ac:dyDescent="0.25">
      <c r="A6226" t="s">
        <v>262</v>
      </c>
      <c r="B6226" t="s">
        <v>4851</v>
      </c>
      <c r="E6226" s="1507" t="s">
        <v>4854</v>
      </c>
      <c r="F6226" s="1507"/>
      <c r="G6226" s="584" t="s">
        <v>777</v>
      </c>
      <c r="H6226" s="650">
        <v>2.56</v>
      </c>
      <c r="K6226" t="s">
        <v>947</v>
      </c>
      <c r="L6226" t="s">
        <v>690</v>
      </c>
      <c r="P6226" t="s">
        <v>6787</v>
      </c>
      <c r="V6226">
        <v>144</v>
      </c>
    </row>
    <row r="6227" spans="1:22" customFormat="1" ht="15" x14ac:dyDescent="0.25">
      <c r="A6227" t="s">
        <v>262</v>
      </c>
      <c r="B6227" t="s">
        <v>4851</v>
      </c>
      <c r="E6227" s="1507" t="s">
        <v>960</v>
      </c>
      <c r="F6227" s="1507"/>
      <c r="G6227" s="584" t="s">
        <v>777</v>
      </c>
      <c r="H6227" s="650">
        <v>0.42</v>
      </c>
      <c r="K6227" t="s">
        <v>947</v>
      </c>
      <c r="L6227" t="s">
        <v>692</v>
      </c>
      <c r="P6227" t="s">
        <v>959</v>
      </c>
      <c r="V6227">
        <v>64</v>
      </c>
    </row>
    <row r="6228" spans="1:22" customFormat="1" ht="15" x14ac:dyDescent="0.25">
      <c r="A6228" t="s">
        <v>262</v>
      </c>
      <c r="B6228" t="s">
        <v>4851</v>
      </c>
      <c r="E6228" s="1507" t="s">
        <v>6788</v>
      </c>
      <c r="F6228" s="1507"/>
      <c r="G6228" s="584" t="s">
        <v>777</v>
      </c>
      <c r="H6228" s="650">
        <v>-0.28000000000000003</v>
      </c>
      <c r="K6228" t="s">
        <v>947</v>
      </c>
      <c r="L6228" t="s">
        <v>690</v>
      </c>
      <c r="P6228" t="s">
        <v>6789</v>
      </c>
      <c r="T6228">
        <v>45900</v>
      </c>
      <c r="V6228">
        <v>147</v>
      </c>
    </row>
    <row r="6229" spans="1:22" customFormat="1" ht="15" x14ac:dyDescent="0.25">
      <c r="A6229" t="s">
        <v>262</v>
      </c>
      <c r="B6229" t="s">
        <v>4851</v>
      </c>
      <c r="E6229" s="1507" t="s">
        <v>910</v>
      </c>
      <c r="F6229" s="1507"/>
      <c r="G6229" s="584" t="s">
        <v>845</v>
      </c>
      <c r="H6229" s="650">
        <v>5.9999999999999995E-4</v>
      </c>
      <c r="K6229" t="s">
        <v>947</v>
      </c>
      <c r="L6229" t="s">
        <v>692</v>
      </c>
      <c r="P6229" t="s">
        <v>961</v>
      </c>
      <c r="V6229">
        <v>24</v>
      </c>
    </row>
    <row r="6230" spans="1:22" customFormat="1" ht="15" x14ac:dyDescent="0.25">
      <c r="A6230" t="s">
        <v>262</v>
      </c>
      <c r="B6230" t="s">
        <v>4851</v>
      </c>
      <c r="E6230" s="1507" t="s">
        <v>6790</v>
      </c>
      <c r="F6230" s="1507"/>
      <c r="G6230" s="584" t="s">
        <v>845</v>
      </c>
      <c r="H6230" s="650">
        <v>-9.1999999999999998E-3</v>
      </c>
      <c r="K6230" t="s">
        <v>947</v>
      </c>
      <c r="L6230" t="s">
        <v>692</v>
      </c>
      <c r="P6230" t="s">
        <v>962</v>
      </c>
      <c r="T6230">
        <v>45838</v>
      </c>
      <c r="V6230">
        <v>138</v>
      </c>
    </row>
    <row r="6231" spans="1:22" customFormat="1" ht="15" x14ac:dyDescent="0.25">
      <c r="A6231" t="s">
        <v>262</v>
      </c>
      <c r="B6231" t="s">
        <v>4851</v>
      </c>
      <c r="E6231" s="1507" t="s">
        <v>6791</v>
      </c>
      <c r="F6231" s="1510"/>
      <c r="G6231" s="584" t="s">
        <v>845</v>
      </c>
      <c r="H6231" s="650">
        <v>-1.0500000000000001E-2</v>
      </c>
      <c r="K6231" t="s">
        <v>947</v>
      </c>
      <c r="L6231" t="s">
        <v>692</v>
      </c>
      <c r="P6231" t="s">
        <v>963</v>
      </c>
      <c r="T6231">
        <v>46022</v>
      </c>
      <c r="V6231">
        <v>136</v>
      </c>
    </row>
    <row r="6232" spans="1:22" customFormat="1" ht="15" x14ac:dyDescent="0.25">
      <c r="A6232" t="s">
        <v>262</v>
      </c>
      <c r="B6232" t="s">
        <v>4851</v>
      </c>
      <c r="E6232" s="1507" t="s">
        <v>6792</v>
      </c>
      <c r="F6232" s="1507"/>
      <c r="G6232" s="584" t="s">
        <v>845</v>
      </c>
      <c r="H6232" s="650">
        <v>2.8E-3</v>
      </c>
      <c r="K6232" t="s">
        <v>947</v>
      </c>
      <c r="L6232" t="s">
        <v>692</v>
      </c>
      <c r="P6232" t="s">
        <v>963</v>
      </c>
      <c r="T6232">
        <v>45838</v>
      </c>
      <c r="V6232">
        <v>95</v>
      </c>
    </row>
    <row r="6233" spans="1:22" customFormat="1" ht="15" x14ac:dyDescent="0.25">
      <c r="A6233" t="s">
        <v>262</v>
      </c>
      <c r="B6233" t="s">
        <v>4851</v>
      </c>
      <c r="E6233" s="1507" t="s">
        <v>6793</v>
      </c>
      <c r="F6233" s="1507"/>
      <c r="G6233" s="584" t="s">
        <v>845</v>
      </c>
      <c r="H6233" s="650">
        <v>-2.0000000000000001E-4</v>
      </c>
      <c r="K6233" t="s">
        <v>947</v>
      </c>
      <c r="L6233" t="s">
        <v>692</v>
      </c>
      <c r="P6233" t="s">
        <v>3764</v>
      </c>
      <c r="T6233">
        <v>46022</v>
      </c>
      <c r="V6233">
        <v>181</v>
      </c>
    </row>
    <row r="6234" spans="1:22" customFormat="1" ht="15" x14ac:dyDescent="0.25">
      <c r="A6234" t="s">
        <v>262</v>
      </c>
      <c r="B6234" t="s">
        <v>4851</v>
      </c>
      <c r="E6234" s="1507" t="s">
        <v>6794</v>
      </c>
      <c r="F6234" s="1507"/>
      <c r="G6234" s="584" t="s">
        <v>845</v>
      </c>
      <c r="H6234" s="650">
        <v>-4.0000000000000002E-4</v>
      </c>
      <c r="K6234" t="s">
        <v>947</v>
      </c>
      <c r="L6234" t="s">
        <v>692</v>
      </c>
      <c r="P6234" t="s">
        <v>3764</v>
      </c>
      <c r="T6234">
        <v>45838</v>
      </c>
      <c r="V6234">
        <v>144</v>
      </c>
    </row>
    <row r="6235" spans="1:22" customFormat="1" ht="15" x14ac:dyDescent="0.25">
      <c r="A6235" t="s">
        <v>262</v>
      </c>
      <c r="B6235" t="s">
        <v>4851</v>
      </c>
      <c r="E6235" s="1507" t="s">
        <v>243</v>
      </c>
      <c r="F6235" s="1507"/>
      <c r="G6235" s="584" t="s">
        <v>845</v>
      </c>
      <c r="H6235" s="650">
        <v>1.04E-2</v>
      </c>
      <c r="K6235" t="s">
        <v>947</v>
      </c>
      <c r="L6235" t="s">
        <v>694</v>
      </c>
      <c r="P6235" t="s">
        <v>964</v>
      </c>
      <c r="V6235">
        <v>47</v>
      </c>
    </row>
    <row r="6236" spans="1:22" customFormat="1" ht="15" x14ac:dyDescent="0.25">
      <c r="A6236" t="s">
        <v>262</v>
      </c>
      <c r="B6236" t="s">
        <v>4851</v>
      </c>
      <c r="E6236" s="1507" t="s">
        <v>175</v>
      </c>
      <c r="F6236" s="1507"/>
      <c r="G6236" s="584" t="s">
        <v>845</v>
      </c>
      <c r="H6236" s="650">
        <v>7.7000000000000002E-3</v>
      </c>
      <c r="K6236" t="s">
        <v>947</v>
      </c>
      <c r="L6236" t="s">
        <v>694</v>
      </c>
      <c r="P6236" t="s">
        <v>965</v>
      </c>
      <c r="V6236">
        <v>74</v>
      </c>
    </row>
    <row r="6237" spans="1:22" customFormat="1" ht="15" x14ac:dyDescent="0.25">
      <c r="A6237" t="s">
        <v>262</v>
      </c>
      <c r="B6237" t="s">
        <v>4851</v>
      </c>
      <c r="E6237" s="1515" t="s">
        <v>967</v>
      </c>
      <c r="F6237" s="1507"/>
      <c r="G6237" s="584"/>
      <c r="H6237" s="360"/>
      <c r="K6237" t="s">
        <v>966</v>
      </c>
      <c r="V6237">
        <v>48</v>
      </c>
    </row>
    <row r="6238" spans="1:22" customFormat="1" ht="15" x14ac:dyDescent="0.25">
      <c r="A6238" t="s">
        <v>262</v>
      </c>
      <c r="B6238" t="s">
        <v>4851</v>
      </c>
      <c r="E6238" s="1507" t="s">
        <v>844</v>
      </c>
      <c r="F6238" s="1507"/>
      <c r="G6238" s="584" t="s">
        <v>845</v>
      </c>
      <c r="H6238" s="650">
        <v>4.1000000000000003E-3</v>
      </c>
      <c r="K6238" t="s">
        <v>947</v>
      </c>
      <c r="L6238" t="s">
        <v>968</v>
      </c>
      <c r="P6238" t="s">
        <v>969</v>
      </c>
      <c r="V6238">
        <v>55</v>
      </c>
    </row>
    <row r="6239" spans="1:22" customFormat="1" ht="15" x14ac:dyDescent="0.25">
      <c r="A6239" t="s">
        <v>262</v>
      </c>
      <c r="B6239" t="s">
        <v>4851</v>
      </c>
      <c r="E6239" s="1507" t="s">
        <v>846</v>
      </c>
      <c r="F6239" s="1507"/>
      <c r="G6239" s="584" t="s">
        <v>845</v>
      </c>
      <c r="H6239" s="650">
        <v>4.0000000000000002E-4</v>
      </c>
      <c r="K6239" t="s">
        <v>947</v>
      </c>
      <c r="L6239" t="s">
        <v>968</v>
      </c>
      <c r="P6239" t="s">
        <v>969</v>
      </c>
      <c r="V6239">
        <v>65</v>
      </c>
    </row>
    <row r="6240" spans="1:22" customFormat="1" ht="15" x14ac:dyDescent="0.25">
      <c r="A6240" t="s">
        <v>262</v>
      </c>
      <c r="B6240" t="s">
        <v>4851</v>
      </c>
      <c r="E6240" s="1507" t="s">
        <v>847</v>
      </c>
      <c r="F6240" s="1507"/>
      <c r="G6240" s="584" t="s">
        <v>845</v>
      </c>
      <c r="H6240" s="650">
        <v>1.5E-3</v>
      </c>
      <c r="K6240" t="s">
        <v>947</v>
      </c>
      <c r="L6240" t="s">
        <v>968</v>
      </c>
      <c r="P6240" t="s">
        <v>970</v>
      </c>
      <c r="V6240">
        <v>57</v>
      </c>
    </row>
    <row r="6241" spans="1:22" customFormat="1" ht="15" x14ac:dyDescent="0.25">
      <c r="A6241" t="s">
        <v>262</v>
      </c>
      <c r="B6241" t="s">
        <v>4851</v>
      </c>
      <c r="E6241" s="1507" t="s">
        <v>848</v>
      </c>
      <c r="F6241" s="1507"/>
      <c r="G6241" s="584" t="s">
        <v>777</v>
      </c>
      <c r="H6241" s="650">
        <v>0.25</v>
      </c>
      <c r="K6241" t="s">
        <v>947</v>
      </c>
      <c r="L6241" t="s">
        <v>968</v>
      </c>
      <c r="P6241" t="s">
        <v>971</v>
      </c>
      <c r="V6241">
        <v>63</v>
      </c>
    </row>
    <row r="6242" spans="1:22" customFormat="1" x14ac:dyDescent="0.25">
      <c r="A6242" t="s">
        <v>262</v>
      </c>
      <c r="B6242" t="s">
        <v>4851</v>
      </c>
      <c r="E6242" s="1492" t="s">
        <v>174</v>
      </c>
      <c r="F6242" s="1493"/>
      <c r="G6242" s="1493"/>
      <c r="H6242" s="1493"/>
      <c r="K6242" t="s">
        <v>972</v>
      </c>
      <c r="V6242">
        <v>54</v>
      </c>
    </row>
    <row r="6243" spans="1:22" customFormat="1" ht="15" x14ac:dyDescent="0.25">
      <c r="A6243" t="s">
        <v>262</v>
      </c>
      <c r="B6243" t="s">
        <v>4851</v>
      </c>
      <c r="E6243" s="1516" t="s">
        <v>4856</v>
      </c>
      <c r="F6243" s="1516"/>
      <c r="G6243" s="1516"/>
      <c r="H6243" s="1516"/>
      <c r="K6243" t="s">
        <v>972</v>
      </c>
      <c r="V6243">
        <v>334</v>
      </c>
    </row>
    <row r="6244" spans="1:22" customFormat="1" ht="15" x14ac:dyDescent="0.25">
      <c r="A6244" t="s">
        <v>262</v>
      </c>
      <c r="B6244" t="s">
        <v>4851</v>
      </c>
      <c r="E6244" s="1515" t="s">
        <v>950</v>
      </c>
      <c r="F6244" s="1516"/>
      <c r="G6244" s="1516"/>
      <c r="H6244" s="1516"/>
      <c r="K6244" t="s">
        <v>974</v>
      </c>
      <c r="V6244">
        <v>11</v>
      </c>
    </row>
    <row r="6245" spans="1:22" customFormat="1" ht="15" x14ac:dyDescent="0.25">
      <c r="A6245" t="s">
        <v>262</v>
      </c>
      <c r="B6245" t="s">
        <v>4851</v>
      </c>
      <c r="E6245" s="1516" t="s">
        <v>951</v>
      </c>
      <c r="F6245" s="1516"/>
      <c r="G6245" s="1516"/>
      <c r="H6245" s="1516"/>
      <c r="K6245" t="s">
        <v>972</v>
      </c>
      <c r="V6245">
        <v>280</v>
      </c>
    </row>
    <row r="6246" spans="1:22" customFormat="1" ht="15" x14ac:dyDescent="0.25">
      <c r="A6246" t="s">
        <v>262</v>
      </c>
      <c r="B6246" t="s">
        <v>4851</v>
      </c>
      <c r="E6246" s="1516" t="s">
        <v>952</v>
      </c>
      <c r="F6246" s="1516"/>
      <c r="G6246" s="1516"/>
      <c r="H6246" s="1516"/>
      <c r="K6246" t="s">
        <v>972</v>
      </c>
      <c r="V6246">
        <v>411</v>
      </c>
    </row>
    <row r="6247" spans="1:22" customFormat="1" ht="15" x14ac:dyDescent="0.25">
      <c r="A6247" t="s">
        <v>262</v>
      </c>
      <c r="B6247" t="s">
        <v>4851</v>
      </c>
      <c r="E6247" s="1516" t="s">
        <v>953</v>
      </c>
      <c r="F6247" s="1516"/>
      <c r="G6247" s="1516"/>
      <c r="H6247" s="1516"/>
      <c r="K6247" t="s">
        <v>972</v>
      </c>
      <c r="V6247">
        <v>386</v>
      </c>
    </row>
    <row r="6248" spans="1:22" customFormat="1" ht="15" x14ac:dyDescent="0.25">
      <c r="A6248" t="s">
        <v>262</v>
      </c>
      <c r="B6248" t="s">
        <v>4851</v>
      </c>
      <c r="E6248" s="1516" t="s">
        <v>3762</v>
      </c>
      <c r="F6248" s="1516"/>
      <c r="G6248" s="1516"/>
      <c r="H6248" s="1516"/>
      <c r="K6248" t="s">
        <v>972</v>
      </c>
      <c r="V6248">
        <v>247</v>
      </c>
    </row>
    <row r="6249" spans="1:22" customFormat="1" ht="15" x14ac:dyDescent="0.25">
      <c r="A6249" t="s">
        <v>262</v>
      </c>
      <c r="B6249" t="s">
        <v>4851</v>
      </c>
      <c r="E6249" s="1515" t="s">
        <v>956</v>
      </c>
      <c r="F6249" s="1516"/>
      <c r="G6249" s="1516"/>
      <c r="H6249" s="1516"/>
      <c r="K6249" t="s">
        <v>975</v>
      </c>
      <c r="V6249">
        <v>46</v>
      </c>
    </row>
    <row r="6250" spans="1:22" customFormat="1" ht="15" x14ac:dyDescent="0.25">
      <c r="A6250" t="s">
        <v>262</v>
      </c>
      <c r="B6250" t="s">
        <v>4851</v>
      </c>
      <c r="E6250" s="1507" t="s">
        <v>3773</v>
      </c>
      <c r="F6250" s="1507"/>
      <c r="G6250" s="584" t="s">
        <v>777</v>
      </c>
      <c r="H6250" s="650">
        <v>37.42</v>
      </c>
      <c r="K6250" t="s">
        <v>972</v>
      </c>
      <c r="L6250" t="s">
        <v>690</v>
      </c>
      <c r="P6250" t="s">
        <v>976</v>
      </c>
      <c r="V6250">
        <v>14</v>
      </c>
    </row>
    <row r="6251" spans="1:22" customFormat="1" ht="15" x14ac:dyDescent="0.25">
      <c r="A6251" t="s">
        <v>262</v>
      </c>
      <c r="B6251" t="s">
        <v>4851</v>
      </c>
      <c r="E6251" s="1507" t="s">
        <v>4854</v>
      </c>
      <c r="F6251" s="1507"/>
      <c r="G6251" s="584" t="s">
        <v>777</v>
      </c>
      <c r="H6251" s="650">
        <v>7.48</v>
      </c>
      <c r="K6251" t="s">
        <v>972</v>
      </c>
      <c r="L6251" t="s">
        <v>690</v>
      </c>
      <c r="P6251" t="s">
        <v>6795</v>
      </c>
      <c r="V6251">
        <v>144</v>
      </c>
    </row>
    <row r="6252" spans="1:22" customFormat="1" ht="15" x14ac:dyDescent="0.25">
      <c r="A6252" t="s">
        <v>262</v>
      </c>
      <c r="B6252" t="s">
        <v>4851</v>
      </c>
      <c r="E6252" s="1507" t="s">
        <v>960</v>
      </c>
      <c r="F6252" s="1507"/>
      <c r="G6252" s="584" t="s">
        <v>777</v>
      </c>
      <c r="H6252" s="650">
        <v>0.42</v>
      </c>
      <c r="K6252" t="s">
        <v>972</v>
      </c>
      <c r="L6252" t="s">
        <v>692</v>
      </c>
      <c r="P6252" t="s">
        <v>977</v>
      </c>
      <c r="V6252">
        <v>64</v>
      </c>
    </row>
    <row r="6253" spans="1:22" customFormat="1" ht="15" x14ac:dyDescent="0.25">
      <c r="A6253" t="s">
        <v>262</v>
      </c>
      <c r="B6253" t="s">
        <v>4851</v>
      </c>
      <c r="E6253" s="1507" t="s">
        <v>4855</v>
      </c>
      <c r="F6253" s="1507"/>
      <c r="G6253" s="584" t="s">
        <v>777</v>
      </c>
      <c r="H6253" s="650">
        <v>-0.37</v>
      </c>
      <c r="K6253" t="s">
        <v>972</v>
      </c>
      <c r="L6253" t="s">
        <v>690</v>
      </c>
      <c r="P6253" t="s">
        <v>6796</v>
      </c>
      <c r="T6253">
        <v>45900</v>
      </c>
      <c r="V6253">
        <v>146</v>
      </c>
    </row>
    <row r="6254" spans="1:22" customFormat="1" ht="15" x14ac:dyDescent="0.25">
      <c r="A6254" t="s">
        <v>262</v>
      </c>
      <c r="B6254" t="s">
        <v>4851</v>
      </c>
      <c r="E6254" s="1507" t="s">
        <v>3688</v>
      </c>
      <c r="F6254" s="1507"/>
      <c r="G6254" s="584" t="s">
        <v>845</v>
      </c>
      <c r="H6254" s="650">
        <v>1.6500000000000001E-2</v>
      </c>
      <c r="K6254" t="s">
        <v>972</v>
      </c>
      <c r="L6254" t="s">
        <v>690</v>
      </c>
      <c r="P6254" t="s">
        <v>978</v>
      </c>
      <c r="V6254">
        <v>28</v>
      </c>
    </row>
    <row r="6255" spans="1:22" customFormat="1" ht="15" x14ac:dyDescent="0.25">
      <c r="A6255" t="s">
        <v>262</v>
      </c>
      <c r="B6255" t="s">
        <v>4851</v>
      </c>
      <c r="E6255" s="1507" t="s">
        <v>4855</v>
      </c>
      <c r="F6255" s="1507"/>
      <c r="G6255" s="584" t="s">
        <v>845</v>
      </c>
      <c r="H6255" s="650">
        <v>-2.0000000000000001E-4</v>
      </c>
      <c r="K6255" t="s">
        <v>972</v>
      </c>
      <c r="L6255" t="s">
        <v>690</v>
      </c>
      <c r="P6255" t="s">
        <v>6797</v>
      </c>
      <c r="T6255">
        <v>45900</v>
      </c>
      <c r="V6255">
        <v>146</v>
      </c>
    </row>
    <row r="6256" spans="1:22" customFormat="1" ht="15" x14ac:dyDescent="0.25">
      <c r="A6256" t="s">
        <v>262</v>
      </c>
      <c r="B6256" t="s">
        <v>4851</v>
      </c>
      <c r="E6256" s="1507" t="s">
        <v>910</v>
      </c>
      <c r="F6256" s="1507"/>
      <c r="G6256" s="584" t="s">
        <v>845</v>
      </c>
      <c r="H6256" s="650">
        <v>5.9999999999999995E-4</v>
      </c>
      <c r="K6256" t="s">
        <v>972</v>
      </c>
      <c r="L6256" t="s">
        <v>692</v>
      </c>
      <c r="P6256" t="s">
        <v>980</v>
      </c>
      <c r="V6256">
        <v>24</v>
      </c>
    </row>
    <row r="6257" spans="1:22" customFormat="1" ht="15" x14ac:dyDescent="0.25">
      <c r="A6257" t="s">
        <v>262</v>
      </c>
      <c r="B6257" t="s">
        <v>4851</v>
      </c>
      <c r="E6257" s="1507" t="s">
        <v>6790</v>
      </c>
      <c r="F6257" s="1507"/>
      <c r="G6257" s="584" t="s">
        <v>845</v>
      </c>
      <c r="H6257" s="650">
        <v>-9.1999999999999998E-3</v>
      </c>
      <c r="K6257" t="s">
        <v>972</v>
      </c>
      <c r="L6257" t="s">
        <v>692</v>
      </c>
      <c r="P6257" t="s">
        <v>981</v>
      </c>
      <c r="T6257">
        <v>45838</v>
      </c>
      <c r="V6257">
        <v>138</v>
      </c>
    </row>
    <row r="6258" spans="1:22" customFormat="1" ht="15" x14ac:dyDescent="0.25">
      <c r="A6258" t="s">
        <v>262</v>
      </c>
      <c r="B6258" t="s">
        <v>4851</v>
      </c>
      <c r="E6258" s="1507" t="s">
        <v>6791</v>
      </c>
      <c r="F6258" s="1510"/>
      <c r="G6258" s="584" t="s">
        <v>845</v>
      </c>
      <c r="H6258" s="650">
        <v>-1.03E-2</v>
      </c>
      <c r="K6258" t="s">
        <v>972</v>
      </c>
      <c r="L6258" t="s">
        <v>692</v>
      </c>
      <c r="P6258" t="s">
        <v>982</v>
      </c>
      <c r="T6258">
        <v>46022</v>
      </c>
      <c r="V6258">
        <v>136</v>
      </c>
    </row>
    <row r="6259" spans="1:22" customFormat="1" ht="15" x14ac:dyDescent="0.25">
      <c r="A6259" t="s">
        <v>262</v>
      </c>
      <c r="B6259" t="s">
        <v>4851</v>
      </c>
      <c r="E6259" s="1507" t="s">
        <v>6792</v>
      </c>
      <c r="F6259" s="1507"/>
      <c r="G6259" s="584" t="s">
        <v>845</v>
      </c>
      <c r="H6259" s="650">
        <v>3.0999999999999999E-3</v>
      </c>
      <c r="K6259" t="s">
        <v>972</v>
      </c>
      <c r="L6259" t="s">
        <v>692</v>
      </c>
      <c r="P6259" t="s">
        <v>982</v>
      </c>
      <c r="T6259">
        <v>45838</v>
      </c>
      <c r="V6259">
        <v>95</v>
      </c>
    </row>
    <row r="6260" spans="1:22" customFormat="1" ht="15" x14ac:dyDescent="0.25">
      <c r="A6260" t="s">
        <v>262</v>
      </c>
      <c r="B6260" t="s">
        <v>4851</v>
      </c>
      <c r="E6260" s="1507" t="s">
        <v>6798</v>
      </c>
      <c r="F6260" s="1510"/>
      <c r="G6260" s="584" t="s">
        <v>845</v>
      </c>
      <c r="H6260" s="650">
        <v>-2.0000000000000001E-4</v>
      </c>
      <c r="K6260" t="s">
        <v>972</v>
      </c>
      <c r="L6260" t="s">
        <v>692</v>
      </c>
      <c r="P6260" t="s">
        <v>3766</v>
      </c>
      <c r="T6260">
        <v>46022</v>
      </c>
      <c r="V6260">
        <v>180</v>
      </c>
    </row>
    <row r="6261" spans="1:22" customFormat="1" ht="15" x14ac:dyDescent="0.25">
      <c r="A6261" t="s">
        <v>262</v>
      </c>
      <c r="B6261" t="s">
        <v>4851</v>
      </c>
      <c r="E6261" s="1507" t="s">
        <v>6799</v>
      </c>
      <c r="F6261" s="1507"/>
      <c r="G6261" s="584" t="s">
        <v>845</v>
      </c>
      <c r="H6261" s="650">
        <v>-4.0000000000000002E-4</v>
      </c>
      <c r="K6261" t="s">
        <v>972</v>
      </c>
      <c r="L6261" t="s">
        <v>692</v>
      </c>
      <c r="P6261" t="s">
        <v>3766</v>
      </c>
      <c r="T6261">
        <v>45838</v>
      </c>
      <c r="V6261">
        <v>145</v>
      </c>
    </row>
    <row r="6262" spans="1:22" customFormat="1" ht="15" x14ac:dyDescent="0.25">
      <c r="A6262" t="s">
        <v>262</v>
      </c>
      <c r="B6262" t="s">
        <v>4851</v>
      </c>
      <c r="E6262" s="1507" t="s">
        <v>6800</v>
      </c>
      <c r="F6262" s="1507"/>
      <c r="G6262" s="584" t="s">
        <v>845</v>
      </c>
      <c r="H6262" s="650">
        <v>2.9999999999999997E-4</v>
      </c>
      <c r="K6262" t="s">
        <v>972</v>
      </c>
      <c r="L6262" t="s">
        <v>690</v>
      </c>
      <c r="P6262" t="s">
        <v>6801</v>
      </c>
      <c r="T6262">
        <v>46022</v>
      </c>
      <c r="V6262">
        <v>93</v>
      </c>
    </row>
    <row r="6263" spans="1:22" customFormat="1" ht="15" x14ac:dyDescent="0.25">
      <c r="A6263" t="s">
        <v>262</v>
      </c>
      <c r="B6263" t="s">
        <v>4851</v>
      </c>
      <c r="E6263" s="1507" t="s">
        <v>243</v>
      </c>
      <c r="F6263" s="1507"/>
      <c r="G6263" s="584" t="s">
        <v>845</v>
      </c>
      <c r="H6263" s="650">
        <v>8.6E-3</v>
      </c>
      <c r="K6263" t="s">
        <v>972</v>
      </c>
      <c r="L6263" t="s">
        <v>694</v>
      </c>
      <c r="P6263" t="s">
        <v>983</v>
      </c>
      <c r="V6263">
        <v>47</v>
      </c>
    </row>
    <row r="6264" spans="1:22" customFormat="1" ht="15" x14ac:dyDescent="0.25">
      <c r="A6264" t="s">
        <v>262</v>
      </c>
      <c r="B6264" t="s">
        <v>4851</v>
      </c>
      <c r="E6264" s="1507" t="s">
        <v>175</v>
      </c>
      <c r="F6264" s="1507"/>
      <c r="G6264" s="584" t="s">
        <v>845</v>
      </c>
      <c r="H6264" s="650">
        <v>7.4000000000000003E-3</v>
      </c>
      <c r="K6264" t="s">
        <v>972</v>
      </c>
      <c r="L6264" t="s">
        <v>694</v>
      </c>
      <c r="P6264" t="s">
        <v>984</v>
      </c>
      <c r="V6264">
        <v>74</v>
      </c>
    </row>
    <row r="6265" spans="1:22" customFormat="1" ht="15" x14ac:dyDescent="0.25">
      <c r="A6265" t="s">
        <v>262</v>
      </c>
      <c r="B6265" t="s">
        <v>4851</v>
      </c>
      <c r="E6265" s="1515" t="s">
        <v>967</v>
      </c>
      <c r="F6265" s="1507"/>
      <c r="G6265" s="584"/>
      <c r="H6265" s="360"/>
      <c r="K6265" t="s">
        <v>985</v>
      </c>
      <c r="V6265">
        <v>48</v>
      </c>
    </row>
    <row r="6266" spans="1:22" customFormat="1" ht="15" x14ac:dyDescent="0.25">
      <c r="A6266" t="s">
        <v>262</v>
      </c>
      <c r="B6266" t="s">
        <v>4851</v>
      </c>
      <c r="E6266" s="1507" t="s">
        <v>844</v>
      </c>
      <c r="F6266" s="1507"/>
      <c r="G6266" s="584" t="s">
        <v>845</v>
      </c>
      <c r="H6266" s="650">
        <v>4.1000000000000003E-3</v>
      </c>
      <c r="K6266" t="s">
        <v>972</v>
      </c>
      <c r="L6266" t="s">
        <v>968</v>
      </c>
      <c r="P6266" t="s">
        <v>986</v>
      </c>
      <c r="V6266">
        <v>55</v>
      </c>
    </row>
    <row r="6267" spans="1:22" customFormat="1" ht="15" x14ac:dyDescent="0.25">
      <c r="A6267" t="s">
        <v>262</v>
      </c>
      <c r="B6267" t="s">
        <v>4851</v>
      </c>
      <c r="E6267" s="1507" t="s">
        <v>846</v>
      </c>
      <c r="F6267" s="1507"/>
      <c r="G6267" s="584" t="s">
        <v>845</v>
      </c>
      <c r="H6267" s="650">
        <v>4.0000000000000002E-4</v>
      </c>
      <c r="K6267" t="s">
        <v>972</v>
      </c>
      <c r="L6267" t="s">
        <v>968</v>
      </c>
      <c r="P6267" t="s">
        <v>986</v>
      </c>
      <c r="V6267">
        <v>65</v>
      </c>
    </row>
    <row r="6268" spans="1:22" customFormat="1" ht="15" x14ac:dyDescent="0.25">
      <c r="A6268" t="s">
        <v>262</v>
      </c>
      <c r="B6268" t="s">
        <v>4851</v>
      </c>
      <c r="E6268" s="1507" t="s">
        <v>847</v>
      </c>
      <c r="F6268" s="1507"/>
      <c r="G6268" s="584" t="s">
        <v>845</v>
      </c>
      <c r="H6268" s="650">
        <v>1.5E-3</v>
      </c>
      <c r="K6268" t="s">
        <v>972</v>
      </c>
      <c r="L6268" t="s">
        <v>968</v>
      </c>
      <c r="P6268" t="s">
        <v>987</v>
      </c>
      <c r="V6268">
        <v>57</v>
      </c>
    </row>
    <row r="6269" spans="1:22" customFormat="1" ht="15" x14ac:dyDescent="0.25">
      <c r="A6269" t="s">
        <v>262</v>
      </c>
      <c r="B6269" t="s">
        <v>4851</v>
      </c>
      <c r="E6269" s="1507" t="s">
        <v>848</v>
      </c>
      <c r="F6269" s="1507"/>
      <c r="G6269" s="584" t="s">
        <v>777</v>
      </c>
      <c r="H6269" s="650">
        <v>0.25</v>
      </c>
      <c r="K6269" t="s">
        <v>972</v>
      </c>
      <c r="L6269" t="s">
        <v>968</v>
      </c>
      <c r="P6269" t="s">
        <v>988</v>
      </c>
      <c r="V6269">
        <v>63</v>
      </c>
    </row>
    <row r="6270" spans="1:22" customFormat="1" x14ac:dyDescent="0.25">
      <c r="A6270" t="s">
        <v>262</v>
      </c>
      <c r="B6270" t="s">
        <v>4851</v>
      </c>
      <c r="E6270" s="1492" t="s">
        <v>3767</v>
      </c>
      <c r="F6270" s="1493"/>
      <c r="G6270" s="1493"/>
      <c r="H6270" s="1493"/>
      <c r="K6270" t="s">
        <v>3768</v>
      </c>
      <c r="V6270">
        <v>53</v>
      </c>
    </row>
    <row r="6271" spans="1:22" customFormat="1" ht="15" x14ac:dyDescent="0.25">
      <c r="A6271" t="s">
        <v>262</v>
      </c>
      <c r="B6271" t="s">
        <v>4851</v>
      </c>
      <c r="E6271" s="1516" t="s">
        <v>4857</v>
      </c>
      <c r="F6271" s="1516"/>
      <c r="G6271" s="1516"/>
      <c r="H6271" s="1516"/>
      <c r="K6271" t="s">
        <v>3768</v>
      </c>
      <c r="V6271">
        <v>385</v>
      </c>
    </row>
    <row r="6272" spans="1:22" customFormat="1" ht="15" x14ac:dyDescent="0.25">
      <c r="A6272" t="s">
        <v>262</v>
      </c>
      <c r="B6272" t="s">
        <v>4851</v>
      </c>
      <c r="E6272" s="1515" t="s">
        <v>950</v>
      </c>
      <c r="F6272" s="1516"/>
      <c r="G6272" s="1516"/>
      <c r="H6272" s="1516"/>
      <c r="K6272" t="s">
        <v>992</v>
      </c>
      <c r="V6272">
        <v>11</v>
      </c>
    </row>
    <row r="6273" spans="1:22" customFormat="1" ht="15" x14ac:dyDescent="0.25">
      <c r="A6273" t="s">
        <v>262</v>
      </c>
      <c r="B6273" t="s">
        <v>4851</v>
      </c>
      <c r="E6273" s="1516" t="s">
        <v>951</v>
      </c>
      <c r="F6273" s="1516"/>
      <c r="G6273" s="1516"/>
      <c r="H6273" s="1516"/>
      <c r="K6273" t="s">
        <v>3768</v>
      </c>
      <c r="V6273">
        <v>280</v>
      </c>
    </row>
    <row r="6274" spans="1:22" customFormat="1" ht="15" x14ac:dyDescent="0.25">
      <c r="A6274" t="s">
        <v>262</v>
      </c>
      <c r="B6274" t="s">
        <v>4851</v>
      </c>
      <c r="E6274" s="1516" t="s">
        <v>952</v>
      </c>
      <c r="F6274" s="1516"/>
      <c r="G6274" s="1516"/>
      <c r="H6274" s="1516"/>
      <c r="K6274" t="s">
        <v>3768</v>
      </c>
      <c r="V6274">
        <v>411</v>
      </c>
    </row>
    <row r="6275" spans="1:22" customFormat="1" ht="15" x14ac:dyDescent="0.25">
      <c r="A6275" t="s">
        <v>262</v>
      </c>
      <c r="B6275" t="s">
        <v>4851</v>
      </c>
      <c r="E6275" s="1516" t="s">
        <v>953</v>
      </c>
      <c r="F6275" s="1516"/>
      <c r="G6275" s="1516"/>
      <c r="H6275" s="1516"/>
      <c r="K6275" t="s">
        <v>3768</v>
      </c>
      <c r="V6275">
        <v>386</v>
      </c>
    </row>
    <row r="6276" spans="1:22" customFormat="1" ht="15" x14ac:dyDescent="0.25">
      <c r="A6276" t="s">
        <v>262</v>
      </c>
      <c r="B6276" t="s">
        <v>4851</v>
      </c>
      <c r="E6276" s="1516" t="s">
        <v>993</v>
      </c>
      <c r="F6276" s="1516"/>
      <c r="G6276" s="1516"/>
      <c r="H6276" s="1516"/>
      <c r="K6276" t="s">
        <v>3768</v>
      </c>
      <c r="V6276">
        <v>680</v>
      </c>
    </row>
    <row r="6277" spans="1:22" customFormat="1" ht="15" x14ac:dyDescent="0.25">
      <c r="A6277" t="s">
        <v>262</v>
      </c>
      <c r="B6277" t="s">
        <v>4851</v>
      </c>
      <c r="E6277" s="1516" t="s">
        <v>3772</v>
      </c>
      <c r="F6277" s="1516"/>
      <c r="G6277" s="1516"/>
      <c r="H6277" s="1516"/>
      <c r="K6277" t="s">
        <v>3768</v>
      </c>
      <c r="V6277">
        <v>693</v>
      </c>
    </row>
    <row r="6278" spans="1:22" customFormat="1" ht="15" x14ac:dyDescent="0.25">
      <c r="A6278" t="s">
        <v>262</v>
      </c>
      <c r="B6278" t="s">
        <v>4851</v>
      </c>
      <c r="E6278" s="1516" t="s">
        <v>3762</v>
      </c>
      <c r="F6278" s="1516"/>
      <c r="G6278" s="1516"/>
      <c r="H6278" s="1516"/>
      <c r="K6278" t="s">
        <v>3768</v>
      </c>
      <c r="V6278">
        <v>247</v>
      </c>
    </row>
    <row r="6279" spans="1:22" customFormat="1" ht="15" x14ac:dyDescent="0.25">
      <c r="A6279" t="s">
        <v>262</v>
      </c>
      <c r="B6279" t="s">
        <v>4851</v>
      </c>
      <c r="E6279" s="1515" t="s">
        <v>956</v>
      </c>
      <c r="F6279" s="1516"/>
      <c r="G6279" s="1516"/>
      <c r="H6279" s="1516"/>
      <c r="K6279" t="s">
        <v>995</v>
      </c>
      <c r="V6279">
        <v>46</v>
      </c>
    </row>
    <row r="6280" spans="1:22" customFormat="1" ht="15" x14ac:dyDescent="0.25">
      <c r="A6280" t="s">
        <v>262</v>
      </c>
      <c r="B6280" t="s">
        <v>4851</v>
      </c>
      <c r="E6280" s="1507" t="s">
        <v>3773</v>
      </c>
      <c r="F6280" s="1507"/>
      <c r="G6280" s="584" t="s">
        <v>777</v>
      </c>
      <c r="H6280" s="650">
        <v>340.6</v>
      </c>
      <c r="K6280" t="s">
        <v>3768</v>
      </c>
      <c r="L6280" t="s">
        <v>690</v>
      </c>
      <c r="P6280" t="s">
        <v>3774</v>
      </c>
      <c r="V6280">
        <v>14</v>
      </c>
    </row>
    <row r="6281" spans="1:22" customFormat="1" ht="15" x14ac:dyDescent="0.25">
      <c r="A6281" t="s">
        <v>262</v>
      </c>
      <c r="B6281" t="s">
        <v>4851</v>
      </c>
      <c r="E6281" s="1507" t="s">
        <v>6802</v>
      </c>
      <c r="F6281" s="1507"/>
      <c r="G6281" s="584" t="s">
        <v>777</v>
      </c>
      <c r="H6281" s="650">
        <v>-3.41</v>
      </c>
      <c r="K6281" t="s">
        <v>3768</v>
      </c>
      <c r="L6281" t="s">
        <v>690</v>
      </c>
      <c r="P6281" t="s">
        <v>6803</v>
      </c>
      <c r="T6281">
        <v>45900</v>
      </c>
      <c r="V6281">
        <v>148</v>
      </c>
    </row>
    <row r="6282" spans="1:22" customFormat="1" ht="15" x14ac:dyDescent="0.25">
      <c r="A6282" t="s">
        <v>262</v>
      </c>
      <c r="B6282" t="s">
        <v>4851</v>
      </c>
      <c r="E6282" s="1507" t="s">
        <v>3688</v>
      </c>
      <c r="F6282" s="1507"/>
      <c r="G6282" s="584" t="s">
        <v>3775</v>
      </c>
      <c r="H6282" s="650">
        <v>3.5825</v>
      </c>
      <c r="K6282" t="s">
        <v>3768</v>
      </c>
      <c r="L6282" t="s">
        <v>690</v>
      </c>
      <c r="P6282" t="s">
        <v>3776</v>
      </c>
      <c r="V6282">
        <v>28</v>
      </c>
    </row>
    <row r="6283" spans="1:22" customFormat="1" ht="15" x14ac:dyDescent="0.25">
      <c r="A6283" t="s">
        <v>262</v>
      </c>
      <c r="B6283" t="s">
        <v>4851</v>
      </c>
      <c r="E6283" s="1507" t="s">
        <v>6802</v>
      </c>
      <c r="F6283" s="1507"/>
      <c r="G6283" s="584" t="s">
        <v>3775</v>
      </c>
      <c r="H6283" s="650">
        <v>-3.5799999999999998E-2</v>
      </c>
      <c r="K6283" t="s">
        <v>3768</v>
      </c>
      <c r="L6283" t="s">
        <v>690</v>
      </c>
      <c r="P6283" t="s">
        <v>6804</v>
      </c>
      <c r="T6283">
        <v>45900</v>
      </c>
      <c r="V6283">
        <v>148</v>
      </c>
    </row>
    <row r="6284" spans="1:22" customFormat="1" ht="15" x14ac:dyDescent="0.25">
      <c r="A6284" t="s">
        <v>262</v>
      </c>
      <c r="B6284" t="s">
        <v>4851</v>
      </c>
      <c r="E6284" s="1507" t="s">
        <v>910</v>
      </c>
      <c r="F6284" s="1507"/>
      <c r="G6284" s="584" t="s">
        <v>3775</v>
      </c>
      <c r="H6284" s="650">
        <v>0.223</v>
      </c>
      <c r="K6284" t="s">
        <v>3768</v>
      </c>
      <c r="L6284" t="s">
        <v>692</v>
      </c>
      <c r="P6284" t="s">
        <v>3777</v>
      </c>
      <c r="V6284">
        <v>24</v>
      </c>
    </row>
    <row r="6285" spans="1:22" customFormat="1" ht="15" x14ac:dyDescent="0.25">
      <c r="A6285" t="s">
        <v>262</v>
      </c>
      <c r="B6285" t="s">
        <v>4851</v>
      </c>
      <c r="E6285" s="1507" t="s">
        <v>6790</v>
      </c>
      <c r="F6285" s="1507"/>
      <c r="G6285" s="584" t="s">
        <v>845</v>
      </c>
      <c r="H6285" s="650">
        <v>-9.1999999999999998E-3</v>
      </c>
      <c r="K6285" t="s">
        <v>3768</v>
      </c>
      <c r="L6285" t="s">
        <v>692</v>
      </c>
      <c r="P6285" t="s">
        <v>4232</v>
      </c>
      <c r="T6285">
        <v>45838</v>
      </c>
      <c r="V6285">
        <v>138</v>
      </c>
    </row>
    <row r="6286" spans="1:22" customFormat="1" ht="15" x14ac:dyDescent="0.25">
      <c r="A6286" t="s">
        <v>262</v>
      </c>
      <c r="B6286" t="s">
        <v>4851</v>
      </c>
      <c r="E6286" s="1507" t="s">
        <v>6805</v>
      </c>
      <c r="F6286" s="1510"/>
      <c r="G6286" s="584" t="s">
        <v>3775</v>
      </c>
      <c r="H6286" s="650">
        <v>-1.3028999999999999</v>
      </c>
      <c r="K6286" t="s">
        <v>3768</v>
      </c>
      <c r="L6286" t="s">
        <v>692</v>
      </c>
      <c r="P6286" t="s">
        <v>3779</v>
      </c>
      <c r="T6286">
        <v>46022</v>
      </c>
      <c r="V6286">
        <v>190</v>
      </c>
    </row>
    <row r="6287" spans="1:22" customFormat="1" ht="15" x14ac:dyDescent="0.25">
      <c r="A6287" t="s">
        <v>262</v>
      </c>
      <c r="B6287" t="s">
        <v>4851</v>
      </c>
      <c r="E6287" s="1507" t="s">
        <v>6791</v>
      </c>
      <c r="F6287" s="1510"/>
      <c r="G6287" s="584" t="s">
        <v>3775</v>
      </c>
      <c r="H6287" s="650">
        <v>-3.2075</v>
      </c>
      <c r="K6287" t="s">
        <v>3768</v>
      </c>
      <c r="L6287" t="s">
        <v>692</v>
      </c>
      <c r="P6287" t="s">
        <v>3779</v>
      </c>
      <c r="T6287">
        <v>46022</v>
      </c>
      <c r="V6287">
        <v>136</v>
      </c>
    </row>
    <row r="6288" spans="1:22" customFormat="1" ht="15" x14ac:dyDescent="0.25">
      <c r="A6288" t="s">
        <v>262</v>
      </c>
      <c r="B6288" t="s">
        <v>4851</v>
      </c>
      <c r="E6288" s="1507" t="s">
        <v>6806</v>
      </c>
      <c r="F6288" s="1507"/>
      <c r="G6288" s="584" t="s">
        <v>3775</v>
      </c>
      <c r="H6288" s="650">
        <v>1.1194</v>
      </c>
      <c r="K6288" t="s">
        <v>3768</v>
      </c>
      <c r="L6288" t="s">
        <v>692</v>
      </c>
      <c r="P6288" t="s">
        <v>3779</v>
      </c>
      <c r="T6288">
        <v>45838</v>
      </c>
      <c r="V6288">
        <v>155</v>
      </c>
    </row>
    <row r="6289" spans="1:22" customFormat="1" ht="15" x14ac:dyDescent="0.25">
      <c r="A6289" t="s">
        <v>262</v>
      </c>
      <c r="B6289" t="s">
        <v>4851</v>
      </c>
      <c r="E6289" s="1507" t="s">
        <v>6792</v>
      </c>
      <c r="F6289" s="1507"/>
      <c r="G6289" s="584" t="s">
        <v>3775</v>
      </c>
      <c r="H6289" s="650">
        <v>0.28560000000000002</v>
      </c>
      <c r="K6289" t="s">
        <v>3768</v>
      </c>
      <c r="L6289" t="s">
        <v>692</v>
      </c>
      <c r="P6289" t="s">
        <v>3779</v>
      </c>
      <c r="T6289">
        <v>45838</v>
      </c>
      <c r="V6289">
        <v>95</v>
      </c>
    </row>
    <row r="6290" spans="1:22" customFormat="1" ht="15" x14ac:dyDescent="0.25">
      <c r="A6290" t="s">
        <v>262</v>
      </c>
      <c r="B6290" t="s">
        <v>4851</v>
      </c>
      <c r="E6290" s="1507" t="s">
        <v>6798</v>
      </c>
      <c r="F6290" s="1510"/>
      <c r="G6290" s="584" t="s">
        <v>3775</v>
      </c>
      <c r="H6290" s="650">
        <v>-0.10299999999999999</v>
      </c>
      <c r="K6290" t="s">
        <v>3768</v>
      </c>
      <c r="L6290" t="s">
        <v>692</v>
      </c>
      <c r="P6290" t="s">
        <v>3778</v>
      </c>
      <c r="T6290">
        <v>46022</v>
      </c>
      <c r="V6290">
        <v>180</v>
      </c>
    </row>
    <row r="6291" spans="1:22" customFormat="1" ht="15" x14ac:dyDescent="0.25">
      <c r="A6291" t="s">
        <v>262</v>
      </c>
      <c r="B6291" t="s">
        <v>4851</v>
      </c>
      <c r="E6291" s="1507" t="s">
        <v>6799</v>
      </c>
      <c r="F6291" s="1507"/>
      <c r="G6291" s="584" t="s">
        <v>3775</v>
      </c>
      <c r="H6291" s="650">
        <v>-0.18479999999999999</v>
      </c>
      <c r="K6291" t="s">
        <v>3768</v>
      </c>
      <c r="L6291" t="s">
        <v>692</v>
      </c>
      <c r="P6291" t="s">
        <v>3778</v>
      </c>
      <c r="T6291">
        <v>45838</v>
      </c>
      <c r="V6291">
        <v>145</v>
      </c>
    </row>
    <row r="6292" spans="1:22" customFormat="1" ht="15" x14ac:dyDescent="0.25">
      <c r="A6292" t="s">
        <v>262</v>
      </c>
      <c r="B6292" t="s">
        <v>4851</v>
      </c>
      <c r="E6292" s="1507" t="s">
        <v>6800</v>
      </c>
      <c r="F6292" s="1507"/>
      <c r="G6292" s="584" t="s">
        <v>3775</v>
      </c>
      <c r="H6292" s="650">
        <v>5.9799999999999999E-2</v>
      </c>
      <c r="K6292" t="s">
        <v>3768</v>
      </c>
      <c r="L6292" t="s">
        <v>690</v>
      </c>
      <c r="P6292" t="s">
        <v>6807</v>
      </c>
      <c r="T6292">
        <v>46022</v>
      </c>
      <c r="V6292">
        <v>93</v>
      </c>
    </row>
    <row r="6293" spans="1:22" customFormat="1" ht="15" x14ac:dyDescent="0.25">
      <c r="A6293" t="s">
        <v>262</v>
      </c>
      <c r="B6293" t="s">
        <v>4851</v>
      </c>
      <c r="E6293" s="1507" t="s">
        <v>243</v>
      </c>
      <c r="F6293" s="1507"/>
      <c r="G6293" s="584" t="s">
        <v>3775</v>
      </c>
      <c r="H6293" s="650">
        <v>3.8744000000000001</v>
      </c>
      <c r="K6293" t="s">
        <v>3768</v>
      </c>
      <c r="L6293" t="s">
        <v>694</v>
      </c>
      <c r="P6293" t="s">
        <v>3780</v>
      </c>
      <c r="V6293">
        <v>47</v>
      </c>
    </row>
    <row r="6294" spans="1:22" customFormat="1" ht="15" x14ac:dyDescent="0.25">
      <c r="A6294" t="s">
        <v>262</v>
      </c>
      <c r="B6294" t="s">
        <v>4851</v>
      </c>
      <c r="E6294" s="1507" t="s">
        <v>175</v>
      </c>
      <c r="F6294" s="1507"/>
      <c r="G6294" s="584" t="s">
        <v>3775</v>
      </c>
      <c r="H6294" s="650">
        <v>2.9089999999999998</v>
      </c>
      <c r="K6294" t="s">
        <v>3768</v>
      </c>
      <c r="L6294" t="s">
        <v>694</v>
      </c>
      <c r="P6294" t="s">
        <v>3781</v>
      </c>
      <c r="V6294">
        <v>74</v>
      </c>
    </row>
    <row r="6295" spans="1:22" customFormat="1" ht="15" x14ac:dyDescent="0.25">
      <c r="A6295" t="s">
        <v>262</v>
      </c>
      <c r="B6295" t="s">
        <v>4851</v>
      </c>
      <c r="E6295" s="1515" t="s">
        <v>967</v>
      </c>
      <c r="F6295" s="1507"/>
      <c r="G6295" s="584"/>
      <c r="H6295" s="360"/>
      <c r="K6295" t="s">
        <v>1003</v>
      </c>
      <c r="V6295">
        <v>48</v>
      </c>
    </row>
    <row r="6296" spans="1:22" customFormat="1" ht="15" x14ac:dyDescent="0.25">
      <c r="A6296" t="s">
        <v>262</v>
      </c>
      <c r="B6296" t="s">
        <v>4851</v>
      </c>
      <c r="E6296" s="1507" t="s">
        <v>844</v>
      </c>
      <c r="F6296" s="1507"/>
      <c r="G6296" s="584" t="s">
        <v>845</v>
      </c>
      <c r="H6296" s="650">
        <v>4.1000000000000003E-3</v>
      </c>
      <c r="K6296" t="s">
        <v>3768</v>
      </c>
      <c r="L6296" t="s">
        <v>968</v>
      </c>
      <c r="P6296" t="s">
        <v>3782</v>
      </c>
      <c r="V6296">
        <v>55</v>
      </c>
    </row>
    <row r="6297" spans="1:22" customFormat="1" ht="15" x14ac:dyDescent="0.25">
      <c r="A6297" t="s">
        <v>262</v>
      </c>
      <c r="B6297" t="s">
        <v>4851</v>
      </c>
      <c r="E6297" s="1507" t="s">
        <v>846</v>
      </c>
      <c r="F6297" s="1507"/>
      <c r="G6297" s="584" t="s">
        <v>845</v>
      </c>
      <c r="H6297" s="650">
        <v>4.0000000000000002E-4</v>
      </c>
      <c r="K6297" t="s">
        <v>3768</v>
      </c>
      <c r="L6297" t="s">
        <v>968</v>
      </c>
      <c r="P6297" t="s">
        <v>3782</v>
      </c>
      <c r="V6297">
        <v>65</v>
      </c>
    </row>
    <row r="6298" spans="1:22" customFormat="1" ht="15" x14ac:dyDescent="0.25">
      <c r="A6298" t="s">
        <v>262</v>
      </c>
      <c r="B6298" t="s">
        <v>4851</v>
      </c>
      <c r="E6298" s="1507" t="s">
        <v>847</v>
      </c>
      <c r="F6298" s="1507"/>
      <c r="G6298" s="584" t="s">
        <v>845</v>
      </c>
      <c r="H6298" s="650">
        <v>1.5E-3</v>
      </c>
      <c r="K6298" t="s">
        <v>3768</v>
      </c>
      <c r="L6298" t="s">
        <v>968</v>
      </c>
      <c r="P6298" t="s">
        <v>3783</v>
      </c>
      <c r="V6298">
        <v>57</v>
      </c>
    </row>
    <row r="6299" spans="1:22" customFormat="1" ht="15" x14ac:dyDescent="0.25">
      <c r="A6299" t="s">
        <v>262</v>
      </c>
      <c r="B6299" t="s">
        <v>4851</v>
      </c>
      <c r="E6299" s="1507" t="s">
        <v>848</v>
      </c>
      <c r="F6299" s="1507"/>
      <c r="G6299" s="584" t="s">
        <v>777</v>
      </c>
      <c r="H6299" s="650">
        <v>0.25</v>
      </c>
      <c r="K6299" t="s">
        <v>3768</v>
      </c>
      <c r="L6299" t="s">
        <v>968</v>
      </c>
      <c r="P6299" t="s">
        <v>3784</v>
      </c>
      <c r="V6299">
        <v>63</v>
      </c>
    </row>
    <row r="6300" spans="1:22" customFormat="1" x14ac:dyDescent="0.25">
      <c r="A6300" t="s">
        <v>262</v>
      </c>
      <c r="B6300" t="s">
        <v>4851</v>
      </c>
      <c r="E6300" s="1492" t="s">
        <v>194</v>
      </c>
      <c r="F6300" s="1493"/>
      <c r="G6300" s="1493"/>
      <c r="H6300" s="1493"/>
      <c r="K6300" t="s">
        <v>3785</v>
      </c>
      <c r="V6300">
        <v>47</v>
      </c>
    </row>
    <row r="6301" spans="1:22" customFormat="1" ht="15" x14ac:dyDescent="0.25">
      <c r="A6301" t="s">
        <v>262</v>
      </c>
      <c r="B6301" t="s">
        <v>4851</v>
      </c>
      <c r="E6301" s="1516" t="s">
        <v>4858</v>
      </c>
      <c r="F6301" s="1516"/>
      <c r="G6301" s="1516"/>
      <c r="H6301" s="1516"/>
      <c r="K6301" t="s">
        <v>3785</v>
      </c>
      <c r="V6301">
        <v>719</v>
      </c>
    </row>
    <row r="6302" spans="1:22" customFormat="1" ht="15" x14ac:dyDescent="0.25">
      <c r="A6302" t="s">
        <v>262</v>
      </c>
      <c r="B6302" t="s">
        <v>4851</v>
      </c>
      <c r="E6302" s="1515" t="s">
        <v>950</v>
      </c>
      <c r="F6302" s="1516"/>
      <c r="G6302" s="1516"/>
      <c r="H6302" s="1516"/>
      <c r="K6302" t="s">
        <v>1010</v>
      </c>
      <c r="V6302">
        <v>11</v>
      </c>
    </row>
    <row r="6303" spans="1:22" customFormat="1" ht="15" x14ac:dyDescent="0.25">
      <c r="A6303" t="s">
        <v>262</v>
      </c>
      <c r="B6303" t="s">
        <v>4851</v>
      </c>
      <c r="E6303" s="1516" t="s">
        <v>951</v>
      </c>
      <c r="F6303" s="1516"/>
      <c r="G6303" s="1516"/>
      <c r="H6303" s="1516"/>
      <c r="K6303" t="s">
        <v>3785</v>
      </c>
      <c r="V6303">
        <v>280</v>
      </c>
    </row>
    <row r="6304" spans="1:22" customFormat="1" ht="15" x14ac:dyDescent="0.25">
      <c r="A6304" t="s">
        <v>262</v>
      </c>
      <c r="B6304" t="s">
        <v>4851</v>
      </c>
      <c r="E6304" s="1516" t="s">
        <v>952</v>
      </c>
      <c r="F6304" s="1516"/>
      <c r="G6304" s="1516"/>
      <c r="H6304" s="1516"/>
      <c r="K6304" t="s">
        <v>3785</v>
      </c>
      <c r="V6304">
        <v>411</v>
      </c>
    </row>
    <row r="6305" spans="1:22" customFormat="1" ht="15" x14ac:dyDescent="0.25">
      <c r="A6305" t="s">
        <v>262</v>
      </c>
      <c r="B6305" t="s">
        <v>4851</v>
      </c>
      <c r="E6305" s="1516" t="s">
        <v>953</v>
      </c>
      <c r="F6305" s="1516"/>
      <c r="G6305" s="1516"/>
      <c r="H6305" s="1516"/>
      <c r="K6305" t="s">
        <v>3785</v>
      </c>
      <c r="V6305">
        <v>386</v>
      </c>
    </row>
    <row r="6306" spans="1:22" customFormat="1" ht="15" x14ac:dyDescent="0.25">
      <c r="A6306" t="s">
        <v>262</v>
      </c>
      <c r="B6306" t="s">
        <v>4851</v>
      </c>
      <c r="E6306" s="1516" t="s">
        <v>3762</v>
      </c>
      <c r="F6306" s="1516"/>
      <c r="G6306" s="1516"/>
      <c r="H6306" s="1516"/>
      <c r="K6306" t="s">
        <v>3785</v>
      </c>
      <c r="V6306">
        <v>247</v>
      </c>
    </row>
    <row r="6307" spans="1:22" customFormat="1" ht="15" x14ac:dyDescent="0.25">
      <c r="A6307" t="s">
        <v>262</v>
      </c>
      <c r="B6307" t="s">
        <v>4851</v>
      </c>
      <c r="E6307" s="1515" t="s">
        <v>956</v>
      </c>
      <c r="F6307" s="1516"/>
      <c r="G6307" s="1516"/>
      <c r="H6307" s="1516"/>
      <c r="K6307" t="s">
        <v>1011</v>
      </c>
      <c r="V6307">
        <v>46</v>
      </c>
    </row>
    <row r="6308" spans="1:22" customFormat="1" ht="15" x14ac:dyDescent="0.25">
      <c r="A6308" t="s">
        <v>262</v>
      </c>
      <c r="B6308" t="s">
        <v>4851</v>
      </c>
      <c r="E6308" s="1507" t="s">
        <v>3874</v>
      </c>
      <c r="F6308" s="1507"/>
      <c r="G6308" s="584" t="s">
        <v>777</v>
      </c>
      <c r="H6308" s="650">
        <v>10.59</v>
      </c>
      <c r="K6308" t="s">
        <v>3785</v>
      </c>
      <c r="L6308" t="s">
        <v>690</v>
      </c>
      <c r="P6308" t="s">
        <v>3788</v>
      </c>
      <c r="V6308">
        <v>31</v>
      </c>
    </row>
    <row r="6309" spans="1:22" customFormat="1" ht="15" x14ac:dyDescent="0.25">
      <c r="A6309" t="s">
        <v>262</v>
      </c>
      <c r="B6309" t="s">
        <v>4851</v>
      </c>
      <c r="E6309" s="1507" t="s">
        <v>3688</v>
      </c>
      <c r="F6309" s="1507"/>
      <c r="G6309" s="584" t="s">
        <v>845</v>
      </c>
      <c r="H6309" s="650">
        <v>9.4999999999999998E-3</v>
      </c>
      <c r="K6309" t="s">
        <v>3785</v>
      </c>
      <c r="L6309" t="s">
        <v>690</v>
      </c>
      <c r="P6309" t="s">
        <v>3789</v>
      </c>
      <c r="V6309">
        <v>28</v>
      </c>
    </row>
    <row r="6310" spans="1:22" customFormat="1" ht="15" x14ac:dyDescent="0.25">
      <c r="A6310" t="s">
        <v>262</v>
      </c>
      <c r="B6310" t="s">
        <v>4851</v>
      </c>
      <c r="E6310" s="1507" t="s">
        <v>910</v>
      </c>
      <c r="F6310" s="1507"/>
      <c r="G6310" s="584" t="s">
        <v>845</v>
      </c>
      <c r="H6310" s="650">
        <v>5.9999999999999995E-4</v>
      </c>
      <c r="K6310" t="s">
        <v>3785</v>
      </c>
      <c r="L6310" t="s">
        <v>692</v>
      </c>
      <c r="P6310" t="s">
        <v>3790</v>
      </c>
      <c r="V6310">
        <v>24</v>
      </c>
    </row>
    <row r="6311" spans="1:22" customFormat="1" ht="15" x14ac:dyDescent="0.25">
      <c r="A6311" t="s">
        <v>262</v>
      </c>
      <c r="B6311" t="s">
        <v>4851</v>
      </c>
      <c r="E6311" s="1507" t="s">
        <v>6790</v>
      </c>
      <c r="F6311" s="1507"/>
      <c r="G6311" s="584" t="s">
        <v>845</v>
      </c>
      <c r="H6311" s="650">
        <v>-9.1999999999999998E-3</v>
      </c>
      <c r="K6311" t="s">
        <v>3785</v>
      </c>
      <c r="L6311" t="s">
        <v>692</v>
      </c>
      <c r="P6311" t="s">
        <v>4818</v>
      </c>
      <c r="T6311">
        <v>45838</v>
      </c>
      <c r="V6311">
        <v>138</v>
      </c>
    </row>
    <row r="6312" spans="1:22" customFormat="1" ht="15" x14ac:dyDescent="0.25">
      <c r="A6312" t="s">
        <v>262</v>
      </c>
      <c r="B6312" t="s">
        <v>4851</v>
      </c>
      <c r="E6312" s="1507" t="s">
        <v>6808</v>
      </c>
      <c r="F6312" s="1510"/>
      <c r="G6312" s="584" t="s">
        <v>845</v>
      </c>
      <c r="H6312" s="650">
        <v>-1.03E-2</v>
      </c>
      <c r="K6312" t="s">
        <v>3785</v>
      </c>
      <c r="L6312" t="s">
        <v>692</v>
      </c>
      <c r="P6312" t="s">
        <v>3792</v>
      </c>
      <c r="T6312">
        <v>46022</v>
      </c>
      <c r="V6312">
        <v>137</v>
      </c>
    </row>
    <row r="6313" spans="1:22" customFormat="1" ht="15" x14ac:dyDescent="0.25">
      <c r="A6313" t="s">
        <v>262</v>
      </c>
      <c r="B6313" t="s">
        <v>4851</v>
      </c>
      <c r="E6313" s="1507" t="s">
        <v>6792</v>
      </c>
      <c r="F6313" s="1507"/>
      <c r="G6313" s="584" t="s">
        <v>845</v>
      </c>
      <c r="H6313" s="650">
        <v>3.2000000000000002E-3</v>
      </c>
      <c r="K6313" t="s">
        <v>3785</v>
      </c>
      <c r="L6313" t="s">
        <v>692</v>
      </c>
      <c r="P6313" t="s">
        <v>3792</v>
      </c>
      <c r="T6313">
        <v>45838</v>
      </c>
      <c r="V6313">
        <v>95</v>
      </c>
    </row>
    <row r="6314" spans="1:22" customFormat="1" ht="15" x14ac:dyDescent="0.25">
      <c r="A6314" t="s">
        <v>262</v>
      </c>
      <c r="B6314" t="s">
        <v>4851</v>
      </c>
      <c r="E6314" s="1507" t="s">
        <v>6798</v>
      </c>
      <c r="F6314" s="1510"/>
      <c r="G6314" s="584" t="s">
        <v>845</v>
      </c>
      <c r="H6314" s="650">
        <v>-2.0000000000000001E-4</v>
      </c>
      <c r="K6314" t="s">
        <v>3785</v>
      </c>
      <c r="L6314" t="s">
        <v>692</v>
      </c>
      <c r="P6314" t="s">
        <v>3791</v>
      </c>
      <c r="T6314">
        <v>46022</v>
      </c>
      <c r="V6314">
        <v>180</v>
      </c>
    </row>
    <row r="6315" spans="1:22" customFormat="1" ht="15" x14ac:dyDescent="0.25">
      <c r="A6315" t="s">
        <v>262</v>
      </c>
      <c r="B6315" t="s">
        <v>4851</v>
      </c>
      <c r="E6315" s="1507" t="s">
        <v>6799</v>
      </c>
      <c r="F6315" s="1507"/>
      <c r="G6315" s="584" t="s">
        <v>845</v>
      </c>
      <c r="H6315" s="650">
        <v>-4.0000000000000002E-4</v>
      </c>
      <c r="K6315" t="s">
        <v>3785</v>
      </c>
      <c r="L6315" t="s">
        <v>692</v>
      </c>
      <c r="P6315" t="s">
        <v>3791</v>
      </c>
      <c r="T6315">
        <v>45838</v>
      </c>
      <c r="V6315">
        <v>145</v>
      </c>
    </row>
    <row r="6316" spans="1:22" customFormat="1" ht="15" x14ac:dyDescent="0.25">
      <c r="A6316" t="s">
        <v>262</v>
      </c>
      <c r="B6316" t="s">
        <v>4851</v>
      </c>
      <c r="E6316" s="1507" t="s">
        <v>243</v>
      </c>
      <c r="F6316" s="1507"/>
      <c r="G6316" s="584" t="s">
        <v>845</v>
      </c>
      <c r="H6316" s="650">
        <v>8.6E-3</v>
      </c>
      <c r="K6316" t="s">
        <v>3785</v>
      </c>
      <c r="L6316" t="s">
        <v>694</v>
      </c>
      <c r="P6316" t="s">
        <v>3793</v>
      </c>
      <c r="V6316">
        <v>47</v>
      </c>
    </row>
    <row r="6317" spans="1:22" customFormat="1" ht="15" x14ac:dyDescent="0.25">
      <c r="A6317" t="s">
        <v>262</v>
      </c>
      <c r="B6317" t="s">
        <v>4851</v>
      </c>
      <c r="E6317" s="1507" t="s">
        <v>175</v>
      </c>
      <c r="F6317" s="1507"/>
      <c r="G6317" s="584" t="s">
        <v>845</v>
      </c>
      <c r="H6317" s="650">
        <v>7.4000000000000003E-3</v>
      </c>
      <c r="K6317" t="s">
        <v>3785</v>
      </c>
      <c r="L6317" t="s">
        <v>694</v>
      </c>
      <c r="P6317" t="s">
        <v>3794</v>
      </c>
      <c r="V6317">
        <v>74</v>
      </c>
    </row>
    <row r="6318" spans="1:22" customFormat="1" ht="15" x14ac:dyDescent="0.25">
      <c r="A6318" t="s">
        <v>262</v>
      </c>
      <c r="B6318" t="s">
        <v>4851</v>
      </c>
      <c r="E6318" s="1515" t="s">
        <v>967</v>
      </c>
      <c r="F6318" s="1507"/>
      <c r="G6318" s="584"/>
      <c r="H6318" s="360"/>
      <c r="K6318" t="s">
        <v>1019</v>
      </c>
      <c r="V6318">
        <v>48</v>
      </c>
    </row>
    <row r="6319" spans="1:22" customFormat="1" ht="15" x14ac:dyDescent="0.25">
      <c r="A6319" t="s">
        <v>262</v>
      </c>
      <c r="B6319" t="s">
        <v>4851</v>
      </c>
      <c r="E6319" s="1507" t="s">
        <v>844</v>
      </c>
      <c r="F6319" s="1507"/>
      <c r="G6319" s="584" t="s">
        <v>845</v>
      </c>
      <c r="H6319" s="650">
        <v>4.1000000000000003E-3</v>
      </c>
      <c r="K6319" t="s">
        <v>3785</v>
      </c>
      <c r="L6319" t="s">
        <v>968</v>
      </c>
      <c r="P6319" t="s">
        <v>3795</v>
      </c>
      <c r="V6319">
        <v>55</v>
      </c>
    </row>
    <row r="6320" spans="1:22" customFormat="1" ht="15" x14ac:dyDescent="0.25">
      <c r="A6320" t="s">
        <v>262</v>
      </c>
      <c r="B6320" t="s">
        <v>4851</v>
      </c>
      <c r="E6320" s="1507" t="s">
        <v>846</v>
      </c>
      <c r="F6320" s="1507"/>
      <c r="G6320" s="584" t="s">
        <v>845</v>
      </c>
      <c r="H6320" s="650">
        <v>4.0000000000000002E-4</v>
      </c>
      <c r="K6320" t="s">
        <v>3785</v>
      </c>
      <c r="L6320" t="s">
        <v>968</v>
      </c>
      <c r="P6320" t="s">
        <v>3795</v>
      </c>
      <c r="V6320">
        <v>65</v>
      </c>
    </row>
    <row r="6321" spans="1:22" customFormat="1" ht="15" x14ac:dyDescent="0.25">
      <c r="A6321" t="s">
        <v>262</v>
      </c>
      <c r="B6321" t="s">
        <v>4851</v>
      </c>
      <c r="E6321" s="1507" t="s">
        <v>847</v>
      </c>
      <c r="F6321" s="1507"/>
      <c r="G6321" s="584" t="s">
        <v>845</v>
      </c>
      <c r="H6321" s="650">
        <v>1.5E-3</v>
      </c>
      <c r="K6321" t="s">
        <v>3785</v>
      </c>
      <c r="L6321" t="s">
        <v>968</v>
      </c>
      <c r="P6321" t="s">
        <v>3796</v>
      </c>
      <c r="V6321">
        <v>57</v>
      </c>
    </row>
    <row r="6322" spans="1:22" customFormat="1" ht="15" x14ac:dyDescent="0.25">
      <c r="A6322" t="s">
        <v>262</v>
      </c>
      <c r="B6322" t="s">
        <v>4851</v>
      </c>
      <c r="E6322" s="1507" t="s">
        <v>848</v>
      </c>
      <c r="F6322" s="1507"/>
      <c r="G6322" s="584" t="s">
        <v>777</v>
      </c>
      <c r="H6322" s="650">
        <v>0.25</v>
      </c>
      <c r="K6322" t="s">
        <v>3785</v>
      </c>
      <c r="L6322" t="s">
        <v>968</v>
      </c>
      <c r="P6322" t="s">
        <v>3797</v>
      </c>
      <c r="V6322">
        <v>63</v>
      </c>
    </row>
    <row r="6323" spans="1:22" customFormat="1" x14ac:dyDescent="0.25">
      <c r="A6323" t="s">
        <v>262</v>
      </c>
      <c r="B6323" t="s">
        <v>4851</v>
      </c>
      <c r="E6323" s="1492" t="s">
        <v>198</v>
      </c>
      <c r="F6323" s="1493"/>
      <c r="G6323" s="1493"/>
      <c r="H6323" s="1493"/>
      <c r="K6323" t="s">
        <v>3798</v>
      </c>
      <c r="V6323">
        <v>40</v>
      </c>
    </row>
    <row r="6324" spans="1:22" customFormat="1" ht="15" x14ac:dyDescent="0.25">
      <c r="A6324" t="s">
        <v>262</v>
      </c>
      <c r="B6324" t="s">
        <v>4851</v>
      </c>
      <c r="E6324" s="1516" t="s">
        <v>4859</v>
      </c>
      <c r="F6324" s="1516"/>
      <c r="G6324" s="1516"/>
      <c r="H6324" s="1516"/>
      <c r="K6324" t="s">
        <v>3798</v>
      </c>
      <c r="V6324">
        <v>250</v>
      </c>
    </row>
    <row r="6325" spans="1:22" customFormat="1" ht="15" x14ac:dyDescent="0.25">
      <c r="A6325" t="s">
        <v>262</v>
      </c>
      <c r="B6325" t="s">
        <v>4851</v>
      </c>
      <c r="E6325" s="1515" t="s">
        <v>950</v>
      </c>
      <c r="F6325" s="1516"/>
      <c r="G6325" s="1516"/>
      <c r="H6325" s="1516"/>
      <c r="K6325" t="s">
        <v>1025</v>
      </c>
      <c r="V6325">
        <v>11</v>
      </c>
    </row>
    <row r="6326" spans="1:22" customFormat="1" ht="15" x14ac:dyDescent="0.25">
      <c r="A6326" t="s">
        <v>262</v>
      </c>
      <c r="B6326" t="s">
        <v>4851</v>
      </c>
      <c r="E6326" s="1516" t="s">
        <v>951</v>
      </c>
      <c r="F6326" s="1516"/>
      <c r="G6326" s="1516"/>
      <c r="H6326" s="1516"/>
      <c r="K6326" t="s">
        <v>3798</v>
      </c>
      <c r="V6326">
        <v>280</v>
      </c>
    </row>
    <row r="6327" spans="1:22" customFormat="1" ht="15" x14ac:dyDescent="0.25">
      <c r="A6327" t="s">
        <v>262</v>
      </c>
      <c r="B6327" t="s">
        <v>4851</v>
      </c>
      <c r="E6327" s="1516" t="s">
        <v>952</v>
      </c>
      <c r="F6327" s="1516"/>
      <c r="G6327" s="1516"/>
      <c r="H6327" s="1516"/>
      <c r="K6327" t="s">
        <v>3798</v>
      </c>
      <c r="V6327">
        <v>411</v>
      </c>
    </row>
    <row r="6328" spans="1:22" customFormat="1" ht="15" x14ac:dyDescent="0.25">
      <c r="A6328" t="s">
        <v>262</v>
      </c>
      <c r="B6328" t="s">
        <v>4851</v>
      </c>
      <c r="E6328" s="1516" t="s">
        <v>953</v>
      </c>
      <c r="F6328" s="1516"/>
      <c r="G6328" s="1516"/>
      <c r="H6328" s="1516"/>
      <c r="K6328" t="s">
        <v>3798</v>
      </c>
      <c r="V6328">
        <v>386</v>
      </c>
    </row>
    <row r="6329" spans="1:22" customFormat="1" ht="15" x14ac:dyDescent="0.25">
      <c r="A6329" t="s">
        <v>262</v>
      </c>
      <c r="B6329" t="s">
        <v>4851</v>
      </c>
      <c r="E6329" s="1516" t="s">
        <v>3762</v>
      </c>
      <c r="F6329" s="1516"/>
      <c r="G6329" s="1516"/>
      <c r="H6329" s="1516"/>
      <c r="K6329" t="s">
        <v>3798</v>
      </c>
      <c r="V6329">
        <v>247</v>
      </c>
    </row>
    <row r="6330" spans="1:22" customFormat="1" ht="15" x14ac:dyDescent="0.25">
      <c r="A6330" t="s">
        <v>262</v>
      </c>
      <c r="B6330" t="s">
        <v>4851</v>
      </c>
      <c r="E6330" s="1515" t="s">
        <v>956</v>
      </c>
      <c r="F6330" s="1516"/>
      <c r="G6330" s="1516"/>
      <c r="H6330" s="1516"/>
      <c r="K6330" t="s">
        <v>1026</v>
      </c>
      <c r="V6330">
        <v>46</v>
      </c>
    </row>
    <row r="6331" spans="1:22" customFormat="1" ht="15" x14ac:dyDescent="0.25">
      <c r="A6331" t="s">
        <v>262</v>
      </c>
      <c r="B6331" t="s">
        <v>4851</v>
      </c>
      <c r="E6331" s="1507" t="s">
        <v>3874</v>
      </c>
      <c r="F6331" s="1507"/>
      <c r="G6331" s="584" t="s">
        <v>777</v>
      </c>
      <c r="H6331" s="650">
        <v>3.88</v>
      </c>
      <c r="K6331" t="s">
        <v>3798</v>
      </c>
      <c r="L6331" t="s">
        <v>690</v>
      </c>
      <c r="P6331" t="s">
        <v>3801</v>
      </c>
      <c r="V6331">
        <v>31</v>
      </c>
    </row>
    <row r="6332" spans="1:22" customFormat="1" ht="15" x14ac:dyDescent="0.25">
      <c r="A6332" t="s">
        <v>262</v>
      </c>
      <c r="B6332" t="s">
        <v>4851</v>
      </c>
      <c r="E6332" s="1507" t="s">
        <v>3688</v>
      </c>
      <c r="F6332" s="1507"/>
      <c r="G6332" s="584" t="s">
        <v>3775</v>
      </c>
      <c r="H6332" s="650">
        <v>10.1477</v>
      </c>
      <c r="K6332" t="s">
        <v>3798</v>
      </c>
      <c r="L6332" t="s">
        <v>690</v>
      </c>
      <c r="P6332" t="s">
        <v>3802</v>
      </c>
      <c r="V6332">
        <v>28</v>
      </c>
    </row>
    <row r="6333" spans="1:22" customFormat="1" ht="15" x14ac:dyDescent="0.25">
      <c r="A6333" t="s">
        <v>262</v>
      </c>
      <c r="B6333" t="s">
        <v>4851</v>
      </c>
      <c r="E6333" s="1507" t="s">
        <v>910</v>
      </c>
      <c r="F6333" s="1507"/>
      <c r="G6333" s="584" t="s">
        <v>3775</v>
      </c>
      <c r="H6333" s="650">
        <v>0.16980000000000001</v>
      </c>
      <c r="K6333" t="s">
        <v>3798</v>
      </c>
      <c r="L6333" t="s">
        <v>692</v>
      </c>
      <c r="P6333" t="s">
        <v>3803</v>
      </c>
      <c r="V6333">
        <v>24</v>
      </c>
    </row>
    <row r="6334" spans="1:22" customFormat="1" ht="15" x14ac:dyDescent="0.25">
      <c r="A6334" t="s">
        <v>262</v>
      </c>
      <c r="B6334" t="s">
        <v>4851</v>
      </c>
      <c r="E6334" s="1515" t="s">
        <v>967</v>
      </c>
      <c r="F6334" s="1507"/>
      <c r="G6334" s="584"/>
      <c r="H6334" s="360"/>
      <c r="K6334" t="s">
        <v>1035</v>
      </c>
      <c r="V6334">
        <v>48</v>
      </c>
    </row>
    <row r="6335" spans="1:22" customFormat="1" ht="15" x14ac:dyDescent="0.25">
      <c r="A6335" t="s">
        <v>262</v>
      </c>
      <c r="B6335" t="s">
        <v>4851</v>
      </c>
      <c r="E6335" s="1507" t="s">
        <v>844</v>
      </c>
      <c r="F6335" s="1507"/>
      <c r="G6335" s="584" t="s">
        <v>845</v>
      </c>
      <c r="H6335" s="650">
        <v>4.1000000000000003E-3</v>
      </c>
      <c r="K6335" t="s">
        <v>3798</v>
      </c>
      <c r="L6335" t="s">
        <v>968</v>
      </c>
      <c r="P6335" t="s">
        <v>3808</v>
      </c>
      <c r="V6335">
        <v>55</v>
      </c>
    </row>
    <row r="6336" spans="1:22" customFormat="1" ht="15" x14ac:dyDescent="0.25">
      <c r="A6336" t="s">
        <v>262</v>
      </c>
      <c r="B6336" t="s">
        <v>4851</v>
      </c>
      <c r="E6336" s="1507" t="s">
        <v>846</v>
      </c>
      <c r="F6336" s="1507"/>
      <c r="G6336" s="584" t="s">
        <v>845</v>
      </c>
      <c r="H6336" s="650">
        <v>4.0000000000000002E-4</v>
      </c>
      <c r="K6336" t="s">
        <v>3798</v>
      </c>
      <c r="L6336" t="s">
        <v>968</v>
      </c>
      <c r="P6336" t="s">
        <v>3808</v>
      </c>
      <c r="V6336">
        <v>65</v>
      </c>
    </row>
    <row r="6337" spans="1:22" customFormat="1" ht="15" x14ac:dyDescent="0.25">
      <c r="A6337" t="s">
        <v>262</v>
      </c>
      <c r="B6337" t="s">
        <v>4851</v>
      </c>
      <c r="E6337" s="1507" t="s">
        <v>847</v>
      </c>
      <c r="F6337" s="1507"/>
      <c r="G6337" s="584" t="s">
        <v>845</v>
      </c>
      <c r="H6337" s="650">
        <v>1.5E-3</v>
      </c>
      <c r="K6337" t="s">
        <v>3798</v>
      </c>
      <c r="L6337" t="s">
        <v>968</v>
      </c>
      <c r="P6337" t="s">
        <v>3809</v>
      </c>
      <c r="V6337">
        <v>57</v>
      </c>
    </row>
    <row r="6338" spans="1:22" customFormat="1" ht="15" x14ac:dyDescent="0.25">
      <c r="A6338" t="s">
        <v>262</v>
      </c>
      <c r="B6338" t="s">
        <v>4851</v>
      </c>
      <c r="E6338" s="1507" t="s">
        <v>848</v>
      </c>
      <c r="F6338" s="1507"/>
      <c r="G6338" s="584" t="s">
        <v>777</v>
      </c>
      <c r="H6338" s="650">
        <v>0.25</v>
      </c>
      <c r="K6338" t="s">
        <v>3798</v>
      </c>
      <c r="L6338" t="s">
        <v>968</v>
      </c>
      <c r="P6338" t="s">
        <v>3810</v>
      </c>
      <c r="V6338">
        <v>63</v>
      </c>
    </row>
    <row r="6339" spans="1:22" customFormat="1" x14ac:dyDescent="0.25">
      <c r="A6339" t="s">
        <v>262</v>
      </c>
      <c r="B6339" t="s">
        <v>4851</v>
      </c>
      <c r="E6339" s="1492" t="s">
        <v>202</v>
      </c>
      <c r="F6339" s="1493"/>
      <c r="G6339" s="1493"/>
      <c r="H6339" s="1493"/>
      <c r="K6339" t="s">
        <v>3811</v>
      </c>
      <c r="V6339">
        <v>38</v>
      </c>
    </row>
    <row r="6340" spans="1:22" customFormat="1" ht="15" x14ac:dyDescent="0.25">
      <c r="A6340" t="s">
        <v>262</v>
      </c>
      <c r="B6340" t="s">
        <v>4851</v>
      </c>
      <c r="E6340" s="1516" t="s">
        <v>4860</v>
      </c>
      <c r="F6340" s="1516"/>
      <c r="G6340" s="1516"/>
      <c r="H6340" s="1516"/>
      <c r="K6340" t="s">
        <v>3811</v>
      </c>
      <c r="V6340">
        <v>542</v>
      </c>
    </row>
    <row r="6341" spans="1:22" customFormat="1" ht="15" x14ac:dyDescent="0.25">
      <c r="A6341" t="s">
        <v>262</v>
      </c>
      <c r="B6341" t="s">
        <v>4851</v>
      </c>
      <c r="E6341" s="1515" t="s">
        <v>950</v>
      </c>
      <c r="F6341" s="1516"/>
      <c r="G6341" s="1516"/>
      <c r="H6341" s="1516"/>
      <c r="K6341" t="s">
        <v>1041</v>
      </c>
      <c r="V6341">
        <v>11</v>
      </c>
    </row>
    <row r="6342" spans="1:22" customFormat="1" ht="15" x14ac:dyDescent="0.25">
      <c r="A6342" t="s">
        <v>262</v>
      </c>
      <c r="B6342" t="s">
        <v>4851</v>
      </c>
      <c r="E6342" s="1516" t="s">
        <v>951</v>
      </c>
      <c r="F6342" s="1516"/>
      <c r="G6342" s="1516"/>
      <c r="H6342" s="1516"/>
      <c r="K6342" t="s">
        <v>3811</v>
      </c>
      <c r="V6342">
        <v>280</v>
      </c>
    </row>
    <row r="6343" spans="1:22" customFormat="1" ht="15" x14ac:dyDescent="0.25">
      <c r="A6343" t="s">
        <v>262</v>
      </c>
      <c r="B6343" t="s">
        <v>4851</v>
      </c>
      <c r="E6343" s="1516" t="s">
        <v>952</v>
      </c>
      <c r="F6343" s="1516"/>
      <c r="G6343" s="1516"/>
      <c r="H6343" s="1516"/>
      <c r="K6343" t="s">
        <v>3811</v>
      </c>
      <c r="V6343">
        <v>411</v>
      </c>
    </row>
    <row r="6344" spans="1:22" customFormat="1" ht="15" x14ac:dyDescent="0.25">
      <c r="A6344" t="s">
        <v>262</v>
      </c>
      <c r="B6344" t="s">
        <v>4851</v>
      </c>
      <c r="E6344" s="1516" t="s">
        <v>953</v>
      </c>
      <c r="F6344" s="1516"/>
      <c r="G6344" s="1516"/>
      <c r="H6344" s="1516"/>
      <c r="K6344" t="s">
        <v>3811</v>
      </c>
      <c r="V6344">
        <v>386</v>
      </c>
    </row>
    <row r="6345" spans="1:22" customFormat="1" ht="15" x14ac:dyDescent="0.25">
      <c r="A6345" t="s">
        <v>262</v>
      </c>
      <c r="B6345" t="s">
        <v>4851</v>
      </c>
      <c r="E6345" s="1516" t="s">
        <v>3762</v>
      </c>
      <c r="F6345" s="1516"/>
      <c r="G6345" s="1516"/>
      <c r="H6345" s="1516"/>
      <c r="K6345" t="s">
        <v>3811</v>
      </c>
      <c r="V6345">
        <v>247</v>
      </c>
    </row>
    <row r="6346" spans="1:22" customFormat="1" ht="15" x14ac:dyDescent="0.25">
      <c r="A6346" t="s">
        <v>262</v>
      </c>
      <c r="B6346" t="s">
        <v>4851</v>
      </c>
      <c r="E6346" s="1515" t="s">
        <v>956</v>
      </c>
      <c r="F6346" s="1516"/>
      <c r="G6346" s="1516"/>
      <c r="H6346" s="1516"/>
      <c r="K6346" t="s">
        <v>1042</v>
      </c>
      <c r="V6346">
        <v>46</v>
      </c>
    </row>
    <row r="6347" spans="1:22" customFormat="1" ht="15" x14ac:dyDescent="0.25">
      <c r="A6347" t="s">
        <v>262</v>
      </c>
      <c r="B6347" t="s">
        <v>4851</v>
      </c>
      <c r="E6347" s="1507" t="s">
        <v>3874</v>
      </c>
      <c r="F6347" s="1507"/>
      <c r="G6347" s="584" t="s">
        <v>777</v>
      </c>
      <c r="H6347" s="650">
        <v>4.5599999999999996</v>
      </c>
      <c r="K6347" t="s">
        <v>3811</v>
      </c>
      <c r="L6347" t="s">
        <v>690</v>
      </c>
      <c r="P6347" t="s">
        <v>3813</v>
      </c>
      <c r="V6347">
        <v>31</v>
      </c>
    </row>
    <row r="6348" spans="1:22" customFormat="1" ht="15" x14ac:dyDescent="0.25">
      <c r="A6348" t="s">
        <v>262</v>
      </c>
      <c r="B6348" t="s">
        <v>4851</v>
      </c>
      <c r="E6348" s="1507" t="s">
        <v>3688</v>
      </c>
      <c r="F6348" s="1507"/>
      <c r="G6348" s="584" t="s">
        <v>3775</v>
      </c>
      <c r="H6348" s="650">
        <v>15.1656</v>
      </c>
      <c r="K6348" t="s">
        <v>3811</v>
      </c>
      <c r="L6348" t="s">
        <v>690</v>
      </c>
      <c r="P6348" t="s">
        <v>3814</v>
      </c>
      <c r="V6348">
        <v>28</v>
      </c>
    </row>
    <row r="6349" spans="1:22" customFormat="1" ht="15" x14ac:dyDescent="0.25">
      <c r="A6349" t="s">
        <v>262</v>
      </c>
      <c r="B6349" t="s">
        <v>4851</v>
      </c>
      <c r="E6349" s="1507" t="s">
        <v>910</v>
      </c>
      <c r="F6349" s="1507"/>
      <c r="G6349" s="584" t="s">
        <v>3775</v>
      </c>
      <c r="H6349" s="650">
        <v>0.1663</v>
      </c>
      <c r="K6349" t="s">
        <v>3811</v>
      </c>
      <c r="L6349" t="s">
        <v>692</v>
      </c>
      <c r="P6349" t="s">
        <v>3815</v>
      </c>
      <c r="V6349">
        <v>24</v>
      </c>
    </row>
    <row r="6350" spans="1:22" customFormat="1" ht="15" x14ac:dyDescent="0.25">
      <c r="A6350" t="s">
        <v>262</v>
      </c>
      <c r="B6350" t="s">
        <v>4851</v>
      </c>
      <c r="E6350" s="1507" t="s">
        <v>6790</v>
      </c>
      <c r="F6350" s="1507"/>
      <c r="G6350" s="584" t="s">
        <v>845</v>
      </c>
      <c r="H6350" s="650">
        <v>-9.1999999999999998E-3</v>
      </c>
      <c r="K6350" t="s">
        <v>3811</v>
      </c>
      <c r="L6350" t="s">
        <v>692</v>
      </c>
      <c r="P6350" t="s">
        <v>4543</v>
      </c>
      <c r="T6350">
        <v>45838</v>
      </c>
      <c r="V6350">
        <v>138</v>
      </c>
    </row>
    <row r="6351" spans="1:22" customFormat="1" ht="15" x14ac:dyDescent="0.25">
      <c r="A6351" t="s">
        <v>262</v>
      </c>
      <c r="B6351" t="s">
        <v>4851</v>
      </c>
      <c r="E6351" s="1507" t="s">
        <v>6808</v>
      </c>
      <c r="F6351" s="1510"/>
      <c r="G6351" s="584" t="s">
        <v>3775</v>
      </c>
      <c r="H6351" s="650">
        <v>-1.2584</v>
      </c>
      <c r="K6351" t="s">
        <v>3811</v>
      </c>
      <c r="L6351" t="s">
        <v>692</v>
      </c>
      <c r="P6351" t="s">
        <v>3817</v>
      </c>
      <c r="T6351">
        <v>46022</v>
      </c>
      <c r="V6351">
        <v>137</v>
      </c>
    </row>
    <row r="6352" spans="1:22" customFormat="1" ht="15" x14ac:dyDescent="0.25">
      <c r="A6352" t="s">
        <v>262</v>
      </c>
      <c r="B6352" t="s">
        <v>4851</v>
      </c>
      <c r="E6352" s="1507" t="s">
        <v>6792</v>
      </c>
      <c r="F6352" s="1507"/>
      <c r="G6352" s="584" t="s">
        <v>3775</v>
      </c>
      <c r="H6352" s="650">
        <v>0.38440000000000002</v>
      </c>
      <c r="K6352" t="s">
        <v>3811</v>
      </c>
      <c r="L6352" t="s">
        <v>692</v>
      </c>
      <c r="P6352" t="s">
        <v>3817</v>
      </c>
      <c r="T6352">
        <v>45838</v>
      </c>
      <c r="V6352">
        <v>95</v>
      </c>
    </row>
    <row r="6353" spans="1:22" customFormat="1" ht="15" x14ac:dyDescent="0.25">
      <c r="A6353" t="s">
        <v>262</v>
      </c>
      <c r="B6353" t="s">
        <v>4851</v>
      </c>
      <c r="E6353" s="1507" t="s">
        <v>6809</v>
      </c>
      <c r="F6353" s="1510"/>
      <c r="G6353" s="584" t="s">
        <v>3775</v>
      </c>
      <c r="H6353" s="650">
        <v>-0.03</v>
      </c>
      <c r="K6353" t="s">
        <v>3811</v>
      </c>
      <c r="L6353" t="s">
        <v>692</v>
      </c>
      <c r="P6353" t="s">
        <v>3816</v>
      </c>
      <c r="T6353">
        <v>46022</v>
      </c>
      <c r="V6353">
        <v>181</v>
      </c>
    </row>
    <row r="6354" spans="1:22" customFormat="1" ht="15" x14ac:dyDescent="0.25">
      <c r="A6354" t="s">
        <v>262</v>
      </c>
      <c r="B6354" t="s">
        <v>4851</v>
      </c>
      <c r="E6354" s="1507" t="s">
        <v>6799</v>
      </c>
      <c r="F6354" s="1507"/>
      <c r="G6354" s="584" t="s">
        <v>3775</v>
      </c>
      <c r="H6354" s="650">
        <v>-5.2900000000000003E-2</v>
      </c>
      <c r="K6354" t="s">
        <v>3811</v>
      </c>
      <c r="L6354" t="s">
        <v>692</v>
      </c>
      <c r="P6354" t="s">
        <v>3816</v>
      </c>
      <c r="T6354">
        <v>45838</v>
      </c>
      <c r="V6354">
        <v>145</v>
      </c>
    </row>
    <row r="6355" spans="1:22" customFormat="1" ht="15" x14ac:dyDescent="0.25">
      <c r="A6355" t="s">
        <v>262</v>
      </c>
      <c r="B6355" t="s">
        <v>4851</v>
      </c>
      <c r="E6355" s="1507" t="s">
        <v>243</v>
      </c>
      <c r="F6355" s="1507"/>
      <c r="G6355" s="584" t="s">
        <v>3775</v>
      </c>
      <c r="H6355" s="650">
        <v>2.8538000000000001</v>
      </c>
      <c r="K6355" t="s">
        <v>3811</v>
      </c>
      <c r="L6355" t="s">
        <v>694</v>
      </c>
      <c r="P6355" t="s">
        <v>3818</v>
      </c>
      <c r="V6355">
        <v>47</v>
      </c>
    </row>
    <row r="6356" spans="1:22" customFormat="1" ht="15" x14ac:dyDescent="0.25">
      <c r="A6356" t="s">
        <v>262</v>
      </c>
      <c r="B6356" t="s">
        <v>4851</v>
      </c>
      <c r="E6356" s="1507" t="s">
        <v>175</v>
      </c>
      <c r="F6356" s="1507"/>
      <c r="G6356" s="584" t="s">
        <v>3775</v>
      </c>
      <c r="H6356" s="650">
        <v>2.1692</v>
      </c>
      <c r="K6356" t="s">
        <v>3811</v>
      </c>
      <c r="L6356" t="s">
        <v>694</v>
      </c>
      <c r="P6356" t="s">
        <v>3819</v>
      </c>
      <c r="V6356">
        <v>74</v>
      </c>
    </row>
    <row r="6357" spans="1:22" customFormat="1" ht="15" x14ac:dyDescent="0.25">
      <c r="A6357" t="s">
        <v>262</v>
      </c>
      <c r="B6357" t="s">
        <v>4851</v>
      </c>
      <c r="E6357" s="1515" t="s">
        <v>967</v>
      </c>
      <c r="F6357" s="1507"/>
      <c r="G6357" s="584"/>
      <c r="H6357" s="360"/>
      <c r="K6357" t="s">
        <v>1049</v>
      </c>
      <c r="V6357">
        <v>48</v>
      </c>
    </row>
    <row r="6358" spans="1:22" customFormat="1" ht="15" x14ac:dyDescent="0.25">
      <c r="A6358" t="s">
        <v>262</v>
      </c>
      <c r="B6358" t="s">
        <v>4851</v>
      </c>
      <c r="E6358" s="1507" t="s">
        <v>844</v>
      </c>
      <c r="F6358" s="1507"/>
      <c r="G6358" s="584" t="s">
        <v>845</v>
      </c>
      <c r="H6358" s="650">
        <v>4.1000000000000003E-3</v>
      </c>
      <c r="K6358" t="s">
        <v>3811</v>
      </c>
      <c r="L6358" t="s">
        <v>968</v>
      </c>
      <c r="P6358" t="s">
        <v>3820</v>
      </c>
      <c r="V6358">
        <v>55</v>
      </c>
    </row>
    <row r="6359" spans="1:22" customFormat="1" ht="15" x14ac:dyDescent="0.25">
      <c r="A6359" t="s">
        <v>262</v>
      </c>
      <c r="B6359" t="s">
        <v>4851</v>
      </c>
      <c r="E6359" s="1507" t="s">
        <v>846</v>
      </c>
      <c r="F6359" s="1507"/>
      <c r="G6359" s="584" t="s">
        <v>845</v>
      </c>
      <c r="H6359" s="650">
        <v>4.0000000000000002E-4</v>
      </c>
      <c r="K6359" t="s">
        <v>3811</v>
      </c>
      <c r="L6359" t="s">
        <v>968</v>
      </c>
      <c r="P6359" t="s">
        <v>3820</v>
      </c>
      <c r="V6359">
        <v>65</v>
      </c>
    </row>
    <row r="6360" spans="1:22" customFormat="1" ht="15" x14ac:dyDescent="0.25">
      <c r="A6360" t="s">
        <v>262</v>
      </c>
      <c r="B6360" t="s">
        <v>4851</v>
      </c>
      <c r="E6360" s="1507" t="s">
        <v>847</v>
      </c>
      <c r="F6360" s="1507"/>
      <c r="G6360" s="584" t="s">
        <v>845</v>
      </c>
      <c r="H6360" s="650">
        <v>1.5E-3</v>
      </c>
      <c r="K6360" t="s">
        <v>3811</v>
      </c>
      <c r="L6360" t="s">
        <v>968</v>
      </c>
      <c r="P6360" t="s">
        <v>3821</v>
      </c>
      <c r="V6360">
        <v>57</v>
      </c>
    </row>
    <row r="6361" spans="1:22" customFormat="1" ht="15" x14ac:dyDescent="0.25">
      <c r="A6361" t="s">
        <v>262</v>
      </c>
      <c r="B6361" t="s">
        <v>4851</v>
      </c>
      <c r="E6361" s="1507" t="s">
        <v>848</v>
      </c>
      <c r="F6361" s="1507"/>
      <c r="G6361" s="584" t="s">
        <v>777</v>
      </c>
      <c r="H6361" s="650">
        <v>0.25</v>
      </c>
      <c r="K6361" t="s">
        <v>3811</v>
      </c>
      <c r="L6361" t="s">
        <v>968</v>
      </c>
      <c r="P6361" t="s">
        <v>3822</v>
      </c>
      <c r="V6361">
        <v>63</v>
      </c>
    </row>
    <row r="6362" spans="1:22" customFormat="1" x14ac:dyDescent="0.25">
      <c r="A6362" t="s">
        <v>262</v>
      </c>
      <c r="B6362" t="s">
        <v>4851</v>
      </c>
      <c r="E6362" s="1492" t="s">
        <v>4002</v>
      </c>
      <c r="F6362" s="1493"/>
      <c r="G6362" s="1493"/>
      <c r="H6362" s="1493"/>
      <c r="K6362" t="s">
        <v>4175</v>
      </c>
      <c r="V6362">
        <v>36</v>
      </c>
    </row>
    <row r="6363" spans="1:22" customFormat="1" ht="15" x14ac:dyDescent="0.25">
      <c r="A6363" t="s">
        <v>262</v>
      </c>
      <c r="B6363" t="s">
        <v>4851</v>
      </c>
      <c r="E6363" s="1516" t="s">
        <v>4861</v>
      </c>
      <c r="F6363" s="1516"/>
      <c r="G6363" s="1516"/>
      <c r="H6363" s="1516"/>
      <c r="K6363" t="s">
        <v>4175</v>
      </c>
      <c r="V6363">
        <v>490</v>
      </c>
    </row>
    <row r="6364" spans="1:22" customFormat="1" ht="15" x14ac:dyDescent="0.25">
      <c r="A6364" t="s">
        <v>262</v>
      </c>
      <c r="B6364" t="s">
        <v>4851</v>
      </c>
      <c r="E6364" s="1515" t="s">
        <v>950</v>
      </c>
      <c r="F6364" s="1516"/>
      <c r="G6364" s="1516"/>
      <c r="H6364" s="1516"/>
      <c r="K6364" t="s">
        <v>1055</v>
      </c>
      <c r="V6364">
        <v>11</v>
      </c>
    </row>
    <row r="6365" spans="1:22" customFormat="1" ht="15" x14ac:dyDescent="0.25">
      <c r="A6365" t="s">
        <v>262</v>
      </c>
      <c r="B6365" t="s">
        <v>4851</v>
      </c>
      <c r="E6365" s="1516" t="s">
        <v>951</v>
      </c>
      <c r="F6365" s="1516"/>
      <c r="G6365" s="1516"/>
      <c r="H6365" s="1516"/>
      <c r="K6365" t="s">
        <v>4175</v>
      </c>
      <c r="V6365">
        <v>280</v>
      </c>
    </row>
    <row r="6366" spans="1:22" customFormat="1" ht="15" x14ac:dyDescent="0.25">
      <c r="A6366" t="s">
        <v>262</v>
      </c>
      <c r="B6366" t="s">
        <v>4851</v>
      </c>
      <c r="E6366" s="1516" t="s">
        <v>952</v>
      </c>
      <c r="F6366" s="1516"/>
      <c r="G6366" s="1516"/>
      <c r="H6366" s="1516"/>
      <c r="K6366" t="s">
        <v>4175</v>
      </c>
      <c r="V6366">
        <v>411</v>
      </c>
    </row>
    <row r="6367" spans="1:22" customFormat="1" ht="15" x14ac:dyDescent="0.25">
      <c r="A6367" t="s">
        <v>262</v>
      </c>
      <c r="B6367" t="s">
        <v>4851</v>
      </c>
      <c r="E6367" s="1516" t="s">
        <v>1103</v>
      </c>
      <c r="F6367" s="1516"/>
      <c r="G6367" s="1516"/>
      <c r="H6367" s="1516"/>
      <c r="K6367" t="s">
        <v>4175</v>
      </c>
      <c r="V6367">
        <v>211</v>
      </c>
    </row>
    <row r="6368" spans="1:22" customFormat="1" ht="15" x14ac:dyDescent="0.25">
      <c r="A6368" t="s">
        <v>262</v>
      </c>
      <c r="B6368" t="s">
        <v>4851</v>
      </c>
      <c r="E6368" s="1516" t="s">
        <v>3762</v>
      </c>
      <c r="F6368" s="1516"/>
      <c r="G6368" s="1516"/>
      <c r="H6368" s="1516"/>
      <c r="K6368" t="s">
        <v>4175</v>
      </c>
      <c r="V6368">
        <v>247</v>
      </c>
    </row>
    <row r="6369" spans="1:22" customFormat="1" ht="15" x14ac:dyDescent="0.25">
      <c r="A6369" t="s">
        <v>262</v>
      </c>
      <c r="B6369" t="s">
        <v>4851</v>
      </c>
      <c r="E6369" s="1515" t="s">
        <v>4862</v>
      </c>
      <c r="F6369" s="1516"/>
      <c r="G6369" s="1516"/>
      <c r="H6369" s="1516"/>
      <c r="K6369" t="s">
        <v>1056</v>
      </c>
      <c r="V6369">
        <v>77</v>
      </c>
    </row>
    <row r="6370" spans="1:22" customFormat="1" ht="15" x14ac:dyDescent="0.25">
      <c r="A6370" t="s">
        <v>262</v>
      </c>
      <c r="B6370" t="s">
        <v>4851</v>
      </c>
      <c r="E6370" s="1507" t="s">
        <v>4863</v>
      </c>
      <c r="F6370" s="1507"/>
      <c r="G6370" s="584" t="s">
        <v>3775</v>
      </c>
      <c r="H6370" s="650">
        <v>1.0712999999999999</v>
      </c>
      <c r="K6370" t="s">
        <v>4175</v>
      </c>
      <c r="L6370" t="s">
        <v>690</v>
      </c>
      <c r="P6370" t="s">
        <v>4864</v>
      </c>
      <c r="V6370">
        <v>56</v>
      </c>
    </row>
    <row r="6371" spans="1:22" customFormat="1" x14ac:dyDescent="0.25">
      <c r="A6371" t="s">
        <v>262</v>
      </c>
      <c r="B6371" t="s">
        <v>4851</v>
      </c>
      <c r="E6371" s="1492" t="s">
        <v>207</v>
      </c>
      <c r="F6371" s="1493"/>
      <c r="G6371" s="1493"/>
      <c r="H6371" s="1493"/>
      <c r="K6371" t="s">
        <v>1069</v>
      </c>
      <c r="V6371">
        <v>31</v>
      </c>
    </row>
    <row r="6372" spans="1:22" customFormat="1" ht="15" x14ac:dyDescent="0.25">
      <c r="A6372" t="s">
        <v>262</v>
      </c>
      <c r="B6372" t="s">
        <v>4851</v>
      </c>
      <c r="E6372" s="1516" t="s">
        <v>4620</v>
      </c>
      <c r="F6372" s="1516"/>
      <c r="G6372" s="1516"/>
      <c r="H6372" s="1516"/>
      <c r="K6372" t="s">
        <v>1069</v>
      </c>
      <c r="V6372">
        <v>285</v>
      </c>
    </row>
    <row r="6373" spans="1:22" customFormat="1" ht="15" x14ac:dyDescent="0.25">
      <c r="A6373" t="s">
        <v>262</v>
      </c>
      <c r="B6373" t="s">
        <v>4851</v>
      </c>
      <c r="E6373" s="1515" t="s">
        <v>950</v>
      </c>
      <c r="F6373" s="1516"/>
      <c r="G6373" s="1516"/>
      <c r="H6373" s="1516"/>
      <c r="K6373" t="s">
        <v>1071</v>
      </c>
      <c r="V6373">
        <v>11</v>
      </c>
    </row>
    <row r="6374" spans="1:22" customFormat="1" ht="15" x14ac:dyDescent="0.25">
      <c r="A6374" t="s">
        <v>262</v>
      </c>
      <c r="B6374" t="s">
        <v>4851</v>
      </c>
      <c r="E6374" s="1516" t="s">
        <v>951</v>
      </c>
      <c r="F6374" s="1516"/>
      <c r="G6374" s="1516"/>
      <c r="H6374" s="1516"/>
      <c r="K6374" t="s">
        <v>1069</v>
      </c>
      <c r="V6374">
        <v>280</v>
      </c>
    </row>
    <row r="6375" spans="1:22" customFormat="1" ht="15" x14ac:dyDescent="0.25">
      <c r="A6375" t="s">
        <v>262</v>
      </c>
      <c r="B6375" t="s">
        <v>4851</v>
      </c>
      <c r="E6375" s="1516" t="s">
        <v>952</v>
      </c>
      <c r="F6375" s="1516"/>
      <c r="G6375" s="1516"/>
      <c r="H6375" s="1516"/>
      <c r="K6375" t="s">
        <v>1069</v>
      </c>
      <c r="V6375">
        <v>411</v>
      </c>
    </row>
    <row r="6376" spans="1:22" customFormat="1" ht="15" x14ac:dyDescent="0.25">
      <c r="A6376" t="s">
        <v>262</v>
      </c>
      <c r="B6376" t="s">
        <v>4851</v>
      </c>
      <c r="E6376" s="1516" t="s">
        <v>1103</v>
      </c>
      <c r="F6376" s="1516"/>
      <c r="G6376" s="1516"/>
      <c r="H6376" s="1516"/>
      <c r="K6376" t="s">
        <v>1069</v>
      </c>
      <c r="V6376">
        <v>211</v>
      </c>
    </row>
    <row r="6377" spans="1:22" customFormat="1" ht="15" x14ac:dyDescent="0.25">
      <c r="A6377" t="s">
        <v>262</v>
      </c>
      <c r="B6377" t="s">
        <v>4851</v>
      </c>
      <c r="E6377" s="1516" t="s">
        <v>3762</v>
      </c>
      <c r="F6377" s="1516"/>
      <c r="G6377" s="1516"/>
      <c r="H6377" s="1516"/>
      <c r="K6377" t="s">
        <v>1069</v>
      </c>
      <c r="V6377">
        <v>247</v>
      </c>
    </row>
    <row r="6378" spans="1:22" customFormat="1" ht="15" x14ac:dyDescent="0.25">
      <c r="A6378" t="s">
        <v>262</v>
      </c>
      <c r="B6378" t="s">
        <v>4851</v>
      </c>
      <c r="E6378" s="1515" t="s">
        <v>956</v>
      </c>
      <c r="F6378" s="1516"/>
      <c r="G6378" s="1516"/>
      <c r="H6378" s="1516"/>
      <c r="K6378" t="s">
        <v>1075</v>
      </c>
      <c r="V6378">
        <v>46</v>
      </c>
    </row>
    <row r="6379" spans="1:22" customFormat="1" ht="15" x14ac:dyDescent="0.25">
      <c r="A6379" t="s">
        <v>262</v>
      </c>
      <c r="B6379" t="s">
        <v>4851</v>
      </c>
      <c r="E6379" s="1507" t="s">
        <v>3773</v>
      </c>
      <c r="F6379" s="1507"/>
      <c r="G6379" s="584" t="s">
        <v>777</v>
      </c>
      <c r="H6379" s="650">
        <v>5</v>
      </c>
      <c r="K6379" t="s">
        <v>1069</v>
      </c>
      <c r="L6379" t="s">
        <v>690</v>
      </c>
      <c r="P6379" t="s">
        <v>1076</v>
      </c>
      <c r="V6379">
        <v>14</v>
      </c>
    </row>
    <row r="6380" spans="1:22" customFormat="1" ht="18.75" x14ac:dyDescent="0.25">
      <c r="A6380" t="s">
        <v>262</v>
      </c>
      <c r="B6380" t="s">
        <v>4851</v>
      </c>
      <c r="E6380" s="836" t="s">
        <v>3825</v>
      </c>
      <c r="F6380" s="385"/>
      <c r="G6380" s="385"/>
      <c r="H6380" s="650"/>
      <c r="K6380" t="s">
        <v>4865</v>
      </c>
      <c r="V6380">
        <v>10</v>
      </c>
    </row>
    <row r="6381" spans="1:22" customFormat="1" ht="15" x14ac:dyDescent="0.25">
      <c r="A6381" t="s">
        <v>262</v>
      </c>
      <c r="B6381" t="s">
        <v>4851</v>
      </c>
      <c r="E6381" s="1507" t="s">
        <v>1078</v>
      </c>
      <c r="F6381" s="1507"/>
      <c r="G6381" s="584" t="s">
        <v>3775</v>
      </c>
      <c r="H6381" s="650">
        <v>-0.6</v>
      </c>
      <c r="V6381">
        <v>68</v>
      </c>
    </row>
    <row r="6382" spans="1:22" customFormat="1" ht="15" x14ac:dyDescent="0.25">
      <c r="A6382" t="s">
        <v>262</v>
      </c>
      <c r="B6382" t="s">
        <v>4851</v>
      </c>
      <c r="E6382" s="1507" t="s">
        <v>1079</v>
      </c>
      <c r="F6382" s="1507"/>
      <c r="G6382" s="584" t="s">
        <v>1118</v>
      </c>
      <c r="H6382" s="650">
        <v>-1</v>
      </c>
      <c r="V6382">
        <v>87</v>
      </c>
    </row>
    <row r="6383" spans="1:22" customFormat="1" ht="36" x14ac:dyDescent="0.25">
      <c r="A6383" t="s">
        <v>262</v>
      </c>
      <c r="B6383" t="s">
        <v>4851</v>
      </c>
      <c r="E6383" s="836" t="s">
        <v>3828</v>
      </c>
      <c r="F6383" s="385"/>
      <c r="G6383" s="385"/>
      <c r="H6383" s="655"/>
      <c r="K6383" t="s">
        <v>4866</v>
      </c>
      <c r="V6383">
        <v>24</v>
      </c>
    </row>
    <row r="6384" spans="1:22" customFormat="1" ht="15" x14ac:dyDescent="0.25">
      <c r="A6384" t="s">
        <v>262</v>
      </c>
      <c r="B6384" t="s">
        <v>4851</v>
      </c>
      <c r="E6384" s="1516" t="s">
        <v>951</v>
      </c>
      <c r="F6384" s="1516"/>
      <c r="G6384" s="1516"/>
      <c r="H6384" s="1516"/>
      <c r="V6384">
        <v>280</v>
      </c>
    </row>
    <row r="6385" spans="1:22" customFormat="1" ht="15" x14ac:dyDescent="0.25">
      <c r="A6385" t="s">
        <v>262</v>
      </c>
      <c r="B6385" t="s">
        <v>4851</v>
      </c>
      <c r="E6385" s="1516" t="s">
        <v>1081</v>
      </c>
      <c r="F6385" s="1516"/>
      <c r="G6385" s="1516"/>
      <c r="H6385" s="1516"/>
      <c r="V6385">
        <v>353</v>
      </c>
    </row>
    <row r="6386" spans="1:22" customFormat="1" ht="15" x14ac:dyDescent="0.25">
      <c r="A6386" t="s">
        <v>262</v>
      </c>
      <c r="B6386" t="s">
        <v>4851</v>
      </c>
      <c r="E6386" s="1516" t="s">
        <v>3762</v>
      </c>
      <c r="F6386" s="1516"/>
      <c r="G6386" s="1516"/>
      <c r="H6386" s="1516"/>
      <c r="V6386">
        <v>247</v>
      </c>
    </row>
    <row r="6387" spans="1:22" customFormat="1" ht="15" x14ac:dyDescent="0.25">
      <c r="A6387" t="s">
        <v>262</v>
      </c>
      <c r="B6387" t="s">
        <v>4851</v>
      </c>
      <c r="E6387" s="835" t="s">
        <v>3830</v>
      </c>
      <c r="F6387" s="318"/>
      <c r="G6387" s="318"/>
      <c r="H6387" s="656"/>
      <c r="K6387" t="s">
        <v>4867</v>
      </c>
      <c r="V6387">
        <v>23</v>
      </c>
    </row>
    <row r="6388" spans="1:22" customFormat="1" ht="15" x14ac:dyDescent="0.25">
      <c r="A6388" t="s">
        <v>262</v>
      </c>
      <c r="B6388" t="s">
        <v>4851</v>
      </c>
      <c r="E6388" s="1517" t="s">
        <v>4868</v>
      </c>
      <c r="F6388" s="1517"/>
      <c r="G6388" s="584" t="s">
        <v>777</v>
      </c>
      <c r="H6388" s="650">
        <v>92.51</v>
      </c>
      <c r="V6388">
        <v>32</v>
      </c>
    </row>
    <row r="6389" spans="1:22" customFormat="1" ht="15" x14ac:dyDescent="0.25">
      <c r="A6389" t="s">
        <v>262</v>
      </c>
      <c r="B6389" t="s">
        <v>4851</v>
      </c>
      <c r="E6389" s="1517" t="s">
        <v>4869</v>
      </c>
      <c r="F6389" s="1517"/>
      <c r="G6389" s="584" t="s">
        <v>777</v>
      </c>
      <c r="H6389" s="650">
        <v>25</v>
      </c>
      <c r="V6389">
        <v>29</v>
      </c>
    </row>
    <row r="6390" spans="1:22" customFormat="1" ht="15" x14ac:dyDescent="0.25">
      <c r="A6390" t="s">
        <v>262</v>
      </c>
      <c r="B6390" t="s">
        <v>4851</v>
      </c>
      <c r="E6390" s="1517" t="s">
        <v>4870</v>
      </c>
      <c r="F6390" s="1517"/>
      <c r="G6390" s="584" t="s">
        <v>777</v>
      </c>
      <c r="H6390" s="650">
        <v>7</v>
      </c>
      <c r="V6390">
        <v>22</v>
      </c>
    </row>
    <row r="6391" spans="1:22" customFormat="1" ht="15" x14ac:dyDescent="0.25">
      <c r="A6391" t="s">
        <v>262</v>
      </c>
      <c r="B6391" t="s">
        <v>4851</v>
      </c>
      <c r="E6391" s="1517" t="s">
        <v>4871</v>
      </c>
      <c r="F6391" s="1517"/>
      <c r="G6391" s="584" t="s">
        <v>777</v>
      </c>
      <c r="H6391" s="650">
        <v>38</v>
      </c>
      <c r="V6391">
        <v>90</v>
      </c>
    </row>
    <row r="6392" spans="1:22" customFormat="1" ht="15" x14ac:dyDescent="0.25">
      <c r="A6392" t="s">
        <v>262</v>
      </c>
      <c r="B6392" t="s">
        <v>4851</v>
      </c>
      <c r="E6392" s="1517" t="s">
        <v>4872</v>
      </c>
      <c r="F6392" s="1517"/>
      <c r="G6392" s="584" t="s">
        <v>777</v>
      </c>
      <c r="H6392" s="650">
        <v>90</v>
      </c>
      <c r="V6392">
        <v>55</v>
      </c>
    </row>
    <row r="6393" spans="1:22" customFormat="1" ht="15" x14ac:dyDescent="0.25">
      <c r="A6393" t="s">
        <v>262</v>
      </c>
      <c r="B6393" t="s">
        <v>4851</v>
      </c>
      <c r="E6393" s="1517" t="s">
        <v>4873</v>
      </c>
      <c r="F6393" s="1517"/>
      <c r="G6393" s="584" t="s">
        <v>777</v>
      </c>
      <c r="H6393" s="650">
        <v>30</v>
      </c>
      <c r="V6393">
        <v>75</v>
      </c>
    </row>
    <row r="6394" spans="1:22" customFormat="1" ht="15" x14ac:dyDescent="0.25">
      <c r="A6394" t="s">
        <v>262</v>
      </c>
      <c r="B6394" t="s">
        <v>4851</v>
      </c>
      <c r="E6394" s="835" t="s">
        <v>4062</v>
      </c>
      <c r="F6394" s="318"/>
      <c r="G6394" s="318"/>
      <c r="H6394" s="651"/>
      <c r="K6394" t="s">
        <v>4874</v>
      </c>
      <c r="V6394">
        <v>22</v>
      </c>
    </row>
    <row r="6395" spans="1:22" customFormat="1" ht="15" x14ac:dyDescent="0.25">
      <c r="A6395" t="s">
        <v>262</v>
      </c>
      <c r="B6395" t="s">
        <v>4851</v>
      </c>
      <c r="E6395" s="1517" t="s">
        <v>4875</v>
      </c>
      <c r="F6395" s="1517"/>
      <c r="G6395" s="584" t="s">
        <v>1118</v>
      </c>
      <c r="H6395" s="650">
        <v>1.5</v>
      </c>
      <c r="V6395">
        <v>99</v>
      </c>
    </row>
    <row r="6396" spans="1:22" customFormat="1" ht="15" x14ac:dyDescent="0.25">
      <c r="A6396" t="s">
        <v>262</v>
      </c>
      <c r="B6396" t="s">
        <v>4851</v>
      </c>
      <c r="E6396" s="1517" t="s">
        <v>4876</v>
      </c>
      <c r="F6396" s="1517"/>
      <c r="G6396" s="584" t="s">
        <v>777</v>
      </c>
      <c r="H6396" s="650">
        <v>65</v>
      </c>
      <c r="V6396">
        <v>54</v>
      </c>
    </row>
    <row r="6397" spans="1:22" customFormat="1" ht="15" x14ac:dyDescent="0.25">
      <c r="A6397" t="s">
        <v>262</v>
      </c>
      <c r="B6397" t="s">
        <v>4851</v>
      </c>
      <c r="E6397" s="1517" t="s">
        <v>4877</v>
      </c>
      <c r="F6397" s="1517"/>
      <c r="G6397" s="584" t="s">
        <v>777</v>
      </c>
      <c r="H6397" s="650">
        <v>185</v>
      </c>
      <c r="V6397">
        <v>53</v>
      </c>
    </row>
    <row r="6398" spans="1:22" customFormat="1" ht="15" x14ac:dyDescent="0.25">
      <c r="A6398" t="s">
        <v>262</v>
      </c>
      <c r="B6398" t="s">
        <v>4851</v>
      </c>
      <c r="E6398" s="1517" t="s">
        <v>4878</v>
      </c>
      <c r="F6398" s="1517"/>
      <c r="G6398" s="584" t="s">
        <v>777</v>
      </c>
      <c r="H6398" s="650">
        <v>185</v>
      </c>
      <c r="V6398">
        <v>53</v>
      </c>
    </row>
    <row r="6399" spans="1:22" customFormat="1" ht="15" x14ac:dyDescent="0.25">
      <c r="A6399" t="s">
        <v>262</v>
      </c>
      <c r="B6399" t="s">
        <v>4851</v>
      </c>
      <c r="E6399" s="1517" t="s">
        <v>4879</v>
      </c>
      <c r="F6399" s="1517"/>
      <c r="G6399" s="584" t="s">
        <v>777</v>
      </c>
      <c r="H6399" s="650">
        <v>415</v>
      </c>
      <c r="V6399">
        <v>52</v>
      </c>
    </row>
    <row r="6400" spans="1:22" customFormat="1" ht="15" x14ac:dyDescent="0.25">
      <c r="A6400" t="s">
        <v>262</v>
      </c>
      <c r="B6400" t="s">
        <v>4851</v>
      </c>
      <c r="E6400" s="835" t="s">
        <v>3846</v>
      </c>
      <c r="F6400" s="582"/>
      <c r="G6400" s="319"/>
      <c r="H6400" s="650"/>
      <c r="V6400">
        <v>5</v>
      </c>
    </row>
    <row r="6401" spans="1:22" customFormat="1" ht="15" x14ac:dyDescent="0.25">
      <c r="A6401" t="s">
        <v>262</v>
      </c>
      <c r="B6401" t="s">
        <v>4851</v>
      </c>
      <c r="E6401" s="1517" t="s">
        <v>4880</v>
      </c>
      <c r="F6401" s="1517"/>
      <c r="G6401" s="584" t="s">
        <v>777</v>
      </c>
      <c r="H6401" s="650" t="s">
        <v>4881</v>
      </c>
      <c r="V6401">
        <v>62</v>
      </c>
    </row>
    <row r="6402" spans="1:22" customFormat="1" ht="15" x14ac:dyDescent="0.25">
      <c r="A6402" t="s">
        <v>262</v>
      </c>
      <c r="B6402" t="s">
        <v>4851</v>
      </c>
      <c r="E6402" s="1517" t="s">
        <v>4882</v>
      </c>
      <c r="F6402" s="1517"/>
      <c r="G6402" s="584" t="s">
        <v>777</v>
      </c>
      <c r="H6402" s="650" t="s">
        <v>4883</v>
      </c>
      <c r="V6402">
        <v>61</v>
      </c>
    </row>
    <row r="6403" spans="1:22" customFormat="1" ht="15" x14ac:dyDescent="0.25">
      <c r="A6403" t="s">
        <v>262</v>
      </c>
      <c r="B6403" t="s">
        <v>4851</v>
      </c>
      <c r="E6403" s="1517" t="s">
        <v>4702</v>
      </c>
      <c r="F6403" s="1517"/>
      <c r="G6403" s="584" t="s">
        <v>777</v>
      </c>
      <c r="H6403" s="650" t="s">
        <v>4884</v>
      </c>
      <c r="V6403">
        <v>62</v>
      </c>
    </row>
    <row r="6404" spans="1:22" customFormat="1" ht="15" x14ac:dyDescent="0.25">
      <c r="A6404" t="s">
        <v>262</v>
      </c>
      <c r="B6404" t="s">
        <v>4851</v>
      </c>
      <c r="E6404" s="1517" t="s">
        <v>4429</v>
      </c>
      <c r="F6404" s="1517"/>
      <c r="G6404" s="584" t="s">
        <v>777</v>
      </c>
      <c r="H6404" s="650" t="s">
        <v>4884</v>
      </c>
      <c r="V6404">
        <v>65</v>
      </c>
    </row>
    <row r="6405" spans="1:22" customFormat="1" ht="15" x14ac:dyDescent="0.25">
      <c r="A6405" t="s">
        <v>262</v>
      </c>
      <c r="B6405" t="s">
        <v>4851</v>
      </c>
      <c r="E6405" s="1517" t="s">
        <v>4430</v>
      </c>
      <c r="F6405" s="1631"/>
      <c r="G6405" s="584" t="s">
        <v>777</v>
      </c>
      <c r="H6405" s="650" t="s">
        <v>4884</v>
      </c>
      <c r="V6405">
        <v>64</v>
      </c>
    </row>
    <row r="6406" spans="1:22" customFormat="1" ht="15" x14ac:dyDescent="0.25">
      <c r="A6406" t="s">
        <v>262</v>
      </c>
      <c r="B6406" t="s">
        <v>4851</v>
      </c>
      <c r="E6406" s="1517" t="s">
        <v>4885</v>
      </c>
      <c r="F6406" s="1631"/>
      <c r="G6406" s="584" t="s">
        <v>777</v>
      </c>
      <c r="H6406" s="650">
        <v>39.14</v>
      </c>
      <c r="V6406">
        <v>51</v>
      </c>
    </row>
    <row r="6407" spans="1:22" customFormat="1" ht="15" x14ac:dyDescent="0.25">
      <c r="A6407" t="s">
        <v>262</v>
      </c>
      <c r="B6407" t="s">
        <v>4851</v>
      </c>
      <c r="E6407" s="1517" t="s">
        <v>4886</v>
      </c>
      <c r="F6407" s="1631"/>
      <c r="G6407" s="584" t="s">
        <v>777</v>
      </c>
      <c r="H6407" s="650">
        <v>245</v>
      </c>
      <c r="V6407">
        <v>77</v>
      </c>
    </row>
    <row r="6408" spans="1:22" customFormat="1" ht="15" x14ac:dyDescent="0.25">
      <c r="A6408" t="s">
        <v>262</v>
      </c>
      <c r="B6408" t="s">
        <v>4851</v>
      </c>
      <c r="E6408" s="1517" t="s">
        <v>4887</v>
      </c>
      <c r="F6408" s="1631"/>
      <c r="G6408" s="584" t="s">
        <v>777</v>
      </c>
      <c r="H6408" s="650">
        <v>475</v>
      </c>
      <c r="V6408">
        <v>77</v>
      </c>
    </row>
    <row r="6409" spans="1:22" customFormat="1" ht="15" x14ac:dyDescent="0.25">
      <c r="A6409" t="s">
        <v>262</v>
      </c>
      <c r="B6409" t="s">
        <v>4851</v>
      </c>
      <c r="E6409" s="1517" t="s">
        <v>4888</v>
      </c>
      <c r="F6409" s="1631"/>
      <c r="G6409" s="584" t="s">
        <v>777</v>
      </c>
      <c r="H6409" s="650">
        <v>595.20000000000005</v>
      </c>
      <c r="V6409">
        <v>66</v>
      </c>
    </row>
    <row r="6410" spans="1:22" customFormat="1" ht="15" x14ac:dyDescent="0.25">
      <c r="A6410" t="s">
        <v>262</v>
      </c>
      <c r="B6410" t="s">
        <v>4851</v>
      </c>
      <c r="E6410" s="1517" t="s">
        <v>4889</v>
      </c>
      <c r="F6410" s="1631"/>
      <c r="G6410" s="584" t="s">
        <v>777</v>
      </c>
      <c r="H6410" s="650">
        <v>2499.29</v>
      </c>
      <c r="V6410">
        <v>19</v>
      </c>
    </row>
    <row r="6411" spans="1:22" customFormat="1" ht="15" x14ac:dyDescent="0.25">
      <c r="A6411" t="s">
        <v>262</v>
      </c>
      <c r="B6411" t="s">
        <v>4851</v>
      </c>
      <c r="E6411" s="1517" t="s">
        <v>4890</v>
      </c>
      <c r="F6411" s="1631"/>
      <c r="G6411" s="584" t="s">
        <v>777</v>
      </c>
      <c r="H6411" s="650">
        <v>3717.21</v>
      </c>
      <c r="V6411">
        <v>15</v>
      </c>
    </row>
    <row r="6412" spans="1:22" customFormat="1" ht="45.75" x14ac:dyDescent="0.25">
      <c r="A6412" t="s">
        <v>262</v>
      </c>
      <c r="B6412" t="s">
        <v>4851</v>
      </c>
      <c r="E6412" s="1517" t="s">
        <v>4891</v>
      </c>
      <c r="F6412" s="1631"/>
      <c r="G6412" s="582" t="s">
        <v>777</v>
      </c>
      <c r="H6412" s="699" t="s">
        <v>4892</v>
      </c>
      <c r="V6412">
        <v>18</v>
      </c>
    </row>
    <row r="6413" spans="1:22" customFormat="1" ht="15" x14ac:dyDescent="0.25">
      <c r="A6413" t="s">
        <v>262</v>
      </c>
      <c r="B6413" t="s">
        <v>4851</v>
      </c>
      <c r="E6413" s="1517" t="s">
        <v>4893</v>
      </c>
      <c r="F6413" s="1631"/>
      <c r="G6413" s="584" t="s">
        <v>777</v>
      </c>
      <c r="H6413" s="650">
        <v>4.42</v>
      </c>
      <c r="V6413">
        <v>31</v>
      </c>
    </row>
    <row r="6414" spans="1:22" customFormat="1" ht="15" x14ac:dyDescent="0.25">
      <c r="A6414" t="s">
        <v>262</v>
      </c>
      <c r="B6414" t="s">
        <v>4851</v>
      </c>
      <c r="E6414" s="1517" t="s">
        <v>4894</v>
      </c>
      <c r="F6414" s="1631"/>
      <c r="G6414" s="584" t="s">
        <v>777</v>
      </c>
      <c r="H6414" s="650">
        <v>3.18</v>
      </c>
      <c r="V6414">
        <v>34</v>
      </c>
    </row>
    <row r="6415" spans="1:22" customFormat="1" ht="15" x14ac:dyDescent="0.25">
      <c r="A6415" t="s">
        <v>262</v>
      </c>
      <c r="B6415" t="s">
        <v>4851</v>
      </c>
      <c r="E6415" s="1517" t="s">
        <v>4895</v>
      </c>
      <c r="F6415" s="1631"/>
      <c r="G6415" s="584" t="s">
        <v>777</v>
      </c>
      <c r="H6415" s="650">
        <v>2.78</v>
      </c>
      <c r="V6415">
        <v>31</v>
      </c>
    </row>
    <row r="6416" spans="1:22" customFormat="1" ht="15" x14ac:dyDescent="0.25">
      <c r="A6416" t="s">
        <v>262</v>
      </c>
      <c r="B6416" t="s">
        <v>4851</v>
      </c>
      <c r="E6416" s="1517" t="s">
        <v>4896</v>
      </c>
      <c r="F6416" s="1631"/>
      <c r="G6416" s="584" t="s">
        <v>777</v>
      </c>
      <c r="H6416" s="650">
        <v>100</v>
      </c>
      <c r="V6416">
        <v>37</v>
      </c>
    </row>
    <row r="6417" spans="1:22" customFormat="1" ht="15" x14ac:dyDescent="0.25">
      <c r="A6417" t="s">
        <v>262</v>
      </c>
      <c r="B6417" t="s">
        <v>4851</v>
      </c>
      <c r="E6417" s="1517" t="s">
        <v>4897</v>
      </c>
      <c r="F6417" s="1631"/>
      <c r="G6417" s="584" t="s">
        <v>777</v>
      </c>
      <c r="H6417" s="650">
        <v>1612.75</v>
      </c>
      <c r="V6417">
        <v>37</v>
      </c>
    </row>
    <row r="6418" spans="1:22" customFormat="1" ht="15" x14ac:dyDescent="0.25">
      <c r="A6418" t="s">
        <v>262</v>
      </c>
      <c r="B6418" t="s">
        <v>4851</v>
      </c>
      <c r="E6418" s="1517" t="s">
        <v>4898</v>
      </c>
      <c r="F6418" s="1631"/>
      <c r="G6418" s="584" t="s">
        <v>777</v>
      </c>
      <c r="H6418" s="650">
        <v>1512.75</v>
      </c>
      <c r="V6418">
        <v>38</v>
      </c>
    </row>
    <row r="6419" spans="1:22" customFormat="1" ht="15" x14ac:dyDescent="0.25">
      <c r="A6419" t="s">
        <v>262</v>
      </c>
      <c r="B6419" t="s">
        <v>4851</v>
      </c>
      <c r="E6419" s="1517" t="s">
        <v>4899</v>
      </c>
      <c r="F6419" s="1631"/>
      <c r="G6419" s="584" t="s">
        <v>777</v>
      </c>
      <c r="H6419" s="650">
        <v>3329.86</v>
      </c>
      <c r="V6419">
        <v>44</v>
      </c>
    </row>
    <row r="6420" spans="1:22" customFormat="1" ht="15" x14ac:dyDescent="0.25">
      <c r="A6420" t="s">
        <v>262</v>
      </c>
      <c r="B6420" t="s">
        <v>4851</v>
      </c>
      <c r="E6420" s="1517" t="s">
        <v>4900</v>
      </c>
      <c r="F6420" s="1631"/>
      <c r="G6420" s="584" t="s">
        <v>777</v>
      </c>
      <c r="H6420" s="650">
        <v>2996.97</v>
      </c>
      <c r="V6420">
        <v>55</v>
      </c>
    </row>
    <row r="6421" spans="1:22" customFormat="1" ht="15" x14ac:dyDescent="0.25">
      <c r="A6421" t="s">
        <v>262</v>
      </c>
      <c r="B6421" t="s">
        <v>4851</v>
      </c>
      <c r="E6421" s="1517" t="s">
        <v>4901</v>
      </c>
      <c r="F6421" s="1631"/>
      <c r="G6421" s="584" t="s">
        <v>777</v>
      </c>
      <c r="H6421" s="650">
        <v>3405.38</v>
      </c>
      <c r="V6421">
        <v>56</v>
      </c>
    </row>
    <row r="6422" spans="1:22" customFormat="1" ht="15" x14ac:dyDescent="0.25">
      <c r="A6422" t="s">
        <v>262</v>
      </c>
      <c r="B6422" t="s">
        <v>4851</v>
      </c>
      <c r="E6422" s="1517" t="s">
        <v>4902</v>
      </c>
      <c r="F6422" s="1631"/>
      <c r="G6422" s="584" t="s">
        <v>777</v>
      </c>
      <c r="H6422" s="650">
        <v>2054.41</v>
      </c>
      <c r="V6422">
        <v>69</v>
      </c>
    </row>
    <row r="6423" spans="1:22" customFormat="1" ht="15" x14ac:dyDescent="0.25">
      <c r="A6423" t="s">
        <v>262</v>
      </c>
      <c r="B6423" t="s">
        <v>4851</v>
      </c>
      <c r="E6423" s="1517" t="s">
        <v>4903</v>
      </c>
      <c r="F6423" s="1631"/>
      <c r="G6423" s="584" t="s">
        <v>777</v>
      </c>
      <c r="H6423" s="650">
        <v>9011.83</v>
      </c>
      <c r="V6423">
        <v>121</v>
      </c>
    </row>
    <row r="6424" spans="1:22" customFormat="1" ht="15" x14ac:dyDescent="0.25">
      <c r="A6424" t="s">
        <v>262</v>
      </c>
      <c r="B6424" t="s">
        <v>4851</v>
      </c>
      <c r="E6424" s="1517" t="s">
        <v>4904</v>
      </c>
      <c r="F6424" s="1631"/>
      <c r="G6424" s="584" t="s">
        <v>777</v>
      </c>
      <c r="H6424" s="650">
        <v>5969.89</v>
      </c>
      <c r="V6424">
        <v>138</v>
      </c>
    </row>
    <row r="6425" spans="1:22" customFormat="1" ht="15" x14ac:dyDescent="0.25">
      <c r="A6425" t="s">
        <v>262</v>
      </c>
      <c r="B6425" t="s">
        <v>4851</v>
      </c>
      <c r="E6425" s="1517" t="s">
        <v>4905</v>
      </c>
      <c r="F6425" s="1631"/>
      <c r="G6425" s="584"/>
      <c r="H6425" s="650" t="s">
        <v>4906</v>
      </c>
      <c r="V6425">
        <v>47</v>
      </c>
    </row>
    <row r="6426" spans="1:22" customFormat="1" ht="15" x14ac:dyDescent="0.25">
      <c r="A6426" t="s">
        <v>262</v>
      </c>
      <c r="B6426" t="s">
        <v>4851</v>
      </c>
      <c r="E6426" s="1517" t="s">
        <v>4907</v>
      </c>
      <c r="F6426" s="1631"/>
      <c r="G6426" s="584"/>
      <c r="H6426" s="650" t="s">
        <v>4906</v>
      </c>
      <c r="V6426">
        <v>54</v>
      </c>
    </row>
    <row r="6427" spans="1:22" customFormat="1" ht="15" x14ac:dyDescent="0.25">
      <c r="A6427" t="s">
        <v>262</v>
      </c>
      <c r="B6427" t="s">
        <v>4851</v>
      </c>
      <c r="E6427" s="1517" t="s">
        <v>4908</v>
      </c>
      <c r="F6427" s="1631"/>
      <c r="G6427" s="584" t="s">
        <v>777</v>
      </c>
      <c r="H6427" s="650">
        <v>2.04</v>
      </c>
      <c r="V6427">
        <v>66</v>
      </c>
    </row>
    <row r="6428" spans="1:22" customFormat="1" ht="15" x14ac:dyDescent="0.25">
      <c r="A6428" t="s">
        <v>262</v>
      </c>
      <c r="B6428" t="s">
        <v>4851</v>
      </c>
      <c r="E6428" s="1517" t="s">
        <v>4909</v>
      </c>
      <c r="F6428" s="1631"/>
      <c r="G6428" s="584" t="s">
        <v>777</v>
      </c>
      <c r="H6428" s="650">
        <v>10</v>
      </c>
      <c r="V6428">
        <v>29</v>
      </c>
    </row>
    <row r="6429" spans="1:22" customFormat="1" ht="15" x14ac:dyDescent="0.25">
      <c r="A6429" t="s">
        <v>262</v>
      </c>
      <c r="B6429" t="s">
        <v>4851</v>
      </c>
      <c r="E6429" s="1517" t="s">
        <v>4910</v>
      </c>
      <c r="F6429" s="1631"/>
      <c r="G6429" s="584" t="s">
        <v>777</v>
      </c>
      <c r="H6429" s="650">
        <v>7</v>
      </c>
      <c r="V6429">
        <v>34</v>
      </c>
    </row>
    <row r="6430" spans="1:22" customFormat="1" ht="15" x14ac:dyDescent="0.25">
      <c r="A6430" t="s">
        <v>262</v>
      </c>
      <c r="B6430" t="s">
        <v>4851</v>
      </c>
      <c r="E6430" s="1517" t="s">
        <v>4911</v>
      </c>
      <c r="F6430" s="1631"/>
      <c r="G6430" s="360"/>
      <c r="H6430" s="650"/>
      <c r="V6430">
        <v>77</v>
      </c>
    </row>
    <row r="6431" spans="1:22" customFormat="1" ht="15" x14ac:dyDescent="0.25">
      <c r="A6431" t="s">
        <v>262</v>
      </c>
      <c r="B6431" t="s">
        <v>4851</v>
      </c>
      <c r="E6431" s="1517" t="s">
        <v>4912</v>
      </c>
      <c r="F6431" s="1631"/>
      <c r="G6431" s="360"/>
      <c r="H6431" s="650"/>
      <c r="V6431">
        <v>64</v>
      </c>
    </row>
    <row r="6432" spans="1:22" customFormat="1" ht="15" x14ac:dyDescent="0.25">
      <c r="A6432" t="s">
        <v>262</v>
      </c>
      <c r="B6432" t="s">
        <v>4851</v>
      </c>
      <c r="E6432" s="1517" t="s">
        <v>4913</v>
      </c>
      <c r="F6432" s="1631"/>
      <c r="G6432" s="584" t="s">
        <v>777</v>
      </c>
      <c r="H6432" s="650">
        <v>90.598565881937631</v>
      </c>
      <c r="V6432">
        <v>31</v>
      </c>
    </row>
    <row r="6433" spans="1:22" customFormat="1" ht="15" x14ac:dyDescent="0.25">
      <c r="A6433" t="s">
        <v>262</v>
      </c>
      <c r="B6433" t="s">
        <v>4851</v>
      </c>
      <c r="E6433" s="1517" t="s">
        <v>4914</v>
      </c>
      <c r="F6433" s="1631"/>
      <c r="G6433" s="584" t="s">
        <v>777</v>
      </c>
      <c r="H6433" s="650">
        <v>108.71827905832514</v>
      </c>
      <c r="V6433">
        <v>31</v>
      </c>
    </row>
    <row r="6434" spans="1:22" customFormat="1" ht="15" x14ac:dyDescent="0.25">
      <c r="A6434" t="s">
        <v>262</v>
      </c>
      <c r="B6434" t="s">
        <v>4851</v>
      </c>
      <c r="E6434" s="1517" t="s">
        <v>4915</v>
      </c>
      <c r="F6434" s="1631"/>
      <c r="G6434" s="584" t="s">
        <v>777</v>
      </c>
      <c r="H6434" s="650">
        <v>120.79808784258351</v>
      </c>
      <c r="V6434">
        <v>31</v>
      </c>
    </row>
    <row r="6435" spans="1:22" customFormat="1" ht="15" x14ac:dyDescent="0.25">
      <c r="A6435" t="s">
        <v>262</v>
      </c>
      <c r="B6435" t="s">
        <v>4851</v>
      </c>
      <c r="E6435" s="1517" t="s">
        <v>4916</v>
      </c>
      <c r="F6435" s="1631"/>
      <c r="G6435" s="584" t="s">
        <v>777</v>
      </c>
      <c r="H6435" s="650">
        <v>129.42652268848232</v>
      </c>
      <c r="V6435">
        <v>31</v>
      </c>
    </row>
    <row r="6436" spans="1:22" customFormat="1" ht="15" x14ac:dyDescent="0.25">
      <c r="A6436" t="s">
        <v>262</v>
      </c>
      <c r="B6436" t="s">
        <v>4851</v>
      </c>
      <c r="E6436" s="1517" t="s">
        <v>4917</v>
      </c>
      <c r="F6436" s="1631"/>
      <c r="G6436" s="584" t="s">
        <v>777</v>
      </c>
      <c r="H6436" s="650">
        <v>135.89784882290644</v>
      </c>
      <c r="V6436">
        <v>31</v>
      </c>
    </row>
    <row r="6437" spans="1:22" customFormat="1" ht="15" x14ac:dyDescent="0.25">
      <c r="A6437" t="s">
        <v>262</v>
      </c>
      <c r="B6437" t="s">
        <v>4851</v>
      </c>
      <c r="E6437" s="1517" t="s">
        <v>4918</v>
      </c>
      <c r="F6437" s="1631"/>
      <c r="G6437" s="584" t="s">
        <v>777</v>
      </c>
      <c r="H6437" s="650">
        <v>140.93110248301412</v>
      </c>
      <c r="V6437">
        <v>31</v>
      </c>
    </row>
    <row r="6438" spans="1:22" customFormat="1" ht="15" x14ac:dyDescent="0.25">
      <c r="A6438" t="s">
        <v>262</v>
      </c>
      <c r="B6438" t="s">
        <v>4851</v>
      </c>
      <c r="E6438" s="1517" t="s">
        <v>4919</v>
      </c>
      <c r="F6438" s="1631"/>
      <c r="G6438" s="584" t="s">
        <v>777</v>
      </c>
      <c r="H6438" s="650">
        <v>144.95770541110022</v>
      </c>
      <c r="V6438">
        <v>31</v>
      </c>
    </row>
    <row r="6439" spans="1:22" customFormat="1" ht="15" x14ac:dyDescent="0.25">
      <c r="A6439" t="s">
        <v>262</v>
      </c>
      <c r="B6439" t="s">
        <v>4851</v>
      </c>
      <c r="E6439" s="1517" t="s">
        <v>4920</v>
      </c>
      <c r="F6439" s="1631"/>
      <c r="G6439" s="584" t="s">
        <v>777</v>
      </c>
      <c r="H6439" s="650">
        <v>148.25219871589795</v>
      </c>
      <c r="V6439">
        <v>31</v>
      </c>
    </row>
    <row r="6440" spans="1:22" customFormat="1" ht="15" x14ac:dyDescent="0.25">
      <c r="A6440" t="s">
        <v>262</v>
      </c>
      <c r="B6440" t="s">
        <v>4851</v>
      </c>
      <c r="E6440" s="1517" t="s">
        <v>4921</v>
      </c>
      <c r="F6440" s="1631"/>
      <c r="G6440" s="584" t="s">
        <v>777</v>
      </c>
      <c r="H6440" s="650">
        <v>150.99760980322941</v>
      </c>
      <c r="V6440">
        <v>31</v>
      </c>
    </row>
    <row r="6441" spans="1:22" customFormat="1" ht="15" x14ac:dyDescent="0.25">
      <c r="A6441" t="s">
        <v>262</v>
      </c>
      <c r="B6441" t="s">
        <v>4851</v>
      </c>
      <c r="E6441" s="1517" t="s">
        <v>4922</v>
      </c>
      <c r="F6441" s="1631"/>
      <c r="G6441" s="584" t="s">
        <v>777</v>
      </c>
      <c r="H6441" s="650">
        <v>153.32</v>
      </c>
      <c r="V6441">
        <v>31</v>
      </c>
    </row>
    <row r="6442" spans="1:22" customFormat="1" ht="15" x14ac:dyDescent="0.25">
      <c r="A6442" t="s">
        <v>262</v>
      </c>
      <c r="B6442" t="s">
        <v>4851</v>
      </c>
      <c r="E6442" s="1517" t="s">
        <v>4923</v>
      </c>
      <c r="F6442" s="1631"/>
      <c r="G6442" s="584" t="s">
        <v>777</v>
      </c>
      <c r="H6442" s="650">
        <v>155.31</v>
      </c>
      <c r="V6442">
        <v>31</v>
      </c>
    </row>
    <row r="6443" spans="1:22" customFormat="1" ht="15" x14ac:dyDescent="0.25">
      <c r="A6443" t="s">
        <v>262</v>
      </c>
      <c r="B6443" t="s">
        <v>4851</v>
      </c>
      <c r="E6443" s="1517" t="s">
        <v>4924</v>
      </c>
      <c r="F6443" s="1631"/>
      <c r="G6443" s="360"/>
      <c r="H6443" s="650"/>
      <c r="V6443">
        <v>69</v>
      </c>
    </row>
    <row r="6444" spans="1:22" customFormat="1" ht="15" x14ac:dyDescent="0.25">
      <c r="A6444" t="s">
        <v>262</v>
      </c>
      <c r="B6444" t="s">
        <v>4851</v>
      </c>
      <c r="E6444" s="1517" t="s">
        <v>4925</v>
      </c>
      <c r="F6444" s="1631"/>
      <c r="G6444" s="584" t="s">
        <v>777</v>
      </c>
      <c r="H6444" s="650">
        <v>90.598565881937631</v>
      </c>
      <c r="V6444">
        <v>38</v>
      </c>
    </row>
    <row r="6445" spans="1:22" customFormat="1" ht="15" x14ac:dyDescent="0.25">
      <c r="A6445" t="s">
        <v>262</v>
      </c>
      <c r="B6445" t="s">
        <v>4851</v>
      </c>
      <c r="E6445" s="1517" t="s">
        <v>4926</v>
      </c>
      <c r="F6445" s="1631"/>
      <c r="G6445" s="584" t="s">
        <v>777</v>
      </c>
      <c r="H6445" s="650">
        <v>108.71827905832514</v>
      </c>
      <c r="V6445">
        <v>38</v>
      </c>
    </row>
    <row r="6446" spans="1:22" customFormat="1" ht="15" x14ac:dyDescent="0.25">
      <c r="A6446" t="s">
        <v>262</v>
      </c>
      <c r="B6446" t="s">
        <v>4851</v>
      </c>
      <c r="E6446" s="1517" t="s">
        <v>4927</v>
      </c>
      <c r="F6446" s="1631"/>
      <c r="G6446" s="584" t="s">
        <v>777</v>
      </c>
      <c r="H6446" s="650">
        <v>120.79808784258351</v>
      </c>
      <c r="V6446">
        <v>38</v>
      </c>
    </row>
    <row r="6447" spans="1:22" customFormat="1" ht="15" x14ac:dyDescent="0.25">
      <c r="A6447" t="s">
        <v>262</v>
      </c>
      <c r="B6447" t="s">
        <v>4851</v>
      </c>
      <c r="E6447" s="1517" t="s">
        <v>4928</v>
      </c>
      <c r="F6447" s="1631"/>
      <c r="G6447" s="584" t="s">
        <v>777</v>
      </c>
      <c r="H6447" s="650">
        <v>129.43</v>
      </c>
      <c r="V6447">
        <v>38</v>
      </c>
    </row>
    <row r="6448" spans="1:22" customFormat="1" ht="15" x14ac:dyDescent="0.25">
      <c r="A6448" t="s">
        <v>262</v>
      </c>
      <c r="B6448" t="s">
        <v>4851</v>
      </c>
      <c r="E6448" s="1517" t="s">
        <v>4929</v>
      </c>
      <c r="F6448" s="1631"/>
      <c r="G6448" s="584" t="s">
        <v>777</v>
      </c>
      <c r="H6448" s="650">
        <v>135.89784882290644</v>
      </c>
      <c r="V6448">
        <v>38</v>
      </c>
    </row>
    <row r="6449" spans="1:22" customFormat="1" ht="15" x14ac:dyDescent="0.25">
      <c r="A6449" t="s">
        <v>262</v>
      </c>
      <c r="B6449" t="s">
        <v>4851</v>
      </c>
      <c r="E6449" s="1517" t="s">
        <v>4930</v>
      </c>
      <c r="F6449" s="1631"/>
      <c r="G6449" s="584" t="s">
        <v>777</v>
      </c>
      <c r="H6449" s="650">
        <v>140.93110248301412</v>
      </c>
      <c r="V6449">
        <v>38</v>
      </c>
    </row>
    <row r="6450" spans="1:22" customFormat="1" ht="15" x14ac:dyDescent="0.25">
      <c r="A6450" t="s">
        <v>262</v>
      </c>
      <c r="B6450" t="s">
        <v>4851</v>
      </c>
      <c r="E6450" s="1517" t="s">
        <v>4931</v>
      </c>
      <c r="F6450" s="1631"/>
      <c r="G6450" s="584" t="s">
        <v>777</v>
      </c>
      <c r="H6450" s="650">
        <v>144.95770541110022</v>
      </c>
      <c r="V6450">
        <v>38</v>
      </c>
    </row>
    <row r="6451" spans="1:22" customFormat="1" ht="15" x14ac:dyDescent="0.25">
      <c r="A6451" t="s">
        <v>262</v>
      </c>
      <c r="B6451" t="s">
        <v>4851</v>
      </c>
      <c r="E6451" s="1517" t="s">
        <v>4932</v>
      </c>
      <c r="F6451" s="1631"/>
      <c r="G6451" s="584" t="s">
        <v>777</v>
      </c>
      <c r="H6451" s="650">
        <v>148.25219871589795</v>
      </c>
      <c r="V6451">
        <v>38</v>
      </c>
    </row>
    <row r="6452" spans="1:22" customFormat="1" ht="15" x14ac:dyDescent="0.25">
      <c r="A6452" t="s">
        <v>262</v>
      </c>
      <c r="B6452" t="s">
        <v>4851</v>
      </c>
      <c r="E6452" s="1517" t="s">
        <v>4933</v>
      </c>
      <c r="F6452" s="1631"/>
      <c r="G6452" s="584" t="s">
        <v>777</v>
      </c>
      <c r="H6452" s="650">
        <v>150.99760980322941</v>
      </c>
      <c r="V6452">
        <v>38</v>
      </c>
    </row>
    <row r="6453" spans="1:22" customFormat="1" ht="15" x14ac:dyDescent="0.25">
      <c r="A6453" t="s">
        <v>262</v>
      </c>
      <c r="B6453" t="s">
        <v>4851</v>
      </c>
      <c r="E6453" s="1517" t="s">
        <v>4934</v>
      </c>
      <c r="F6453" s="1631"/>
      <c r="G6453" s="584" t="s">
        <v>777</v>
      </c>
      <c r="H6453" s="650">
        <v>153.32064995404829</v>
      </c>
      <c r="V6453">
        <v>38</v>
      </c>
    </row>
    <row r="6454" spans="1:22" customFormat="1" ht="15" x14ac:dyDescent="0.25">
      <c r="A6454" t="s">
        <v>262</v>
      </c>
      <c r="B6454" t="s">
        <v>4851</v>
      </c>
      <c r="E6454" s="1517" t="s">
        <v>4935</v>
      </c>
      <c r="F6454" s="1631"/>
      <c r="G6454" s="584" t="s">
        <v>777</v>
      </c>
      <c r="H6454" s="650">
        <v>155.31182722617879</v>
      </c>
      <c r="V6454">
        <v>38</v>
      </c>
    </row>
    <row r="6455" spans="1:22" customFormat="1" x14ac:dyDescent="0.25">
      <c r="A6455" t="s">
        <v>262</v>
      </c>
      <c r="B6455" t="s">
        <v>4851</v>
      </c>
      <c r="E6455" s="1492" t="s">
        <v>3851</v>
      </c>
      <c r="F6455" s="1492"/>
      <c r="G6455" s="1492"/>
      <c r="H6455" s="1492"/>
      <c r="K6455" t="s">
        <v>4936</v>
      </c>
      <c r="V6455">
        <v>38</v>
      </c>
    </row>
    <row r="6456" spans="1:22" customFormat="1" ht="15" x14ac:dyDescent="0.25">
      <c r="A6456" t="s">
        <v>262</v>
      </c>
      <c r="B6456" t="s">
        <v>4851</v>
      </c>
      <c r="E6456" s="1516" t="s">
        <v>951</v>
      </c>
      <c r="F6456" s="1516"/>
      <c r="G6456" s="1516"/>
      <c r="H6456" s="1516"/>
      <c r="V6456">
        <v>280</v>
      </c>
    </row>
    <row r="6457" spans="1:22" customFormat="1" ht="15" x14ac:dyDescent="0.25">
      <c r="A6457" t="s">
        <v>262</v>
      </c>
      <c r="B6457" t="s">
        <v>4851</v>
      </c>
      <c r="E6457" s="1516" t="s">
        <v>952</v>
      </c>
      <c r="F6457" s="1516"/>
      <c r="G6457" s="1516"/>
      <c r="H6457" s="1516"/>
      <c r="V6457">
        <v>411</v>
      </c>
    </row>
    <row r="6458" spans="1:22" customFormat="1" ht="15" x14ac:dyDescent="0.25">
      <c r="A6458" t="s">
        <v>262</v>
      </c>
      <c r="B6458" t="s">
        <v>4851</v>
      </c>
      <c r="E6458" s="1516" t="s">
        <v>1103</v>
      </c>
      <c r="F6458" s="1516"/>
      <c r="G6458" s="1516"/>
      <c r="H6458" s="1516"/>
      <c r="V6458">
        <v>211</v>
      </c>
    </row>
    <row r="6459" spans="1:22" customFormat="1" ht="15" x14ac:dyDescent="0.25">
      <c r="A6459" t="s">
        <v>262</v>
      </c>
      <c r="B6459" t="s">
        <v>4851</v>
      </c>
      <c r="E6459" s="1516" t="s">
        <v>3762</v>
      </c>
      <c r="F6459" s="1516"/>
      <c r="G6459" s="1516"/>
      <c r="H6459" s="1516"/>
      <c r="V6459">
        <v>247</v>
      </c>
    </row>
    <row r="6460" spans="1:22" customFormat="1" ht="15" x14ac:dyDescent="0.25">
      <c r="A6460" t="s">
        <v>262</v>
      </c>
      <c r="B6460" t="s">
        <v>4851</v>
      </c>
      <c r="E6460" s="1516" t="s">
        <v>1104</v>
      </c>
      <c r="F6460" s="1516"/>
      <c r="G6460" s="1516"/>
      <c r="H6460" s="1516"/>
      <c r="V6460">
        <v>142</v>
      </c>
    </row>
    <row r="6461" spans="1:22" customFormat="1" ht="15" x14ac:dyDescent="0.25">
      <c r="A6461" t="s">
        <v>262</v>
      </c>
      <c r="B6461" t="s">
        <v>4851</v>
      </c>
      <c r="E6461" s="1507" t="s">
        <v>849</v>
      </c>
      <c r="F6461" s="1507"/>
      <c r="G6461" s="319" t="s">
        <v>777</v>
      </c>
      <c r="H6461" s="651">
        <v>121.23</v>
      </c>
      <c r="V6461">
        <v>106</v>
      </c>
    </row>
    <row r="6462" spans="1:22" customFormat="1" ht="15" x14ac:dyDescent="0.25">
      <c r="A6462" t="s">
        <v>262</v>
      </c>
      <c r="B6462" t="s">
        <v>4851</v>
      </c>
      <c r="E6462" s="1507" t="s">
        <v>850</v>
      </c>
      <c r="F6462" s="1507"/>
      <c r="G6462" s="319" t="s">
        <v>777</v>
      </c>
      <c r="H6462" s="651">
        <v>48.5</v>
      </c>
      <c r="V6462">
        <v>34</v>
      </c>
    </row>
    <row r="6463" spans="1:22" customFormat="1" ht="15" x14ac:dyDescent="0.25">
      <c r="A6463" t="s">
        <v>262</v>
      </c>
      <c r="B6463" t="s">
        <v>4851</v>
      </c>
      <c r="E6463" s="1507" t="s">
        <v>851</v>
      </c>
      <c r="F6463" s="1507"/>
      <c r="G6463" s="319" t="s">
        <v>852</v>
      </c>
      <c r="H6463" s="651">
        <v>1.2</v>
      </c>
      <c r="V6463">
        <v>51</v>
      </c>
    </row>
    <row r="6464" spans="1:22" customFormat="1" ht="15" x14ac:dyDescent="0.25">
      <c r="A6464" t="s">
        <v>262</v>
      </c>
      <c r="B6464" t="s">
        <v>4851</v>
      </c>
      <c r="E6464" s="1507" t="s">
        <v>853</v>
      </c>
      <c r="F6464" s="1507"/>
      <c r="G6464" s="319" t="s">
        <v>852</v>
      </c>
      <c r="H6464" s="651">
        <v>0.71</v>
      </c>
      <c r="V6464">
        <v>75</v>
      </c>
    </row>
    <row r="6465" spans="1:22" customFormat="1" ht="15" x14ac:dyDescent="0.25">
      <c r="A6465" t="s">
        <v>262</v>
      </c>
      <c r="B6465" t="s">
        <v>4851</v>
      </c>
      <c r="E6465" s="1507" t="s">
        <v>854</v>
      </c>
      <c r="F6465" s="1507"/>
      <c r="G6465" s="319" t="s">
        <v>852</v>
      </c>
      <c r="H6465" s="651">
        <v>-0.71</v>
      </c>
      <c r="V6465">
        <v>72</v>
      </c>
    </row>
    <row r="6466" spans="1:22" customFormat="1" ht="15" x14ac:dyDescent="0.25">
      <c r="A6466" t="s">
        <v>262</v>
      </c>
      <c r="B6466" t="s">
        <v>4851</v>
      </c>
      <c r="E6466" s="1507" t="s">
        <v>855</v>
      </c>
      <c r="F6466" s="1507"/>
      <c r="G6466" s="319"/>
      <c r="H6466" s="651"/>
      <c r="V6466">
        <v>34</v>
      </c>
    </row>
    <row r="6467" spans="1:22" customFormat="1" ht="15" x14ac:dyDescent="0.25">
      <c r="A6467" t="s">
        <v>262</v>
      </c>
      <c r="B6467" t="s">
        <v>4851</v>
      </c>
      <c r="E6467" s="1511" t="s">
        <v>1106</v>
      </c>
      <c r="F6467" s="1511"/>
      <c r="G6467" s="319" t="s">
        <v>777</v>
      </c>
      <c r="H6467" s="651">
        <v>0.61</v>
      </c>
      <c r="V6467">
        <v>57</v>
      </c>
    </row>
    <row r="6468" spans="1:22" customFormat="1" ht="15" x14ac:dyDescent="0.25">
      <c r="A6468" t="s">
        <v>262</v>
      </c>
      <c r="B6468" t="s">
        <v>4851</v>
      </c>
      <c r="E6468" s="1511" t="s">
        <v>1107</v>
      </c>
      <c r="F6468" s="1511"/>
      <c r="G6468" s="319" t="s">
        <v>777</v>
      </c>
      <c r="H6468" s="651">
        <v>1.2</v>
      </c>
      <c r="V6468">
        <v>60</v>
      </c>
    </row>
    <row r="6469" spans="1:22" customFormat="1" ht="15" x14ac:dyDescent="0.25">
      <c r="A6469" t="s">
        <v>262</v>
      </c>
      <c r="B6469" t="s">
        <v>4851</v>
      </c>
      <c r="E6469" s="1507" t="s">
        <v>1108</v>
      </c>
      <c r="F6469" s="1507"/>
      <c r="G6469" s="319"/>
      <c r="H6469" s="651"/>
      <c r="V6469">
        <v>91</v>
      </c>
    </row>
    <row r="6470" spans="1:22" customFormat="1" ht="15" x14ac:dyDescent="0.25">
      <c r="A6470" t="s">
        <v>262</v>
      </c>
      <c r="B6470" t="s">
        <v>4851</v>
      </c>
      <c r="E6470" s="1507" t="s">
        <v>1109</v>
      </c>
      <c r="F6470" s="1507"/>
      <c r="G6470" s="319"/>
      <c r="H6470" s="651"/>
      <c r="V6470">
        <v>96</v>
      </c>
    </row>
    <row r="6471" spans="1:22" customFormat="1" ht="15" x14ac:dyDescent="0.25">
      <c r="A6471" t="s">
        <v>262</v>
      </c>
      <c r="B6471" t="s">
        <v>4851</v>
      </c>
      <c r="E6471" s="1507" t="s">
        <v>856</v>
      </c>
      <c r="F6471" s="1507"/>
      <c r="G6471" s="319"/>
      <c r="H6471" s="651"/>
      <c r="V6471">
        <v>77</v>
      </c>
    </row>
    <row r="6472" spans="1:22" customFormat="1" ht="15" x14ac:dyDescent="0.25">
      <c r="A6472" t="s">
        <v>262</v>
      </c>
      <c r="B6472" t="s">
        <v>4851</v>
      </c>
      <c r="E6472" s="1511" t="s">
        <v>1111</v>
      </c>
      <c r="F6472" s="1511"/>
      <c r="G6472" s="319" t="s">
        <v>777</v>
      </c>
      <c r="H6472" s="651" t="s">
        <v>857</v>
      </c>
      <c r="V6472">
        <v>18</v>
      </c>
    </row>
    <row r="6473" spans="1:22" customFormat="1" ht="15" x14ac:dyDescent="0.25">
      <c r="A6473" t="s">
        <v>262</v>
      </c>
      <c r="B6473" t="s">
        <v>4851</v>
      </c>
      <c r="E6473" s="1511" t="s">
        <v>1112</v>
      </c>
      <c r="F6473" s="1511"/>
      <c r="G6473" s="319" t="s">
        <v>777</v>
      </c>
      <c r="H6473" s="651">
        <v>4.8499999999999996</v>
      </c>
      <c r="V6473">
        <v>69</v>
      </c>
    </row>
    <row r="6474" spans="1:22" customFormat="1" ht="15" x14ac:dyDescent="0.25">
      <c r="A6474" t="s">
        <v>262</v>
      </c>
      <c r="B6474" t="s">
        <v>4851</v>
      </c>
      <c r="E6474" s="1507" t="s">
        <v>858</v>
      </c>
      <c r="F6474" s="1507"/>
      <c r="G6474" s="268" t="s">
        <v>777</v>
      </c>
      <c r="H6474" s="651">
        <v>2.42</v>
      </c>
      <c r="V6474">
        <v>199</v>
      </c>
    </row>
    <row r="6475" spans="1:22" customFormat="1" ht="18.75" x14ac:dyDescent="0.25">
      <c r="A6475" t="s">
        <v>262</v>
      </c>
      <c r="B6475" t="s">
        <v>4851</v>
      </c>
      <c r="E6475" s="836" t="s">
        <v>3853</v>
      </c>
      <c r="F6475" s="385"/>
      <c r="G6475" s="385"/>
      <c r="H6475" s="655"/>
      <c r="K6475" t="s">
        <v>4937</v>
      </c>
      <c r="V6475">
        <v>12</v>
      </c>
    </row>
    <row r="6476" spans="1:22" customFormat="1" ht="15" x14ac:dyDescent="0.25">
      <c r="A6476" t="s">
        <v>262</v>
      </c>
      <c r="B6476" t="s">
        <v>4851</v>
      </c>
      <c r="E6476" s="1507" t="s">
        <v>1114</v>
      </c>
      <c r="F6476" s="1507"/>
      <c r="G6476" s="1507"/>
      <c r="H6476" s="1507"/>
      <c r="V6476">
        <v>203</v>
      </c>
    </row>
    <row r="6477" spans="1:22" customFormat="1" ht="15" x14ac:dyDescent="0.25">
      <c r="A6477" t="s">
        <v>262</v>
      </c>
      <c r="B6477" t="s">
        <v>4851</v>
      </c>
      <c r="E6477" s="1507" t="s">
        <v>1115</v>
      </c>
      <c r="F6477" s="1507"/>
      <c r="G6477" s="584"/>
      <c r="H6477" s="650">
        <v>1.0561</v>
      </c>
      <c r="V6477">
        <v>57</v>
      </c>
    </row>
    <row r="6478" spans="1:22" customFormat="1" ht="15" x14ac:dyDescent="0.25">
      <c r="A6478" t="s">
        <v>262</v>
      </c>
      <c r="B6478" t="s">
        <v>4851</v>
      </c>
      <c r="E6478" s="1507" t="s">
        <v>1117</v>
      </c>
      <c r="F6478" s="1507"/>
      <c r="G6478" s="584"/>
      <c r="H6478" s="650">
        <v>1.0455000000000001</v>
      </c>
      <c r="J6478" t="s">
        <v>4938</v>
      </c>
      <c r="V6478">
        <v>55</v>
      </c>
    </row>
    <row r="6479" spans="1:22" customFormat="1" ht="23.25" x14ac:dyDescent="0.25">
      <c r="A6479" t="s">
        <v>262</v>
      </c>
      <c r="B6479" t="s">
        <v>4939</v>
      </c>
      <c r="C6479" t="s">
        <v>3755</v>
      </c>
      <c r="E6479" s="1550" t="s">
        <v>262</v>
      </c>
      <c r="F6479" s="1550"/>
      <c r="G6479" s="1550"/>
      <c r="H6479" s="1550"/>
      <c r="I6479" t="s">
        <v>94</v>
      </c>
      <c r="J6479" t="s">
        <v>4940</v>
      </c>
      <c r="K6479" t="s">
        <v>262</v>
      </c>
      <c r="M6479">
        <v>8</v>
      </c>
      <c r="V6479">
        <v>23</v>
      </c>
    </row>
    <row r="6480" spans="1:22" customFormat="1" ht="20.25" x14ac:dyDescent="0.25">
      <c r="A6480" t="s">
        <v>262</v>
      </c>
      <c r="B6480" t="s">
        <v>4939</v>
      </c>
      <c r="C6480" t="s">
        <v>3757</v>
      </c>
      <c r="E6480" s="1749" t="s">
        <v>239</v>
      </c>
      <c r="F6480" s="1749"/>
      <c r="G6480" s="1749"/>
      <c r="H6480" s="1749"/>
      <c r="V6480">
        <v>50</v>
      </c>
    </row>
    <row r="6481" spans="1:22" customFormat="1" x14ac:dyDescent="0.25">
      <c r="A6481" t="s">
        <v>262</v>
      </c>
      <c r="B6481" t="s">
        <v>4939</v>
      </c>
      <c r="C6481" t="s">
        <v>3758</v>
      </c>
      <c r="E6481" s="1551" t="s">
        <v>944</v>
      </c>
      <c r="F6481" s="1551"/>
      <c r="G6481" s="1551"/>
      <c r="H6481" s="1551"/>
      <c r="V6481">
        <v>27</v>
      </c>
    </row>
    <row r="6482" spans="1:22" customFormat="1" ht="15.75" x14ac:dyDescent="0.25">
      <c r="A6482" t="s">
        <v>262</v>
      </c>
      <c r="B6482" t="s">
        <v>4939</v>
      </c>
      <c r="C6482" t="s">
        <v>3759</v>
      </c>
      <c r="E6482" s="1543" t="s">
        <v>6511</v>
      </c>
      <c r="F6482" s="1543"/>
      <c r="G6482" s="1543"/>
      <c r="H6482" s="1543"/>
      <c r="S6482">
        <v>45658</v>
      </c>
      <c r="V6482">
        <v>49</v>
      </c>
    </row>
    <row r="6483" spans="1:22" customFormat="1" ht="15" x14ac:dyDescent="0.25">
      <c r="A6483" t="s">
        <v>262</v>
      </c>
      <c r="B6483" t="s">
        <v>4939</v>
      </c>
      <c r="E6483" s="1544" t="s">
        <v>945</v>
      </c>
      <c r="F6483" s="1544"/>
      <c r="G6483" s="1544"/>
      <c r="H6483" s="1544"/>
      <c r="V6483">
        <v>52</v>
      </c>
    </row>
    <row r="6484" spans="1:22" customFormat="1" ht="15" x14ac:dyDescent="0.25">
      <c r="A6484" t="s">
        <v>262</v>
      </c>
      <c r="B6484" t="s">
        <v>4939</v>
      </c>
      <c r="E6484" s="1544" t="s">
        <v>946</v>
      </c>
      <c r="F6484" s="1544"/>
      <c r="G6484" s="1544"/>
      <c r="H6484" s="1544"/>
      <c r="V6484">
        <v>53</v>
      </c>
    </row>
    <row r="6485" spans="1:22" customFormat="1" ht="15" x14ac:dyDescent="0.25">
      <c r="A6485" t="s">
        <v>262</v>
      </c>
      <c r="B6485" t="s">
        <v>4939</v>
      </c>
      <c r="E6485" s="1513" t="s">
        <v>6786</v>
      </c>
      <c r="F6485" s="1513"/>
      <c r="G6485" s="1513"/>
      <c r="H6485" s="1513"/>
      <c r="K6485" t="s">
        <v>6786</v>
      </c>
      <c r="V6485">
        <v>12</v>
      </c>
    </row>
    <row r="6486" spans="1:22" customFormat="1" ht="15" x14ac:dyDescent="0.25">
      <c r="A6486" t="s">
        <v>262</v>
      </c>
      <c r="B6486" t="s">
        <v>4939</v>
      </c>
      <c r="E6486" s="1492" t="s">
        <v>170</v>
      </c>
      <c r="F6486" s="1549"/>
      <c r="G6486" s="1549"/>
      <c r="H6486" s="1549"/>
      <c r="K6486" t="s">
        <v>947</v>
      </c>
      <c r="V6486">
        <v>34</v>
      </c>
    </row>
    <row r="6487" spans="1:22" customFormat="1" ht="15" x14ac:dyDescent="0.25">
      <c r="A6487" t="s">
        <v>262</v>
      </c>
      <c r="B6487" t="s">
        <v>4939</v>
      </c>
      <c r="E6487" s="1516" t="s">
        <v>4941</v>
      </c>
      <c r="F6487" s="1516"/>
      <c r="G6487" s="1516"/>
      <c r="H6487" s="1516"/>
      <c r="K6487" t="s">
        <v>947</v>
      </c>
      <c r="V6487">
        <v>608</v>
      </c>
    </row>
    <row r="6488" spans="1:22" customFormat="1" ht="15" x14ac:dyDescent="0.25">
      <c r="A6488" t="s">
        <v>262</v>
      </c>
      <c r="B6488" t="s">
        <v>4939</v>
      </c>
      <c r="E6488" s="1515" t="s">
        <v>950</v>
      </c>
      <c r="F6488" s="1549"/>
      <c r="G6488" s="1549"/>
      <c r="H6488" s="1549"/>
      <c r="K6488" t="s">
        <v>949</v>
      </c>
      <c r="V6488">
        <v>11</v>
      </c>
    </row>
    <row r="6489" spans="1:22" customFormat="1" ht="15" x14ac:dyDescent="0.25">
      <c r="A6489" t="s">
        <v>262</v>
      </c>
      <c r="B6489" t="s">
        <v>4939</v>
      </c>
      <c r="E6489" s="1516" t="s">
        <v>951</v>
      </c>
      <c r="F6489" s="1516"/>
      <c r="G6489" s="1516"/>
      <c r="H6489" s="1516"/>
      <c r="K6489" t="s">
        <v>947</v>
      </c>
      <c r="V6489">
        <v>280</v>
      </c>
    </row>
    <row r="6490" spans="1:22" customFormat="1" ht="15" x14ac:dyDescent="0.25">
      <c r="A6490" t="s">
        <v>262</v>
      </c>
      <c r="B6490" t="s">
        <v>4939</v>
      </c>
      <c r="E6490" s="1516" t="s">
        <v>952</v>
      </c>
      <c r="F6490" s="1516"/>
      <c r="G6490" s="1516"/>
      <c r="H6490" s="1516"/>
      <c r="K6490" t="s">
        <v>947</v>
      </c>
      <c r="V6490">
        <v>411</v>
      </c>
    </row>
    <row r="6491" spans="1:22" customFormat="1" ht="15" x14ac:dyDescent="0.25">
      <c r="A6491" t="s">
        <v>262</v>
      </c>
      <c r="B6491" t="s">
        <v>4939</v>
      </c>
      <c r="E6491" s="1516" t="s">
        <v>953</v>
      </c>
      <c r="F6491" s="1516"/>
      <c r="G6491" s="1516"/>
      <c r="H6491" s="1516"/>
      <c r="K6491" t="s">
        <v>947</v>
      </c>
      <c r="V6491">
        <v>386</v>
      </c>
    </row>
    <row r="6492" spans="1:22" customFormat="1" ht="15" x14ac:dyDescent="0.25">
      <c r="A6492" t="s">
        <v>262</v>
      </c>
      <c r="B6492" t="s">
        <v>4939</v>
      </c>
      <c r="E6492" s="1516" t="s">
        <v>3762</v>
      </c>
      <c r="F6492" s="1516"/>
      <c r="G6492" s="1516"/>
      <c r="H6492" s="1516"/>
      <c r="K6492" t="s">
        <v>947</v>
      </c>
      <c r="V6492">
        <v>247</v>
      </c>
    </row>
    <row r="6493" spans="1:22" customFormat="1" ht="15" x14ac:dyDescent="0.25">
      <c r="A6493" t="s">
        <v>262</v>
      </c>
      <c r="B6493" t="s">
        <v>4939</v>
      </c>
      <c r="E6493" s="1515" t="s">
        <v>956</v>
      </c>
      <c r="F6493" s="1549"/>
      <c r="G6493" s="1549"/>
      <c r="H6493" s="1549"/>
      <c r="K6493" t="s">
        <v>955</v>
      </c>
      <c r="V6493">
        <v>46</v>
      </c>
    </row>
    <row r="6494" spans="1:22" customFormat="1" ht="15" x14ac:dyDescent="0.25">
      <c r="A6494" t="s">
        <v>262</v>
      </c>
      <c r="B6494" t="s">
        <v>4939</v>
      </c>
      <c r="E6494" s="1507" t="s">
        <v>3773</v>
      </c>
      <c r="F6494" s="1507"/>
      <c r="G6494" s="584" t="s">
        <v>777</v>
      </c>
      <c r="H6494" s="650">
        <v>22.62</v>
      </c>
      <c r="K6494" t="s">
        <v>947</v>
      </c>
      <c r="L6494" t="s">
        <v>690</v>
      </c>
      <c r="P6494" t="s">
        <v>957</v>
      </c>
      <c r="V6494">
        <v>14</v>
      </c>
    </row>
    <row r="6495" spans="1:22" customFormat="1" ht="15" x14ac:dyDescent="0.25">
      <c r="A6495" t="s">
        <v>262</v>
      </c>
      <c r="B6495" t="s">
        <v>4939</v>
      </c>
      <c r="E6495" s="1507" t="s">
        <v>960</v>
      </c>
      <c r="F6495" s="1507"/>
      <c r="G6495" s="584" t="s">
        <v>777</v>
      </c>
      <c r="H6495" s="650">
        <v>0.42</v>
      </c>
      <c r="K6495" t="s">
        <v>947</v>
      </c>
      <c r="L6495" t="s">
        <v>692</v>
      </c>
      <c r="P6495" t="s">
        <v>959</v>
      </c>
      <c r="V6495">
        <v>64</v>
      </c>
    </row>
    <row r="6496" spans="1:22" customFormat="1" ht="15" x14ac:dyDescent="0.25">
      <c r="A6496" t="s">
        <v>262</v>
      </c>
      <c r="B6496" t="s">
        <v>4939</v>
      </c>
      <c r="E6496" s="1507" t="s">
        <v>4942</v>
      </c>
      <c r="F6496" s="1507"/>
      <c r="G6496" s="584" t="s">
        <v>777</v>
      </c>
      <c r="H6496" s="650">
        <v>-0.23</v>
      </c>
      <c r="K6496" t="s">
        <v>947</v>
      </c>
      <c r="L6496" t="s">
        <v>690</v>
      </c>
      <c r="P6496" t="s">
        <v>6810</v>
      </c>
      <c r="T6496">
        <v>45869</v>
      </c>
      <c r="V6496">
        <v>88</v>
      </c>
    </row>
    <row r="6497" spans="1:22" customFormat="1" ht="15" x14ac:dyDescent="0.25">
      <c r="A6497" t="s">
        <v>262</v>
      </c>
      <c r="B6497" t="s">
        <v>4939</v>
      </c>
      <c r="E6497" s="1507" t="s">
        <v>910</v>
      </c>
      <c r="F6497" s="1507"/>
      <c r="G6497" s="584" t="s">
        <v>845</v>
      </c>
      <c r="H6497" s="650">
        <v>1E-3</v>
      </c>
      <c r="K6497" t="s">
        <v>947</v>
      </c>
      <c r="L6497" t="s">
        <v>692</v>
      </c>
      <c r="P6497" t="s">
        <v>961</v>
      </c>
      <c r="V6497">
        <v>24</v>
      </c>
    </row>
    <row r="6498" spans="1:22" customFormat="1" ht="15" x14ac:dyDescent="0.25">
      <c r="A6498" t="s">
        <v>262</v>
      </c>
      <c r="B6498" t="s">
        <v>4939</v>
      </c>
      <c r="E6498" s="1507" t="s">
        <v>6790</v>
      </c>
      <c r="F6498" s="1507"/>
      <c r="G6498" s="584" t="s">
        <v>845</v>
      </c>
      <c r="H6498" s="650">
        <v>-7.3000000000000001E-3</v>
      </c>
      <c r="K6498" t="s">
        <v>947</v>
      </c>
      <c r="L6498" t="s">
        <v>692</v>
      </c>
      <c r="P6498" t="s">
        <v>962</v>
      </c>
      <c r="T6498">
        <v>45838</v>
      </c>
      <c r="V6498">
        <v>138</v>
      </c>
    </row>
    <row r="6499" spans="1:22" customFormat="1" ht="15" x14ac:dyDescent="0.25">
      <c r="A6499" t="s">
        <v>262</v>
      </c>
      <c r="B6499" t="s">
        <v>4939</v>
      </c>
      <c r="E6499" s="1507" t="s">
        <v>6811</v>
      </c>
      <c r="F6499" s="1510"/>
      <c r="G6499" s="584" t="s">
        <v>845</v>
      </c>
      <c r="H6499" s="650">
        <v>-2.8E-3</v>
      </c>
      <c r="K6499" t="s">
        <v>947</v>
      </c>
      <c r="L6499" t="s">
        <v>692</v>
      </c>
      <c r="P6499" t="s">
        <v>963</v>
      </c>
      <c r="T6499">
        <v>46022</v>
      </c>
      <c r="V6499">
        <v>138</v>
      </c>
    </row>
    <row r="6500" spans="1:22" customFormat="1" ht="15" x14ac:dyDescent="0.25">
      <c r="A6500" t="s">
        <v>262</v>
      </c>
      <c r="B6500" t="s">
        <v>4939</v>
      </c>
      <c r="E6500" s="1507" t="s">
        <v>6792</v>
      </c>
      <c r="F6500" s="1507"/>
      <c r="G6500" s="584" t="s">
        <v>845</v>
      </c>
      <c r="H6500" s="650">
        <v>3.3999999999999998E-3</v>
      </c>
      <c r="K6500" t="s">
        <v>947</v>
      </c>
      <c r="L6500" t="s">
        <v>692</v>
      </c>
      <c r="P6500" t="s">
        <v>963</v>
      </c>
      <c r="T6500">
        <v>45838</v>
      </c>
      <c r="V6500">
        <v>95</v>
      </c>
    </row>
    <row r="6501" spans="1:22" customFormat="1" ht="15" x14ac:dyDescent="0.25">
      <c r="A6501" t="s">
        <v>262</v>
      </c>
      <c r="B6501" t="s">
        <v>4939</v>
      </c>
      <c r="E6501" s="1507" t="s">
        <v>6799</v>
      </c>
      <c r="F6501" s="1507"/>
      <c r="G6501" s="584" t="s">
        <v>845</v>
      </c>
      <c r="H6501" s="650">
        <v>-4.0000000000000002E-4</v>
      </c>
      <c r="K6501" t="s">
        <v>947</v>
      </c>
      <c r="L6501" t="s">
        <v>692</v>
      </c>
      <c r="P6501" t="s">
        <v>3764</v>
      </c>
      <c r="T6501">
        <v>45838</v>
      </c>
      <c r="V6501">
        <v>145</v>
      </c>
    </row>
    <row r="6502" spans="1:22" customFormat="1" ht="15" x14ac:dyDescent="0.25">
      <c r="A6502" t="s">
        <v>262</v>
      </c>
      <c r="B6502" t="s">
        <v>4939</v>
      </c>
      <c r="E6502" s="1507" t="s">
        <v>243</v>
      </c>
      <c r="F6502" s="1507"/>
      <c r="G6502" s="584" t="s">
        <v>845</v>
      </c>
      <c r="H6502" s="650">
        <v>1.11E-2</v>
      </c>
      <c r="K6502" t="s">
        <v>947</v>
      </c>
      <c r="L6502" t="s">
        <v>694</v>
      </c>
      <c r="P6502" t="s">
        <v>964</v>
      </c>
      <c r="V6502">
        <v>47</v>
      </c>
    </row>
    <row r="6503" spans="1:22" customFormat="1" ht="15" x14ac:dyDescent="0.25">
      <c r="A6503" t="s">
        <v>262</v>
      </c>
      <c r="B6503" t="s">
        <v>4939</v>
      </c>
      <c r="E6503" s="1507" t="s">
        <v>175</v>
      </c>
      <c r="F6503" s="1507"/>
      <c r="G6503" s="584" t="s">
        <v>845</v>
      </c>
      <c r="H6503" s="650">
        <v>8.3999999999999995E-3</v>
      </c>
      <c r="K6503" t="s">
        <v>947</v>
      </c>
      <c r="L6503" t="s">
        <v>694</v>
      </c>
      <c r="P6503" t="s">
        <v>965</v>
      </c>
      <c r="V6503">
        <v>74</v>
      </c>
    </row>
    <row r="6504" spans="1:22" customFormat="1" ht="15" x14ac:dyDescent="0.25">
      <c r="A6504" t="s">
        <v>262</v>
      </c>
      <c r="B6504" t="s">
        <v>4939</v>
      </c>
      <c r="E6504" s="1515" t="s">
        <v>967</v>
      </c>
      <c r="F6504" s="1612"/>
      <c r="G6504" s="584"/>
      <c r="H6504" s="584"/>
      <c r="K6504" t="s">
        <v>966</v>
      </c>
      <c r="V6504">
        <v>48</v>
      </c>
    </row>
    <row r="6505" spans="1:22" customFormat="1" ht="15" x14ac:dyDescent="0.25">
      <c r="A6505" t="s">
        <v>262</v>
      </c>
      <c r="B6505" t="s">
        <v>4939</v>
      </c>
      <c r="E6505" s="1507" t="s">
        <v>844</v>
      </c>
      <c r="F6505" s="1507"/>
      <c r="G6505" s="584" t="s">
        <v>845</v>
      </c>
      <c r="H6505" s="650">
        <v>4.1000000000000003E-3</v>
      </c>
      <c r="K6505" t="s">
        <v>947</v>
      </c>
      <c r="L6505" t="s">
        <v>968</v>
      </c>
      <c r="P6505" t="s">
        <v>969</v>
      </c>
      <c r="V6505">
        <v>55</v>
      </c>
    </row>
    <row r="6506" spans="1:22" customFormat="1" ht="15" x14ac:dyDescent="0.25">
      <c r="A6506" t="s">
        <v>262</v>
      </c>
      <c r="B6506" t="s">
        <v>4939</v>
      </c>
      <c r="E6506" s="1507" t="s">
        <v>846</v>
      </c>
      <c r="F6506" s="1507"/>
      <c r="G6506" s="584" t="s">
        <v>845</v>
      </c>
      <c r="H6506" s="650">
        <v>4.0000000000000002E-4</v>
      </c>
      <c r="K6506" t="s">
        <v>947</v>
      </c>
      <c r="L6506" t="s">
        <v>968</v>
      </c>
      <c r="P6506" t="s">
        <v>969</v>
      </c>
      <c r="V6506">
        <v>65</v>
      </c>
    </row>
    <row r="6507" spans="1:22" customFormat="1" ht="15" x14ac:dyDescent="0.25">
      <c r="A6507" t="s">
        <v>262</v>
      </c>
      <c r="B6507" t="s">
        <v>4939</v>
      </c>
      <c r="E6507" s="1507" t="s">
        <v>847</v>
      </c>
      <c r="F6507" s="1507"/>
      <c r="G6507" s="584" t="s">
        <v>845</v>
      </c>
      <c r="H6507" s="650">
        <v>1.5E-3</v>
      </c>
      <c r="K6507" t="s">
        <v>947</v>
      </c>
      <c r="L6507" t="s">
        <v>968</v>
      </c>
      <c r="P6507" t="s">
        <v>970</v>
      </c>
      <c r="V6507">
        <v>57</v>
      </c>
    </row>
    <row r="6508" spans="1:22" customFormat="1" ht="15" x14ac:dyDescent="0.25">
      <c r="A6508" t="s">
        <v>262</v>
      </c>
      <c r="B6508" t="s">
        <v>4939</v>
      </c>
      <c r="E6508" s="1507" t="s">
        <v>848</v>
      </c>
      <c r="F6508" s="1507"/>
      <c r="G6508" s="584" t="s">
        <v>777</v>
      </c>
      <c r="H6508" s="650">
        <v>0.25</v>
      </c>
      <c r="K6508" t="s">
        <v>947</v>
      </c>
      <c r="L6508" t="s">
        <v>968</v>
      </c>
      <c r="P6508" t="s">
        <v>971</v>
      </c>
      <c r="V6508">
        <v>63</v>
      </c>
    </row>
    <row r="6509" spans="1:22" customFormat="1" x14ac:dyDescent="0.25">
      <c r="A6509" t="s">
        <v>262</v>
      </c>
      <c r="B6509" t="s">
        <v>4939</v>
      </c>
      <c r="E6509" s="1492" t="s">
        <v>174</v>
      </c>
      <c r="F6509" s="1492"/>
      <c r="G6509" s="1492"/>
      <c r="H6509" s="1492"/>
      <c r="K6509" t="s">
        <v>972</v>
      </c>
      <c r="V6509">
        <v>54</v>
      </c>
    </row>
    <row r="6510" spans="1:22" customFormat="1" ht="15" x14ac:dyDescent="0.25">
      <c r="A6510" t="s">
        <v>262</v>
      </c>
      <c r="B6510" t="s">
        <v>4939</v>
      </c>
      <c r="E6510" s="1516" t="s">
        <v>4943</v>
      </c>
      <c r="F6510" s="1516"/>
      <c r="G6510" s="1516"/>
      <c r="H6510" s="1516"/>
      <c r="K6510" t="s">
        <v>972</v>
      </c>
      <c r="V6510">
        <v>485</v>
      </c>
    </row>
    <row r="6511" spans="1:22" customFormat="1" ht="15" x14ac:dyDescent="0.25">
      <c r="A6511" t="s">
        <v>262</v>
      </c>
      <c r="B6511" t="s">
        <v>4939</v>
      </c>
      <c r="E6511" s="1515" t="s">
        <v>950</v>
      </c>
      <c r="F6511" s="1549"/>
      <c r="G6511" s="1549"/>
      <c r="H6511" s="1549"/>
      <c r="K6511" t="s">
        <v>974</v>
      </c>
      <c r="V6511">
        <v>11</v>
      </c>
    </row>
    <row r="6512" spans="1:22" customFormat="1" ht="15" x14ac:dyDescent="0.25">
      <c r="A6512" t="s">
        <v>262</v>
      </c>
      <c r="B6512" t="s">
        <v>4939</v>
      </c>
      <c r="E6512" s="1516" t="s">
        <v>951</v>
      </c>
      <c r="F6512" s="1516"/>
      <c r="G6512" s="1516"/>
      <c r="H6512" s="1516"/>
      <c r="K6512" t="s">
        <v>972</v>
      </c>
      <c r="V6512">
        <v>280</v>
      </c>
    </row>
    <row r="6513" spans="1:22" customFormat="1" ht="15" x14ac:dyDescent="0.25">
      <c r="A6513" t="s">
        <v>262</v>
      </c>
      <c r="B6513" t="s">
        <v>4939</v>
      </c>
      <c r="E6513" s="1516" t="s">
        <v>952</v>
      </c>
      <c r="F6513" s="1516"/>
      <c r="G6513" s="1516"/>
      <c r="H6513" s="1516"/>
      <c r="K6513" t="s">
        <v>972</v>
      </c>
      <c r="V6513">
        <v>411</v>
      </c>
    </row>
    <row r="6514" spans="1:22" customFormat="1" ht="15" x14ac:dyDescent="0.25">
      <c r="A6514" t="s">
        <v>262</v>
      </c>
      <c r="B6514" t="s">
        <v>4939</v>
      </c>
      <c r="E6514" s="1516" t="s">
        <v>953</v>
      </c>
      <c r="F6514" s="1516"/>
      <c r="G6514" s="1516"/>
      <c r="H6514" s="1516"/>
      <c r="K6514" t="s">
        <v>972</v>
      </c>
      <c r="V6514">
        <v>386</v>
      </c>
    </row>
    <row r="6515" spans="1:22" customFormat="1" ht="15" x14ac:dyDescent="0.25">
      <c r="A6515" t="s">
        <v>262</v>
      </c>
      <c r="B6515" t="s">
        <v>4939</v>
      </c>
      <c r="E6515" s="1516" t="s">
        <v>3762</v>
      </c>
      <c r="F6515" s="1516"/>
      <c r="G6515" s="1516"/>
      <c r="H6515" s="1516"/>
      <c r="K6515" t="s">
        <v>972</v>
      </c>
      <c r="V6515">
        <v>247</v>
      </c>
    </row>
    <row r="6516" spans="1:22" customFormat="1" ht="15" x14ac:dyDescent="0.25">
      <c r="A6516" t="s">
        <v>262</v>
      </c>
      <c r="B6516" t="s">
        <v>4939</v>
      </c>
      <c r="E6516" s="1515" t="s">
        <v>956</v>
      </c>
      <c r="F6516" s="1549"/>
      <c r="G6516" s="1549"/>
      <c r="H6516" s="1549"/>
      <c r="K6516" t="s">
        <v>975</v>
      </c>
      <c r="V6516">
        <v>46</v>
      </c>
    </row>
    <row r="6517" spans="1:22" customFormat="1" ht="15" x14ac:dyDescent="0.25">
      <c r="A6517" t="s">
        <v>262</v>
      </c>
      <c r="B6517" t="s">
        <v>4939</v>
      </c>
      <c r="E6517" s="1507" t="s">
        <v>3773</v>
      </c>
      <c r="F6517" s="1507"/>
      <c r="G6517" s="584" t="s">
        <v>777</v>
      </c>
      <c r="H6517" s="650">
        <v>31.36</v>
      </c>
      <c r="K6517" t="s">
        <v>972</v>
      </c>
      <c r="L6517" t="s">
        <v>690</v>
      </c>
      <c r="P6517" t="s">
        <v>976</v>
      </c>
      <c r="V6517">
        <v>14</v>
      </c>
    </row>
    <row r="6518" spans="1:22" customFormat="1" ht="15" x14ac:dyDescent="0.25">
      <c r="A6518" t="s">
        <v>262</v>
      </c>
      <c r="B6518" t="s">
        <v>4939</v>
      </c>
      <c r="E6518" s="1507" t="s">
        <v>960</v>
      </c>
      <c r="F6518" s="1507"/>
      <c r="G6518" s="584" t="s">
        <v>777</v>
      </c>
      <c r="H6518" s="650">
        <v>0.42</v>
      </c>
      <c r="K6518" t="s">
        <v>972</v>
      </c>
      <c r="L6518" t="s">
        <v>692</v>
      </c>
      <c r="P6518" t="s">
        <v>977</v>
      </c>
      <c r="V6518">
        <v>64</v>
      </c>
    </row>
    <row r="6519" spans="1:22" customFormat="1" ht="15" x14ac:dyDescent="0.25">
      <c r="A6519" t="s">
        <v>262</v>
      </c>
      <c r="B6519" t="s">
        <v>4939</v>
      </c>
      <c r="E6519" s="1507" t="s">
        <v>4942</v>
      </c>
      <c r="F6519" s="1507"/>
      <c r="G6519" s="584" t="s">
        <v>777</v>
      </c>
      <c r="H6519" s="650">
        <v>-0.31</v>
      </c>
      <c r="K6519" t="s">
        <v>972</v>
      </c>
      <c r="L6519" t="s">
        <v>690</v>
      </c>
      <c r="P6519" t="s">
        <v>6812</v>
      </c>
      <c r="T6519">
        <v>45869</v>
      </c>
      <c r="V6519">
        <v>88</v>
      </c>
    </row>
    <row r="6520" spans="1:22" customFormat="1" ht="15" x14ac:dyDescent="0.25">
      <c r="A6520" t="s">
        <v>262</v>
      </c>
      <c r="B6520" t="s">
        <v>4939</v>
      </c>
      <c r="E6520" s="1507" t="s">
        <v>3688</v>
      </c>
      <c r="F6520" s="1507"/>
      <c r="G6520" s="584" t="s">
        <v>845</v>
      </c>
      <c r="H6520" s="650">
        <v>8.8999999999999999E-3</v>
      </c>
      <c r="K6520" t="s">
        <v>972</v>
      </c>
      <c r="L6520" t="s">
        <v>690</v>
      </c>
      <c r="P6520" t="s">
        <v>978</v>
      </c>
      <c r="V6520">
        <v>28</v>
      </c>
    </row>
    <row r="6521" spans="1:22" customFormat="1" ht="15" x14ac:dyDescent="0.25">
      <c r="A6521" t="s">
        <v>262</v>
      </c>
      <c r="B6521" t="s">
        <v>4939</v>
      </c>
      <c r="E6521" s="1507" t="s">
        <v>4942</v>
      </c>
      <c r="F6521" s="1507"/>
      <c r="G6521" s="584" t="s">
        <v>845</v>
      </c>
      <c r="H6521" s="650">
        <v>-1E-4</v>
      </c>
      <c r="K6521" t="s">
        <v>972</v>
      </c>
      <c r="L6521" t="s">
        <v>690</v>
      </c>
      <c r="P6521" t="s">
        <v>6813</v>
      </c>
      <c r="T6521">
        <v>45869</v>
      </c>
      <c r="V6521">
        <v>88</v>
      </c>
    </row>
    <row r="6522" spans="1:22" customFormat="1" ht="15" x14ac:dyDescent="0.25">
      <c r="A6522" t="s">
        <v>262</v>
      </c>
      <c r="B6522" t="s">
        <v>4939</v>
      </c>
      <c r="E6522" s="1507" t="s">
        <v>910</v>
      </c>
      <c r="F6522" s="1507"/>
      <c r="G6522" s="584" t="s">
        <v>845</v>
      </c>
      <c r="H6522" s="650">
        <v>8.9999999999999998E-4</v>
      </c>
      <c r="K6522" t="s">
        <v>972</v>
      </c>
      <c r="L6522" t="s">
        <v>692</v>
      </c>
      <c r="P6522" t="s">
        <v>980</v>
      </c>
      <c r="V6522">
        <v>24</v>
      </c>
    </row>
    <row r="6523" spans="1:22" customFormat="1" ht="15" x14ac:dyDescent="0.25">
      <c r="A6523" t="s">
        <v>262</v>
      </c>
      <c r="B6523" t="s">
        <v>4939</v>
      </c>
      <c r="E6523" s="1507" t="s">
        <v>6790</v>
      </c>
      <c r="F6523" s="1507"/>
      <c r="G6523" s="584" t="s">
        <v>845</v>
      </c>
      <c r="H6523" s="650">
        <v>-7.3000000000000001E-3</v>
      </c>
      <c r="K6523" t="s">
        <v>972</v>
      </c>
      <c r="L6523" t="s">
        <v>692</v>
      </c>
      <c r="P6523" t="s">
        <v>981</v>
      </c>
      <c r="T6523">
        <v>45838</v>
      </c>
      <c r="V6523">
        <v>138</v>
      </c>
    </row>
    <row r="6524" spans="1:22" customFormat="1" ht="15" x14ac:dyDescent="0.25">
      <c r="A6524" t="s">
        <v>262</v>
      </c>
      <c r="B6524" t="s">
        <v>4939</v>
      </c>
      <c r="E6524" s="1507" t="s">
        <v>6811</v>
      </c>
      <c r="F6524" s="1510"/>
      <c r="G6524" s="584" t="s">
        <v>845</v>
      </c>
      <c r="H6524" s="650">
        <v>-2.7000000000000001E-3</v>
      </c>
      <c r="K6524" t="s">
        <v>972</v>
      </c>
      <c r="L6524" t="s">
        <v>692</v>
      </c>
      <c r="P6524" t="s">
        <v>982</v>
      </c>
      <c r="T6524">
        <v>46022</v>
      </c>
      <c r="V6524">
        <v>138</v>
      </c>
    </row>
    <row r="6525" spans="1:22" customFormat="1" ht="15" x14ac:dyDescent="0.25">
      <c r="A6525" t="s">
        <v>262</v>
      </c>
      <c r="B6525" t="s">
        <v>4939</v>
      </c>
      <c r="E6525" s="1507" t="s">
        <v>6792</v>
      </c>
      <c r="F6525" s="1507"/>
      <c r="G6525" s="584" t="s">
        <v>845</v>
      </c>
      <c r="H6525" s="650">
        <v>3.7000000000000002E-3</v>
      </c>
      <c r="K6525" t="s">
        <v>972</v>
      </c>
      <c r="L6525" t="s">
        <v>692</v>
      </c>
      <c r="P6525" t="s">
        <v>982</v>
      </c>
      <c r="T6525">
        <v>45838</v>
      </c>
      <c r="V6525">
        <v>95</v>
      </c>
    </row>
    <row r="6526" spans="1:22" customFormat="1" ht="15" x14ac:dyDescent="0.25">
      <c r="A6526" t="s">
        <v>262</v>
      </c>
      <c r="B6526" t="s">
        <v>4939</v>
      </c>
      <c r="E6526" s="1507" t="s">
        <v>6799</v>
      </c>
      <c r="F6526" s="1507"/>
      <c r="G6526" s="584" t="s">
        <v>845</v>
      </c>
      <c r="H6526" s="650">
        <v>-4.0000000000000002E-4</v>
      </c>
      <c r="K6526" t="s">
        <v>972</v>
      </c>
      <c r="L6526" t="s">
        <v>692</v>
      </c>
      <c r="P6526" t="s">
        <v>3766</v>
      </c>
      <c r="T6526">
        <v>45838</v>
      </c>
      <c r="V6526">
        <v>145</v>
      </c>
    </row>
    <row r="6527" spans="1:22" customFormat="1" ht="15" x14ac:dyDescent="0.25">
      <c r="A6527" t="s">
        <v>262</v>
      </c>
      <c r="B6527" t="s">
        <v>4939</v>
      </c>
      <c r="E6527" s="1507" t="s">
        <v>6800</v>
      </c>
      <c r="F6527" s="1507"/>
      <c r="G6527" s="584" t="s">
        <v>845</v>
      </c>
      <c r="H6527" s="650">
        <v>2.0000000000000001E-4</v>
      </c>
      <c r="K6527" t="s">
        <v>972</v>
      </c>
      <c r="L6527" t="s">
        <v>690</v>
      </c>
      <c r="P6527" t="s">
        <v>6814</v>
      </c>
      <c r="T6527">
        <v>46022</v>
      </c>
      <c r="V6527">
        <v>93</v>
      </c>
    </row>
    <row r="6528" spans="1:22" customFormat="1" ht="15" x14ac:dyDescent="0.25">
      <c r="A6528" t="s">
        <v>262</v>
      </c>
      <c r="B6528" t="s">
        <v>4939</v>
      </c>
      <c r="E6528" s="1507" t="s">
        <v>243</v>
      </c>
      <c r="F6528" s="1507"/>
      <c r="G6528" s="584" t="s">
        <v>845</v>
      </c>
      <c r="H6528" s="650">
        <v>1.03E-2</v>
      </c>
      <c r="K6528" t="s">
        <v>972</v>
      </c>
      <c r="L6528" t="s">
        <v>694</v>
      </c>
      <c r="P6528" t="s">
        <v>983</v>
      </c>
      <c r="V6528">
        <v>47</v>
      </c>
    </row>
    <row r="6529" spans="1:22" customFormat="1" ht="15" x14ac:dyDescent="0.25">
      <c r="A6529" t="s">
        <v>262</v>
      </c>
      <c r="B6529" t="s">
        <v>4939</v>
      </c>
      <c r="E6529" s="1507" t="s">
        <v>175</v>
      </c>
      <c r="F6529" s="1507"/>
      <c r="G6529" s="584" t="s">
        <v>845</v>
      </c>
      <c r="H6529" s="650">
        <v>7.6E-3</v>
      </c>
      <c r="K6529" t="s">
        <v>972</v>
      </c>
      <c r="L6529" t="s">
        <v>694</v>
      </c>
      <c r="P6529" t="s">
        <v>984</v>
      </c>
      <c r="V6529">
        <v>74</v>
      </c>
    </row>
    <row r="6530" spans="1:22" customFormat="1" ht="15" x14ac:dyDescent="0.25">
      <c r="A6530" t="s">
        <v>262</v>
      </c>
      <c r="B6530" t="s">
        <v>4939</v>
      </c>
      <c r="E6530" s="1515" t="s">
        <v>967</v>
      </c>
      <c r="F6530" s="1612"/>
      <c r="G6530" s="584"/>
      <c r="H6530" s="584"/>
      <c r="K6530" t="s">
        <v>985</v>
      </c>
      <c r="V6530">
        <v>48</v>
      </c>
    </row>
    <row r="6531" spans="1:22" customFormat="1" ht="15" x14ac:dyDescent="0.25">
      <c r="A6531" t="s">
        <v>262</v>
      </c>
      <c r="B6531" t="s">
        <v>4939</v>
      </c>
      <c r="E6531" s="1507" t="s">
        <v>844</v>
      </c>
      <c r="F6531" s="1507"/>
      <c r="G6531" s="584" t="s">
        <v>845</v>
      </c>
      <c r="H6531" s="650">
        <v>4.1000000000000003E-3</v>
      </c>
      <c r="K6531" t="s">
        <v>972</v>
      </c>
      <c r="L6531" t="s">
        <v>968</v>
      </c>
      <c r="P6531" t="s">
        <v>986</v>
      </c>
      <c r="V6531">
        <v>55</v>
      </c>
    </row>
    <row r="6532" spans="1:22" customFormat="1" ht="15" x14ac:dyDescent="0.25">
      <c r="A6532" t="s">
        <v>262</v>
      </c>
      <c r="B6532" t="s">
        <v>4939</v>
      </c>
      <c r="E6532" s="1507" t="s">
        <v>846</v>
      </c>
      <c r="F6532" s="1507"/>
      <c r="G6532" s="584" t="s">
        <v>845</v>
      </c>
      <c r="H6532" s="650">
        <v>4.0000000000000002E-4</v>
      </c>
      <c r="K6532" t="s">
        <v>972</v>
      </c>
      <c r="L6532" t="s">
        <v>968</v>
      </c>
      <c r="P6532" t="s">
        <v>986</v>
      </c>
      <c r="V6532">
        <v>65</v>
      </c>
    </row>
    <row r="6533" spans="1:22" customFormat="1" ht="15" x14ac:dyDescent="0.25">
      <c r="A6533" t="s">
        <v>262</v>
      </c>
      <c r="B6533" t="s">
        <v>4939</v>
      </c>
      <c r="E6533" s="1507" t="s">
        <v>847</v>
      </c>
      <c r="F6533" s="1507"/>
      <c r="G6533" s="584" t="s">
        <v>845</v>
      </c>
      <c r="H6533" s="650">
        <v>1.5E-3</v>
      </c>
      <c r="K6533" t="s">
        <v>972</v>
      </c>
      <c r="L6533" t="s">
        <v>968</v>
      </c>
      <c r="P6533" t="s">
        <v>987</v>
      </c>
      <c r="V6533">
        <v>57</v>
      </c>
    </row>
    <row r="6534" spans="1:22" customFormat="1" ht="15" x14ac:dyDescent="0.25">
      <c r="A6534" t="s">
        <v>262</v>
      </c>
      <c r="B6534" t="s">
        <v>4939</v>
      </c>
      <c r="E6534" s="1507" t="s">
        <v>848</v>
      </c>
      <c r="F6534" s="1507"/>
      <c r="G6534" s="584" t="s">
        <v>777</v>
      </c>
      <c r="H6534" s="650">
        <v>0.25</v>
      </c>
      <c r="K6534" t="s">
        <v>972</v>
      </c>
      <c r="L6534" t="s">
        <v>968</v>
      </c>
      <c r="P6534" t="s">
        <v>988</v>
      </c>
      <c r="V6534">
        <v>63</v>
      </c>
    </row>
    <row r="6535" spans="1:22" customFormat="1" x14ac:dyDescent="0.25">
      <c r="A6535" t="s">
        <v>262</v>
      </c>
      <c r="B6535" t="s">
        <v>4939</v>
      </c>
      <c r="E6535" s="1492" t="s">
        <v>3767</v>
      </c>
      <c r="F6535" s="1492"/>
      <c r="G6535" s="1492"/>
      <c r="H6535" s="1492"/>
      <c r="K6535" t="s">
        <v>3768</v>
      </c>
      <c r="V6535">
        <v>53</v>
      </c>
    </row>
    <row r="6536" spans="1:22" customFormat="1" ht="15" x14ac:dyDescent="0.25">
      <c r="A6536" t="s">
        <v>262</v>
      </c>
      <c r="B6536" t="s">
        <v>4939</v>
      </c>
      <c r="E6536" s="1516" t="s">
        <v>4944</v>
      </c>
      <c r="F6536" s="1516"/>
      <c r="G6536" s="1516"/>
      <c r="H6536" s="1516"/>
      <c r="K6536" t="s">
        <v>3768</v>
      </c>
      <c r="V6536">
        <v>1305</v>
      </c>
    </row>
    <row r="6537" spans="1:22" customFormat="1" ht="15" x14ac:dyDescent="0.25">
      <c r="A6537" t="s">
        <v>262</v>
      </c>
      <c r="B6537" t="s">
        <v>4939</v>
      </c>
      <c r="E6537" s="1515" t="s">
        <v>950</v>
      </c>
      <c r="F6537" s="1549"/>
      <c r="G6537" s="1549"/>
      <c r="H6537" s="1549"/>
      <c r="K6537" t="s">
        <v>992</v>
      </c>
      <c r="V6537">
        <v>11</v>
      </c>
    </row>
    <row r="6538" spans="1:22" customFormat="1" ht="15" x14ac:dyDescent="0.25">
      <c r="A6538" t="s">
        <v>262</v>
      </c>
      <c r="B6538" t="s">
        <v>4939</v>
      </c>
      <c r="E6538" s="1516" t="s">
        <v>951</v>
      </c>
      <c r="F6538" s="1516"/>
      <c r="G6538" s="1516"/>
      <c r="H6538" s="1516"/>
      <c r="K6538" t="s">
        <v>3768</v>
      </c>
      <c r="V6538">
        <v>280</v>
      </c>
    </row>
    <row r="6539" spans="1:22" customFormat="1" ht="15" x14ac:dyDescent="0.25">
      <c r="A6539" t="s">
        <v>262</v>
      </c>
      <c r="B6539" t="s">
        <v>4939</v>
      </c>
      <c r="E6539" s="1516" t="s">
        <v>952</v>
      </c>
      <c r="F6539" s="1516"/>
      <c r="G6539" s="1516"/>
      <c r="H6539" s="1516"/>
      <c r="K6539" t="s">
        <v>3768</v>
      </c>
      <c r="V6539">
        <v>411</v>
      </c>
    </row>
    <row r="6540" spans="1:22" customFormat="1" ht="15" x14ac:dyDescent="0.25">
      <c r="A6540" t="s">
        <v>262</v>
      </c>
      <c r="B6540" t="s">
        <v>4939</v>
      </c>
      <c r="E6540" s="1516" t="s">
        <v>953</v>
      </c>
      <c r="F6540" s="1516"/>
      <c r="G6540" s="1516"/>
      <c r="H6540" s="1516"/>
      <c r="K6540" t="s">
        <v>3768</v>
      </c>
      <c r="V6540">
        <v>386</v>
      </c>
    </row>
    <row r="6541" spans="1:22" customFormat="1" ht="15" x14ac:dyDescent="0.25">
      <c r="A6541" t="s">
        <v>262</v>
      </c>
      <c r="B6541" t="s">
        <v>4939</v>
      </c>
      <c r="E6541" s="1516" t="s">
        <v>993</v>
      </c>
      <c r="F6541" s="1516"/>
      <c r="G6541" s="1516"/>
      <c r="H6541" s="1516"/>
      <c r="K6541" t="s">
        <v>3768</v>
      </c>
      <c r="V6541">
        <v>680</v>
      </c>
    </row>
    <row r="6542" spans="1:22" customFormat="1" ht="15" x14ac:dyDescent="0.25">
      <c r="A6542" t="s">
        <v>262</v>
      </c>
      <c r="B6542" t="s">
        <v>4939</v>
      </c>
      <c r="E6542" s="1516" t="s">
        <v>3772</v>
      </c>
      <c r="F6542" s="1516"/>
      <c r="G6542" s="1516"/>
      <c r="H6542" s="1516"/>
      <c r="K6542" t="s">
        <v>3768</v>
      </c>
      <c r="V6542">
        <v>693</v>
      </c>
    </row>
    <row r="6543" spans="1:22" customFormat="1" ht="15" x14ac:dyDescent="0.25">
      <c r="A6543" t="s">
        <v>262</v>
      </c>
      <c r="B6543" t="s">
        <v>4939</v>
      </c>
      <c r="E6543" s="1516" t="s">
        <v>3762</v>
      </c>
      <c r="F6543" s="1516"/>
      <c r="G6543" s="1516"/>
      <c r="H6543" s="1516"/>
      <c r="K6543" t="s">
        <v>3768</v>
      </c>
      <c r="V6543">
        <v>247</v>
      </c>
    </row>
    <row r="6544" spans="1:22" customFormat="1" ht="15" x14ac:dyDescent="0.25">
      <c r="A6544" t="s">
        <v>262</v>
      </c>
      <c r="B6544" t="s">
        <v>4939</v>
      </c>
      <c r="E6544" s="1515" t="s">
        <v>956</v>
      </c>
      <c r="F6544" s="1549"/>
      <c r="G6544" s="1549"/>
      <c r="H6544" s="1549"/>
      <c r="K6544" t="s">
        <v>995</v>
      </c>
      <c r="V6544">
        <v>46</v>
      </c>
    </row>
    <row r="6545" spans="1:22" customFormat="1" ht="15" x14ac:dyDescent="0.25">
      <c r="A6545" t="s">
        <v>262</v>
      </c>
      <c r="B6545" t="s">
        <v>4939</v>
      </c>
      <c r="E6545" s="1507" t="s">
        <v>3773</v>
      </c>
      <c r="F6545" s="1507"/>
      <c r="G6545" s="584" t="s">
        <v>777</v>
      </c>
      <c r="H6545" s="650">
        <v>160.31</v>
      </c>
      <c r="K6545" t="s">
        <v>3768</v>
      </c>
      <c r="L6545" t="s">
        <v>690</v>
      </c>
      <c r="P6545" t="s">
        <v>3774</v>
      </c>
      <c r="V6545">
        <v>14</v>
      </c>
    </row>
    <row r="6546" spans="1:22" customFormat="1" ht="15" x14ac:dyDescent="0.25">
      <c r="A6546" t="s">
        <v>262</v>
      </c>
      <c r="B6546" t="s">
        <v>4939</v>
      </c>
      <c r="E6546" s="1507" t="s">
        <v>4942</v>
      </c>
      <c r="F6546" s="1507"/>
      <c r="G6546" s="584" t="s">
        <v>777</v>
      </c>
      <c r="H6546" s="650">
        <v>-1.6</v>
      </c>
      <c r="K6546" t="s">
        <v>3768</v>
      </c>
      <c r="L6546" t="s">
        <v>690</v>
      </c>
      <c r="P6546" t="s">
        <v>6815</v>
      </c>
      <c r="T6546">
        <v>45869</v>
      </c>
      <c r="V6546">
        <v>88</v>
      </c>
    </row>
    <row r="6547" spans="1:22" customFormat="1" ht="15" x14ac:dyDescent="0.25">
      <c r="A6547" t="s">
        <v>262</v>
      </c>
      <c r="B6547" t="s">
        <v>4939</v>
      </c>
      <c r="E6547" s="1507" t="s">
        <v>3688</v>
      </c>
      <c r="F6547" s="1507"/>
      <c r="G6547" s="584" t="s">
        <v>3775</v>
      </c>
      <c r="H6547" s="650">
        <v>2.7323</v>
      </c>
      <c r="K6547" t="s">
        <v>3768</v>
      </c>
      <c r="L6547" t="s">
        <v>690</v>
      </c>
      <c r="P6547" t="s">
        <v>3776</v>
      </c>
      <c r="V6547">
        <v>28</v>
      </c>
    </row>
    <row r="6548" spans="1:22" customFormat="1" ht="15" x14ac:dyDescent="0.25">
      <c r="A6548" t="s">
        <v>262</v>
      </c>
      <c r="B6548" t="s">
        <v>4939</v>
      </c>
      <c r="E6548" s="1507" t="s">
        <v>4942</v>
      </c>
      <c r="F6548" s="1507"/>
      <c r="G6548" s="584" t="s">
        <v>3775</v>
      </c>
      <c r="H6548" s="650">
        <v>-2.7300000000000001E-2</v>
      </c>
      <c r="K6548" t="s">
        <v>3768</v>
      </c>
      <c r="L6548" t="s">
        <v>690</v>
      </c>
      <c r="P6548" t="s">
        <v>6816</v>
      </c>
      <c r="T6548">
        <v>45869</v>
      </c>
      <c r="V6548">
        <v>88</v>
      </c>
    </row>
    <row r="6549" spans="1:22" customFormat="1" ht="15" x14ac:dyDescent="0.25">
      <c r="A6549" t="s">
        <v>262</v>
      </c>
      <c r="B6549" t="s">
        <v>4939</v>
      </c>
      <c r="E6549" s="1507" t="s">
        <v>910</v>
      </c>
      <c r="F6549" s="1507"/>
      <c r="G6549" s="584" t="s">
        <v>3775</v>
      </c>
      <c r="H6549" s="650">
        <v>0.32769999999999999</v>
      </c>
      <c r="K6549" t="s">
        <v>3768</v>
      </c>
      <c r="L6549" t="s">
        <v>692</v>
      </c>
      <c r="P6549" t="s">
        <v>3777</v>
      </c>
      <c r="V6549">
        <v>24</v>
      </c>
    </row>
    <row r="6550" spans="1:22" customFormat="1" ht="15" x14ac:dyDescent="0.25">
      <c r="A6550" t="s">
        <v>262</v>
      </c>
      <c r="B6550" t="s">
        <v>4939</v>
      </c>
      <c r="E6550" s="1507" t="s">
        <v>6790</v>
      </c>
      <c r="F6550" s="1507"/>
      <c r="G6550" s="584" t="s">
        <v>845</v>
      </c>
      <c r="H6550" s="650">
        <v>-7.3000000000000001E-3</v>
      </c>
      <c r="K6550" t="s">
        <v>3768</v>
      </c>
      <c r="L6550" t="s">
        <v>692</v>
      </c>
      <c r="P6550" t="s">
        <v>4232</v>
      </c>
      <c r="T6550">
        <v>45838</v>
      </c>
      <c r="V6550">
        <v>138</v>
      </c>
    </row>
    <row r="6551" spans="1:22" customFormat="1" ht="15" x14ac:dyDescent="0.25">
      <c r="A6551" t="s">
        <v>262</v>
      </c>
      <c r="B6551" t="s">
        <v>4939</v>
      </c>
      <c r="E6551" s="1507" t="s">
        <v>6817</v>
      </c>
      <c r="F6551" s="1510"/>
      <c r="G6551" s="584" t="s">
        <v>3775</v>
      </c>
      <c r="H6551" s="650">
        <v>-0.65139999999999998</v>
      </c>
      <c r="K6551" t="s">
        <v>3768</v>
      </c>
      <c r="L6551" t="s">
        <v>692</v>
      </c>
      <c r="P6551" t="s">
        <v>3779</v>
      </c>
      <c r="T6551">
        <v>46022</v>
      </c>
      <c r="V6551">
        <v>191</v>
      </c>
    </row>
    <row r="6552" spans="1:22" customFormat="1" ht="15" x14ac:dyDescent="0.25">
      <c r="A6552" t="s">
        <v>262</v>
      </c>
      <c r="B6552" t="s">
        <v>4939</v>
      </c>
      <c r="E6552" s="1507" t="s">
        <v>6811</v>
      </c>
      <c r="F6552" s="1510"/>
      <c r="G6552" s="584" t="s">
        <v>3775</v>
      </c>
      <c r="H6552" s="650">
        <v>-0.51160000000000005</v>
      </c>
      <c r="K6552" t="s">
        <v>3768</v>
      </c>
      <c r="L6552" t="s">
        <v>692</v>
      </c>
      <c r="P6552" t="s">
        <v>3779</v>
      </c>
      <c r="T6552">
        <v>46022</v>
      </c>
      <c r="V6552">
        <v>138</v>
      </c>
    </row>
    <row r="6553" spans="1:22" customFormat="1" ht="15" x14ac:dyDescent="0.25">
      <c r="A6553" t="s">
        <v>262</v>
      </c>
      <c r="B6553" t="s">
        <v>4939</v>
      </c>
      <c r="E6553" s="1507" t="s">
        <v>6806</v>
      </c>
      <c r="F6553" s="1507"/>
      <c r="G6553" s="584" t="s">
        <v>3775</v>
      </c>
      <c r="H6553" s="650">
        <v>0.79120000000000001</v>
      </c>
      <c r="K6553" t="s">
        <v>3768</v>
      </c>
      <c r="L6553" t="s">
        <v>692</v>
      </c>
      <c r="P6553" t="s">
        <v>3779</v>
      </c>
      <c r="T6553">
        <v>45838</v>
      </c>
      <c r="V6553">
        <v>155</v>
      </c>
    </row>
    <row r="6554" spans="1:22" customFormat="1" ht="15" x14ac:dyDescent="0.25">
      <c r="A6554" t="s">
        <v>262</v>
      </c>
      <c r="B6554" t="s">
        <v>4939</v>
      </c>
      <c r="E6554" s="1507" t="s">
        <v>6792</v>
      </c>
      <c r="F6554" s="1507"/>
      <c r="G6554" s="584" t="s">
        <v>3775</v>
      </c>
      <c r="H6554" s="650">
        <v>0.86899999999999999</v>
      </c>
      <c r="K6554" t="s">
        <v>3768</v>
      </c>
      <c r="L6554" t="s">
        <v>692</v>
      </c>
      <c r="P6554" t="s">
        <v>3779</v>
      </c>
      <c r="T6554">
        <v>45838</v>
      </c>
      <c r="V6554">
        <v>95</v>
      </c>
    </row>
    <row r="6555" spans="1:22" customFormat="1" ht="15" x14ac:dyDescent="0.25">
      <c r="A6555" t="s">
        <v>262</v>
      </c>
      <c r="B6555" t="s">
        <v>4939</v>
      </c>
      <c r="E6555" s="1507" t="s">
        <v>6799</v>
      </c>
      <c r="F6555" s="1507"/>
      <c r="G6555" s="584" t="s">
        <v>3775</v>
      </c>
      <c r="H6555" s="650">
        <v>-0.1545</v>
      </c>
      <c r="K6555" t="s">
        <v>3768</v>
      </c>
      <c r="L6555" t="s">
        <v>692</v>
      </c>
      <c r="P6555" t="s">
        <v>3778</v>
      </c>
      <c r="T6555">
        <v>45838</v>
      </c>
      <c r="V6555">
        <v>145</v>
      </c>
    </row>
    <row r="6556" spans="1:22" customFormat="1" ht="15" x14ac:dyDescent="0.25">
      <c r="A6556" t="s">
        <v>262</v>
      </c>
      <c r="B6556" t="s">
        <v>4939</v>
      </c>
      <c r="E6556" s="1507" t="s">
        <v>6800</v>
      </c>
      <c r="F6556" s="1507"/>
      <c r="G6556" s="584" t="s">
        <v>3775</v>
      </c>
      <c r="H6556" s="650">
        <v>3.0099999999999998E-2</v>
      </c>
      <c r="K6556" t="s">
        <v>3768</v>
      </c>
      <c r="L6556" t="s">
        <v>690</v>
      </c>
      <c r="P6556" t="s">
        <v>6818</v>
      </c>
      <c r="T6556">
        <v>46022</v>
      </c>
      <c r="V6556">
        <v>93</v>
      </c>
    </row>
    <row r="6557" spans="1:22" customFormat="1" ht="15" x14ac:dyDescent="0.25">
      <c r="A6557" t="s">
        <v>262</v>
      </c>
      <c r="B6557" t="s">
        <v>4939</v>
      </c>
      <c r="E6557" s="1507" t="s">
        <v>243</v>
      </c>
      <c r="F6557" s="1507"/>
      <c r="G6557" s="584" t="s">
        <v>3775</v>
      </c>
      <c r="H6557" s="650">
        <v>4.1424000000000003</v>
      </c>
      <c r="K6557" t="s">
        <v>3768</v>
      </c>
      <c r="L6557" t="s">
        <v>694</v>
      </c>
      <c r="P6557" t="s">
        <v>3780</v>
      </c>
      <c r="V6557">
        <v>47</v>
      </c>
    </row>
    <row r="6558" spans="1:22" customFormat="1" ht="15" x14ac:dyDescent="0.25">
      <c r="A6558" t="s">
        <v>262</v>
      </c>
      <c r="B6558" t="s">
        <v>4939</v>
      </c>
      <c r="E6558" s="1507" t="s">
        <v>175</v>
      </c>
      <c r="F6558" s="1507"/>
      <c r="G6558" s="584" t="s">
        <v>3775</v>
      </c>
      <c r="H6558" s="650">
        <v>2.9554999999999998</v>
      </c>
      <c r="K6558" t="s">
        <v>3768</v>
      </c>
      <c r="L6558" t="s">
        <v>694</v>
      </c>
      <c r="P6558" t="s">
        <v>3781</v>
      </c>
      <c r="V6558">
        <v>74</v>
      </c>
    </row>
    <row r="6559" spans="1:22" customFormat="1" ht="15" x14ac:dyDescent="0.25">
      <c r="A6559" t="s">
        <v>262</v>
      </c>
      <c r="B6559" t="s">
        <v>4939</v>
      </c>
      <c r="E6559" s="1515" t="s">
        <v>967</v>
      </c>
      <c r="F6559" s="1612"/>
      <c r="G6559" s="584"/>
      <c r="H6559" s="584"/>
      <c r="K6559" t="s">
        <v>1003</v>
      </c>
      <c r="V6559">
        <v>48</v>
      </c>
    </row>
    <row r="6560" spans="1:22" customFormat="1" ht="15" x14ac:dyDescent="0.25">
      <c r="A6560" t="s">
        <v>262</v>
      </c>
      <c r="B6560" t="s">
        <v>4939</v>
      </c>
      <c r="E6560" s="1507" t="s">
        <v>844</v>
      </c>
      <c r="F6560" s="1507"/>
      <c r="G6560" s="584" t="s">
        <v>845</v>
      </c>
      <c r="H6560" s="650">
        <v>4.1000000000000003E-3</v>
      </c>
      <c r="K6560" t="s">
        <v>3768</v>
      </c>
      <c r="L6560" t="s">
        <v>968</v>
      </c>
      <c r="P6560" t="s">
        <v>3782</v>
      </c>
      <c r="V6560">
        <v>55</v>
      </c>
    </row>
    <row r="6561" spans="1:22" customFormat="1" ht="15" x14ac:dyDescent="0.25">
      <c r="A6561" t="s">
        <v>262</v>
      </c>
      <c r="B6561" t="s">
        <v>4939</v>
      </c>
      <c r="E6561" s="1507" t="s">
        <v>846</v>
      </c>
      <c r="F6561" s="1507"/>
      <c r="G6561" s="584" t="s">
        <v>845</v>
      </c>
      <c r="H6561" s="650">
        <v>4.0000000000000002E-4</v>
      </c>
      <c r="K6561" t="s">
        <v>3768</v>
      </c>
      <c r="L6561" t="s">
        <v>968</v>
      </c>
      <c r="P6561" t="s">
        <v>3782</v>
      </c>
      <c r="V6561">
        <v>65</v>
      </c>
    </row>
    <row r="6562" spans="1:22" customFormat="1" ht="15" x14ac:dyDescent="0.25">
      <c r="A6562" t="s">
        <v>262</v>
      </c>
      <c r="B6562" t="s">
        <v>4939</v>
      </c>
      <c r="E6562" s="1507" t="s">
        <v>847</v>
      </c>
      <c r="F6562" s="1507"/>
      <c r="G6562" s="584" t="s">
        <v>845</v>
      </c>
      <c r="H6562" s="650">
        <v>1.5E-3</v>
      </c>
      <c r="K6562" t="s">
        <v>3768</v>
      </c>
      <c r="L6562" t="s">
        <v>968</v>
      </c>
      <c r="P6562" t="s">
        <v>3783</v>
      </c>
      <c r="V6562">
        <v>57</v>
      </c>
    </row>
    <row r="6563" spans="1:22" customFormat="1" ht="15" x14ac:dyDescent="0.25">
      <c r="A6563" t="s">
        <v>262</v>
      </c>
      <c r="B6563" t="s">
        <v>4939</v>
      </c>
      <c r="E6563" s="1507" t="s">
        <v>848</v>
      </c>
      <c r="F6563" s="1507"/>
      <c r="G6563" s="584" t="s">
        <v>777</v>
      </c>
      <c r="H6563" s="650">
        <v>0.25</v>
      </c>
      <c r="K6563" t="s">
        <v>3768</v>
      </c>
      <c r="L6563" t="s">
        <v>968</v>
      </c>
      <c r="P6563" t="s">
        <v>3784</v>
      </c>
      <c r="V6563">
        <v>63</v>
      </c>
    </row>
    <row r="6564" spans="1:22" customFormat="1" x14ac:dyDescent="0.25">
      <c r="A6564" t="s">
        <v>262</v>
      </c>
      <c r="B6564" t="s">
        <v>4939</v>
      </c>
      <c r="E6564" s="1492" t="s">
        <v>189</v>
      </c>
      <c r="F6564" s="1492"/>
      <c r="G6564" s="1492"/>
      <c r="H6564" s="1492"/>
      <c r="K6564" t="s">
        <v>4234</v>
      </c>
      <c r="V6564">
        <v>32</v>
      </c>
    </row>
    <row r="6565" spans="1:22" customFormat="1" ht="15" x14ac:dyDescent="0.25">
      <c r="A6565" t="s">
        <v>262</v>
      </c>
      <c r="B6565" t="s">
        <v>4939</v>
      </c>
      <c r="E6565" s="1516" t="s">
        <v>4945</v>
      </c>
      <c r="F6565" s="1516"/>
      <c r="G6565" s="1516"/>
      <c r="H6565" s="1516"/>
      <c r="K6565" t="s">
        <v>4234</v>
      </c>
      <c r="V6565">
        <v>371</v>
      </c>
    </row>
    <row r="6566" spans="1:22" customFormat="1" ht="15" x14ac:dyDescent="0.25">
      <c r="A6566" t="s">
        <v>262</v>
      </c>
      <c r="B6566" t="s">
        <v>4939</v>
      </c>
      <c r="E6566" s="1515" t="s">
        <v>950</v>
      </c>
      <c r="F6566" s="1549"/>
      <c r="G6566" s="1549"/>
      <c r="H6566" s="1549"/>
      <c r="K6566" t="s">
        <v>1010</v>
      </c>
      <c r="V6566">
        <v>11</v>
      </c>
    </row>
    <row r="6567" spans="1:22" customFormat="1" ht="15" x14ac:dyDescent="0.25">
      <c r="A6567" t="s">
        <v>262</v>
      </c>
      <c r="B6567" t="s">
        <v>4939</v>
      </c>
      <c r="E6567" s="1516" t="s">
        <v>951</v>
      </c>
      <c r="F6567" s="1516"/>
      <c r="G6567" s="1516"/>
      <c r="H6567" s="1516"/>
      <c r="K6567" t="s">
        <v>4234</v>
      </c>
      <c r="V6567">
        <v>280</v>
      </c>
    </row>
    <row r="6568" spans="1:22" customFormat="1" ht="15" x14ac:dyDescent="0.25">
      <c r="A6568" t="s">
        <v>262</v>
      </c>
      <c r="B6568" t="s">
        <v>4939</v>
      </c>
      <c r="E6568" s="1516" t="s">
        <v>952</v>
      </c>
      <c r="F6568" s="1516"/>
      <c r="G6568" s="1516"/>
      <c r="H6568" s="1516"/>
      <c r="K6568" t="s">
        <v>4234</v>
      </c>
      <c r="V6568">
        <v>411</v>
      </c>
    </row>
    <row r="6569" spans="1:22" customFormat="1" ht="15" x14ac:dyDescent="0.25">
      <c r="A6569" t="s">
        <v>262</v>
      </c>
      <c r="B6569" t="s">
        <v>4939</v>
      </c>
      <c r="E6569" s="1516" t="s">
        <v>953</v>
      </c>
      <c r="F6569" s="1516"/>
      <c r="G6569" s="1516"/>
      <c r="H6569" s="1516"/>
      <c r="K6569" t="s">
        <v>4234</v>
      </c>
      <c r="V6569">
        <v>386</v>
      </c>
    </row>
    <row r="6570" spans="1:22" customFormat="1" ht="15" x14ac:dyDescent="0.25">
      <c r="A6570" t="s">
        <v>262</v>
      </c>
      <c r="B6570" t="s">
        <v>4939</v>
      </c>
      <c r="E6570" s="1516" t="s">
        <v>3762</v>
      </c>
      <c r="F6570" s="1516"/>
      <c r="G6570" s="1516"/>
      <c r="H6570" s="1516"/>
      <c r="K6570" t="s">
        <v>4234</v>
      </c>
      <c r="V6570">
        <v>247</v>
      </c>
    </row>
    <row r="6571" spans="1:22" customFormat="1" ht="15" x14ac:dyDescent="0.25">
      <c r="A6571" t="s">
        <v>262</v>
      </c>
      <c r="B6571" t="s">
        <v>4939</v>
      </c>
      <c r="E6571" s="1515" t="s">
        <v>956</v>
      </c>
      <c r="F6571" s="1549"/>
      <c r="G6571" s="1549"/>
      <c r="H6571" s="1549"/>
      <c r="K6571" t="s">
        <v>1011</v>
      </c>
      <c r="V6571">
        <v>46</v>
      </c>
    </row>
    <row r="6572" spans="1:22" customFormat="1" ht="15" x14ac:dyDescent="0.25">
      <c r="A6572" t="s">
        <v>262</v>
      </c>
      <c r="B6572" t="s">
        <v>4939</v>
      </c>
      <c r="E6572" s="1507" t="s">
        <v>3773</v>
      </c>
      <c r="F6572" s="1507"/>
      <c r="G6572" s="584" t="s">
        <v>777</v>
      </c>
      <c r="H6572" s="650">
        <v>6440.97</v>
      </c>
      <c r="K6572" t="s">
        <v>4234</v>
      </c>
      <c r="L6572" t="s">
        <v>690</v>
      </c>
      <c r="P6572" t="s">
        <v>4236</v>
      </c>
      <c r="V6572">
        <v>14</v>
      </c>
    </row>
    <row r="6573" spans="1:22" customFormat="1" ht="15" x14ac:dyDescent="0.25">
      <c r="A6573" t="s">
        <v>262</v>
      </c>
      <c r="B6573" t="s">
        <v>4939</v>
      </c>
      <c r="E6573" s="1507" t="s">
        <v>4942</v>
      </c>
      <c r="F6573" s="1507"/>
      <c r="G6573" s="584" t="s">
        <v>777</v>
      </c>
      <c r="H6573" s="650">
        <v>-64.41</v>
      </c>
      <c r="K6573" t="s">
        <v>4234</v>
      </c>
      <c r="L6573" t="s">
        <v>690</v>
      </c>
      <c r="P6573" t="s">
        <v>6819</v>
      </c>
      <c r="T6573">
        <v>45869</v>
      </c>
      <c r="V6573">
        <v>88</v>
      </c>
    </row>
    <row r="6574" spans="1:22" customFormat="1" ht="15" x14ac:dyDescent="0.25">
      <c r="A6574" t="s">
        <v>262</v>
      </c>
      <c r="B6574" t="s">
        <v>4939</v>
      </c>
      <c r="E6574" s="1507" t="s">
        <v>3688</v>
      </c>
      <c r="F6574" s="1507"/>
      <c r="G6574" s="584" t="s">
        <v>3775</v>
      </c>
      <c r="H6574" s="650">
        <v>0.75239999999999996</v>
      </c>
      <c r="K6574" t="s">
        <v>4234</v>
      </c>
      <c r="L6574" t="s">
        <v>690</v>
      </c>
      <c r="P6574" t="s">
        <v>4237</v>
      </c>
      <c r="V6574">
        <v>28</v>
      </c>
    </row>
    <row r="6575" spans="1:22" customFormat="1" ht="15" x14ac:dyDescent="0.25">
      <c r="A6575" t="s">
        <v>262</v>
      </c>
      <c r="B6575" t="s">
        <v>4939</v>
      </c>
      <c r="E6575" s="1507" t="s">
        <v>4942</v>
      </c>
      <c r="F6575" s="1507"/>
      <c r="G6575" s="584" t="s">
        <v>3775</v>
      </c>
      <c r="H6575" s="650">
        <v>-7.4999999999999997E-3</v>
      </c>
      <c r="K6575" t="s">
        <v>4234</v>
      </c>
      <c r="L6575" t="s">
        <v>690</v>
      </c>
      <c r="P6575" t="s">
        <v>6820</v>
      </c>
      <c r="T6575">
        <v>45869</v>
      </c>
      <c r="V6575">
        <v>88</v>
      </c>
    </row>
    <row r="6576" spans="1:22" customFormat="1" ht="15" x14ac:dyDescent="0.25">
      <c r="A6576" t="s">
        <v>262</v>
      </c>
      <c r="B6576" t="s">
        <v>4939</v>
      </c>
      <c r="E6576" s="1507" t="s">
        <v>4086</v>
      </c>
      <c r="F6576" s="1507"/>
      <c r="G6576" s="584" t="s">
        <v>3775</v>
      </c>
      <c r="H6576" s="650">
        <v>0.40139999999999998</v>
      </c>
      <c r="K6576" t="s">
        <v>4234</v>
      </c>
      <c r="L6576" t="s">
        <v>692</v>
      </c>
      <c r="P6576" t="s">
        <v>4238</v>
      </c>
      <c r="V6576">
        <v>25</v>
      </c>
    </row>
    <row r="6577" spans="1:22" customFormat="1" ht="15" x14ac:dyDescent="0.25">
      <c r="A6577" t="s">
        <v>262</v>
      </c>
      <c r="B6577" t="s">
        <v>4939</v>
      </c>
      <c r="E6577" s="1507" t="s">
        <v>243</v>
      </c>
      <c r="F6577" s="1507"/>
      <c r="G6577" s="584" t="s">
        <v>3775</v>
      </c>
      <c r="H6577" s="650">
        <v>4.8806000000000003</v>
      </c>
      <c r="K6577" t="s">
        <v>4234</v>
      </c>
      <c r="L6577" t="s">
        <v>694</v>
      </c>
      <c r="P6577" t="s">
        <v>4241</v>
      </c>
      <c r="V6577">
        <v>47</v>
      </c>
    </row>
    <row r="6578" spans="1:22" customFormat="1" ht="15" x14ac:dyDescent="0.25">
      <c r="A6578" t="s">
        <v>262</v>
      </c>
      <c r="B6578" t="s">
        <v>4939</v>
      </c>
      <c r="E6578" s="1507" t="s">
        <v>175</v>
      </c>
      <c r="F6578" s="1507"/>
      <c r="G6578" s="584" t="s">
        <v>3775</v>
      </c>
      <c r="H6578" s="650">
        <v>3.6208999999999998</v>
      </c>
      <c r="K6578" t="s">
        <v>4234</v>
      </c>
      <c r="L6578" t="s">
        <v>694</v>
      </c>
      <c r="P6578" t="s">
        <v>4242</v>
      </c>
      <c r="V6578">
        <v>74</v>
      </c>
    </row>
    <row r="6579" spans="1:22" customFormat="1" ht="15" x14ac:dyDescent="0.25">
      <c r="A6579" t="s">
        <v>262</v>
      </c>
      <c r="B6579" t="s">
        <v>4939</v>
      </c>
      <c r="E6579" s="1515" t="s">
        <v>967</v>
      </c>
      <c r="F6579" s="1612"/>
      <c r="G6579" s="584"/>
      <c r="H6579" s="584"/>
      <c r="K6579" t="s">
        <v>1019</v>
      </c>
      <c r="V6579">
        <v>48</v>
      </c>
    </row>
    <row r="6580" spans="1:22" customFormat="1" ht="15" x14ac:dyDescent="0.25">
      <c r="A6580" t="s">
        <v>262</v>
      </c>
      <c r="B6580" t="s">
        <v>4939</v>
      </c>
      <c r="E6580" s="1507" t="s">
        <v>844</v>
      </c>
      <c r="F6580" s="1507"/>
      <c r="G6580" s="584" t="s">
        <v>845</v>
      </c>
      <c r="H6580" s="650">
        <v>4.1000000000000003E-3</v>
      </c>
      <c r="K6580" t="s">
        <v>4234</v>
      </c>
      <c r="L6580" t="s">
        <v>968</v>
      </c>
      <c r="P6580" t="s">
        <v>4243</v>
      </c>
      <c r="V6580">
        <v>55</v>
      </c>
    </row>
    <row r="6581" spans="1:22" customFormat="1" ht="15" x14ac:dyDescent="0.25">
      <c r="A6581" t="s">
        <v>262</v>
      </c>
      <c r="B6581" t="s">
        <v>4939</v>
      </c>
      <c r="E6581" s="1507" t="s">
        <v>846</v>
      </c>
      <c r="F6581" s="1507"/>
      <c r="G6581" s="584" t="s">
        <v>845</v>
      </c>
      <c r="H6581" s="650">
        <v>4.0000000000000002E-4</v>
      </c>
      <c r="K6581" t="s">
        <v>4234</v>
      </c>
      <c r="L6581" t="s">
        <v>968</v>
      </c>
      <c r="P6581" t="s">
        <v>4243</v>
      </c>
      <c r="V6581">
        <v>65</v>
      </c>
    </row>
    <row r="6582" spans="1:22" customFormat="1" ht="15" x14ac:dyDescent="0.25">
      <c r="A6582" t="s">
        <v>262</v>
      </c>
      <c r="B6582" t="s">
        <v>4939</v>
      </c>
      <c r="E6582" s="1507" t="s">
        <v>847</v>
      </c>
      <c r="F6582" s="1507"/>
      <c r="G6582" s="584" t="s">
        <v>845</v>
      </c>
      <c r="H6582" s="650">
        <v>1.5E-3</v>
      </c>
      <c r="K6582" t="s">
        <v>4234</v>
      </c>
      <c r="L6582" t="s">
        <v>968</v>
      </c>
      <c r="P6582" t="s">
        <v>4244</v>
      </c>
      <c r="V6582">
        <v>57</v>
      </c>
    </row>
    <row r="6583" spans="1:22" customFormat="1" ht="15" x14ac:dyDescent="0.25">
      <c r="A6583" t="s">
        <v>262</v>
      </c>
      <c r="B6583" t="s">
        <v>4939</v>
      </c>
      <c r="E6583" s="1507" t="s">
        <v>848</v>
      </c>
      <c r="F6583" s="1507"/>
      <c r="G6583" s="584" t="s">
        <v>777</v>
      </c>
      <c r="H6583" s="650">
        <v>0.25</v>
      </c>
      <c r="K6583" t="s">
        <v>4234</v>
      </c>
      <c r="L6583" t="s">
        <v>968</v>
      </c>
      <c r="P6583" t="s">
        <v>4245</v>
      </c>
      <c r="V6583">
        <v>63</v>
      </c>
    </row>
    <row r="6584" spans="1:22" customFormat="1" x14ac:dyDescent="0.25">
      <c r="A6584" t="s">
        <v>262</v>
      </c>
      <c r="B6584" t="s">
        <v>4939</v>
      </c>
      <c r="E6584" s="1492" t="s">
        <v>194</v>
      </c>
      <c r="F6584" s="1492"/>
      <c r="G6584" s="1492"/>
      <c r="H6584" s="1492"/>
      <c r="K6584" t="s">
        <v>1023</v>
      </c>
      <c r="V6584">
        <v>47</v>
      </c>
    </row>
    <row r="6585" spans="1:22" customFormat="1" ht="15" x14ac:dyDescent="0.25">
      <c r="A6585" t="s">
        <v>262</v>
      </c>
      <c r="B6585" t="s">
        <v>4939</v>
      </c>
      <c r="E6585" s="1516" t="s">
        <v>4946</v>
      </c>
      <c r="F6585" s="1516"/>
      <c r="G6585" s="1516"/>
      <c r="H6585" s="1516"/>
      <c r="K6585" t="s">
        <v>1023</v>
      </c>
      <c r="V6585">
        <v>654</v>
      </c>
    </row>
    <row r="6586" spans="1:22" customFormat="1" ht="15" x14ac:dyDescent="0.25">
      <c r="A6586" t="s">
        <v>262</v>
      </c>
      <c r="B6586" t="s">
        <v>4939</v>
      </c>
      <c r="E6586" s="1515" t="s">
        <v>950</v>
      </c>
      <c r="F6586" s="1549"/>
      <c r="G6586" s="1549"/>
      <c r="H6586" s="1549"/>
      <c r="K6586" t="s">
        <v>1025</v>
      </c>
      <c r="V6586">
        <v>11</v>
      </c>
    </row>
    <row r="6587" spans="1:22" customFormat="1" ht="15" x14ac:dyDescent="0.25">
      <c r="A6587" t="s">
        <v>262</v>
      </c>
      <c r="B6587" t="s">
        <v>4939</v>
      </c>
      <c r="E6587" s="1516" t="s">
        <v>951</v>
      </c>
      <c r="F6587" s="1516"/>
      <c r="G6587" s="1516"/>
      <c r="H6587" s="1516"/>
      <c r="K6587" t="s">
        <v>1023</v>
      </c>
      <c r="V6587">
        <v>280</v>
      </c>
    </row>
    <row r="6588" spans="1:22" customFormat="1" ht="15" x14ac:dyDescent="0.25">
      <c r="A6588" t="s">
        <v>262</v>
      </c>
      <c r="B6588" t="s">
        <v>4939</v>
      </c>
      <c r="E6588" s="1516" t="s">
        <v>952</v>
      </c>
      <c r="F6588" s="1516"/>
      <c r="G6588" s="1516"/>
      <c r="H6588" s="1516"/>
      <c r="K6588" t="s">
        <v>1023</v>
      </c>
      <c r="V6588">
        <v>411</v>
      </c>
    </row>
    <row r="6589" spans="1:22" customFormat="1" ht="15" x14ac:dyDescent="0.25">
      <c r="A6589" t="s">
        <v>262</v>
      </c>
      <c r="B6589" t="s">
        <v>4939</v>
      </c>
      <c r="E6589" s="1516" t="s">
        <v>953</v>
      </c>
      <c r="F6589" s="1516"/>
      <c r="G6589" s="1516"/>
      <c r="H6589" s="1516"/>
      <c r="K6589" t="s">
        <v>1023</v>
      </c>
      <c r="V6589">
        <v>386</v>
      </c>
    </row>
    <row r="6590" spans="1:22" customFormat="1" ht="15" x14ac:dyDescent="0.25">
      <c r="A6590" t="s">
        <v>262</v>
      </c>
      <c r="B6590" t="s">
        <v>4939</v>
      </c>
      <c r="E6590" s="1516" t="s">
        <v>3762</v>
      </c>
      <c r="F6590" s="1516"/>
      <c r="G6590" s="1516"/>
      <c r="H6590" s="1516"/>
      <c r="K6590" t="s">
        <v>1023</v>
      </c>
      <c r="V6590">
        <v>247</v>
      </c>
    </row>
    <row r="6591" spans="1:22" customFormat="1" ht="15" x14ac:dyDescent="0.25">
      <c r="A6591" t="s">
        <v>262</v>
      </c>
      <c r="B6591" t="s">
        <v>4939</v>
      </c>
      <c r="E6591" s="1515" t="s">
        <v>956</v>
      </c>
      <c r="F6591" s="1549"/>
      <c r="G6591" s="1549"/>
      <c r="H6591" s="1549"/>
      <c r="K6591" t="s">
        <v>1026</v>
      </c>
      <c r="V6591">
        <v>46</v>
      </c>
    </row>
    <row r="6592" spans="1:22" customFormat="1" ht="15" x14ac:dyDescent="0.25">
      <c r="A6592" t="s">
        <v>262</v>
      </c>
      <c r="B6592" t="s">
        <v>4939</v>
      </c>
      <c r="E6592" s="1507" t="s">
        <v>3874</v>
      </c>
      <c r="F6592" s="1507"/>
      <c r="G6592" s="584" t="s">
        <v>777</v>
      </c>
      <c r="H6592" s="650">
        <v>2.13</v>
      </c>
      <c r="K6592" t="s">
        <v>1023</v>
      </c>
      <c r="L6592" t="s">
        <v>690</v>
      </c>
      <c r="P6592" t="s">
        <v>1027</v>
      </c>
      <c r="V6592">
        <v>31</v>
      </c>
    </row>
    <row r="6593" spans="1:22" customFormat="1" ht="15" x14ac:dyDescent="0.25">
      <c r="A6593" t="s">
        <v>262</v>
      </c>
      <c r="B6593" t="s">
        <v>4939</v>
      </c>
      <c r="E6593" s="1507" t="s">
        <v>3688</v>
      </c>
      <c r="F6593" s="1507"/>
      <c r="G6593" s="584" t="s">
        <v>845</v>
      </c>
      <c r="H6593" s="650">
        <v>2.81E-2</v>
      </c>
      <c r="K6593" t="s">
        <v>1023</v>
      </c>
      <c r="L6593" t="s">
        <v>690</v>
      </c>
      <c r="P6593" t="s">
        <v>1029</v>
      </c>
      <c r="V6593">
        <v>28</v>
      </c>
    </row>
    <row r="6594" spans="1:22" customFormat="1" ht="15" x14ac:dyDescent="0.25">
      <c r="A6594" t="s">
        <v>262</v>
      </c>
      <c r="B6594" t="s">
        <v>4939</v>
      </c>
      <c r="E6594" s="1507" t="s">
        <v>910</v>
      </c>
      <c r="F6594" s="1507"/>
      <c r="G6594" s="584" t="s">
        <v>845</v>
      </c>
      <c r="H6594" s="650">
        <v>8.9999999999999998E-4</v>
      </c>
      <c r="K6594" t="s">
        <v>1023</v>
      </c>
      <c r="L6594" t="s">
        <v>692</v>
      </c>
      <c r="P6594" t="s">
        <v>1030</v>
      </c>
      <c r="V6594">
        <v>24</v>
      </c>
    </row>
    <row r="6595" spans="1:22" customFormat="1" ht="15" x14ac:dyDescent="0.25">
      <c r="A6595" t="s">
        <v>262</v>
      </c>
      <c r="B6595" t="s">
        <v>4939</v>
      </c>
      <c r="E6595" s="1507" t="s">
        <v>6790</v>
      </c>
      <c r="F6595" s="1507"/>
      <c r="G6595" s="584" t="s">
        <v>845</v>
      </c>
      <c r="H6595" s="650">
        <v>-7.3000000000000001E-3</v>
      </c>
      <c r="K6595" t="s">
        <v>1023</v>
      </c>
      <c r="L6595" t="s">
        <v>692</v>
      </c>
      <c r="P6595" t="s">
        <v>1031</v>
      </c>
      <c r="T6595">
        <v>45838</v>
      </c>
      <c r="V6595">
        <v>138</v>
      </c>
    </row>
    <row r="6596" spans="1:22" customFormat="1" ht="15" x14ac:dyDescent="0.25">
      <c r="A6596" t="s">
        <v>262</v>
      </c>
      <c r="B6596" t="s">
        <v>4939</v>
      </c>
      <c r="E6596" s="1507" t="s">
        <v>6811</v>
      </c>
      <c r="F6596" s="1510"/>
      <c r="G6596" s="584" t="s">
        <v>845</v>
      </c>
      <c r="H6596" s="650">
        <v>-2.5999999999999999E-3</v>
      </c>
      <c r="K6596" t="s">
        <v>1023</v>
      </c>
      <c r="L6596" t="s">
        <v>692</v>
      </c>
      <c r="P6596" t="s">
        <v>1032</v>
      </c>
      <c r="T6596">
        <v>46022</v>
      </c>
      <c r="V6596">
        <v>138</v>
      </c>
    </row>
    <row r="6597" spans="1:22" customFormat="1" ht="15" x14ac:dyDescent="0.25">
      <c r="A6597" t="s">
        <v>262</v>
      </c>
      <c r="B6597" t="s">
        <v>4939</v>
      </c>
      <c r="E6597" s="1507" t="s">
        <v>6792</v>
      </c>
      <c r="F6597" s="1507"/>
      <c r="G6597" s="584" t="s">
        <v>845</v>
      </c>
      <c r="H6597" s="650">
        <v>3.8E-3</v>
      </c>
      <c r="K6597" t="s">
        <v>1023</v>
      </c>
      <c r="L6597" t="s">
        <v>692</v>
      </c>
      <c r="P6597" t="s">
        <v>1032</v>
      </c>
      <c r="T6597">
        <v>45838</v>
      </c>
      <c r="V6597">
        <v>95</v>
      </c>
    </row>
    <row r="6598" spans="1:22" customFormat="1" ht="15" x14ac:dyDescent="0.25">
      <c r="A6598" t="s">
        <v>262</v>
      </c>
      <c r="B6598" t="s">
        <v>4939</v>
      </c>
      <c r="E6598" s="1507" t="s">
        <v>6799</v>
      </c>
      <c r="F6598" s="1507"/>
      <c r="G6598" s="584" t="s">
        <v>845</v>
      </c>
      <c r="H6598" s="650">
        <v>-4.0000000000000002E-4</v>
      </c>
      <c r="K6598" t="s">
        <v>1023</v>
      </c>
      <c r="L6598" t="s">
        <v>692</v>
      </c>
      <c r="P6598" t="s">
        <v>4520</v>
      </c>
      <c r="T6598">
        <v>45838</v>
      </c>
      <c r="V6598">
        <v>145</v>
      </c>
    </row>
    <row r="6599" spans="1:22" customFormat="1" ht="15" x14ac:dyDescent="0.25">
      <c r="A6599" t="s">
        <v>262</v>
      </c>
      <c r="B6599" t="s">
        <v>4939</v>
      </c>
      <c r="E6599" s="1507" t="s">
        <v>243</v>
      </c>
      <c r="F6599" s="1507"/>
      <c r="G6599" s="584" t="s">
        <v>845</v>
      </c>
      <c r="H6599" s="650">
        <v>1.03E-2</v>
      </c>
      <c r="K6599" t="s">
        <v>1023</v>
      </c>
      <c r="L6599" t="s">
        <v>694</v>
      </c>
      <c r="P6599" t="s">
        <v>1033</v>
      </c>
      <c r="V6599">
        <v>47</v>
      </c>
    </row>
    <row r="6600" spans="1:22" customFormat="1" ht="15" x14ac:dyDescent="0.25">
      <c r="A6600" t="s">
        <v>262</v>
      </c>
      <c r="B6600" t="s">
        <v>4939</v>
      </c>
      <c r="E6600" s="1507" t="s">
        <v>175</v>
      </c>
      <c r="F6600" s="1507"/>
      <c r="G6600" s="584" t="s">
        <v>845</v>
      </c>
      <c r="H6600" s="650">
        <v>7.6E-3</v>
      </c>
      <c r="K6600" t="s">
        <v>1023</v>
      </c>
      <c r="L6600" t="s">
        <v>694</v>
      </c>
      <c r="P6600" t="s">
        <v>1034</v>
      </c>
      <c r="V6600">
        <v>74</v>
      </c>
    </row>
    <row r="6601" spans="1:22" customFormat="1" ht="15" x14ac:dyDescent="0.25">
      <c r="A6601" t="s">
        <v>262</v>
      </c>
      <c r="B6601" t="s">
        <v>4939</v>
      </c>
      <c r="E6601" s="1515" t="s">
        <v>967</v>
      </c>
      <c r="F6601" s="1612"/>
      <c r="G6601" s="584"/>
      <c r="H6601" s="584"/>
      <c r="K6601" t="s">
        <v>1035</v>
      </c>
      <c r="V6601">
        <v>48</v>
      </c>
    </row>
    <row r="6602" spans="1:22" customFormat="1" ht="15" x14ac:dyDescent="0.25">
      <c r="A6602" t="s">
        <v>262</v>
      </c>
      <c r="B6602" t="s">
        <v>4939</v>
      </c>
      <c r="E6602" s="1507" t="s">
        <v>844</v>
      </c>
      <c r="F6602" s="1507"/>
      <c r="G6602" s="584" t="s">
        <v>845</v>
      </c>
      <c r="H6602" s="650">
        <v>4.1000000000000003E-3</v>
      </c>
      <c r="K6602" t="s">
        <v>1023</v>
      </c>
      <c r="L6602" t="s">
        <v>968</v>
      </c>
      <c r="P6602" t="s">
        <v>1036</v>
      </c>
      <c r="V6602">
        <v>55</v>
      </c>
    </row>
    <row r="6603" spans="1:22" customFormat="1" ht="15" x14ac:dyDescent="0.25">
      <c r="A6603" t="s">
        <v>262</v>
      </c>
      <c r="B6603" t="s">
        <v>4939</v>
      </c>
      <c r="E6603" s="1507" t="s">
        <v>846</v>
      </c>
      <c r="F6603" s="1507"/>
      <c r="G6603" s="584" t="s">
        <v>845</v>
      </c>
      <c r="H6603" s="650">
        <v>4.0000000000000002E-4</v>
      </c>
      <c r="K6603" t="s">
        <v>1023</v>
      </c>
      <c r="L6603" t="s">
        <v>968</v>
      </c>
      <c r="P6603" t="s">
        <v>1036</v>
      </c>
      <c r="V6603">
        <v>65</v>
      </c>
    </row>
    <row r="6604" spans="1:22" customFormat="1" ht="15" x14ac:dyDescent="0.25">
      <c r="A6604" t="s">
        <v>262</v>
      </c>
      <c r="B6604" t="s">
        <v>4939</v>
      </c>
      <c r="E6604" s="1507" t="s">
        <v>847</v>
      </c>
      <c r="F6604" s="1507"/>
      <c r="G6604" s="584" t="s">
        <v>845</v>
      </c>
      <c r="H6604" s="650">
        <v>1.5E-3</v>
      </c>
      <c r="K6604" t="s">
        <v>1023</v>
      </c>
      <c r="L6604" t="s">
        <v>968</v>
      </c>
      <c r="P6604" t="s">
        <v>1037</v>
      </c>
      <c r="V6604">
        <v>57</v>
      </c>
    </row>
    <row r="6605" spans="1:22" customFormat="1" ht="15" x14ac:dyDescent="0.25">
      <c r="A6605" t="s">
        <v>262</v>
      </c>
      <c r="B6605" t="s">
        <v>4939</v>
      </c>
      <c r="E6605" s="1507" t="s">
        <v>848</v>
      </c>
      <c r="F6605" s="1507"/>
      <c r="G6605" s="584" t="s">
        <v>777</v>
      </c>
      <c r="H6605" s="650">
        <v>0.25</v>
      </c>
      <c r="K6605" t="s">
        <v>1023</v>
      </c>
      <c r="L6605" t="s">
        <v>968</v>
      </c>
      <c r="P6605" t="s">
        <v>1038</v>
      </c>
      <c r="V6605">
        <v>63</v>
      </c>
    </row>
    <row r="6606" spans="1:22" customFormat="1" x14ac:dyDescent="0.25">
      <c r="A6606" t="s">
        <v>262</v>
      </c>
      <c r="B6606" t="s">
        <v>4939</v>
      </c>
      <c r="E6606" s="1492" t="s">
        <v>198</v>
      </c>
      <c r="F6606" s="1492"/>
      <c r="G6606" s="1492"/>
      <c r="H6606" s="1492"/>
      <c r="K6606" t="s">
        <v>1039</v>
      </c>
      <c r="V6606">
        <v>40</v>
      </c>
    </row>
    <row r="6607" spans="1:22" customFormat="1" ht="15" x14ac:dyDescent="0.25">
      <c r="A6607" t="s">
        <v>262</v>
      </c>
      <c r="B6607" t="s">
        <v>4939</v>
      </c>
      <c r="E6607" s="1516" t="s">
        <v>4947</v>
      </c>
      <c r="F6607" s="1516"/>
      <c r="G6607" s="1516"/>
      <c r="H6607" s="1516"/>
      <c r="K6607" t="s">
        <v>1039</v>
      </c>
      <c r="V6607">
        <v>859</v>
      </c>
    </row>
    <row r="6608" spans="1:22" customFormat="1" ht="15" x14ac:dyDescent="0.25">
      <c r="A6608" t="s">
        <v>262</v>
      </c>
      <c r="B6608" t="s">
        <v>4939</v>
      </c>
      <c r="E6608" s="1515" t="s">
        <v>950</v>
      </c>
      <c r="F6608" s="1549"/>
      <c r="G6608" s="1549"/>
      <c r="H6608" s="1549"/>
      <c r="K6608" t="s">
        <v>1041</v>
      </c>
      <c r="V6608">
        <v>11</v>
      </c>
    </row>
    <row r="6609" spans="1:22" customFormat="1" ht="15" x14ac:dyDescent="0.25">
      <c r="A6609" t="s">
        <v>262</v>
      </c>
      <c r="B6609" t="s">
        <v>4939</v>
      </c>
      <c r="E6609" s="1516" t="s">
        <v>951</v>
      </c>
      <c r="F6609" s="1516"/>
      <c r="G6609" s="1516"/>
      <c r="H6609" s="1516"/>
      <c r="K6609" t="s">
        <v>1039</v>
      </c>
      <c r="V6609">
        <v>280</v>
      </c>
    </row>
    <row r="6610" spans="1:22" customFormat="1" ht="15" x14ac:dyDescent="0.25">
      <c r="A6610" t="s">
        <v>262</v>
      </c>
      <c r="B6610" t="s">
        <v>4939</v>
      </c>
      <c r="E6610" s="1516" t="s">
        <v>952</v>
      </c>
      <c r="F6610" s="1516"/>
      <c r="G6610" s="1516"/>
      <c r="H6610" s="1516"/>
      <c r="K6610" t="s">
        <v>1039</v>
      </c>
      <c r="V6610">
        <v>411</v>
      </c>
    </row>
    <row r="6611" spans="1:22" customFormat="1" ht="15" x14ac:dyDescent="0.25">
      <c r="A6611" t="s">
        <v>262</v>
      </c>
      <c r="B6611" t="s">
        <v>4939</v>
      </c>
      <c r="E6611" s="1516" t="s">
        <v>953</v>
      </c>
      <c r="F6611" s="1516"/>
      <c r="G6611" s="1516"/>
      <c r="H6611" s="1516"/>
      <c r="K6611" t="s">
        <v>1039</v>
      </c>
      <c r="V6611">
        <v>386</v>
      </c>
    </row>
    <row r="6612" spans="1:22" customFormat="1" ht="15" x14ac:dyDescent="0.25">
      <c r="A6612" t="s">
        <v>262</v>
      </c>
      <c r="B6612" t="s">
        <v>4939</v>
      </c>
      <c r="E6612" s="1516" t="s">
        <v>3762</v>
      </c>
      <c r="F6612" s="1516"/>
      <c r="G6612" s="1516"/>
      <c r="H6612" s="1516"/>
      <c r="K6612" t="s">
        <v>1039</v>
      </c>
      <c r="V6612">
        <v>247</v>
      </c>
    </row>
    <row r="6613" spans="1:22" customFormat="1" ht="15" x14ac:dyDescent="0.25">
      <c r="A6613" t="s">
        <v>262</v>
      </c>
      <c r="B6613" t="s">
        <v>4939</v>
      </c>
      <c r="E6613" s="1515" t="s">
        <v>956</v>
      </c>
      <c r="F6613" s="1549"/>
      <c r="G6613" s="1549"/>
      <c r="H6613" s="1549"/>
      <c r="K6613" t="s">
        <v>1042</v>
      </c>
      <c r="V6613">
        <v>46</v>
      </c>
    </row>
    <row r="6614" spans="1:22" customFormat="1" ht="15" x14ac:dyDescent="0.25">
      <c r="A6614" t="s">
        <v>262</v>
      </c>
      <c r="B6614" t="s">
        <v>4939</v>
      </c>
      <c r="E6614" s="1507" t="s">
        <v>3874</v>
      </c>
      <c r="F6614" s="1507"/>
      <c r="G6614" s="584" t="s">
        <v>777</v>
      </c>
      <c r="H6614" s="650">
        <v>11.83</v>
      </c>
      <c r="K6614" t="s">
        <v>1039</v>
      </c>
      <c r="L6614" t="s">
        <v>690</v>
      </c>
      <c r="P6614" t="s">
        <v>1043</v>
      </c>
      <c r="V6614">
        <v>31</v>
      </c>
    </row>
    <row r="6615" spans="1:22" customFormat="1" ht="15" x14ac:dyDescent="0.25">
      <c r="A6615" t="s">
        <v>262</v>
      </c>
      <c r="B6615" t="s">
        <v>4939</v>
      </c>
      <c r="E6615" s="1507" t="s">
        <v>3688</v>
      </c>
      <c r="F6615" s="1507"/>
      <c r="G6615" s="584" t="s">
        <v>3775</v>
      </c>
      <c r="H6615" s="650">
        <v>4.7157</v>
      </c>
      <c r="K6615" t="s">
        <v>1039</v>
      </c>
      <c r="L6615" t="s">
        <v>690</v>
      </c>
      <c r="P6615" t="s">
        <v>1044</v>
      </c>
      <c r="V6615">
        <v>28</v>
      </c>
    </row>
    <row r="6616" spans="1:22" customFormat="1" ht="15" x14ac:dyDescent="0.25">
      <c r="A6616" t="s">
        <v>262</v>
      </c>
      <c r="B6616" t="s">
        <v>4939</v>
      </c>
      <c r="E6616" s="1507" t="s">
        <v>910</v>
      </c>
      <c r="F6616" s="1507"/>
      <c r="G6616" s="584" t="s">
        <v>3775</v>
      </c>
      <c r="H6616" s="650">
        <v>0.26019999999999999</v>
      </c>
      <c r="K6616" t="s">
        <v>1039</v>
      </c>
      <c r="L6616" t="s">
        <v>692</v>
      </c>
      <c r="P6616" t="s">
        <v>1045</v>
      </c>
      <c r="V6616">
        <v>24</v>
      </c>
    </row>
    <row r="6617" spans="1:22" customFormat="1" ht="15" x14ac:dyDescent="0.25">
      <c r="A6617" t="s">
        <v>262</v>
      </c>
      <c r="B6617" t="s">
        <v>4939</v>
      </c>
      <c r="E6617" s="1507" t="s">
        <v>6790</v>
      </c>
      <c r="F6617" s="1507"/>
      <c r="G6617" s="584" t="s">
        <v>845</v>
      </c>
      <c r="H6617" s="650">
        <v>-7.3000000000000001E-3</v>
      </c>
      <c r="K6617" t="s">
        <v>1039</v>
      </c>
      <c r="L6617" t="s">
        <v>692</v>
      </c>
      <c r="P6617" t="s">
        <v>4522</v>
      </c>
      <c r="T6617">
        <v>45838</v>
      </c>
      <c r="V6617">
        <v>138</v>
      </c>
    </row>
    <row r="6618" spans="1:22" customFormat="1" ht="15" x14ac:dyDescent="0.25">
      <c r="A6618" t="s">
        <v>262</v>
      </c>
      <c r="B6618" t="s">
        <v>4939</v>
      </c>
      <c r="E6618" s="1507" t="s">
        <v>6811</v>
      </c>
      <c r="F6618" s="1510"/>
      <c r="G6618" s="584" t="s">
        <v>3775</v>
      </c>
      <c r="H6618" s="650">
        <v>-0.92290000000000005</v>
      </c>
      <c r="K6618" t="s">
        <v>1039</v>
      </c>
      <c r="L6618" t="s">
        <v>692</v>
      </c>
      <c r="P6618" t="s">
        <v>1046</v>
      </c>
      <c r="T6618">
        <v>46022</v>
      </c>
      <c r="V6618">
        <v>138</v>
      </c>
    </row>
    <row r="6619" spans="1:22" customFormat="1" ht="15" x14ac:dyDescent="0.25">
      <c r="A6619" t="s">
        <v>262</v>
      </c>
      <c r="B6619" t="s">
        <v>4939</v>
      </c>
      <c r="E6619" s="1507" t="s">
        <v>6792</v>
      </c>
      <c r="F6619" s="1507"/>
      <c r="G6619" s="584" t="s">
        <v>3775</v>
      </c>
      <c r="H6619" s="650">
        <v>1.2450000000000001</v>
      </c>
      <c r="K6619" t="s">
        <v>1039</v>
      </c>
      <c r="L6619" t="s">
        <v>692</v>
      </c>
      <c r="P6619" t="s">
        <v>1046</v>
      </c>
      <c r="T6619">
        <v>45838</v>
      </c>
      <c r="V6619">
        <v>95</v>
      </c>
    </row>
    <row r="6620" spans="1:22" customFormat="1" ht="15" x14ac:dyDescent="0.25">
      <c r="A6620" t="s">
        <v>262</v>
      </c>
      <c r="B6620" t="s">
        <v>4939</v>
      </c>
      <c r="E6620" s="1507" t="s">
        <v>6799</v>
      </c>
      <c r="F6620" s="1507"/>
      <c r="G6620" s="584" t="s">
        <v>3775</v>
      </c>
      <c r="H6620" s="650">
        <v>-0.12659999999999999</v>
      </c>
      <c r="K6620" t="s">
        <v>1039</v>
      </c>
      <c r="L6620" t="s">
        <v>692</v>
      </c>
      <c r="P6620" t="s">
        <v>4523</v>
      </c>
      <c r="T6620">
        <v>45838</v>
      </c>
      <c r="V6620">
        <v>145</v>
      </c>
    </row>
    <row r="6621" spans="1:22" customFormat="1" ht="15" x14ac:dyDescent="0.25">
      <c r="A6621" t="s">
        <v>262</v>
      </c>
      <c r="B6621" t="s">
        <v>4939</v>
      </c>
      <c r="E6621" s="1507" t="s">
        <v>243</v>
      </c>
      <c r="F6621" s="1507"/>
      <c r="G6621" s="584" t="s">
        <v>3775</v>
      </c>
      <c r="H6621" s="650">
        <v>3.1454</v>
      </c>
      <c r="K6621" t="s">
        <v>1039</v>
      </c>
      <c r="L6621" t="s">
        <v>694</v>
      </c>
      <c r="P6621" t="s">
        <v>1047</v>
      </c>
      <c r="V6621">
        <v>47</v>
      </c>
    </row>
    <row r="6622" spans="1:22" customFormat="1" ht="15" x14ac:dyDescent="0.25">
      <c r="A6622" t="s">
        <v>262</v>
      </c>
      <c r="B6622" t="s">
        <v>4939</v>
      </c>
      <c r="E6622" s="1507" t="s">
        <v>175</v>
      </c>
      <c r="F6622" s="1507"/>
      <c r="G6622" s="584" t="s">
        <v>3775</v>
      </c>
      <c r="H6622" s="650">
        <v>2.3471000000000002</v>
      </c>
      <c r="K6622" t="s">
        <v>1039</v>
      </c>
      <c r="L6622" t="s">
        <v>694</v>
      </c>
      <c r="P6622" t="s">
        <v>1048</v>
      </c>
      <c r="V6622">
        <v>74</v>
      </c>
    </row>
    <row r="6623" spans="1:22" customFormat="1" ht="15" x14ac:dyDescent="0.25">
      <c r="A6623" t="s">
        <v>262</v>
      </c>
      <c r="B6623" t="s">
        <v>4939</v>
      </c>
      <c r="E6623" s="1515" t="s">
        <v>967</v>
      </c>
      <c r="F6623" s="1612"/>
      <c r="G6623" s="584"/>
      <c r="H6623" s="584"/>
      <c r="K6623" t="s">
        <v>1049</v>
      </c>
      <c r="V6623">
        <v>48</v>
      </c>
    </row>
    <row r="6624" spans="1:22" customFormat="1" ht="15" x14ac:dyDescent="0.25">
      <c r="A6624" t="s">
        <v>262</v>
      </c>
      <c r="B6624" t="s">
        <v>4939</v>
      </c>
      <c r="E6624" s="1507" t="s">
        <v>844</v>
      </c>
      <c r="F6624" s="1507"/>
      <c r="G6624" s="584" t="s">
        <v>845</v>
      </c>
      <c r="H6624" s="650">
        <v>4.1000000000000003E-3</v>
      </c>
      <c r="K6624" t="s">
        <v>1039</v>
      </c>
      <c r="L6624" t="s">
        <v>968</v>
      </c>
      <c r="P6624" t="s">
        <v>1050</v>
      </c>
      <c r="V6624">
        <v>55</v>
      </c>
    </row>
    <row r="6625" spans="1:22" customFormat="1" ht="15" x14ac:dyDescent="0.25">
      <c r="A6625" t="s">
        <v>262</v>
      </c>
      <c r="B6625" t="s">
        <v>4939</v>
      </c>
      <c r="E6625" s="1507" t="s">
        <v>846</v>
      </c>
      <c r="F6625" s="1507"/>
      <c r="G6625" s="584" t="s">
        <v>845</v>
      </c>
      <c r="H6625" s="650">
        <v>4.0000000000000002E-4</v>
      </c>
      <c r="K6625" t="s">
        <v>1039</v>
      </c>
      <c r="L6625" t="s">
        <v>968</v>
      </c>
      <c r="P6625" t="s">
        <v>1050</v>
      </c>
      <c r="V6625">
        <v>65</v>
      </c>
    </row>
    <row r="6626" spans="1:22" customFormat="1" ht="15" x14ac:dyDescent="0.25">
      <c r="A6626" t="s">
        <v>262</v>
      </c>
      <c r="B6626" t="s">
        <v>4939</v>
      </c>
      <c r="E6626" s="1507" t="s">
        <v>847</v>
      </c>
      <c r="F6626" s="1507"/>
      <c r="G6626" s="584" t="s">
        <v>845</v>
      </c>
      <c r="H6626" s="650">
        <v>1.5E-3</v>
      </c>
      <c r="K6626" t="s">
        <v>1039</v>
      </c>
      <c r="L6626" t="s">
        <v>968</v>
      </c>
      <c r="P6626" t="s">
        <v>1051</v>
      </c>
      <c r="V6626">
        <v>57</v>
      </c>
    </row>
    <row r="6627" spans="1:22" customFormat="1" ht="15" x14ac:dyDescent="0.25">
      <c r="A6627" t="s">
        <v>262</v>
      </c>
      <c r="B6627" t="s">
        <v>4939</v>
      </c>
      <c r="E6627" s="1507" t="s">
        <v>848</v>
      </c>
      <c r="F6627" s="1507"/>
      <c r="G6627" s="584" t="s">
        <v>777</v>
      </c>
      <c r="H6627" s="650">
        <v>0.25</v>
      </c>
      <c r="K6627" t="s">
        <v>1039</v>
      </c>
      <c r="L6627" t="s">
        <v>968</v>
      </c>
      <c r="P6627" t="s">
        <v>1052</v>
      </c>
      <c r="V6627">
        <v>63</v>
      </c>
    </row>
    <row r="6628" spans="1:22" customFormat="1" x14ac:dyDescent="0.25">
      <c r="A6628" t="s">
        <v>262</v>
      </c>
      <c r="B6628" t="s">
        <v>4939</v>
      </c>
      <c r="E6628" s="1492" t="s">
        <v>202</v>
      </c>
      <c r="F6628" s="1492"/>
      <c r="G6628" s="1492"/>
      <c r="H6628" s="1492"/>
      <c r="K6628" t="s">
        <v>1053</v>
      </c>
      <c r="V6628">
        <v>38</v>
      </c>
    </row>
    <row r="6629" spans="1:22" customFormat="1" ht="15" x14ac:dyDescent="0.25">
      <c r="A6629" t="s">
        <v>262</v>
      </c>
      <c r="B6629" t="s">
        <v>4939</v>
      </c>
      <c r="E6629" s="1516" t="s">
        <v>4948</v>
      </c>
      <c r="F6629" s="1516"/>
      <c r="G6629" s="1516"/>
      <c r="H6629" s="1516"/>
      <c r="K6629" t="s">
        <v>1053</v>
      </c>
      <c r="V6629">
        <v>1322</v>
      </c>
    </row>
    <row r="6630" spans="1:22" customFormat="1" ht="15" x14ac:dyDescent="0.25">
      <c r="A6630" t="s">
        <v>262</v>
      </c>
      <c r="B6630" t="s">
        <v>4939</v>
      </c>
      <c r="E6630" s="1515" t="s">
        <v>950</v>
      </c>
      <c r="F6630" s="1549"/>
      <c r="G6630" s="1549"/>
      <c r="H6630" s="1549"/>
      <c r="K6630" t="s">
        <v>1055</v>
      </c>
      <c r="V6630">
        <v>11</v>
      </c>
    </row>
    <row r="6631" spans="1:22" customFormat="1" ht="15" x14ac:dyDescent="0.25">
      <c r="A6631" t="s">
        <v>262</v>
      </c>
      <c r="B6631" t="s">
        <v>4939</v>
      </c>
      <c r="E6631" s="1516" t="s">
        <v>951</v>
      </c>
      <c r="F6631" s="1516"/>
      <c r="G6631" s="1516"/>
      <c r="H6631" s="1516"/>
      <c r="K6631" t="s">
        <v>1053</v>
      </c>
      <c r="V6631">
        <v>280</v>
      </c>
    </row>
    <row r="6632" spans="1:22" customFormat="1" ht="15" x14ac:dyDescent="0.25">
      <c r="A6632" t="s">
        <v>262</v>
      </c>
      <c r="B6632" t="s">
        <v>4939</v>
      </c>
      <c r="E6632" s="1516" t="s">
        <v>952</v>
      </c>
      <c r="F6632" s="1516"/>
      <c r="G6632" s="1516"/>
      <c r="H6632" s="1516"/>
      <c r="K6632" t="s">
        <v>1053</v>
      </c>
      <c r="V6632">
        <v>411</v>
      </c>
    </row>
    <row r="6633" spans="1:22" customFormat="1" ht="15" x14ac:dyDescent="0.25">
      <c r="A6633" t="s">
        <v>262</v>
      </c>
      <c r="B6633" t="s">
        <v>4939</v>
      </c>
      <c r="E6633" s="1516" t="s">
        <v>953</v>
      </c>
      <c r="F6633" s="1516"/>
      <c r="G6633" s="1516"/>
      <c r="H6633" s="1516"/>
      <c r="K6633" t="s">
        <v>1053</v>
      </c>
      <c r="V6633">
        <v>386</v>
      </c>
    </row>
    <row r="6634" spans="1:22" customFormat="1" ht="15" x14ac:dyDescent="0.25">
      <c r="A6634" t="s">
        <v>262</v>
      </c>
      <c r="B6634" t="s">
        <v>4939</v>
      </c>
      <c r="E6634" s="1516" t="s">
        <v>3762</v>
      </c>
      <c r="F6634" s="1516"/>
      <c r="G6634" s="1516"/>
      <c r="H6634" s="1516"/>
      <c r="K6634" t="s">
        <v>1053</v>
      </c>
      <c r="V6634">
        <v>247</v>
      </c>
    </row>
    <row r="6635" spans="1:22" customFormat="1" ht="15" x14ac:dyDescent="0.25">
      <c r="A6635" t="s">
        <v>262</v>
      </c>
      <c r="B6635" t="s">
        <v>4939</v>
      </c>
      <c r="E6635" s="1515" t="s">
        <v>956</v>
      </c>
      <c r="F6635" s="1549"/>
      <c r="G6635" s="1549"/>
      <c r="H6635" s="1549"/>
      <c r="K6635" t="s">
        <v>1056</v>
      </c>
      <c r="V6635">
        <v>46</v>
      </c>
    </row>
    <row r="6636" spans="1:22" customFormat="1" ht="15" x14ac:dyDescent="0.25">
      <c r="A6636" t="s">
        <v>262</v>
      </c>
      <c r="B6636" t="s">
        <v>4939</v>
      </c>
      <c r="E6636" s="1507" t="s">
        <v>3874</v>
      </c>
      <c r="F6636" s="1507"/>
      <c r="G6636" s="584" t="s">
        <v>777</v>
      </c>
      <c r="H6636" s="650">
        <v>3.22</v>
      </c>
      <c r="K6636" t="s">
        <v>1053</v>
      </c>
      <c r="L6636" t="s">
        <v>690</v>
      </c>
      <c r="P6636" t="s">
        <v>1057</v>
      </c>
      <c r="V6636">
        <v>31</v>
      </c>
    </row>
    <row r="6637" spans="1:22" customFormat="1" ht="15" x14ac:dyDescent="0.25">
      <c r="A6637" t="s">
        <v>262</v>
      </c>
      <c r="B6637" t="s">
        <v>4939</v>
      </c>
      <c r="E6637" s="1507" t="s">
        <v>3688</v>
      </c>
      <c r="F6637" s="1507"/>
      <c r="G6637" s="584" t="s">
        <v>3775</v>
      </c>
      <c r="H6637" s="650">
        <v>13.4579</v>
      </c>
      <c r="K6637" t="s">
        <v>1053</v>
      </c>
      <c r="L6637" t="s">
        <v>690</v>
      </c>
      <c r="P6637" t="s">
        <v>1059</v>
      </c>
      <c r="V6637">
        <v>28</v>
      </c>
    </row>
    <row r="6638" spans="1:22" customFormat="1" ht="15" x14ac:dyDescent="0.25">
      <c r="A6638" t="s">
        <v>262</v>
      </c>
      <c r="B6638" t="s">
        <v>4939</v>
      </c>
      <c r="E6638" s="1507" t="s">
        <v>910</v>
      </c>
      <c r="F6638" s="1507"/>
      <c r="G6638" s="584" t="s">
        <v>3775</v>
      </c>
      <c r="H6638" s="650">
        <v>0.25409999999999999</v>
      </c>
      <c r="K6638" t="s">
        <v>1053</v>
      </c>
      <c r="L6638" t="s">
        <v>692</v>
      </c>
      <c r="P6638" t="s">
        <v>1060</v>
      </c>
      <c r="V6638">
        <v>24</v>
      </c>
    </row>
    <row r="6639" spans="1:22" customFormat="1" ht="15" x14ac:dyDescent="0.25">
      <c r="A6639" t="s">
        <v>262</v>
      </c>
      <c r="B6639" t="s">
        <v>4939</v>
      </c>
      <c r="E6639" s="1507" t="s">
        <v>6790</v>
      </c>
      <c r="F6639" s="1507"/>
      <c r="G6639" s="584" t="s">
        <v>845</v>
      </c>
      <c r="H6639" s="650">
        <v>-7.3000000000000001E-3</v>
      </c>
      <c r="K6639" t="s">
        <v>1053</v>
      </c>
      <c r="L6639" t="s">
        <v>692</v>
      </c>
      <c r="P6639" t="s">
        <v>1061</v>
      </c>
      <c r="T6639">
        <v>45838</v>
      </c>
      <c r="V6639">
        <v>138</v>
      </c>
    </row>
    <row r="6640" spans="1:22" customFormat="1" ht="15" x14ac:dyDescent="0.25">
      <c r="A6640" t="s">
        <v>262</v>
      </c>
      <c r="B6640" t="s">
        <v>4939</v>
      </c>
      <c r="E6640" s="1507" t="s">
        <v>6811</v>
      </c>
      <c r="F6640" s="1510"/>
      <c r="G6640" s="584" t="s">
        <v>3775</v>
      </c>
      <c r="H6640" s="650">
        <v>-0.96399999999999997</v>
      </c>
      <c r="K6640" t="s">
        <v>1053</v>
      </c>
      <c r="L6640" t="s">
        <v>692</v>
      </c>
      <c r="P6640" t="s">
        <v>1062</v>
      </c>
      <c r="T6640">
        <v>46022</v>
      </c>
      <c r="V6640">
        <v>138</v>
      </c>
    </row>
    <row r="6641" spans="1:22" customFormat="1" ht="15" x14ac:dyDescent="0.25">
      <c r="A6641" t="s">
        <v>262</v>
      </c>
      <c r="B6641" t="s">
        <v>4939</v>
      </c>
      <c r="E6641" s="1507" t="s">
        <v>6792</v>
      </c>
      <c r="F6641" s="1507"/>
      <c r="G6641" s="584" t="s">
        <v>3775</v>
      </c>
      <c r="H6641" s="650">
        <v>1.3747</v>
      </c>
      <c r="K6641" t="s">
        <v>1053</v>
      </c>
      <c r="L6641" t="s">
        <v>692</v>
      </c>
      <c r="P6641" t="s">
        <v>1062</v>
      </c>
      <c r="T6641">
        <v>45838</v>
      </c>
      <c r="V6641">
        <v>95</v>
      </c>
    </row>
    <row r="6642" spans="1:22" customFormat="1" ht="15" x14ac:dyDescent="0.25">
      <c r="A6642" t="s">
        <v>262</v>
      </c>
      <c r="B6642" t="s">
        <v>4939</v>
      </c>
      <c r="E6642" s="1507" t="s">
        <v>6799</v>
      </c>
      <c r="F6642" s="1507"/>
      <c r="G6642" s="584" t="s">
        <v>3775</v>
      </c>
      <c r="H6642" s="650">
        <v>-0.14000000000000001</v>
      </c>
      <c r="K6642" t="s">
        <v>1053</v>
      </c>
      <c r="L6642" t="s">
        <v>692</v>
      </c>
      <c r="P6642" t="s">
        <v>3997</v>
      </c>
      <c r="T6642">
        <v>45838</v>
      </c>
      <c r="V6642">
        <v>145</v>
      </c>
    </row>
    <row r="6643" spans="1:22" customFormat="1" ht="15" x14ac:dyDescent="0.25">
      <c r="A6643" t="s">
        <v>262</v>
      </c>
      <c r="B6643" t="s">
        <v>4939</v>
      </c>
      <c r="E6643" s="1507" t="s">
        <v>243</v>
      </c>
      <c r="F6643" s="1507"/>
      <c r="G6643" s="584" t="s">
        <v>3775</v>
      </c>
      <c r="H6643" s="650">
        <v>3.1223000000000001</v>
      </c>
      <c r="K6643" t="s">
        <v>1053</v>
      </c>
      <c r="L6643" t="s">
        <v>694</v>
      </c>
      <c r="P6643" t="s">
        <v>1063</v>
      </c>
      <c r="V6643">
        <v>47</v>
      </c>
    </row>
    <row r="6644" spans="1:22" customFormat="1" ht="15" x14ac:dyDescent="0.25">
      <c r="A6644" t="s">
        <v>262</v>
      </c>
      <c r="B6644" t="s">
        <v>4939</v>
      </c>
      <c r="E6644" s="1507" t="s">
        <v>175</v>
      </c>
      <c r="F6644" s="1507"/>
      <c r="G6644" s="584" t="s">
        <v>3775</v>
      </c>
      <c r="H6644" s="650">
        <v>2.2921</v>
      </c>
      <c r="K6644" t="s">
        <v>1053</v>
      </c>
      <c r="L6644" t="s">
        <v>694</v>
      </c>
      <c r="P6644" t="s">
        <v>1064</v>
      </c>
      <c r="V6644">
        <v>74</v>
      </c>
    </row>
    <row r="6645" spans="1:22" customFormat="1" ht="15" x14ac:dyDescent="0.25">
      <c r="A6645" t="s">
        <v>262</v>
      </c>
      <c r="B6645" t="s">
        <v>4939</v>
      </c>
      <c r="E6645" s="1515" t="s">
        <v>967</v>
      </c>
      <c r="F6645" s="1612"/>
      <c r="G6645" s="584"/>
      <c r="H6645" s="584"/>
      <c r="K6645" t="s">
        <v>1065</v>
      </c>
      <c r="V6645">
        <v>48</v>
      </c>
    </row>
    <row r="6646" spans="1:22" customFormat="1" ht="15" x14ac:dyDescent="0.25">
      <c r="A6646" t="s">
        <v>262</v>
      </c>
      <c r="B6646" t="s">
        <v>4939</v>
      </c>
      <c r="E6646" s="1507" t="s">
        <v>844</v>
      </c>
      <c r="F6646" s="1507"/>
      <c r="G6646" s="584" t="s">
        <v>845</v>
      </c>
      <c r="H6646" s="650">
        <v>4.1000000000000003E-3</v>
      </c>
      <c r="K6646" t="s">
        <v>1053</v>
      </c>
      <c r="L6646" t="s">
        <v>968</v>
      </c>
      <c r="P6646" t="s">
        <v>1066</v>
      </c>
      <c r="V6646">
        <v>55</v>
      </c>
    </row>
    <row r="6647" spans="1:22" customFormat="1" ht="15" x14ac:dyDescent="0.25">
      <c r="A6647" t="s">
        <v>262</v>
      </c>
      <c r="B6647" t="s">
        <v>4939</v>
      </c>
      <c r="E6647" s="1507" t="s">
        <v>846</v>
      </c>
      <c r="F6647" s="1507"/>
      <c r="G6647" s="584" t="s">
        <v>845</v>
      </c>
      <c r="H6647" s="650">
        <v>4.0000000000000002E-4</v>
      </c>
      <c r="K6647" t="s">
        <v>1053</v>
      </c>
      <c r="L6647" t="s">
        <v>968</v>
      </c>
      <c r="P6647" t="s">
        <v>1066</v>
      </c>
      <c r="V6647">
        <v>65</v>
      </c>
    </row>
    <row r="6648" spans="1:22" customFormat="1" ht="15" x14ac:dyDescent="0.25">
      <c r="A6648" t="s">
        <v>262</v>
      </c>
      <c r="B6648" t="s">
        <v>4939</v>
      </c>
      <c r="E6648" s="1507" t="s">
        <v>847</v>
      </c>
      <c r="F6648" s="1507"/>
      <c r="G6648" s="584" t="s">
        <v>845</v>
      </c>
      <c r="H6648" s="650">
        <v>1.5E-3</v>
      </c>
      <c r="K6648" t="s">
        <v>1053</v>
      </c>
      <c r="L6648" t="s">
        <v>968</v>
      </c>
      <c r="P6648" t="s">
        <v>1067</v>
      </c>
      <c r="V6648">
        <v>57</v>
      </c>
    </row>
    <row r="6649" spans="1:22" customFormat="1" ht="15" x14ac:dyDescent="0.25">
      <c r="A6649" t="s">
        <v>262</v>
      </c>
      <c r="B6649" t="s">
        <v>4939</v>
      </c>
      <c r="E6649" s="1507" t="s">
        <v>848</v>
      </c>
      <c r="F6649" s="1507"/>
      <c r="G6649" s="584" t="s">
        <v>777</v>
      </c>
      <c r="H6649" s="650">
        <v>0.25</v>
      </c>
      <c r="K6649" t="s">
        <v>1053</v>
      </c>
      <c r="L6649" t="s">
        <v>968</v>
      </c>
      <c r="P6649" t="s">
        <v>1068</v>
      </c>
      <c r="V6649">
        <v>63</v>
      </c>
    </row>
    <row r="6650" spans="1:22" customFormat="1" x14ac:dyDescent="0.25">
      <c r="A6650" t="s">
        <v>262</v>
      </c>
      <c r="B6650" t="s">
        <v>4939</v>
      </c>
      <c r="E6650" s="1492" t="s">
        <v>207</v>
      </c>
      <c r="F6650" s="1492"/>
      <c r="G6650" s="1492"/>
      <c r="H6650" s="1492"/>
      <c r="K6650" t="s">
        <v>1069</v>
      </c>
      <c r="V6650">
        <v>31</v>
      </c>
    </row>
    <row r="6651" spans="1:22" customFormat="1" ht="15" x14ac:dyDescent="0.25">
      <c r="A6651" t="s">
        <v>262</v>
      </c>
      <c r="B6651" t="s">
        <v>4939</v>
      </c>
      <c r="E6651" s="1516" t="s">
        <v>4949</v>
      </c>
      <c r="F6651" s="1516"/>
      <c r="G6651" s="1516"/>
      <c r="H6651" s="1516"/>
      <c r="K6651" t="s">
        <v>1069</v>
      </c>
      <c r="V6651">
        <v>284</v>
      </c>
    </row>
    <row r="6652" spans="1:22" customFormat="1" ht="15" x14ac:dyDescent="0.25">
      <c r="A6652" t="s">
        <v>262</v>
      </c>
      <c r="B6652" t="s">
        <v>4939</v>
      </c>
      <c r="E6652" s="1515" t="s">
        <v>950</v>
      </c>
      <c r="F6652" s="1549"/>
      <c r="G6652" s="1549"/>
      <c r="H6652" s="1549"/>
      <c r="K6652" t="s">
        <v>1071</v>
      </c>
      <c r="V6652">
        <v>11</v>
      </c>
    </row>
    <row r="6653" spans="1:22" customFormat="1" ht="15" x14ac:dyDescent="0.25">
      <c r="A6653" t="s">
        <v>262</v>
      </c>
      <c r="B6653" t="s">
        <v>4939</v>
      </c>
      <c r="E6653" s="1516" t="s">
        <v>951</v>
      </c>
      <c r="F6653" s="1516"/>
      <c r="G6653" s="1516"/>
      <c r="H6653" s="1516"/>
      <c r="K6653" t="s">
        <v>1069</v>
      </c>
      <c r="V6653">
        <v>280</v>
      </c>
    </row>
    <row r="6654" spans="1:22" customFormat="1" ht="15" x14ac:dyDescent="0.25">
      <c r="A6654" t="s">
        <v>262</v>
      </c>
      <c r="B6654" t="s">
        <v>4939</v>
      </c>
      <c r="E6654" s="1516" t="s">
        <v>952</v>
      </c>
      <c r="F6654" s="1516"/>
      <c r="G6654" s="1516"/>
      <c r="H6654" s="1516"/>
      <c r="K6654" t="s">
        <v>1069</v>
      </c>
      <c r="V6654">
        <v>411</v>
      </c>
    </row>
    <row r="6655" spans="1:22" customFormat="1" ht="15" x14ac:dyDescent="0.25">
      <c r="A6655" t="s">
        <v>262</v>
      </c>
      <c r="B6655" t="s">
        <v>4939</v>
      </c>
      <c r="E6655" s="1516" t="s">
        <v>1103</v>
      </c>
      <c r="F6655" s="1516"/>
      <c r="G6655" s="1516"/>
      <c r="H6655" s="1516"/>
      <c r="K6655" t="s">
        <v>1069</v>
      </c>
      <c r="V6655">
        <v>211</v>
      </c>
    </row>
    <row r="6656" spans="1:22" customFormat="1" ht="15" x14ac:dyDescent="0.25">
      <c r="A6656" t="s">
        <v>262</v>
      </c>
      <c r="B6656" t="s">
        <v>4939</v>
      </c>
      <c r="E6656" s="1516" t="s">
        <v>3762</v>
      </c>
      <c r="F6656" s="1516"/>
      <c r="G6656" s="1516"/>
      <c r="H6656" s="1516"/>
      <c r="K6656" t="s">
        <v>1069</v>
      </c>
      <c r="V6656">
        <v>247</v>
      </c>
    </row>
    <row r="6657" spans="1:22" customFormat="1" ht="15" x14ac:dyDescent="0.25">
      <c r="A6657" t="s">
        <v>262</v>
      </c>
      <c r="B6657" t="s">
        <v>4939</v>
      </c>
      <c r="E6657" s="1515" t="s">
        <v>956</v>
      </c>
      <c r="F6657" s="1549"/>
      <c r="G6657" s="1549"/>
      <c r="H6657" s="1549"/>
      <c r="K6657" t="s">
        <v>1075</v>
      </c>
      <c r="V6657">
        <v>46</v>
      </c>
    </row>
    <row r="6658" spans="1:22" customFormat="1" ht="15" x14ac:dyDescent="0.25">
      <c r="A6658" t="s">
        <v>262</v>
      </c>
      <c r="B6658" t="s">
        <v>4939</v>
      </c>
      <c r="E6658" s="1507" t="s">
        <v>3773</v>
      </c>
      <c r="F6658" s="1507"/>
      <c r="G6658" s="584" t="s">
        <v>777</v>
      </c>
      <c r="H6658" s="650">
        <v>5</v>
      </c>
      <c r="K6658" t="s">
        <v>1069</v>
      </c>
      <c r="L6658" t="s">
        <v>690</v>
      </c>
      <c r="P6658" t="s">
        <v>1076</v>
      </c>
      <c r="V6658">
        <v>14</v>
      </c>
    </row>
    <row r="6659" spans="1:22" customFormat="1" ht="18.75" x14ac:dyDescent="0.25">
      <c r="A6659" t="s">
        <v>262</v>
      </c>
      <c r="B6659" t="s">
        <v>4939</v>
      </c>
      <c r="E6659" s="836" t="s">
        <v>3825</v>
      </c>
      <c r="F6659" s="385"/>
      <c r="G6659" s="385"/>
      <c r="H6659" s="655"/>
      <c r="K6659" t="s">
        <v>4865</v>
      </c>
      <c r="V6659">
        <v>10</v>
      </c>
    </row>
    <row r="6660" spans="1:22" customFormat="1" ht="15" x14ac:dyDescent="0.25">
      <c r="A6660" t="s">
        <v>262</v>
      </c>
      <c r="B6660" t="s">
        <v>4939</v>
      </c>
      <c r="E6660" s="1507" t="s">
        <v>1078</v>
      </c>
      <c r="F6660" s="1507"/>
      <c r="G6660" s="584" t="s">
        <v>3775</v>
      </c>
      <c r="H6660" s="650">
        <v>-0.6</v>
      </c>
      <c r="V6660">
        <v>68</v>
      </c>
    </row>
    <row r="6661" spans="1:22" customFormat="1" ht="15" x14ac:dyDescent="0.25">
      <c r="A6661" t="s">
        <v>262</v>
      </c>
      <c r="B6661" t="s">
        <v>4939</v>
      </c>
      <c r="E6661" s="1507" t="s">
        <v>1079</v>
      </c>
      <c r="F6661" s="1507"/>
      <c r="G6661" s="584" t="s">
        <v>1118</v>
      </c>
      <c r="H6661" s="650">
        <v>-1</v>
      </c>
      <c r="V6661">
        <v>87</v>
      </c>
    </row>
    <row r="6662" spans="1:22" customFormat="1" ht="36" x14ac:dyDescent="0.25">
      <c r="A6662" t="s">
        <v>262</v>
      </c>
      <c r="B6662" t="s">
        <v>4939</v>
      </c>
      <c r="E6662" s="836" t="s">
        <v>3828</v>
      </c>
      <c r="F6662" s="385"/>
      <c r="G6662" s="385"/>
      <c r="H6662" s="655"/>
      <c r="K6662" t="s">
        <v>4866</v>
      </c>
      <c r="V6662">
        <v>24</v>
      </c>
    </row>
    <row r="6663" spans="1:22" customFormat="1" ht="15" x14ac:dyDescent="0.25">
      <c r="A6663" t="s">
        <v>262</v>
      </c>
      <c r="B6663" t="s">
        <v>4939</v>
      </c>
      <c r="E6663" s="1516" t="s">
        <v>951</v>
      </c>
      <c r="F6663" s="1516"/>
      <c r="G6663" s="1516"/>
      <c r="H6663" s="1516"/>
      <c r="V6663">
        <v>280</v>
      </c>
    </row>
    <row r="6664" spans="1:22" customFormat="1" ht="15" x14ac:dyDescent="0.25">
      <c r="A6664" t="s">
        <v>262</v>
      </c>
      <c r="B6664" t="s">
        <v>4939</v>
      </c>
      <c r="E6664" s="1516" t="s">
        <v>1081</v>
      </c>
      <c r="F6664" s="1516"/>
      <c r="G6664" s="1516"/>
      <c r="H6664" s="1516"/>
      <c r="V6664">
        <v>353</v>
      </c>
    </row>
    <row r="6665" spans="1:22" customFormat="1" ht="15" x14ac:dyDescent="0.25">
      <c r="A6665" t="s">
        <v>262</v>
      </c>
      <c r="B6665" t="s">
        <v>4939</v>
      </c>
      <c r="E6665" s="1516" t="s">
        <v>3762</v>
      </c>
      <c r="F6665" s="1516"/>
      <c r="G6665" s="1516"/>
      <c r="H6665" s="1516"/>
      <c r="V6665">
        <v>247</v>
      </c>
    </row>
    <row r="6666" spans="1:22" customFormat="1" ht="15" x14ac:dyDescent="0.25">
      <c r="A6666" t="s">
        <v>262</v>
      </c>
      <c r="B6666" t="s">
        <v>4939</v>
      </c>
      <c r="E6666" s="835" t="s">
        <v>3830</v>
      </c>
      <c r="F6666" s="318"/>
      <c r="G6666" s="318"/>
      <c r="H6666" s="656"/>
      <c r="K6666" t="s">
        <v>4867</v>
      </c>
      <c r="V6666">
        <v>23</v>
      </c>
    </row>
    <row r="6667" spans="1:22" customFormat="1" ht="15" x14ac:dyDescent="0.25">
      <c r="A6667" t="s">
        <v>262</v>
      </c>
      <c r="B6667" t="s">
        <v>4939</v>
      </c>
      <c r="E6667" s="1517" t="s">
        <v>4950</v>
      </c>
      <c r="F6667" s="1517"/>
      <c r="G6667" s="584" t="s">
        <v>777</v>
      </c>
      <c r="H6667" s="650">
        <v>92.51</v>
      </c>
      <c r="V6667">
        <v>33</v>
      </c>
    </row>
    <row r="6668" spans="1:22" customFormat="1" ht="15" x14ac:dyDescent="0.25">
      <c r="A6668" t="s">
        <v>262</v>
      </c>
      <c r="B6668" t="s">
        <v>4939</v>
      </c>
      <c r="E6668" s="1517" t="s">
        <v>4869</v>
      </c>
      <c r="F6668" s="1517"/>
      <c r="G6668" s="584" t="s">
        <v>777</v>
      </c>
      <c r="H6668" s="650">
        <v>25</v>
      </c>
      <c r="V6668">
        <v>29</v>
      </c>
    </row>
    <row r="6669" spans="1:22" customFormat="1" ht="15" x14ac:dyDescent="0.25">
      <c r="A6669" t="s">
        <v>262</v>
      </c>
      <c r="B6669" t="s">
        <v>4939</v>
      </c>
      <c r="E6669" s="1517" t="s">
        <v>4870</v>
      </c>
      <c r="F6669" s="1517"/>
      <c r="G6669" s="584" t="s">
        <v>777</v>
      </c>
      <c r="H6669" s="650">
        <v>7</v>
      </c>
      <c r="V6669">
        <v>22</v>
      </c>
    </row>
    <row r="6670" spans="1:22" customFormat="1" ht="15" x14ac:dyDescent="0.25">
      <c r="A6670" t="s">
        <v>262</v>
      </c>
      <c r="B6670" t="s">
        <v>4939</v>
      </c>
      <c r="E6670" s="1517" t="s">
        <v>4871</v>
      </c>
      <c r="F6670" s="1517"/>
      <c r="G6670" s="584" t="s">
        <v>777</v>
      </c>
      <c r="H6670" s="650">
        <v>38</v>
      </c>
      <c r="V6670">
        <v>90</v>
      </c>
    </row>
    <row r="6671" spans="1:22" customFormat="1" ht="15" x14ac:dyDescent="0.25">
      <c r="A6671" t="s">
        <v>262</v>
      </c>
      <c r="B6671" t="s">
        <v>4939</v>
      </c>
      <c r="E6671" s="1517" t="s">
        <v>4872</v>
      </c>
      <c r="F6671" s="1517"/>
      <c r="G6671" s="584" t="s">
        <v>777</v>
      </c>
      <c r="H6671" s="650">
        <v>90</v>
      </c>
      <c r="V6671">
        <v>55</v>
      </c>
    </row>
    <row r="6672" spans="1:22" customFormat="1" ht="15" x14ac:dyDescent="0.25">
      <c r="A6672" t="s">
        <v>262</v>
      </c>
      <c r="B6672" t="s">
        <v>4939</v>
      </c>
      <c r="E6672" s="1517" t="s">
        <v>4873</v>
      </c>
      <c r="F6672" s="1517"/>
      <c r="G6672" s="584" t="s">
        <v>777</v>
      </c>
      <c r="H6672" s="650">
        <v>30</v>
      </c>
      <c r="V6672">
        <v>75</v>
      </c>
    </row>
    <row r="6673" spans="1:22" customFormat="1" ht="15" x14ac:dyDescent="0.25">
      <c r="A6673" t="s">
        <v>262</v>
      </c>
      <c r="B6673" t="s">
        <v>4939</v>
      </c>
      <c r="E6673" s="835" t="s">
        <v>4665</v>
      </c>
      <c r="F6673" s="318"/>
      <c r="G6673" s="318"/>
      <c r="H6673" s="651"/>
      <c r="V6673">
        <v>23</v>
      </c>
    </row>
    <row r="6674" spans="1:22" customFormat="1" ht="15" x14ac:dyDescent="0.25">
      <c r="A6674" t="s">
        <v>262</v>
      </c>
      <c r="B6674" t="s">
        <v>4939</v>
      </c>
      <c r="E6674" s="1517" t="s">
        <v>4875</v>
      </c>
      <c r="F6674" s="1517"/>
      <c r="G6674" s="584" t="s">
        <v>1118</v>
      </c>
      <c r="H6674" s="650">
        <v>1.5</v>
      </c>
      <c r="V6674">
        <v>99</v>
      </c>
    </row>
    <row r="6675" spans="1:22" customFormat="1" ht="15" x14ac:dyDescent="0.25">
      <c r="A6675" t="s">
        <v>262</v>
      </c>
      <c r="B6675" t="s">
        <v>4939</v>
      </c>
      <c r="E6675" s="1517" t="s">
        <v>4876</v>
      </c>
      <c r="F6675" s="1517"/>
      <c r="G6675" s="584" t="s">
        <v>777</v>
      </c>
      <c r="H6675" s="650">
        <v>65</v>
      </c>
      <c r="V6675">
        <v>54</v>
      </c>
    </row>
    <row r="6676" spans="1:22" customFormat="1" ht="15" x14ac:dyDescent="0.25">
      <c r="A6676" t="s">
        <v>262</v>
      </c>
      <c r="B6676" t="s">
        <v>4939</v>
      </c>
      <c r="E6676" s="1517" t="s">
        <v>4877</v>
      </c>
      <c r="F6676" s="1517"/>
      <c r="G6676" s="584" t="s">
        <v>777</v>
      </c>
      <c r="H6676" s="650">
        <v>185</v>
      </c>
      <c r="V6676">
        <v>53</v>
      </c>
    </row>
    <row r="6677" spans="1:22" customFormat="1" ht="15" x14ac:dyDescent="0.25">
      <c r="A6677" t="s">
        <v>262</v>
      </c>
      <c r="B6677" t="s">
        <v>4939</v>
      </c>
      <c r="E6677" s="1517" t="s">
        <v>4878</v>
      </c>
      <c r="F6677" s="1517"/>
      <c r="G6677" s="584" t="s">
        <v>777</v>
      </c>
      <c r="H6677" s="650">
        <v>185</v>
      </c>
      <c r="V6677">
        <v>53</v>
      </c>
    </row>
    <row r="6678" spans="1:22" customFormat="1" ht="15" x14ac:dyDescent="0.25">
      <c r="A6678" t="s">
        <v>262</v>
      </c>
      <c r="B6678" t="s">
        <v>4939</v>
      </c>
      <c r="E6678" s="1517" t="s">
        <v>4879</v>
      </c>
      <c r="F6678" s="1517"/>
      <c r="G6678" s="584" t="s">
        <v>777</v>
      </c>
      <c r="H6678" s="650">
        <v>415</v>
      </c>
      <c r="V6678">
        <v>52</v>
      </c>
    </row>
    <row r="6679" spans="1:22" customFormat="1" ht="15" x14ac:dyDescent="0.25">
      <c r="A6679" t="s">
        <v>262</v>
      </c>
      <c r="B6679" t="s">
        <v>4939</v>
      </c>
      <c r="E6679" s="835" t="s">
        <v>3846</v>
      </c>
      <c r="F6679" s="582"/>
      <c r="G6679" s="319"/>
      <c r="H6679" s="651"/>
      <c r="V6679">
        <v>5</v>
      </c>
    </row>
    <row r="6680" spans="1:22" customFormat="1" ht="15" x14ac:dyDescent="0.25">
      <c r="A6680" t="s">
        <v>262</v>
      </c>
      <c r="B6680" t="s">
        <v>4939</v>
      </c>
      <c r="E6680" s="1517" t="s">
        <v>4880</v>
      </c>
      <c r="F6680" s="1517"/>
      <c r="G6680" s="584" t="s">
        <v>777</v>
      </c>
      <c r="H6680" s="650" t="s">
        <v>4881</v>
      </c>
      <c r="V6680">
        <v>62</v>
      </c>
    </row>
    <row r="6681" spans="1:22" customFormat="1" ht="15" x14ac:dyDescent="0.25">
      <c r="A6681" t="s">
        <v>262</v>
      </c>
      <c r="B6681" t="s">
        <v>4939</v>
      </c>
      <c r="E6681" s="1517" t="s">
        <v>4882</v>
      </c>
      <c r="F6681" s="1517"/>
      <c r="G6681" s="584" t="s">
        <v>777</v>
      </c>
      <c r="H6681" s="650" t="s">
        <v>4883</v>
      </c>
      <c r="V6681">
        <v>61</v>
      </c>
    </row>
    <row r="6682" spans="1:22" customFormat="1" ht="15" x14ac:dyDescent="0.25">
      <c r="A6682" t="s">
        <v>262</v>
      </c>
      <c r="B6682" t="s">
        <v>4939</v>
      </c>
      <c r="E6682" s="1517" t="s">
        <v>4702</v>
      </c>
      <c r="F6682" s="1517"/>
      <c r="G6682" s="584" t="s">
        <v>777</v>
      </c>
      <c r="H6682" s="650" t="s">
        <v>4884</v>
      </c>
      <c r="V6682">
        <v>62</v>
      </c>
    </row>
    <row r="6683" spans="1:22" customFormat="1" ht="15" x14ac:dyDescent="0.25">
      <c r="A6683" t="s">
        <v>262</v>
      </c>
      <c r="B6683" t="s">
        <v>4939</v>
      </c>
      <c r="E6683" s="1517" t="s">
        <v>4429</v>
      </c>
      <c r="F6683" s="1517"/>
      <c r="G6683" s="584" t="s">
        <v>777</v>
      </c>
      <c r="H6683" s="650" t="s">
        <v>4884</v>
      </c>
      <c r="V6683">
        <v>65</v>
      </c>
    </row>
    <row r="6684" spans="1:22" customFormat="1" ht="15" x14ac:dyDescent="0.25">
      <c r="A6684" t="s">
        <v>262</v>
      </c>
      <c r="B6684" t="s">
        <v>4939</v>
      </c>
      <c r="E6684" s="1517" t="s">
        <v>4430</v>
      </c>
      <c r="F6684" s="1517"/>
      <c r="G6684" s="584" t="s">
        <v>777</v>
      </c>
      <c r="H6684" s="650" t="s">
        <v>4884</v>
      </c>
      <c r="V6684">
        <v>64</v>
      </c>
    </row>
    <row r="6685" spans="1:22" customFormat="1" ht="15" x14ac:dyDescent="0.25">
      <c r="A6685" t="s">
        <v>262</v>
      </c>
      <c r="B6685" t="s">
        <v>4939</v>
      </c>
      <c r="E6685" s="1517" t="s">
        <v>4885</v>
      </c>
      <c r="F6685" s="1517"/>
      <c r="G6685" s="584" t="s">
        <v>777</v>
      </c>
      <c r="H6685" s="650">
        <v>39.14</v>
      </c>
      <c r="V6685">
        <v>51</v>
      </c>
    </row>
    <row r="6686" spans="1:22" customFormat="1" ht="15" x14ac:dyDescent="0.25">
      <c r="A6686" t="s">
        <v>262</v>
      </c>
      <c r="B6686" t="s">
        <v>4939</v>
      </c>
      <c r="E6686" s="1517" t="s">
        <v>4886</v>
      </c>
      <c r="F6686" s="1517"/>
      <c r="G6686" s="584" t="s">
        <v>777</v>
      </c>
      <c r="H6686" s="650">
        <v>245</v>
      </c>
      <c r="V6686">
        <v>77</v>
      </c>
    </row>
    <row r="6687" spans="1:22" customFormat="1" ht="15" x14ac:dyDescent="0.25">
      <c r="A6687" t="s">
        <v>262</v>
      </c>
      <c r="B6687" t="s">
        <v>4939</v>
      </c>
      <c r="E6687" s="1517" t="s">
        <v>4887</v>
      </c>
      <c r="F6687" s="1517"/>
      <c r="G6687" s="584" t="s">
        <v>777</v>
      </c>
      <c r="H6687" s="650">
        <v>475</v>
      </c>
      <c r="V6687">
        <v>77</v>
      </c>
    </row>
    <row r="6688" spans="1:22" customFormat="1" ht="15" x14ac:dyDescent="0.25">
      <c r="A6688" t="s">
        <v>262</v>
      </c>
      <c r="B6688" t="s">
        <v>4939</v>
      </c>
      <c r="E6688" s="1517" t="s">
        <v>4888</v>
      </c>
      <c r="F6688" s="1517"/>
      <c r="G6688" s="584" t="s">
        <v>777</v>
      </c>
      <c r="H6688" s="650">
        <v>595.20000000000005</v>
      </c>
      <c r="V6688">
        <v>66</v>
      </c>
    </row>
    <row r="6689" spans="1:22" customFormat="1" ht="15" x14ac:dyDescent="0.25">
      <c r="A6689" t="s">
        <v>262</v>
      </c>
      <c r="B6689" t="s">
        <v>4939</v>
      </c>
      <c r="E6689" s="1517" t="s">
        <v>4889</v>
      </c>
      <c r="F6689" s="1517"/>
      <c r="G6689" s="584" t="s">
        <v>777</v>
      </c>
      <c r="H6689" s="650">
        <v>2499.29</v>
      </c>
      <c r="V6689">
        <v>19</v>
      </c>
    </row>
    <row r="6690" spans="1:22" customFormat="1" ht="15" x14ac:dyDescent="0.25">
      <c r="A6690" t="s">
        <v>262</v>
      </c>
      <c r="B6690" t="s">
        <v>4939</v>
      </c>
      <c r="E6690" s="1517" t="s">
        <v>4890</v>
      </c>
      <c r="F6690" s="1517"/>
      <c r="G6690" s="584" t="s">
        <v>777</v>
      </c>
      <c r="H6690" s="650">
        <v>3717.21</v>
      </c>
      <c r="V6690">
        <v>15</v>
      </c>
    </row>
    <row r="6691" spans="1:22" customFormat="1" ht="45.75" x14ac:dyDescent="0.25">
      <c r="A6691" t="s">
        <v>262</v>
      </c>
      <c r="B6691" t="s">
        <v>4939</v>
      </c>
      <c r="E6691" s="1517" t="s">
        <v>4891</v>
      </c>
      <c r="F6691" s="1517"/>
      <c r="G6691" s="584" t="s">
        <v>777</v>
      </c>
      <c r="H6691" s="699" t="s">
        <v>6821</v>
      </c>
      <c r="V6691">
        <v>18</v>
      </c>
    </row>
    <row r="6692" spans="1:22" customFormat="1" ht="15" x14ac:dyDescent="0.25">
      <c r="A6692" t="s">
        <v>262</v>
      </c>
      <c r="B6692" t="s">
        <v>4939</v>
      </c>
      <c r="E6692" s="1517" t="s">
        <v>4893</v>
      </c>
      <c r="F6692" s="1517"/>
      <c r="G6692" s="584" t="s">
        <v>777</v>
      </c>
      <c r="H6692" s="650">
        <v>4.42</v>
      </c>
      <c r="V6692">
        <v>31</v>
      </c>
    </row>
    <row r="6693" spans="1:22" customFormat="1" ht="15" x14ac:dyDescent="0.25">
      <c r="A6693" t="s">
        <v>262</v>
      </c>
      <c r="B6693" t="s">
        <v>4939</v>
      </c>
      <c r="E6693" s="1517" t="s">
        <v>4894</v>
      </c>
      <c r="F6693" s="1517"/>
      <c r="G6693" s="584" t="s">
        <v>777</v>
      </c>
      <c r="H6693" s="650">
        <v>3.18</v>
      </c>
      <c r="V6693">
        <v>34</v>
      </c>
    </row>
    <row r="6694" spans="1:22" customFormat="1" ht="15" x14ac:dyDescent="0.25">
      <c r="A6694" t="s">
        <v>262</v>
      </c>
      <c r="B6694" t="s">
        <v>4939</v>
      </c>
      <c r="E6694" s="1517" t="s">
        <v>4895</v>
      </c>
      <c r="F6694" s="1517"/>
      <c r="G6694" s="584" t="s">
        <v>777</v>
      </c>
      <c r="H6694" s="650">
        <v>2.78</v>
      </c>
      <c r="V6694">
        <v>31</v>
      </c>
    </row>
    <row r="6695" spans="1:22" customFormat="1" ht="15" x14ac:dyDescent="0.25">
      <c r="A6695" t="s">
        <v>262</v>
      </c>
      <c r="B6695" t="s">
        <v>4939</v>
      </c>
      <c r="E6695" s="1517" t="s">
        <v>4896</v>
      </c>
      <c r="F6695" s="1517"/>
      <c r="G6695" s="584" t="s">
        <v>777</v>
      </c>
      <c r="H6695" s="650">
        <v>100</v>
      </c>
      <c r="V6695">
        <v>37</v>
      </c>
    </row>
    <row r="6696" spans="1:22" customFormat="1" ht="15" x14ac:dyDescent="0.25">
      <c r="A6696" t="s">
        <v>262</v>
      </c>
      <c r="B6696" t="s">
        <v>4939</v>
      </c>
      <c r="E6696" s="1517" t="s">
        <v>4897</v>
      </c>
      <c r="F6696" s="1517"/>
      <c r="G6696" s="584" t="s">
        <v>777</v>
      </c>
      <c r="H6696" s="650">
        <v>1612.75</v>
      </c>
      <c r="V6696">
        <v>37</v>
      </c>
    </row>
    <row r="6697" spans="1:22" customFormat="1" ht="15" x14ac:dyDescent="0.25">
      <c r="A6697" t="s">
        <v>262</v>
      </c>
      <c r="B6697" t="s">
        <v>4939</v>
      </c>
      <c r="E6697" s="1517" t="s">
        <v>4898</v>
      </c>
      <c r="F6697" s="1517"/>
      <c r="G6697" s="584" t="s">
        <v>777</v>
      </c>
      <c r="H6697" s="650">
        <v>1512.75</v>
      </c>
      <c r="V6697">
        <v>38</v>
      </c>
    </row>
    <row r="6698" spans="1:22" customFormat="1" ht="15" x14ac:dyDescent="0.25">
      <c r="A6698" t="s">
        <v>262</v>
      </c>
      <c r="B6698" t="s">
        <v>4939</v>
      </c>
      <c r="E6698" s="1517" t="s">
        <v>4899</v>
      </c>
      <c r="F6698" s="1517"/>
      <c r="G6698" s="584" t="s">
        <v>777</v>
      </c>
      <c r="H6698" s="650">
        <v>3329.86</v>
      </c>
      <c r="V6698">
        <v>44</v>
      </c>
    </row>
    <row r="6699" spans="1:22" customFormat="1" ht="15" x14ac:dyDescent="0.25">
      <c r="A6699" t="s">
        <v>262</v>
      </c>
      <c r="B6699" t="s">
        <v>4939</v>
      </c>
      <c r="E6699" s="1517" t="s">
        <v>4900</v>
      </c>
      <c r="F6699" s="1517"/>
      <c r="G6699" s="584" t="s">
        <v>777</v>
      </c>
      <c r="H6699" s="650">
        <v>2996.97</v>
      </c>
      <c r="V6699">
        <v>55</v>
      </c>
    </row>
    <row r="6700" spans="1:22" customFormat="1" ht="15" x14ac:dyDescent="0.25">
      <c r="A6700" t="s">
        <v>262</v>
      </c>
      <c r="B6700" t="s">
        <v>4939</v>
      </c>
      <c r="E6700" s="1517" t="s">
        <v>4901</v>
      </c>
      <c r="F6700" s="1517"/>
      <c r="G6700" s="584" t="s">
        <v>777</v>
      </c>
      <c r="H6700" s="650">
        <v>3405.38</v>
      </c>
      <c r="V6700">
        <v>56</v>
      </c>
    </row>
    <row r="6701" spans="1:22" customFormat="1" ht="15" x14ac:dyDescent="0.25">
      <c r="A6701" t="s">
        <v>262</v>
      </c>
      <c r="B6701" t="s">
        <v>4939</v>
      </c>
      <c r="E6701" s="1517" t="s">
        <v>4902</v>
      </c>
      <c r="F6701" s="1517"/>
      <c r="G6701" s="584" t="s">
        <v>777</v>
      </c>
      <c r="H6701" s="650">
        <v>2054.41</v>
      </c>
      <c r="V6701">
        <v>69</v>
      </c>
    </row>
    <row r="6702" spans="1:22" customFormat="1" ht="15" x14ac:dyDescent="0.25">
      <c r="A6702" t="s">
        <v>262</v>
      </c>
      <c r="B6702" t="s">
        <v>4939</v>
      </c>
      <c r="E6702" s="1517" t="s">
        <v>4951</v>
      </c>
      <c r="F6702" s="1517"/>
      <c r="G6702" s="584" t="s">
        <v>777</v>
      </c>
      <c r="H6702" s="650">
        <v>9011.83</v>
      </c>
      <c r="V6702">
        <v>120</v>
      </c>
    </row>
    <row r="6703" spans="1:22" customFormat="1" ht="15" x14ac:dyDescent="0.25">
      <c r="A6703" t="s">
        <v>262</v>
      </c>
      <c r="B6703" t="s">
        <v>4939</v>
      </c>
      <c r="E6703" s="1517" t="s">
        <v>4952</v>
      </c>
      <c r="F6703" s="1517"/>
      <c r="G6703" s="584" t="s">
        <v>777</v>
      </c>
      <c r="H6703" s="650">
        <v>5969.89</v>
      </c>
      <c r="V6703">
        <v>139</v>
      </c>
    </row>
    <row r="6704" spans="1:22" customFormat="1" ht="15" x14ac:dyDescent="0.25">
      <c r="A6704" t="s">
        <v>262</v>
      </c>
      <c r="B6704" t="s">
        <v>4939</v>
      </c>
      <c r="E6704" s="1517" t="s">
        <v>4905</v>
      </c>
      <c r="F6704" s="1517"/>
      <c r="G6704" s="1"/>
      <c r="H6704" s="650" t="s">
        <v>4906</v>
      </c>
      <c r="V6704">
        <v>47</v>
      </c>
    </row>
    <row r="6705" spans="1:22" customFormat="1" ht="15" x14ac:dyDescent="0.25">
      <c r="A6705" t="s">
        <v>262</v>
      </c>
      <c r="B6705" t="s">
        <v>4939</v>
      </c>
      <c r="E6705" s="1517" t="s">
        <v>4907</v>
      </c>
      <c r="F6705" s="1517"/>
      <c r="G6705" s="584"/>
      <c r="H6705" s="650" t="s">
        <v>4906</v>
      </c>
      <c r="V6705">
        <v>54</v>
      </c>
    </row>
    <row r="6706" spans="1:22" customFormat="1" ht="15" x14ac:dyDescent="0.25">
      <c r="A6706" t="s">
        <v>262</v>
      </c>
      <c r="B6706" t="s">
        <v>4939</v>
      </c>
      <c r="E6706" s="1517" t="s">
        <v>4908</v>
      </c>
      <c r="F6706" s="1517"/>
      <c r="G6706" s="584" t="s">
        <v>777</v>
      </c>
      <c r="H6706" s="650">
        <v>2.04</v>
      </c>
      <c r="V6706">
        <v>66</v>
      </c>
    </row>
    <row r="6707" spans="1:22" customFormat="1" ht="15" x14ac:dyDescent="0.25">
      <c r="A6707" t="s">
        <v>262</v>
      </c>
      <c r="B6707" t="s">
        <v>4939</v>
      </c>
      <c r="E6707" s="1517" t="s">
        <v>4909</v>
      </c>
      <c r="F6707" s="1517"/>
      <c r="G6707" s="584" t="s">
        <v>777</v>
      </c>
      <c r="H6707" s="650">
        <v>10</v>
      </c>
      <c r="V6707">
        <v>29</v>
      </c>
    </row>
    <row r="6708" spans="1:22" customFormat="1" ht="15" x14ac:dyDescent="0.25">
      <c r="A6708" t="s">
        <v>262</v>
      </c>
      <c r="B6708" t="s">
        <v>4939</v>
      </c>
      <c r="E6708" s="1517" t="s">
        <v>4910</v>
      </c>
      <c r="F6708" s="1517"/>
      <c r="G6708" s="584" t="s">
        <v>777</v>
      </c>
      <c r="H6708" s="650">
        <v>7</v>
      </c>
      <c r="V6708">
        <v>34</v>
      </c>
    </row>
    <row r="6709" spans="1:22" customFormat="1" ht="15" x14ac:dyDescent="0.25">
      <c r="A6709" t="s">
        <v>262</v>
      </c>
      <c r="B6709" t="s">
        <v>4939</v>
      </c>
      <c r="E6709" s="1517" t="s">
        <v>4911</v>
      </c>
      <c r="F6709" s="1517"/>
      <c r="G6709" s="360"/>
      <c r="H6709" s="650"/>
      <c r="V6709">
        <v>77</v>
      </c>
    </row>
    <row r="6710" spans="1:22" customFormat="1" ht="15" x14ac:dyDescent="0.25">
      <c r="A6710" t="s">
        <v>262</v>
      </c>
      <c r="B6710" t="s">
        <v>4939</v>
      </c>
      <c r="E6710" s="1517" t="s">
        <v>4912</v>
      </c>
      <c r="F6710" s="1517"/>
      <c r="G6710" s="584" t="s">
        <v>745</v>
      </c>
      <c r="H6710" s="650"/>
      <c r="V6710">
        <v>64</v>
      </c>
    </row>
    <row r="6711" spans="1:22" customFormat="1" ht="15" x14ac:dyDescent="0.25">
      <c r="A6711" t="s">
        <v>262</v>
      </c>
      <c r="B6711" t="s">
        <v>4939</v>
      </c>
      <c r="E6711" s="1517" t="s">
        <v>4913</v>
      </c>
      <c r="F6711" s="1517"/>
      <c r="G6711" s="584" t="s">
        <v>777</v>
      </c>
      <c r="H6711" s="650">
        <v>90.598565881937631</v>
      </c>
      <c r="V6711">
        <v>31</v>
      </c>
    </row>
    <row r="6712" spans="1:22" customFormat="1" ht="15" x14ac:dyDescent="0.25">
      <c r="A6712" t="s">
        <v>262</v>
      </c>
      <c r="B6712" t="s">
        <v>4939</v>
      </c>
      <c r="E6712" s="1517" t="s">
        <v>4914</v>
      </c>
      <c r="F6712" s="1517"/>
      <c r="G6712" s="584" t="s">
        <v>777</v>
      </c>
      <c r="H6712" s="650">
        <v>108.71827905832514</v>
      </c>
      <c r="V6712">
        <v>31</v>
      </c>
    </row>
    <row r="6713" spans="1:22" customFormat="1" ht="15" x14ac:dyDescent="0.25">
      <c r="A6713" t="s">
        <v>262</v>
      </c>
      <c r="B6713" t="s">
        <v>4939</v>
      </c>
      <c r="E6713" s="1517" t="s">
        <v>4915</v>
      </c>
      <c r="F6713" s="1517"/>
      <c r="G6713" s="584" t="s">
        <v>777</v>
      </c>
      <c r="H6713" s="650">
        <v>120.79808784258351</v>
      </c>
      <c r="V6713">
        <v>31</v>
      </c>
    </row>
    <row r="6714" spans="1:22" customFormat="1" ht="15" x14ac:dyDescent="0.25">
      <c r="A6714" t="s">
        <v>262</v>
      </c>
      <c r="B6714" t="s">
        <v>4939</v>
      </c>
      <c r="E6714" s="1517" t="s">
        <v>4916</v>
      </c>
      <c r="F6714" s="1517"/>
      <c r="G6714" s="584" t="s">
        <v>777</v>
      </c>
      <c r="H6714" s="650">
        <v>129.42652268848232</v>
      </c>
      <c r="V6714">
        <v>31</v>
      </c>
    </row>
    <row r="6715" spans="1:22" customFormat="1" ht="15" x14ac:dyDescent="0.25">
      <c r="A6715" t="s">
        <v>262</v>
      </c>
      <c r="B6715" t="s">
        <v>4939</v>
      </c>
      <c r="E6715" s="1517" t="s">
        <v>4917</v>
      </c>
      <c r="F6715" s="1517"/>
      <c r="G6715" s="584" t="s">
        <v>777</v>
      </c>
      <c r="H6715" s="650">
        <v>135.89784882290644</v>
      </c>
      <c r="V6715">
        <v>31</v>
      </c>
    </row>
    <row r="6716" spans="1:22" customFormat="1" ht="15" x14ac:dyDescent="0.25">
      <c r="A6716" t="s">
        <v>262</v>
      </c>
      <c r="B6716" t="s">
        <v>4939</v>
      </c>
      <c r="E6716" s="1517" t="s">
        <v>4918</v>
      </c>
      <c r="F6716" s="1517"/>
      <c r="G6716" s="584" t="s">
        <v>777</v>
      </c>
      <c r="H6716" s="650">
        <v>140.93110248301412</v>
      </c>
      <c r="V6716">
        <v>31</v>
      </c>
    </row>
    <row r="6717" spans="1:22" customFormat="1" ht="15" x14ac:dyDescent="0.25">
      <c r="A6717" t="s">
        <v>262</v>
      </c>
      <c r="B6717" t="s">
        <v>4939</v>
      </c>
      <c r="E6717" s="1517" t="s">
        <v>4919</v>
      </c>
      <c r="F6717" s="1517"/>
      <c r="G6717" s="584" t="s">
        <v>777</v>
      </c>
      <c r="H6717" s="650">
        <v>144.95770541110022</v>
      </c>
      <c r="V6717">
        <v>31</v>
      </c>
    </row>
    <row r="6718" spans="1:22" customFormat="1" ht="15" x14ac:dyDescent="0.25">
      <c r="A6718" t="s">
        <v>262</v>
      </c>
      <c r="B6718" t="s">
        <v>4939</v>
      </c>
      <c r="E6718" s="1517" t="s">
        <v>4920</v>
      </c>
      <c r="F6718" s="1517"/>
      <c r="G6718" s="584" t="s">
        <v>777</v>
      </c>
      <c r="H6718" s="650">
        <v>148.25219871589795</v>
      </c>
      <c r="V6718">
        <v>31</v>
      </c>
    </row>
    <row r="6719" spans="1:22" customFormat="1" ht="15" x14ac:dyDescent="0.25">
      <c r="A6719" t="s">
        <v>262</v>
      </c>
      <c r="B6719" t="s">
        <v>4939</v>
      </c>
      <c r="E6719" s="1517" t="s">
        <v>4921</v>
      </c>
      <c r="F6719" s="1517"/>
      <c r="G6719" s="584" t="s">
        <v>777</v>
      </c>
      <c r="H6719" s="650">
        <v>150.99760980322941</v>
      </c>
      <c r="V6719">
        <v>31</v>
      </c>
    </row>
    <row r="6720" spans="1:22" customFormat="1" ht="15" x14ac:dyDescent="0.25">
      <c r="A6720" t="s">
        <v>262</v>
      </c>
      <c r="B6720" t="s">
        <v>4939</v>
      </c>
      <c r="E6720" s="1517" t="s">
        <v>4922</v>
      </c>
      <c r="F6720" s="1517"/>
      <c r="G6720" s="584" t="s">
        <v>777</v>
      </c>
      <c r="H6720" s="650">
        <v>153.32064995404829</v>
      </c>
      <c r="V6720">
        <v>31</v>
      </c>
    </row>
    <row r="6721" spans="1:22" customFormat="1" ht="15" x14ac:dyDescent="0.25">
      <c r="A6721" t="s">
        <v>262</v>
      </c>
      <c r="B6721" t="s">
        <v>4939</v>
      </c>
      <c r="E6721" s="1517" t="s">
        <v>4923</v>
      </c>
      <c r="F6721" s="1517"/>
      <c r="G6721" s="584" t="s">
        <v>777</v>
      </c>
      <c r="H6721" s="650">
        <v>155.31182722617879</v>
      </c>
      <c r="V6721">
        <v>31</v>
      </c>
    </row>
    <row r="6722" spans="1:22" customFormat="1" ht="15" x14ac:dyDescent="0.25">
      <c r="A6722" t="s">
        <v>262</v>
      </c>
      <c r="B6722" t="s">
        <v>4939</v>
      </c>
      <c r="E6722" s="1517" t="s">
        <v>4924</v>
      </c>
      <c r="F6722" s="1517"/>
      <c r="G6722" s="584"/>
      <c r="H6722" s="650"/>
      <c r="V6722">
        <v>69</v>
      </c>
    </row>
    <row r="6723" spans="1:22" customFormat="1" ht="15" x14ac:dyDescent="0.25">
      <c r="A6723" t="s">
        <v>262</v>
      </c>
      <c r="B6723" t="s">
        <v>4939</v>
      </c>
      <c r="E6723" s="1517" t="s">
        <v>4925</v>
      </c>
      <c r="F6723" s="1517"/>
      <c r="G6723" s="584" t="s">
        <v>777</v>
      </c>
      <c r="H6723" s="650">
        <v>90.6</v>
      </c>
      <c r="V6723">
        <v>38</v>
      </c>
    </row>
    <row r="6724" spans="1:22" customFormat="1" ht="15" x14ac:dyDescent="0.25">
      <c r="A6724" t="s">
        <v>262</v>
      </c>
      <c r="B6724" t="s">
        <v>4939</v>
      </c>
      <c r="E6724" s="1517" t="s">
        <v>4926</v>
      </c>
      <c r="F6724" s="1517"/>
      <c r="G6724" s="584" t="s">
        <v>777</v>
      </c>
      <c r="H6724" s="650">
        <v>108.72</v>
      </c>
      <c r="V6724">
        <v>38</v>
      </c>
    </row>
    <row r="6725" spans="1:22" customFormat="1" ht="15" x14ac:dyDescent="0.25">
      <c r="A6725" t="s">
        <v>262</v>
      </c>
      <c r="B6725" t="s">
        <v>4939</v>
      </c>
      <c r="E6725" s="1517" t="s">
        <v>4927</v>
      </c>
      <c r="F6725" s="1517"/>
      <c r="G6725" s="584" t="s">
        <v>777</v>
      </c>
      <c r="H6725" s="650">
        <v>120.8</v>
      </c>
      <c r="V6725">
        <v>38</v>
      </c>
    </row>
    <row r="6726" spans="1:22" customFormat="1" ht="15" x14ac:dyDescent="0.25">
      <c r="A6726" t="s">
        <v>262</v>
      </c>
      <c r="B6726" t="s">
        <v>4939</v>
      </c>
      <c r="E6726" s="1517" t="s">
        <v>4928</v>
      </c>
      <c r="F6726" s="1517"/>
      <c r="G6726" s="584" t="s">
        <v>777</v>
      </c>
      <c r="H6726" s="650">
        <v>129.42652268848232</v>
      </c>
      <c r="V6726">
        <v>38</v>
      </c>
    </row>
    <row r="6727" spans="1:22" customFormat="1" ht="15" x14ac:dyDescent="0.25">
      <c r="A6727" t="s">
        <v>262</v>
      </c>
      <c r="B6727" t="s">
        <v>4939</v>
      </c>
      <c r="E6727" s="1517" t="s">
        <v>4929</v>
      </c>
      <c r="F6727" s="1517"/>
      <c r="G6727" s="584" t="s">
        <v>777</v>
      </c>
      <c r="H6727" s="650">
        <v>135.89784882290644</v>
      </c>
      <c r="V6727">
        <v>38</v>
      </c>
    </row>
    <row r="6728" spans="1:22" customFormat="1" ht="15" x14ac:dyDescent="0.25">
      <c r="A6728" t="s">
        <v>262</v>
      </c>
      <c r="B6728" t="s">
        <v>4939</v>
      </c>
      <c r="E6728" s="1517" t="s">
        <v>4930</v>
      </c>
      <c r="F6728" s="1517"/>
      <c r="G6728" s="584" t="s">
        <v>777</v>
      </c>
      <c r="H6728" s="650">
        <v>140.93110248301412</v>
      </c>
      <c r="V6728">
        <v>38</v>
      </c>
    </row>
    <row r="6729" spans="1:22" customFormat="1" ht="15" x14ac:dyDescent="0.25">
      <c r="A6729" t="s">
        <v>262</v>
      </c>
      <c r="B6729" t="s">
        <v>4939</v>
      </c>
      <c r="E6729" s="1517" t="s">
        <v>4931</v>
      </c>
      <c r="F6729" s="1517"/>
      <c r="G6729" s="584" t="s">
        <v>777</v>
      </c>
      <c r="H6729" s="650">
        <v>144.96</v>
      </c>
      <c r="V6729">
        <v>38</v>
      </c>
    </row>
    <row r="6730" spans="1:22" customFormat="1" ht="15" x14ac:dyDescent="0.25">
      <c r="A6730" t="s">
        <v>262</v>
      </c>
      <c r="B6730" t="s">
        <v>4939</v>
      </c>
      <c r="E6730" s="1517" t="s">
        <v>4932</v>
      </c>
      <c r="F6730" s="1517"/>
      <c r="G6730" s="584" t="s">
        <v>777</v>
      </c>
      <c r="H6730" s="650">
        <v>148.25219871589795</v>
      </c>
      <c r="V6730">
        <v>38</v>
      </c>
    </row>
    <row r="6731" spans="1:22" customFormat="1" ht="15" x14ac:dyDescent="0.25">
      <c r="A6731" t="s">
        <v>262</v>
      </c>
      <c r="B6731" t="s">
        <v>4939</v>
      </c>
      <c r="E6731" s="1517" t="s">
        <v>4933</v>
      </c>
      <c r="F6731" s="1517"/>
      <c r="G6731" s="584" t="s">
        <v>777</v>
      </c>
      <c r="H6731" s="650">
        <v>150.99760980322941</v>
      </c>
      <c r="V6731">
        <v>38</v>
      </c>
    </row>
    <row r="6732" spans="1:22" customFormat="1" ht="15" x14ac:dyDescent="0.25">
      <c r="A6732" t="s">
        <v>262</v>
      </c>
      <c r="B6732" t="s">
        <v>4939</v>
      </c>
      <c r="E6732" s="1517" t="s">
        <v>4934</v>
      </c>
      <c r="F6732" s="1517"/>
      <c r="G6732" s="584" t="s">
        <v>777</v>
      </c>
      <c r="H6732" s="650">
        <v>153.32064995404829</v>
      </c>
      <c r="V6732">
        <v>38</v>
      </c>
    </row>
    <row r="6733" spans="1:22" customFormat="1" ht="15" x14ac:dyDescent="0.25">
      <c r="A6733" t="s">
        <v>262</v>
      </c>
      <c r="B6733" t="s">
        <v>4939</v>
      </c>
      <c r="E6733" s="1517" t="s">
        <v>4935</v>
      </c>
      <c r="F6733" s="1517"/>
      <c r="G6733" s="584" t="s">
        <v>777</v>
      </c>
      <c r="H6733" s="650">
        <v>155.31182722617879</v>
      </c>
      <c r="V6733">
        <v>38</v>
      </c>
    </row>
    <row r="6734" spans="1:22" customFormat="1" x14ac:dyDescent="0.25">
      <c r="A6734" t="s">
        <v>262</v>
      </c>
      <c r="B6734" t="s">
        <v>4939</v>
      </c>
      <c r="E6734" s="1492" t="s">
        <v>3851</v>
      </c>
      <c r="F6734" s="1492"/>
      <c r="G6734" s="1492"/>
      <c r="H6734" s="1492"/>
      <c r="K6734" t="s">
        <v>4936</v>
      </c>
      <c r="V6734">
        <v>38</v>
      </c>
    </row>
    <row r="6735" spans="1:22" customFormat="1" ht="15" x14ac:dyDescent="0.25">
      <c r="A6735" t="s">
        <v>262</v>
      </c>
      <c r="B6735" t="s">
        <v>4939</v>
      </c>
      <c r="E6735" s="1516" t="s">
        <v>951</v>
      </c>
      <c r="F6735" s="1516"/>
      <c r="G6735" s="1516"/>
      <c r="H6735" s="1516"/>
      <c r="V6735">
        <v>280</v>
      </c>
    </row>
    <row r="6736" spans="1:22" customFormat="1" ht="15" x14ac:dyDescent="0.25">
      <c r="A6736" t="s">
        <v>262</v>
      </c>
      <c r="B6736" t="s">
        <v>4939</v>
      </c>
      <c r="E6736" s="1516" t="s">
        <v>952</v>
      </c>
      <c r="F6736" s="1516"/>
      <c r="G6736" s="1516"/>
      <c r="H6736" s="1516"/>
      <c r="V6736">
        <v>411</v>
      </c>
    </row>
    <row r="6737" spans="1:22" customFormat="1" ht="15" x14ac:dyDescent="0.25">
      <c r="A6737" t="s">
        <v>262</v>
      </c>
      <c r="B6737" t="s">
        <v>4939</v>
      </c>
      <c r="E6737" s="1516" t="s">
        <v>1103</v>
      </c>
      <c r="F6737" s="1516"/>
      <c r="G6737" s="1516"/>
      <c r="H6737" s="1516"/>
      <c r="V6737">
        <v>211</v>
      </c>
    </row>
    <row r="6738" spans="1:22" customFormat="1" ht="15" x14ac:dyDescent="0.25">
      <c r="A6738" t="s">
        <v>262</v>
      </c>
      <c r="B6738" t="s">
        <v>4939</v>
      </c>
      <c r="E6738" s="1516" t="s">
        <v>3762</v>
      </c>
      <c r="F6738" s="1516"/>
      <c r="G6738" s="1516"/>
      <c r="H6738" s="1516"/>
      <c r="V6738">
        <v>247</v>
      </c>
    </row>
    <row r="6739" spans="1:22" customFormat="1" ht="15" x14ac:dyDescent="0.25">
      <c r="A6739" t="s">
        <v>262</v>
      </c>
      <c r="B6739" t="s">
        <v>4939</v>
      </c>
      <c r="E6739" s="1516" t="s">
        <v>1104</v>
      </c>
      <c r="F6739" s="1516"/>
      <c r="G6739" s="1516"/>
      <c r="H6739" s="1516"/>
      <c r="V6739">
        <v>142</v>
      </c>
    </row>
    <row r="6740" spans="1:22" customFormat="1" ht="15" x14ac:dyDescent="0.25">
      <c r="A6740" t="s">
        <v>262</v>
      </c>
      <c r="B6740" t="s">
        <v>4939</v>
      </c>
      <c r="E6740" s="1507" t="s">
        <v>849</v>
      </c>
      <c r="F6740" s="1507"/>
      <c r="G6740" s="319" t="s">
        <v>777</v>
      </c>
      <c r="H6740" s="651">
        <v>121.23</v>
      </c>
      <c r="V6740">
        <v>106</v>
      </c>
    </row>
    <row r="6741" spans="1:22" customFormat="1" ht="15" x14ac:dyDescent="0.25">
      <c r="A6741" t="s">
        <v>262</v>
      </c>
      <c r="B6741" t="s">
        <v>4939</v>
      </c>
      <c r="E6741" s="1507" t="s">
        <v>850</v>
      </c>
      <c r="F6741" s="1507"/>
      <c r="G6741" s="319" t="s">
        <v>777</v>
      </c>
      <c r="H6741" s="651">
        <v>48.5</v>
      </c>
      <c r="V6741">
        <v>34</v>
      </c>
    </row>
    <row r="6742" spans="1:22" customFormat="1" ht="15" x14ac:dyDescent="0.25">
      <c r="A6742" t="s">
        <v>262</v>
      </c>
      <c r="B6742" t="s">
        <v>4939</v>
      </c>
      <c r="E6742" s="1507" t="s">
        <v>851</v>
      </c>
      <c r="F6742" s="1507"/>
      <c r="G6742" s="319" t="s">
        <v>852</v>
      </c>
      <c r="H6742" s="651">
        <v>1.2</v>
      </c>
      <c r="V6742">
        <v>51</v>
      </c>
    </row>
    <row r="6743" spans="1:22" customFormat="1" ht="15" x14ac:dyDescent="0.25">
      <c r="A6743" t="s">
        <v>262</v>
      </c>
      <c r="B6743" t="s">
        <v>4939</v>
      </c>
      <c r="E6743" s="1507" t="s">
        <v>853</v>
      </c>
      <c r="F6743" s="1507"/>
      <c r="G6743" s="319" t="s">
        <v>852</v>
      </c>
      <c r="H6743" s="651">
        <v>0.71</v>
      </c>
      <c r="V6743">
        <v>75</v>
      </c>
    </row>
    <row r="6744" spans="1:22" customFormat="1" ht="15" x14ac:dyDescent="0.25">
      <c r="A6744" t="s">
        <v>262</v>
      </c>
      <c r="B6744" t="s">
        <v>4939</v>
      </c>
      <c r="E6744" s="1507" t="s">
        <v>854</v>
      </c>
      <c r="F6744" s="1507"/>
      <c r="G6744" s="319" t="s">
        <v>852</v>
      </c>
      <c r="H6744" s="651">
        <v>-0.71</v>
      </c>
      <c r="V6744">
        <v>72</v>
      </c>
    </row>
    <row r="6745" spans="1:22" customFormat="1" ht="15" x14ac:dyDescent="0.25">
      <c r="A6745" t="s">
        <v>262</v>
      </c>
      <c r="B6745" t="s">
        <v>4939</v>
      </c>
      <c r="E6745" s="1507" t="s">
        <v>855</v>
      </c>
      <c r="F6745" s="1507"/>
      <c r="G6745" s="319"/>
      <c r="H6745" s="651"/>
      <c r="V6745">
        <v>34</v>
      </c>
    </row>
    <row r="6746" spans="1:22" customFormat="1" ht="15" x14ac:dyDescent="0.25">
      <c r="A6746" t="s">
        <v>262</v>
      </c>
      <c r="B6746" t="s">
        <v>4939</v>
      </c>
      <c r="E6746" s="1511" t="s">
        <v>1106</v>
      </c>
      <c r="F6746" s="1511"/>
      <c r="G6746" s="319" t="s">
        <v>777</v>
      </c>
      <c r="H6746" s="651">
        <v>0.61</v>
      </c>
      <c r="V6746">
        <v>57</v>
      </c>
    </row>
    <row r="6747" spans="1:22" customFormat="1" ht="15" x14ac:dyDescent="0.25">
      <c r="A6747" t="s">
        <v>262</v>
      </c>
      <c r="B6747" t="s">
        <v>4939</v>
      </c>
      <c r="E6747" s="1511" t="s">
        <v>1107</v>
      </c>
      <c r="F6747" s="1511"/>
      <c r="G6747" s="319" t="s">
        <v>777</v>
      </c>
      <c r="H6747" s="651">
        <v>1.2</v>
      </c>
      <c r="V6747">
        <v>60</v>
      </c>
    </row>
    <row r="6748" spans="1:22" customFormat="1" ht="15" x14ac:dyDescent="0.25">
      <c r="A6748" t="s">
        <v>262</v>
      </c>
      <c r="B6748" t="s">
        <v>4939</v>
      </c>
      <c r="E6748" s="1507" t="s">
        <v>1108</v>
      </c>
      <c r="F6748" s="1507"/>
      <c r="G6748" s="319"/>
      <c r="H6748" s="651"/>
      <c r="V6748">
        <v>91</v>
      </c>
    </row>
    <row r="6749" spans="1:22" customFormat="1" ht="15" x14ac:dyDescent="0.25">
      <c r="A6749" t="s">
        <v>262</v>
      </c>
      <c r="B6749" t="s">
        <v>4939</v>
      </c>
      <c r="E6749" s="1507" t="s">
        <v>1109</v>
      </c>
      <c r="F6749" s="1507"/>
      <c r="G6749" s="319"/>
      <c r="H6749" s="651"/>
      <c r="V6749">
        <v>96</v>
      </c>
    </row>
    <row r="6750" spans="1:22" customFormat="1" ht="15" x14ac:dyDescent="0.25">
      <c r="A6750" t="s">
        <v>262</v>
      </c>
      <c r="B6750" t="s">
        <v>4939</v>
      </c>
      <c r="E6750" s="1507" t="s">
        <v>856</v>
      </c>
      <c r="F6750" s="1507"/>
      <c r="G6750" s="319"/>
      <c r="H6750" s="651"/>
      <c r="V6750">
        <v>77</v>
      </c>
    </row>
    <row r="6751" spans="1:22" customFormat="1" ht="15" x14ac:dyDescent="0.25">
      <c r="A6751" t="s">
        <v>262</v>
      </c>
      <c r="B6751" t="s">
        <v>4939</v>
      </c>
      <c r="E6751" s="1511" t="s">
        <v>1111</v>
      </c>
      <c r="F6751" s="1511"/>
      <c r="G6751" s="319" t="s">
        <v>777</v>
      </c>
      <c r="H6751" s="651" t="s">
        <v>857</v>
      </c>
      <c r="V6751">
        <v>18</v>
      </c>
    </row>
    <row r="6752" spans="1:22" customFormat="1" ht="15" x14ac:dyDescent="0.25">
      <c r="A6752" t="s">
        <v>262</v>
      </c>
      <c r="B6752" t="s">
        <v>4939</v>
      </c>
      <c r="E6752" s="1511" t="s">
        <v>1112</v>
      </c>
      <c r="F6752" s="1511"/>
      <c r="G6752" s="319" t="s">
        <v>777</v>
      </c>
      <c r="H6752" s="651">
        <v>4.8499999999999996</v>
      </c>
      <c r="V6752">
        <v>69</v>
      </c>
    </row>
    <row r="6753" spans="1:22" customFormat="1" ht="15" x14ac:dyDescent="0.25">
      <c r="A6753" t="s">
        <v>262</v>
      </c>
      <c r="B6753" t="s">
        <v>4939</v>
      </c>
      <c r="E6753" s="1507" t="s">
        <v>4953</v>
      </c>
      <c r="F6753" s="1507"/>
      <c r="G6753" s="319" t="s">
        <v>777</v>
      </c>
      <c r="H6753" s="651">
        <v>2.42</v>
      </c>
      <c r="V6753">
        <v>199</v>
      </c>
    </row>
    <row r="6754" spans="1:22" customFormat="1" ht="18.75" x14ac:dyDescent="0.25">
      <c r="A6754" t="s">
        <v>262</v>
      </c>
      <c r="B6754" t="s">
        <v>4939</v>
      </c>
      <c r="E6754" s="836" t="s">
        <v>3853</v>
      </c>
      <c r="F6754" s="385"/>
      <c r="G6754" s="385"/>
      <c r="H6754" s="655"/>
      <c r="K6754" t="s">
        <v>4937</v>
      </c>
      <c r="V6754">
        <v>12</v>
      </c>
    </row>
    <row r="6755" spans="1:22" customFormat="1" ht="15" x14ac:dyDescent="0.25">
      <c r="A6755" t="s">
        <v>262</v>
      </c>
      <c r="B6755" t="s">
        <v>4939</v>
      </c>
      <c r="E6755" s="1507" t="s">
        <v>1114</v>
      </c>
      <c r="F6755" s="1507"/>
      <c r="G6755" s="1507"/>
      <c r="H6755" s="1507"/>
      <c r="V6755">
        <v>203</v>
      </c>
    </row>
    <row r="6756" spans="1:22" customFormat="1" ht="15" x14ac:dyDescent="0.25">
      <c r="A6756" t="s">
        <v>262</v>
      </c>
      <c r="B6756" t="s">
        <v>4939</v>
      </c>
      <c r="E6756" s="1507" t="s">
        <v>1115</v>
      </c>
      <c r="F6756" s="1507"/>
      <c r="G6756" s="584"/>
      <c r="H6756" s="650">
        <v>1.0548</v>
      </c>
      <c r="V6756">
        <v>57</v>
      </c>
    </row>
    <row r="6757" spans="1:22" customFormat="1" ht="15" x14ac:dyDescent="0.25">
      <c r="A6757" t="s">
        <v>262</v>
      </c>
      <c r="B6757" t="s">
        <v>4939</v>
      </c>
      <c r="E6757" s="1507" t="s">
        <v>4072</v>
      </c>
      <c r="F6757" s="1507"/>
      <c r="G6757" s="584"/>
      <c r="H6757" s="650">
        <v>1.0172000000000001</v>
      </c>
      <c r="V6757">
        <v>57</v>
      </c>
    </row>
    <row r="6758" spans="1:22" customFormat="1" ht="15" x14ac:dyDescent="0.25">
      <c r="A6758" t="s">
        <v>262</v>
      </c>
      <c r="B6758" t="s">
        <v>4939</v>
      </c>
      <c r="E6758" s="1507" t="s">
        <v>1117</v>
      </c>
      <c r="F6758" s="1507"/>
      <c r="G6758" s="584"/>
      <c r="H6758" s="650">
        <v>1.0443</v>
      </c>
      <c r="V6758">
        <v>55</v>
      </c>
    </row>
    <row r="6759" spans="1:22" customFormat="1" ht="15" x14ac:dyDescent="0.25">
      <c r="A6759" t="s">
        <v>262</v>
      </c>
      <c r="B6759" t="s">
        <v>4939</v>
      </c>
      <c r="E6759" s="1507" t="s">
        <v>4073</v>
      </c>
      <c r="F6759" s="1507"/>
      <c r="G6759" s="584"/>
      <c r="H6759" s="650">
        <v>1.0069999999999999</v>
      </c>
      <c r="J6759" t="s">
        <v>6822</v>
      </c>
      <c r="V6759">
        <v>55</v>
      </c>
    </row>
    <row r="6760" spans="1:22" customFormat="1" ht="23.25" x14ac:dyDescent="0.25">
      <c r="A6760" t="s">
        <v>171</v>
      </c>
      <c r="C6760" t="s">
        <v>3755</v>
      </c>
      <c r="E6760" s="1550" t="s">
        <v>171</v>
      </c>
      <c r="F6760" s="1550"/>
      <c r="G6760" s="1550"/>
      <c r="H6760" s="1550"/>
      <c r="I6760" t="s">
        <v>94</v>
      </c>
      <c r="J6760" t="s">
        <v>4362</v>
      </c>
      <c r="K6760" t="s">
        <v>171</v>
      </c>
      <c r="M6760">
        <v>5</v>
      </c>
      <c r="V6760">
        <v>17</v>
      </c>
    </row>
    <row r="6761" spans="1:22" customFormat="1" x14ac:dyDescent="0.25">
      <c r="A6761" t="s">
        <v>171</v>
      </c>
      <c r="C6761" t="s">
        <v>3757</v>
      </c>
      <c r="E6761" s="1551" t="s">
        <v>944</v>
      </c>
      <c r="F6761" s="1551"/>
      <c r="G6761" s="1551"/>
      <c r="H6761" s="1551"/>
      <c r="V6761">
        <v>27</v>
      </c>
    </row>
    <row r="6762" spans="1:22" customFormat="1" ht="15.75" x14ac:dyDescent="0.25">
      <c r="A6762" t="s">
        <v>171</v>
      </c>
      <c r="C6762" t="s">
        <v>3758</v>
      </c>
      <c r="E6762" s="1543" t="s">
        <v>6511</v>
      </c>
      <c r="F6762" s="1543"/>
      <c r="G6762" s="1543"/>
      <c r="H6762" s="1543"/>
      <c r="S6762">
        <v>45658</v>
      </c>
      <c r="V6762">
        <v>49</v>
      </c>
    </row>
    <row r="6763" spans="1:22" customFormat="1" ht="15" x14ac:dyDescent="0.25">
      <c r="A6763" t="s">
        <v>171</v>
      </c>
      <c r="C6763" t="s">
        <v>3759</v>
      </c>
      <c r="E6763" s="1544" t="s">
        <v>945</v>
      </c>
      <c r="F6763" s="1544"/>
      <c r="G6763" s="1544"/>
      <c r="H6763" s="1544"/>
      <c r="V6763">
        <v>52</v>
      </c>
    </row>
    <row r="6764" spans="1:22" customFormat="1" ht="15" x14ac:dyDescent="0.25">
      <c r="A6764" t="s">
        <v>171</v>
      </c>
      <c r="E6764" s="1544" t="s">
        <v>946</v>
      </c>
      <c r="F6764" s="1544"/>
      <c r="G6764" s="1544"/>
      <c r="H6764" s="1544"/>
      <c r="V6764">
        <v>53</v>
      </c>
    </row>
    <row r="6765" spans="1:22" customFormat="1" ht="15" x14ac:dyDescent="0.25">
      <c r="A6765" t="s">
        <v>171</v>
      </c>
      <c r="E6765" s="1514" t="s">
        <v>6823</v>
      </c>
      <c r="F6765" s="1514"/>
      <c r="G6765" s="1514"/>
      <c r="H6765" s="1514"/>
      <c r="K6765" t="s">
        <v>6823</v>
      </c>
      <c r="V6765">
        <v>12</v>
      </c>
    </row>
    <row r="6766" spans="1:22" customFormat="1" ht="15" x14ac:dyDescent="0.25">
      <c r="A6766" t="s">
        <v>171</v>
      </c>
      <c r="E6766" s="1538" t="s">
        <v>4363</v>
      </c>
      <c r="F6766" s="1537"/>
      <c r="G6766" s="1537"/>
      <c r="H6766" s="1537"/>
      <c r="K6766" t="s">
        <v>4364</v>
      </c>
      <c r="V6766">
        <v>37</v>
      </c>
    </row>
    <row r="6767" spans="1:22" customFormat="1" ht="15" x14ac:dyDescent="0.25">
      <c r="A6767" t="s">
        <v>171</v>
      </c>
      <c r="E6767" s="1531" t="s">
        <v>4365</v>
      </c>
      <c r="F6767" s="1531"/>
      <c r="G6767" s="1531"/>
      <c r="H6767" s="1531"/>
      <c r="K6767" t="s">
        <v>4364</v>
      </c>
      <c r="V6767">
        <v>592</v>
      </c>
    </row>
    <row r="6768" spans="1:22" customFormat="1" ht="15" x14ac:dyDescent="0.25">
      <c r="A6768" t="s">
        <v>171</v>
      </c>
      <c r="E6768" s="1531" t="s">
        <v>4366</v>
      </c>
      <c r="F6768" s="1516"/>
      <c r="G6768" s="1516"/>
      <c r="H6768" s="1516"/>
      <c r="K6768" t="s">
        <v>4364</v>
      </c>
      <c r="V6768">
        <v>310</v>
      </c>
    </row>
    <row r="6769" spans="1:22" customFormat="1" ht="15" x14ac:dyDescent="0.25">
      <c r="A6769" t="s">
        <v>171</v>
      </c>
      <c r="E6769" s="1562" t="s">
        <v>950</v>
      </c>
      <c r="F6769" s="1530"/>
      <c r="G6769" s="1530"/>
      <c r="H6769" s="1530"/>
      <c r="K6769" t="s">
        <v>949</v>
      </c>
      <c r="V6769">
        <v>11</v>
      </c>
    </row>
    <row r="6770" spans="1:22" customFormat="1" ht="15" x14ac:dyDescent="0.25">
      <c r="A6770" t="s">
        <v>171</v>
      </c>
      <c r="E6770" s="1531" t="s">
        <v>951</v>
      </c>
      <c r="F6770" s="1531"/>
      <c r="G6770" s="1531"/>
      <c r="H6770" s="1531"/>
      <c r="K6770" t="s">
        <v>4364</v>
      </c>
      <c r="V6770">
        <v>280</v>
      </c>
    </row>
    <row r="6771" spans="1:22" customFormat="1" ht="15" x14ac:dyDescent="0.25">
      <c r="A6771" t="s">
        <v>171</v>
      </c>
      <c r="E6771" s="1531" t="s">
        <v>952</v>
      </c>
      <c r="F6771" s="1531"/>
      <c r="G6771" s="1531"/>
      <c r="H6771" s="1531"/>
      <c r="K6771" t="s">
        <v>4364</v>
      </c>
      <c r="V6771">
        <v>411</v>
      </c>
    </row>
    <row r="6772" spans="1:22" customFormat="1" ht="15" x14ac:dyDescent="0.25">
      <c r="A6772" t="s">
        <v>171</v>
      </c>
      <c r="E6772" s="1531" t="s">
        <v>3761</v>
      </c>
      <c r="F6772" s="1531"/>
      <c r="G6772" s="1531"/>
      <c r="H6772" s="1531"/>
      <c r="K6772" t="s">
        <v>4364</v>
      </c>
      <c r="V6772">
        <v>387</v>
      </c>
    </row>
    <row r="6773" spans="1:22" customFormat="1" ht="15" x14ac:dyDescent="0.25">
      <c r="A6773" t="s">
        <v>171</v>
      </c>
      <c r="E6773" s="1531" t="s">
        <v>954</v>
      </c>
      <c r="F6773" s="1531"/>
      <c r="G6773" s="1531"/>
      <c r="H6773" s="1531"/>
      <c r="K6773" t="s">
        <v>4364</v>
      </c>
      <c r="V6773">
        <v>246</v>
      </c>
    </row>
    <row r="6774" spans="1:22" customFormat="1" ht="15" x14ac:dyDescent="0.25">
      <c r="A6774" t="s">
        <v>171</v>
      </c>
      <c r="E6774" s="1566" t="s">
        <v>956</v>
      </c>
      <c r="F6774" s="1567"/>
      <c r="G6774" s="1567"/>
      <c r="H6774" s="1567"/>
      <c r="K6774" t="s">
        <v>955</v>
      </c>
      <c r="V6774">
        <v>46</v>
      </c>
    </row>
    <row r="6775" spans="1:22" customFormat="1" ht="15" x14ac:dyDescent="0.25">
      <c r="A6775" t="s">
        <v>171</v>
      </c>
      <c r="E6775" s="1495" t="s">
        <v>4367</v>
      </c>
      <c r="F6775" s="1495"/>
      <c r="G6775" s="584" t="s">
        <v>777</v>
      </c>
      <c r="H6775" s="953">
        <v>67.36</v>
      </c>
      <c r="K6775" t="s">
        <v>4364</v>
      </c>
      <c r="L6775" t="s">
        <v>690</v>
      </c>
      <c r="P6775" t="s">
        <v>4368</v>
      </c>
      <c r="V6775">
        <v>74</v>
      </c>
    </row>
    <row r="6776" spans="1:22" customFormat="1" ht="15" x14ac:dyDescent="0.25">
      <c r="A6776" t="s">
        <v>171</v>
      </c>
      <c r="E6776" s="1495" t="s">
        <v>4369</v>
      </c>
      <c r="F6776" s="1495"/>
      <c r="G6776" s="584" t="s">
        <v>777</v>
      </c>
      <c r="H6776" s="953">
        <v>30.21</v>
      </c>
      <c r="K6776" t="s">
        <v>4364</v>
      </c>
      <c r="L6776" t="s">
        <v>690</v>
      </c>
      <c r="P6776" t="s">
        <v>4368</v>
      </c>
      <c r="V6776">
        <v>75</v>
      </c>
    </row>
    <row r="6777" spans="1:22" customFormat="1" ht="15" x14ac:dyDescent="0.25">
      <c r="A6777" t="s">
        <v>171</v>
      </c>
      <c r="E6777" s="1645" t="s">
        <v>6824</v>
      </c>
      <c r="F6777" s="1610"/>
      <c r="G6777" s="584" t="s">
        <v>777</v>
      </c>
      <c r="H6777" s="953">
        <v>-6.7</v>
      </c>
      <c r="K6777" t="s">
        <v>4364</v>
      </c>
      <c r="L6777" t="s">
        <v>690</v>
      </c>
      <c r="P6777" t="s">
        <v>6825</v>
      </c>
      <c r="T6777">
        <v>46022</v>
      </c>
      <c r="V6777">
        <v>169</v>
      </c>
    </row>
    <row r="6778" spans="1:22" customFormat="1" ht="15" x14ac:dyDescent="0.25">
      <c r="A6778" t="s">
        <v>171</v>
      </c>
      <c r="E6778" s="1645" t="s">
        <v>6826</v>
      </c>
      <c r="F6778" s="1610"/>
      <c r="G6778" s="584" t="s">
        <v>777</v>
      </c>
      <c r="H6778" s="953">
        <v>-1.65</v>
      </c>
      <c r="K6778" t="s">
        <v>4364</v>
      </c>
      <c r="L6778" t="s">
        <v>692</v>
      </c>
      <c r="P6778" t="s">
        <v>6827</v>
      </c>
      <c r="T6778">
        <v>46022</v>
      </c>
      <c r="V6778">
        <v>111</v>
      </c>
    </row>
    <row r="6779" spans="1:22" customFormat="1" ht="15" x14ac:dyDescent="0.25">
      <c r="A6779" t="s">
        <v>171</v>
      </c>
      <c r="E6779" s="1645" t="s">
        <v>6828</v>
      </c>
      <c r="F6779" s="1610"/>
      <c r="G6779" s="584" t="s">
        <v>777</v>
      </c>
      <c r="H6779" s="953">
        <v>0.3</v>
      </c>
      <c r="K6779" t="s">
        <v>4364</v>
      </c>
      <c r="L6779" t="s">
        <v>690</v>
      </c>
      <c r="P6779" t="s">
        <v>6829</v>
      </c>
      <c r="T6779">
        <v>46022</v>
      </c>
      <c r="V6779">
        <v>95</v>
      </c>
    </row>
    <row r="6780" spans="1:22" customFormat="1" ht="15" x14ac:dyDescent="0.25">
      <c r="A6780" t="s">
        <v>171</v>
      </c>
      <c r="E6780" s="1495" t="s">
        <v>960</v>
      </c>
      <c r="F6780" s="1495"/>
      <c r="G6780" s="584" t="s">
        <v>777</v>
      </c>
      <c r="H6780" s="953">
        <v>0.42</v>
      </c>
      <c r="K6780" t="s">
        <v>4364</v>
      </c>
      <c r="L6780" t="s">
        <v>692</v>
      </c>
      <c r="P6780" t="s">
        <v>4370</v>
      </c>
      <c r="V6780">
        <v>64</v>
      </c>
    </row>
    <row r="6781" spans="1:22" customFormat="1" ht="15" x14ac:dyDescent="0.25">
      <c r="A6781" t="s">
        <v>171</v>
      </c>
      <c r="E6781" s="1495" t="s">
        <v>4371</v>
      </c>
      <c r="F6781" s="1495"/>
      <c r="G6781" s="662" t="s">
        <v>845</v>
      </c>
      <c r="H6781" s="432">
        <v>4.2500000000000003E-2</v>
      </c>
      <c r="K6781" t="s">
        <v>4364</v>
      </c>
      <c r="L6781" t="s">
        <v>690</v>
      </c>
      <c r="P6781" t="s">
        <v>4372</v>
      </c>
      <c r="V6781">
        <v>89</v>
      </c>
    </row>
    <row r="6782" spans="1:22" customFormat="1" ht="15" x14ac:dyDescent="0.25">
      <c r="A6782" t="s">
        <v>171</v>
      </c>
      <c r="E6782" s="1645" t="s">
        <v>6830</v>
      </c>
      <c r="F6782" s="1610"/>
      <c r="G6782" s="584" t="s">
        <v>845</v>
      </c>
      <c r="H6782" s="432">
        <v>2.0000000000000001E-4</v>
      </c>
      <c r="K6782" t="s">
        <v>4364</v>
      </c>
      <c r="L6782" t="s">
        <v>692</v>
      </c>
      <c r="P6782" t="s">
        <v>4373</v>
      </c>
      <c r="T6782">
        <v>46022</v>
      </c>
      <c r="V6782">
        <v>142</v>
      </c>
    </row>
    <row r="6783" spans="1:22" customFormat="1" ht="15" x14ac:dyDescent="0.25">
      <c r="A6783" t="s">
        <v>171</v>
      </c>
      <c r="E6783" s="1645" t="s">
        <v>6831</v>
      </c>
      <c r="F6783" s="1610"/>
      <c r="G6783" s="584" t="s">
        <v>845</v>
      </c>
      <c r="H6783" s="432">
        <v>2.0000000000000001E-4</v>
      </c>
      <c r="K6783" t="s">
        <v>4364</v>
      </c>
      <c r="L6783" t="s">
        <v>692</v>
      </c>
      <c r="P6783" t="s">
        <v>6832</v>
      </c>
      <c r="T6783">
        <v>46022</v>
      </c>
      <c r="V6783">
        <v>111</v>
      </c>
    </row>
    <row r="6784" spans="1:22" customFormat="1" ht="15" x14ac:dyDescent="0.25">
      <c r="A6784" t="s">
        <v>171</v>
      </c>
      <c r="E6784" s="1645" t="s">
        <v>6833</v>
      </c>
      <c r="F6784" s="1610"/>
      <c r="G6784" s="584" t="s">
        <v>845</v>
      </c>
      <c r="H6784" s="432">
        <v>-1.1599999999999999E-2</v>
      </c>
      <c r="K6784" t="s">
        <v>4364</v>
      </c>
      <c r="L6784" t="s">
        <v>692</v>
      </c>
      <c r="P6784" t="s">
        <v>6834</v>
      </c>
      <c r="T6784">
        <v>46022</v>
      </c>
      <c r="V6784">
        <v>138</v>
      </c>
    </row>
    <row r="6785" spans="1:22" customFormat="1" ht="15" x14ac:dyDescent="0.25">
      <c r="A6785" t="s">
        <v>171</v>
      </c>
      <c r="E6785" s="1495" t="s">
        <v>243</v>
      </c>
      <c r="F6785" s="1495"/>
      <c r="G6785" s="584" t="s">
        <v>845</v>
      </c>
      <c r="H6785" s="432">
        <v>1.17E-2</v>
      </c>
      <c r="K6785" t="s">
        <v>4364</v>
      </c>
      <c r="L6785" t="s">
        <v>694</v>
      </c>
      <c r="P6785" t="s">
        <v>4374</v>
      </c>
      <c r="V6785">
        <v>47</v>
      </c>
    </row>
    <row r="6786" spans="1:22" customFormat="1" ht="15" x14ac:dyDescent="0.25">
      <c r="A6786" t="s">
        <v>171</v>
      </c>
      <c r="E6786" s="1495" t="s">
        <v>175</v>
      </c>
      <c r="F6786" s="1495"/>
      <c r="G6786" s="584" t="s">
        <v>845</v>
      </c>
      <c r="H6786" s="432">
        <v>8.5000000000000006E-3</v>
      </c>
      <c r="K6786" t="s">
        <v>4364</v>
      </c>
      <c r="L6786" t="s">
        <v>694</v>
      </c>
      <c r="P6786" t="s">
        <v>4375</v>
      </c>
      <c r="V6786">
        <v>74</v>
      </c>
    </row>
    <row r="6787" spans="1:22" customFormat="1" ht="15" x14ac:dyDescent="0.25">
      <c r="A6787" t="s">
        <v>171</v>
      </c>
      <c r="E6787" s="1488" t="s">
        <v>967</v>
      </c>
      <c r="F6787" s="1561"/>
      <c r="G6787" s="360"/>
      <c r="H6787" s="867"/>
      <c r="K6787" t="s">
        <v>966</v>
      </c>
      <c r="V6787">
        <v>48</v>
      </c>
    </row>
    <row r="6788" spans="1:22" customFormat="1" ht="15" x14ac:dyDescent="0.25">
      <c r="A6788" t="s">
        <v>171</v>
      </c>
      <c r="E6788" s="1495" t="s">
        <v>844</v>
      </c>
      <c r="F6788" s="1495"/>
      <c r="G6788" s="662" t="s">
        <v>845</v>
      </c>
      <c r="H6788" s="955">
        <v>4.1000000000000003E-3</v>
      </c>
      <c r="K6788" t="s">
        <v>4364</v>
      </c>
      <c r="L6788" t="s">
        <v>968</v>
      </c>
      <c r="P6788" t="s">
        <v>4376</v>
      </c>
      <c r="V6788">
        <v>55</v>
      </c>
    </row>
    <row r="6789" spans="1:22" customFormat="1" ht="15" x14ac:dyDescent="0.25">
      <c r="A6789" t="s">
        <v>171</v>
      </c>
      <c r="E6789" s="1495" t="s">
        <v>846</v>
      </c>
      <c r="F6789" s="1495"/>
      <c r="G6789" s="662" t="s">
        <v>845</v>
      </c>
      <c r="H6789" s="955">
        <v>4.0000000000000002E-4</v>
      </c>
      <c r="K6789" t="s">
        <v>4364</v>
      </c>
      <c r="L6789" t="s">
        <v>968</v>
      </c>
      <c r="P6789" t="s">
        <v>4376</v>
      </c>
      <c r="V6789">
        <v>65</v>
      </c>
    </row>
    <row r="6790" spans="1:22" customFormat="1" ht="15" x14ac:dyDescent="0.25">
      <c r="A6790" t="s">
        <v>171</v>
      </c>
      <c r="E6790" s="1495" t="s">
        <v>847</v>
      </c>
      <c r="F6790" s="1495"/>
      <c r="G6790" s="662" t="s">
        <v>845</v>
      </c>
      <c r="H6790" s="955">
        <v>1.4E-3</v>
      </c>
      <c r="K6790" t="s">
        <v>4364</v>
      </c>
      <c r="L6790" t="s">
        <v>968</v>
      </c>
      <c r="P6790" t="s">
        <v>4377</v>
      </c>
      <c r="V6790">
        <v>57</v>
      </c>
    </row>
    <row r="6791" spans="1:22" customFormat="1" ht="15" x14ac:dyDescent="0.25">
      <c r="A6791" t="s">
        <v>171</v>
      </c>
      <c r="E6791" s="1495" t="s">
        <v>848</v>
      </c>
      <c r="F6791" s="1495"/>
      <c r="G6791" s="662" t="s">
        <v>777</v>
      </c>
      <c r="H6791" s="956">
        <v>0.25</v>
      </c>
      <c r="K6791" t="s">
        <v>4364</v>
      </c>
      <c r="L6791" t="s">
        <v>968</v>
      </c>
      <c r="P6791" t="s">
        <v>4378</v>
      </c>
      <c r="V6791">
        <v>63</v>
      </c>
    </row>
    <row r="6792" spans="1:22" customFormat="1" x14ac:dyDescent="0.25">
      <c r="A6792" t="s">
        <v>171</v>
      </c>
      <c r="E6792" s="1538" t="s">
        <v>4379</v>
      </c>
      <c r="F6792" s="1538"/>
      <c r="G6792" s="1538"/>
      <c r="H6792" s="1538"/>
      <c r="K6792" t="s">
        <v>4380</v>
      </c>
      <c r="V6792">
        <v>37</v>
      </c>
    </row>
    <row r="6793" spans="1:22" customFormat="1" ht="15" x14ac:dyDescent="0.25">
      <c r="A6793" t="s">
        <v>171</v>
      </c>
      <c r="E6793" s="1531" t="s">
        <v>4381</v>
      </c>
      <c r="F6793" s="1531"/>
      <c r="G6793" s="1531"/>
      <c r="H6793" s="1532"/>
      <c r="K6793" t="s">
        <v>4380</v>
      </c>
      <c r="V6793">
        <v>353</v>
      </c>
    </row>
    <row r="6794" spans="1:22" customFormat="1" ht="15" x14ac:dyDescent="0.25">
      <c r="A6794" t="s">
        <v>171</v>
      </c>
      <c r="E6794" s="1562" t="s">
        <v>950</v>
      </c>
      <c r="F6794" s="1530"/>
      <c r="G6794" s="1530"/>
      <c r="H6794" s="1530"/>
      <c r="K6794" t="s">
        <v>974</v>
      </c>
      <c r="V6794">
        <v>11</v>
      </c>
    </row>
    <row r="6795" spans="1:22" customFormat="1" ht="15" x14ac:dyDescent="0.25">
      <c r="A6795" t="s">
        <v>171</v>
      </c>
      <c r="E6795" s="1531" t="s">
        <v>951</v>
      </c>
      <c r="F6795" s="1531"/>
      <c r="G6795" s="1531"/>
      <c r="H6795" s="1531"/>
      <c r="K6795" t="s">
        <v>4380</v>
      </c>
      <c r="V6795">
        <v>280</v>
      </c>
    </row>
    <row r="6796" spans="1:22" customFormat="1" ht="15" x14ac:dyDescent="0.25">
      <c r="A6796" t="s">
        <v>171</v>
      </c>
      <c r="E6796" s="1531" t="s">
        <v>952</v>
      </c>
      <c r="F6796" s="1531"/>
      <c r="G6796" s="1531"/>
      <c r="H6796" s="1531"/>
      <c r="K6796" t="s">
        <v>4380</v>
      </c>
      <c r="V6796">
        <v>411</v>
      </c>
    </row>
    <row r="6797" spans="1:22" customFormat="1" ht="15" x14ac:dyDescent="0.25">
      <c r="A6797" t="s">
        <v>171</v>
      </c>
      <c r="E6797" s="1531" t="s">
        <v>3761</v>
      </c>
      <c r="F6797" s="1531"/>
      <c r="G6797" s="1531"/>
      <c r="H6797" s="1531"/>
      <c r="K6797" t="s">
        <v>4380</v>
      </c>
      <c r="V6797">
        <v>387</v>
      </c>
    </row>
    <row r="6798" spans="1:22" customFormat="1" ht="15" x14ac:dyDescent="0.25">
      <c r="A6798" t="s">
        <v>171</v>
      </c>
      <c r="E6798" s="1531" t="s">
        <v>3771</v>
      </c>
      <c r="F6798" s="1531"/>
      <c r="G6798" s="1531"/>
      <c r="H6798" s="1531"/>
      <c r="K6798" t="s">
        <v>4380</v>
      </c>
      <c r="V6798">
        <v>677</v>
      </c>
    </row>
    <row r="6799" spans="1:22" customFormat="1" ht="15" x14ac:dyDescent="0.25">
      <c r="A6799" t="s">
        <v>171</v>
      </c>
      <c r="E6799" s="1531" t="s">
        <v>3772</v>
      </c>
      <c r="F6799" s="1531"/>
      <c r="G6799" s="1531"/>
      <c r="H6799" s="1531"/>
      <c r="K6799" t="s">
        <v>4380</v>
      </c>
      <c r="V6799">
        <v>693</v>
      </c>
    </row>
    <row r="6800" spans="1:22" customFormat="1" ht="15" x14ac:dyDescent="0.25">
      <c r="A6800" t="s">
        <v>171</v>
      </c>
      <c r="E6800" s="1531" t="s">
        <v>954</v>
      </c>
      <c r="F6800" s="1531"/>
      <c r="G6800" s="1531"/>
      <c r="H6800" s="1531"/>
      <c r="K6800" t="s">
        <v>4380</v>
      </c>
      <c r="V6800">
        <v>246</v>
      </c>
    </row>
    <row r="6801" spans="1:22" customFormat="1" ht="15" x14ac:dyDescent="0.25">
      <c r="A6801" t="s">
        <v>171</v>
      </c>
      <c r="E6801" s="1566" t="s">
        <v>956</v>
      </c>
      <c r="F6801" s="1567"/>
      <c r="G6801" s="1567"/>
      <c r="H6801" s="1567"/>
      <c r="K6801" t="s">
        <v>975</v>
      </c>
      <c r="V6801">
        <v>46</v>
      </c>
    </row>
    <row r="6802" spans="1:22" customFormat="1" ht="15" x14ac:dyDescent="0.25">
      <c r="A6802" t="s">
        <v>171</v>
      </c>
      <c r="E6802" s="1561" t="s">
        <v>3773</v>
      </c>
      <c r="F6802" s="1561"/>
      <c r="G6802" s="393" t="s">
        <v>777</v>
      </c>
      <c r="H6802" s="953">
        <v>777.31</v>
      </c>
      <c r="K6802" t="s">
        <v>4380</v>
      </c>
      <c r="L6802" t="s">
        <v>690</v>
      </c>
      <c r="P6802" t="s">
        <v>4382</v>
      </c>
      <c r="V6802">
        <v>14</v>
      </c>
    </row>
    <row r="6803" spans="1:22" customFormat="1" ht="15" x14ac:dyDescent="0.25">
      <c r="A6803" t="s">
        <v>171</v>
      </c>
      <c r="E6803" s="1561" t="s">
        <v>3688</v>
      </c>
      <c r="F6803" s="1561"/>
      <c r="G6803" s="393" t="s">
        <v>3775</v>
      </c>
      <c r="H6803" s="432">
        <v>4.0275999999999996</v>
      </c>
      <c r="K6803" t="s">
        <v>4380</v>
      </c>
      <c r="L6803" t="s">
        <v>690</v>
      </c>
      <c r="P6803" t="s">
        <v>4383</v>
      </c>
      <c r="V6803">
        <v>28</v>
      </c>
    </row>
    <row r="6804" spans="1:22" customFormat="1" ht="15" x14ac:dyDescent="0.25">
      <c r="A6804" t="s">
        <v>171</v>
      </c>
      <c r="E6804" s="1645" t="s">
        <v>6824</v>
      </c>
      <c r="F6804" s="1610"/>
      <c r="G6804" s="584" t="s">
        <v>777</v>
      </c>
      <c r="H6804" s="953">
        <v>-6.7</v>
      </c>
      <c r="K6804" t="s">
        <v>4380</v>
      </c>
      <c r="L6804" t="s">
        <v>690</v>
      </c>
      <c r="P6804" t="s">
        <v>6835</v>
      </c>
      <c r="T6804">
        <v>46022</v>
      </c>
      <c r="V6804">
        <v>169</v>
      </c>
    </row>
    <row r="6805" spans="1:22" customFormat="1" ht="15" x14ac:dyDescent="0.25">
      <c r="A6805" t="s">
        <v>171</v>
      </c>
      <c r="E6805" s="1610" t="s">
        <v>6830</v>
      </c>
      <c r="F6805" s="1610"/>
      <c r="G6805" s="393" t="s">
        <v>3775</v>
      </c>
      <c r="H6805" s="432">
        <v>0.19320000000000001</v>
      </c>
      <c r="K6805" t="s">
        <v>4380</v>
      </c>
      <c r="L6805" t="s">
        <v>692</v>
      </c>
      <c r="P6805" t="s">
        <v>4384</v>
      </c>
      <c r="T6805">
        <v>46022</v>
      </c>
      <c r="V6805">
        <v>142</v>
      </c>
    </row>
    <row r="6806" spans="1:22" customFormat="1" ht="15" x14ac:dyDescent="0.25">
      <c r="A6806" t="s">
        <v>171</v>
      </c>
      <c r="E6806" s="1610" t="s">
        <v>6828</v>
      </c>
      <c r="F6806" s="1610"/>
      <c r="G6806" s="393" t="s">
        <v>3775</v>
      </c>
      <c r="H6806" s="432">
        <v>0.13800000000000001</v>
      </c>
      <c r="K6806" t="s">
        <v>4380</v>
      </c>
      <c r="L6806" t="s">
        <v>690</v>
      </c>
      <c r="P6806" t="s">
        <v>6836</v>
      </c>
      <c r="T6806">
        <v>46022</v>
      </c>
      <c r="V6806">
        <v>95</v>
      </c>
    </row>
    <row r="6807" spans="1:22" customFormat="1" ht="15" x14ac:dyDescent="0.25">
      <c r="A6807" t="s">
        <v>171</v>
      </c>
      <c r="E6807" s="1610" t="s">
        <v>6831</v>
      </c>
      <c r="F6807" s="1610"/>
      <c r="G6807" s="393" t="s">
        <v>3775</v>
      </c>
      <c r="H6807" s="432">
        <v>6.2799999999999995E-2</v>
      </c>
      <c r="K6807" t="s">
        <v>4380</v>
      </c>
      <c r="L6807" t="s">
        <v>692</v>
      </c>
      <c r="P6807" t="s">
        <v>6837</v>
      </c>
      <c r="T6807">
        <v>46022</v>
      </c>
      <c r="V6807">
        <v>111</v>
      </c>
    </row>
    <row r="6808" spans="1:22" customFormat="1" ht="15" x14ac:dyDescent="0.25">
      <c r="A6808" t="s">
        <v>171</v>
      </c>
      <c r="E6808" s="1610" t="s">
        <v>6826</v>
      </c>
      <c r="F6808" s="1610"/>
      <c r="G6808" s="393" t="s">
        <v>3775</v>
      </c>
      <c r="H6808" s="432">
        <v>-1.3160000000000001</v>
      </c>
      <c r="K6808" t="s">
        <v>4380</v>
      </c>
      <c r="L6808" t="s">
        <v>692</v>
      </c>
      <c r="P6808" t="s">
        <v>6838</v>
      </c>
      <c r="T6808">
        <v>46022</v>
      </c>
      <c r="V6808">
        <v>111</v>
      </c>
    </row>
    <row r="6809" spans="1:22" customFormat="1" ht="15" x14ac:dyDescent="0.25">
      <c r="A6809" t="s">
        <v>171</v>
      </c>
      <c r="E6809" s="1645" t="s">
        <v>6833</v>
      </c>
      <c r="F6809" s="1610"/>
      <c r="G6809" s="584" t="s">
        <v>845</v>
      </c>
      <c r="H6809" s="432">
        <v>-1.1599999999999999E-2</v>
      </c>
      <c r="K6809" t="s">
        <v>4380</v>
      </c>
      <c r="L6809" t="s">
        <v>692</v>
      </c>
      <c r="P6809" t="s">
        <v>6839</v>
      </c>
      <c r="T6809">
        <v>46022</v>
      </c>
      <c r="V6809">
        <v>138</v>
      </c>
    </row>
    <row r="6810" spans="1:22" customFormat="1" ht="15" x14ac:dyDescent="0.25">
      <c r="A6810" t="s">
        <v>171</v>
      </c>
      <c r="E6810" s="1561" t="s">
        <v>243</v>
      </c>
      <c r="F6810" s="1561"/>
      <c r="G6810" s="393" t="s">
        <v>3775</v>
      </c>
      <c r="H6810" s="432">
        <v>4.4756</v>
      </c>
      <c r="K6810" t="s">
        <v>4380</v>
      </c>
      <c r="L6810" t="s">
        <v>694</v>
      </c>
      <c r="P6810" t="s">
        <v>4385</v>
      </c>
      <c r="V6810">
        <v>47</v>
      </c>
    </row>
    <row r="6811" spans="1:22" customFormat="1" ht="15" x14ac:dyDescent="0.25">
      <c r="A6811" t="s">
        <v>171</v>
      </c>
      <c r="E6811" s="1561" t="s">
        <v>175</v>
      </c>
      <c r="F6811" s="1561"/>
      <c r="G6811" s="393" t="s">
        <v>3775</v>
      </c>
      <c r="H6811" s="432">
        <v>3.2406000000000001</v>
      </c>
      <c r="K6811" t="s">
        <v>4380</v>
      </c>
      <c r="L6811" t="s">
        <v>694</v>
      </c>
      <c r="P6811" t="s">
        <v>4386</v>
      </c>
      <c r="V6811">
        <v>74</v>
      </c>
    </row>
    <row r="6812" spans="1:22" customFormat="1" ht="15" x14ac:dyDescent="0.25">
      <c r="A6812" t="s">
        <v>171</v>
      </c>
      <c r="E6812" s="1488" t="s">
        <v>967</v>
      </c>
      <c r="F6812" s="1561"/>
      <c r="G6812" s="360"/>
      <c r="H6812" s="867"/>
      <c r="K6812" t="s">
        <v>985</v>
      </c>
      <c r="V6812">
        <v>48</v>
      </c>
    </row>
    <row r="6813" spans="1:22" customFormat="1" ht="15" x14ac:dyDescent="0.25">
      <c r="A6813" t="s">
        <v>171</v>
      </c>
      <c r="E6813" s="1495" t="s">
        <v>844</v>
      </c>
      <c r="F6813" s="1495"/>
      <c r="G6813" s="662" t="s">
        <v>845</v>
      </c>
      <c r="H6813" s="955">
        <v>4.1000000000000003E-3</v>
      </c>
      <c r="K6813" t="s">
        <v>4380</v>
      </c>
      <c r="L6813" t="s">
        <v>968</v>
      </c>
      <c r="P6813" t="s">
        <v>4387</v>
      </c>
      <c r="V6813">
        <v>55</v>
      </c>
    </row>
    <row r="6814" spans="1:22" customFormat="1" ht="15" x14ac:dyDescent="0.25">
      <c r="A6814" t="s">
        <v>171</v>
      </c>
      <c r="E6814" s="1495" t="s">
        <v>846</v>
      </c>
      <c r="F6814" s="1495"/>
      <c r="G6814" s="662" t="s">
        <v>845</v>
      </c>
      <c r="H6814" s="955">
        <v>4.0000000000000002E-4</v>
      </c>
      <c r="K6814" t="s">
        <v>4380</v>
      </c>
      <c r="L6814" t="s">
        <v>968</v>
      </c>
      <c r="P6814" t="s">
        <v>4387</v>
      </c>
      <c r="V6814">
        <v>65</v>
      </c>
    </row>
    <row r="6815" spans="1:22" customFormat="1" ht="15" x14ac:dyDescent="0.25">
      <c r="A6815" t="s">
        <v>171</v>
      </c>
      <c r="E6815" s="1495" t="s">
        <v>847</v>
      </c>
      <c r="F6815" s="1495"/>
      <c r="G6815" s="662" t="s">
        <v>845</v>
      </c>
      <c r="H6815" s="955">
        <v>1.4E-3</v>
      </c>
      <c r="K6815" t="s">
        <v>4380</v>
      </c>
      <c r="L6815" t="s">
        <v>968</v>
      </c>
      <c r="P6815" t="s">
        <v>4388</v>
      </c>
      <c r="V6815">
        <v>57</v>
      </c>
    </row>
    <row r="6816" spans="1:22" customFormat="1" ht="15" x14ac:dyDescent="0.25">
      <c r="A6816" t="s">
        <v>171</v>
      </c>
      <c r="E6816" s="1495" t="s">
        <v>848</v>
      </c>
      <c r="F6816" s="1495"/>
      <c r="G6816" s="662" t="s">
        <v>777</v>
      </c>
      <c r="H6816" s="956">
        <v>0.25</v>
      </c>
      <c r="K6816" t="s">
        <v>4380</v>
      </c>
      <c r="L6816" t="s">
        <v>968</v>
      </c>
      <c r="P6816" t="s">
        <v>4389</v>
      </c>
      <c r="V6816">
        <v>63</v>
      </c>
    </row>
    <row r="6817" spans="1:22" customFormat="1" x14ac:dyDescent="0.25">
      <c r="A6817" t="s">
        <v>171</v>
      </c>
      <c r="E6817" s="1538" t="s">
        <v>4390</v>
      </c>
      <c r="F6817" s="1538"/>
      <c r="G6817" s="1538"/>
      <c r="H6817" s="1539"/>
      <c r="K6817" t="s">
        <v>4391</v>
      </c>
      <c r="V6817">
        <v>41</v>
      </c>
    </row>
    <row r="6818" spans="1:22" customFormat="1" ht="15" x14ac:dyDescent="0.25">
      <c r="A6818" t="s">
        <v>171</v>
      </c>
      <c r="E6818" s="1531" t="s">
        <v>4392</v>
      </c>
      <c r="F6818" s="1531"/>
      <c r="G6818" s="1531"/>
      <c r="H6818" s="1532"/>
      <c r="K6818" t="s">
        <v>4391</v>
      </c>
      <c r="V6818">
        <v>408</v>
      </c>
    </row>
    <row r="6819" spans="1:22" customFormat="1" ht="15" x14ac:dyDescent="0.25">
      <c r="A6819" t="s">
        <v>171</v>
      </c>
      <c r="E6819" s="1562" t="s">
        <v>950</v>
      </c>
      <c r="F6819" s="1530"/>
      <c r="G6819" s="1530"/>
      <c r="H6819" s="1530"/>
      <c r="K6819" t="s">
        <v>992</v>
      </c>
      <c r="V6819">
        <v>11</v>
      </c>
    </row>
    <row r="6820" spans="1:22" customFormat="1" ht="15" x14ac:dyDescent="0.25">
      <c r="A6820" t="s">
        <v>171</v>
      </c>
      <c r="E6820" s="1531" t="s">
        <v>951</v>
      </c>
      <c r="F6820" s="1531"/>
      <c r="G6820" s="1531"/>
      <c r="H6820" s="1531"/>
      <c r="K6820" t="s">
        <v>4391</v>
      </c>
      <c r="V6820">
        <v>280</v>
      </c>
    </row>
    <row r="6821" spans="1:22" customFormat="1" ht="15" x14ac:dyDescent="0.25">
      <c r="A6821" t="s">
        <v>171</v>
      </c>
      <c r="E6821" s="1531" t="s">
        <v>952</v>
      </c>
      <c r="F6821" s="1531"/>
      <c r="G6821" s="1531"/>
      <c r="H6821" s="1531"/>
      <c r="K6821" t="s">
        <v>4391</v>
      </c>
      <c r="V6821">
        <v>411</v>
      </c>
    </row>
    <row r="6822" spans="1:22" customFormat="1" ht="15" x14ac:dyDescent="0.25">
      <c r="A6822" t="s">
        <v>171</v>
      </c>
      <c r="E6822" s="1531" t="s">
        <v>3761</v>
      </c>
      <c r="F6822" s="1531"/>
      <c r="G6822" s="1531"/>
      <c r="H6822" s="1531"/>
      <c r="K6822" t="s">
        <v>4391</v>
      </c>
      <c r="V6822">
        <v>387</v>
      </c>
    </row>
    <row r="6823" spans="1:22" customFormat="1" ht="15" x14ac:dyDescent="0.25">
      <c r="A6823" t="s">
        <v>171</v>
      </c>
      <c r="E6823" s="1531" t="s">
        <v>954</v>
      </c>
      <c r="F6823" s="1531"/>
      <c r="G6823" s="1531"/>
      <c r="H6823" s="1531"/>
      <c r="K6823" t="s">
        <v>4391</v>
      </c>
      <c r="V6823">
        <v>246</v>
      </c>
    </row>
    <row r="6824" spans="1:22" customFormat="1" ht="15" x14ac:dyDescent="0.25">
      <c r="A6824" t="s">
        <v>171</v>
      </c>
      <c r="E6824" s="1566" t="s">
        <v>956</v>
      </c>
      <c r="F6824" s="1567"/>
      <c r="G6824" s="1567"/>
      <c r="H6824" s="1567"/>
      <c r="K6824" t="s">
        <v>995</v>
      </c>
      <c r="V6824">
        <v>46</v>
      </c>
    </row>
    <row r="6825" spans="1:22" customFormat="1" ht="15" x14ac:dyDescent="0.25">
      <c r="A6825" t="s">
        <v>171</v>
      </c>
      <c r="E6825" s="1495" t="s">
        <v>3773</v>
      </c>
      <c r="F6825" s="1495"/>
      <c r="G6825" s="662" t="s">
        <v>777</v>
      </c>
      <c r="H6825" s="953">
        <v>99.05</v>
      </c>
      <c r="K6825" t="s">
        <v>4391</v>
      </c>
      <c r="L6825" t="s">
        <v>690</v>
      </c>
      <c r="P6825" t="s">
        <v>4393</v>
      </c>
      <c r="V6825">
        <v>14</v>
      </c>
    </row>
    <row r="6826" spans="1:22" customFormat="1" ht="15" x14ac:dyDescent="0.25">
      <c r="A6826" t="s">
        <v>171</v>
      </c>
      <c r="E6826" s="1645" t="s">
        <v>6826</v>
      </c>
      <c r="F6826" s="1610"/>
      <c r="G6826" s="662" t="s">
        <v>777</v>
      </c>
      <c r="H6826" s="953">
        <v>-3.8</v>
      </c>
      <c r="K6826" t="s">
        <v>4391</v>
      </c>
      <c r="L6826" t="s">
        <v>692</v>
      </c>
      <c r="P6826" t="s">
        <v>6840</v>
      </c>
      <c r="T6826">
        <v>46022</v>
      </c>
      <c r="V6826">
        <v>111</v>
      </c>
    </row>
    <row r="6827" spans="1:22" customFormat="1" ht="15" x14ac:dyDescent="0.25">
      <c r="A6827" t="s">
        <v>171</v>
      </c>
      <c r="E6827" s="1645" t="s">
        <v>6828</v>
      </c>
      <c r="F6827" s="1610"/>
      <c r="G6827" s="662" t="s">
        <v>777</v>
      </c>
      <c r="H6827" s="953">
        <v>0.05</v>
      </c>
      <c r="K6827" t="s">
        <v>4391</v>
      </c>
      <c r="L6827" t="s">
        <v>690</v>
      </c>
      <c r="P6827" t="s">
        <v>6841</v>
      </c>
      <c r="T6827">
        <v>46022</v>
      </c>
      <c r="V6827">
        <v>95</v>
      </c>
    </row>
    <row r="6828" spans="1:22" customFormat="1" ht="15" x14ac:dyDescent="0.25">
      <c r="A6828" t="s">
        <v>171</v>
      </c>
      <c r="E6828" s="1495" t="s">
        <v>960</v>
      </c>
      <c r="F6828" s="1495"/>
      <c r="G6828" s="584" t="s">
        <v>777</v>
      </c>
      <c r="H6828" s="953">
        <v>0.42</v>
      </c>
      <c r="K6828" t="s">
        <v>4391</v>
      </c>
      <c r="L6828" t="s">
        <v>692</v>
      </c>
      <c r="P6828" t="s">
        <v>4394</v>
      </c>
      <c r="V6828">
        <v>64</v>
      </c>
    </row>
    <row r="6829" spans="1:22" customFormat="1" ht="15" x14ac:dyDescent="0.25">
      <c r="A6829" t="s">
        <v>171</v>
      </c>
      <c r="E6829" s="1495" t="s">
        <v>979</v>
      </c>
      <c r="F6829" s="1495"/>
      <c r="G6829" s="662" t="s">
        <v>845</v>
      </c>
      <c r="H6829" s="432">
        <v>4.5900000000000003E-2</v>
      </c>
      <c r="K6829" t="s">
        <v>4391</v>
      </c>
      <c r="L6829" t="s">
        <v>690</v>
      </c>
      <c r="P6829" t="s">
        <v>4395</v>
      </c>
      <c r="V6829">
        <v>29</v>
      </c>
    </row>
    <row r="6830" spans="1:22" customFormat="1" ht="15" x14ac:dyDescent="0.25">
      <c r="A6830" t="s">
        <v>171</v>
      </c>
      <c r="E6830" s="1645" t="s">
        <v>6830</v>
      </c>
      <c r="F6830" s="1610"/>
      <c r="G6830" s="662" t="s">
        <v>845</v>
      </c>
      <c r="H6830" s="432">
        <v>2.0000000000000001E-4</v>
      </c>
      <c r="K6830" t="s">
        <v>4391</v>
      </c>
      <c r="L6830" t="s">
        <v>692</v>
      </c>
      <c r="P6830" t="s">
        <v>4396</v>
      </c>
      <c r="T6830">
        <v>46022</v>
      </c>
      <c r="V6830">
        <v>142</v>
      </c>
    </row>
    <row r="6831" spans="1:22" customFormat="1" ht="15" x14ac:dyDescent="0.25">
      <c r="A6831" t="s">
        <v>171</v>
      </c>
      <c r="E6831" s="1645" t="s">
        <v>6831</v>
      </c>
      <c r="F6831" s="1610"/>
      <c r="G6831" s="662" t="s">
        <v>845</v>
      </c>
      <c r="H6831" s="432">
        <v>-4.0000000000000002E-4</v>
      </c>
      <c r="K6831" t="s">
        <v>4391</v>
      </c>
      <c r="L6831" t="s">
        <v>692</v>
      </c>
      <c r="P6831" t="s">
        <v>6842</v>
      </c>
      <c r="T6831">
        <v>46022</v>
      </c>
      <c r="V6831">
        <v>111</v>
      </c>
    </row>
    <row r="6832" spans="1:22" customFormat="1" ht="15" x14ac:dyDescent="0.25">
      <c r="A6832" t="s">
        <v>171</v>
      </c>
      <c r="E6832" s="1645" t="s">
        <v>6833</v>
      </c>
      <c r="F6832" s="1610"/>
      <c r="G6832" s="584" t="s">
        <v>845</v>
      </c>
      <c r="H6832" s="432">
        <v>-1.1599999999999999E-2</v>
      </c>
      <c r="K6832" t="s">
        <v>4391</v>
      </c>
      <c r="L6832" t="s">
        <v>692</v>
      </c>
      <c r="P6832" t="s">
        <v>6843</v>
      </c>
      <c r="T6832">
        <v>46022</v>
      </c>
      <c r="V6832">
        <v>138</v>
      </c>
    </row>
    <row r="6833" spans="1:22" customFormat="1" ht="15" x14ac:dyDescent="0.25">
      <c r="A6833" t="s">
        <v>171</v>
      </c>
      <c r="E6833" s="1495" t="s">
        <v>243</v>
      </c>
      <c r="F6833" s="1495"/>
      <c r="G6833" s="662" t="s">
        <v>845</v>
      </c>
      <c r="H6833" s="432">
        <v>1.17E-2</v>
      </c>
      <c r="K6833" t="s">
        <v>4391</v>
      </c>
      <c r="L6833" t="s">
        <v>694</v>
      </c>
      <c r="P6833" t="s">
        <v>4397</v>
      </c>
      <c r="V6833">
        <v>47</v>
      </c>
    </row>
    <row r="6834" spans="1:22" customFormat="1" ht="15" x14ac:dyDescent="0.25">
      <c r="A6834" t="s">
        <v>171</v>
      </c>
      <c r="E6834" s="1495" t="s">
        <v>175</v>
      </c>
      <c r="F6834" s="1495"/>
      <c r="G6834" s="662" t="s">
        <v>845</v>
      </c>
      <c r="H6834" s="432">
        <v>8.5000000000000006E-3</v>
      </c>
      <c r="K6834" t="s">
        <v>4391</v>
      </c>
      <c r="L6834" t="s">
        <v>694</v>
      </c>
      <c r="P6834" t="s">
        <v>4398</v>
      </c>
      <c r="V6834">
        <v>74</v>
      </c>
    </row>
    <row r="6835" spans="1:22" customFormat="1" ht="15" x14ac:dyDescent="0.25">
      <c r="A6835" t="s">
        <v>171</v>
      </c>
      <c r="E6835" s="1488" t="s">
        <v>967</v>
      </c>
      <c r="F6835" s="1561"/>
      <c r="G6835" s="360"/>
      <c r="H6835" s="867"/>
      <c r="K6835" t="s">
        <v>1003</v>
      </c>
      <c r="V6835">
        <v>48</v>
      </c>
    </row>
    <row r="6836" spans="1:22" customFormat="1" ht="15" x14ac:dyDescent="0.25">
      <c r="A6836" t="s">
        <v>171</v>
      </c>
      <c r="E6836" s="1495" t="s">
        <v>844</v>
      </c>
      <c r="F6836" s="1495"/>
      <c r="G6836" s="662" t="s">
        <v>845</v>
      </c>
      <c r="H6836" s="955">
        <v>4.1000000000000003E-3</v>
      </c>
      <c r="K6836" t="s">
        <v>4391</v>
      </c>
      <c r="L6836" t="s">
        <v>968</v>
      </c>
      <c r="P6836" t="s">
        <v>4399</v>
      </c>
      <c r="V6836">
        <v>55</v>
      </c>
    </row>
    <row r="6837" spans="1:22" customFormat="1" ht="15" x14ac:dyDescent="0.25">
      <c r="A6837" t="s">
        <v>171</v>
      </c>
      <c r="E6837" s="1495" t="s">
        <v>846</v>
      </c>
      <c r="F6837" s="1495"/>
      <c r="G6837" s="662" t="s">
        <v>845</v>
      </c>
      <c r="H6837" s="955">
        <v>4.0000000000000002E-4</v>
      </c>
      <c r="K6837" t="s">
        <v>4391</v>
      </c>
      <c r="L6837" t="s">
        <v>968</v>
      </c>
      <c r="P6837" t="s">
        <v>4399</v>
      </c>
      <c r="V6837">
        <v>65</v>
      </c>
    </row>
    <row r="6838" spans="1:22" customFormat="1" ht="15" x14ac:dyDescent="0.25">
      <c r="A6838" t="s">
        <v>171</v>
      </c>
      <c r="E6838" s="1495" t="s">
        <v>847</v>
      </c>
      <c r="F6838" s="1495"/>
      <c r="G6838" s="662" t="s">
        <v>845</v>
      </c>
      <c r="H6838" s="955">
        <v>1.4E-3</v>
      </c>
      <c r="K6838" t="s">
        <v>4391</v>
      </c>
      <c r="L6838" t="s">
        <v>968</v>
      </c>
      <c r="P6838" t="s">
        <v>4400</v>
      </c>
      <c r="V6838">
        <v>57</v>
      </c>
    </row>
    <row r="6839" spans="1:22" customFormat="1" ht="15" x14ac:dyDescent="0.25">
      <c r="A6839" t="s">
        <v>171</v>
      </c>
      <c r="E6839" s="1495" t="s">
        <v>848</v>
      </c>
      <c r="F6839" s="1495"/>
      <c r="G6839" s="662" t="s">
        <v>777</v>
      </c>
      <c r="H6839" s="956">
        <v>0.25</v>
      </c>
      <c r="K6839" t="s">
        <v>4391</v>
      </c>
      <c r="L6839" t="s">
        <v>968</v>
      </c>
      <c r="P6839" t="s">
        <v>4401</v>
      </c>
      <c r="V6839">
        <v>63</v>
      </c>
    </row>
    <row r="6840" spans="1:22" customFormat="1" x14ac:dyDescent="0.25">
      <c r="A6840" t="s">
        <v>171</v>
      </c>
      <c r="E6840" s="1538" t="s">
        <v>202</v>
      </c>
      <c r="F6840" s="1538"/>
      <c r="G6840" s="1538"/>
      <c r="H6840" s="1539"/>
      <c r="K6840" t="s">
        <v>4402</v>
      </c>
      <c r="V6840">
        <v>38</v>
      </c>
    </row>
    <row r="6841" spans="1:22" customFormat="1" ht="15" x14ac:dyDescent="0.25">
      <c r="A6841" t="s">
        <v>171</v>
      </c>
      <c r="E6841" s="1531" t="s">
        <v>4403</v>
      </c>
      <c r="F6841" s="1531"/>
      <c r="G6841" s="1531"/>
      <c r="H6841" s="1532"/>
      <c r="K6841" t="s">
        <v>4402</v>
      </c>
      <c r="V6841">
        <v>424</v>
      </c>
    </row>
    <row r="6842" spans="1:22" customFormat="1" ht="15" x14ac:dyDescent="0.25">
      <c r="A6842" t="s">
        <v>171</v>
      </c>
      <c r="E6842" s="1562" t="s">
        <v>950</v>
      </c>
      <c r="F6842" s="1530"/>
      <c r="G6842" s="1530"/>
      <c r="H6842" s="1530"/>
      <c r="K6842" t="s">
        <v>1010</v>
      </c>
      <c r="V6842">
        <v>11</v>
      </c>
    </row>
    <row r="6843" spans="1:22" customFormat="1" ht="15" x14ac:dyDescent="0.25">
      <c r="A6843" t="s">
        <v>171</v>
      </c>
      <c r="E6843" s="1531" t="s">
        <v>951</v>
      </c>
      <c r="F6843" s="1531"/>
      <c r="G6843" s="1531"/>
      <c r="H6843" s="1531"/>
      <c r="K6843" t="s">
        <v>4402</v>
      </c>
      <c r="V6843">
        <v>280</v>
      </c>
    </row>
    <row r="6844" spans="1:22" customFormat="1" ht="15" x14ac:dyDescent="0.25">
      <c r="A6844" t="s">
        <v>171</v>
      </c>
      <c r="E6844" s="1531" t="s">
        <v>952</v>
      </c>
      <c r="F6844" s="1531"/>
      <c r="G6844" s="1531"/>
      <c r="H6844" s="1531"/>
      <c r="K6844" t="s">
        <v>4402</v>
      </c>
      <c r="V6844">
        <v>411</v>
      </c>
    </row>
    <row r="6845" spans="1:22" customFormat="1" ht="15" x14ac:dyDescent="0.25">
      <c r="A6845" t="s">
        <v>171</v>
      </c>
      <c r="E6845" s="1531" t="s">
        <v>3761</v>
      </c>
      <c r="F6845" s="1531"/>
      <c r="G6845" s="1531"/>
      <c r="H6845" s="1531"/>
      <c r="K6845" t="s">
        <v>4402</v>
      </c>
      <c r="V6845">
        <v>387</v>
      </c>
    </row>
    <row r="6846" spans="1:22" customFormat="1" ht="15" x14ac:dyDescent="0.25">
      <c r="A6846" t="s">
        <v>171</v>
      </c>
      <c r="E6846" s="1531" t="s">
        <v>954</v>
      </c>
      <c r="F6846" s="1531"/>
      <c r="G6846" s="1531"/>
      <c r="H6846" s="1531"/>
      <c r="K6846" t="s">
        <v>4402</v>
      </c>
      <c r="V6846">
        <v>246</v>
      </c>
    </row>
    <row r="6847" spans="1:22" customFormat="1" ht="15" x14ac:dyDescent="0.25">
      <c r="A6847" t="s">
        <v>171</v>
      </c>
      <c r="E6847" s="1566" t="s">
        <v>956</v>
      </c>
      <c r="F6847" s="1567"/>
      <c r="G6847" s="1567"/>
      <c r="H6847" s="1567"/>
      <c r="K6847" t="s">
        <v>1011</v>
      </c>
      <c r="V6847">
        <v>46</v>
      </c>
    </row>
    <row r="6848" spans="1:22" customFormat="1" ht="15" x14ac:dyDescent="0.25">
      <c r="A6848" t="s">
        <v>171</v>
      </c>
      <c r="E6848" s="1495" t="s">
        <v>4449</v>
      </c>
      <c r="F6848" s="1495"/>
      <c r="G6848" s="584" t="s">
        <v>777</v>
      </c>
      <c r="H6848" s="953">
        <v>2.2400000000000002</v>
      </c>
      <c r="K6848" t="s">
        <v>4402</v>
      </c>
      <c r="L6848" t="s">
        <v>690</v>
      </c>
      <c r="P6848" t="s">
        <v>4404</v>
      </c>
      <c r="V6848">
        <v>27</v>
      </c>
    </row>
    <row r="6849" spans="1:22" customFormat="1" ht="15" x14ac:dyDescent="0.25">
      <c r="A6849" t="s">
        <v>171</v>
      </c>
      <c r="E6849" s="1495" t="s">
        <v>3688</v>
      </c>
      <c r="F6849" s="1495"/>
      <c r="G6849" s="584" t="s">
        <v>845</v>
      </c>
      <c r="H6849" s="432">
        <v>0.36180000000000001</v>
      </c>
      <c r="K6849" t="s">
        <v>4402</v>
      </c>
      <c r="L6849" t="s">
        <v>690</v>
      </c>
      <c r="P6849" t="s">
        <v>4405</v>
      </c>
      <c r="V6849">
        <v>28</v>
      </c>
    </row>
    <row r="6850" spans="1:22" customFormat="1" ht="15" x14ac:dyDescent="0.25">
      <c r="A6850" t="s">
        <v>171</v>
      </c>
      <c r="E6850" s="1645" t="s">
        <v>6830</v>
      </c>
      <c r="F6850" s="1610"/>
      <c r="G6850" s="584" t="s">
        <v>845</v>
      </c>
      <c r="H6850" s="432">
        <v>2.0000000000000001E-4</v>
      </c>
      <c r="K6850" t="s">
        <v>4402</v>
      </c>
      <c r="L6850" t="s">
        <v>692</v>
      </c>
      <c r="P6850" t="s">
        <v>4406</v>
      </c>
      <c r="T6850">
        <v>46022</v>
      </c>
      <c r="V6850">
        <v>142</v>
      </c>
    </row>
    <row r="6851" spans="1:22" customFormat="1" ht="15" x14ac:dyDescent="0.25">
      <c r="A6851" t="s">
        <v>171</v>
      </c>
      <c r="E6851" s="1645" t="s">
        <v>6828</v>
      </c>
      <c r="F6851" s="1610"/>
      <c r="G6851" s="584" t="s">
        <v>845</v>
      </c>
      <c r="H6851" s="432">
        <v>2.9999999999999997E-4</v>
      </c>
      <c r="K6851" t="s">
        <v>4402</v>
      </c>
      <c r="L6851" t="s">
        <v>690</v>
      </c>
      <c r="P6851" t="s">
        <v>6844</v>
      </c>
      <c r="T6851">
        <v>46022</v>
      </c>
      <c r="V6851">
        <v>95</v>
      </c>
    </row>
    <row r="6852" spans="1:22" customFormat="1" ht="15" x14ac:dyDescent="0.25">
      <c r="A6852" t="s">
        <v>171</v>
      </c>
      <c r="E6852" s="1645" t="s">
        <v>6831</v>
      </c>
      <c r="F6852" s="1610"/>
      <c r="G6852" s="584" t="s">
        <v>845</v>
      </c>
      <c r="H6852" s="432">
        <v>-1.5E-3</v>
      </c>
      <c r="K6852" t="s">
        <v>4402</v>
      </c>
      <c r="L6852" t="s">
        <v>692</v>
      </c>
      <c r="P6852" t="s">
        <v>6845</v>
      </c>
      <c r="T6852">
        <v>46022</v>
      </c>
      <c r="V6852">
        <v>111</v>
      </c>
    </row>
    <row r="6853" spans="1:22" customFormat="1" ht="15" x14ac:dyDescent="0.25">
      <c r="A6853" t="s">
        <v>171</v>
      </c>
      <c r="E6853" s="1645" t="s">
        <v>6826</v>
      </c>
      <c r="F6853" s="1610"/>
      <c r="G6853" s="584" t="s">
        <v>845</v>
      </c>
      <c r="H6853" s="432">
        <v>-1.61E-2</v>
      </c>
      <c r="K6853" t="s">
        <v>4402</v>
      </c>
      <c r="L6853" t="s">
        <v>692</v>
      </c>
      <c r="P6853" t="s">
        <v>6846</v>
      </c>
      <c r="T6853">
        <v>46022</v>
      </c>
      <c r="V6853">
        <v>111</v>
      </c>
    </row>
    <row r="6854" spans="1:22" customFormat="1" ht="15" x14ac:dyDescent="0.25">
      <c r="A6854" t="s">
        <v>171</v>
      </c>
      <c r="E6854" s="1645" t="s">
        <v>6833</v>
      </c>
      <c r="F6854" s="1610"/>
      <c r="G6854" s="584" t="s">
        <v>845</v>
      </c>
      <c r="H6854" s="432">
        <v>-1.1599999999999999E-2</v>
      </c>
      <c r="K6854" t="s">
        <v>4402</v>
      </c>
      <c r="L6854" t="s">
        <v>692</v>
      </c>
      <c r="P6854" t="s">
        <v>5270</v>
      </c>
      <c r="T6854">
        <v>46022</v>
      </c>
      <c r="V6854">
        <v>138</v>
      </c>
    </row>
    <row r="6855" spans="1:22" customFormat="1" ht="15" x14ac:dyDescent="0.25">
      <c r="A6855" t="s">
        <v>171</v>
      </c>
      <c r="E6855" s="1495" t="s">
        <v>243</v>
      </c>
      <c r="F6855" s="1561"/>
      <c r="G6855" s="584" t="s">
        <v>3775</v>
      </c>
      <c r="H6855" s="432">
        <v>3.2408000000000001</v>
      </c>
      <c r="K6855" t="s">
        <v>4402</v>
      </c>
      <c r="L6855" t="s">
        <v>694</v>
      </c>
      <c r="P6855" t="s">
        <v>4408</v>
      </c>
      <c r="V6855">
        <v>47</v>
      </c>
    </row>
    <row r="6856" spans="1:22" customFormat="1" ht="15" x14ac:dyDescent="0.25">
      <c r="A6856" t="s">
        <v>171</v>
      </c>
      <c r="E6856" s="1495" t="s">
        <v>175</v>
      </c>
      <c r="F6856" s="1561"/>
      <c r="G6856" s="584" t="s">
        <v>3775</v>
      </c>
      <c r="H6856" s="432">
        <v>2.3376999999999999</v>
      </c>
      <c r="K6856" t="s">
        <v>4402</v>
      </c>
      <c r="L6856" t="s">
        <v>694</v>
      </c>
      <c r="P6856" t="s">
        <v>4409</v>
      </c>
      <c r="V6856">
        <v>74</v>
      </c>
    </row>
    <row r="6857" spans="1:22" customFormat="1" ht="15" x14ac:dyDescent="0.25">
      <c r="A6857" t="s">
        <v>171</v>
      </c>
      <c r="E6857" s="1488" t="s">
        <v>967</v>
      </c>
      <c r="F6857" s="1561"/>
      <c r="G6857" s="360"/>
      <c r="H6857" s="867"/>
      <c r="K6857" t="s">
        <v>1019</v>
      </c>
      <c r="V6857">
        <v>48</v>
      </c>
    </row>
    <row r="6858" spans="1:22" customFormat="1" ht="15" x14ac:dyDescent="0.25">
      <c r="A6858" t="s">
        <v>171</v>
      </c>
      <c r="E6858" s="1495" t="s">
        <v>844</v>
      </c>
      <c r="F6858" s="1495"/>
      <c r="G6858" s="662" t="s">
        <v>845</v>
      </c>
      <c r="H6858" s="955">
        <v>4.1000000000000003E-3</v>
      </c>
      <c r="K6858" t="s">
        <v>4402</v>
      </c>
      <c r="L6858" t="s">
        <v>968</v>
      </c>
      <c r="P6858" t="s">
        <v>4410</v>
      </c>
      <c r="V6858">
        <v>55</v>
      </c>
    </row>
    <row r="6859" spans="1:22" customFormat="1" ht="15" x14ac:dyDescent="0.25">
      <c r="A6859" t="s">
        <v>171</v>
      </c>
      <c r="E6859" s="1495" t="s">
        <v>846</v>
      </c>
      <c r="F6859" s="1495"/>
      <c r="G6859" s="662" t="s">
        <v>845</v>
      </c>
      <c r="H6859" s="955">
        <v>4.0000000000000002E-4</v>
      </c>
      <c r="K6859" t="s">
        <v>4402</v>
      </c>
      <c r="L6859" t="s">
        <v>968</v>
      </c>
      <c r="P6859" t="s">
        <v>4410</v>
      </c>
      <c r="V6859">
        <v>65</v>
      </c>
    </row>
    <row r="6860" spans="1:22" customFormat="1" ht="15" x14ac:dyDescent="0.25">
      <c r="A6860" t="s">
        <v>171</v>
      </c>
      <c r="E6860" s="1495" t="s">
        <v>847</v>
      </c>
      <c r="F6860" s="1561"/>
      <c r="G6860" s="662" t="s">
        <v>845</v>
      </c>
      <c r="H6860" s="955">
        <v>1.4E-3</v>
      </c>
      <c r="K6860" t="s">
        <v>4402</v>
      </c>
      <c r="L6860" t="s">
        <v>968</v>
      </c>
      <c r="P6860" t="s">
        <v>4411</v>
      </c>
      <c r="V6860">
        <v>57</v>
      </c>
    </row>
    <row r="6861" spans="1:22" customFormat="1" ht="15" x14ac:dyDescent="0.25">
      <c r="A6861" t="s">
        <v>171</v>
      </c>
      <c r="E6861" s="1495" t="s">
        <v>848</v>
      </c>
      <c r="F6861" s="1495"/>
      <c r="G6861" s="662" t="s">
        <v>777</v>
      </c>
      <c r="H6861" s="956">
        <v>0.25</v>
      </c>
      <c r="K6861" t="s">
        <v>4402</v>
      </c>
      <c r="L6861" t="s">
        <v>968</v>
      </c>
      <c r="P6861" t="s">
        <v>4412</v>
      </c>
      <c r="V6861">
        <v>63</v>
      </c>
    </row>
    <row r="6862" spans="1:22" customFormat="1" x14ac:dyDescent="0.25">
      <c r="A6862" t="s">
        <v>171</v>
      </c>
      <c r="E6862" s="1538" t="s">
        <v>207</v>
      </c>
      <c r="F6862" s="1538"/>
      <c r="G6862" s="1538"/>
      <c r="H6862" s="1539"/>
      <c r="K6862" t="s">
        <v>4413</v>
      </c>
      <c r="V6862">
        <v>31</v>
      </c>
    </row>
    <row r="6863" spans="1:22" customFormat="1" ht="15" x14ac:dyDescent="0.25">
      <c r="A6863" t="s">
        <v>171</v>
      </c>
      <c r="E6863" s="1531" t="s">
        <v>4150</v>
      </c>
      <c r="F6863" s="1531"/>
      <c r="G6863" s="1531"/>
      <c r="H6863" s="1532"/>
      <c r="K6863" t="s">
        <v>4413</v>
      </c>
      <c r="V6863">
        <v>286</v>
      </c>
    </row>
    <row r="6864" spans="1:22" customFormat="1" ht="15" x14ac:dyDescent="0.25">
      <c r="A6864" t="s">
        <v>171</v>
      </c>
      <c r="E6864" s="1562" t="s">
        <v>950</v>
      </c>
      <c r="F6864" s="1530"/>
      <c r="G6864" s="1530"/>
      <c r="H6864" s="1530"/>
      <c r="K6864" t="s">
        <v>1025</v>
      </c>
      <c r="V6864">
        <v>11</v>
      </c>
    </row>
    <row r="6865" spans="1:22" customFormat="1" ht="15" x14ac:dyDescent="0.25">
      <c r="A6865" t="s">
        <v>171</v>
      </c>
      <c r="E6865" s="1531" t="s">
        <v>951</v>
      </c>
      <c r="F6865" s="1531"/>
      <c r="G6865" s="1531"/>
      <c r="H6865" s="1531"/>
      <c r="K6865" t="s">
        <v>4413</v>
      </c>
      <c r="V6865">
        <v>280</v>
      </c>
    </row>
    <row r="6866" spans="1:22" customFormat="1" ht="15" x14ac:dyDescent="0.25">
      <c r="A6866" t="s">
        <v>171</v>
      </c>
      <c r="E6866" s="1531" t="s">
        <v>952</v>
      </c>
      <c r="F6866" s="1531"/>
      <c r="G6866" s="1531"/>
      <c r="H6866" s="1531"/>
      <c r="K6866" t="s">
        <v>4413</v>
      </c>
      <c r="V6866">
        <v>411</v>
      </c>
    </row>
    <row r="6867" spans="1:22" customFormat="1" ht="15" x14ac:dyDescent="0.25">
      <c r="A6867" t="s">
        <v>171</v>
      </c>
      <c r="E6867" s="1531" t="s">
        <v>1103</v>
      </c>
      <c r="F6867" s="1531"/>
      <c r="G6867" s="1531"/>
      <c r="H6867" s="1531"/>
      <c r="K6867" t="s">
        <v>4413</v>
      </c>
      <c r="V6867">
        <v>211</v>
      </c>
    </row>
    <row r="6868" spans="1:22" customFormat="1" ht="15" x14ac:dyDescent="0.25">
      <c r="A6868" t="s">
        <v>171</v>
      </c>
      <c r="E6868" s="1531" t="s">
        <v>954</v>
      </c>
      <c r="F6868" s="1531"/>
      <c r="G6868" s="1531"/>
      <c r="H6868" s="1531"/>
      <c r="K6868" t="s">
        <v>4413</v>
      </c>
      <c r="V6868">
        <v>246</v>
      </c>
    </row>
    <row r="6869" spans="1:22" customFormat="1" ht="15" x14ac:dyDescent="0.25">
      <c r="A6869" t="s">
        <v>171</v>
      </c>
      <c r="E6869" s="1566" t="s">
        <v>956</v>
      </c>
      <c r="F6869" s="1567"/>
      <c r="G6869" s="1567"/>
      <c r="H6869" s="1567"/>
      <c r="K6869" t="s">
        <v>1026</v>
      </c>
      <c r="V6869">
        <v>46</v>
      </c>
    </row>
    <row r="6870" spans="1:22" customFormat="1" ht="15" x14ac:dyDescent="0.25">
      <c r="A6870" t="s">
        <v>171</v>
      </c>
      <c r="E6870" s="1495" t="s">
        <v>3773</v>
      </c>
      <c r="F6870" s="1495"/>
      <c r="G6870" s="584" t="s">
        <v>777</v>
      </c>
      <c r="H6870" s="953">
        <v>5</v>
      </c>
      <c r="K6870" t="s">
        <v>4413</v>
      </c>
      <c r="L6870" t="s">
        <v>690</v>
      </c>
      <c r="P6870" t="s">
        <v>4414</v>
      </c>
      <c r="V6870">
        <v>14</v>
      </c>
    </row>
    <row r="6871" spans="1:22" customFormat="1" ht="18.75" x14ac:dyDescent="0.25">
      <c r="A6871" t="s">
        <v>171</v>
      </c>
      <c r="E6871" s="957" t="s">
        <v>3825</v>
      </c>
      <c r="F6871" s="717"/>
      <c r="G6871" s="717"/>
      <c r="H6871" s="958"/>
      <c r="K6871" t="s">
        <v>4415</v>
      </c>
      <c r="V6871">
        <v>10</v>
      </c>
    </row>
    <row r="6872" spans="1:22" customFormat="1" ht="15" x14ac:dyDescent="0.25">
      <c r="A6872" t="s">
        <v>171</v>
      </c>
      <c r="E6872" s="1495" t="s">
        <v>1078</v>
      </c>
      <c r="F6872" s="1495"/>
      <c r="G6872" s="584" t="s">
        <v>3775</v>
      </c>
      <c r="H6872" s="432">
        <v>-0.6</v>
      </c>
      <c r="V6872">
        <v>68</v>
      </c>
    </row>
    <row r="6873" spans="1:22" customFormat="1" ht="15" x14ac:dyDescent="0.25">
      <c r="A6873" t="s">
        <v>171</v>
      </c>
      <c r="E6873" s="1495" t="s">
        <v>1079</v>
      </c>
      <c r="F6873" s="1495"/>
      <c r="G6873" s="584" t="s">
        <v>1118</v>
      </c>
      <c r="H6873" s="953">
        <v>-1</v>
      </c>
      <c r="V6873">
        <v>87</v>
      </c>
    </row>
    <row r="6874" spans="1:22" customFormat="1" x14ac:dyDescent="0.25">
      <c r="A6874" t="s">
        <v>171</v>
      </c>
      <c r="E6874" s="959" t="s">
        <v>3828</v>
      </c>
      <c r="F6874" s="718"/>
      <c r="G6874" s="718"/>
      <c r="H6874" s="960"/>
      <c r="K6874" t="s">
        <v>4416</v>
      </c>
      <c r="V6874">
        <v>24</v>
      </c>
    </row>
    <row r="6875" spans="1:22" customFormat="1" ht="15" x14ac:dyDescent="0.25">
      <c r="A6875" t="s">
        <v>171</v>
      </c>
      <c r="E6875" s="1516" t="s">
        <v>951</v>
      </c>
      <c r="F6875" s="1516"/>
      <c r="G6875" s="1516"/>
      <c r="H6875" s="1723"/>
      <c r="V6875">
        <v>280</v>
      </c>
    </row>
    <row r="6876" spans="1:22" customFormat="1" ht="15" x14ac:dyDescent="0.25">
      <c r="A6876" t="s">
        <v>171</v>
      </c>
      <c r="E6876" s="1516" t="s">
        <v>1081</v>
      </c>
      <c r="F6876" s="1516"/>
      <c r="G6876" s="1516"/>
      <c r="H6876" s="1723"/>
      <c r="V6876">
        <v>353</v>
      </c>
    </row>
    <row r="6877" spans="1:22" customFormat="1" ht="15" x14ac:dyDescent="0.25">
      <c r="A6877" t="s">
        <v>171</v>
      </c>
      <c r="E6877" s="1516" t="s">
        <v>4213</v>
      </c>
      <c r="F6877" s="1516"/>
      <c r="G6877" s="1516"/>
      <c r="H6877" s="1723"/>
      <c r="V6877">
        <v>247</v>
      </c>
    </row>
    <row r="6878" spans="1:22" customFormat="1" ht="15" x14ac:dyDescent="0.25">
      <c r="A6878" t="s">
        <v>171</v>
      </c>
      <c r="E6878" s="961" t="s">
        <v>3830</v>
      </c>
      <c r="F6878" s="703"/>
      <c r="G6878" s="703"/>
      <c r="H6878" s="962"/>
      <c r="K6878" t="s">
        <v>4417</v>
      </c>
      <c r="V6878">
        <v>23</v>
      </c>
    </row>
    <row r="6879" spans="1:22" customFormat="1" ht="15" x14ac:dyDescent="0.25">
      <c r="A6879" t="s">
        <v>171</v>
      </c>
      <c r="E6879" s="1568" t="s">
        <v>4418</v>
      </c>
      <c r="F6879" s="1568"/>
      <c r="G6879" s="584" t="s">
        <v>777</v>
      </c>
      <c r="H6879" s="953">
        <v>15</v>
      </c>
      <c r="V6879">
        <v>39</v>
      </c>
    </row>
    <row r="6880" spans="1:22" customFormat="1" ht="15" x14ac:dyDescent="0.25">
      <c r="A6880" t="s">
        <v>171</v>
      </c>
      <c r="E6880" s="1568" t="s">
        <v>3833</v>
      </c>
      <c r="F6880" s="1568"/>
      <c r="G6880" s="584" t="s">
        <v>777</v>
      </c>
      <c r="H6880" s="953">
        <v>15</v>
      </c>
      <c r="V6880">
        <v>20</v>
      </c>
    </row>
    <row r="6881" spans="1:22" customFormat="1" ht="15" x14ac:dyDescent="0.25">
      <c r="A6881" t="s">
        <v>171</v>
      </c>
      <c r="E6881" s="1568" t="s">
        <v>4054</v>
      </c>
      <c r="F6881" s="1568"/>
      <c r="G6881" s="584" t="s">
        <v>777</v>
      </c>
      <c r="H6881" s="953">
        <v>15</v>
      </c>
      <c r="V6881">
        <v>26</v>
      </c>
    </row>
    <row r="6882" spans="1:22" customFormat="1" ht="15" x14ac:dyDescent="0.25">
      <c r="A6882" t="s">
        <v>171</v>
      </c>
      <c r="E6882" s="1568" t="s">
        <v>3834</v>
      </c>
      <c r="F6882" s="1568"/>
      <c r="G6882" s="584" t="s">
        <v>777</v>
      </c>
      <c r="H6882" s="953">
        <v>15</v>
      </c>
      <c r="V6882">
        <v>39</v>
      </c>
    </row>
    <row r="6883" spans="1:22" customFormat="1" ht="15" x14ac:dyDescent="0.25">
      <c r="A6883" t="s">
        <v>171</v>
      </c>
      <c r="E6883" s="1568" t="s">
        <v>4055</v>
      </c>
      <c r="F6883" s="1568"/>
      <c r="G6883" s="584" t="s">
        <v>777</v>
      </c>
      <c r="H6883" s="953">
        <v>15</v>
      </c>
      <c r="V6883">
        <v>37</v>
      </c>
    </row>
    <row r="6884" spans="1:22" customFormat="1" ht="15" x14ac:dyDescent="0.25">
      <c r="A6884" t="s">
        <v>171</v>
      </c>
      <c r="E6884" s="1568" t="s">
        <v>4056</v>
      </c>
      <c r="F6884" s="1568"/>
      <c r="G6884" s="584" t="s">
        <v>777</v>
      </c>
      <c r="H6884" s="953">
        <v>15</v>
      </c>
      <c r="V6884">
        <v>15</v>
      </c>
    </row>
    <row r="6885" spans="1:22" customFormat="1" ht="15" x14ac:dyDescent="0.25">
      <c r="A6885" t="s">
        <v>171</v>
      </c>
      <c r="E6885" s="1568" t="s">
        <v>4057</v>
      </c>
      <c r="F6885" s="1568"/>
      <c r="G6885" s="584" t="s">
        <v>777</v>
      </c>
      <c r="H6885" s="953">
        <v>15</v>
      </c>
      <c r="V6885">
        <v>17</v>
      </c>
    </row>
    <row r="6886" spans="1:22" customFormat="1" ht="15" x14ac:dyDescent="0.25">
      <c r="A6886" t="s">
        <v>171</v>
      </c>
      <c r="E6886" s="1568" t="s">
        <v>4419</v>
      </c>
      <c r="F6886" s="1568"/>
      <c r="G6886" s="584" t="s">
        <v>777</v>
      </c>
      <c r="H6886" s="953">
        <v>15</v>
      </c>
      <c r="V6886">
        <v>19</v>
      </c>
    </row>
    <row r="6887" spans="1:22" customFormat="1" ht="15" x14ac:dyDescent="0.25">
      <c r="A6887" t="s">
        <v>171</v>
      </c>
      <c r="E6887" s="1568" t="s">
        <v>4058</v>
      </c>
      <c r="F6887" s="1568"/>
      <c r="G6887" s="584" t="s">
        <v>777</v>
      </c>
      <c r="H6887" s="953">
        <v>15</v>
      </c>
      <c r="V6887">
        <v>15</v>
      </c>
    </row>
    <row r="6888" spans="1:22" customFormat="1" ht="15" x14ac:dyDescent="0.25">
      <c r="A6888" t="s">
        <v>171</v>
      </c>
      <c r="E6888" s="1568" t="s">
        <v>3835</v>
      </c>
      <c r="F6888" s="1568"/>
      <c r="G6888" s="584" t="s">
        <v>777</v>
      </c>
      <c r="H6888" s="953">
        <v>15</v>
      </c>
      <c r="V6888">
        <v>56</v>
      </c>
    </row>
    <row r="6889" spans="1:22" customFormat="1" ht="15" x14ac:dyDescent="0.25">
      <c r="A6889" t="s">
        <v>171</v>
      </c>
      <c r="E6889" s="1568" t="s">
        <v>3837</v>
      </c>
      <c r="F6889" s="1568"/>
      <c r="G6889" s="584" t="s">
        <v>777</v>
      </c>
      <c r="H6889" s="953">
        <v>30</v>
      </c>
      <c r="V6889">
        <v>89</v>
      </c>
    </row>
    <row r="6890" spans="1:22" customFormat="1" ht="15" x14ac:dyDescent="0.25">
      <c r="A6890" t="s">
        <v>171</v>
      </c>
      <c r="E6890" s="1568" t="s">
        <v>3836</v>
      </c>
      <c r="F6890" s="1568"/>
      <c r="G6890" s="584" t="s">
        <v>777</v>
      </c>
      <c r="H6890" s="953">
        <v>15</v>
      </c>
      <c r="V6890">
        <v>35</v>
      </c>
    </row>
    <row r="6891" spans="1:22" customFormat="1" ht="15" x14ac:dyDescent="0.25">
      <c r="A6891" t="s">
        <v>171</v>
      </c>
      <c r="E6891" s="1568" t="s">
        <v>4420</v>
      </c>
      <c r="F6891" s="1568"/>
      <c r="G6891" s="584" t="s">
        <v>777</v>
      </c>
      <c r="H6891" s="953">
        <v>15</v>
      </c>
      <c r="V6891">
        <v>24</v>
      </c>
    </row>
    <row r="6892" spans="1:22" customFormat="1" ht="15" x14ac:dyDescent="0.25">
      <c r="A6892" t="s">
        <v>171</v>
      </c>
      <c r="E6892" s="1568" t="s">
        <v>4059</v>
      </c>
      <c r="F6892" s="1568"/>
      <c r="G6892" s="584" t="s">
        <v>777</v>
      </c>
      <c r="H6892" s="953">
        <v>15</v>
      </c>
      <c r="V6892">
        <v>19</v>
      </c>
    </row>
    <row r="6893" spans="1:22" customFormat="1" ht="15" x14ac:dyDescent="0.25">
      <c r="A6893" t="s">
        <v>171</v>
      </c>
      <c r="E6893" s="1568" t="s">
        <v>3914</v>
      </c>
      <c r="F6893" s="1569"/>
      <c r="G6893" s="584" t="s">
        <v>777</v>
      </c>
      <c r="H6893" s="953">
        <v>30</v>
      </c>
      <c r="V6893">
        <v>19</v>
      </c>
    </row>
    <row r="6894" spans="1:22" customFormat="1" ht="15" x14ac:dyDescent="0.25">
      <c r="A6894" t="s">
        <v>171</v>
      </c>
      <c r="E6894" s="1568" t="s">
        <v>3838</v>
      </c>
      <c r="F6894" s="1568"/>
      <c r="G6894" s="584" t="s">
        <v>777</v>
      </c>
      <c r="H6894" s="953">
        <v>30</v>
      </c>
      <c r="V6894">
        <v>74</v>
      </c>
    </row>
    <row r="6895" spans="1:22" customFormat="1" ht="15" x14ac:dyDescent="0.25">
      <c r="A6895" t="s">
        <v>171</v>
      </c>
      <c r="E6895" s="961" t="s">
        <v>4062</v>
      </c>
      <c r="F6895" s="703"/>
      <c r="G6895" s="703"/>
      <c r="H6895" s="962"/>
      <c r="K6895" t="s">
        <v>4421</v>
      </c>
      <c r="V6895">
        <v>22</v>
      </c>
    </row>
    <row r="6896" spans="1:22" customFormat="1" ht="15" x14ac:dyDescent="0.25">
      <c r="A6896" t="s">
        <v>171</v>
      </c>
      <c r="E6896" s="1568" t="s">
        <v>4422</v>
      </c>
      <c r="F6896" s="1568"/>
      <c r="G6896" s="584" t="s">
        <v>1118</v>
      </c>
      <c r="H6896" s="953">
        <v>1.5</v>
      </c>
      <c r="V6896">
        <v>107</v>
      </c>
    </row>
    <row r="6897" spans="1:22" customFormat="1" ht="15" x14ac:dyDescent="0.25">
      <c r="A6897" t="s">
        <v>171</v>
      </c>
      <c r="E6897" s="1568" t="s">
        <v>4423</v>
      </c>
      <c r="F6897" s="1568"/>
      <c r="G6897" s="584" t="s">
        <v>777</v>
      </c>
      <c r="H6897" s="953">
        <v>65</v>
      </c>
      <c r="V6897">
        <v>45</v>
      </c>
    </row>
    <row r="6898" spans="1:22" customFormat="1" ht="15" x14ac:dyDescent="0.25">
      <c r="A6898" t="s">
        <v>171</v>
      </c>
      <c r="E6898" s="1568" t="s">
        <v>4424</v>
      </c>
      <c r="F6898" s="1568"/>
      <c r="G6898" s="584" t="s">
        <v>777</v>
      </c>
      <c r="H6898" s="953">
        <v>185</v>
      </c>
      <c r="V6898">
        <v>44</v>
      </c>
    </row>
    <row r="6899" spans="1:22" customFormat="1" ht="15" x14ac:dyDescent="0.25">
      <c r="A6899" t="s">
        <v>171</v>
      </c>
      <c r="E6899" s="1568" t="s">
        <v>4425</v>
      </c>
      <c r="F6899" s="1568"/>
      <c r="G6899" s="584" t="s">
        <v>777</v>
      </c>
      <c r="H6899" s="953">
        <v>185</v>
      </c>
      <c r="V6899">
        <v>44</v>
      </c>
    </row>
    <row r="6900" spans="1:22" customFormat="1" ht="15" x14ac:dyDescent="0.25">
      <c r="A6900" t="s">
        <v>171</v>
      </c>
      <c r="E6900" s="1568" t="s">
        <v>4426</v>
      </c>
      <c r="F6900" s="1568"/>
      <c r="G6900" s="584" t="s">
        <v>777</v>
      </c>
      <c r="H6900" s="953">
        <v>415</v>
      </c>
      <c r="V6900">
        <v>43</v>
      </c>
    </row>
    <row r="6901" spans="1:22" customFormat="1" ht="15" x14ac:dyDescent="0.25">
      <c r="A6901" t="s">
        <v>171</v>
      </c>
      <c r="E6901" s="961" t="s">
        <v>3846</v>
      </c>
      <c r="F6901" s="706"/>
      <c r="G6901" s="585"/>
      <c r="H6901" s="895"/>
      <c r="V6901">
        <v>5</v>
      </c>
    </row>
    <row r="6902" spans="1:22" customFormat="1" ht="15" x14ac:dyDescent="0.25">
      <c r="A6902" t="s">
        <v>171</v>
      </c>
      <c r="E6902" s="1568" t="s">
        <v>4427</v>
      </c>
      <c r="F6902" s="1568"/>
      <c r="G6902" s="584"/>
      <c r="H6902" s="963">
        <v>3.5999999999999997E-2</v>
      </c>
      <c r="V6902">
        <v>62</v>
      </c>
    </row>
    <row r="6903" spans="1:22" customFormat="1" ht="15" x14ac:dyDescent="0.25">
      <c r="A6903" t="s">
        <v>171</v>
      </c>
      <c r="E6903" s="1568" t="s">
        <v>1101</v>
      </c>
      <c r="F6903" s="1569"/>
      <c r="G6903" s="584"/>
      <c r="H6903" s="963"/>
      <c r="V6903">
        <v>50</v>
      </c>
    </row>
    <row r="6904" spans="1:22" customFormat="1" ht="15" x14ac:dyDescent="0.25">
      <c r="A6904" t="s">
        <v>171</v>
      </c>
      <c r="E6904" s="1568" t="s">
        <v>4217</v>
      </c>
      <c r="F6904" s="1568"/>
      <c r="G6904" s="584" t="s">
        <v>777</v>
      </c>
      <c r="H6904" s="953">
        <v>30</v>
      </c>
      <c r="V6904">
        <v>39</v>
      </c>
    </row>
    <row r="6905" spans="1:22" customFormat="1" ht="15" x14ac:dyDescent="0.25">
      <c r="A6905" t="s">
        <v>171</v>
      </c>
      <c r="E6905" s="1568" t="s">
        <v>3847</v>
      </c>
      <c r="F6905" s="1568"/>
      <c r="G6905" s="584" t="s">
        <v>777</v>
      </c>
      <c r="H6905" s="953">
        <v>165</v>
      </c>
      <c r="V6905">
        <v>34</v>
      </c>
    </row>
    <row r="6906" spans="1:22" customFormat="1" ht="15" x14ac:dyDescent="0.25">
      <c r="A6906" t="s">
        <v>171</v>
      </c>
      <c r="E6906" s="1568" t="s">
        <v>4428</v>
      </c>
      <c r="F6906" s="1568"/>
      <c r="G6906" s="584" t="s">
        <v>777</v>
      </c>
      <c r="H6906" s="953">
        <v>500</v>
      </c>
      <c r="V6906">
        <v>63</v>
      </c>
    </row>
    <row r="6907" spans="1:22" customFormat="1" ht="15" x14ac:dyDescent="0.25">
      <c r="A6907" t="s">
        <v>171</v>
      </c>
      <c r="E6907" s="1568" t="s">
        <v>4429</v>
      </c>
      <c r="F6907" s="1568"/>
      <c r="G6907" s="584" t="s">
        <v>777</v>
      </c>
      <c r="H6907" s="953">
        <v>300</v>
      </c>
      <c r="V6907">
        <v>65</v>
      </c>
    </row>
    <row r="6908" spans="1:22" customFormat="1" ht="15" x14ac:dyDescent="0.25">
      <c r="A6908" t="s">
        <v>171</v>
      </c>
      <c r="E6908" s="1568" t="s">
        <v>4430</v>
      </c>
      <c r="F6908" s="1568"/>
      <c r="G6908" s="584" t="s">
        <v>777</v>
      </c>
      <c r="H6908" s="953">
        <v>1000</v>
      </c>
      <c r="V6908">
        <v>64</v>
      </c>
    </row>
    <row r="6909" spans="1:22" customFormat="1" x14ac:dyDescent="0.25">
      <c r="A6909" t="s">
        <v>171</v>
      </c>
      <c r="E6909" s="964" t="s">
        <v>3851</v>
      </c>
      <c r="F6909" s="721"/>
      <c r="G6909" s="721"/>
      <c r="H6909" s="965"/>
      <c r="K6909" t="s">
        <v>4431</v>
      </c>
      <c r="V6909">
        <v>38</v>
      </c>
    </row>
    <row r="6910" spans="1:22" customFormat="1" ht="15" x14ac:dyDescent="0.25">
      <c r="A6910" t="s">
        <v>171</v>
      </c>
      <c r="E6910" s="1516" t="s">
        <v>951</v>
      </c>
      <c r="F6910" s="1516"/>
      <c r="G6910" s="1516"/>
      <c r="H6910" s="1723"/>
      <c r="V6910">
        <v>280</v>
      </c>
    </row>
    <row r="6911" spans="1:22" customFormat="1" ht="15" x14ac:dyDescent="0.25">
      <c r="A6911" t="s">
        <v>171</v>
      </c>
      <c r="E6911" s="1516" t="s">
        <v>4432</v>
      </c>
      <c r="F6911" s="1516"/>
      <c r="G6911" s="1516"/>
      <c r="H6911" s="1723"/>
      <c r="V6911">
        <v>413</v>
      </c>
    </row>
    <row r="6912" spans="1:22" customFormat="1" ht="15" x14ac:dyDescent="0.25">
      <c r="A6912" t="s">
        <v>171</v>
      </c>
      <c r="E6912" s="1516" t="s">
        <v>1103</v>
      </c>
      <c r="F6912" s="1516"/>
      <c r="G6912" s="1516"/>
      <c r="H6912" s="1723"/>
      <c r="V6912">
        <v>211</v>
      </c>
    </row>
    <row r="6913" spans="1:22" customFormat="1" ht="15" x14ac:dyDescent="0.25">
      <c r="A6913" t="s">
        <v>171</v>
      </c>
      <c r="E6913" s="1516" t="s">
        <v>4433</v>
      </c>
      <c r="F6913" s="1516"/>
      <c r="G6913" s="1516"/>
      <c r="H6913" s="1723"/>
      <c r="V6913">
        <v>248</v>
      </c>
    </row>
    <row r="6914" spans="1:22" customFormat="1" ht="15" x14ac:dyDescent="0.25">
      <c r="A6914" t="s">
        <v>171</v>
      </c>
      <c r="E6914" s="1516" t="s">
        <v>4434</v>
      </c>
      <c r="F6914" s="1516"/>
      <c r="G6914" s="1516"/>
      <c r="H6914" s="1723"/>
      <c r="V6914">
        <v>213</v>
      </c>
    </row>
    <row r="6915" spans="1:22" customFormat="1" ht="15" x14ac:dyDescent="0.25">
      <c r="A6915" t="s">
        <v>171</v>
      </c>
      <c r="E6915" s="1683" t="s">
        <v>849</v>
      </c>
      <c r="F6915" s="1683"/>
      <c r="G6915" s="735" t="s">
        <v>777</v>
      </c>
      <c r="H6915" s="891">
        <v>0.04</v>
      </c>
      <c r="V6915">
        <v>106</v>
      </c>
    </row>
    <row r="6916" spans="1:22" customFormat="1" ht="15" x14ac:dyDescent="0.25">
      <c r="A6916" t="s">
        <v>171</v>
      </c>
      <c r="E6916" s="1495" t="s">
        <v>850</v>
      </c>
      <c r="F6916" s="1495"/>
      <c r="G6916" s="735" t="s">
        <v>777</v>
      </c>
      <c r="H6916" s="891">
        <v>0.04</v>
      </c>
      <c r="V6916">
        <v>34</v>
      </c>
    </row>
    <row r="6917" spans="1:22" customFormat="1" ht="15" x14ac:dyDescent="0.25">
      <c r="A6917" t="s">
        <v>171</v>
      </c>
      <c r="E6917" s="1495" t="s">
        <v>851</v>
      </c>
      <c r="F6917" s="1495"/>
      <c r="G6917" s="735" t="s">
        <v>852</v>
      </c>
      <c r="H6917" s="891">
        <v>0.04</v>
      </c>
      <c r="V6917">
        <v>51</v>
      </c>
    </row>
    <row r="6918" spans="1:22" customFormat="1" ht="15" x14ac:dyDescent="0.25">
      <c r="A6918" t="s">
        <v>171</v>
      </c>
      <c r="E6918" s="1495" t="s">
        <v>853</v>
      </c>
      <c r="F6918" s="1495"/>
      <c r="G6918" s="735" t="s">
        <v>852</v>
      </c>
      <c r="H6918" s="891">
        <v>0.04</v>
      </c>
      <c r="V6918">
        <v>75</v>
      </c>
    </row>
    <row r="6919" spans="1:22" customFormat="1" ht="15" x14ac:dyDescent="0.25">
      <c r="A6919" t="s">
        <v>171</v>
      </c>
      <c r="E6919" s="1495" t="s">
        <v>854</v>
      </c>
      <c r="F6919" s="1495"/>
      <c r="G6919" s="735" t="s">
        <v>852</v>
      </c>
      <c r="H6919" s="891">
        <v>0.04</v>
      </c>
      <c r="V6919">
        <v>72</v>
      </c>
    </row>
    <row r="6920" spans="1:22" customFormat="1" ht="15" x14ac:dyDescent="0.25">
      <c r="A6920" t="s">
        <v>171</v>
      </c>
      <c r="E6920" s="1495" t="s">
        <v>1105</v>
      </c>
      <c r="F6920" s="1495"/>
      <c r="G6920" s="749"/>
      <c r="H6920" s="896"/>
      <c r="V6920">
        <v>35</v>
      </c>
    </row>
    <row r="6921" spans="1:22" customFormat="1" ht="15" x14ac:dyDescent="0.25">
      <c r="A6921" t="s">
        <v>171</v>
      </c>
      <c r="E6921" s="1683" t="s">
        <v>1106</v>
      </c>
      <c r="F6921" s="1683"/>
      <c r="G6921" s="735" t="s">
        <v>777</v>
      </c>
      <c r="H6921" s="891">
        <v>0.04</v>
      </c>
      <c r="V6921">
        <v>57</v>
      </c>
    </row>
    <row r="6922" spans="1:22" customFormat="1" ht="15" x14ac:dyDescent="0.25">
      <c r="A6922" t="s">
        <v>171</v>
      </c>
      <c r="E6922" s="1683" t="s">
        <v>1107</v>
      </c>
      <c r="F6922" s="1683"/>
      <c r="G6922" s="735" t="s">
        <v>777</v>
      </c>
      <c r="H6922" s="891">
        <v>0.04</v>
      </c>
      <c r="V6922">
        <v>60</v>
      </c>
    </row>
    <row r="6923" spans="1:22" customFormat="1" ht="15" x14ac:dyDescent="0.25">
      <c r="A6923" t="s">
        <v>171</v>
      </c>
      <c r="E6923" s="1683" t="s">
        <v>1108</v>
      </c>
      <c r="F6923" s="1683"/>
      <c r="G6923" s="749"/>
      <c r="H6923" s="896"/>
      <c r="V6923">
        <v>91</v>
      </c>
    </row>
    <row r="6924" spans="1:22" customFormat="1" ht="15" x14ac:dyDescent="0.25">
      <c r="A6924" t="s">
        <v>171</v>
      </c>
      <c r="E6924" s="1495" t="s">
        <v>1109</v>
      </c>
      <c r="F6924" s="1495"/>
      <c r="G6924" s="749"/>
      <c r="H6924" s="896"/>
      <c r="V6924">
        <v>96</v>
      </c>
    </row>
    <row r="6925" spans="1:22" customFormat="1" ht="15" x14ac:dyDescent="0.25">
      <c r="A6925" t="s">
        <v>171</v>
      </c>
      <c r="E6925" s="1495" t="s">
        <v>1110</v>
      </c>
      <c r="F6925" s="1495"/>
      <c r="G6925" s="749"/>
      <c r="H6925" s="896"/>
      <c r="V6925">
        <v>78</v>
      </c>
    </row>
    <row r="6926" spans="1:22" customFormat="1" ht="15" x14ac:dyDescent="0.25">
      <c r="A6926" t="s">
        <v>171</v>
      </c>
      <c r="E6926" s="1591" t="s">
        <v>4435</v>
      </c>
      <c r="F6926" s="1591"/>
      <c r="G6926" s="735" t="s">
        <v>777</v>
      </c>
      <c r="H6926" s="896" t="s">
        <v>857</v>
      </c>
      <c r="V6926">
        <v>24</v>
      </c>
    </row>
    <row r="6927" spans="1:22" customFormat="1" ht="15" x14ac:dyDescent="0.25">
      <c r="A6927" t="s">
        <v>171</v>
      </c>
      <c r="E6927" s="1591" t="s">
        <v>1112</v>
      </c>
      <c r="F6927" s="1591"/>
      <c r="G6927" s="735" t="s">
        <v>777</v>
      </c>
      <c r="H6927" s="891">
        <v>0.04</v>
      </c>
      <c r="V6927">
        <v>69</v>
      </c>
    </row>
    <row r="6928" spans="1:22" customFormat="1" ht="15" x14ac:dyDescent="0.25">
      <c r="A6928" t="s">
        <v>171</v>
      </c>
      <c r="E6928" s="1752" t="s">
        <v>858</v>
      </c>
      <c r="F6928" s="1752"/>
      <c r="G6928" s="735" t="s">
        <v>777</v>
      </c>
      <c r="H6928" s="891">
        <v>0.04</v>
      </c>
      <c r="V6928">
        <v>199</v>
      </c>
    </row>
    <row r="6929" spans="1:22" customFormat="1" x14ac:dyDescent="0.25">
      <c r="A6929" t="s">
        <v>171</v>
      </c>
      <c r="E6929" s="964" t="s">
        <v>3853</v>
      </c>
      <c r="F6929" s="718"/>
      <c r="G6929" s="718"/>
      <c r="H6929" s="960"/>
      <c r="K6929" t="s">
        <v>4436</v>
      </c>
      <c r="V6929">
        <v>12</v>
      </c>
    </row>
    <row r="6930" spans="1:22" customFormat="1" ht="15" x14ac:dyDescent="0.25">
      <c r="A6930" t="s">
        <v>171</v>
      </c>
      <c r="E6930" s="1507" t="s">
        <v>1114</v>
      </c>
      <c r="F6930" s="1507"/>
      <c r="G6930" s="1507"/>
      <c r="H6930" s="1724"/>
      <c r="V6930">
        <v>203</v>
      </c>
    </row>
    <row r="6931" spans="1:22" customFormat="1" ht="15" x14ac:dyDescent="0.25">
      <c r="A6931" t="s">
        <v>171</v>
      </c>
      <c r="E6931" s="1495" t="s">
        <v>4437</v>
      </c>
      <c r="F6931" s="1495"/>
      <c r="G6931" s="578"/>
      <c r="H6931" s="963">
        <v>1.0872999999999999</v>
      </c>
      <c r="V6931">
        <v>46</v>
      </c>
    </row>
    <row r="6932" spans="1:22" customFormat="1" ht="15" x14ac:dyDescent="0.25">
      <c r="A6932" t="s">
        <v>171</v>
      </c>
      <c r="E6932" s="1495" t="s">
        <v>4438</v>
      </c>
      <c r="F6932" s="1495"/>
      <c r="G6932" s="578"/>
      <c r="H6932" s="963">
        <v>1.0765</v>
      </c>
      <c r="J6932" t="s">
        <v>4439</v>
      </c>
      <c r="V6932">
        <v>45</v>
      </c>
    </row>
    <row r="6933" spans="1:22" customFormat="1" ht="23.25" x14ac:dyDescent="0.25">
      <c r="A6933" t="s">
        <v>181</v>
      </c>
      <c r="C6933" t="s">
        <v>3755</v>
      </c>
      <c r="E6933" s="1576" t="s">
        <v>181</v>
      </c>
      <c r="F6933" s="1576"/>
      <c r="G6933" s="1576"/>
      <c r="H6933" s="1576"/>
      <c r="I6933" t="s">
        <v>94</v>
      </c>
      <c r="J6933" t="s">
        <v>5282</v>
      </c>
      <c r="K6933" t="s">
        <v>181</v>
      </c>
      <c r="M6933">
        <v>9</v>
      </c>
      <c r="V6933">
        <v>40</v>
      </c>
    </row>
    <row r="6934" spans="1:22" customFormat="1" x14ac:dyDescent="0.25">
      <c r="A6934" t="s">
        <v>181</v>
      </c>
      <c r="C6934" t="s">
        <v>3757</v>
      </c>
      <c r="E6934" s="1577" t="s">
        <v>944</v>
      </c>
      <c r="F6934" s="1577"/>
      <c r="G6934" s="1577"/>
      <c r="H6934" s="1577"/>
      <c r="V6934">
        <v>27</v>
      </c>
    </row>
    <row r="6935" spans="1:22" customFormat="1" ht="15.75" x14ac:dyDescent="0.25">
      <c r="A6935" t="s">
        <v>181</v>
      </c>
      <c r="C6935" t="s">
        <v>3758</v>
      </c>
      <c r="E6935" s="1585" t="s">
        <v>6847</v>
      </c>
      <c r="F6935" s="1585"/>
      <c r="G6935" s="1585"/>
      <c r="H6935" s="1585"/>
      <c r="S6935">
        <v>45778</v>
      </c>
      <c r="V6935">
        <v>45</v>
      </c>
    </row>
    <row r="6936" spans="1:22" customFormat="1" ht="15" x14ac:dyDescent="0.25">
      <c r="A6936" t="s">
        <v>181</v>
      </c>
      <c r="C6936" t="s">
        <v>3759</v>
      </c>
      <c r="E6936" s="1575" t="s">
        <v>945</v>
      </c>
      <c r="F6936" s="1575"/>
      <c r="G6936" s="1575"/>
      <c r="H6936" s="1575"/>
      <c r="V6936">
        <v>52</v>
      </c>
    </row>
    <row r="6937" spans="1:22" customFormat="1" ht="15" x14ac:dyDescent="0.25">
      <c r="A6937" t="s">
        <v>181</v>
      </c>
      <c r="E6937" s="1575" t="s">
        <v>946</v>
      </c>
      <c r="F6937" s="1575"/>
      <c r="G6937" s="1575"/>
      <c r="H6937" s="1575"/>
      <c r="V6937">
        <v>53</v>
      </c>
    </row>
    <row r="6938" spans="1:22" customFormat="1" ht="15" x14ac:dyDescent="0.25">
      <c r="A6938" t="s">
        <v>181</v>
      </c>
      <c r="E6938" s="1534" t="s">
        <v>6848</v>
      </c>
      <c r="F6938" s="1534"/>
      <c r="G6938" s="1534"/>
      <c r="H6938" s="1534"/>
      <c r="K6938" t="s">
        <v>6848</v>
      </c>
      <c r="V6938">
        <v>12</v>
      </c>
    </row>
    <row r="6939" spans="1:22" customFormat="1" ht="15" x14ac:dyDescent="0.25">
      <c r="A6939" t="s">
        <v>181</v>
      </c>
      <c r="E6939" s="1538" t="s">
        <v>170</v>
      </c>
      <c r="F6939" s="1496"/>
      <c r="G6939" s="1496"/>
      <c r="H6939" s="1496"/>
      <c r="K6939" t="s">
        <v>947</v>
      </c>
      <c r="V6939">
        <v>34</v>
      </c>
    </row>
    <row r="6940" spans="1:22" customFormat="1" ht="15" x14ac:dyDescent="0.25">
      <c r="A6940" t="s">
        <v>181</v>
      </c>
      <c r="E6940" s="1496" t="s">
        <v>5283</v>
      </c>
      <c r="F6940" s="1496"/>
      <c r="G6940" s="1496"/>
      <c r="H6940" s="1496"/>
      <c r="K6940" t="s">
        <v>947</v>
      </c>
      <c r="V6940">
        <v>930</v>
      </c>
    </row>
    <row r="6941" spans="1:22" customFormat="1" ht="15" x14ac:dyDescent="0.25">
      <c r="A6941" t="s">
        <v>181</v>
      </c>
      <c r="E6941" s="1533" t="s">
        <v>950</v>
      </c>
      <c r="F6941" s="1496"/>
      <c r="G6941" s="1496"/>
      <c r="H6941" s="1496"/>
      <c r="K6941" t="s">
        <v>949</v>
      </c>
      <c r="V6941">
        <v>11</v>
      </c>
    </row>
    <row r="6942" spans="1:22" customFormat="1" ht="15" x14ac:dyDescent="0.25">
      <c r="A6942" t="s">
        <v>181</v>
      </c>
      <c r="E6942" s="1496" t="s">
        <v>951</v>
      </c>
      <c r="F6942" s="1496"/>
      <c r="G6942" s="1496"/>
      <c r="H6942" s="1496"/>
      <c r="K6942" t="s">
        <v>947</v>
      </c>
      <c r="V6942">
        <v>280</v>
      </c>
    </row>
    <row r="6943" spans="1:22" customFormat="1" ht="15" x14ac:dyDescent="0.25">
      <c r="A6943" t="s">
        <v>181</v>
      </c>
      <c r="E6943" s="1496" t="s">
        <v>952</v>
      </c>
      <c r="F6943" s="1496"/>
      <c r="G6943" s="1496"/>
      <c r="H6943" s="1496"/>
      <c r="K6943" t="s">
        <v>947</v>
      </c>
      <c r="V6943">
        <v>411</v>
      </c>
    </row>
    <row r="6944" spans="1:22" customFormat="1" ht="15" x14ac:dyDescent="0.25">
      <c r="A6944" t="s">
        <v>181</v>
      </c>
      <c r="E6944" s="1496" t="s">
        <v>953</v>
      </c>
      <c r="F6944" s="1496"/>
      <c r="G6944" s="1496"/>
      <c r="H6944" s="1496"/>
      <c r="K6944" t="s">
        <v>947</v>
      </c>
      <c r="V6944">
        <v>386</v>
      </c>
    </row>
    <row r="6945" spans="1:22" customFormat="1" ht="15" x14ac:dyDescent="0.25">
      <c r="A6945" t="s">
        <v>181</v>
      </c>
      <c r="E6945" s="1496" t="s">
        <v>3762</v>
      </c>
      <c r="F6945" s="1496"/>
      <c r="G6945" s="1496"/>
      <c r="H6945" s="1496"/>
      <c r="K6945" t="s">
        <v>947</v>
      </c>
      <c r="V6945">
        <v>247</v>
      </c>
    </row>
    <row r="6946" spans="1:22" customFormat="1" ht="15" x14ac:dyDescent="0.25">
      <c r="A6946" t="s">
        <v>181</v>
      </c>
      <c r="E6946" s="1533" t="s">
        <v>956</v>
      </c>
      <c r="F6946" s="1496"/>
      <c r="G6946" s="1496"/>
      <c r="H6946" s="1496"/>
      <c r="K6946" t="s">
        <v>955</v>
      </c>
      <c r="V6946">
        <v>46</v>
      </c>
    </row>
    <row r="6947" spans="1:22" customFormat="1" ht="15" x14ac:dyDescent="0.25">
      <c r="A6947" t="s">
        <v>181</v>
      </c>
      <c r="E6947" s="1524" t="s">
        <v>3773</v>
      </c>
      <c r="F6947" s="1524"/>
      <c r="G6947" s="360" t="s">
        <v>777</v>
      </c>
      <c r="H6947" s="953">
        <v>39.729999999999997</v>
      </c>
      <c r="K6947" t="s">
        <v>947</v>
      </c>
      <c r="L6947" t="s">
        <v>690</v>
      </c>
      <c r="P6947" t="s">
        <v>957</v>
      </c>
      <c r="V6947">
        <v>14</v>
      </c>
    </row>
    <row r="6948" spans="1:22" customFormat="1" ht="15" x14ac:dyDescent="0.25">
      <c r="A6948" t="s">
        <v>181</v>
      </c>
      <c r="E6948" s="1524" t="s">
        <v>960</v>
      </c>
      <c r="F6948" s="1524"/>
      <c r="G6948" s="360" t="s">
        <v>777</v>
      </c>
      <c r="H6948" s="604">
        <v>0.42</v>
      </c>
      <c r="K6948" t="s">
        <v>947</v>
      </c>
      <c r="L6948" t="s">
        <v>692</v>
      </c>
      <c r="P6948" t="s">
        <v>959</v>
      </c>
      <c r="V6948">
        <v>64</v>
      </c>
    </row>
    <row r="6949" spans="1:22" customFormat="1" ht="15" x14ac:dyDescent="0.25">
      <c r="A6949" t="s">
        <v>181</v>
      </c>
      <c r="E6949" s="1524" t="s">
        <v>910</v>
      </c>
      <c r="F6949" s="1524"/>
      <c r="G6949" s="360" t="s">
        <v>845</v>
      </c>
      <c r="H6949" s="605">
        <v>4.0000000000000002E-4</v>
      </c>
      <c r="K6949" t="s">
        <v>947</v>
      </c>
      <c r="L6949" t="s">
        <v>692</v>
      </c>
      <c r="P6949" t="s">
        <v>961</v>
      </c>
      <c r="V6949">
        <v>24</v>
      </c>
    </row>
    <row r="6950" spans="1:22" customFormat="1" ht="15" x14ac:dyDescent="0.25">
      <c r="A6950" t="s">
        <v>181</v>
      </c>
      <c r="E6950" s="1524" t="s">
        <v>6849</v>
      </c>
      <c r="F6950" s="1468"/>
      <c r="G6950" s="360" t="s">
        <v>845</v>
      </c>
      <c r="H6950" s="605">
        <v>1.2999999999999999E-3</v>
      </c>
      <c r="K6950" t="s">
        <v>947</v>
      </c>
      <c r="L6950" t="s">
        <v>692</v>
      </c>
      <c r="P6950" t="s">
        <v>962</v>
      </c>
      <c r="T6950">
        <v>46142</v>
      </c>
      <c r="V6950">
        <v>139</v>
      </c>
    </row>
    <row r="6951" spans="1:22" customFormat="1" ht="15" x14ac:dyDescent="0.25">
      <c r="A6951" t="s">
        <v>181</v>
      </c>
      <c r="E6951" s="1524" t="s">
        <v>6850</v>
      </c>
      <c r="F6951" s="1468"/>
      <c r="G6951" s="360" t="s">
        <v>845</v>
      </c>
      <c r="H6951" s="605">
        <v>-2.0999999999999999E-3</v>
      </c>
      <c r="K6951" t="s">
        <v>947</v>
      </c>
      <c r="L6951" t="s">
        <v>692</v>
      </c>
      <c r="P6951" t="s">
        <v>963</v>
      </c>
      <c r="T6951">
        <v>46142</v>
      </c>
      <c r="V6951">
        <v>96</v>
      </c>
    </row>
    <row r="6952" spans="1:22" customFormat="1" ht="15" x14ac:dyDescent="0.25">
      <c r="A6952" t="s">
        <v>181</v>
      </c>
      <c r="E6952" s="1524" t="s">
        <v>6851</v>
      </c>
      <c r="F6952" s="1468"/>
      <c r="G6952" s="360" t="s">
        <v>845</v>
      </c>
      <c r="H6952" s="605">
        <v>1E-4</v>
      </c>
      <c r="K6952" t="s">
        <v>947</v>
      </c>
      <c r="L6952" t="s">
        <v>692</v>
      </c>
      <c r="P6952" t="s">
        <v>3764</v>
      </c>
      <c r="T6952">
        <v>46142</v>
      </c>
      <c r="V6952">
        <v>139</v>
      </c>
    </row>
    <row r="6953" spans="1:22" customFormat="1" ht="15" x14ac:dyDescent="0.25">
      <c r="A6953" t="s">
        <v>181</v>
      </c>
      <c r="E6953" s="1524" t="s">
        <v>243</v>
      </c>
      <c r="F6953" s="1524"/>
      <c r="G6953" s="360" t="s">
        <v>845</v>
      </c>
      <c r="H6953" s="432">
        <v>1.11E-2</v>
      </c>
      <c r="K6953" t="s">
        <v>947</v>
      </c>
      <c r="L6953" t="s">
        <v>694</v>
      </c>
      <c r="P6953" t="s">
        <v>964</v>
      </c>
      <c r="V6953">
        <v>47</v>
      </c>
    </row>
    <row r="6954" spans="1:22" customFormat="1" ht="15" x14ac:dyDescent="0.25">
      <c r="A6954" t="s">
        <v>181</v>
      </c>
      <c r="E6954" s="1524" t="s">
        <v>175</v>
      </c>
      <c r="F6954" s="1524"/>
      <c r="G6954" s="360" t="s">
        <v>845</v>
      </c>
      <c r="H6954" s="432">
        <v>8.9999999999999993E-3</v>
      </c>
      <c r="K6954" t="s">
        <v>947</v>
      </c>
      <c r="L6954" t="s">
        <v>694</v>
      </c>
      <c r="P6954" t="s">
        <v>965</v>
      </c>
      <c r="V6954">
        <v>74</v>
      </c>
    </row>
    <row r="6955" spans="1:22" customFormat="1" ht="15" x14ac:dyDescent="0.25">
      <c r="A6955" t="s">
        <v>181</v>
      </c>
      <c r="E6955" s="1533" t="s">
        <v>967</v>
      </c>
      <c r="F6955" s="1524"/>
      <c r="G6955" s="360"/>
      <c r="H6955" s="360"/>
      <c r="K6955" t="s">
        <v>966</v>
      </c>
      <c r="V6955">
        <v>48</v>
      </c>
    </row>
    <row r="6956" spans="1:22" customFormat="1" ht="15" x14ac:dyDescent="0.25">
      <c r="A6956" t="s">
        <v>181</v>
      </c>
      <c r="E6956" s="1524" t="s">
        <v>844</v>
      </c>
      <c r="F6956" s="1524"/>
      <c r="G6956" s="360" t="s">
        <v>845</v>
      </c>
      <c r="H6956" s="605">
        <v>4.1000000000000003E-3</v>
      </c>
      <c r="K6956" t="s">
        <v>947</v>
      </c>
      <c r="L6956" t="s">
        <v>968</v>
      </c>
      <c r="P6956" t="s">
        <v>969</v>
      </c>
      <c r="V6956">
        <v>55</v>
      </c>
    </row>
    <row r="6957" spans="1:22" customFormat="1" ht="15" x14ac:dyDescent="0.25">
      <c r="A6957" t="s">
        <v>181</v>
      </c>
      <c r="E6957" s="1524" t="s">
        <v>846</v>
      </c>
      <c r="F6957" s="1524"/>
      <c r="G6957" s="360" t="s">
        <v>845</v>
      </c>
      <c r="H6957" s="605">
        <v>4.0000000000000002E-4</v>
      </c>
      <c r="K6957" t="s">
        <v>947</v>
      </c>
      <c r="L6957" t="s">
        <v>968</v>
      </c>
      <c r="P6957" t="s">
        <v>969</v>
      </c>
      <c r="V6957">
        <v>65</v>
      </c>
    </row>
    <row r="6958" spans="1:22" customFormat="1" ht="15" x14ac:dyDescent="0.25">
      <c r="A6958" t="s">
        <v>181</v>
      </c>
      <c r="E6958" s="1524" t="s">
        <v>847</v>
      </c>
      <c r="F6958" s="1524"/>
      <c r="G6958" s="360" t="s">
        <v>845</v>
      </c>
      <c r="H6958" s="605">
        <v>1.5E-3</v>
      </c>
      <c r="K6958" t="s">
        <v>947</v>
      </c>
      <c r="L6958" t="s">
        <v>968</v>
      </c>
      <c r="P6958" t="s">
        <v>970</v>
      </c>
      <c r="V6958">
        <v>57</v>
      </c>
    </row>
    <row r="6959" spans="1:22" customFormat="1" ht="15" x14ac:dyDescent="0.25">
      <c r="A6959" t="s">
        <v>181</v>
      </c>
      <c r="E6959" s="1524" t="s">
        <v>848</v>
      </c>
      <c r="F6959" s="1524"/>
      <c r="G6959" s="360" t="s">
        <v>777</v>
      </c>
      <c r="H6959" s="604">
        <v>0.25</v>
      </c>
      <c r="K6959" t="s">
        <v>947</v>
      </c>
      <c r="L6959" t="s">
        <v>968</v>
      </c>
      <c r="P6959" t="s">
        <v>971</v>
      </c>
      <c r="V6959">
        <v>63</v>
      </c>
    </row>
    <row r="6960" spans="1:22" customFormat="1" x14ac:dyDescent="0.25">
      <c r="A6960" t="s">
        <v>181</v>
      </c>
      <c r="E6960" s="1538" t="s">
        <v>174</v>
      </c>
      <c r="F6960" s="1571"/>
      <c r="G6960" s="1571"/>
      <c r="H6960" s="1571"/>
      <c r="K6960" t="s">
        <v>972</v>
      </c>
      <c r="V6960">
        <v>54</v>
      </c>
    </row>
    <row r="6961" spans="1:22" customFormat="1" ht="15" x14ac:dyDescent="0.25">
      <c r="A6961" t="s">
        <v>181</v>
      </c>
      <c r="E6961" s="1496" t="s">
        <v>5285</v>
      </c>
      <c r="F6961" s="1496"/>
      <c r="G6961" s="1496"/>
      <c r="H6961" s="1496"/>
      <c r="K6961" t="s">
        <v>972</v>
      </c>
      <c r="V6961">
        <v>544</v>
      </c>
    </row>
    <row r="6962" spans="1:22" customFormat="1" ht="15" x14ac:dyDescent="0.25">
      <c r="A6962" t="s">
        <v>181</v>
      </c>
      <c r="E6962" s="1533" t="s">
        <v>950</v>
      </c>
      <c r="F6962" s="1496"/>
      <c r="G6962" s="1496"/>
      <c r="H6962" s="1496"/>
      <c r="K6962" t="s">
        <v>974</v>
      </c>
      <c r="V6962">
        <v>11</v>
      </c>
    </row>
    <row r="6963" spans="1:22" customFormat="1" ht="15" x14ac:dyDescent="0.25">
      <c r="A6963" t="s">
        <v>181</v>
      </c>
      <c r="E6963" s="1496" t="s">
        <v>951</v>
      </c>
      <c r="F6963" s="1496"/>
      <c r="G6963" s="1496"/>
      <c r="H6963" s="1496"/>
      <c r="K6963" t="s">
        <v>972</v>
      </c>
      <c r="V6963">
        <v>280</v>
      </c>
    </row>
    <row r="6964" spans="1:22" customFormat="1" ht="15" x14ac:dyDescent="0.25">
      <c r="A6964" t="s">
        <v>181</v>
      </c>
      <c r="E6964" s="1496" t="s">
        <v>952</v>
      </c>
      <c r="F6964" s="1496"/>
      <c r="G6964" s="1496"/>
      <c r="H6964" s="1496"/>
      <c r="K6964" t="s">
        <v>972</v>
      </c>
      <c r="V6964">
        <v>411</v>
      </c>
    </row>
    <row r="6965" spans="1:22" customFormat="1" ht="15" x14ac:dyDescent="0.25">
      <c r="A6965" t="s">
        <v>181</v>
      </c>
      <c r="E6965" s="1496" t="s">
        <v>953</v>
      </c>
      <c r="F6965" s="1496"/>
      <c r="G6965" s="1496"/>
      <c r="H6965" s="1496"/>
      <c r="K6965" t="s">
        <v>972</v>
      </c>
      <c r="V6965">
        <v>386</v>
      </c>
    </row>
    <row r="6966" spans="1:22" customFormat="1" ht="15" x14ac:dyDescent="0.25">
      <c r="A6966" t="s">
        <v>181</v>
      </c>
      <c r="E6966" s="1496" t="s">
        <v>3762</v>
      </c>
      <c r="F6966" s="1496"/>
      <c r="G6966" s="1496"/>
      <c r="H6966" s="1496"/>
      <c r="K6966" t="s">
        <v>972</v>
      </c>
      <c r="V6966">
        <v>247</v>
      </c>
    </row>
    <row r="6967" spans="1:22" customFormat="1" ht="15" x14ac:dyDescent="0.25">
      <c r="A6967" t="s">
        <v>181</v>
      </c>
      <c r="E6967" s="1533" t="s">
        <v>956</v>
      </c>
      <c r="F6967" s="1496"/>
      <c r="G6967" s="1496"/>
      <c r="H6967" s="1496"/>
      <c r="K6967" t="s">
        <v>975</v>
      </c>
      <c r="V6967">
        <v>46</v>
      </c>
    </row>
    <row r="6968" spans="1:22" customFormat="1" ht="15" x14ac:dyDescent="0.25">
      <c r="A6968" t="s">
        <v>181</v>
      </c>
      <c r="E6968" s="1524" t="s">
        <v>3773</v>
      </c>
      <c r="F6968" s="1524"/>
      <c r="G6968" s="360" t="s">
        <v>777</v>
      </c>
      <c r="H6968" s="953">
        <v>33.04</v>
      </c>
      <c r="K6968" t="s">
        <v>972</v>
      </c>
      <c r="L6968" t="s">
        <v>690</v>
      </c>
      <c r="P6968" t="s">
        <v>976</v>
      </c>
      <c r="V6968">
        <v>14</v>
      </c>
    </row>
    <row r="6969" spans="1:22" customFormat="1" ht="15" x14ac:dyDescent="0.25">
      <c r="A6969" t="s">
        <v>181</v>
      </c>
      <c r="E6969" s="1524" t="s">
        <v>960</v>
      </c>
      <c r="F6969" s="1524"/>
      <c r="G6969" s="360" t="s">
        <v>777</v>
      </c>
      <c r="H6969" s="604">
        <v>0.42</v>
      </c>
      <c r="K6969" t="s">
        <v>972</v>
      </c>
      <c r="L6969" t="s">
        <v>692</v>
      </c>
      <c r="P6969" t="s">
        <v>977</v>
      </c>
      <c r="V6969">
        <v>64</v>
      </c>
    </row>
    <row r="6970" spans="1:22" customFormat="1" ht="15" x14ac:dyDescent="0.25">
      <c r="A6970" t="s">
        <v>181</v>
      </c>
      <c r="E6970" s="1524" t="s">
        <v>3688</v>
      </c>
      <c r="F6970" s="1524"/>
      <c r="G6970" s="360" t="s">
        <v>845</v>
      </c>
      <c r="H6970" s="432">
        <v>2.4899999999999999E-2</v>
      </c>
      <c r="K6970" t="s">
        <v>972</v>
      </c>
      <c r="L6970" t="s">
        <v>690</v>
      </c>
      <c r="P6970" t="s">
        <v>978</v>
      </c>
      <c r="V6970">
        <v>28</v>
      </c>
    </row>
    <row r="6971" spans="1:22" customFormat="1" ht="15" x14ac:dyDescent="0.25">
      <c r="A6971" t="s">
        <v>181</v>
      </c>
      <c r="E6971" s="1524" t="s">
        <v>910</v>
      </c>
      <c r="F6971" s="1524"/>
      <c r="G6971" s="360" t="s">
        <v>845</v>
      </c>
      <c r="H6971" s="605">
        <v>4.0000000000000002E-4</v>
      </c>
      <c r="K6971" t="s">
        <v>972</v>
      </c>
      <c r="L6971" t="s">
        <v>692</v>
      </c>
      <c r="P6971" t="s">
        <v>980</v>
      </c>
      <c r="V6971">
        <v>24</v>
      </c>
    </row>
    <row r="6972" spans="1:22" customFormat="1" ht="15" x14ac:dyDescent="0.25">
      <c r="A6972" t="s">
        <v>181</v>
      </c>
      <c r="E6972" s="1524" t="s">
        <v>6849</v>
      </c>
      <c r="F6972" s="1468"/>
      <c r="G6972" s="360" t="s">
        <v>845</v>
      </c>
      <c r="H6972" s="605">
        <v>1.2999999999999999E-3</v>
      </c>
      <c r="K6972" t="s">
        <v>972</v>
      </c>
      <c r="L6972" t="s">
        <v>692</v>
      </c>
      <c r="P6972" t="s">
        <v>981</v>
      </c>
      <c r="T6972">
        <v>46142</v>
      </c>
      <c r="V6972">
        <v>139</v>
      </c>
    </row>
    <row r="6973" spans="1:22" customFormat="1" ht="15" x14ac:dyDescent="0.25">
      <c r="A6973" t="s">
        <v>181</v>
      </c>
      <c r="E6973" s="1524" t="s">
        <v>6850</v>
      </c>
      <c r="F6973" s="1468"/>
      <c r="G6973" s="360" t="s">
        <v>845</v>
      </c>
      <c r="H6973" s="605">
        <v>-1.9E-3</v>
      </c>
      <c r="K6973" t="s">
        <v>972</v>
      </c>
      <c r="L6973" t="s">
        <v>692</v>
      </c>
      <c r="P6973" t="s">
        <v>982</v>
      </c>
      <c r="T6973">
        <v>46142</v>
      </c>
      <c r="V6973">
        <v>96</v>
      </c>
    </row>
    <row r="6974" spans="1:22" customFormat="1" ht="15" x14ac:dyDescent="0.25">
      <c r="A6974" t="s">
        <v>181</v>
      </c>
      <c r="E6974" s="1524" t="s">
        <v>6851</v>
      </c>
      <c r="F6974" s="1468"/>
      <c r="G6974" s="360" t="s">
        <v>845</v>
      </c>
      <c r="H6974" s="605">
        <v>1E-4</v>
      </c>
      <c r="K6974" t="s">
        <v>972</v>
      </c>
      <c r="L6974" t="s">
        <v>692</v>
      </c>
      <c r="P6974" t="s">
        <v>3766</v>
      </c>
      <c r="T6974">
        <v>46142</v>
      </c>
      <c r="V6974">
        <v>139</v>
      </c>
    </row>
    <row r="6975" spans="1:22" customFormat="1" ht="15" x14ac:dyDescent="0.25">
      <c r="A6975" t="s">
        <v>181</v>
      </c>
      <c r="E6975" s="1524" t="s">
        <v>243</v>
      </c>
      <c r="F6975" s="1524"/>
      <c r="G6975" s="360" t="s">
        <v>845</v>
      </c>
      <c r="H6975" s="432">
        <v>1.04E-2</v>
      </c>
      <c r="K6975" t="s">
        <v>972</v>
      </c>
      <c r="L6975" t="s">
        <v>694</v>
      </c>
      <c r="P6975" t="s">
        <v>983</v>
      </c>
      <c r="V6975">
        <v>47</v>
      </c>
    </row>
    <row r="6976" spans="1:22" customFormat="1" ht="15" x14ac:dyDescent="0.25">
      <c r="A6976" t="s">
        <v>181</v>
      </c>
      <c r="E6976" s="1524" t="s">
        <v>175</v>
      </c>
      <c r="F6976" s="1524"/>
      <c r="G6976" s="360" t="s">
        <v>845</v>
      </c>
      <c r="H6976" s="432">
        <v>7.9000000000000008E-3</v>
      </c>
      <c r="K6976" t="s">
        <v>972</v>
      </c>
      <c r="L6976" t="s">
        <v>694</v>
      </c>
      <c r="P6976" t="s">
        <v>984</v>
      </c>
      <c r="V6976">
        <v>74</v>
      </c>
    </row>
    <row r="6977" spans="1:22" customFormat="1" ht="15" x14ac:dyDescent="0.25">
      <c r="A6977" t="s">
        <v>181</v>
      </c>
      <c r="E6977" s="1533" t="s">
        <v>967</v>
      </c>
      <c r="F6977" s="1524"/>
      <c r="G6977" s="360"/>
      <c r="H6977" s="360"/>
      <c r="K6977" t="s">
        <v>985</v>
      </c>
      <c r="V6977">
        <v>48</v>
      </c>
    </row>
    <row r="6978" spans="1:22" customFormat="1" ht="15" x14ac:dyDescent="0.25">
      <c r="A6978" t="s">
        <v>181</v>
      </c>
      <c r="E6978" s="1524" t="s">
        <v>844</v>
      </c>
      <c r="F6978" s="1524"/>
      <c r="G6978" s="360" t="s">
        <v>845</v>
      </c>
      <c r="H6978" s="605">
        <v>4.1000000000000003E-3</v>
      </c>
      <c r="K6978" t="s">
        <v>972</v>
      </c>
      <c r="L6978" t="s">
        <v>968</v>
      </c>
      <c r="P6978" t="s">
        <v>986</v>
      </c>
      <c r="V6978">
        <v>55</v>
      </c>
    </row>
    <row r="6979" spans="1:22" customFormat="1" ht="15" x14ac:dyDescent="0.25">
      <c r="A6979" t="s">
        <v>181</v>
      </c>
      <c r="E6979" s="1524" t="s">
        <v>846</v>
      </c>
      <c r="F6979" s="1524"/>
      <c r="G6979" s="360" t="s">
        <v>845</v>
      </c>
      <c r="H6979" s="605">
        <v>4.0000000000000002E-4</v>
      </c>
      <c r="K6979" t="s">
        <v>972</v>
      </c>
      <c r="L6979" t="s">
        <v>968</v>
      </c>
      <c r="P6979" t="s">
        <v>986</v>
      </c>
      <c r="V6979">
        <v>65</v>
      </c>
    </row>
    <row r="6980" spans="1:22" customFormat="1" ht="15" x14ac:dyDescent="0.25">
      <c r="A6980" t="s">
        <v>181</v>
      </c>
      <c r="E6980" s="1524" t="s">
        <v>847</v>
      </c>
      <c r="F6980" s="1524"/>
      <c r="G6980" s="360" t="s">
        <v>845</v>
      </c>
      <c r="H6980" s="605">
        <v>1.5E-3</v>
      </c>
      <c r="K6980" t="s">
        <v>972</v>
      </c>
      <c r="L6980" t="s">
        <v>968</v>
      </c>
      <c r="P6980" t="s">
        <v>987</v>
      </c>
      <c r="V6980">
        <v>57</v>
      </c>
    </row>
    <row r="6981" spans="1:22" customFormat="1" ht="15" x14ac:dyDescent="0.25">
      <c r="A6981" t="s">
        <v>181</v>
      </c>
      <c r="E6981" s="1524" t="s">
        <v>848</v>
      </c>
      <c r="F6981" s="1524"/>
      <c r="G6981" s="360" t="s">
        <v>777</v>
      </c>
      <c r="H6981" s="604">
        <v>0.25</v>
      </c>
      <c r="K6981" t="s">
        <v>972</v>
      </c>
      <c r="L6981" t="s">
        <v>968</v>
      </c>
      <c r="P6981" t="s">
        <v>988</v>
      </c>
      <c r="V6981">
        <v>63</v>
      </c>
    </row>
    <row r="6982" spans="1:22" customFormat="1" x14ac:dyDescent="0.25">
      <c r="A6982" t="s">
        <v>181</v>
      </c>
      <c r="E6982" s="1538" t="s">
        <v>990</v>
      </c>
      <c r="F6982" s="1571"/>
      <c r="G6982" s="1571"/>
      <c r="H6982" s="1571"/>
      <c r="K6982" t="s">
        <v>989</v>
      </c>
      <c r="V6982">
        <v>51</v>
      </c>
    </row>
    <row r="6983" spans="1:22" customFormat="1" ht="15" x14ac:dyDescent="0.25">
      <c r="A6983" t="s">
        <v>181</v>
      </c>
      <c r="E6983" s="1496" t="s">
        <v>5286</v>
      </c>
      <c r="F6983" s="1496"/>
      <c r="G6983" s="1496"/>
      <c r="H6983" s="1496"/>
      <c r="K6983" t="s">
        <v>989</v>
      </c>
      <c r="V6983">
        <v>509</v>
      </c>
    </row>
    <row r="6984" spans="1:22" customFormat="1" ht="15" x14ac:dyDescent="0.25">
      <c r="A6984" t="s">
        <v>181</v>
      </c>
      <c r="E6984" s="1533" t="s">
        <v>950</v>
      </c>
      <c r="F6984" s="1496"/>
      <c r="G6984" s="1496"/>
      <c r="H6984" s="1496"/>
      <c r="K6984" t="s">
        <v>992</v>
      </c>
      <c r="V6984">
        <v>11</v>
      </c>
    </row>
    <row r="6985" spans="1:22" customFormat="1" ht="15" x14ac:dyDescent="0.25">
      <c r="A6985" t="s">
        <v>181</v>
      </c>
      <c r="E6985" s="1496" t="s">
        <v>951</v>
      </c>
      <c r="F6985" s="1496"/>
      <c r="G6985" s="1496"/>
      <c r="H6985" s="1496"/>
      <c r="K6985" t="s">
        <v>989</v>
      </c>
      <c r="V6985">
        <v>280</v>
      </c>
    </row>
    <row r="6986" spans="1:22" customFormat="1" ht="15" x14ac:dyDescent="0.25">
      <c r="A6986" t="s">
        <v>181</v>
      </c>
      <c r="E6986" s="1496" t="s">
        <v>952</v>
      </c>
      <c r="F6986" s="1496"/>
      <c r="G6986" s="1496"/>
      <c r="H6986" s="1496"/>
      <c r="K6986" t="s">
        <v>989</v>
      </c>
      <c r="V6986">
        <v>411</v>
      </c>
    </row>
    <row r="6987" spans="1:22" customFormat="1" ht="15" x14ac:dyDescent="0.25">
      <c r="A6987" t="s">
        <v>181</v>
      </c>
      <c r="E6987" s="1496" t="s">
        <v>3761</v>
      </c>
      <c r="F6987" s="1496"/>
      <c r="G6987" s="1496"/>
      <c r="H6987" s="1496"/>
      <c r="K6987" t="s">
        <v>989</v>
      </c>
      <c r="V6987">
        <v>387</v>
      </c>
    </row>
    <row r="6988" spans="1:22" customFormat="1" ht="15" x14ac:dyDescent="0.25">
      <c r="A6988" t="s">
        <v>181</v>
      </c>
      <c r="E6988" s="1496" t="s">
        <v>3771</v>
      </c>
      <c r="F6988" s="1496"/>
      <c r="G6988" s="1496"/>
      <c r="H6988" s="1496"/>
      <c r="K6988" t="s">
        <v>989</v>
      </c>
      <c r="V6988">
        <v>677</v>
      </c>
    </row>
    <row r="6989" spans="1:22" customFormat="1" ht="15" x14ac:dyDescent="0.25">
      <c r="A6989" t="s">
        <v>181</v>
      </c>
      <c r="E6989" s="1496" t="s">
        <v>994</v>
      </c>
      <c r="F6989" s="1496"/>
      <c r="G6989" s="1496"/>
      <c r="H6989" s="1496"/>
      <c r="K6989" t="s">
        <v>989</v>
      </c>
      <c r="V6989">
        <v>725</v>
      </c>
    </row>
    <row r="6990" spans="1:22" customFormat="1" ht="15" x14ac:dyDescent="0.25">
      <c r="A6990" t="s">
        <v>181</v>
      </c>
      <c r="E6990" s="1496" t="s">
        <v>3762</v>
      </c>
      <c r="F6990" s="1496"/>
      <c r="G6990" s="1496"/>
      <c r="H6990" s="1496"/>
      <c r="K6990" t="s">
        <v>989</v>
      </c>
      <c r="V6990">
        <v>247</v>
      </c>
    </row>
    <row r="6991" spans="1:22" customFormat="1" ht="15" x14ac:dyDescent="0.25">
      <c r="A6991" t="s">
        <v>181</v>
      </c>
      <c r="E6991" s="1533" t="s">
        <v>956</v>
      </c>
      <c r="F6991" s="1496"/>
      <c r="G6991" s="1496"/>
      <c r="H6991" s="1496"/>
      <c r="K6991" t="s">
        <v>995</v>
      </c>
      <c r="V6991">
        <v>46</v>
      </c>
    </row>
    <row r="6992" spans="1:22" customFormat="1" ht="15" x14ac:dyDescent="0.25">
      <c r="A6992" t="s">
        <v>181</v>
      </c>
      <c r="E6992" s="1524" t="s">
        <v>3773</v>
      </c>
      <c r="F6992" s="1524"/>
      <c r="G6992" s="360" t="s">
        <v>777</v>
      </c>
      <c r="H6992" s="953">
        <v>176.49</v>
      </c>
      <c r="K6992" t="s">
        <v>989</v>
      </c>
      <c r="L6992" t="s">
        <v>690</v>
      </c>
      <c r="P6992" t="s">
        <v>996</v>
      </c>
      <c r="V6992">
        <v>14</v>
      </c>
    </row>
    <row r="6993" spans="1:22" customFormat="1" ht="15" x14ac:dyDescent="0.25">
      <c r="A6993" t="s">
        <v>181</v>
      </c>
      <c r="E6993" s="1524" t="s">
        <v>3688</v>
      </c>
      <c r="F6993" s="1524"/>
      <c r="G6993" s="360" t="s">
        <v>3775</v>
      </c>
      <c r="H6993" s="432">
        <v>5.6527000000000003</v>
      </c>
      <c r="K6993" t="s">
        <v>989</v>
      </c>
      <c r="L6993" t="s">
        <v>690</v>
      </c>
      <c r="P6993" t="s">
        <v>997</v>
      </c>
      <c r="V6993">
        <v>28</v>
      </c>
    </row>
    <row r="6994" spans="1:22" customFormat="1" ht="15" x14ac:dyDescent="0.25">
      <c r="A6994" t="s">
        <v>181</v>
      </c>
      <c r="E6994" s="1524" t="s">
        <v>5287</v>
      </c>
      <c r="F6994" s="1524"/>
      <c r="G6994" s="360" t="s">
        <v>3775</v>
      </c>
      <c r="H6994" s="605">
        <v>0.14369999999999999</v>
      </c>
      <c r="K6994" t="s">
        <v>989</v>
      </c>
      <c r="L6994" t="s">
        <v>692</v>
      </c>
      <c r="P6994" t="s">
        <v>998</v>
      </c>
      <c r="V6994">
        <v>37</v>
      </c>
    </row>
    <row r="6995" spans="1:22" customFormat="1" ht="15" x14ac:dyDescent="0.25">
      <c r="A6995" t="s">
        <v>181</v>
      </c>
      <c r="E6995" s="1524" t="s">
        <v>6851</v>
      </c>
      <c r="F6995" s="1468"/>
      <c r="G6995" s="360" t="s">
        <v>3775</v>
      </c>
      <c r="H6995" s="605">
        <v>3.8199999999999998E-2</v>
      </c>
      <c r="K6995" t="s">
        <v>989</v>
      </c>
      <c r="L6995" t="s">
        <v>692</v>
      </c>
      <c r="P6995" t="s">
        <v>4166</v>
      </c>
      <c r="T6995">
        <v>46142</v>
      </c>
      <c r="V6995">
        <v>139</v>
      </c>
    </row>
    <row r="6996" spans="1:22" customFormat="1" ht="15" x14ac:dyDescent="0.25">
      <c r="A6996" t="s">
        <v>181</v>
      </c>
      <c r="E6996" s="1524" t="s">
        <v>6852</v>
      </c>
      <c r="F6996" s="1468"/>
      <c r="G6996" s="360" t="s">
        <v>3775</v>
      </c>
      <c r="H6996" s="605">
        <v>-0.60060000000000002</v>
      </c>
      <c r="K6996" t="s">
        <v>989</v>
      </c>
      <c r="L6996" t="s">
        <v>692</v>
      </c>
      <c r="P6996" t="s">
        <v>1000</v>
      </c>
      <c r="T6996">
        <v>46142</v>
      </c>
      <c r="V6996">
        <v>156</v>
      </c>
    </row>
    <row r="6997" spans="1:22" customFormat="1" ht="15" x14ac:dyDescent="0.25">
      <c r="A6997" t="s">
        <v>181</v>
      </c>
      <c r="E6997" s="1524" t="s">
        <v>6850</v>
      </c>
      <c r="F6997" s="1468"/>
      <c r="G6997" s="360" t="s">
        <v>3775</v>
      </c>
      <c r="H6997" s="605">
        <v>1.47E-2</v>
      </c>
      <c r="K6997" t="s">
        <v>989</v>
      </c>
      <c r="L6997" t="s">
        <v>692</v>
      </c>
      <c r="P6997" t="s">
        <v>1000</v>
      </c>
      <c r="T6997">
        <v>46142</v>
      </c>
      <c r="V6997">
        <v>96</v>
      </c>
    </row>
    <row r="6998" spans="1:22" customFormat="1" ht="15" x14ac:dyDescent="0.25">
      <c r="A6998" t="s">
        <v>181</v>
      </c>
      <c r="E6998" s="1524" t="s">
        <v>243</v>
      </c>
      <c r="F6998" s="1524"/>
      <c r="G6998" s="360" t="s">
        <v>3775</v>
      </c>
      <c r="H6998" s="432">
        <v>4.1970999999999998</v>
      </c>
      <c r="K6998" t="s">
        <v>989</v>
      </c>
      <c r="L6998" t="s">
        <v>694</v>
      </c>
      <c r="P6998" t="s">
        <v>1001</v>
      </c>
      <c r="V6998">
        <v>47</v>
      </c>
    </row>
    <row r="6999" spans="1:22" customFormat="1" ht="15" x14ac:dyDescent="0.25">
      <c r="A6999" t="s">
        <v>181</v>
      </c>
      <c r="E6999" s="1524" t="s">
        <v>5289</v>
      </c>
      <c r="F6999" s="1524"/>
      <c r="G6999" s="360" t="s">
        <v>3775</v>
      </c>
      <c r="H6999" s="432">
        <v>3.2262</v>
      </c>
      <c r="K6999" t="s">
        <v>989</v>
      </c>
      <c r="L6999" t="s">
        <v>694</v>
      </c>
      <c r="P6999" t="s">
        <v>1002</v>
      </c>
      <c r="V6999">
        <v>87</v>
      </c>
    </row>
    <row r="7000" spans="1:22" customFormat="1" ht="15" x14ac:dyDescent="0.25">
      <c r="A7000" t="s">
        <v>181</v>
      </c>
      <c r="E7000" s="1533" t="s">
        <v>967</v>
      </c>
      <c r="F7000" s="1524"/>
      <c r="G7000" s="360"/>
      <c r="H7000" s="360"/>
      <c r="K7000" t="s">
        <v>1003</v>
      </c>
      <c r="V7000">
        <v>48</v>
      </c>
    </row>
    <row r="7001" spans="1:22" customFormat="1" ht="15" x14ac:dyDescent="0.25">
      <c r="A7001" t="s">
        <v>181</v>
      </c>
      <c r="E7001" s="1524" t="s">
        <v>844</v>
      </c>
      <c r="F7001" s="1524"/>
      <c r="G7001" s="360" t="s">
        <v>845</v>
      </c>
      <c r="H7001" s="605">
        <v>4.1000000000000003E-3</v>
      </c>
      <c r="K7001" t="s">
        <v>989</v>
      </c>
      <c r="L7001" t="s">
        <v>968</v>
      </c>
      <c r="P7001" t="s">
        <v>1004</v>
      </c>
      <c r="V7001">
        <v>55</v>
      </c>
    </row>
    <row r="7002" spans="1:22" customFormat="1" ht="15" x14ac:dyDescent="0.25">
      <c r="A7002" t="s">
        <v>181</v>
      </c>
      <c r="E7002" s="1524" t="s">
        <v>846</v>
      </c>
      <c r="F7002" s="1524"/>
      <c r="G7002" s="360" t="s">
        <v>845</v>
      </c>
      <c r="H7002" s="605">
        <v>4.0000000000000002E-4</v>
      </c>
      <c r="K7002" t="s">
        <v>989</v>
      </c>
      <c r="L7002" t="s">
        <v>968</v>
      </c>
      <c r="P7002" t="s">
        <v>1004</v>
      </c>
      <c r="V7002">
        <v>65</v>
      </c>
    </row>
    <row r="7003" spans="1:22" customFormat="1" ht="15" x14ac:dyDescent="0.25">
      <c r="A7003" t="s">
        <v>181</v>
      </c>
      <c r="E7003" s="1524" t="s">
        <v>847</v>
      </c>
      <c r="F7003" s="1524"/>
      <c r="G7003" s="360" t="s">
        <v>845</v>
      </c>
      <c r="H7003" s="605">
        <v>1.5E-3</v>
      </c>
      <c r="K7003" t="s">
        <v>989</v>
      </c>
      <c r="L7003" t="s">
        <v>968</v>
      </c>
      <c r="P7003" t="s">
        <v>1005</v>
      </c>
      <c r="V7003">
        <v>57</v>
      </c>
    </row>
    <row r="7004" spans="1:22" customFormat="1" ht="15" x14ac:dyDescent="0.25">
      <c r="A7004" t="s">
        <v>181</v>
      </c>
      <c r="E7004" s="1524" t="s">
        <v>848</v>
      </c>
      <c r="F7004" s="1524"/>
      <c r="G7004" s="360" t="s">
        <v>777</v>
      </c>
      <c r="H7004" s="604">
        <v>0.25</v>
      </c>
      <c r="K7004" t="s">
        <v>989</v>
      </c>
      <c r="L7004" t="s">
        <v>968</v>
      </c>
      <c r="P7004" t="s">
        <v>1006</v>
      </c>
      <c r="V7004">
        <v>63</v>
      </c>
    </row>
    <row r="7005" spans="1:22" customFormat="1" x14ac:dyDescent="0.25">
      <c r="A7005" t="s">
        <v>181</v>
      </c>
      <c r="E7005" s="1538" t="s">
        <v>1008</v>
      </c>
      <c r="F7005" s="1571"/>
      <c r="G7005" s="1571"/>
      <c r="H7005" s="1571"/>
      <c r="K7005" t="s">
        <v>1007</v>
      </c>
      <c r="V7005">
        <v>56</v>
      </c>
    </row>
    <row r="7006" spans="1:22" customFormat="1" ht="15" x14ac:dyDescent="0.25">
      <c r="A7006" t="s">
        <v>181</v>
      </c>
      <c r="E7006" s="1496" t="s">
        <v>5290</v>
      </c>
      <c r="F7006" s="1496"/>
      <c r="G7006" s="1496"/>
      <c r="H7006" s="1496"/>
      <c r="K7006" t="s">
        <v>1007</v>
      </c>
      <c r="V7006">
        <v>522</v>
      </c>
    </row>
    <row r="7007" spans="1:22" customFormat="1" ht="15" x14ac:dyDescent="0.25">
      <c r="A7007" t="s">
        <v>181</v>
      </c>
      <c r="E7007" s="1533" t="s">
        <v>950</v>
      </c>
      <c r="F7007" s="1496"/>
      <c r="G7007" s="1496"/>
      <c r="H7007" s="1496"/>
      <c r="K7007" t="s">
        <v>1010</v>
      </c>
      <c r="V7007">
        <v>11</v>
      </c>
    </row>
    <row r="7008" spans="1:22" customFormat="1" ht="15" x14ac:dyDescent="0.25">
      <c r="A7008" t="s">
        <v>181</v>
      </c>
      <c r="E7008" s="1496" t="s">
        <v>951</v>
      </c>
      <c r="F7008" s="1496"/>
      <c r="G7008" s="1496"/>
      <c r="H7008" s="1496"/>
      <c r="K7008" t="s">
        <v>1007</v>
      </c>
      <c r="V7008">
        <v>280</v>
      </c>
    </row>
    <row r="7009" spans="1:22" customFormat="1" ht="15" x14ac:dyDescent="0.25">
      <c r="A7009" t="s">
        <v>181</v>
      </c>
      <c r="E7009" s="1496" t="s">
        <v>952</v>
      </c>
      <c r="F7009" s="1496"/>
      <c r="G7009" s="1496"/>
      <c r="H7009" s="1496"/>
      <c r="K7009" t="s">
        <v>1007</v>
      </c>
      <c r="V7009">
        <v>411</v>
      </c>
    </row>
    <row r="7010" spans="1:22" customFormat="1" ht="15" x14ac:dyDescent="0.25">
      <c r="A7010" t="s">
        <v>181</v>
      </c>
      <c r="E7010" s="1496" t="s">
        <v>3761</v>
      </c>
      <c r="F7010" s="1496"/>
      <c r="G7010" s="1496"/>
      <c r="H7010" s="1496"/>
      <c r="K7010" t="s">
        <v>1007</v>
      </c>
      <c r="V7010">
        <v>387</v>
      </c>
    </row>
    <row r="7011" spans="1:22" customFormat="1" ht="15" x14ac:dyDescent="0.25">
      <c r="A7011" t="s">
        <v>181</v>
      </c>
      <c r="E7011" s="1496" t="s">
        <v>3771</v>
      </c>
      <c r="F7011" s="1496"/>
      <c r="G7011" s="1496"/>
      <c r="H7011" s="1496"/>
      <c r="K7011" t="s">
        <v>1007</v>
      </c>
      <c r="V7011">
        <v>677</v>
      </c>
    </row>
    <row r="7012" spans="1:22" customFormat="1" ht="15" x14ac:dyDescent="0.25">
      <c r="A7012" t="s">
        <v>181</v>
      </c>
      <c r="E7012" s="1496" t="s">
        <v>994</v>
      </c>
      <c r="F7012" s="1496"/>
      <c r="G7012" s="1496"/>
      <c r="H7012" s="1496"/>
      <c r="K7012" t="s">
        <v>1007</v>
      </c>
      <c r="V7012">
        <v>725</v>
      </c>
    </row>
    <row r="7013" spans="1:22" customFormat="1" ht="15" x14ac:dyDescent="0.25">
      <c r="A7013" t="s">
        <v>181</v>
      </c>
      <c r="E7013" s="1496" t="s">
        <v>3762</v>
      </c>
      <c r="F7013" s="1496"/>
      <c r="G7013" s="1496"/>
      <c r="H7013" s="1496"/>
      <c r="K7013" t="s">
        <v>1007</v>
      </c>
      <c r="V7013">
        <v>247</v>
      </c>
    </row>
    <row r="7014" spans="1:22" customFormat="1" ht="15" x14ac:dyDescent="0.25">
      <c r="A7014" t="s">
        <v>181</v>
      </c>
      <c r="E7014" s="1533" t="s">
        <v>956</v>
      </c>
      <c r="F7014" s="1496"/>
      <c r="G7014" s="1496"/>
      <c r="H7014" s="1496"/>
      <c r="K7014" t="s">
        <v>1011</v>
      </c>
      <c r="V7014">
        <v>46</v>
      </c>
    </row>
    <row r="7015" spans="1:22" customFormat="1" ht="15" x14ac:dyDescent="0.25">
      <c r="A7015" t="s">
        <v>181</v>
      </c>
      <c r="E7015" s="1524" t="s">
        <v>3773</v>
      </c>
      <c r="F7015" s="1524"/>
      <c r="G7015" s="360" t="s">
        <v>777</v>
      </c>
      <c r="H7015" s="953">
        <v>3879.22</v>
      </c>
      <c r="K7015" t="s">
        <v>1007</v>
      </c>
      <c r="L7015" t="s">
        <v>690</v>
      </c>
      <c r="P7015" t="s">
        <v>1012</v>
      </c>
      <c r="V7015">
        <v>14</v>
      </c>
    </row>
    <row r="7016" spans="1:22" customFormat="1" ht="15" x14ac:dyDescent="0.25">
      <c r="A7016" t="s">
        <v>181</v>
      </c>
      <c r="E7016" s="1524" t="s">
        <v>3688</v>
      </c>
      <c r="F7016" s="1524"/>
      <c r="G7016" s="360" t="s">
        <v>3775</v>
      </c>
      <c r="H7016" s="432">
        <v>2.2766000000000002</v>
      </c>
      <c r="K7016" t="s">
        <v>1007</v>
      </c>
      <c r="L7016" t="s">
        <v>690</v>
      </c>
      <c r="P7016" t="s">
        <v>1013</v>
      </c>
      <c r="V7016">
        <v>28</v>
      </c>
    </row>
    <row r="7017" spans="1:22" customFormat="1" ht="15" x14ac:dyDescent="0.25">
      <c r="A7017" t="s">
        <v>181</v>
      </c>
      <c r="E7017" s="1524" t="s">
        <v>5291</v>
      </c>
      <c r="F7017" s="1524"/>
      <c r="G7017" s="360" t="s">
        <v>3775</v>
      </c>
      <c r="H7017" s="605">
        <v>0.1575</v>
      </c>
      <c r="K7017" t="s">
        <v>1007</v>
      </c>
      <c r="L7017" t="s">
        <v>692</v>
      </c>
      <c r="P7017" t="s">
        <v>1014</v>
      </c>
      <c r="V7017">
        <v>37</v>
      </c>
    </row>
    <row r="7018" spans="1:22" customFormat="1" ht="15" x14ac:dyDescent="0.25">
      <c r="A7018" t="s">
        <v>181</v>
      </c>
      <c r="E7018" s="1524" t="s">
        <v>6851</v>
      </c>
      <c r="F7018" s="1468"/>
      <c r="G7018" s="360" t="s">
        <v>3775</v>
      </c>
      <c r="H7018" s="605">
        <v>2.2800000000000001E-2</v>
      </c>
      <c r="K7018" t="s">
        <v>1007</v>
      </c>
      <c r="L7018" t="s">
        <v>692</v>
      </c>
      <c r="P7018" t="s">
        <v>4170</v>
      </c>
      <c r="T7018">
        <v>46142</v>
      </c>
      <c r="V7018">
        <v>139</v>
      </c>
    </row>
    <row r="7019" spans="1:22" customFormat="1" ht="15" x14ac:dyDescent="0.25">
      <c r="A7019" t="s">
        <v>181</v>
      </c>
      <c r="E7019" s="1524" t="s">
        <v>6850</v>
      </c>
      <c r="F7019" s="1468"/>
      <c r="G7019" s="360" t="s">
        <v>3775</v>
      </c>
      <c r="H7019" s="605">
        <v>-0.96840000000000004</v>
      </c>
      <c r="K7019" t="s">
        <v>1007</v>
      </c>
      <c r="L7019" t="s">
        <v>692</v>
      </c>
      <c r="P7019" t="s">
        <v>1016</v>
      </c>
      <c r="T7019">
        <v>46142</v>
      </c>
      <c r="V7019">
        <v>96</v>
      </c>
    </row>
    <row r="7020" spans="1:22" customFormat="1" ht="15" x14ac:dyDescent="0.25">
      <c r="A7020" t="s">
        <v>181</v>
      </c>
      <c r="E7020" s="1524" t="s">
        <v>243</v>
      </c>
      <c r="F7020" s="1524"/>
      <c r="G7020" s="360" t="s">
        <v>3775</v>
      </c>
      <c r="H7020" s="432">
        <v>4.4577999999999998</v>
      </c>
      <c r="K7020" t="s">
        <v>1007</v>
      </c>
      <c r="L7020" t="s">
        <v>694</v>
      </c>
      <c r="P7020" t="s">
        <v>1017</v>
      </c>
      <c r="V7020">
        <v>47</v>
      </c>
    </row>
    <row r="7021" spans="1:22" customFormat="1" ht="15" x14ac:dyDescent="0.25">
      <c r="A7021" t="s">
        <v>181</v>
      </c>
      <c r="E7021" s="1524" t="s">
        <v>5292</v>
      </c>
      <c r="F7021" s="1524"/>
      <c r="G7021" s="360" t="s">
        <v>3775</v>
      </c>
      <c r="H7021" s="432">
        <v>3.5367999999999999</v>
      </c>
      <c r="K7021" t="s">
        <v>1007</v>
      </c>
      <c r="L7021" t="s">
        <v>694</v>
      </c>
      <c r="P7021" t="s">
        <v>1018</v>
      </c>
      <c r="V7021">
        <v>87</v>
      </c>
    </row>
    <row r="7022" spans="1:22" customFormat="1" ht="15" x14ac:dyDescent="0.25">
      <c r="A7022" t="s">
        <v>181</v>
      </c>
      <c r="E7022" s="1533" t="s">
        <v>967</v>
      </c>
      <c r="F7022" s="1524"/>
      <c r="G7022" s="360"/>
      <c r="H7022" s="360"/>
      <c r="K7022" t="s">
        <v>1019</v>
      </c>
      <c r="V7022">
        <v>48</v>
      </c>
    </row>
    <row r="7023" spans="1:22" customFormat="1" ht="15" x14ac:dyDescent="0.25">
      <c r="A7023" t="s">
        <v>181</v>
      </c>
      <c r="E7023" s="1524" t="s">
        <v>844</v>
      </c>
      <c r="F7023" s="1524"/>
      <c r="G7023" s="360" t="s">
        <v>845</v>
      </c>
      <c r="H7023" s="605">
        <v>4.1000000000000003E-3</v>
      </c>
      <c r="K7023" t="s">
        <v>1007</v>
      </c>
      <c r="L7023" t="s">
        <v>968</v>
      </c>
      <c r="P7023" t="s">
        <v>1020</v>
      </c>
      <c r="V7023">
        <v>55</v>
      </c>
    </row>
    <row r="7024" spans="1:22" customFormat="1" ht="15" x14ac:dyDescent="0.25">
      <c r="A7024" t="s">
        <v>181</v>
      </c>
      <c r="E7024" s="1524" t="s">
        <v>846</v>
      </c>
      <c r="F7024" s="1524"/>
      <c r="G7024" s="360" t="s">
        <v>845</v>
      </c>
      <c r="H7024" s="605">
        <v>4.0000000000000002E-4</v>
      </c>
      <c r="K7024" t="s">
        <v>1007</v>
      </c>
      <c r="L7024" t="s">
        <v>968</v>
      </c>
      <c r="P7024" t="s">
        <v>1020</v>
      </c>
      <c r="V7024">
        <v>65</v>
      </c>
    </row>
    <row r="7025" spans="1:22" customFormat="1" ht="15" x14ac:dyDescent="0.25">
      <c r="A7025" t="s">
        <v>181</v>
      </c>
      <c r="E7025" s="1524" t="s">
        <v>847</v>
      </c>
      <c r="F7025" s="1524"/>
      <c r="G7025" s="360" t="s">
        <v>845</v>
      </c>
      <c r="H7025" s="605">
        <v>1.5E-3</v>
      </c>
      <c r="K7025" t="s">
        <v>1007</v>
      </c>
      <c r="L7025" t="s">
        <v>968</v>
      </c>
      <c r="P7025" t="s">
        <v>1021</v>
      </c>
      <c r="V7025">
        <v>57</v>
      </c>
    </row>
    <row r="7026" spans="1:22" customFormat="1" ht="15" x14ac:dyDescent="0.25">
      <c r="A7026" t="s">
        <v>181</v>
      </c>
      <c r="E7026" s="1524" t="s">
        <v>848</v>
      </c>
      <c r="F7026" s="1524"/>
      <c r="G7026" s="360" t="s">
        <v>777</v>
      </c>
      <c r="H7026" s="604">
        <v>0.25</v>
      </c>
      <c r="K7026" t="s">
        <v>1007</v>
      </c>
      <c r="L7026" t="s">
        <v>968</v>
      </c>
      <c r="P7026" t="s">
        <v>1022</v>
      </c>
      <c r="V7026">
        <v>63</v>
      </c>
    </row>
    <row r="7027" spans="1:22" customFormat="1" x14ac:dyDescent="0.25">
      <c r="A7027" t="s">
        <v>181</v>
      </c>
      <c r="E7027" s="1538" t="s">
        <v>189</v>
      </c>
      <c r="F7027" s="1571"/>
      <c r="G7027" s="1571"/>
      <c r="H7027" s="1571"/>
      <c r="K7027" t="s">
        <v>3967</v>
      </c>
      <c r="V7027">
        <v>32</v>
      </c>
    </row>
    <row r="7028" spans="1:22" customFormat="1" ht="15" x14ac:dyDescent="0.25">
      <c r="A7028" t="s">
        <v>181</v>
      </c>
      <c r="E7028" s="1496" t="s">
        <v>5293</v>
      </c>
      <c r="F7028" s="1496"/>
      <c r="G7028" s="1496"/>
      <c r="H7028" s="1496"/>
      <c r="K7028" t="s">
        <v>3967</v>
      </c>
      <c r="V7028">
        <v>510</v>
      </c>
    </row>
    <row r="7029" spans="1:22" customFormat="1" ht="15" x14ac:dyDescent="0.25">
      <c r="A7029" t="s">
        <v>181</v>
      </c>
      <c r="E7029" s="1533" t="s">
        <v>950</v>
      </c>
      <c r="F7029" s="1496"/>
      <c r="G7029" s="1496"/>
      <c r="H7029" s="1496"/>
      <c r="K7029" t="s">
        <v>1025</v>
      </c>
      <c r="V7029">
        <v>11</v>
      </c>
    </row>
    <row r="7030" spans="1:22" customFormat="1" ht="15" x14ac:dyDescent="0.25">
      <c r="A7030" t="s">
        <v>181</v>
      </c>
      <c r="E7030" s="1496" t="s">
        <v>951</v>
      </c>
      <c r="F7030" s="1496"/>
      <c r="G7030" s="1496"/>
      <c r="H7030" s="1496"/>
      <c r="K7030" t="s">
        <v>3967</v>
      </c>
      <c r="V7030">
        <v>280</v>
      </c>
    </row>
    <row r="7031" spans="1:22" customFormat="1" ht="15" x14ac:dyDescent="0.25">
      <c r="A7031" t="s">
        <v>181</v>
      </c>
      <c r="E7031" s="1496" t="s">
        <v>952</v>
      </c>
      <c r="F7031" s="1496"/>
      <c r="G7031" s="1496"/>
      <c r="H7031" s="1496"/>
      <c r="K7031" t="s">
        <v>3967</v>
      </c>
      <c r="V7031">
        <v>411</v>
      </c>
    </row>
    <row r="7032" spans="1:22" customFormat="1" ht="15" x14ac:dyDescent="0.25">
      <c r="A7032" t="s">
        <v>181</v>
      </c>
      <c r="E7032" s="1496" t="s">
        <v>3761</v>
      </c>
      <c r="F7032" s="1496"/>
      <c r="G7032" s="1496"/>
      <c r="H7032" s="1496"/>
      <c r="K7032" t="s">
        <v>3967</v>
      </c>
      <c r="V7032">
        <v>387</v>
      </c>
    </row>
    <row r="7033" spans="1:22" customFormat="1" ht="15" x14ac:dyDescent="0.25">
      <c r="A7033" t="s">
        <v>181</v>
      </c>
      <c r="E7033" s="1496" t="s">
        <v>3771</v>
      </c>
      <c r="F7033" s="1496"/>
      <c r="G7033" s="1496"/>
      <c r="H7033" s="1496"/>
      <c r="K7033" t="s">
        <v>3967</v>
      </c>
      <c r="V7033">
        <v>677</v>
      </c>
    </row>
    <row r="7034" spans="1:22" customFormat="1" ht="15" x14ac:dyDescent="0.25">
      <c r="A7034" t="s">
        <v>181</v>
      </c>
      <c r="E7034" s="1496" t="s">
        <v>994</v>
      </c>
      <c r="F7034" s="1496"/>
      <c r="G7034" s="1496"/>
      <c r="H7034" s="1496"/>
      <c r="K7034" t="s">
        <v>3967</v>
      </c>
      <c r="V7034">
        <v>725</v>
      </c>
    </row>
    <row r="7035" spans="1:22" customFormat="1" ht="15" x14ac:dyDescent="0.25">
      <c r="A7035" t="s">
        <v>181</v>
      </c>
      <c r="E7035" s="1496" t="s">
        <v>3762</v>
      </c>
      <c r="F7035" s="1496"/>
      <c r="G7035" s="1496"/>
      <c r="H7035" s="1496"/>
      <c r="K7035" t="s">
        <v>3967</v>
      </c>
      <c r="V7035">
        <v>247</v>
      </c>
    </row>
    <row r="7036" spans="1:22" customFormat="1" ht="15" x14ac:dyDescent="0.25">
      <c r="A7036" t="s">
        <v>181</v>
      </c>
      <c r="E7036" s="1533" t="s">
        <v>956</v>
      </c>
      <c r="F7036" s="1496"/>
      <c r="G7036" s="1496"/>
      <c r="H7036" s="1496"/>
      <c r="K7036" t="s">
        <v>1026</v>
      </c>
      <c r="V7036">
        <v>46</v>
      </c>
    </row>
    <row r="7037" spans="1:22" customFormat="1" ht="15" x14ac:dyDescent="0.25">
      <c r="A7037" t="s">
        <v>181</v>
      </c>
      <c r="E7037" s="1524" t="s">
        <v>3773</v>
      </c>
      <c r="F7037" s="1524"/>
      <c r="G7037" s="360" t="s">
        <v>777</v>
      </c>
      <c r="H7037" s="953">
        <v>27678.82</v>
      </c>
      <c r="K7037" t="s">
        <v>3967</v>
      </c>
      <c r="L7037" t="s">
        <v>690</v>
      </c>
      <c r="P7037" t="s">
        <v>3969</v>
      </c>
      <c r="V7037">
        <v>14</v>
      </c>
    </row>
    <row r="7038" spans="1:22" customFormat="1" ht="15" x14ac:dyDescent="0.25">
      <c r="A7038" t="s">
        <v>181</v>
      </c>
      <c r="E7038" s="1524" t="s">
        <v>3688</v>
      </c>
      <c r="F7038" s="1524"/>
      <c r="G7038" s="360" t="s">
        <v>3775</v>
      </c>
      <c r="H7038" s="432">
        <v>2.1356999999999999</v>
      </c>
      <c r="K7038" t="s">
        <v>3967</v>
      </c>
      <c r="L7038" t="s">
        <v>690</v>
      </c>
      <c r="P7038" t="s">
        <v>3972</v>
      </c>
      <c r="V7038">
        <v>28</v>
      </c>
    </row>
    <row r="7039" spans="1:22" customFormat="1" ht="15" x14ac:dyDescent="0.25">
      <c r="A7039" t="s">
        <v>181</v>
      </c>
      <c r="E7039" s="1524" t="s">
        <v>5291</v>
      </c>
      <c r="F7039" s="1524"/>
      <c r="G7039" s="360" t="s">
        <v>3775</v>
      </c>
      <c r="H7039" s="605">
        <v>0.18010000000000001</v>
      </c>
      <c r="K7039" t="s">
        <v>3967</v>
      </c>
      <c r="L7039" t="s">
        <v>692</v>
      </c>
      <c r="P7039" t="s">
        <v>3973</v>
      </c>
      <c r="V7039">
        <v>37</v>
      </c>
    </row>
    <row r="7040" spans="1:22" customFormat="1" ht="15" x14ac:dyDescent="0.25">
      <c r="A7040" t="s">
        <v>181</v>
      </c>
      <c r="E7040" s="1524" t="s">
        <v>6852</v>
      </c>
      <c r="F7040" s="1468"/>
      <c r="G7040" s="360" t="s">
        <v>3775</v>
      </c>
      <c r="H7040" s="605">
        <v>-0.98070000000000002</v>
      </c>
      <c r="K7040" t="s">
        <v>3967</v>
      </c>
      <c r="L7040" t="s">
        <v>692</v>
      </c>
      <c r="P7040" t="s">
        <v>3975</v>
      </c>
      <c r="T7040">
        <v>46142</v>
      </c>
      <c r="V7040">
        <v>156</v>
      </c>
    </row>
    <row r="7041" spans="1:22" customFormat="1" ht="15" x14ac:dyDescent="0.25">
      <c r="A7041" t="s">
        <v>181</v>
      </c>
      <c r="E7041" s="1524" t="s">
        <v>6850</v>
      </c>
      <c r="F7041" s="1468"/>
      <c r="G7041" s="360" t="s">
        <v>3775</v>
      </c>
      <c r="H7041" s="605">
        <v>-3.15E-2</v>
      </c>
      <c r="K7041" t="s">
        <v>3967</v>
      </c>
      <c r="L7041" t="s">
        <v>692</v>
      </c>
      <c r="P7041" t="s">
        <v>3975</v>
      </c>
      <c r="T7041">
        <v>46142</v>
      </c>
      <c r="V7041">
        <v>96</v>
      </c>
    </row>
    <row r="7042" spans="1:22" customFormat="1" ht="15" x14ac:dyDescent="0.25">
      <c r="A7042" t="s">
        <v>181</v>
      </c>
      <c r="E7042" s="1524" t="s">
        <v>251</v>
      </c>
      <c r="F7042" s="1524"/>
      <c r="G7042" s="360" t="s">
        <v>3775</v>
      </c>
      <c r="H7042" s="432">
        <v>4.9358000000000004</v>
      </c>
      <c r="K7042" t="s">
        <v>3967</v>
      </c>
      <c r="L7042" t="s">
        <v>694</v>
      </c>
      <c r="P7042" t="s">
        <v>3978</v>
      </c>
      <c r="V7042">
        <v>66</v>
      </c>
    </row>
    <row r="7043" spans="1:22" customFormat="1" ht="15" x14ac:dyDescent="0.25">
      <c r="A7043" t="s">
        <v>181</v>
      </c>
      <c r="E7043" s="1524" t="s">
        <v>5294</v>
      </c>
      <c r="F7043" s="1524"/>
      <c r="G7043" s="360" t="s">
        <v>3775</v>
      </c>
      <c r="H7043" s="432">
        <v>4.0444000000000004</v>
      </c>
      <c r="K7043" t="s">
        <v>3967</v>
      </c>
      <c r="L7043" t="s">
        <v>694</v>
      </c>
      <c r="P7043" t="s">
        <v>3979</v>
      </c>
      <c r="V7043">
        <v>106</v>
      </c>
    </row>
    <row r="7044" spans="1:22" customFormat="1" ht="15" x14ac:dyDescent="0.25">
      <c r="A7044" t="s">
        <v>181</v>
      </c>
      <c r="E7044" s="1533" t="s">
        <v>967</v>
      </c>
      <c r="F7044" s="1524"/>
      <c r="G7044" s="360"/>
      <c r="H7044" s="360"/>
      <c r="K7044" t="s">
        <v>1035</v>
      </c>
      <c r="V7044">
        <v>48</v>
      </c>
    </row>
    <row r="7045" spans="1:22" customFormat="1" ht="15" x14ac:dyDescent="0.25">
      <c r="A7045" t="s">
        <v>181</v>
      </c>
      <c r="E7045" s="1524" t="s">
        <v>844</v>
      </c>
      <c r="F7045" s="1524"/>
      <c r="G7045" s="360" t="s">
        <v>845</v>
      </c>
      <c r="H7045" s="605">
        <v>4.1000000000000003E-3</v>
      </c>
      <c r="K7045" t="s">
        <v>3967</v>
      </c>
      <c r="L7045" t="s">
        <v>968</v>
      </c>
      <c r="P7045" t="s">
        <v>3980</v>
      </c>
      <c r="V7045">
        <v>55</v>
      </c>
    </row>
    <row r="7046" spans="1:22" customFormat="1" ht="15" x14ac:dyDescent="0.25">
      <c r="A7046" t="s">
        <v>181</v>
      </c>
      <c r="E7046" s="1524" t="s">
        <v>846</v>
      </c>
      <c r="F7046" s="1524"/>
      <c r="G7046" s="360" t="s">
        <v>845</v>
      </c>
      <c r="H7046" s="605">
        <v>4.0000000000000002E-4</v>
      </c>
      <c r="K7046" t="s">
        <v>3967</v>
      </c>
      <c r="L7046" t="s">
        <v>968</v>
      </c>
      <c r="P7046" t="s">
        <v>3980</v>
      </c>
      <c r="V7046">
        <v>65</v>
      </c>
    </row>
    <row r="7047" spans="1:22" customFormat="1" ht="15" x14ac:dyDescent="0.25">
      <c r="A7047" t="s">
        <v>181</v>
      </c>
      <c r="E7047" s="1524" t="s">
        <v>847</v>
      </c>
      <c r="F7047" s="1524"/>
      <c r="G7047" s="360" t="s">
        <v>845</v>
      </c>
      <c r="H7047" s="605">
        <v>1.5E-3</v>
      </c>
      <c r="K7047" t="s">
        <v>3967</v>
      </c>
      <c r="L7047" t="s">
        <v>968</v>
      </c>
      <c r="P7047" t="s">
        <v>3981</v>
      </c>
      <c r="V7047">
        <v>57</v>
      </c>
    </row>
    <row r="7048" spans="1:22" customFormat="1" ht="15" x14ac:dyDescent="0.25">
      <c r="A7048" t="s">
        <v>181</v>
      </c>
      <c r="E7048" s="1524" t="s">
        <v>848</v>
      </c>
      <c r="F7048" s="1524"/>
      <c r="G7048" s="360" t="s">
        <v>777</v>
      </c>
      <c r="H7048" s="604">
        <v>0.25</v>
      </c>
      <c r="K7048" t="s">
        <v>3967</v>
      </c>
      <c r="L7048" t="s">
        <v>968</v>
      </c>
      <c r="P7048" t="s">
        <v>3982</v>
      </c>
      <c r="V7048">
        <v>63</v>
      </c>
    </row>
    <row r="7049" spans="1:22" customFormat="1" x14ac:dyDescent="0.25">
      <c r="A7049" t="s">
        <v>181</v>
      </c>
      <c r="E7049" s="1538" t="s">
        <v>194</v>
      </c>
      <c r="F7049" s="1571"/>
      <c r="G7049" s="1571"/>
      <c r="H7049" s="1571"/>
      <c r="K7049" t="s">
        <v>3872</v>
      </c>
      <c r="V7049">
        <v>47</v>
      </c>
    </row>
    <row r="7050" spans="1:22" customFormat="1" ht="15" x14ac:dyDescent="0.25">
      <c r="A7050" t="s">
        <v>181</v>
      </c>
      <c r="E7050" s="1496" t="s">
        <v>5295</v>
      </c>
      <c r="F7050" s="1496"/>
      <c r="G7050" s="1496"/>
      <c r="H7050" s="1496"/>
      <c r="K7050" t="s">
        <v>3872</v>
      </c>
      <c r="V7050">
        <v>691</v>
      </c>
    </row>
    <row r="7051" spans="1:22" customFormat="1" ht="15" x14ac:dyDescent="0.25">
      <c r="A7051" t="s">
        <v>181</v>
      </c>
      <c r="E7051" s="1533" t="s">
        <v>950</v>
      </c>
      <c r="F7051" s="1496"/>
      <c r="G7051" s="1496"/>
      <c r="H7051" s="1496"/>
      <c r="K7051" t="s">
        <v>1041</v>
      </c>
      <c r="V7051">
        <v>11</v>
      </c>
    </row>
    <row r="7052" spans="1:22" customFormat="1" ht="15" x14ac:dyDescent="0.25">
      <c r="A7052" t="s">
        <v>181</v>
      </c>
      <c r="E7052" s="1496" t="s">
        <v>951</v>
      </c>
      <c r="F7052" s="1496"/>
      <c r="G7052" s="1496"/>
      <c r="H7052" s="1496"/>
      <c r="K7052" t="s">
        <v>3872</v>
      </c>
      <c r="V7052">
        <v>280</v>
      </c>
    </row>
    <row r="7053" spans="1:22" customFormat="1" ht="15" x14ac:dyDescent="0.25">
      <c r="A7053" t="s">
        <v>181</v>
      </c>
      <c r="E7053" s="1496" t="s">
        <v>952</v>
      </c>
      <c r="F7053" s="1496"/>
      <c r="G7053" s="1496"/>
      <c r="H7053" s="1496"/>
      <c r="K7053" t="s">
        <v>3872</v>
      </c>
      <c r="V7053">
        <v>411</v>
      </c>
    </row>
    <row r="7054" spans="1:22" customFormat="1" ht="15" x14ac:dyDescent="0.25">
      <c r="A7054" t="s">
        <v>181</v>
      </c>
      <c r="E7054" s="1496" t="s">
        <v>3761</v>
      </c>
      <c r="F7054" s="1496"/>
      <c r="G7054" s="1496"/>
      <c r="H7054" s="1496"/>
      <c r="K7054" t="s">
        <v>3872</v>
      </c>
      <c r="V7054">
        <v>387</v>
      </c>
    </row>
    <row r="7055" spans="1:22" customFormat="1" ht="15" x14ac:dyDescent="0.25">
      <c r="A7055" t="s">
        <v>181</v>
      </c>
      <c r="E7055" s="1496" t="s">
        <v>3762</v>
      </c>
      <c r="F7055" s="1496"/>
      <c r="G7055" s="1496"/>
      <c r="H7055" s="1496"/>
      <c r="K7055" t="s">
        <v>3872</v>
      </c>
      <c r="V7055">
        <v>247</v>
      </c>
    </row>
    <row r="7056" spans="1:22" customFormat="1" ht="15" x14ac:dyDescent="0.25">
      <c r="A7056" t="s">
        <v>181</v>
      </c>
      <c r="E7056" s="1533" t="s">
        <v>956</v>
      </c>
      <c r="F7056" s="1496"/>
      <c r="G7056" s="1496"/>
      <c r="H7056" s="1496"/>
      <c r="K7056" t="s">
        <v>1042</v>
      </c>
      <c r="V7056">
        <v>46</v>
      </c>
    </row>
    <row r="7057" spans="1:22" customFormat="1" ht="15" x14ac:dyDescent="0.25">
      <c r="A7057" t="s">
        <v>181</v>
      </c>
      <c r="E7057" s="1524" t="s">
        <v>4449</v>
      </c>
      <c r="F7057" s="1524"/>
      <c r="G7057" s="360" t="s">
        <v>777</v>
      </c>
      <c r="H7057" s="953">
        <v>9.8699999999999992</v>
      </c>
      <c r="K7057" t="s">
        <v>3872</v>
      </c>
      <c r="L7057" t="s">
        <v>690</v>
      </c>
      <c r="P7057" t="s">
        <v>3875</v>
      </c>
      <c r="V7057">
        <v>27</v>
      </c>
    </row>
    <row r="7058" spans="1:22" customFormat="1" ht="15" x14ac:dyDescent="0.25">
      <c r="A7058" t="s">
        <v>181</v>
      </c>
      <c r="E7058" s="1524" t="s">
        <v>3688</v>
      </c>
      <c r="F7058" s="1524"/>
      <c r="G7058" s="360" t="s">
        <v>845</v>
      </c>
      <c r="H7058" s="432">
        <v>2.6800000000000001E-2</v>
      </c>
      <c r="K7058" t="s">
        <v>3872</v>
      </c>
      <c r="L7058" t="s">
        <v>690</v>
      </c>
      <c r="P7058" t="s">
        <v>3876</v>
      </c>
      <c r="V7058">
        <v>28</v>
      </c>
    </row>
    <row r="7059" spans="1:22" customFormat="1" ht="15" x14ac:dyDescent="0.25">
      <c r="A7059" t="s">
        <v>181</v>
      </c>
      <c r="E7059" s="1524" t="s">
        <v>910</v>
      </c>
      <c r="F7059" s="1524"/>
      <c r="G7059" s="360" t="s">
        <v>845</v>
      </c>
      <c r="H7059" s="605">
        <v>4.0000000000000002E-4</v>
      </c>
      <c r="K7059" t="s">
        <v>3872</v>
      </c>
      <c r="L7059" t="s">
        <v>692</v>
      </c>
      <c r="P7059" t="s">
        <v>3986</v>
      </c>
      <c r="V7059">
        <v>24</v>
      </c>
    </row>
    <row r="7060" spans="1:22" customFormat="1" ht="15" x14ac:dyDescent="0.25">
      <c r="A7060" t="s">
        <v>181</v>
      </c>
      <c r="E7060" s="1524" t="s">
        <v>6849</v>
      </c>
      <c r="F7060" s="1468"/>
      <c r="G7060" s="360" t="s">
        <v>845</v>
      </c>
      <c r="H7060" s="605">
        <v>1.2999999999999999E-3</v>
      </c>
      <c r="K7060" t="s">
        <v>3872</v>
      </c>
      <c r="L7060" t="s">
        <v>692</v>
      </c>
      <c r="P7060" t="s">
        <v>3987</v>
      </c>
      <c r="T7060">
        <v>46142</v>
      </c>
      <c r="V7060">
        <v>139</v>
      </c>
    </row>
    <row r="7061" spans="1:22" customFormat="1" ht="15" x14ac:dyDescent="0.25">
      <c r="A7061" t="s">
        <v>181</v>
      </c>
      <c r="E7061" s="1524" t="s">
        <v>6850</v>
      </c>
      <c r="F7061" s="1468"/>
      <c r="G7061" s="360" t="s">
        <v>845</v>
      </c>
      <c r="H7061" s="605">
        <v>-1.9E-3</v>
      </c>
      <c r="K7061" t="s">
        <v>3872</v>
      </c>
      <c r="L7061" t="s">
        <v>692</v>
      </c>
      <c r="P7061" t="s">
        <v>3990</v>
      </c>
      <c r="T7061">
        <v>46142</v>
      </c>
      <c r="V7061">
        <v>96</v>
      </c>
    </row>
    <row r="7062" spans="1:22" customFormat="1" ht="15" x14ac:dyDescent="0.25">
      <c r="A7062" t="s">
        <v>181</v>
      </c>
      <c r="E7062" s="1524" t="s">
        <v>6851</v>
      </c>
      <c r="F7062" s="1468"/>
      <c r="G7062" s="360" t="s">
        <v>845</v>
      </c>
      <c r="H7062" s="605">
        <v>1E-4</v>
      </c>
      <c r="K7062" t="s">
        <v>3872</v>
      </c>
      <c r="L7062" t="s">
        <v>692</v>
      </c>
      <c r="P7062" t="s">
        <v>3991</v>
      </c>
      <c r="T7062">
        <v>46142</v>
      </c>
      <c r="V7062">
        <v>139</v>
      </c>
    </row>
    <row r="7063" spans="1:22" customFormat="1" ht="15" x14ac:dyDescent="0.25">
      <c r="A7063" t="s">
        <v>181</v>
      </c>
      <c r="E7063" s="1524" t="s">
        <v>243</v>
      </c>
      <c r="F7063" s="1524"/>
      <c r="G7063" s="360" t="s">
        <v>845</v>
      </c>
      <c r="H7063" s="432">
        <v>1.04E-2</v>
      </c>
      <c r="K7063" t="s">
        <v>3872</v>
      </c>
      <c r="L7063" t="s">
        <v>694</v>
      </c>
      <c r="P7063" t="s">
        <v>3877</v>
      </c>
      <c r="V7063">
        <v>47</v>
      </c>
    </row>
    <row r="7064" spans="1:22" customFormat="1" ht="15" x14ac:dyDescent="0.25">
      <c r="A7064" t="s">
        <v>181</v>
      </c>
      <c r="E7064" s="1524" t="s">
        <v>175</v>
      </c>
      <c r="F7064" s="1524"/>
      <c r="G7064" s="360" t="s">
        <v>845</v>
      </c>
      <c r="H7064" s="432">
        <v>7.9000000000000008E-3</v>
      </c>
      <c r="K7064" t="s">
        <v>3872</v>
      </c>
      <c r="L7064" t="s">
        <v>694</v>
      </c>
      <c r="P7064" t="s">
        <v>3878</v>
      </c>
      <c r="V7064">
        <v>74</v>
      </c>
    </row>
    <row r="7065" spans="1:22" customFormat="1" ht="15" x14ac:dyDescent="0.25">
      <c r="A7065" t="s">
        <v>181</v>
      </c>
      <c r="E7065" s="1533" t="s">
        <v>967</v>
      </c>
      <c r="F7065" s="1524"/>
      <c r="G7065" s="360"/>
      <c r="H7065" s="360"/>
      <c r="K7065" t="s">
        <v>1049</v>
      </c>
      <c r="V7065">
        <v>48</v>
      </c>
    </row>
    <row r="7066" spans="1:22" customFormat="1" ht="15" x14ac:dyDescent="0.25">
      <c r="A7066" t="s">
        <v>181</v>
      </c>
      <c r="E7066" s="1524" t="s">
        <v>844</v>
      </c>
      <c r="F7066" s="1524"/>
      <c r="G7066" s="360" t="s">
        <v>845</v>
      </c>
      <c r="H7066" s="605">
        <v>4.1000000000000003E-3</v>
      </c>
      <c r="K7066" t="s">
        <v>3872</v>
      </c>
      <c r="L7066" t="s">
        <v>968</v>
      </c>
      <c r="P7066" t="s">
        <v>3879</v>
      </c>
      <c r="V7066">
        <v>55</v>
      </c>
    </row>
    <row r="7067" spans="1:22" customFormat="1" ht="15" x14ac:dyDescent="0.25">
      <c r="A7067" t="s">
        <v>181</v>
      </c>
      <c r="E7067" s="1524" t="s">
        <v>846</v>
      </c>
      <c r="F7067" s="1524"/>
      <c r="G7067" s="360" t="s">
        <v>845</v>
      </c>
      <c r="H7067" s="605">
        <v>4.0000000000000002E-4</v>
      </c>
      <c r="K7067" t="s">
        <v>3872</v>
      </c>
      <c r="L7067" t="s">
        <v>968</v>
      </c>
      <c r="P7067" t="s">
        <v>3879</v>
      </c>
      <c r="V7067">
        <v>65</v>
      </c>
    </row>
    <row r="7068" spans="1:22" customFormat="1" ht="15" x14ac:dyDescent="0.25">
      <c r="A7068" t="s">
        <v>181</v>
      </c>
      <c r="E7068" s="1524" t="s">
        <v>847</v>
      </c>
      <c r="F7068" s="1524"/>
      <c r="G7068" s="360" t="s">
        <v>845</v>
      </c>
      <c r="H7068" s="605">
        <v>1.5E-3</v>
      </c>
      <c r="K7068" t="s">
        <v>3872</v>
      </c>
      <c r="L7068" t="s">
        <v>968</v>
      </c>
      <c r="P7068" t="s">
        <v>3880</v>
      </c>
      <c r="V7068">
        <v>57</v>
      </c>
    </row>
    <row r="7069" spans="1:22" customFormat="1" ht="15" x14ac:dyDescent="0.25">
      <c r="A7069" t="s">
        <v>181</v>
      </c>
      <c r="E7069" s="1524" t="s">
        <v>848</v>
      </c>
      <c r="F7069" s="1524"/>
      <c r="G7069" s="360" t="s">
        <v>777</v>
      </c>
      <c r="H7069" s="604">
        <v>0.25</v>
      </c>
      <c r="K7069" t="s">
        <v>3872</v>
      </c>
      <c r="L7069" t="s">
        <v>968</v>
      </c>
      <c r="P7069" t="s">
        <v>3881</v>
      </c>
      <c r="V7069">
        <v>63</v>
      </c>
    </row>
    <row r="7070" spans="1:22" customFormat="1" x14ac:dyDescent="0.25">
      <c r="A7070" t="s">
        <v>181</v>
      </c>
      <c r="E7070" s="1538" t="s">
        <v>198</v>
      </c>
      <c r="F7070" s="1571"/>
      <c r="G7070" s="1571"/>
      <c r="H7070" s="1571"/>
      <c r="K7070" t="s">
        <v>3882</v>
      </c>
      <c r="V7070">
        <v>40</v>
      </c>
    </row>
    <row r="7071" spans="1:22" customFormat="1" ht="15" x14ac:dyDescent="0.25">
      <c r="A7071" t="s">
        <v>181</v>
      </c>
      <c r="E7071" s="1496" t="s">
        <v>4693</v>
      </c>
      <c r="F7071" s="1496"/>
      <c r="G7071" s="1496"/>
      <c r="H7071" s="1496"/>
      <c r="K7071" t="s">
        <v>3882</v>
      </c>
      <c r="V7071">
        <v>253</v>
      </c>
    </row>
    <row r="7072" spans="1:22" customFormat="1" ht="15" x14ac:dyDescent="0.25">
      <c r="A7072" t="s">
        <v>181</v>
      </c>
      <c r="E7072" s="1533" t="s">
        <v>950</v>
      </c>
      <c r="F7072" s="1496"/>
      <c r="G7072" s="1496"/>
      <c r="H7072" s="1496"/>
      <c r="K7072" t="s">
        <v>1055</v>
      </c>
      <c r="V7072">
        <v>11</v>
      </c>
    </row>
    <row r="7073" spans="1:22" customFormat="1" ht="15" x14ac:dyDescent="0.25">
      <c r="A7073" t="s">
        <v>181</v>
      </c>
      <c r="E7073" s="1496" t="s">
        <v>951</v>
      </c>
      <c r="F7073" s="1496"/>
      <c r="G7073" s="1496"/>
      <c r="H7073" s="1496"/>
      <c r="K7073" t="s">
        <v>3882</v>
      </c>
      <c r="V7073">
        <v>280</v>
      </c>
    </row>
    <row r="7074" spans="1:22" customFormat="1" ht="15" x14ac:dyDescent="0.25">
      <c r="A7074" t="s">
        <v>181</v>
      </c>
      <c r="E7074" s="1496" t="s">
        <v>952</v>
      </c>
      <c r="F7074" s="1496"/>
      <c r="G7074" s="1496"/>
      <c r="H7074" s="1496"/>
      <c r="K7074" t="s">
        <v>3882</v>
      </c>
      <c r="V7074">
        <v>411</v>
      </c>
    </row>
    <row r="7075" spans="1:22" customFormat="1" ht="15" x14ac:dyDescent="0.25">
      <c r="A7075" t="s">
        <v>181</v>
      </c>
      <c r="E7075" s="1496" t="s">
        <v>3761</v>
      </c>
      <c r="F7075" s="1496"/>
      <c r="G7075" s="1496"/>
      <c r="H7075" s="1496"/>
      <c r="K7075" t="s">
        <v>3882</v>
      </c>
      <c r="V7075">
        <v>387</v>
      </c>
    </row>
    <row r="7076" spans="1:22" customFormat="1" ht="15" x14ac:dyDescent="0.25">
      <c r="A7076" t="s">
        <v>181</v>
      </c>
      <c r="E7076" s="1496" t="s">
        <v>3762</v>
      </c>
      <c r="F7076" s="1496"/>
      <c r="G7076" s="1496"/>
      <c r="H7076" s="1496"/>
      <c r="K7076" t="s">
        <v>3882</v>
      </c>
      <c r="V7076">
        <v>247</v>
      </c>
    </row>
    <row r="7077" spans="1:22" customFormat="1" ht="15" x14ac:dyDescent="0.25">
      <c r="A7077" t="s">
        <v>181</v>
      </c>
      <c r="E7077" s="1533" t="s">
        <v>956</v>
      </c>
      <c r="F7077" s="1496"/>
      <c r="G7077" s="1496"/>
      <c r="H7077" s="1496"/>
      <c r="K7077" t="s">
        <v>1056</v>
      </c>
      <c r="V7077">
        <v>46</v>
      </c>
    </row>
    <row r="7078" spans="1:22" customFormat="1" ht="15" x14ac:dyDescent="0.25">
      <c r="A7078" t="s">
        <v>181</v>
      </c>
      <c r="E7078" s="1524" t="s">
        <v>4449</v>
      </c>
      <c r="F7078" s="1524"/>
      <c r="G7078" s="360" t="s">
        <v>777</v>
      </c>
      <c r="H7078" s="953">
        <v>5.44</v>
      </c>
      <c r="K7078" t="s">
        <v>3882</v>
      </c>
      <c r="L7078" t="s">
        <v>690</v>
      </c>
      <c r="P7078" t="s">
        <v>3884</v>
      </c>
      <c r="V7078">
        <v>27</v>
      </c>
    </row>
    <row r="7079" spans="1:22" customFormat="1" ht="15" x14ac:dyDescent="0.25">
      <c r="A7079" t="s">
        <v>181</v>
      </c>
      <c r="E7079" s="1524" t="s">
        <v>3688</v>
      </c>
      <c r="F7079" s="1524"/>
      <c r="G7079" s="360" t="s">
        <v>3775</v>
      </c>
      <c r="H7079" s="432">
        <v>35.905099999999997</v>
      </c>
      <c r="K7079" t="s">
        <v>3882</v>
      </c>
      <c r="L7079" t="s">
        <v>690</v>
      </c>
      <c r="P7079" t="s">
        <v>3885</v>
      </c>
      <c r="V7079">
        <v>28</v>
      </c>
    </row>
    <row r="7080" spans="1:22" customFormat="1" ht="15" x14ac:dyDescent="0.25">
      <c r="A7080" t="s">
        <v>181</v>
      </c>
      <c r="E7080" s="1524" t="s">
        <v>910</v>
      </c>
      <c r="F7080" s="1524"/>
      <c r="G7080" s="360" t="s">
        <v>3775</v>
      </c>
      <c r="H7080" s="605">
        <v>0.1134</v>
      </c>
      <c r="K7080" t="s">
        <v>3882</v>
      </c>
      <c r="L7080" t="s">
        <v>692</v>
      </c>
      <c r="P7080" t="s">
        <v>4344</v>
      </c>
      <c r="V7080">
        <v>24</v>
      </c>
    </row>
    <row r="7081" spans="1:22" customFormat="1" ht="15" x14ac:dyDescent="0.25">
      <c r="A7081" t="s">
        <v>181</v>
      </c>
      <c r="E7081" s="1524" t="s">
        <v>6849</v>
      </c>
      <c r="F7081" s="1468"/>
      <c r="G7081" s="360" t="s">
        <v>845</v>
      </c>
      <c r="H7081" s="605">
        <v>1.2999999999999999E-3</v>
      </c>
      <c r="K7081" t="s">
        <v>3882</v>
      </c>
      <c r="L7081" t="s">
        <v>692</v>
      </c>
      <c r="P7081" t="s">
        <v>4345</v>
      </c>
      <c r="T7081">
        <v>46142</v>
      </c>
      <c r="V7081">
        <v>139</v>
      </c>
    </row>
    <row r="7082" spans="1:22" customFormat="1" ht="15" x14ac:dyDescent="0.25">
      <c r="A7082" t="s">
        <v>181</v>
      </c>
      <c r="E7082" s="1524" t="s">
        <v>6850</v>
      </c>
      <c r="F7082" s="1468"/>
      <c r="G7082" s="360" t="s">
        <v>3775</v>
      </c>
      <c r="H7082" s="605">
        <v>-0.69689999999999996</v>
      </c>
      <c r="K7082" t="s">
        <v>3882</v>
      </c>
      <c r="L7082" t="s">
        <v>692</v>
      </c>
      <c r="P7082" t="s">
        <v>4347</v>
      </c>
      <c r="T7082">
        <v>46142</v>
      </c>
      <c r="V7082">
        <v>96</v>
      </c>
    </row>
    <row r="7083" spans="1:22" customFormat="1" ht="15" x14ac:dyDescent="0.25">
      <c r="A7083" t="s">
        <v>181</v>
      </c>
      <c r="E7083" s="1524" t="s">
        <v>6851</v>
      </c>
      <c r="F7083" s="1468"/>
      <c r="G7083" s="360" t="s">
        <v>3775</v>
      </c>
      <c r="H7083" s="605">
        <v>4.0899999999999999E-2</v>
      </c>
      <c r="K7083" t="s">
        <v>3882</v>
      </c>
      <c r="L7083" t="s">
        <v>692</v>
      </c>
      <c r="P7083" t="s">
        <v>4348</v>
      </c>
      <c r="T7083">
        <v>46142</v>
      </c>
      <c r="V7083">
        <v>139</v>
      </c>
    </row>
    <row r="7084" spans="1:22" customFormat="1" ht="15" x14ac:dyDescent="0.25">
      <c r="A7084" t="s">
        <v>181</v>
      </c>
      <c r="E7084" s="1524" t="s">
        <v>243</v>
      </c>
      <c r="F7084" s="1524"/>
      <c r="G7084" s="360" t="s">
        <v>3775</v>
      </c>
      <c r="H7084" s="432">
        <v>3.1812</v>
      </c>
      <c r="K7084" t="s">
        <v>3882</v>
      </c>
      <c r="L7084" t="s">
        <v>694</v>
      </c>
      <c r="P7084" t="s">
        <v>3886</v>
      </c>
      <c r="V7084">
        <v>47</v>
      </c>
    </row>
    <row r="7085" spans="1:22" customFormat="1" ht="15" x14ac:dyDescent="0.25">
      <c r="A7085" t="s">
        <v>181</v>
      </c>
      <c r="E7085" s="1524" t="s">
        <v>175</v>
      </c>
      <c r="F7085" s="1524"/>
      <c r="G7085" s="360" t="s">
        <v>3775</v>
      </c>
      <c r="H7085" s="432">
        <v>2.5463</v>
      </c>
      <c r="K7085" t="s">
        <v>3882</v>
      </c>
      <c r="L7085" t="s">
        <v>694</v>
      </c>
      <c r="P7085" t="s">
        <v>3887</v>
      </c>
      <c r="V7085">
        <v>74</v>
      </c>
    </row>
    <row r="7086" spans="1:22" customFormat="1" ht="15" x14ac:dyDescent="0.25">
      <c r="A7086" t="s">
        <v>181</v>
      </c>
      <c r="E7086" s="1533" t="s">
        <v>967</v>
      </c>
      <c r="F7086" s="1524"/>
      <c r="G7086" s="360"/>
      <c r="H7086" s="360"/>
      <c r="K7086" t="s">
        <v>1065</v>
      </c>
      <c r="V7086">
        <v>48</v>
      </c>
    </row>
    <row r="7087" spans="1:22" customFormat="1" ht="15" x14ac:dyDescent="0.25">
      <c r="A7087" t="s">
        <v>181</v>
      </c>
      <c r="E7087" s="1524" t="s">
        <v>844</v>
      </c>
      <c r="F7087" s="1524"/>
      <c r="G7087" s="360" t="s">
        <v>845</v>
      </c>
      <c r="H7087" s="605">
        <v>4.1000000000000003E-3</v>
      </c>
      <c r="K7087" t="s">
        <v>3882</v>
      </c>
      <c r="L7087" t="s">
        <v>968</v>
      </c>
      <c r="P7087" t="s">
        <v>3888</v>
      </c>
      <c r="V7087">
        <v>55</v>
      </c>
    </row>
    <row r="7088" spans="1:22" customFormat="1" ht="15" x14ac:dyDescent="0.25">
      <c r="A7088" t="s">
        <v>181</v>
      </c>
      <c r="E7088" s="1524" t="s">
        <v>846</v>
      </c>
      <c r="F7088" s="1524"/>
      <c r="G7088" s="360" t="s">
        <v>845</v>
      </c>
      <c r="H7088" s="605">
        <v>4.0000000000000002E-4</v>
      </c>
      <c r="K7088" t="s">
        <v>3882</v>
      </c>
      <c r="L7088" t="s">
        <v>968</v>
      </c>
      <c r="P7088" t="s">
        <v>3888</v>
      </c>
      <c r="V7088">
        <v>65</v>
      </c>
    </row>
    <row r="7089" spans="1:22" customFormat="1" ht="15" x14ac:dyDescent="0.25">
      <c r="A7089" t="s">
        <v>181</v>
      </c>
      <c r="E7089" s="1524" t="s">
        <v>847</v>
      </c>
      <c r="F7089" s="1524"/>
      <c r="G7089" s="360" t="s">
        <v>845</v>
      </c>
      <c r="H7089" s="605">
        <v>1.5E-3</v>
      </c>
      <c r="K7089" t="s">
        <v>3882</v>
      </c>
      <c r="L7089" t="s">
        <v>968</v>
      </c>
      <c r="P7089" t="s">
        <v>3889</v>
      </c>
      <c r="V7089">
        <v>57</v>
      </c>
    </row>
    <row r="7090" spans="1:22" customFormat="1" ht="15" x14ac:dyDescent="0.25">
      <c r="A7090" t="s">
        <v>181</v>
      </c>
      <c r="E7090" s="1524" t="s">
        <v>848</v>
      </c>
      <c r="F7090" s="1524"/>
      <c r="G7090" s="360" t="s">
        <v>777</v>
      </c>
      <c r="H7090" s="604">
        <v>0.25</v>
      </c>
      <c r="K7090" t="s">
        <v>3882</v>
      </c>
      <c r="L7090" t="s">
        <v>968</v>
      </c>
      <c r="P7090" t="s">
        <v>3890</v>
      </c>
      <c r="V7090">
        <v>63</v>
      </c>
    </row>
    <row r="7091" spans="1:22" customFormat="1" x14ac:dyDescent="0.25">
      <c r="A7091" t="s">
        <v>181</v>
      </c>
      <c r="E7091" s="1538" t="s">
        <v>202</v>
      </c>
      <c r="F7091" s="1571"/>
      <c r="G7091" s="1571"/>
      <c r="H7091" s="1571"/>
      <c r="K7091" t="s">
        <v>3891</v>
      </c>
      <c r="V7091">
        <v>38</v>
      </c>
    </row>
    <row r="7092" spans="1:22" customFormat="1" ht="15" x14ac:dyDescent="0.25">
      <c r="A7092" t="s">
        <v>181</v>
      </c>
      <c r="E7092" s="1496" t="s">
        <v>4483</v>
      </c>
      <c r="F7092" s="1496"/>
      <c r="G7092" s="1496"/>
      <c r="H7092" s="1496"/>
      <c r="K7092" t="s">
        <v>3891</v>
      </c>
      <c r="V7092">
        <v>543</v>
      </c>
    </row>
    <row r="7093" spans="1:22" customFormat="1" ht="15" x14ac:dyDescent="0.25">
      <c r="A7093" t="s">
        <v>181</v>
      </c>
      <c r="E7093" s="1533" t="s">
        <v>950</v>
      </c>
      <c r="F7093" s="1496"/>
      <c r="G7093" s="1496"/>
      <c r="H7093" s="1496"/>
      <c r="K7093" t="s">
        <v>1071</v>
      </c>
      <c r="V7093">
        <v>11</v>
      </c>
    </row>
    <row r="7094" spans="1:22" customFormat="1" ht="15" x14ac:dyDescent="0.25">
      <c r="A7094" t="s">
        <v>181</v>
      </c>
      <c r="E7094" s="1496" t="s">
        <v>951</v>
      </c>
      <c r="F7094" s="1496"/>
      <c r="G7094" s="1496"/>
      <c r="H7094" s="1496"/>
      <c r="K7094" t="s">
        <v>3891</v>
      </c>
      <c r="V7094">
        <v>280</v>
      </c>
    </row>
    <row r="7095" spans="1:22" customFormat="1" ht="15" x14ac:dyDescent="0.25">
      <c r="A7095" t="s">
        <v>181</v>
      </c>
      <c r="E7095" s="1496" t="s">
        <v>952</v>
      </c>
      <c r="F7095" s="1496"/>
      <c r="G7095" s="1496"/>
      <c r="H7095" s="1496"/>
      <c r="K7095" t="s">
        <v>3891</v>
      </c>
      <c r="V7095">
        <v>411</v>
      </c>
    </row>
    <row r="7096" spans="1:22" customFormat="1" ht="15" x14ac:dyDescent="0.25">
      <c r="A7096" t="s">
        <v>181</v>
      </c>
      <c r="E7096" s="1496" t="s">
        <v>3761</v>
      </c>
      <c r="F7096" s="1496"/>
      <c r="G7096" s="1496"/>
      <c r="H7096" s="1496"/>
      <c r="K7096" t="s">
        <v>3891</v>
      </c>
      <c r="V7096">
        <v>387</v>
      </c>
    </row>
    <row r="7097" spans="1:22" customFormat="1" ht="15" x14ac:dyDescent="0.25">
      <c r="A7097" t="s">
        <v>181</v>
      </c>
      <c r="E7097" s="1496" t="s">
        <v>3762</v>
      </c>
      <c r="F7097" s="1496"/>
      <c r="G7097" s="1496"/>
      <c r="H7097" s="1496"/>
      <c r="K7097" t="s">
        <v>3891</v>
      </c>
      <c r="V7097">
        <v>247</v>
      </c>
    </row>
    <row r="7098" spans="1:22" customFormat="1" ht="15" x14ac:dyDescent="0.25">
      <c r="A7098" t="s">
        <v>181</v>
      </c>
      <c r="E7098" s="1533" t="s">
        <v>956</v>
      </c>
      <c r="F7098" s="1496"/>
      <c r="G7098" s="1496"/>
      <c r="H7098" s="1496"/>
      <c r="K7098" t="s">
        <v>1075</v>
      </c>
      <c r="V7098">
        <v>46</v>
      </c>
    </row>
    <row r="7099" spans="1:22" customFormat="1" ht="15" x14ac:dyDescent="0.25">
      <c r="A7099" t="s">
        <v>181</v>
      </c>
      <c r="E7099" s="1524" t="s">
        <v>4449</v>
      </c>
      <c r="F7099" s="1524"/>
      <c r="G7099" s="360" t="s">
        <v>777</v>
      </c>
      <c r="H7099" s="953">
        <v>3.13</v>
      </c>
      <c r="K7099" t="s">
        <v>3891</v>
      </c>
      <c r="L7099" t="s">
        <v>690</v>
      </c>
      <c r="P7099" t="s">
        <v>3894</v>
      </c>
      <c r="V7099">
        <v>27</v>
      </c>
    </row>
    <row r="7100" spans="1:22" customFormat="1" ht="15" x14ac:dyDescent="0.25">
      <c r="A7100" t="s">
        <v>181</v>
      </c>
      <c r="E7100" s="1524" t="s">
        <v>3688</v>
      </c>
      <c r="F7100" s="1524"/>
      <c r="G7100" s="360" t="s">
        <v>3775</v>
      </c>
      <c r="H7100" s="432">
        <v>24.438099999999999</v>
      </c>
      <c r="K7100" t="s">
        <v>3891</v>
      </c>
      <c r="L7100" t="s">
        <v>690</v>
      </c>
      <c r="P7100" t="s">
        <v>3895</v>
      </c>
      <c r="V7100">
        <v>28</v>
      </c>
    </row>
    <row r="7101" spans="1:22" customFormat="1" ht="15" x14ac:dyDescent="0.25">
      <c r="A7101" t="s">
        <v>181</v>
      </c>
      <c r="E7101" s="1524" t="s">
        <v>910</v>
      </c>
      <c r="F7101" s="1524"/>
      <c r="G7101" s="360" t="s">
        <v>3775</v>
      </c>
      <c r="H7101" s="605">
        <v>0.1111</v>
      </c>
      <c r="K7101" t="s">
        <v>3891</v>
      </c>
      <c r="L7101" t="s">
        <v>692</v>
      </c>
      <c r="P7101" t="s">
        <v>4350</v>
      </c>
      <c r="V7101">
        <v>24</v>
      </c>
    </row>
    <row r="7102" spans="1:22" customFormat="1" ht="15" x14ac:dyDescent="0.25">
      <c r="A7102" t="s">
        <v>181</v>
      </c>
      <c r="E7102" s="1524" t="s">
        <v>6851</v>
      </c>
      <c r="F7102" s="1468"/>
      <c r="G7102" s="360" t="s">
        <v>3775</v>
      </c>
      <c r="H7102" s="605">
        <v>3.9800000000000002E-2</v>
      </c>
      <c r="K7102" t="s">
        <v>3891</v>
      </c>
      <c r="L7102" t="s">
        <v>692</v>
      </c>
      <c r="P7102" t="s">
        <v>4354</v>
      </c>
      <c r="T7102">
        <v>46142</v>
      </c>
      <c r="V7102">
        <v>139</v>
      </c>
    </row>
    <row r="7103" spans="1:22" customFormat="1" ht="15" x14ac:dyDescent="0.25">
      <c r="A7103" t="s">
        <v>181</v>
      </c>
      <c r="E7103" s="1524" t="s">
        <v>6850</v>
      </c>
      <c r="F7103" s="1468"/>
      <c r="G7103" s="360" t="s">
        <v>3775</v>
      </c>
      <c r="H7103" s="605">
        <v>-0.6956</v>
      </c>
      <c r="K7103" t="s">
        <v>3891</v>
      </c>
      <c r="L7103" t="s">
        <v>692</v>
      </c>
      <c r="P7103" t="s">
        <v>4353</v>
      </c>
      <c r="T7103">
        <v>46142</v>
      </c>
      <c r="V7103">
        <v>96</v>
      </c>
    </row>
    <row r="7104" spans="1:22" customFormat="1" ht="15" x14ac:dyDescent="0.25">
      <c r="A7104" t="s">
        <v>181</v>
      </c>
      <c r="E7104" s="1524" t="s">
        <v>243</v>
      </c>
      <c r="F7104" s="1524"/>
      <c r="G7104" s="360" t="s">
        <v>3775</v>
      </c>
      <c r="H7104" s="432">
        <v>3.1652999999999998</v>
      </c>
      <c r="K7104" t="s">
        <v>3891</v>
      </c>
      <c r="L7104" t="s">
        <v>694</v>
      </c>
      <c r="P7104" t="s">
        <v>3896</v>
      </c>
      <c r="V7104">
        <v>47</v>
      </c>
    </row>
    <row r="7105" spans="1:22" customFormat="1" ht="15" x14ac:dyDescent="0.25">
      <c r="A7105" t="s">
        <v>181</v>
      </c>
      <c r="E7105" s="1524" t="s">
        <v>175</v>
      </c>
      <c r="F7105" s="1524"/>
      <c r="G7105" s="360" t="s">
        <v>3775</v>
      </c>
      <c r="H7105" s="432">
        <v>2.4944999999999999</v>
      </c>
      <c r="K7105" t="s">
        <v>3891</v>
      </c>
      <c r="L7105" t="s">
        <v>694</v>
      </c>
      <c r="P7105" t="s">
        <v>3897</v>
      </c>
      <c r="V7105">
        <v>74</v>
      </c>
    </row>
    <row r="7106" spans="1:22" customFormat="1" ht="15" x14ac:dyDescent="0.25">
      <c r="A7106" t="s">
        <v>181</v>
      </c>
      <c r="E7106" s="1533" t="s">
        <v>967</v>
      </c>
      <c r="F7106" s="1524"/>
      <c r="G7106" s="360"/>
      <c r="H7106" s="360"/>
      <c r="K7106" t="s">
        <v>3898</v>
      </c>
      <c r="V7106">
        <v>48</v>
      </c>
    </row>
    <row r="7107" spans="1:22" customFormat="1" ht="15" x14ac:dyDescent="0.25">
      <c r="A7107" t="s">
        <v>181</v>
      </c>
      <c r="E7107" s="1524" t="s">
        <v>844</v>
      </c>
      <c r="F7107" s="1524"/>
      <c r="G7107" s="360" t="s">
        <v>845</v>
      </c>
      <c r="H7107" s="605">
        <v>4.1000000000000003E-3</v>
      </c>
      <c r="K7107" t="s">
        <v>3891</v>
      </c>
      <c r="L7107" t="s">
        <v>968</v>
      </c>
      <c r="P7107" t="s">
        <v>3899</v>
      </c>
      <c r="V7107">
        <v>55</v>
      </c>
    </row>
    <row r="7108" spans="1:22" customFormat="1" ht="15" x14ac:dyDescent="0.25">
      <c r="A7108" t="s">
        <v>181</v>
      </c>
      <c r="E7108" s="1524" t="s">
        <v>846</v>
      </c>
      <c r="F7108" s="1524"/>
      <c r="G7108" s="360" t="s">
        <v>845</v>
      </c>
      <c r="H7108" s="605">
        <v>4.0000000000000002E-4</v>
      </c>
      <c r="K7108" t="s">
        <v>3891</v>
      </c>
      <c r="L7108" t="s">
        <v>968</v>
      </c>
      <c r="P7108" t="s">
        <v>3899</v>
      </c>
      <c r="V7108">
        <v>65</v>
      </c>
    </row>
    <row r="7109" spans="1:22" customFormat="1" ht="15" x14ac:dyDescent="0.25">
      <c r="A7109" t="s">
        <v>181</v>
      </c>
      <c r="E7109" s="1524" t="s">
        <v>847</v>
      </c>
      <c r="F7109" s="1524"/>
      <c r="G7109" s="360" t="s">
        <v>845</v>
      </c>
      <c r="H7109" s="605">
        <v>1.5E-3</v>
      </c>
      <c r="K7109" t="s">
        <v>3891</v>
      </c>
      <c r="L7109" t="s">
        <v>968</v>
      </c>
      <c r="P7109" t="s">
        <v>3900</v>
      </c>
      <c r="V7109">
        <v>57</v>
      </c>
    </row>
    <row r="7110" spans="1:22" customFormat="1" ht="15" x14ac:dyDescent="0.25">
      <c r="A7110" t="s">
        <v>181</v>
      </c>
      <c r="E7110" s="1524" t="s">
        <v>848</v>
      </c>
      <c r="F7110" s="1524"/>
      <c r="G7110" s="360" t="s">
        <v>777</v>
      </c>
      <c r="H7110" s="604">
        <v>0.25</v>
      </c>
      <c r="K7110" t="s">
        <v>3891</v>
      </c>
      <c r="L7110" t="s">
        <v>968</v>
      </c>
      <c r="P7110" t="s">
        <v>3901</v>
      </c>
      <c r="V7110">
        <v>63</v>
      </c>
    </row>
    <row r="7111" spans="1:22" customFormat="1" x14ac:dyDescent="0.25">
      <c r="A7111" t="s">
        <v>181</v>
      </c>
      <c r="E7111" s="1538" t="s">
        <v>207</v>
      </c>
      <c r="F7111" s="1571"/>
      <c r="G7111" s="1571"/>
      <c r="H7111" s="1571"/>
      <c r="K7111" t="s">
        <v>3902</v>
      </c>
      <c r="V7111">
        <v>31</v>
      </c>
    </row>
    <row r="7112" spans="1:22" customFormat="1" ht="15" x14ac:dyDescent="0.25">
      <c r="A7112" t="s">
        <v>181</v>
      </c>
      <c r="E7112" s="1496" t="s">
        <v>4150</v>
      </c>
      <c r="F7112" s="1496"/>
      <c r="G7112" s="1496"/>
      <c r="H7112" s="1496"/>
      <c r="K7112" t="s">
        <v>3902</v>
      </c>
      <c r="V7112">
        <v>286</v>
      </c>
    </row>
    <row r="7113" spans="1:22" customFormat="1" ht="15" x14ac:dyDescent="0.25">
      <c r="A7113" t="s">
        <v>181</v>
      </c>
      <c r="E7113" s="1533" t="s">
        <v>950</v>
      </c>
      <c r="F7113" s="1496"/>
      <c r="G7113" s="1496"/>
      <c r="H7113" s="1496"/>
      <c r="K7113" t="s">
        <v>3904</v>
      </c>
      <c r="V7113">
        <v>11</v>
      </c>
    </row>
    <row r="7114" spans="1:22" customFormat="1" ht="15" x14ac:dyDescent="0.25">
      <c r="A7114" t="s">
        <v>181</v>
      </c>
      <c r="E7114" s="1496" t="s">
        <v>951</v>
      </c>
      <c r="F7114" s="1496"/>
      <c r="G7114" s="1496"/>
      <c r="H7114" s="1496"/>
      <c r="K7114" t="s">
        <v>3902</v>
      </c>
      <c r="V7114">
        <v>280</v>
      </c>
    </row>
    <row r="7115" spans="1:22" customFormat="1" ht="15" x14ac:dyDescent="0.25">
      <c r="A7115" t="s">
        <v>181</v>
      </c>
      <c r="E7115" s="1496" t="s">
        <v>952</v>
      </c>
      <c r="F7115" s="1496"/>
      <c r="G7115" s="1496"/>
      <c r="H7115" s="1496"/>
      <c r="K7115" t="s">
        <v>3902</v>
      </c>
      <c r="V7115">
        <v>411</v>
      </c>
    </row>
    <row r="7116" spans="1:22" customFormat="1" ht="15" x14ac:dyDescent="0.25">
      <c r="A7116" t="s">
        <v>181</v>
      </c>
      <c r="E7116" s="1496" t="s">
        <v>1103</v>
      </c>
      <c r="F7116" s="1496"/>
      <c r="G7116" s="1496"/>
      <c r="H7116" s="1496"/>
      <c r="K7116" t="s">
        <v>3902</v>
      </c>
      <c r="V7116">
        <v>211</v>
      </c>
    </row>
    <row r="7117" spans="1:22" customFormat="1" ht="15" x14ac:dyDescent="0.25">
      <c r="A7117" t="s">
        <v>181</v>
      </c>
      <c r="E7117" s="1496" t="s">
        <v>3762</v>
      </c>
      <c r="F7117" s="1496"/>
      <c r="G7117" s="1496"/>
      <c r="H7117" s="1496"/>
      <c r="K7117" t="s">
        <v>3902</v>
      </c>
      <c r="V7117">
        <v>247</v>
      </c>
    </row>
    <row r="7118" spans="1:22" customFormat="1" ht="15" x14ac:dyDescent="0.25">
      <c r="A7118" t="s">
        <v>181</v>
      </c>
      <c r="E7118" s="1533" t="s">
        <v>956</v>
      </c>
      <c r="F7118" s="1496"/>
      <c r="G7118" s="1496"/>
      <c r="H7118" s="1496"/>
      <c r="K7118" t="s">
        <v>3905</v>
      </c>
      <c r="V7118">
        <v>46</v>
      </c>
    </row>
    <row r="7119" spans="1:22" customFormat="1" ht="15" x14ac:dyDescent="0.25">
      <c r="A7119" t="s">
        <v>181</v>
      </c>
      <c r="E7119" s="1524" t="s">
        <v>3773</v>
      </c>
      <c r="F7119" s="1524"/>
      <c r="G7119" s="360" t="s">
        <v>777</v>
      </c>
      <c r="H7119" s="953">
        <v>5</v>
      </c>
      <c r="K7119" t="s">
        <v>3902</v>
      </c>
      <c r="L7119" t="s">
        <v>690</v>
      </c>
      <c r="P7119" t="s">
        <v>3906</v>
      </c>
      <c r="V7119">
        <v>14</v>
      </c>
    </row>
    <row r="7120" spans="1:22" customFormat="1" ht="18.75" x14ac:dyDescent="0.25">
      <c r="A7120" t="s">
        <v>181</v>
      </c>
      <c r="E7120" s="842" t="s">
        <v>3825</v>
      </c>
      <c r="F7120" s="606"/>
      <c r="G7120" s="606"/>
      <c r="H7120" s="607"/>
      <c r="K7120" t="s">
        <v>5296</v>
      </c>
      <c r="V7120">
        <v>10</v>
      </c>
    </row>
    <row r="7121" spans="1:22" customFormat="1" ht="15" x14ac:dyDescent="0.25">
      <c r="A7121" t="s">
        <v>181</v>
      </c>
      <c r="E7121" s="1524" t="s">
        <v>1078</v>
      </c>
      <c r="F7121" s="1524"/>
      <c r="G7121" s="360" t="s">
        <v>3775</v>
      </c>
      <c r="H7121" s="608">
        <v>-0.6</v>
      </c>
      <c r="V7121">
        <v>68</v>
      </c>
    </row>
    <row r="7122" spans="1:22" customFormat="1" ht="15" x14ac:dyDescent="0.25">
      <c r="A7122" t="s">
        <v>181</v>
      </c>
      <c r="E7122" s="1524" t="s">
        <v>1079</v>
      </c>
      <c r="F7122" s="1524"/>
      <c r="G7122" s="360" t="s">
        <v>1118</v>
      </c>
      <c r="H7122" s="604">
        <v>-1</v>
      </c>
      <c r="V7122">
        <v>87</v>
      </c>
    </row>
    <row r="7123" spans="1:22" customFormat="1" ht="36" x14ac:dyDescent="0.25">
      <c r="A7123" t="s">
        <v>181</v>
      </c>
      <c r="E7123" s="842" t="s">
        <v>3828</v>
      </c>
      <c r="F7123" s="606"/>
      <c r="G7123" s="606"/>
      <c r="H7123" s="607"/>
      <c r="K7123" t="s">
        <v>5297</v>
      </c>
      <c r="V7123">
        <v>24</v>
      </c>
    </row>
    <row r="7124" spans="1:22" customFormat="1" ht="15" x14ac:dyDescent="0.25">
      <c r="A7124" t="s">
        <v>181</v>
      </c>
      <c r="E7124" s="1496" t="s">
        <v>951</v>
      </c>
      <c r="F7124" s="1496"/>
      <c r="G7124" s="1496"/>
      <c r="H7124" s="1496"/>
      <c r="V7124">
        <v>280</v>
      </c>
    </row>
    <row r="7125" spans="1:22" customFormat="1" ht="15" x14ac:dyDescent="0.25">
      <c r="A7125" t="s">
        <v>181</v>
      </c>
      <c r="E7125" s="1496" t="s">
        <v>1081</v>
      </c>
      <c r="F7125" s="1496"/>
      <c r="G7125" s="1496"/>
      <c r="H7125" s="1496"/>
      <c r="V7125">
        <v>353</v>
      </c>
    </row>
    <row r="7126" spans="1:22" customFormat="1" ht="15" x14ac:dyDescent="0.25">
      <c r="A7126" t="s">
        <v>181</v>
      </c>
      <c r="E7126" s="1496" t="s">
        <v>3762</v>
      </c>
      <c r="F7126" s="1496"/>
      <c r="G7126" s="1496"/>
      <c r="H7126" s="1496"/>
      <c r="V7126">
        <v>247</v>
      </c>
    </row>
    <row r="7127" spans="1:22" customFormat="1" ht="15" x14ac:dyDescent="0.25">
      <c r="A7127" t="s">
        <v>181</v>
      </c>
      <c r="E7127" s="844" t="s">
        <v>3830</v>
      </c>
      <c r="F7127" s="609"/>
      <c r="G7127" s="609"/>
      <c r="H7127" s="610"/>
      <c r="K7127" t="s">
        <v>5298</v>
      </c>
      <c r="V7127">
        <v>23</v>
      </c>
    </row>
    <row r="7128" spans="1:22" customFormat="1" ht="15" x14ac:dyDescent="0.25">
      <c r="A7128" t="s">
        <v>181</v>
      </c>
      <c r="E7128" s="1525" t="s">
        <v>3834</v>
      </c>
      <c r="F7128" s="1525"/>
      <c r="G7128" s="360" t="s">
        <v>777</v>
      </c>
      <c r="H7128" s="604">
        <v>15</v>
      </c>
      <c r="V7128">
        <v>39</v>
      </c>
    </row>
    <row r="7129" spans="1:22" customFormat="1" ht="15" x14ac:dyDescent="0.25">
      <c r="A7129" t="s">
        <v>181</v>
      </c>
      <c r="E7129" s="1525" t="s">
        <v>4057</v>
      </c>
      <c r="F7129" s="1525"/>
      <c r="G7129" s="360" t="s">
        <v>777</v>
      </c>
      <c r="H7129" s="604">
        <v>15</v>
      </c>
      <c r="V7129">
        <v>17</v>
      </c>
    </row>
    <row r="7130" spans="1:22" customFormat="1" ht="15" x14ac:dyDescent="0.25">
      <c r="A7130" t="s">
        <v>181</v>
      </c>
      <c r="E7130" s="1525" t="s">
        <v>4059</v>
      </c>
      <c r="F7130" s="1525"/>
      <c r="G7130" s="360" t="s">
        <v>777</v>
      </c>
      <c r="H7130" s="604">
        <v>15</v>
      </c>
      <c r="V7130">
        <v>19</v>
      </c>
    </row>
    <row r="7131" spans="1:22" customFormat="1" ht="15" x14ac:dyDescent="0.25">
      <c r="A7131" t="s">
        <v>181</v>
      </c>
      <c r="E7131" s="1525" t="s">
        <v>3837</v>
      </c>
      <c r="F7131" s="1525"/>
      <c r="G7131" s="360" t="s">
        <v>777</v>
      </c>
      <c r="H7131" s="604">
        <v>10</v>
      </c>
      <c r="V7131">
        <v>89</v>
      </c>
    </row>
    <row r="7132" spans="1:22" customFormat="1" ht="15" x14ac:dyDescent="0.25">
      <c r="A7132" t="s">
        <v>181</v>
      </c>
      <c r="E7132" s="1525" t="s">
        <v>3836</v>
      </c>
      <c r="F7132" s="1525"/>
      <c r="G7132" s="360" t="s">
        <v>777</v>
      </c>
      <c r="H7132" s="604">
        <v>15</v>
      </c>
      <c r="V7132">
        <v>35</v>
      </c>
    </row>
    <row r="7133" spans="1:22" customFormat="1" ht="15" x14ac:dyDescent="0.25">
      <c r="A7133" t="s">
        <v>181</v>
      </c>
      <c r="E7133" s="1525" t="s">
        <v>3914</v>
      </c>
      <c r="F7133" s="1525"/>
      <c r="G7133" s="360" t="s">
        <v>777</v>
      </c>
      <c r="H7133" s="604">
        <v>30</v>
      </c>
      <c r="V7133">
        <v>19</v>
      </c>
    </row>
    <row r="7134" spans="1:22" customFormat="1" ht="15" x14ac:dyDescent="0.25">
      <c r="A7134" t="s">
        <v>181</v>
      </c>
      <c r="E7134" s="1525" t="s">
        <v>4058</v>
      </c>
      <c r="F7134" s="1525"/>
      <c r="G7134" s="360" t="s">
        <v>777</v>
      </c>
      <c r="H7134" s="604">
        <v>15</v>
      </c>
      <c r="V7134">
        <v>15</v>
      </c>
    </row>
    <row r="7135" spans="1:22" customFormat="1" ht="15" x14ac:dyDescent="0.25">
      <c r="A7135" t="s">
        <v>181</v>
      </c>
      <c r="E7135" s="1525" t="s">
        <v>3838</v>
      </c>
      <c r="F7135" s="1525"/>
      <c r="G7135" s="360" t="s">
        <v>777</v>
      </c>
      <c r="H7135" s="604">
        <v>30</v>
      </c>
      <c r="V7135">
        <v>74</v>
      </c>
    </row>
    <row r="7136" spans="1:22" customFormat="1" ht="15" x14ac:dyDescent="0.25">
      <c r="A7136" t="s">
        <v>181</v>
      </c>
      <c r="E7136" s="844" t="s">
        <v>4062</v>
      </c>
      <c r="F7136" s="609"/>
      <c r="G7136" s="609"/>
      <c r="H7136" s="610"/>
      <c r="K7136" t="s">
        <v>5299</v>
      </c>
      <c r="V7136">
        <v>22</v>
      </c>
    </row>
    <row r="7137" spans="1:22" customFormat="1" ht="15" x14ac:dyDescent="0.25">
      <c r="A7137" t="s">
        <v>181</v>
      </c>
      <c r="E7137" s="1525" t="s">
        <v>5300</v>
      </c>
      <c r="F7137" s="1525"/>
      <c r="G7137" s="360" t="s">
        <v>1118</v>
      </c>
      <c r="H7137" s="604">
        <v>1.5</v>
      </c>
      <c r="V7137">
        <v>107</v>
      </c>
    </row>
    <row r="7138" spans="1:22" customFormat="1" ht="15" x14ac:dyDescent="0.25">
      <c r="A7138" t="s">
        <v>181</v>
      </c>
      <c r="E7138" s="1525" t="s">
        <v>3842</v>
      </c>
      <c r="F7138" s="1525"/>
      <c r="G7138" s="360" t="s">
        <v>777</v>
      </c>
      <c r="H7138" s="604">
        <v>65</v>
      </c>
      <c r="V7138">
        <v>44</v>
      </c>
    </row>
    <row r="7139" spans="1:22" customFormat="1" ht="15" x14ac:dyDescent="0.25">
      <c r="A7139" t="s">
        <v>181</v>
      </c>
      <c r="E7139" s="1525" t="s">
        <v>3843</v>
      </c>
      <c r="F7139" s="1525"/>
      <c r="G7139" s="360" t="s">
        <v>777</v>
      </c>
      <c r="H7139" s="604">
        <v>185</v>
      </c>
      <c r="V7139">
        <v>43</v>
      </c>
    </row>
    <row r="7140" spans="1:22" customFormat="1" ht="15" x14ac:dyDescent="0.25">
      <c r="A7140" t="s">
        <v>181</v>
      </c>
      <c r="E7140" s="844" t="s">
        <v>3846</v>
      </c>
      <c r="F7140" s="611"/>
      <c r="G7140" s="612"/>
      <c r="H7140" s="613"/>
      <c r="V7140">
        <v>5</v>
      </c>
    </row>
    <row r="7141" spans="1:22" customFormat="1" ht="15" x14ac:dyDescent="0.25">
      <c r="A7141" t="s">
        <v>181</v>
      </c>
      <c r="E7141" s="1525" t="s">
        <v>5301</v>
      </c>
      <c r="F7141" s="1525"/>
      <c r="G7141" s="360" t="s">
        <v>777</v>
      </c>
      <c r="H7141" s="604">
        <v>39.14</v>
      </c>
      <c r="V7141">
        <v>528</v>
      </c>
    </row>
    <row r="7142" spans="1:22" customFormat="1" ht="18.75" x14ac:dyDescent="0.25">
      <c r="A7142" t="s">
        <v>181</v>
      </c>
      <c r="E7142" s="1538" t="s">
        <v>3851</v>
      </c>
      <c r="F7142" s="1510"/>
      <c r="G7142" s="606"/>
      <c r="H7142" s="607"/>
      <c r="K7142" t="s">
        <v>5302</v>
      </c>
      <c r="V7142">
        <v>38</v>
      </c>
    </row>
    <row r="7143" spans="1:22" customFormat="1" ht="15" x14ac:dyDescent="0.25">
      <c r="A7143" t="s">
        <v>181</v>
      </c>
      <c r="E7143" s="1496" t="s">
        <v>951</v>
      </c>
      <c r="F7143" s="1496"/>
      <c r="G7143" s="1496"/>
      <c r="H7143" s="1496"/>
      <c r="V7143">
        <v>280</v>
      </c>
    </row>
    <row r="7144" spans="1:22" customFormat="1" ht="15" x14ac:dyDescent="0.25">
      <c r="A7144" t="s">
        <v>181</v>
      </c>
      <c r="E7144" s="1496" t="s">
        <v>952</v>
      </c>
      <c r="F7144" s="1496"/>
      <c r="G7144" s="1496"/>
      <c r="H7144" s="1496"/>
      <c r="V7144">
        <v>411</v>
      </c>
    </row>
    <row r="7145" spans="1:22" customFormat="1" ht="15" x14ac:dyDescent="0.25">
      <c r="A7145" t="s">
        <v>181</v>
      </c>
      <c r="E7145" s="1496" t="s">
        <v>1103</v>
      </c>
      <c r="F7145" s="1496"/>
      <c r="G7145" s="1496"/>
      <c r="H7145" s="1496"/>
      <c r="V7145">
        <v>211</v>
      </c>
    </row>
    <row r="7146" spans="1:22" customFormat="1" ht="15" x14ac:dyDescent="0.25">
      <c r="A7146" t="s">
        <v>181</v>
      </c>
      <c r="E7146" s="1496" t="s">
        <v>3762</v>
      </c>
      <c r="F7146" s="1496"/>
      <c r="G7146" s="1496"/>
      <c r="H7146" s="1496"/>
      <c r="V7146">
        <v>247</v>
      </c>
    </row>
    <row r="7147" spans="1:22" customFormat="1" ht="15" x14ac:dyDescent="0.25">
      <c r="A7147" t="s">
        <v>181</v>
      </c>
      <c r="E7147" s="1496" t="s">
        <v>1104</v>
      </c>
      <c r="F7147" s="1496"/>
      <c r="G7147" s="1496"/>
      <c r="H7147" s="1496"/>
      <c r="V7147">
        <v>142</v>
      </c>
    </row>
    <row r="7148" spans="1:22" customFormat="1" ht="15" x14ac:dyDescent="0.25">
      <c r="A7148" t="s">
        <v>181</v>
      </c>
      <c r="E7148" s="1524" t="s">
        <v>849</v>
      </c>
      <c r="F7148" s="1524"/>
      <c r="G7148" s="612" t="s">
        <v>777</v>
      </c>
      <c r="H7148" s="614">
        <v>121.23</v>
      </c>
      <c r="V7148">
        <v>106</v>
      </c>
    </row>
    <row r="7149" spans="1:22" customFormat="1" ht="15" x14ac:dyDescent="0.25">
      <c r="A7149" t="s">
        <v>181</v>
      </c>
      <c r="E7149" s="1524" t="s">
        <v>850</v>
      </c>
      <c r="F7149" s="1524"/>
      <c r="G7149" s="612" t="s">
        <v>777</v>
      </c>
      <c r="H7149" s="614">
        <v>48.5</v>
      </c>
      <c r="V7149">
        <v>34</v>
      </c>
    </row>
    <row r="7150" spans="1:22" customFormat="1" ht="15" x14ac:dyDescent="0.25">
      <c r="A7150" t="s">
        <v>181</v>
      </c>
      <c r="E7150" s="1524" t="s">
        <v>851</v>
      </c>
      <c r="F7150" s="1524"/>
      <c r="G7150" s="612" t="s">
        <v>852</v>
      </c>
      <c r="H7150" s="614">
        <v>1.2</v>
      </c>
      <c r="V7150">
        <v>51</v>
      </c>
    </row>
    <row r="7151" spans="1:22" customFormat="1" ht="15" x14ac:dyDescent="0.25">
      <c r="A7151" t="s">
        <v>181</v>
      </c>
      <c r="E7151" s="1524" t="s">
        <v>853</v>
      </c>
      <c r="F7151" s="1524"/>
      <c r="G7151" s="612" t="s">
        <v>852</v>
      </c>
      <c r="H7151" s="614">
        <v>0.71</v>
      </c>
      <c r="V7151">
        <v>75</v>
      </c>
    </row>
    <row r="7152" spans="1:22" customFormat="1" ht="15" x14ac:dyDescent="0.25">
      <c r="A7152" t="s">
        <v>181</v>
      </c>
      <c r="E7152" s="1524" t="s">
        <v>854</v>
      </c>
      <c r="F7152" s="1524"/>
      <c r="G7152" s="612" t="s">
        <v>852</v>
      </c>
      <c r="H7152" s="614">
        <v>-0.71</v>
      </c>
      <c r="V7152">
        <v>72</v>
      </c>
    </row>
    <row r="7153" spans="1:22" customFormat="1" ht="15" x14ac:dyDescent="0.25">
      <c r="A7153" t="s">
        <v>181</v>
      </c>
      <c r="E7153" s="1524" t="s">
        <v>855</v>
      </c>
      <c r="F7153" s="1524"/>
      <c r="G7153" s="612"/>
      <c r="H7153" s="613"/>
      <c r="V7153">
        <v>34</v>
      </c>
    </row>
    <row r="7154" spans="1:22" customFormat="1" ht="15" x14ac:dyDescent="0.25">
      <c r="A7154" t="s">
        <v>181</v>
      </c>
      <c r="E7154" s="1557" t="s">
        <v>1106</v>
      </c>
      <c r="F7154" s="1557"/>
      <c r="G7154" s="612" t="s">
        <v>777</v>
      </c>
      <c r="H7154" s="614">
        <v>0.61</v>
      </c>
      <c r="V7154">
        <v>57</v>
      </c>
    </row>
    <row r="7155" spans="1:22" customFormat="1" ht="15" x14ac:dyDescent="0.25">
      <c r="A7155" t="s">
        <v>181</v>
      </c>
      <c r="E7155" s="1557" t="s">
        <v>1107</v>
      </c>
      <c r="F7155" s="1557"/>
      <c r="G7155" s="612" t="s">
        <v>777</v>
      </c>
      <c r="H7155" s="614">
        <v>1.2</v>
      </c>
      <c r="V7155">
        <v>60</v>
      </c>
    </row>
    <row r="7156" spans="1:22" customFormat="1" ht="15" x14ac:dyDescent="0.25">
      <c r="A7156" t="s">
        <v>181</v>
      </c>
      <c r="E7156" s="1524" t="s">
        <v>1108</v>
      </c>
      <c r="F7156" s="1524"/>
      <c r="G7156" s="612"/>
      <c r="H7156" s="613"/>
      <c r="V7156">
        <v>91</v>
      </c>
    </row>
    <row r="7157" spans="1:22" customFormat="1" ht="15" x14ac:dyDescent="0.25">
      <c r="A7157" t="s">
        <v>181</v>
      </c>
      <c r="E7157" s="1524" t="s">
        <v>1109</v>
      </c>
      <c r="F7157" s="1524"/>
      <c r="G7157" s="612"/>
      <c r="H7157" s="613"/>
      <c r="V7157">
        <v>96</v>
      </c>
    </row>
    <row r="7158" spans="1:22" customFormat="1" ht="15" x14ac:dyDescent="0.25">
      <c r="A7158" t="s">
        <v>181</v>
      </c>
      <c r="E7158" s="1524" t="s">
        <v>856</v>
      </c>
      <c r="F7158" s="1524"/>
      <c r="G7158" s="612"/>
      <c r="H7158" s="613"/>
      <c r="V7158">
        <v>77</v>
      </c>
    </row>
    <row r="7159" spans="1:22" customFormat="1" ht="15" x14ac:dyDescent="0.25">
      <c r="A7159" t="s">
        <v>181</v>
      </c>
      <c r="E7159" s="1557" t="s">
        <v>1111</v>
      </c>
      <c r="F7159" s="1557"/>
      <c r="G7159" s="612" t="s">
        <v>777</v>
      </c>
      <c r="H7159" s="613" t="s">
        <v>857</v>
      </c>
      <c r="V7159">
        <v>18</v>
      </c>
    </row>
    <row r="7160" spans="1:22" customFormat="1" ht="15" x14ac:dyDescent="0.25">
      <c r="A7160" t="s">
        <v>181</v>
      </c>
      <c r="E7160" s="1557" t="s">
        <v>1112</v>
      </c>
      <c r="F7160" s="1557"/>
      <c r="G7160" s="612" t="s">
        <v>777</v>
      </c>
      <c r="H7160" s="614">
        <v>4.8499999999999996</v>
      </c>
      <c r="V7160">
        <v>69</v>
      </c>
    </row>
    <row r="7161" spans="1:22" customFormat="1" ht="15" x14ac:dyDescent="0.25">
      <c r="A7161" t="s">
        <v>181</v>
      </c>
      <c r="E7161" s="1524" t="s">
        <v>858</v>
      </c>
      <c r="F7161" s="1524"/>
      <c r="G7161" s="615" t="s">
        <v>777</v>
      </c>
      <c r="H7161" s="604">
        <v>2.42</v>
      </c>
      <c r="V7161">
        <v>199</v>
      </c>
    </row>
    <row r="7162" spans="1:22" customFormat="1" ht="18.75" x14ac:dyDescent="0.25">
      <c r="A7162" t="s">
        <v>181</v>
      </c>
      <c r="E7162" s="842" t="s">
        <v>3853</v>
      </c>
      <c r="F7162" s="606"/>
      <c r="G7162" s="606"/>
      <c r="H7162" s="607"/>
      <c r="K7162" t="s">
        <v>5303</v>
      </c>
      <c r="V7162">
        <v>12</v>
      </c>
    </row>
    <row r="7163" spans="1:22" customFormat="1" ht="15" x14ac:dyDescent="0.25">
      <c r="A7163" t="s">
        <v>181</v>
      </c>
      <c r="E7163" s="1524" t="s">
        <v>1114</v>
      </c>
      <c r="F7163" s="1524"/>
      <c r="G7163" s="1524"/>
      <c r="H7163" s="1524"/>
      <c r="V7163">
        <v>203</v>
      </c>
    </row>
    <row r="7164" spans="1:22" customFormat="1" ht="15" x14ac:dyDescent="0.25">
      <c r="A7164" t="s">
        <v>181</v>
      </c>
      <c r="E7164" s="1524" t="s">
        <v>1115</v>
      </c>
      <c r="F7164" s="1524"/>
      <c r="G7164" s="360"/>
      <c r="H7164" s="616">
        <v>1.0430999999999999</v>
      </c>
      <c r="V7164">
        <v>57</v>
      </c>
    </row>
    <row r="7165" spans="1:22" customFormat="1" ht="15" x14ac:dyDescent="0.25">
      <c r="A7165" t="s">
        <v>181</v>
      </c>
      <c r="E7165" s="1524" t="s">
        <v>4072</v>
      </c>
      <c r="F7165" s="1524"/>
      <c r="G7165" s="360"/>
      <c r="H7165" s="616">
        <v>1.0173000000000001</v>
      </c>
      <c r="V7165">
        <v>57</v>
      </c>
    </row>
    <row r="7166" spans="1:22" customFormat="1" ht="15" x14ac:dyDescent="0.25">
      <c r="A7166" t="s">
        <v>181</v>
      </c>
      <c r="E7166" s="1524" t="s">
        <v>1117</v>
      </c>
      <c r="F7166" s="1524"/>
      <c r="G7166" s="360"/>
      <c r="H7166" s="616">
        <v>1.0327</v>
      </c>
      <c r="V7166">
        <v>55</v>
      </c>
    </row>
    <row r="7167" spans="1:22" customFormat="1" ht="15" x14ac:dyDescent="0.25">
      <c r="A7167" t="s">
        <v>181</v>
      </c>
      <c r="E7167" s="1524" t="s">
        <v>4073</v>
      </c>
      <c r="F7167" s="1524"/>
      <c r="G7167" s="360"/>
      <c r="H7167" s="616">
        <v>1.0071000000000001</v>
      </c>
      <c r="J7167" t="s">
        <v>5304</v>
      </c>
      <c r="V7167">
        <v>55</v>
      </c>
    </row>
    <row r="7168" spans="1:22" customFormat="1" ht="23.25" x14ac:dyDescent="0.25">
      <c r="A7168" t="s">
        <v>220</v>
      </c>
      <c r="B7168" t="s">
        <v>5767</v>
      </c>
      <c r="C7168" t="s">
        <v>3755</v>
      </c>
      <c r="E7168" s="1576" t="s">
        <v>220</v>
      </c>
      <c r="F7168" s="1576"/>
      <c r="G7168" s="1576"/>
      <c r="H7168" s="1576"/>
      <c r="I7168" t="s">
        <v>94</v>
      </c>
      <c r="J7168" t="s">
        <v>5768</v>
      </c>
      <c r="K7168" t="s">
        <v>220</v>
      </c>
      <c r="M7168">
        <v>10</v>
      </c>
      <c r="V7168">
        <v>24</v>
      </c>
    </row>
    <row r="7169" spans="1:22" customFormat="1" ht="23.25" x14ac:dyDescent="0.25">
      <c r="A7169" t="s">
        <v>220</v>
      </c>
      <c r="B7169" t="s">
        <v>5767</v>
      </c>
      <c r="C7169" t="s">
        <v>3757</v>
      </c>
      <c r="E7169" s="1678" t="s">
        <v>261</v>
      </c>
      <c r="F7169" s="1678"/>
      <c r="G7169" s="1678"/>
      <c r="H7169" s="1678"/>
      <c r="V7169">
        <v>27</v>
      </c>
    </row>
    <row r="7170" spans="1:22" customFormat="1" x14ac:dyDescent="0.25">
      <c r="A7170" t="s">
        <v>220</v>
      </c>
      <c r="B7170" t="s">
        <v>5767</v>
      </c>
      <c r="C7170" t="s">
        <v>3758</v>
      </c>
      <c r="E7170" s="1577" t="s">
        <v>944</v>
      </c>
      <c r="F7170" s="1577"/>
      <c r="G7170" s="1577"/>
      <c r="H7170" s="1577"/>
      <c r="V7170">
        <v>27</v>
      </c>
    </row>
    <row r="7171" spans="1:22" customFormat="1" ht="15.75" x14ac:dyDescent="0.25">
      <c r="A7171" t="s">
        <v>220</v>
      </c>
      <c r="B7171" t="s">
        <v>5767</v>
      </c>
      <c r="C7171" t="s">
        <v>3759</v>
      </c>
      <c r="E7171" s="1543" t="s">
        <v>6847</v>
      </c>
      <c r="F7171" s="1669"/>
      <c r="G7171" s="1669"/>
      <c r="H7171" s="1669"/>
      <c r="S7171">
        <v>45778</v>
      </c>
      <c r="V7171">
        <v>45</v>
      </c>
    </row>
    <row r="7172" spans="1:22" customFormat="1" ht="15" x14ac:dyDescent="0.25">
      <c r="A7172" t="s">
        <v>220</v>
      </c>
      <c r="B7172" t="s">
        <v>5767</v>
      </c>
      <c r="E7172" s="1679" t="s">
        <v>945</v>
      </c>
      <c r="F7172" s="1679"/>
      <c r="G7172" s="1679"/>
      <c r="H7172" s="1679"/>
      <c r="V7172">
        <v>52</v>
      </c>
    </row>
    <row r="7173" spans="1:22" customFormat="1" ht="15" x14ac:dyDescent="0.25">
      <c r="A7173" t="s">
        <v>220</v>
      </c>
      <c r="B7173" t="s">
        <v>5767</v>
      </c>
      <c r="E7173" s="1679" t="s">
        <v>946</v>
      </c>
      <c r="F7173" s="1679"/>
      <c r="G7173" s="1679"/>
      <c r="H7173" s="1679"/>
      <c r="V7173">
        <v>53</v>
      </c>
    </row>
    <row r="7174" spans="1:22" customFormat="1" ht="15" x14ac:dyDescent="0.25">
      <c r="A7174" t="s">
        <v>220</v>
      </c>
      <c r="B7174" t="s">
        <v>5767</v>
      </c>
      <c r="E7174" s="1680" t="s">
        <v>6715</v>
      </c>
      <c r="F7174" s="1680"/>
      <c r="G7174" s="1680"/>
      <c r="H7174" s="1680"/>
      <c r="K7174" t="s">
        <v>6715</v>
      </c>
      <c r="V7174">
        <v>12</v>
      </c>
    </row>
    <row r="7175" spans="1:22" customFormat="1" ht="15" x14ac:dyDescent="0.25">
      <c r="A7175" t="s">
        <v>220</v>
      </c>
      <c r="B7175" t="s">
        <v>5767</v>
      </c>
      <c r="E7175" s="1538" t="s">
        <v>170</v>
      </c>
      <c r="F7175" s="1496"/>
      <c r="G7175" s="1496"/>
      <c r="H7175" s="1496"/>
      <c r="K7175" t="s">
        <v>947</v>
      </c>
      <c r="V7175">
        <v>34</v>
      </c>
    </row>
    <row r="7176" spans="1:22" customFormat="1" ht="15" x14ac:dyDescent="0.25">
      <c r="A7176" t="s">
        <v>220</v>
      </c>
      <c r="B7176" t="s">
        <v>5767</v>
      </c>
      <c r="E7176" s="1496" t="s">
        <v>5769</v>
      </c>
      <c r="F7176" s="1496"/>
      <c r="G7176" s="1496"/>
      <c r="H7176" s="1496"/>
      <c r="K7176" t="s">
        <v>947</v>
      </c>
      <c r="V7176">
        <v>95</v>
      </c>
    </row>
    <row r="7177" spans="1:22" customFormat="1" ht="15" x14ac:dyDescent="0.25">
      <c r="A7177" t="s">
        <v>220</v>
      </c>
      <c r="B7177" t="s">
        <v>5767</v>
      </c>
      <c r="E7177" s="1496" t="s">
        <v>5770</v>
      </c>
      <c r="F7177" s="1496"/>
      <c r="G7177" s="1496"/>
      <c r="H7177" s="1496"/>
      <c r="K7177" t="s">
        <v>947</v>
      </c>
      <c r="V7177">
        <v>96</v>
      </c>
    </row>
    <row r="7178" spans="1:22" customFormat="1" ht="15" x14ac:dyDescent="0.25">
      <c r="A7178" t="s">
        <v>220</v>
      </c>
      <c r="B7178" t="s">
        <v>5767</v>
      </c>
      <c r="E7178" s="1496" t="s">
        <v>5771</v>
      </c>
      <c r="F7178" s="1496"/>
      <c r="G7178" s="1496"/>
      <c r="H7178" s="1496"/>
      <c r="K7178" t="s">
        <v>947</v>
      </c>
      <c r="V7178">
        <v>87</v>
      </c>
    </row>
    <row r="7179" spans="1:22" customFormat="1" ht="15" x14ac:dyDescent="0.25">
      <c r="A7179" t="s">
        <v>220</v>
      </c>
      <c r="B7179" t="s">
        <v>5767</v>
      </c>
      <c r="E7179" s="1496" t="s">
        <v>5772</v>
      </c>
      <c r="F7179" s="1496"/>
      <c r="G7179" s="1496"/>
      <c r="H7179" s="1496"/>
      <c r="K7179" t="s">
        <v>947</v>
      </c>
      <c r="V7179">
        <v>211</v>
      </c>
    </row>
    <row r="7180" spans="1:22" customFormat="1" ht="15" x14ac:dyDescent="0.25">
      <c r="A7180" t="s">
        <v>220</v>
      </c>
      <c r="B7180" t="s">
        <v>5767</v>
      </c>
      <c r="E7180" s="1496" t="s">
        <v>5773</v>
      </c>
      <c r="F7180" s="1496"/>
      <c r="G7180" s="1496"/>
      <c r="H7180" s="1496"/>
      <c r="K7180" t="s">
        <v>947</v>
      </c>
      <c r="V7180">
        <v>148</v>
      </c>
    </row>
    <row r="7181" spans="1:22" customFormat="1" ht="15" x14ac:dyDescent="0.25">
      <c r="A7181" t="s">
        <v>220</v>
      </c>
      <c r="B7181" t="s">
        <v>5767</v>
      </c>
      <c r="E7181" s="1533" t="s">
        <v>950</v>
      </c>
      <c r="F7181" s="1496"/>
      <c r="G7181" s="1496"/>
      <c r="H7181" s="1496"/>
      <c r="K7181" t="s">
        <v>949</v>
      </c>
      <c r="V7181">
        <v>11</v>
      </c>
    </row>
    <row r="7182" spans="1:22" customFormat="1" ht="15" x14ac:dyDescent="0.25">
      <c r="A7182" t="s">
        <v>220</v>
      </c>
      <c r="B7182" t="s">
        <v>5767</v>
      </c>
      <c r="E7182" s="1496" t="s">
        <v>951</v>
      </c>
      <c r="F7182" s="1496"/>
      <c r="G7182" s="1496"/>
      <c r="H7182" s="1496"/>
      <c r="K7182" t="s">
        <v>947</v>
      </c>
      <c r="V7182">
        <v>280</v>
      </c>
    </row>
    <row r="7183" spans="1:22" customFormat="1" ht="15" x14ac:dyDescent="0.25">
      <c r="A7183" t="s">
        <v>220</v>
      </c>
      <c r="B7183" t="s">
        <v>5767</v>
      </c>
      <c r="E7183" s="1496" t="s">
        <v>952</v>
      </c>
      <c r="F7183" s="1496"/>
      <c r="G7183" s="1496"/>
      <c r="H7183" s="1496"/>
      <c r="K7183" t="s">
        <v>947</v>
      </c>
      <c r="V7183">
        <v>411</v>
      </c>
    </row>
    <row r="7184" spans="1:22" customFormat="1" ht="15" x14ac:dyDescent="0.25">
      <c r="A7184" t="s">
        <v>220</v>
      </c>
      <c r="B7184" t="s">
        <v>5767</v>
      </c>
      <c r="E7184" s="1496" t="s">
        <v>953</v>
      </c>
      <c r="F7184" s="1496"/>
      <c r="G7184" s="1496"/>
      <c r="H7184" s="1496"/>
      <c r="K7184" t="s">
        <v>947</v>
      </c>
      <c r="V7184">
        <v>386</v>
      </c>
    </row>
    <row r="7185" spans="1:22" customFormat="1" ht="15" x14ac:dyDescent="0.25">
      <c r="A7185" t="s">
        <v>220</v>
      </c>
      <c r="B7185" t="s">
        <v>5767</v>
      </c>
      <c r="E7185" s="1496" t="s">
        <v>954</v>
      </c>
      <c r="F7185" s="1496"/>
      <c r="G7185" s="1496"/>
      <c r="H7185" s="1496"/>
      <c r="K7185" t="s">
        <v>947</v>
      </c>
      <c r="V7185">
        <v>246</v>
      </c>
    </row>
    <row r="7186" spans="1:22" customFormat="1" ht="15" x14ac:dyDescent="0.25">
      <c r="A7186" t="s">
        <v>220</v>
      </c>
      <c r="B7186" t="s">
        <v>5767</v>
      </c>
      <c r="E7186" s="1533" t="s">
        <v>956</v>
      </c>
      <c r="F7186" s="1496"/>
      <c r="G7186" s="1496"/>
      <c r="H7186" s="1496"/>
      <c r="K7186" t="s">
        <v>955</v>
      </c>
      <c r="V7186">
        <v>46</v>
      </c>
    </row>
    <row r="7187" spans="1:22" customFormat="1" ht="15" x14ac:dyDescent="0.25">
      <c r="A7187" t="s">
        <v>220</v>
      </c>
      <c r="B7187" t="s">
        <v>5767</v>
      </c>
      <c r="E7187" s="1524" t="s">
        <v>3773</v>
      </c>
      <c r="F7187" s="1524"/>
      <c r="G7187" s="846" t="s">
        <v>777</v>
      </c>
      <c r="H7187" s="576">
        <v>30.06</v>
      </c>
      <c r="K7187" t="s">
        <v>947</v>
      </c>
      <c r="L7187" t="s">
        <v>690</v>
      </c>
      <c r="P7187" t="s">
        <v>957</v>
      </c>
      <c r="V7187">
        <v>14</v>
      </c>
    </row>
    <row r="7188" spans="1:22" customFormat="1" ht="15" x14ac:dyDescent="0.25">
      <c r="A7188" t="s">
        <v>220</v>
      </c>
      <c r="B7188" t="s">
        <v>5767</v>
      </c>
      <c r="E7188" s="1524" t="s">
        <v>960</v>
      </c>
      <c r="F7188" s="1524"/>
      <c r="G7188" s="846" t="s">
        <v>777</v>
      </c>
      <c r="H7188" s="966">
        <v>0.42</v>
      </c>
      <c r="K7188" t="s">
        <v>947</v>
      </c>
      <c r="L7188" t="s">
        <v>692</v>
      </c>
      <c r="P7188" t="s">
        <v>959</v>
      </c>
      <c r="V7188">
        <v>64</v>
      </c>
    </row>
    <row r="7189" spans="1:22" customFormat="1" ht="15" x14ac:dyDescent="0.25">
      <c r="A7189" t="s">
        <v>220</v>
      </c>
      <c r="B7189" t="s">
        <v>5767</v>
      </c>
      <c r="E7189" s="1524" t="s">
        <v>910</v>
      </c>
      <c r="F7189" s="1524"/>
      <c r="G7189" s="846" t="s">
        <v>845</v>
      </c>
      <c r="H7189" s="967">
        <v>2.3999999999999998E-3</v>
      </c>
      <c r="K7189" t="s">
        <v>947</v>
      </c>
      <c r="L7189" t="s">
        <v>692</v>
      </c>
      <c r="P7189" t="s">
        <v>961</v>
      </c>
      <c r="V7189">
        <v>24</v>
      </c>
    </row>
    <row r="7190" spans="1:22" customFormat="1" ht="15" x14ac:dyDescent="0.25">
      <c r="A7190" t="s">
        <v>220</v>
      </c>
      <c r="B7190" t="s">
        <v>5767</v>
      </c>
      <c r="E7190" s="1524" t="s">
        <v>6849</v>
      </c>
      <c r="F7190" s="1510"/>
      <c r="G7190" s="846" t="s">
        <v>845</v>
      </c>
      <c r="H7190" s="967">
        <v>2.8E-3</v>
      </c>
      <c r="K7190" t="s">
        <v>947</v>
      </c>
      <c r="L7190" t="s">
        <v>692</v>
      </c>
      <c r="P7190" t="s">
        <v>962</v>
      </c>
      <c r="T7190">
        <v>46142</v>
      </c>
      <c r="V7190">
        <v>139</v>
      </c>
    </row>
    <row r="7191" spans="1:22" customFormat="1" ht="15" x14ac:dyDescent="0.25">
      <c r="A7191" t="s">
        <v>220</v>
      </c>
      <c r="B7191" t="s">
        <v>5767</v>
      </c>
      <c r="E7191" s="1524" t="s">
        <v>6850</v>
      </c>
      <c r="F7191" s="1510"/>
      <c r="G7191" s="846" t="s">
        <v>845</v>
      </c>
      <c r="H7191" s="967">
        <v>1.9E-3</v>
      </c>
      <c r="K7191" t="s">
        <v>947</v>
      </c>
      <c r="L7191" t="s">
        <v>692</v>
      </c>
      <c r="P7191" t="s">
        <v>963</v>
      </c>
      <c r="T7191">
        <v>46142</v>
      </c>
      <c r="V7191">
        <v>96</v>
      </c>
    </row>
    <row r="7192" spans="1:22" customFormat="1" ht="15" x14ac:dyDescent="0.25">
      <c r="A7192" t="s">
        <v>220</v>
      </c>
      <c r="B7192" t="s">
        <v>5767</v>
      </c>
      <c r="E7192" s="1524" t="s">
        <v>6853</v>
      </c>
      <c r="F7192" s="1510"/>
      <c r="G7192" s="846" t="s">
        <v>845</v>
      </c>
      <c r="H7192" s="967">
        <v>2.0000000000000001E-4</v>
      </c>
      <c r="K7192" t="s">
        <v>947</v>
      </c>
      <c r="L7192" t="s">
        <v>692</v>
      </c>
      <c r="P7192" t="s">
        <v>3764</v>
      </c>
      <c r="T7192">
        <v>46142</v>
      </c>
      <c r="V7192">
        <v>146</v>
      </c>
    </row>
    <row r="7193" spans="1:22" customFormat="1" ht="15" x14ac:dyDescent="0.25">
      <c r="A7193" t="s">
        <v>220</v>
      </c>
      <c r="B7193" t="s">
        <v>5767</v>
      </c>
      <c r="E7193" s="1524" t="s">
        <v>243</v>
      </c>
      <c r="F7193" s="1524"/>
      <c r="G7193" s="846" t="s">
        <v>845</v>
      </c>
      <c r="H7193" s="577">
        <v>1.15E-2</v>
      </c>
      <c r="K7193" t="s">
        <v>947</v>
      </c>
      <c r="L7193" t="s">
        <v>694</v>
      </c>
      <c r="P7193" t="s">
        <v>964</v>
      </c>
      <c r="V7193">
        <v>47</v>
      </c>
    </row>
    <row r="7194" spans="1:22" customFormat="1" ht="15" x14ac:dyDescent="0.25">
      <c r="A7194" t="s">
        <v>220</v>
      </c>
      <c r="B7194" t="s">
        <v>5767</v>
      </c>
      <c r="E7194" s="1524" t="s">
        <v>175</v>
      </c>
      <c r="F7194" s="1524"/>
      <c r="G7194" s="846" t="s">
        <v>845</v>
      </c>
      <c r="H7194" s="577">
        <v>7.9000000000000008E-3</v>
      </c>
      <c r="K7194" t="s">
        <v>947</v>
      </c>
      <c r="L7194" t="s">
        <v>694</v>
      </c>
      <c r="P7194" t="s">
        <v>965</v>
      </c>
      <c r="V7194">
        <v>74</v>
      </c>
    </row>
    <row r="7195" spans="1:22" customFormat="1" ht="15" x14ac:dyDescent="0.25">
      <c r="A7195" t="s">
        <v>220</v>
      </c>
      <c r="B7195" t="s">
        <v>5767</v>
      </c>
      <c r="E7195" s="1533" t="s">
        <v>967</v>
      </c>
      <c r="F7195" s="1524"/>
      <c r="G7195" s="1524"/>
      <c r="H7195" s="1524"/>
      <c r="K7195" t="s">
        <v>966</v>
      </c>
      <c r="V7195">
        <v>48</v>
      </c>
    </row>
    <row r="7196" spans="1:22" customFormat="1" ht="15" x14ac:dyDescent="0.25">
      <c r="A7196" t="s">
        <v>220</v>
      </c>
      <c r="B7196" t="s">
        <v>5767</v>
      </c>
      <c r="E7196" s="1524" t="s">
        <v>844</v>
      </c>
      <c r="F7196" s="1524"/>
      <c r="G7196" s="846" t="s">
        <v>845</v>
      </c>
      <c r="H7196" s="967">
        <v>4.1000000000000003E-3</v>
      </c>
      <c r="K7196" t="s">
        <v>947</v>
      </c>
      <c r="L7196" t="s">
        <v>968</v>
      </c>
      <c r="P7196" t="s">
        <v>969</v>
      </c>
      <c r="V7196">
        <v>55</v>
      </c>
    </row>
    <row r="7197" spans="1:22" customFormat="1" ht="15" x14ac:dyDescent="0.25">
      <c r="A7197" t="s">
        <v>220</v>
      </c>
      <c r="B7197" t="s">
        <v>5767</v>
      </c>
      <c r="E7197" s="1524" t="s">
        <v>846</v>
      </c>
      <c r="F7197" s="1524"/>
      <c r="G7197" s="846" t="s">
        <v>845</v>
      </c>
      <c r="H7197" s="967">
        <v>4.0000000000000002E-4</v>
      </c>
      <c r="K7197" t="s">
        <v>947</v>
      </c>
      <c r="L7197" t="s">
        <v>968</v>
      </c>
      <c r="P7197" t="s">
        <v>969</v>
      </c>
      <c r="V7197">
        <v>65</v>
      </c>
    </row>
    <row r="7198" spans="1:22" customFormat="1" ht="15" x14ac:dyDescent="0.25">
      <c r="A7198" t="s">
        <v>220</v>
      </c>
      <c r="B7198" t="s">
        <v>5767</v>
      </c>
      <c r="E7198" s="1524" t="s">
        <v>847</v>
      </c>
      <c r="F7198" s="1524"/>
      <c r="G7198" s="846" t="s">
        <v>845</v>
      </c>
      <c r="H7198" s="967">
        <v>1.5E-3</v>
      </c>
      <c r="K7198" t="s">
        <v>947</v>
      </c>
      <c r="L7198" t="s">
        <v>968</v>
      </c>
      <c r="P7198" t="s">
        <v>970</v>
      </c>
      <c r="V7198">
        <v>57</v>
      </c>
    </row>
    <row r="7199" spans="1:22" customFormat="1" ht="15" x14ac:dyDescent="0.25">
      <c r="A7199" t="s">
        <v>220</v>
      </c>
      <c r="B7199" t="s">
        <v>5767</v>
      </c>
      <c r="E7199" s="1524" t="s">
        <v>848</v>
      </c>
      <c r="F7199" s="1524"/>
      <c r="G7199" s="846" t="s">
        <v>777</v>
      </c>
      <c r="H7199" s="966">
        <v>0.25</v>
      </c>
      <c r="K7199" t="s">
        <v>947</v>
      </c>
      <c r="L7199" t="s">
        <v>968</v>
      </c>
      <c r="P7199" t="s">
        <v>971</v>
      </c>
      <c r="V7199">
        <v>63</v>
      </c>
    </row>
    <row r="7200" spans="1:22" customFormat="1" x14ac:dyDescent="0.25">
      <c r="A7200" t="s">
        <v>220</v>
      </c>
      <c r="B7200" t="s">
        <v>5767</v>
      </c>
      <c r="E7200" s="1538" t="s">
        <v>174</v>
      </c>
      <c r="F7200" s="1571"/>
      <c r="G7200" s="1571"/>
      <c r="H7200" s="1571"/>
      <c r="K7200" t="s">
        <v>972</v>
      </c>
      <c r="V7200">
        <v>54</v>
      </c>
    </row>
    <row r="7201" spans="1:22" customFormat="1" ht="15" x14ac:dyDescent="0.25">
      <c r="A7201" t="s">
        <v>220</v>
      </c>
      <c r="B7201" t="s">
        <v>5767</v>
      </c>
      <c r="E7201" s="1496" t="s">
        <v>5774</v>
      </c>
      <c r="F7201" s="1496"/>
      <c r="G7201" s="1496"/>
      <c r="H7201" s="1496"/>
      <c r="K7201" t="s">
        <v>972</v>
      </c>
      <c r="V7201">
        <v>529</v>
      </c>
    </row>
    <row r="7202" spans="1:22" customFormat="1" ht="15" x14ac:dyDescent="0.25">
      <c r="A7202" t="s">
        <v>220</v>
      </c>
      <c r="B7202" t="s">
        <v>5767</v>
      </c>
      <c r="E7202" s="1533" t="s">
        <v>950</v>
      </c>
      <c r="F7202" s="1496"/>
      <c r="G7202" s="1496"/>
      <c r="H7202" s="1496"/>
      <c r="K7202" t="s">
        <v>974</v>
      </c>
      <c r="V7202">
        <v>11</v>
      </c>
    </row>
    <row r="7203" spans="1:22" customFormat="1" ht="15" x14ac:dyDescent="0.25">
      <c r="A7203" t="s">
        <v>220</v>
      </c>
      <c r="B7203" t="s">
        <v>5767</v>
      </c>
      <c r="E7203" s="1496" t="s">
        <v>951</v>
      </c>
      <c r="F7203" s="1496"/>
      <c r="G7203" s="1496"/>
      <c r="H7203" s="1496"/>
      <c r="K7203" t="s">
        <v>972</v>
      </c>
      <c r="V7203">
        <v>280</v>
      </c>
    </row>
    <row r="7204" spans="1:22" customFormat="1" ht="15" x14ac:dyDescent="0.25">
      <c r="A7204" t="s">
        <v>220</v>
      </c>
      <c r="B7204" t="s">
        <v>5767</v>
      </c>
      <c r="E7204" s="1496" t="s">
        <v>952</v>
      </c>
      <c r="F7204" s="1496"/>
      <c r="G7204" s="1496"/>
      <c r="H7204" s="1496"/>
      <c r="K7204" t="s">
        <v>972</v>
      </c>
      <c r="V7204">
        <v>411</v>
      </c>
    </row>
    <row r="7205" spans="1:22" customFormat="1" ht="15" x14ac:dyDescent="0.25">
      <c r="A7205" t="s">
        <v>220</v>
      </c>
      <c r="B7205" t="s">
        <v>5767</v>
      </c>
      <c r="E7205" s="1496" t="s">
        <v>953</v>
      </c>
      <c r="F7205" s="1496"/>
      <c r="G7205" s="1496"/>
      <c r="H7205" s="1496"/>
      <c r="K7205" t="s">
        <v>972</v>
      </c>
      <c r="V7205">
        <v>386</v>
      </c>
    </row>
    <row r="7206" spans="1:22" customFormat="1" ht="15" x14ac:dyDescent="0.25">
      <c r="A7206" t="s">
        <v>220</v>
      </c>
      <c r="B7206" t="s">
        <v>5767</v>
      </c>
      <c r="E7206" s="1496" t="s">
        <v>4339</v>
      </c>
      <c r="F7206" s="1496"/>
      <c r="G7206" s="1496"/>
      <c r="H7206" s="1496"/>
      <c r="K7206" t="s">
        <v>972</v>
      </c>
      <c r="V7206">
        <v>250</v>
      </c>
    </row>
    <row r="7207" spans="1:22" customFormat="1" ht="15" x14ac:dyDescent="0.25">
      <c r="A7207" t="s">
        <v>220</v>
      </c>
      <c r="B7207" t="s">
        <v>5767</v>
      </c>
      <c r="E7207" s="1533" t="s">
        <v>956</v>
      </c>
      <c r="F7207" s="1496"/>
      <c r="G7207" s="1496"/>
      <c r="H7207" s="1496"/>
      <c r="K7207" t="s">
        <v>975</v>
      </c>
      <c r="V7207">
        <v>46</v>
      </c>
    </row>
    <row r="7208" spans="1:22" customFormat="1" ht="15" x14ac:dyDescent="0.25">
      <c r="A7208" t="s">
        <v>220</v>
      </c>
      <c r="B7208" t="s">
        <v>5767</v>
      </c>
      <c r="E7208" s="1524" t="s">
        <v>3773</v>
      </c>
      <c r="F7208" s="1524"/>
      <c r="G7208" s="846" t="s">
        <v>777</v>
      </c>
      <c r="H7208" s="576">
        <v>37.729999999999997</v>
      </c>
      <c r="K7208" t="s">
        <v>972</v>
      </c>
      <c r="L7208" t="s">
        <v>690</v>
      </c>
      <c r="P7208" t="s">
        <v>976</v>
      </c>
      <c r="V7208">
        <v>14</v>
      </c>
    </row>
    <row r="7209" spans="1:22" customFormat="1" ht="15" x14ac:dyDescent="0.25">
      <c r="A7209" t="s">
        <v>220</v>
      </c>
      <c r="B7209" t="s">
        <v>5767</v>
      </c>
      <c r="E7209" s="1524" t="s">
        <v>960</v>
      </c>
      <c r="F7209" s="1524"/>
      <c r="G7209" s="846" t="s">
        <v>777</v>
      </c>
      <c r="H7209" s="966">
        <v>0.42</v>
      </c>
      <c r="K7209" t="s">
        <v>972</v>
      </c>
      <c r="L7209" t="s">
        <v>692</v>
      </c>
      <c r="P7209" t="s">
        <v>977</v>
      </c>
      <c r="V7209">
        <v>64</v>
      </c>
    </row>
    <row r="7210" spans="1:22" customFormat="1" ht="15" x14ac:dyDescent="0.25">
      <c r="A7210" t="s">
        <v>220</v>
      </c>
      <c r="B7210" t="s">
        <v>5767</v>
      </c>
      <c r="E7210" s="1524" t="s">
        <v>3688</v>
      </c>
      <c r="F7210" s="1524"/>
      <c r="G7210" s="846" t="s">
        <v>845</v>
      </c>
      <c r="H7210" s="577">
        <v>1.23E-2</v>
      </c>
      <c r="K7210" t="s">
        <v>972</v>
      </c>
      <c r="L7210" t="s">
        <v>690</v>
      </c>
      <c r="P7210" t="s">
        <v>978</v>
      </c>
      <c r="V7210">
        <v>28</v>
      </c>
    </row>
    <row r="7211" spans="1:22" customFormat="1" ht="15" x14ac:dyDescent="0.25">
      <c r="A7211" t="s">
        <v>220</v>
      </c>
      <c r="B7211" t="s">
        <v>5767</v>
      </c>
      <c r="E7211" s="1524" t="s">
        <v>910</v>
      </c>
      <c r="F7211" s="1524"/>
      <c r="G7211" s="846" t="s">
        <v>845</v>
      </c>
      <c r="H7211" s="967">
        <v>2.0999999999999999E-3</v>
      </c>
      <c r="K7211" t="s">
        <v>972</v>
      </c>
      <c r="L7211" t="s">
        <v>692</v>
      </c>
      <c r="P7211" t="s">
        <v>980</v>
      </c>
      <c r="V7211">
        <v>24</v>
      </c>
    </row>
    <row r="7212" spans="1:22" customFormat="1" ht="15" x14ac:dyDescent="0.25">
      <c r="A7212" t="s">
        <v>220</v>
      </c>
      <c r="B7212" t="s">
        <v>5767</v>
      </c>
      <c r="E7212" s="1524" t="s">
        <v>6849</v>
      </c>
      <c r="F7212" s="1510"/>
      <c r="G7212" s="846" t="s">
        <v>845</v>
      </c>
      <c r="H7212" s="967">
        <v>2.8E-3</v>
      </c>
      <c r="K7212" t="s">
        <v>972</v>
      </c>
      <c r="L7212" t="s">
        <v>692</v>
      </c>
      <c r="P7212" t="s">
        <v>981</v>
      </c>
      <c r="T7212">
        <v>46142</v>
      </c>
      <c r="V7212">
        <v>139</v>
      </c>
    </row>
    <row r="7213" spans="1:22" customFormat="1" ht="15" x14ac:dyDescent="0.25">
      <c r="A7213" t="s">
        <v>220</v>
      </c>
      <c r="B7213" t="s">
        <v>5767</v>
      </c>
      <c r="E7213" s="1524" t="s">
        <v>6850</v>
      </c>
      <c r="F7213" s="1510"/>
      <c r="G7213" s="846" t="s">
        <v>845</v>
      </c>
      <c r="H7213" s="967">
        <v>2.0999999999999999E-3</v>
      </c>
      <c r="K7213" t="s">
        <v>972</v>
      </c>
      <c r="L7213" t="s">
        <v>692</v>
      </c>
      <c r="P7213" t="s">
        <v>982</v>
      </c>
      <c r="T7213">
        <v>46142</v>
      </c>
      <c r="V7213">
        <v>96</v>
      </c>
    </row>
    <row r="7214" spans="1:22" customFormat="1" ht="15" x14ac:dyDescent="0.25">
      <c r="A7214" t="s">
        <v>220</v>
      </c>
      <c r="B7214" t="s">
        <v>5767</v>
      </c>
      <c r="E7214" s="1524" t="s">
        <v>6853</v>
      </c>
      <c r="F7214" s="1510"/>
      <c r="G7214" s="846" t="s">
        <v>845</v>
      </c>
      <c r="H7214" s="967">
        <v>2.0000000000000001E-4</v>
      </c>
      <c r="K7214" t="s">
        <v>972</v>
      </c>
      <c r="L7214" t="s">
        <v>692</v>
      </c>
      <c r="P7214" t="s">
        <v>3766</v>
      </c>
      <c r="T7214">
        <v>46142</v>
      </c>
      <c r="V7214">
        <v>146</v>
      </c>
    </row>
    <row r="7215" spans="1:22" customFormat="1" ht="15" x14ac:dyDescent="0.25">
      <c r="A7215" t="s">
        <v>220</v>
      </c>
      <c r="B7215" t="s">
        <v>5767</v>
      </c>
      <c r="E7215" s="1524" t="s">
        <v>6854</v>
      </c>
      <c r="F7215" s="1507"/>
      <c r="G7215" s="846" t="s">
        <v>845</v>
      </c>
      <c r="H7215" s="967">
        <v>2.9999999999999997E-4</v>
      </c>
      <c r="K7215" t="s">
        <v>972</v>
      </c>
      <c r="L7215" t="s">
        <v>690</v>
      </c>
      <c r="P7215" t="s">
        <v>6855</v>
      </c>
      <c r="T7215">
        <v>46142</v>
      </c>
      <c r="V7215">
        <v>71</v>
      </c>
    </row>
    <row r="7216" spans="1:22" customFormat="1" ht="15" x14ac:dyDescent="0.25">
      <c r="A7216" t="s">
        <v>220</v>
      </c>
      <c r="B7216" t="s">
        <v>5767</v>
      </c>
      <c r="E7216" s="1524" t="s">
        <v>243</v>
      </c>
      <c r="F7216" s="1524"/>
      <c r="G7216" s="846" t="s">
        <v>845</v>
      </c>
      <c r="H7216" s="577">
        <v>1.0200000000000001E-2</v>
      </c>
      <c r="K7216" t="s">
        <v>972</v>
      </c>
      <c r="L7216" t="s">
        <v>694</v>
      </c>
      <c r="P7216" t="s">
        <v>983</v>
      </c>
      <c r="V7216">
        <v>47</v>
      </c>
    </row>
    <row r="7217" spans="1:22" customFormat="1" ht="15" x14ac:dyDescent="0.25">
      <c r="A7217" t="s">
        <v>220</v>
      </c>
      <c r="B7217" t="s">
        <v>5767</v>
      </c>
      <c r="E7217" s="1524" t="s">
        <v>175</v>
      </c>
      <c r="F7217" s="1524"/>
      <c r="G7217" s="846" t="s">
        <v>845</v>
      </c>
      <c r="H7217" s="577">
        <v>6.8999999999999999E-3</v>
      </c>
      <c r="K7217" t="s">
        <v>972</v>
      </c>
      <c r="L7217" t="s">
        <v>694</v>
      </c>
      <c r="P7217" t="s">
        <v>984</v>
      </c>
      <c r="V7217">
        <v>74</v>
      </c>
    </row>
    <row r="7218" spans="1:22" customFormat="1" ht="15" x14ac:dyDescent="0.25">
      <c r="A7218" t="s">
        <v>220</v>
      </c>
      <c r="B7218" t="s">
        <v>5767</v>
      </c>
      <c r="E7218" s="1533" t="s">
        <v>967</v>
      </c>
      <c r="F7218" s="1524"/>
      <c r="G7218" s="1524"/>
      <c r="H7218" s="1524"/>
      <c r="K7218" t="s">
        <v>985</v>
      </c>
      <c r="V7218">
        <v>48</v>
      </c>
    </row>
    <row r="7219" spans="1:22" customFormat="1" ht="15" x14ac:dyDescent="0.25">
      <c r="A7219" t="s">
        <v>220</v>
      </c>
      <c r="B7219" t="s">
        <v>5767</v>
      </c>
      <c r="E7219" s="1524" t="s">
        <v>844</v>
      </c>
      <c r="F7219" s="1524"/>
      <c r="G7219" s="846" t="s">
        <v>845</v>
      </c>
      <c r="H7219" s="967">
        <v>4.1000000000000003E-3</v>
      </c>
      <c r="K7219" t="s">
        <v>972</v>
      </c>
      <c r="L7219" t="s">
        <v>968</v>
      </c>
      <c r="P7219" t="s">
        <v>986</v>
      </c>
      <c r="V7219">
        <v>55</v>
      </c>
    </row>
    <row r="7220" spans="1:22" customFormat="1" ht="15" x14ac:dyDescent="0.25">
      <c r="A7220" t="s">
        <v>220</v>
      </c>
      <c r="B7220" t="s">
        <v>5767</v>
      </c>
      <c r="E7220" s="1524" t="s">
        <v>846</v>
      </c>
      <c r="F7220" s="1524"/>
      <c r="G7220" s="846" t="s">
        <v>845</v>
      </c>
      <c r="H7220" s="967">
        <v>4.0000000000000002E-4</v>
      </c>
      <c r="K7220" t="s">
        <v>972</v>
      </c>
      <c r="L7220" t="s">
        <v>968</v>
      </c>
      <c r="P7220" t="s">
        <v>986</v>
      </c>
      <c r="V7220">
        <v>65</v>
      </c>
    </row>
    <row r="7221" spans="1:22" customFormat="1" ht="15" x14ac:dyDescent="0.25">
      <c r="A7221" t="s">
        <v>220</v>
      </c>
      <c r="B7221" t="s">
        <v>5767</v>
      </c>
      <c r="E7221" s="1524" t="s">
        <v>847</v>
      </c>
      <c r="F7221" s="1524"/>
      <c r="G7221" s="846" t="s">
        <v>845</v>
      </c>
      <c r="H7221" s="967">
        <v>1.5E-3</v>
      </c>
      <c r="K7221" t="s">
        <v>972</v>
      </c>
      <c r="L7221" t="s">
        <v>968</v>
      </c>
      <c r="P7221" t="s">
        <v>987</v>
      </c>
      <c r="V7221">
        <v>57</v>
      </c>
    </row>
    <row r="7222" spans="1:22" customFormat="1" ht="15" x14ac:dyDescent="0.25">
      <c r="A7222" t="s">
        <v>220</v>
      </c>
      <c r="B7222" t="s">
        <v>5767</v>
      </c>
      <c r="E7222" s="1524" t="s">
        <v>848</v>
      </c>
      <c r="F7222" s="1524"/>
      <c r="G7222" s="846" t="s">
        <v>777</v>
      </c>
      <c r="H7222" s="966">
        <v>0.25</v>
      </c>
      <c r="K7222" t="s">
        <v>972</v>
      </c>
      <c r="L7222" t="s">
        <v>968</v>
      </c>
      <c r="P7222" t="s">
        <v>988</v>
      </c>
      <c r="V7222">
        <v>63</v>
      </c>
    </row>
    <row r="7223" spans="1:22" customFormat="1" x14ac:dyDescent="0.25">
      <c r="A7223" t="s">
        <v>220</v>
      </c>
      <c r="B7223" t="s">
        <v>5767</v>
      </c>
      <c r="E7223" s="1538" t="s">
        <v>3767</v>
      </c>
      <c r="F7223" s="1571"/>
      <c r="G7223" s="1571"/>
      <c r="H7223" s="1571"/>
      <c r="K7223" t="s">
        <v>3768</v>
      </c>
      <c r="V7223">
        <v>53</v>
      </c>
    </row>
    <row r="7224" spans="1:22" customFormat="1" ht="15" x14ac:dyDescent="0.25">
      <c r="A7224" t="s">
        <v>220</v>
      </c>
      <c r="B7224" t="s">
        <v>5767</v>
      </c>
      <c r="E7224" s="1496" t="s">
        <v>5775</v>
      </c>
      <c r="F7224" s="1496"/>
      <c r="G7224" s="1496"/>
      <c r="H7224" s="1496"/>
      <c r="K7224" t="s">
        <v>3768</v>
      </c>
      <c r="V7224">
        <v>403</v>
      </c>
    </row>
    <row r="7225" spans="1:22" customFormat="1" ht="15" x14ac:dyDescent="0.25">
      <c r="A7225" t="s">
        <v>220</v>
      </c>
      <c r="B7225" t="s">
        <v>5767</v>
      </c>
      <c r="E7225" s="1533" t="s">
        <v>950</v>
      </c>
      <c r="F7225" s="1496"/>
      <c r="G7225" s="1496"/>
      <c r="H7225" s="1496"/>
      <c r="K7225" t="s">
        <v>992</v>
      </c>
      <c r="V7225">
        <v>11</v>
      </c>
    </row>
    <row r="7226" spans="1:22" customFormat="1" ht="15" x14ac:dyDescent="0.25">
      <c r="A7226" t="s">
        <v>220</v>
      </c>
      <c r="B7226" t="s">
        <v>5767</v>
      </c>
      <c r="E7226" s="1496" t="s">
        <v>951</v>
      </c>
      <c r="F7226" s="1496"/>
      <c r="G7226" s="1496"/>
      <c r="H7226" s="1496"/>
      <c r="K7226" t="s">
        <v>3768</v>
      </c>
      <c r="V7226">
        <v>280</v>
      </c>
    </row>
    <row r="7227" spans="1:22" customFormat="1" ht="15" x14ac:dyDescent="0.25">
      <c r="A7227" t="s">
        <v>220</v>
      </c>
      <c r="B7227" t="s">
        <v>5767</v>
      </c>
      <c r="E7227" s="1496" t="s">
        <v>952</v>
      </c>
      <c r="F7227" s="1496"/>
      <c r="G7227" s="1496"/>
      <c r="H7227" s="1496"/>
      <c r="K7227" t="s">
        <v>3768</v>
      </c>
      <c r="V7227">
        <v>411</v>
      </c>
    </row>
    <row r="7228" spans="1:22" customFormat="1" ht="15" x14ac:dyDescent="0.25">
      <c r="A7228" t="s">
        <v>220</v>
      </c>
      <c r="B7228" t="s">
        <v>5767</v>
      </c>
      <c r="E7228" s="1496" t="s">
        <v>953</v>
      </c>
      <c r="F7228" s="1496"/>
      <c r="G7228" s="1496"/>
      <c r="H7228" s="1496"/>
      <c r="K7228" t="s">
        <v>3768</v>
      </c>
      <c r="V7228">
        <v>386</v>
      </c>
    </row>
    <row r="7229" spans="1:22" customFormat="1" ht="15" x14ac:dyDescent="0.25">
      <c r="A7229" t="s">
        <v>220</v>
      </c>
      <c r="B7229" t="s">
        <v>5767</v>
      </c>
      <c r="E7229" s="1496" t="s">
        <v>3771</v>
      </c>
      <c r="F7229" s="1496"/>
      <c r="G7229" s="1496"/>
      <c r="H7229" s="1496"/>
      <c r="K7229" t="s">
        <v>3768</v>
      </c>
      <c r="V7229">
        <v>677</v>
      </c>
    </row>
    <row r="7230" spans="1:22" customFormat="1" ht="15" x14ac:dyDescent="0.25">
      <c r="A7230" t="s">
        <v>220</v>
      </c>
      <c r="B7230" t="s">
        <v>5767</v>
      </c>
      <c r="E7230" s="1496" t="s">
        <v>3772</v>
      </c>
      <c r="F7230" s="1496"/>
      <c r="G7230" s="1496"/>
      <c r="H7230" s="1496"/>
      <c r="K7230" t="s">
        <v>3768</v>
      </c>
      <c r="V7230">
        <v>693</v>
      </c>
    </row>
    <row r="7231" spans="1:22" customFormat="1" ht="15" x14ac:dyDescent="0.25">
      <c r="A7231" t="s">
        <v>220</v>
      </c>
      <c r="B7231" t="s">
        <v>5767</v>
      </c>
      <c r="E7231" s="1496" t="s">
        <v>4339</v>
      </c>
      <c r="F7231" s="1496"/>
      <c r="G7231" s="1496"/>
      <c r="H7231" s="1496"/>
      <c r="K7231" t="s">
        <v>3768</v>
      </c>
      <c r="V7231">
        <v>250</v>
      </c>
    </row>
    <row r="7232" spans="1:22" customFormat="1" ht="15" x14ac:dyDescent="0.25">
      <c r="A7232" t="s">
        <v>220</v>
      </c>
      <c r="B7232" t="s">
        <v>5767</v>
      </c>
      <c r="E7232" s="1533" t="s">
        <v>956</v>
      </c>
      <c r="F7232" s="1496"/>
      <c r="G7232" s="1496"/>
      <c r="H7232" s="1496"/>
      <c r="K7232" t="s">
        <v>995</v>
      </c>
      <c r="V7232">
        <v>46</v>
      </c>
    </row>
    <row r="7233" spans="1:22" customFormat="1" ht="15" x14ac:dyDescent="0.25">
      <c r="A7233" t="s">
        <v>220</v>
      </c>
      <c r="B7233" t="s">
        <v>5767</v>
      </c>
      <c r="E7233" s="1524" t="s">
        <v>3773</v>
      </c>
      <c r="F7233" s="1524"/>
      <c r="G7233" s="846" t="s">
        <v>777</v>
      </c>
      <c r="H7233" s="576">
        <v>122.36</v>
      </c>
      <c r="K7233" t="s">
        <v>3768</v>
      </c>
      <c r="L7233" t="s">
        <v>690</v>
      </c>
      <c r="P7233" t="s">
        <v>3774</v>
      </c>
      <c r="V7233">
        <v>14</v>
      </c>
    </row>
    <row r="7234" spans="1:22" customFormat="1" ht="15" x14ac:dyDescent="0.25">
      <c r="A7234" t="s">
        <v>220</v>
      </c>
      <c r="B7234" t="s">
        <v>5767</v>
      </c>
      <c r="E7234" s="1524" t="s">
        <v>3688</v>
      </c>
      <c r="F7234" s="1524"/>
      <c r="G7234" s="846" t="s">
        <v>3775</v>
      </c>
      <c r="H7234" s="577">
        <v>4.0526</v>
      </c>
      <c r="K7234" t="s">
        <v>3768</v>
      </c>
      <c r="L7234" t="s">
        <v>690</v>
      </c>
      <c r="P7234" t="s">
        <v>3776</v>
      </c>
      <c r="V7234">
        <v>28</v>
      </c>
    </row>
    <row r="7235" spans="1:22" customFormat="1" ht="15" x14ac:dyDescent="0.25">
      <c r="A7235" t="s">
        <v>220</v>
      </c>
      <c r="B7235" t="s">
        <v>5767</v>
      </c>
      <c r="E7235" s="1524" t="s">
        <v>5287</v>
      </c>
      <c r="F7235" s="1524"/>
      <c r="G7235" s="846" t="s">
        <v>3775</v>
      </c>
      <c r="H7235" s="967">
        <v>0.87939999999999996</v>
      </c>
      <c r="K7235" t="s">
        <v>3768</v>
      </c>
      <c r="L7235" t="s">
        <v>692</v>
      </c>
      <c r="P7235" t="s">
        <v>3777</v>
      </c>
      <c r="V7235">
        <v>37</v>
      </c>
    </row>
    <row r="7236" spans="1:22" customFormat="1" ht="15" x14ac:dyDescent="0.25">
      <c r="A7236" t="s">
        <v>220</v>
      </c>
      <c r="B7236" t="s">
        <v>5767</v>
      </c>
      <c r="E7236" s="1524" t="s">
        <v>6849</v>
      </c>
      <c r="F7236" s="1510"/>
      <c r="G7236" s="846" t="s">
        <v>845</v>
      </c>
      <c r="H7236" s="967">
        <v>2.8E-3</v>
      </c>
      <c r="K7236" t="s">
        <v>3768</v>
      </c>
      <c r="L7236" t="s">
        <v>692</v>
      </c>
      <c r="P7236" t="s">
        <v>4232</v>
      </c>
      <c r="T7236">
        <v>46142</v>
      </c>
      <c r="V7236">
        <v>139</v>
      </c>
    </row>
    <row r="7237" spans="1:22" customFormat="1" ht="15" x14ac:dyDescent="0.25">
      <c r="A7237" t="s">
        <v>220</v>
      </c>
      <c r="B7237" t="s">
        <v>5767</v>
      </c>
      <c r="E7237" s="1524" t="s">
        <v>6852</v>
      </c>
      <c r="F7237" s="1510"/>
      <c r="G7237" s="846" t="s">
        <v>3775</v>
      </c>
      <c r="H7237" s="967">
        <v>-0.29049999999999998</v>
      </c>
      <c r="K7237" t="s">
        <v>3768</v>
      </c>
      <c r="L7237" t="s">
        <v>692</v>
      </c>
      <c r="P7237" t="s">
        <v>3779</v>
      </c>
      <c r="T7237">
        <v>46142</v>
      </c>
      <c r="V7237">
        <v>156</v>
      </c>
    </row>
    <row r="7238" spans="1:22" customFormat="1" ht="15" x14ac:dyDescent="0.25">
      <c r="A7238" t="s">
        <v>220</v>
      </c>
      <c r="B7238" t="s">
        <v>5767</v>
      </c>
      <c r="E7238" s="1524" t="s">
        <v>6850</v>
      </c>
      <c r="F7238" s="1510"/>
      <c r="G7238" s="846" t="s">
        <v>3775</v>
      </c>
      <c r="H7238" s="967">
        <v>1.1220000000000001</v>
      </c>
      <c r="K7238" t="s">
        <v>3768</v>
      </c>
      <c r="L7238" t="s">
        <v>692</v>
      </c>
      <c r="P7238" t="s">
        <v>3779</v>
      </c>
      <c r="T7238">
        <v>46142</v>
      </c>
      <c r="V7238">
        <v>96</v>
      </c>
    </row>
    <row r="7239" spans="1:22" customFormat="1" ht="15" x14ac:dyDescent="0.25">
      <c r="A7239" t="s">
        <v>220</v>
      </c>
      <c r="B7239" t="s">
        <v>5767</v>
      </c>
      <c r="E7239" s="1524" t="s">
        <v>6853</v>
      </c>
      <c r="F7239" s="1510"/>
      <c r="G7239" s="846" t="s">
        <v>3775</v>
      </c>
      <c r="H7239" s="967">
        <v>6.4000000000000001E-2</v>
      </c>
      <c r="K7239" t="s">
        <v>3768</v>
      </c>
      <c r="L7239" t="s">
        <v>692</v>
      </c>
      <c r="P7239" t="s">
        <v>3778</v>
      </c>
      <c r="T7239">
        <v>46142</v>
      </c>
      <c r="V7239">
        <v>146</v>
      </c>
    </row>
    <row r="7240" spans="1:22" customFormat="1" ht="15" x14ac:dyDescent="0.25">
      <c r="A7240" t="s">
        <v>220</v>
      </c>
      <c r="B7240" t="s">
        <v>5767</v>
      </c>
      <c r="E7240" s="1524" t="s">
        <v>6854</v>
      </c>
      <c r="F7240" s="1507"/>
      <c r="G7240" s="846" t="s">
        <v>3775</v>
      </c>
      <c r="H7240" s="967">
        <v>0.52539999999999998</v>
      </c>
      <c r="K7240" t="s">
        <v>3768</v>
      </c>
      <c r="L7240" t="s">
        <v>690</v>
      </c>
      <c r="P7240" t="s">
        <v>5307</v>
      </c>
      <c r="T7240">
        <v>46142</v>
      </c>
      <c r="V7240">
        <v>71</v>
      </c>
    </row>
    <row r="7241" spans="1:22" customFormat="1" ht="15" x14ac:dyDescent="0.25">
      <c r="A7241" t="s">
        <v>220</v>
      </c>
      <c r="B7241" t="s">
        <v>5767</v>
      </c>
      <c r="E7241" s="1524" t="s">
        <v>243</v>
      </c>
      <c r="F7241" s="1524"/>
      <c r="G7241" s="846" t="s">
        <v>3775</v>
      </c>
      <c r="H7241" s="577">
        <v>4.4340000000000002</v>
      </c>
      <c r="K7241" t="s">
        <v>3768</v>
      </c>
      <c r="L7241" t="s">
        <v>694</v>
      </c>
      <c r="P7241" t="s">
        <v>3780</v>
      </c>
      <c r="V7241">
        <v>47</v>
      </c>
    </row>
    <row r="7242" spans="1:22" customFormat="1" ht="15" x14ac:dyDescent="0.25">
      <c r="A7242" t="s">
        <v>220</v>
      </c>
      <c r="B7242" t="s">
        <v>5767</v>
      </c>
      <c r="E7242" s="1524" t="s">
        <v>5289</v>
      </c>
      <c r="F7242" s="1524"/>
      <c r="G7242" s="846" t="s">
        <v>3775</v>
      </c>
      <c r="H7242" s="577">
        <v>2.9634999999999998</v>
      </c>
      <c r="K7242" t="s">
        <v>3768</v>
      </c>
      <c r="L7242" t="s">
        <v>694</v>
      </c>
      <c r="P7242" t="s">
        <v>3781</v>
      </c>
      <c r="V7242">
        <v>87</v>
      </c>
    </row>
    <row r="7243" spans="1:22" customFormat="1" ht="15" x14ac:dyDescent="0.25">
      <c r="A7243" t="s">
        <v>220</v>
      </c>
      <c r="B7243" t="s">
        <v>5767</v>
      </c>
      <c r="E7243" s="1533" t="s">
        <v>967</v>
      </c>
      <c r="F7243" s="1524"/>
      <c r="G7243" s="1524"/>
      <c r="H7243" s="1524"/>
      <c r="K7243" t="s">
        <v>1003</v>
      </c>
      <c r="V7243">
        <v>48</v>
      </c>
    </row>
    <row r="7244" spans="1:22" customFormat="1" ht="15" x14ac:dyDescent="0.25">
      <c r="A7244" t="s">
        <v>220</v>
      </c>
      <c r="B7244" t="s">
        <v>5767</v>
      </c>
      <c r="E7244" s="1524" t="s">
        <v>844</v>
      </c>
      <c r="F7244" s="1524"/>
      <c r="G7244" s="846" t="s">
        <v>845</v>
      </c>
      <c r="H7244" s="967">
        <v>4.1000000000000003E-3</v>
      </c>
      <c r="K7244" t="s">
        <v>3768</v>
      </c>
      <c r="L7244" t="s">
        <v>968</v>
      </c>
      <c r="P7244" t="s">
        <v>3782</v>
      </c>
      <c r="V7244">
        <v>55</v>
      </c>
    </row>
    <row r="7245" spans="1:22" customFormat="1" ht="15" x14ac:dyDescent="0.25">
      <c r="A7245" t="s">
        <v>220</v>
      </c>
      <c r="B7245" t="s">
        <v>5767</v>
      </c>
      <c r="E7245" s="1524" t="s">
        <v>846</v>
      </c>
      <c r="F7245" s="1524"/>
      <c r="G7245" s="846" t="s">
        <v>845</v>
      </c>
      <c r="H7245" s="967">
        <v>4.0000000000000002E-4</v>
      </c>
      <c r="K7245" t="s">
        <v>3768</v>
      </c>
      <c r="L7245" t="s">
        <v>968</v>
      </c>
      <c r="P7245" t="s">
        <v>3782</v>
      </c>
      <c r="V7245">
        <v>65</v>
      </c>
    </row>
    <row r="7246" spans="1:22" customFormat="1" ht="15" x14ac:dyDescent="0.25">
      <c r="A7246" t="s">
        <v>220</v>
      </c>
      <c r="B7246" t="s">
        <v>5767</v>
      </c>
      <c r="E7246" s="1524" t="s">
        <v>847</v>
      </c>
      <c r="F7246" s="1524"/>
      <c r="G7246" s="846" t="s">
        <v>845</v>
      </c>
      <c r="H7246" s="967">
        <v>1.5E-3</v>
      </c>
      <c r="K7246" t="s">
        <v>3768</v>
      </c>
      <c r="L7246" t="s">
        <v>968</v>
      </c>
      <c r="P7246" t="s">
        <v>3783</v>
      </c>
      <c r="V7246">
        <v>57</v>
      </c>
    </row>
    <row r="7247" spans="1:22" customFormat="1" ht="15" x14ac:dyDescent="0.25">
      <c r="A7247" t="s">
        <v>220</v>
      </c>
      <c r="B7247" t="s">
        <v>5767</v>
      </c>
      <c r="E7247" s="1524" t="s">
        <v>848</v>
      </c>
      <c r="F7247" s="1524"/>
      <c r="G7247" s="846" t="s">
        <v>777</v>
      </c>
      <c r="H7247" s="966">
        <v>0.25</v>
      </c>
      <c r="K7247" t="s">
        <v>3768</v>
      </c>
      <c r="L7247" t="s">
        <v>968</v>
      </c>
      <c r="P7247" t="s">
        <v>3784</v>
      </c>
      <c r="V7247">
        <v>63</v>
      </c>
    </row>
    <row r="7248" spans="1:22" customFormat="1" x14ac:dyDescent="0.25">
      <c r="A7248" t="s">
        <v>220</v>
      </c>
      <c r="B7248" t="s">
        <v>5767</v>
      </c>
      <c r="E7248" s="1538" t="s">
        <v>189</v>
      </c>
      <c r="F7248" s="1571"/>
      <c r="G7248" s="1571"/>
      <c r="H7248" s="1571"/>
      <c r="K7248" t="s">
        <v>4234</v>
      </c>
      <c r="V7248">
        <v>32</v>
      </c>
    </row>
    <row r="7249" spans="1:22" customFormat="1" ht="15" x14ac:dyDescent="0.25">
      <c r="A7249" t="s">
        <v>220</v>
      </c>
      <c r="B7249" t="s">
        <v>5767</v>
      </c>
      <c r="E7249" s="1496" t="s">
        <v>5776</v>
      </c>
      <c r="F7249" s="1496"/>
      <c r="G7249" s="1496"/>
      <c r="H7249" s="1496"/>
      <c r="K7249" t="s">
        <v>4234</v>
      </c>
      <c r="V7249">
        <v>370</v>
      </c>
    </row>
    <row r="7250" spans="1:22" customFormat="1" ht="15" x14ac:dyDescent="0.25">
      <c r="A7250" t="s">
        <v>220</v>
      </c>
      <c r="B7250" t="s">
        <v>5767</v>
      </c>
      <c r="E7250" s="1533" t="s">
        <v>950</v>
      </c>
      <c r="F7250" s="1496"/>
      <c r="G7250" s="1496"/>
      <c r="H7250" s="1496"/>
      <c r="K7250" t="s">
        <v>1010</v>
      </c>
      <c r="V7250">
        <v>11</v>
      </c>
    </row>
    <row r="7251" spans="1:22" customFormat="1" ht="15" x14ac:dyDescent="0.25">
      <c r="A7251" t="s">
        <v>220</v>
      </c>
      <c r="B7251" t="s">
        <v>5767</v>
      </c>
      <c r="E7251" s="1496" t="s">
        <v>951</v>
      </c>
      <c r="F7251" s="1496"/>
      <c r="G7251" s="1496"/>
      <c r="H7251" s="1496"/>
      <c r="K7251" t="s">
        <v>4234</v>
      </c>
      <c r="V7251">
        <v>280</v>
      </c>
    </row>
    <row r="7252" spans="1:22" customFormat="1" ht="15" x14ac:dyDescent="0.25">
      <c r="A7252" t="s">
        <v>220</v>
      </c>
      <c r="B7252" t="s">
        <v>5767</v>
      </c>
      <c r="E7252" s="1496" t="s">
        <v>952</v>
      </c>
      <c r="F7252" s="1496"/>
      <c r="G7252" s="1496"/>
      <c r="H7252" s="1496"/>
      <c r="K7252" t="s">
        <v>4234</v>
      </c>
      <c r="V7252">
        <v>411</v>
      </c>
    </row>
    <row r="7253" spans="1:22" customFormat="1" ht="15" x14ac:dyDescent="0.25">
      <c r="A7253" t="s">
        <v>220</v>
      </c>
      <c r="B7253" t="s">
        <v>5767</v>
      </c>
      <c r="E7253" s="1496" t="s">
        <v>953</v>
      </c>
      <c r="F7253" s="1496"/>
      <c r="G7253" s="1496"/>
      <c r="H7253" s="1496"/>
      <c r="K7253" t="s">
        <v>4234</v>
      </c>
      <c r="V7253">
        <v>386</v>
      </c>
    </row>
    <row r="7254" spans="1:22" customFormat="1" ht="15" x14ac:dyDescent="0.25">
      <c r="A7254" t="s">
        <v>220</v>
      </c>
      <c r="B7254" t="s">
        <v>5767</v>
      </c>
      <c r="E7254" s="1496" t="s">
        <v>3771</v>
      </c>
      <c r="F7254" s="1496"/>
      <c r="G7254" s="1496"/>
      <c r="H7254" s="1496"/>
      <c r="K7254" t="s">
        <v>4234</v>
      </c>
      <c r="V7254">
        <v>677</v>
      </c>
    </row>
    <row r="7255" spans="1:22" customFormat="1" ht="15" x14ac:dyDescent="0.25">
      <c r="A7255" t="s">
        <v>220</v>
      </c>
      <c r="B7255" t="s">
        <v>5767</v>
      </c>
      <c r="E7255" s="1496" t="s">
        <v>3772</v>
      </c>
      <c r="F7255" s="1496"/>
      <c r="G7255" s="1496"/>
      <c r="H7255" s="1496"/>
      <c r="K7255" t="s">
        <v>4234</v>
      </c>
      <c r="V7255">
        <v>693</v>
      </c>
    </row>
    <row r="7256" spans="1:22" customFormat="1" ht="15" x14ac:dyDescent="0.25">
      <c r="A7256" t="s">
        <v>220</v>
      </c>
      <c r="B7256" t="s">
        <v>5767</v>
      </c>
      <c r="E7256" s="1496" t="s">
        <v>954</v>
      </c>
      <c r="F7256" s="1496"/>
      <c r="G7256" s="1496"/>
      <c r="H7256" s="1496"/>
      <c r="K7256" t="s">
        <v>4234</v>
      </c>
      <c r="V7256">
        <v>246</v>
      </c>
    </row>
    <row r="7257" spans="1:22" customFormat="1" ht="15" x14ac:dyDescent="0.25">
      <c r="A7257" t="s">
        <v>220</v>
      </c>
      <c r="B7257" t="s">
        <v>5767</v>
      </c>
      <c r="E7257" s="1533" t="s">
        <v>956</v>
      </c>
      <c r="F7257" s="1496"/>
      <c r="G7257" s="1496"/>
      <c r="H7257" s="1496"/>
      <c r="K7257" t="s">
        <v>1011</v>
      </c>
      <c r="V7257">
        <v>46</v>
      </c>
    </row>
    <row r="7258" spans="1:22" customFormat="1" ht="15" x14ac:dyDescent="0.25">
      <c r="A7258" t="s">
        <v>220</v>
      </c>
      <c r="B7258" t="s">
        <v>5767</v>
      </c>
      <c r="E7258" s="1524" t="s">
        <v>3773</v>
      </c>
      <c r="F7258" s="1524"/>
      <c r="G7258" s="846" t="s">
        <v>777</v>
      </c>
      <c r="H7258" s="576">
        <v>1867.15</v>
      </c>
      <c r="K7258" t="s">
        <v>4234</v>
      </c>
      <c r="L7258" t="s">
        <v>690</v>
      </c>
      <c r="P7258" t="s">
        <v>4236</v>
      </c>
      <c r="V7258">
        <v>14</v>
      </c>
    </row>
    <row r="7259" spans="1:22" customFormat="1" ht="15" x14ac:dyDescent="0.25">
      <c r="A7259" t="s">
        <v>220</v>
      </c>
      <c r="B7259" t="s">
        <v>5767</v>
      </c>
      <c r="E7259" s="1524" t="s">
        <v>3688</v>
      </c>
      <c r="F7259" s="1524"/>
      <c r="G7259" s="846" t="s">
        <v>3775</v>
      </c>
      <c r="H7259" s="577">
        <v>2.8513999999999999</v>
      </c>
      <c r="K7259" t="s">
        <v>4234</v>
      </c>
      <c r="L7259" t="s">
        <v>690</v>
      </c>
      <c r="P7259" t="s">
        <v>4237</v>
      </c>
      <c r="V7259">
        <v>28</v>
      </c>
    </row>
    <row r="7260" spans="1:22" customFormat="1" ht="15" x14ac:dyDescent="0.25">
      <c r="A7260" t="s">
        <v>220</v>
      </c>
      <c r="B7260" t="s">
        <v>5767</v>
      </c>
      <c r="E7260" s="1524" t="s">
        <v>5287</v>
      </c>
      <c r="F7260" s="1524"/>
      <c r="G7260" s="846" t="s">
        <v>3775</v>
      </c>
      <c r="H7260" s="605">
        <v>0.96679999999999999</v>
      </c>
      <c r="K7260" t="s">
        <v>4234</v>
      </c>
      <c r="L7260" t="s">
        <v>692</v>
      </c>
      <c r="P7260" t="s">
        <v>4238</v>
      </c>
      <c r="V7260">
        <v>37</v>
      </c>
    </row>
    <row r="7261" spans="1:22" customFormat="1" ht="15" x14ac:dyDescent="0.25">
      <c r="A7261" t="s">
        <v>220</v>
      </c>
      <c r="B7261" t="s">
        <v>5767</v>
      </c>
      <c r="E7261" s="1524" t="s">
        <v>6849</v>
      </c>
      <c r="F7261" s="1510"/>
      <c r="G7261" s="846" t="s">
        <v>845</v>
      </c>
      <c r="H7261" s="605">
        <v>2.8E-3</v>
      </c>
      <c r="K7261" t="s">
        <v>4234</v>
      </c>
      <c r="L7261" t="s">
        <v>692</v>
      </c>
      <c r="P7261" t="s">
        <v>4691</v>
      </c>
      <c r="T7261">
        <v>46142</v>
      </c>
      <c r="V7261">
        <v>139</v>
      </c>
    </row>
    <row r="7262" spans="1:22" customFormat="1" ht="15" x14ac:dyDescent="0.25">
      <c r="A7262" t="s">
        <v>220</v>
      </c>
      <c r="B7262" t="s">
        <v>5767</v>
      </c>
      <c r="E7262" s="1524" t="s">
        <v>6850</v>
      </c>
      <c r="F7262" s="1510"/>
      <c r="G7262" s="846" t="s">
        <v>3775</v>
      </c>
      <c r="H7262" s="605">
        <v>0.92500000000000004</v>
      </c>
      <c r="K7262" t="s">
        <v>4234</v>
      </c>
      <c r="L7262" t="s">
        <v>692</v>
      </c>
      <c r="P7262" t="s">
        <v>4240</v>
      </c>
      <c r="T7262">
        <v>46142</v>
      </c>
      <c r="V7262">
        <v>96</v>
      </c>
    </row>
    <row r="7263" spans="1:22" customFormat="1" ht="15" x14ac:dyDescent="0.25">
      <c r="A7263" t="s">
        <v>220</v>
      </c>
      <c r="B7263" t="s">
        <v>5767</v>
      </c>
      <c r="E7263" s="1524" t="s">
        <v>6851</v>
      </c>
      <c r="F7263" s="1510"/>
      <c r="G7263" s="846" t="s">
        <v>3775</v>
      </c>
      <c r="H7263" s="605">
        <v>3.6200000000000003E-2</v>
      </c>
      <c r="K7263" t="s">
        <v>4234</v>
      </c>
      <c r="L7263" t="s">
        <v>692</v>
      </c>
      <c r="P7263" t="s">
        <v>5777</v>
      </c>
      <c r="T7263">
        <v>46142</v>
      </c>
      <c r="V7263">
        <v>139</v>
      </c>
    </row>
    <row r="7264" spans="1:22" customFormat="1" ht="15" x14ac:dyDescent="0.25">
      <c r="A7264" t="s">
        <v>220</v>
      </c>
      <c r="B7264" t="s">
        <v>5767</v>
      </c>
      <c r="E7264" s="1524" t="s">
        <v>6854</v>
      </c>
      <c r="F7264" s="1507"/>
      <c r="G7264" s="846" t="s">
        <v>3775</v>
      </c>
      <c r="H7264" s="605">
        <v>2.81E-2</v>
      </c>
      <c r="K7264" t="s">
        <v>4234</v>
      </c>
      <c r="L7264" t="s">
        <v>690</v>
      </c>
      <c r="P7264" t="s">
        <v>6856</v>
      </c>
      <c r="T7264">
        <v>46142</v>
      </c>
      <c r="V7264">
        <v>71</v>
      </c>
    </row>
    <row r="7265" spans="1:22" customFormat="1" ht="15" x14ac:dyDescent="0.25">
      <c r="A7265" t="s">
        <v>220</v>
      </c>
      <c r="B7265" t="s">
        <v>5767</v>
      </c>
      <c r="E7265" s="1524" t="s">
        <v>243</v>
      </c>
      <c r="F7265" s="1524"/>
      <c r="G7265" s="846" t="s">
        <v>3775</v>
      </c>
      <c r="H7265" s="577">
        <v>4.7047999999999996</v>
      </c>
      <c r="K7265" t="s">
        <v>4234</v>
      </c>
      <c r="L7265" t="s">
        <v>694</v>
      </c>
      <c r="P7265" t="s">
        <v>4241</v>
      </c>
      <c r="V7265">
        <v>47</v>
      </c>
    </row>
    <row r="7266" spans="1:22" customFormat="1" ht="15" x14ac:dyDescent="0.25">
      <c r="A7266" t="s">
        <v>220</v>
      </c>
      <c r="B7266" t="s">
        <v>5767</v>
      </c>
      <c r="E7266" s="1524" t="s">
        <v>5289</v>
      </c>
      <c r="F7266" s="1524"/>
      <c r="G7266" s="846" t="s">
        <v>3775</v>
      </c>
      <c r="H7266" s="577">
        <v>3.2582</v>
      </c>
      <c r="K7266" t="s">
        <v>4234</v>
      </c>
      <c r="L7266" t="s">
        <v>694</v>
      </c>
      <c r="P7266" t="s">
        <v>4242</v>
      </c>
      <c r="V7266">
        <v>87</v>
      </c>
    </row>
    <row r="7267" spans="1:22" customFormat="1" ht="15" x14ac:dyDescent="0.25">
      <c r="A7267" t="s">
        <v>220</v>
      </c>
      <c r="B7267" t="s">
        <v>5767</v>
      </c>
      <c r="E7267" s="1533" t="s">
        <v>967</v>
      </c>
      <c r="F7267" s="1524"/>
      <c r="G7267" s="1524"/>
      <c r="H7267" s="1524"/>
      <c r="K7267" t="s">
        <v>1019</v>
      </c>
      <c r="V7267">
        <v>48</v>
      </c>
    </row>
    <row r="7268" spans="1:22" customFormat="1" ht="15" x14ac:dyDescent="0.25">
      <c r="A7268" t="s">
        <v>220</v>
      </c>
      <c r="B7268" t="s">
        <v>5767</v>
      </c>
      <c r="E7268" s="1524" t="s">
        <v>844</v>
      </c>
      <c r="F7268" s="1524"/>
      <c r="G7268" s="846" t="s">
        <v>845</v>
      </c>
      <c r="H7268" s="967">
        <v>4.1000000000000003E-3</v>
      </c>
      <c r="K7268" t="s">
        <v>4234</v>
      </c>
      <c r="L7268" t="s">
        <v>968</v>
      </c>
      <c r="P7268" t="s">
        <v>4243</v>
      </c>
      <c r="V7268">
        <v>55</v>
      </c>
    </row>
    <row r="7269" spans="1:22" customFormat="1" ht="15" x14ac:dyDescent="0.25">
      <c r="A7269" t="s">
        <v>220</v>
      </c>
      <c r="B7269" t="s">
        <v>5767</v>
      </c>
      <c r="E7269" s="1524" t="s">
        <v>846</v>
      </c>
      <c r="F7269" s="1524"/>
      <c r="G7269" s="846" t="s">
        <v>845</v>
      </c>
      <c r="H7269" s="967">
        <v>4.0000000000000002E-4</v>
      </c>
      <c r="K7269" t="s">
        <v>4234</v>
      </c>
      <c r="L7269" t="s">
        <v>968</v>
      </c>
      <c r="P7269" t="s">
        <v>4243</v>
      </c>
      <c r="V7269">
        <v>65</v>
      </c>
    </row>
    <row r="7270" spans="1:22" customFormat="1" ht="15" x14ac:dyDescent="0.25">
      <c r="A7270" t="s">
        <v>220</v>
      </c>
      <c r="B7270" t="s">
        <v>5767</v>
      </c>
      <c r="E7270" s="1524" t="s">
        <v>847</v>
      </c>
      <c r="F7270" s="1524"/>
      <c r="G7270" s="846" t="s">
        <v>845</v>
      </c>
      <c r="H7270" s="967">
        <v>1.5E-3</v>
      </c>
      <c r="K7270" t="s">
        <v>4234</v>
      </c>
      <c r="L7270" t="s">
        <v>968</v>
      </c>
      <c r="P7270" t="s">
        <v>4244</v>
      </c>
      <c r="V7270">
        <v>57</v>
      </c>
    </row>
    <row r="7271" spans="1:22" customFormat="1" ht="15" x14ac:dyDescent="0.25">
      <c r="A7271" t="s">
        <v>220</v>
      </c>
      <c r="B7271" t="s">
        <v>5767</v>
      </c>
      <c r="E7271" s="1524" t="s">
        <v>848</v>
      </c>
      <c r="F7271" s="1524"/>
      <c r="G7271" s="846" t="s">
        <v>777</v>
      </c>
      <c r="H7271" s="966">
        <v>0.25</v>
      </c>
      <c r="K7271" t="s">
        <v>4234</v>
      </c>
      <c r="L7271" t="s">
        <v>968</v>
      </c>
      <c r="P7271" t="s">
        <v>4245</v>
      </c>
      <c r="V7271">
        <v>63</v>
      </c>
    </row>
    <row r="7272" spans="1:22" customFormat="1" x14ac:dyDescent="0.25">
      <c r="A7272" t="s">
        <v>220</v>
      </c>
      <c r="B7272" t="s">
        <v>5767</v>
      </c>
      <c r="E7272" s="1538" t="s">
        <v>194</v>
      </c>
      <c r="F7272" s="1571"/>
      <c r="G7272" s="1571"/>
      <c r="H7272" s="1571"/>
      <c r="K7272" t="s">
        <v>1023</v>
      </c>
      <c r="V7272">
        <v>47</v>
      </c>
    </row>
    <row r="7273" spans="1:22" customFormat="1" ht="15" x14ac:dyDescent="0.25">
      <c r="A7273" t="s">
        <v>220</v>
      </c>
      <c r="B7273" t="s">
        <v>5767</v>
      </c>
      <c r="E7273" s="1496" t="s">
        <v>4541</v>
      </c>
      <c r="F7273" s="1496"/>
      <c r="G7273" s="1496"/>
      <c r="H7273" s="1496"/>
      <c r="K7273" t="s">
        <v>1023</v>
      </c>
      <c r="V7273">
        <v>720</v>
      </c>
    </row>
    <row r="7274" spans="1:22" customFormat="1" ht="15" x14ac:dyDescent="0.25">
      <c r="A7274" t="s">
        <v>220</v>
      </c>
      <c r="B7274" t="s">
        <v>5767</v>
      </c>
      <c r="E7274" s="1533" t="s">
        <v>950</v>
      </c>
      <c r="F7274" s="1496"/>
      <c r="G7274" s="1496"/>
      <c r="H7274" s="1496"/>
      <c r="K7274" t="s">
        <v>1025</v>
      </c>
      <c r="V7274">
        <v>11</v>
      </c>
    </row>
    <row r="7275" spans="1:22" customFormat="1" ht="15" x14ac:dyDescent="0.25">
      <c r="A7275" t="s">
        <v>220</v>
      </c>
      <c r="B7275" t="s">
        <v>5767</v>
      </c>
      <c r="E7275" s="1496" t="s">
        <v>951</v>
      </c>
      <c r="F7275" s="1496"/>
      <c r="G7275" s="1496"/>
      <c r="H7275" s="1496"/>
      <c r="K7275" t="s">
        <v>1023</v>
      </c>
      <c r="V7275">
        <v>280</v>
      </c>
    </row>
    <row r="7276" spans="1:22" customFormat="1" ht="15" x14ac:dyDescent="0.25">
      <c r="A7276" t="s">
        <v>220</v>
      </c>
      <c r="B7276" t="s">
        <v>5767</v>
      </c>
      <c r="E7276" s="1496" t="s">
        <v>952</v>
      </c>
      <c r="F7276" s="1496"/>
      <c r="G7276" s="1496"/>
      <c r="H7276" s="1496"/>
      <c r="K7276" t="s">
        <v>1023</v>
      </c>
      <c r="V7276">
        <v>411</v>
      </c>
    </row>
    <row r="7277" spans="1:22" customFormat="1" ht="15" x14ac:dyDescent="0.25">
      <c r="A7277" t="s">
        <v>220</v>
      </c>
      <c r="B7277" t="s">
        <v>5767</v>
      </c>
      <c r="E7277" s="1496" t="s">
        <v>953</v>
      </c>
      <c r="F7277" s="1496"/>
      <c r="G7277" s="1496"/>
      <c r="H7277" s="1496"/>
      <c r="K7277" t="s">
        <v>1023</v>
      </c>
      <c r="V7277">
        <v>386</v>
      </c>
    </row>
    <row r="7278" spans="1:22" customFormat="1" ht="15" x14ac:dyDescent="0.25">
      <c r="A7278" t="s">
        <v>220</v>
      </c>
      <c r="B7278" t="s">
        <v>5767</v>
      </c>
      <c r="E7278" s="1496" t="s">
        <v>954</v>
      </c>
      <c r="F7278" s="1496"/>
      <c r="G7278" s="1496"/>
      <c r="H7278" s="1496"/>
      <c r="K7278" t="s">
        <v>1023</v>
      </c>
      <c r="V7278">
        <v>246</v>
      </c>
    </row>
    <row r="7279" spans="1:22" customFormat="1" ht="15" x14ac:dyDescent="0.25">
      <c r="A7279" t="s">
        <v>220</v>
      </c>
      <c r="B7279" t="s">
        <v>5767</v>
      </c>
      <c r="E7279" s="1533" t="s">
        <v>956</v>
      </c>
      <c r="F7279" s="1496"/>
      <c r="G7279" s="1496"/>
      <c r="H7279" s="1496"/>
      <c r="K7279" t="s">
        <v>1026</v>
      </c>
      <c r="V7279">
        <v>46</v>
      </c>
    </row>
    <row r="7280" spans="1:22" customFormat="1" ht="15" x14ac:dyDescent="0.25">
      <c r="A7280" t="s">
        <v>220</v>
      </c>
      <c r="B7280" t="s">
        <v>5767</v>
      </c>
      <c r="E7280" s="1524" t="s">
        <v>3773</v>
      </c>
      <c r="F7280" s="1524"/>
      <c r="G7280" s="846" t="s">
        <v>777</v>
      </c>
      <c r="H7280" s="576">
        <v>10.09</v>
      </c>
      <c r="K7280" t="s">
        <v>1023</v>
      </c>
      <c r="L7280" t="s">
        <v>690</v>
      </c>
      <c r="P7280" t="s">
        <v>1027</v>
      </c>
      <c r="V7280">
        <v>14</v>
      </c>
    </row>
    <row r="7281" spans="1:22" customFormat="1" ht="15" x14ac:dyDescent="0.25">
      <c r="A7281" t="s">
        <v>220</v>
      </c>
      <c r="B7281" t="s">
        <v>5767</v>
      </c>
      <c r="E7281" s="1524" t="s">
        <v>3688</v>
      </c>
      <c r="F7281" s="1524"/>
      <c r="G7281" s="846" t="s">
        <v>845</v>
      </c>
      <c r="H7281" s="577">
        <v>1.8E-3</v>
      </c>
      <c r="K7281" t="s">
        <v>1023</v>
      </c>
      <c r="L7281" t="s">
        <v>690</v>
      </c>
      <c r="P7281" t="s">
        <v>1029</v>
      </c>
      <c r="V7281">
        <v>28</v>
      </c>
    </row>
    <row r="7282" spans="1:22" customFormat="1" ht="15" x14ac:dyDescent="0.25">
      <c r="A7282" t="s">
        <v>220</v>
      </c>
      <c r="B7282" t="s">
        <v>5767</v>
      </c>
      <c r="E7282" s="1524" t="s">
        <v>910</v>
      </c>
      <c r="F7282" s="1524"/>
      <c r="G7282" s="846" t="s">
        <v>845</v>
      </c>
      <c r="H7282" s="967">
        <v>2.0999999999999999E-3</v>
      </c>
      <c r="K7282" t="s">
        <v>1023</v>
      </c>
      <c r="L7282" t="s">
        <v>692</v>
      </c>
      <c r="P7282" t="s">
        <v>1030</v>
      </c>
      <c r="V7282">
        <v>24</v>
      </c>
    </row>
    <row r="7283" spans="1:22" customFormat="1" ht="15" x14ac:dyDescent="0.25">
      <c r="A7283" t="s">
        <v>220</v>
      </c>
      <c r="B7283" t="s">
        <v>5767</v>
      </c>
      <c r="E7283" s="1524" t="s">
        <v>6849</v>
      </c>
      <c r="F7283" s="1510"/>
      <c r="G7283" s="846" t="s">
        <v>845</v>
      </c>
      <c r="H7283" s="967">
        <v>2.8E-3</v>
      </c>
      <c r="K7283" t="s">
        <v>1023</v>
      </c>
      <c r="L7283" t="s">
        <v>692</v>
      </c>
      <c r="P7283" t="s">
        <v>1031</v>
      </c>
      <c r="T7283">
        <v>46142</v>
      </c>
      <c r="V7283">
        <v>139</v>
      </c>
    </row>
    <row r="7284" spans="1:22" customFormat="1" ht="15" x14ac:dyDescent="0.25">
      <c r="A7284" t="s">
        <v>220</v>
      </c>
      <c r="B7284" t="s">
        <v>5767</v>
      </c>
      <c r="E7284" s="1524" t="s">
        <v>6850</v>
      </c>
      <c r="F7284" s="1510"/>
      <c r="G7284" s="846" t="s">
        <v>845</v>
      </c>
      <c r="H7284" s="967">
        <v>2.2000000000000001E-3</v>
      </c>
      <c r="K7284" t="s">
        <v>1023</v>
      </c>
      <c r="L7284" t="s">
        <v>692</v>
      </c>
      <c r="P7284" t="s">
        <v>1032</v>
      </c>
      <c r="T7284">
        <v>46142</v>
      </c>
      <c r="V7284">
        <v>96</v>
      </c>
    </row>
    <row r="7285" spans="1:22" customFormat="1" ht="15" x14ac:dyDescent="0.25">
      <c r="A7285" t="s">
        <v>220</v>
      </c>
      <c r="B7285" t="s">
        <v>5767</v>
      </c>
      <c r="E7285" s="1524" t="s">
        <v>6853</v>
      </c>
      <c r="F7285" s="1510"/>
      <c r="G7285" s="846" t="s">
        <v>845</v>
      </c>
      <c r="H7285" s="967">
        <v>2.0000000000000001E-4</v>
      </c>
      <c r="K7285" t="s">
        <v>1023</v>
      </c>
      <c r="L7285" t="s">
        <v>692</v>
      </c>
      <c r="P7285" t="s">
        <v>4520</v>
      </c>
      <c r="T7285">
        <v>46142</v>
      </c>
      <c r="V7285">
        <v>146</v>
      </c>
    </row>
    <row r="7286" spans="1:22" customFormat="1" ht="15" x14ac:dyDescent="0.25">
      <c r="A7286" t="s">
        <v>220</v>
      </c>
      <c r="B7286" t="s">
        <v>5767</v>
      </c>
      <c r="E7286" s="1524" t="s">
        <v>243</v>
      </c>
      <c r="F7286" s="1524"/>
      <c r="G7286" s="846" t="s">
        <v>845</v>
      </c>
      <c r="H7286" s="577">
        <v>1.0200000000000001E-2</v>
      </c>
      <c r="K7286" t="s">
        <v>1023</v>
      </c>
      <c r="L7286" t="s">
        <v>694</v>
      </c>
      <c r="P7286" t="s">
        <v>1033</v>
      </c>
      <c r="V7286">
        <v>47</v>
      </c>
    </row>
    <row r="7287" spans="1:22" customFormat="1" ht="15" x14ac:dyDescent="0.25">
      <c r="A7287" t="s">
        <v>220</v>
      </c>
      <c r="B7287" t="s">
        <v>5767</v>
      </c>
      <c r="E7287" s="1524" t="s">
        <v>175</v>
      </c>
      <c r="F7287" s="1524"/>
      <c r="G7287" s="846" t="s">
        <v>845</v>
      </c>
      <c r="H7287" s="577">
        <v>6.8999999999999999E-3</v>
      </c>
      <c r="K7287" t="s">
        <v>1023</v>
      </c>
      <c r="L7287" t="s">
        <v>694</v>
      </c>
      <c r="P7287" t="s">
        <v>1034</v>
      </c>
      <c r="V7287">
        <v>74</v>
      </c>
    </row>
    <row r="7288" spans="1:22" customFormat="1" ht="15" x14ac:dyDescent="0.25">
      <c r="A7288" t="s">
        <v>220</v>
      </c>
      <c r="B7288" t="s">
        <v>5767</v>
      </c>
      <c r="E7288" s="1533" t="s">
        <v>967</v>
      </c>
      <c r="F7288" s="1524"/>
      <c r="G7288" s="1524"/>
      <c r="H7288" s="1524"/>
      <c r="K7288" t="s">
        <v>1035</v>
      </c>
      <c r="V7288">
        <v>48</v>
      </c>
    </row>
    <row r="7289" spans="1:22" customFormat="1" ht="15" x14ac:dyDescent="0.25">
      <c r="A7289" t="s">
        <v>220</v>
      </c>
      <c r="B7289" t="s">
        <v>5767</v>
      </c>
      <c r="E7289" s="1524" t="s">
        <v>844</v>
      </c>
      <c r="F7289" s="1524"/>
      <c r="G7289" s="846" t="s">
        <v>845</v>
      </c>
      <c r="H7289" s="967">
        <v>4.1000000000000003E-3</v>
      </c>
      <c r="K7289" t="s">
        <v>1023</v>
      </c>
      <c r="L7289" t="s">
        <v>968</v>
      </c>
      <c r="P7289" t="s">
        <v>1036</v>
      </c>
      <c r="V7289">
        <v>55</v>
      </c>
    </row>
    <row r="7290" spans="1:22" customFormat="1" ht="15" x14ac:dyDescent="0.25">
      <c r="A7290" t="s">
        <v>220</v>
      </c>
      <c r="B7290" t="s">
        <v>5767</v>
      </c>
      <c r="E7290" s="1524" t="s">
        <v>846</v>
      </c>
      <c r="F7290" s="1524"/>
      <c r="G7290" s="846" t="s">
        <v>845</v>
      </c>
      <c r="H7290" s="967">
        <v>4.0000000000000002E-4</v>
      </c>
      <c r="K7290" t="s">
        <v>1023</v>
      </c>
      <c r="L7290" t="s">
        <v>968</v>
      </c>
      <c r="P7290" t="s">
        <v>1036</v>
      </c>
      <c r="V7290">
        <v>65</v>
      </c>
    </row>
    <row r="7291" spans="1:22" customFormat="1" ht="15" x14ac:dyDescent="0.25">
      <c r="A7291" t="s">
        <v>220</v>
      </c>
      <c r="B7291" t="s">
        <v>5767</v>
      </c>
      <c r="E7291" s="1524" t="s">
        <v>847</v>
      </c>
      <c r="F7291" s="1524"/>
      <c r="G7291" s="846" t="s">
        <v>845</v>
      </c>
      <c r="H7291" s="967">
        <v>1.5E-3</v>
      </c>
      <c r="K7291" t="s">
        <v>1023</v>
      </c>
      <c r="L7291" t="s">
        <v>968</v>
      </c>
      <c r="P7291" t="s">
        <v>1037</v>
      </c>
      <c r="V7291">
        <v>57</v>
      </c>
    </row>
    <row r="7292" spans="1:22" customFormat="1" ht="15" x14ac:dyDescent="0.25">
      <c r="A7292" t="s">
        <v>220</v>
      </c>
      <c r="B7292" t="s">
        <v>5767</v>
      </c>
      <c r="E7292" s="1524" t="s">
        <v>848</v>
      </c>
      <c r="F7292" s="1524"/>
      <c r="G7292" s="846" t="s">
        <v>777</v>
      </c>
      <c r="H7292" s="966">
        <v>0.25</v>
      </c>
      <c r="K7292" t="s">
        <v>1023</v>
      </c>
      <c r="L7292" t="s">
        <v>968</v>
      </c>
      <c r="P7292" t="s">
        <v>1038</v>
      </c>
      <c r="V7292">
        <v>63</v>
      </c>
    </row>
    <row r="7293" spans="1:22" customFormat="1" x14ac:dyDescent="0.25">
      <c r="A7293" t="s">
        <v>220</v>
      </c>
      <c r="B7293" t="s">
        <v>5767</v>
      </c>
      <c r="E7293" s="1538" t="s">
        <v>198</v>
      </c>
      <c r="F7293" s="1571"/>
      <c r="G7293" s="1571"/>
      <c r="H7293" s="1571"/>
      <c r="K7293" t="s">
        <v>1039</v>
      </c>
      <c r="V7293">
        <v>40</v>
      </c>
    </row>
    <row r="7294" spans="1:22" customFormat="1" ht="15" x14ac:dyDescent="0.25">
      <c r="A7294" t="s">
        <v>220</v>
      </c>
      <c r="B7294" t="s">
        <v>5767</v>
      </c>
      <c r="E7294" s="1496" t="s">
        <v>4693</v>
      </c>
      <c r="F7294" s="1496"/>
      <c r="G7294" s="1496"/>
      <c r="H7294" s="1496"/>
      <c r="K7294" t="s">
        <v>1039</v>
      </c>
      <c r="V7294">
        <v>253</v>
      </c>
    </row>
    <row r="7295" spans="1:22" customFormat="1" ht="15" x14ac:dyDescent="0.25">
      <c r="A7295" t="s">
        <v>220</v>
      </c>
      <c r="B7295" t="s">
        <v>5767</v>
      </c>
      <c r="E7295" s="1533" t="s">
        <v>950</v>
      </c>
      <c r="F7295" s="1496"/>
      <c r="G7295" s="1496"/>
      <c r="H7295" s="1496"/>
      <c r="K7295" t="s">
        <v>1041</v>
      </c>
      <c r="V7295">
        <v>11</v>
      </c>
    </row>
    <row r="7296" spans="1:22" customFormat="1" ht="15" x14ac:dyDescent="0.25">
      <c r="A7296" t="s">
        <v>220</v>
      </c>
      <c r="B7296" t="s">
        <v>5767</v>
      </c>
      <c r="E7296" s="1496" t="s">
        <v>951</v>
      </c>
      <c r="F7296" s="1496"/>
      <c r="G7296" s="1496"/>
      <c r="H7296" s="1496"/>
      <c r="K7296" t="s">
        <v>1039</v>
      </c>
      <c r="V7296">
        <v>280</v>
      </c>
    </row>
    <row r="7297" spans="1:22" customFormat="1" ht="15" x14ac:dyDescent="0.25">
      <c r="A7297" t="s">
        <v>220</v>
      </c>
      <c r="B7297" t="s">
        <v>5767</v>
      </c>
      <c r="E7297" s="1496" t="s">
        <v>952</v>
      </c>
      <c r="F7297" s="1496"/>
      <c r="G7297" s="1496"/>
      <c r="H7297" s="1496"/>
      <c r="K7297" t="s">
        <v>1039</v>
      </c>
      <c r="V7297">
        <v>411</v>
      </c>
    </row>
    <row r="7298" spans="1:22" customFormat="1" ht="15" x14ac:dyDescent="0.25">
      <c r="A7298" t="s">
        <v>220</v>
      </c>
      <c r="B7298" t="s">
        <v>5767</v>
      </c>
      <c r="E7298" s="1496" t="s">
        <v>953</v>
      </c>
      <c r="F7298" s="1496"/>
      <c r="G7298" s="1496"/>
      <c r="H7298" s="1496"/>
      <c r="K7298" t="s">
        <v>1039</v>
      </c>
      <c r="V7298">
        <v>386</v>
      </c>
    </row>
    <row r="7299" spans="1:22" customFormat="1" ht="15" x14ac:dyDescent="0.25">
      <c r="A7299" t="s">
        <v>220</v>
      </c>
      <c r="B7299" t="s">
        <v>5767</v>
      </c>
      <c r="E7299" s="1496" t="s">
        <v>954</v>
      </c>
      <c r="F7299" s="1496"/>
      <c r="G7299" s="1496"/>
      <c r="H7299" s="1496"/>
      <c r="K7299" t="s">
        <v>1039</v>
      </c>
      <c r="V7299">
        <v>246</v>
      </c>
    </row>
    <row r="7300" spans="1:22" customFormat="1" ht="15" x14ac:dyDescent="0.25">
      <c r="A7300" t="s">
        <v>220</v>
      </c>
      <c r="B7300" t="s">
        <v>5767</v>
      </c>
      <c r="E7300" s="1533" t="s">
        <v>956</v>
      </c>
      <c r="F7300" s="1496"/>
      <c r="G7300" s="1496"/>
      <c r="H7300" s="1496"/>
      <c r="K7300" t="s">
        <v>1042</v>
      </c>
      <c r="V7300">
        <v>46</v>
      </c>
    </row>
    <row r="7301" spans="1:22" customFormat="1" ht="15" x14ac:dyDescent="0.25">
      <c r="A7301" t="s">
        <v>220</v>
      </c>
      <c r="B7301" t="s">
        <v>5767</v>
      </c>
      <c r="E7301" s="1524" t="s">
        <v>3773</v>
      </c>
      <c r="F7301" s="1524"/>
      <c r="G7301" s="846" t="s">
        <v>777</v>
      </c>
      <c r="H7301" s="576">
        <v>9.19</v>
      </c>
      <c r="K7301" t="s">
        <v>1039</v>
      </c>
      <c r="L7301" t="s">
        <v>690</v>
      </c>
      <c r="P7301" t="s">
        <v>1043</v>
      </c>
      <c r="V7301">
        <v>14</v>
      </c>
    </row>
    <row r="7302" spans="1:22" customFormat="1" ht="15" x14ac:dyDescent="0.25">
      <c r="A7302" t="s">
        <v>220</v>
      </c>
      <c r="B7302" t="s">
        <v>5767</v>
      </c>
      <c r="E7302" s="1524" t="s">
        <v>3688</v>
      </c>
      <c r="F7302" s="1524"/>
      <c r="G7302" s="846" t="s">
        <v>3775</v>
      </c>
      <c r="H7302" s="577">
        <v>0.82299999999999995</v>
      </c>
      <c r="K7302" t="s">
        <v>1039</v>
      </c>
      <c r="L7302" t="s">
        <v>690</v>
      </c>
      <c r="P7302" t="s">
        <v>1044</v>
      </c>
      <c r="V7302">
        <v>28</v>
      </c>
    </row>
    <row r="7303" spans="1:22" customFormat="1" ht="15" x14ac:dyDescent="0.25">
      <c r="A7303" t="s">
        <v>220</v>
      </c>
      <c r="B7303" t="s">
        <v>5767</v>
      </c>
      <c r="E7303" s="1524" t="s">
        <v>910</v>
      </c>
      <c r="F7303" s="1524"/>
      <c r="G7303" s="846" t="s">
        <v>3775</v>
      </c>
      <c r="H7303" s="967">
        <v>0.66100000000000003</v>
      </c>
      <c r="K7303" t="s">
        <v>1039</v>
      </c>
      <c r="L7303" t="s">
        <v>692</v>
      </c>
      <c r="P7303" t="s">
        <v>1045</v>
      </c>
      <c r="V7303">
        <v>24</v>
      </c>
    </row>
    <row r="7304" spans="1:22" customFormat="1" ht="15" x14ac:dyDescent="0.25">
      <c r="A7304" t="s">
        <v>220</v>
      </c>
      <c r="B7304" t="s">
        <v>5767</v>
      </c>
      <c r="E7304" s="1524" t="s">
        <v>6849</v>
      </c>
      <c r="F7304" s="1510"/>
      <c r="G7304" s="846" t="s">
        <v>845</v>
      </c>
      <c r="H7304" s="967">
        <v>2.8E-3</v>
      </c>
      <c r="K7304" t="s">
        <v>1039</v>
      </c>
      <c r="L7304" t="s">
        <v>692</v>
      </c>
      <c r="P7304" t="s">
        <v>4522</v>
      </c>
      <c r="T7304">
        <v>46142</v>
      </c>
      <c r="V7304">
        <v>139</v>
      </c>
    </row>
    <row r="7305" spans="1:22" customFormat="1" ht="15" x14ac:dyDescent="0.25">
      <c r="A7305" t="s">
        <v>220</v>
      </c>
      <c r="B7305" t="s">
        <v>5767</v>
      </c>
      <c r="E7305" s="1524" t="s">
        <v>6850</v>
      </c>
      <c r="F7305" s="1510"/>
      <c r="G7305" s="846" t="s">
        <v>3775</v>
      </c>
      <c r="H7305" s="967">
        <v>0.80220000000000002</v>
      </c>
      <c r="K7305" t="s">
        <v>1039</v>
      </c>
      <c r="L7305" t="s">
        <v>692</v>
      </c>
      <c r="P7305" t="s">
        <v>1046</v>
      </c>
      <c r="T7305">
        <v>46142</v>
      </c>
      <c r="V7305">
        <v>96</v>
      </c>
    </row>
    <row r="7306" spans="1:22" customFormat="1" ht="15" x14ac:dyDescent="0.25">
      <c r="A7306" t="s">
        <v>220</v>
      </c>
      <c r="B7306" t="s">
        <v>5767</v>
      </c>
      <c r="E7306" s="1524" t="s">
        <v>6851</v>
      </c>
      <c r="F7306" s="1510"/>
      <c r="G7306" s="846" t="s">
        <v>3775</v>
      </c>
      <c r="H7306" s="967">
        <v>6.7799999999999999E-2</v>
      </c>
      <c r="K7306" t="s">
        <v>1039</v>
      </c>
      <c r="L7306" t="s">
        <v>692</v>
      </c>
      <c r="P7306" t="s">
        <v>4523</v>
      </c>
      <c r="T7306">
        <v>46142</v>
      </c>
      <c r="V7306">
        <v>139</v>
      </c>
    </row>
    <row r="7307" spans="1:22" customFormat="1" ht="15" x14ac:dyDescent="0.25">
      <c r="A7307" t="s">
        <v>220</v>
      </c>
      <c r="B7307" t="s">
        <v>5767</v>
      </c>
      <c r="E7307" s="1524" t="s">
        <v>243</v>
      </c>
      <c r="F7307" s="1524"/>
      <c r="G7307" s="846" t="s">
        <v>3775</v>
      </c>
      <c r="H7307" s="577">
        <v>3.2574000000000001</v>
      </c>
      <c r="K7307" t="s">
        <v>1039</v>
      </c>
      <c r="L7307" t="s">
        <v>694</v>
      </c>
      <c r="P7307" t="s">
        <v>1047</v>
      </c>
      <c r="V7307">
        <v>47</v>
      </c>
    </row>
    <row r="7308" spans="1:22" customFormat="1" ht="15" x14ac:dyDescent="0.25">
      <c r="A7308" t="s">
        <v>220</v>
      </c>
      <c r="B7308" t="s">
        <v>5767</v>
      </c>
      <c r="E7308" s="1524" t="s">
        <v>175</v>
      </c>
      <c r="F7308" s="1524"/>
      <c r="G7308" s="846" t="s">
        <v>3775</v>
      </c>
      <c r="H7308" s="577">
        <v>2.2273999999999998</v>
      </c>
      <c r="K7308" t="s">
        <v>1039</v>
      </c>
      <c r="L7308" t="s">
        <v>694</v>
      </c>
      <c r="P7308" t="s">
        <v>1048</v>
      </c>
      <c r="V7308">
        <v>74</v>
      </c>
    </row>
    <row r="7309" spans="1:22" customFormat="1" ht="15" x14ac:dyDescent="0.25">
      <c r="A7309" t="s">
        <v>220</v>
      </c>
      <c r="B7309" t="s">
        <v>5767</v>
      </c>
      <c r="E7309" s="1533" t="s">
        <v>967</v>
      </c>
      <c r="F7309" s="1524"/>
      <c r="G7309" s="1524"/>
      <c r="H7309" s="1524"/>
      <c r="K7309" t="s">
        <v>1049</v>
      </c>
      <c r="V7309">
        <v>48</v>
      </c>
    </row>
    <row r="7310" spans="1:22" customFormat="1" ht="15" x14ac:dyDescent="0.25">
      <c r="A7310" t="s">
        <v>220</v>
      </c>
      <c r="B7310" t="s">
        <v>5767</v>
      </c>
      <c r="E7310" s="1524" t="s">
        <v>844</v>
      </c>
      <c r="F7310" s="1524"/>
      <c r="G7310" s="846" t="s">
        <v>845</v>
      </c>
      <c r="H7310" s="967">
        <v>4.1000000000000003E-3</v>
      </c>
      <c r="K7310" t="s">
        <v>1039</v>
      </c>
      <c r="L7310" t="s">
        <v>968</v>
      </c>
      <c r="P7310" t="s">
        <v>1050</v>
      </c>
      <c r="V7310">
        <v>55</v>
      </c>
    </row>
    <row r="7311" spans="1:22" customFormat="1" ht="15" x14ac:dyDescent="0.25">
      <c r="A7311" t="s">
        <v>220</v>
      </c>
      <c r="B7311" t="s">
        <v>5767</v>
      </c>
      <c r="E7311" s="1524" t="s">
        <v>846</v>
      </c>
      <c r="F7311" s="1524"/>
      <c r="G7311" s="846" t="s">
        <v>845</v>
      </c>
      <c r="H7311" s="967">
        <v>4.0000000000000002E-4</v>
      </c>
      <c r="K7311" t="s">
        <v>1039</v>
      </c>
      <c r="L7311" t="s">
        <v>968</v>
      </c>
      <c r="P7311" t="s">
        <v>1050</v>
      </c>
      <c r="V7311">
        <v>65</v>
      </c>
    </row>
    <row r="7312" spans="1:22" customFormat="1" ht="15" x14ac:dyDescent="0.25">
      <c r="A7312" t="s">
        <v>220</v>
      </c>
      <c r="B7312" t="s">
        <v>5767</v>
      </c>
      <c r="E7312" s="1524" t="s">
        <v>847</v>
      </c>
      <c r="F7312" s="1524"/>
      <c r="G7312" s="846" t="s">
        <v>845</v>
      </c>
      <c r="H7312" s="967">
        <v>1.5E-3</v>
      </c>
      <c r="K7312" t="s">
        <v>1039</v>
      </c>
      <c r="L7312" t="s">
        <v>968</v>
      </c>
      <c r="P7312" t="s">
        <v>1051</v>
      </c>
      <c r="V7312">
        <v>57</v>
      </c>
    </row>
    <row r="7313" spans="1:22" customFormat="1" ht="15" x14ac:dyDescent="0.25">
      <c r="A7313" t="s">
        <v>220</v>
      </c>
      <c r="B7313" t="s">
        <v>5767</v>
      </c>
      <c r="E7313" s="1524" t="s">
        <v>848</v>
      </c>
      <c r="F7313" s="1524"/>
      <c r="G7313" s="846" t="s">
        <v>777</v>
      </c>
      <c r="H7313" s="966">
        <v>0.25</v>
      </c>
      <c r="K7313" t="s">
        <v>1039</v>
      </c>
      <c r="L7313" t="s">
        <v>968</v>
      </c>
      <c r="P7313" t="s">
        <v>1052</v>
      </c>
      <c r="V7313">
        <v>63</v>
      </c>
    </row>
    <row r="7314" spans="1:22" customFormat="1" x14ac:dyDescent="0.25">
      <c r="A7314" t="s">
        <v>220</v>
      </c>
      <c r="B7314" t="s">
        <v>5767</v>
      </c>
      <c r="E7314" s="1538" t="s">
        <v>202</v>
      </c>
      <c r="F7314" s="1571"/>
      <c r="G7314" s="1571"/>
      <c r="H7314" s="1571"/>
      <c r="K7314" t="s">
        <v>1053</v>
      </c>
      <c r="V7314">
        <v>38</v>
      </c>
    </row>
    <row r="7315" spans="1:22" customFormat="1" ht="15" x14ac:dyDescent="0.25">
      <c r="A7315" t="s">
        <v>220</v>
      </c>
      <c r="B7315" t="s">
        <v>5767</v>
      </c>
      <c r="E7315" s="1496" t="s">
        <v>4542</v>
      </c>
      <c r="F7315" s="1496"/>
      <c r="G7315" s="1496"/>
      <c r="H7315" s="1496"/>
      <c r="K7315" t="s">
        <v>1053</v>
      </c>
      <c r="V7315">
        <v>542</v>
      </c>
    </row>
    <row r="7316" spans="1:22" customFormat="1" ht="15" x14ac:dyDescent="0.25">
      <c r="A7316" t="s">
        <v>220</v>
      </c>
      <c r="B7316" t="s">
        <v>5767</v>
      </c>
      <c r="E7316" s="1533" t="s">
        <v>950</v>
      </c>
      <c r="F7316" s="1496"/>
      <c r="G7316" s="1496"/>
      <c r="H7316" s="1496"/>
      <c r="K7316" t="s">
        <v>1055</v>
      </c>
      <c r="V7316">
        <v>11</v>
      </c>
    </row>
    <row r="7317" spans="1:22" customFormat="1" ht="15" x14ac:dyDescent="0.25">
      <c r="A7317" t="s">
        <v>220</v>
      </c>
      <c r="B7317" t="s">
        <v>5767</v>
      </c>
      <c r="E7317" s="1496" t="s">
        <v>951</v>
      </c>
      <c r="F7317" s="1496"/>
      <c r="G7317" s="1496"/>
      <c r="H7317" s="1496"/>
      <c r="K7317" t="s">
        <v>1053</v>
      </c>
      <c r="V7317">
        <v>280</v>
      </c>
    </row>
    <row r="7318" spans="1:22" customFormat="1" ht="15" x14ac:dyDescent="0.25">
      <c r="A7318" t="s">
        <v>220</v>
      </c>
      <c r="B7318" t="s">
        <v>5767</v>
      </c>
      <c r="E7318" s="1496" t="s">
        <v>952</v>
      </c>
      <c r="F7318" s="1496"/>
      <c r="G7318" s="1496"/>
      <c r="H7318" s="1496"/>
      <c r="K7318" t="s">
        <v>1053</v>
      </c>
      <c r="V7318">
        <v>411</v>
      </c>
    </row>
    <row r="7319" spans="1:22" customFormat="1" ht="15" x14ac:dyDescent="0.25">
      <c r="A7319" t="s">
        <v>220</v>
      </c>
      <c r="B7319" t="s">
        <v>5767</v>
      </c>
      <c r="E7319" s="1496" t="s">
        <v>953</v>
      </c>
      <c r="F7319" s="1496"/>
      <c r="G7319" s="1496"/>
      <c r="H7319" s="1496"/>
      <c r="K7319" t="s">
        <v>1053</v>
      </c>
      <c r="V7319">
        <v>386</v>
      </c>
    </row>
    <row r="7320" spans="1:22" customFormat="1" ht="15" x14ac:dyDescent="0.25">
      <c r="A7320" t="s">
        <v>220</v>
      </c>
      <c r="B7320" t="s">
        <v>5767</v>
      </c>
      <c r="E7320" s="1496" t="s">
        <v>954</v>
      </c>
      <c r="F7320" s="1496"/>
      <c r="G7320" s="1496"/>
      <c r="H7320" s="1496"/>
      <c r="K7320" t="s">
        <v>1053</v>
      </c>
      <c r="V7320">
        <v>246</v>
      </c>
    </row>
    <row r="7321" spans="1:22" customFormat="1" ht="15" x14ac:dyDescent="0.25">
      <c r="A7321" t="s">
        <v>220</v>
      </c>
      <c r="B7321" t="s">
        <v>5767</v>
      </c>
      <c r="E7321" s="1533" t="s">
        <v>956</v>
      </c>
      <c r="F7321" s="1496"/>
      <c r="G7321" s="1496"/>
      <c r="H7321" s="1496"/>
      <c r="K7321" t="s">
        <v>1056</v>
      </c>
      <c r="V7321">
        <v>46</v>
      </c>
    </row>
    <row r="7322" spans="1:22" customFormat="1" ht="15" x14ac:dyDescent="0.25">
      <c r="A7322" t="s">
        <v>220</v>
      </c>
      <c r="B7322" t="s">
        <v>5767</v>
      </c>
      <c r="E7322" s="1524" t="s">
        <v>3773</v>
      </c>
      <c r="F7322" s="1524"/>
      <c r="G7322" s="846" t="s">
        <v>777</v>
      </c>
      <c r="H7322" s="576">
        <v>1.4</v>
      </c>
      <c r="K7322" t="s">
        <v>1053</v>
      </c>
      <c r="L7322" t="s">
        <v>690</v>
      </c>
      <c r="P7322" t="s">
        <v>1057</v>
      </c>
      <c r="V7322">
        <v>14</v>
      </c>
    </row>
    <row r="7323" spans="1:22" customFormat="1" ht="15" x14ac:dyDescent="0.25">
      <c r="A7323" t="s">
        <v>220</v>
      </c>
      <c r="B7323" t="s">
        <v>5767</v>
      </c>
      <c r="E7323" s="1524" t="s">
        <v>3688</v>
      </c>
      <c r="F7323" s="1524"/>
      <c r="G7323" s="846" t="s">
        <v>3775</v>
      </c>
      <c r="H7323" s="577">
        <v>1.1738</v>
      </c>
      <c r="K7323" t="s">
        <v>1053</v>
      </c>
      <c r="L7323" t="s">
        <v>690</v>
      </c>
      <c r="P7323" t="s">
        <v>1059</v>
      </c>
      <c r="V7323">
        <v>28</v>
      </c>
    </row>
    <row r="7324" spans="1:22" customFormat="1" ht="15" x14ac:dyDescent="0.25">
      <c r="A7324" t="s">
        <v>220</v>
      </c>
      <c r="B7324" t="s">
        <v>5767</v>
      </c>
      <c r="E7324" s="1524" t="s">
        <v>910</v>
      </c>
      <c r="F7324" s="1524"/>
      <c r="G7324" s="846" t="s">
        <v>3775</v>
      </c>
      <c r="H7324" s="967">
        <v>0.64549999999999996</v>
      </c>
      <c r="K7324" t="s">
        <v>1053</v>
      </c>
      <c r="L7324" t="s">
        <v>692</v>
      </c>
      <c r="P7324" t="s">
        <v>1060</v>
      </c>
      <c r="V7324">
        <v>24</v>
      </c>
    </row>
    <row r="7325" spans="1:22" customFormat="1" ht="15" x14ac:dyDescent="0.25">
      <c r="A7325" t="s">
        <v>220</v>
      </c>
      <c r="B7325" t="s">
        <v>5767</v>
      </c>
      <c r="E7325" s="1524" t="s">
        <v>6849</v>
      </c>
      <c r="F7325" s="1510"/>
      <c r="G7325" s="846" t="s">
        <v>845</v>
      </c>
      <c r="H7325" s="967">
        <v>2.8E-3</v>
      </c>
      <c r="K7325" t="s">
        <v>1053</v>
      </c>
      <c r="L7325" t="s">
        <v>692</v>
      </c>
      <c r="P7325" t="s">
        <v>1061</v>
      </c>
      <c r="T7325">
        <v>46142</v>
      </c>
      <c r="V7325">
        <v>139</v>
      </c>
    </row>
    <row r="7326" spans="1:22" customFormat="1" ht="15" x14ac:dyDescent="0.25">
      <c r="A7326" t="s">
        <v>220</v>
      </c>
      <c r="B7326" t="s">
        <v>5767</v>
      </c>
      <c r="E7326" s="1524" t="s">
        <v>6850</v>
      </c>
      <c r="F7326" s="1510"/>
      <c r="G7326" s="846" t="s">
        <v>3775</v>
      </c>
      <c r="H7326" s="967">
        <v>0.74819999999999998</v>
      </c>
      <c r="K7326" t="s">
        <v>1053</v>
      </c>
      <c r="L7326" t="s">
        <v>692</v>
      </c>
      <c r="P7326" t="s">
        <v>1062</v>
      </c>
      <c r="T7326">
        <v>46142</v>
      </c>
      <c r="V7326">
        <v>96</v>
      </c>
    </row>
    <row r="7327" spans="1:22" customFormat="1" ht="15" x14ac:dyDescent="0.25">
      <c r="A7327" t="s">
        <v>220</v>
      </c>
      <c r="B7327" t="s">
        <v>5767</v>
      </c>
      <c r="E7327" s="1524" t="s">
        <v>6851</v>
      </c>
      <c r="F7327" s="1510"/>
      <c r="G7327" s="846" t="s">
        <v>3775</v>
      </c>
      <c r="H7327" s="967">
        <v>6.4199999999999993E-2</v>
      </c>
      <c r="K7327" t="s">
        <v>1053</v>
      </c>
      <c r="L7327" t="s">
        <v>692</v>
      </c>
      <c r="P7327" t="s">
        <v>3997</v>
      </c>
      <c r="T7327">
        <v>46142</v>
      </c>
      <c r="V7327">
        <v>139</v>
      </c>
    </row>
    <row r="7328" spans="1:22" customFormat="1" ht="15" x14ac:dyDescent="0.25">
      <c r="A7328" t="s">
        <v>220</v>
      </c>
      <c r="B7328" t="s">
        <v>5767</v>
      </c>
      <c r="E7328" s="1524" t="s">
        <v>6854</v>
      </c>
      <c r="F7328" s="1507"/>
      <c r="G7328" s="846" t="s">
        <v>3775</v>
      </c>
      <c r="H7328" s="967">
        <v>1.5356000000000001</v>
      </c>
      <c r="K7328" t="s">
        <v>1053</v>
      </c>
      <c r="L7328" t="s">
        <v>690</v>
      </c>
      <c r="P7328" t="s">
        <v>6857</v>
      </c>
      <c r="T7328">
        <v>46142</v>
      </c>
      <c r="V7328">
        <v>71</v>
      </c>
    </row>
    <row r="7329" spans="1:22" customFormat="1" ht="15" x14ac:dyDescent="0.25">
      <c r="A7329" t="s">
        <v>220</v>
      </c>
      <c r="B7329" t="s">
        <v>5767</v>
      </c>
      <c r="E7329" s="1524" t="s">
        <v>243</v>
      </c>
      <c r="F7329" s="1524"/>
      <c r="G7329" s="846" t="s">
        <v>3775</v>
      </c>
      <c r="H7329" s="577">
        <v>3.2239</v>
      </c>
      <c r="K7329" t="s">
        <v>1053</v>
      </c>
      <c r="L7329" t="s">
        <v>694</v>
      </c>
      <c r="P7329" t="s">
        <v>1063</v>
      </c>
      <c r="V7329">
        <v>47</v>
      </c>
    </row>
    <row r="7330" spans="1:22" customFormat="1" ht="15" x14ac:dyDescent="0.25">
      <c r="A7330" t="s">
        <v>220</v>
      </c>
      <c r="B7330" t="s">
        <v>5767</v>
      </c>
      <c r="E7330" s="1524" t="s">
        <v>175</v>
      </c>
      <c r="F7330" s="1524"/>
      <c r="G7330" s="846" t="s">
        <v>3775</v>
      </c>
      <c r="H7330" s="577">
        <v>2.1753999999999998</v>
      </c>
      <c r="K7330" t="s">
        <v>1053</v>
      </c>
      <c r="L7330" t="s">
        <v>694</v>
      </c>
      <c r="P7330" t="s">
        <v>1064</v>
      </c>
      <c r="V7330">
        <v>74</v>
      </c>
    </row>
    <row r="7331" spans="1:22" customFormat="1" ht="15" x14ac:dyDescent="0.25">
      <c r="A7331" t="s">
        <v>220</v>
      </c>
      <c r="B7331" t="s">
        <v>5767</v>
      </c>
      <c r="E7331" s="1533" t="s">
        <v>967</v>
      </c>
      <c r="F7331" s="1524"/>
      <c r="G7331" s="1524"/>
      <c r="H7331" s="1524"/>
      <c r="K7331" t="s">
        <v>1065</v>
      </c>
      <c r="V7331">
        <v>48</v>
      </c>
    </row>
    <row r="7332" spans="1:22" customFormat="1" ht="15" x14ac:dyDescent="0.25">
      <c r="A7332" t="s">
        <v>220</v>
      </c>
      <c r="B7332" t="s">
        <v>5767</v>
      </c>
      <c r="E7332" s="1524" t="s">
        <v>844</v>
      </c>
      <c r="F7332" s="1524"/>
      <c r="G7332" s="846" t="s">
        <v>845</v>
      </c>
      <c r="H7332" s="967">
        <v>4.1000000000000003E-3</v>
      </c>
      <c r="K7332" t="s">
        <v>1053</v>
      </c>
      <c r="L7332" t="s">
        <v>968</v>
      </c>
      <c r="P7332" t="s">
        <v>1066</v>
      </c>
      <c r="V7332">
        <v>55</v>
      </c>
    </row>
    <row r="7333" spans="1:22" customFormat="1" ht="15" x14ac:dyDescent="0.25">
      <c r="A7333" t="s">
        <v>220</v>
      </c>
      <c r="B7333" t="s">
        <v>5767</v>
      </c>
      <c r="E7333" s="1524" t="s">
        <v>846</v>
      </c>
      <c r="F7333" s="1524"/>
      <c r="G7333" s="846" t="s">
        <v>845</v>
      </c>
      <c r="H7333" s="967">
        <v>4.0000000000000002E-4</v>
      </c>
      <c r="K7333" t="s">
        <v>1053</v>
      </c>
      <c r="L7333" t="s">
        <v>968</v>
      </c>
      <c r="P7333" t="s">
        <v>1066</v>
      </c>
      <c r="V7333">
        <v>65</v>
      </c>
    </row>
    <row r="7334" spans="1:22" customFormat="1" ht="15" x14ac:dyDescent="0.25">
      <c r="A7334" t="s">
        <v>220</v>
      </c>
      <c r="B7334" t="s">
        <v>5767</v>
      </c>
      <c r="E7334" s="1524" t="s">
        <v>847</v>
      </c>
      <c r="F7334" s="1524"/>
      <c r="G7334" s="846" t="s">
        <v>845</v>
      </c>
      <c r="H7334" s="967">
        <v>1.5E-3</v>
      </c>
      <c r="K7334" t="s">
        <v>1053</v>
      </c>
      <c r="L7334" t="s">
        <v>968</v>
      </c>
      <c r="P7334" t="s">
        <v>1067</v>
      </c>
      <c r="V7334">
        <v>57</v>
      </c>
    </row>
    <row r="7335" spans="1:22" customFormat="1" ht="15" x14ac:dyDescent="0.25">
      <c r="A7335" t="s">
        <v>220</v>
      </c>
      <c r="B7335" t="s">
        <v>5767</v>
      </c>
      <c r="E7335" s="1524" t="s">
        <v>848</v>
      </c>
      <c r="F7335" s="1524"/>
      <c r="G7335" s="846" t="s">
        <v>777</v>
      </c>
      <c r="H7335" s="966">
        <v>0.25</v>
      </c>
      <c r="K7335" t="s">
        <v>1053</v>
      </c>
      <c r="L7335" t="s">
        <v>968</v>
      </c>
      <c r="P7335" t="s">
        <v>1068</v>
      </c>
      <c r="V7335">
        <v>63</v>
      </c>
    </row>
    <row r="7336" spans="1:22" customFormat="1" x14ac:dyDescent="0.25">
      <c r="A7336" t="s">
        <v>220</v>
      </c>
      <c r="B7336" t="s">
        <v>5767</v>
      </c>
      <c r="E7336" s="1538" t="s">
        <v>4007</v>
      </c>
      <c r="F7336" s="1571"/>
      <c r="G7336" s="1571"/>
      <c r="H7336" s="1571"/>
      <c r="K7336" t="s">
        <v>5075</v>
      </c>
      <c r="V7336">
        <v>43</v>
      </c>
    </row>
    <row r="7337" spans="1:22" customFormat="1" ht="15" x14ac:dyDescent="0.25">
      <c r="A7337" t="s">
        <v>220</v>
      </c>
      <c r="B7337" t="s">
        <v>5767</v>
      </c>
      <c r="E7337" s="1496" t="s">
        <v>4545</v>
      </c>
      <c r="F7337" s="1496"/>
      <c r="G7337" s="1496"/>
      <c r="H7337" s="1496"/>
      <c r="K7337" t="s">
        <v>5075</v>
      </c>
      <c r="V7337">
        <v>250</v>
      </c>
    </row>
    <row r="7338" spans="1:22" customFormat="1" ht="15" x14ac:dyDescent="0.25">
      <c r="A7338" t="s">
        <v>220</v>
      </c>
      <c r="B7338" t="s">
        <v>5767</v>
      </c>
      <c r="E7338" s="1533" t="s">
        <v>950</v>
      </c>
      <c r="F7338" s="1496"/>
      <c r="G7338" s="1496"/>
      <c r="H7338" s="1496"/>
      <c r="K7338" t="s">
        <v>1071</v>
      </c>
      <c r="V7338">
        <v>11</v>
      </c>
    </row>
    <row r="7339" spans="1:22" customFormat="1" ht="15" x14ac:dyDescent="0.25">
      <c r="A7339" t="s">
        <v>220</v>
      </c>
      <c r="B7339" t="s">
        <v>5767</v>
      </c>
      <c r="E7339" s="1496" t="s">
        <v>951</v>
      </c>
      <c r="F7339" s="1496"/>
      <c r="G7339" s="1496"/>
      <c r="H7339" s="1496"/>
      <c r="K7339" t="s">
        <v>5075</v>
      </c>
      <c r="V7339">
        <v>280</v>
      </c>
    </row>
    <row r="7340" spans="1:22" customFormat="1" ht="15" x14ac:dyDescent="0.25">
      <c r="A7340" t="s">
        <v>220</v>
      </c>
      <c r="B7340" t="s">
        <v>5767</v>
      </c>
      <c r="E7340" s="1496" t="s">
        <v>952</v>
      </c>
      <c r="F7340" s="1496"/>
      <c r="G7340" s="1496"/>
      <c r="H7340" s="1496"/>
      <c r="K7340" t="s">
        <v>5075</v>
      </c>
      <c r="V7340">
        <v>411</v>
      </c>
    </row>
    <row r="7341" spans="1:22" customFormat="1" ht="15" x14ac:dyDescent="0.25">
      <c r="A7341" t="s">
        <v>220</v>
      </c>
      <c r="B7341" t="s">
        <v>5767</v>
      </c>
      <c r="E7341" s="1496" t="s">
        <v>953</v>
      </c>
      <c r="F7341" s="1496"/>
      <c r="G7341" s="1496"/>
      <c r="H7341" s="1496"/>
      <c r="K7341" t="s">
        <v>5075</v>
      </c>
      <c r="V7341">
        <v>386</v>
      </c>
    </row>
    <row r="7342" spans="1:22" customFormat="1" ht="15" x14ac:dyDescent="0.25">
      <c r="A7342" t="s">
        <v>220</v>
      </c>
      <c r="B7342" t="s">
        <v>5767</v>
      </c>
      <c r="E7342" s="1496" t="s">
        <v>954</v>
      </c>
      <c r="F7342" s="1496"/>
      <c r="G7342" s="1496"/>
      <c r="H7342" s="1496"/>
      <c r="K7342" t="s">
        <v>5075</v>
      </c>
      <c r="V7342">
        <v>246</v>
      </c>
    </row>
    <row r="7343" spans="1:22" customFormat="1" ht="15" x14ac:dyDescent="0.25">
      <c r="A7343" t="s">
        <v>220</v>
      </c>
      <c r="B7343" t="s">
        <v>5767</v>
      </c>
      <c r="E7343" s="1533" t="s">
        <v>956</v>
      </c>
      <c r="F7343" s="1496"/>
      <c r="G7343" s="1496"/>
      <c r="H7343" s="1496"/>
      <c r="K7343" t="s">
        <v>1075</v>
      </c>
      <c r="V7343">
        <v>46</v>
      </c>
    </row>
    <row r="7344" spans="1:22" customFormat="1" ht="15" x14ac:dyDescent="0.25">
      <c r="A7344" t="s">
        <v>220</v>
      </c>
      <c r="B7344" t="s">
        <v>5767</v>
      </c>
      <c r="E7344" s="1524" t="s">
        <v>3773</v>
      </c>
      <c r="F7344" s="1524"/>
      <c r="G7344" s="846" t="s">
        <v>777</v>
      </c>
      <c r="H7344" s="576">
        <v>162.1</v>
      </c>
      <c r="K7344" t="s">
        <v>5075</v>
      </c>
      <c r="L7344" t="s">
        <v>690</v>
      </c>
      <c r="P7344" t="s">
        <v>5077</v>
      </c>
      <c r="V7344">
        <v>14</v>
      </c>
    </row>
    <row r="7345" spans="1:22" customFormat="1" ht="15" x14ac:dyDescent="0.25">
      <c r="A7345" t="s">
        <v>220</v>
      </c>
      <c r="B7345" t="s">
        <v>5767</v>
      </c>
      <c r="E7345" s="1524" t="s">
        <v>5287</v>
      </c>
      <c r="F7345" s="1524"/>
      <c r="G7345" s="846" t="s">
        <v>3775</v>
      </c>
      <c r="H7345" s="967">
        <v>0.87939999999999996</v>
      </c>
      <c r="K7345" t="s">
        <v>5075</v>
      </c>
      <c r="L7345" t="s">
        <v>692</v>
      </c>
      <c r="P7345" t="s">
        <v>5079</v>
      </c>
      <c r="V7345">
        <v>37</v>
      </c>
    </row>
    <row r="7346" spans="1:22" customFormat="1" ht="15" x14ac:dyDescent="0.25">
      <c r="A7346" t="s">
        <v>220</v>
      </c>
      <c r="B7346" t="s">
        <v>5767</v>
      </c>
      <c r="E7346" s="1524" t="s">
        <v>6849</v>
      </c>
      <c r="F7346" s="1510"/>
      <c r="G7346" s="846" t="s">
        <v>845</v>
      </c>
      <c r="H7346" s="577">
        <v>2.8E-3</v>
      </c>
      <c r="K7346" t="s">
        <v>5075</v>
      </c>
      <c r="L7346" t="s">
        <v>692</v>
      </c>
      <c r="P7346" t="s">
        <v>5080</v>
      </c>
      <c r="T7346">
        <v>46142</v>
      </c>
      <c r="V7346">
        <v>139</v>
      </c>
    </row>
    <row r="7347" spans="1:22" customFormat="1" ht="15" x14ac:dyDescent="0.25">
      <c r="A7347" t="s">
        <v>220</v>
      </c>
      <c r="B7347" t="s">
        <v>5767</v>
      </c>
      <c r="E7347" s="1524" t="s">
        <v>6850</v>
      </c>
      <c r="F7347" s="1510"/>
      <c r="G7347" s="846" t="s">
        <v>3775</v>
      </c>
      <c r="H7347" s="577">
        <v>0.999</v>
      </c>
      <c r="K7347" t="s">
        <v>5075</v>
      </c>
      <c r="L7347" t="s">
        <v>692</v>
      </c>
      <c r="P7347" t="s">
        <v>5081</v>
      </c>
      <c r="T7347">
        <v>46142</v>
      </c>
      <c r="V7347">
        <v>96</v>
      </c>
    </row>
    <row r="7348" spans="1:22" customFormat="1" ht="15" x14ac:dyDescent="0.25">
      <c r="A7348" t="s">
        <v>220</v>
      </c>
      <c r="B7348" t="s">
        <v>5767</v>
      </c>
      <c r="E7348" s="1524" t="s">
        <v>6851</v>
      </c>
      <c r="F7348" s="1510"/>
      <c r="G7348" s="846" t="s">
        <v>3775</v>
      </c>
      <c r="H7348" s="577">
        <v>5.9999999999999995E-4</v>
      </c>
      <c r="K7348" t="s">
        <v>5075</v>
      </c>
      <c r="L7348" t="s">
        <v>692</v>
      </c>
      <c r="P7348" t="s">
        <v>5082</v>
      </c>
      <c r="T7348">
        <v>46142</v>
      </c>
      <c r="V7348">
        <v>139</v>
      </c>
    </row>
    <row r="7349" spans="1:22" customFormat="1" ht="15" x14ac:dyDescent="0.25">
      <c r="A7349" t="s">
        <v>220</v>
      </c>
      <c r="B7349" t="s">
        <v>5767</v>
      </c>
      <c r="E7349" s="1524" t="s">
        <v>243</v>
      </c>
      <c r="F7349" s="1524"/>
      <c r="G7349" s="846" t="s">
        <v>3775</v>
      </c>
      <c r="H7349" s="577">
        <v>4.4340000000000002</v>
      </c>
      <c r="K7349" t="s">
        <v>5075</v>
      </c>
      <c r="L7349" t="s">
        <v>694</v>
      </c>
      <c r="P7349" t="s">
        <v>5083</v>
      </c>
      <c r="V7349">
        <v>47</v>
      </c>
    </row>
    <row r="7350" spans="1:22" customFormat="1" ht="15" x14ac:dyDescent="0.25">
      <c r="A7350" t="s">
        <v>220</v>
      </c>
      <c r="B7350" t="s">
        <v>5767</v>
      </c>
      <c r="E7350" s="1524" t="s">
        <v>5289</v>
      </c>
      <c r="F7350" s="1524"/>
      <c r="G7350" s="846" t="s">
        <v>3775</v>
      </c>
      <c r="H7350" s="577">
        <v>2.9634999999999998</v>
      </c>
      <c r="K7350" t="s">
        <v>5075</v>
      </c>
      <c r="L7350" t="s">
        <v>694</v>
      </c>
      <c r="P7350" t="s">
        <v>5084</v>
      </c>
      <c r="V7350">
        <v>87</v>
      </c>
    </row>
    <row r="7351" spans="1:22" customFormat="1" ht="15" x14ac:dyDescent="0.25">
      <c r="A7351" t="s">
        <v>220</v>
      </c>
      <c r="B7351" t="s">
        <v>5767</v>
      </c>
      <c r="E7351" s="1533" t="s">
        <v>967</v>
      </c>
      <c r="F7351" s="1524"/>
      <c r="G7351" s="1524"/>
      <c r="H7351" s="1524"/>
      <c r="K7351" t="s">
        <v>3898</v>
      </c>
      <c r="V7351">
        <v>48</v>
      </c>
    </row>
    <row r="7352" spans="1:22" customFormat="1" ht="15" x14ac:dyDescent="0.25">
      <c r="A7352" t="s">
        <v>220</v>
      </c>
      <c r="B7352" t="s">
        <v>5767</v>
      </c>
      <c r="E7352" s="1524" t="s">
        <v>844</v>
      </c>
      <c r="F7352" s="1524"/>
      <c r="G7352" s="846" t="s">
        <v>845</v>
      </c>
      <c r="H7352" s="967">
        <v>4.1000000000000003E-3</v>
      </c>
      <c r="K7352" t="s">
        <v>5075</v>
      </c>
      <c r="L7352" t="s">
        <v>968</v>
      </c>
      <c r="P7352" t="s">
        <v>5085</v>
      </c>
      <c r="V7352">
        <v>55</v>
      </c>
    </row>
    <row r="7353" spans="1:22" customFormat="1" ht="15" x14ac:dyDescent="0.25">
      <c r="A7353" t="s">
        <v>220</v>
      </c>
      <c r="B7353" t="s">
        <v>5767</v>
      </c>
      <c r="E7353" s="1524" t="s">
        <v>846</v>
      </c>
      <c r="F7353" s="1524"/>
      <c r="G7353" s="846" t="s">
        <v>845</v>
      </c>
      <c r="H7353" s="967">
        <v>4.0000000000000002E-4</v>
      </c>
      <c r="K7353" t="s">
        <v>5075</v>
      </c>
      <c r="L7353" t="s">
        <v>968</v>
      </c>
      <c r="P7353" t="s">
        <v>5085</v>
      </c>
      <c r="V7353">
        <v>65</v>
      </c>
    </row>
    <row r="7354" spans="1:22" customFormat="1" ht="15" x14ac:dyDescent="0.25">
      <c r="A7354" t="s">
        <v>220</v>
      </c>
      <c r="B7354" t="s">
        <v>5767</v>
      </c>
      <c r="E7354" s="1524" t="s">
        <v>847</v>
      </c>
      <c r="F7354" s="1524"/>
      <c r="G7354" s="846" t="s">
        <v>845</v>
      </c>
      <c r="H7354" s="967">
        <v>1.5E-3</v>
      </c>
      <c r="K7354" t="s">
        <v>5075</v>
      </c>
      <c r="L7354" t="s">
        <v>968</v>
      </c>
      <c r="P7354" t="s">
        <v>5086</v>
      </c>
      <c r="V7354">
        <v>57</v>
      </c>
    </row>
    <row r="7355" spans="1:22" customFormat="1" ht="15" x14ac:dyDescent="0.25">
      <c r="A7355" t="s">
        <v>220</v>
      </c>
      <c r="B7355" t="s">
        <v>5767</v>
      </c>
      <c r="E7355" s="1524" t="s">
        <v>848</v>
      </c>
      <c r="F7355" s="1524"/>
      <c r="G7355" s="846" t="s">
        <v>777</v>
      </c>
      <c r="H7355" s="966">
        <v>0.25</v>
      </c>
      <c r="K7355" t="s">
        <v>5075</v>
      </c>
      <c r="L7355" t="s">
        <v>968</v>
      </c>
      <c r="P7355" t="s">
        <v>5087</v>
      </c>
      <c r="V7355">
        <v>63</v>
      </c>
    </row>
    <row r="7356" spans="1:22" customFormat="1" x14ac:dyDescent="0.25">
      <c r="A7356" t="s">
        <v>220</v>
      </c>
      <c r="B7356" t="s">
        <v>5767</v>
      </c>
      <c r="E7356" s="1538" t="s">
        <v>4002</v>
      </c>
      <c r="F7356" s="1571"/>
      <c r="G7356" s="1571"/>
      <c r="H7356" s="1571"/>
      <c r="K7356" t="s">
        <v>4552</v>
      </c>
      <c r="V7356">
        <v>36</v>
      </c>
    </row>
    <row r="7357" spans="1:22" customFormat="1" ht="15" x14ac:dyDescent="0.25">
      <c r="A7357" t="s">
        <v>220</v>
      </c>
      <c r="B7357" t="s">
        <v>5767</v>
      </c>
      <c r="E7357" s="1496" t="s">
        <v>5778</v>
      </c>
      <c r="F7357" s="1496"/>
      <c r="G7357" s="1496"/>
      <c r="H7357" s="1496"/>
      <c r="K7357" t="s">
        <v>4552</v>
      </c>
      <c r="V7357">
        <v>218</v>
      </c>
    </row>
    <row r="7358" spans="1:22" customFormat="1" ht="15" x14ac:dyDescent="0.25">
      <c r="A7358" t="s">
        <v>220</v>
      </c>
      <c r="B7358" t="s">
        <v>5767</v>
      </c>
      <c r="E7358" s="1533" t="s">
        <v>950</v>
      </c>
      <c r="F7358" s="1496"/>
      <c r="G7358" s="1496"/>
      <c r="H7358" s="1496"/>
      <c r="K7358" t="s">
        <v>3904</v>
      </c>
      <c r="V7358">
        <v>11</v>
      </c>
    </row>
    <row r="7359" spans="1:22" customFormat="1" ht="15" x14ac:dyDescent="0.25">
      <c r="A7359" t="s">
        <v>220</v>
      </c>
      <c r="B7359" t="s">
        <v>5767</v>
      </c>
      <c r="E7359" s="1496" t="s">
        <v>951</v>
      </c>
      <c r="F7359" s="1496"/>
      <c r="G7359" s="1496"/>
      <c r="H7359" s="1496"/>
      <c r="K7359" t="s">
        <v>4552</v>
      </c>
      <c r="V7359">
        <v>280</v>
      </c>
    </row>
    <row r="7360" spans="1:22" customFormat="1" ht="15" x14ac:dyDescent="0.25">
      <c r="A7360" t="s">
        <v>220</v>
      </c>
      <c r="B7360" t="s">
        <v>5767</v>
      </c>
      <c r="E7360" s="1496" t="s">
        <v>952</v>
      </c>
      <c r="F7360" s="1496"/>
      <c r="G7360" s="1496"/>
      <c r="H7360" s="1496"/>
      <c r="K7360" t="s">
        <v>4552</v>
      </c>
      <c r="V7360">
        <v>411</v>
      </c>
    </row>
    <row r="7361" spans="1:22" customFormat="1" ht="15" x14ac:dyDescent="0.25">
      <c r="A7361" t="s">
        <v>220</v>
      </c>
      <c r="B7361" t="s">
        <v>5767</v>
      </c>
      <c r="E7361" s="1496" t="s">
        <v>953</v>
      </c>
      <c r="F7361" s="1496"/>
      <c r="G7361" s="1496"/>
      <c r="H7361" s="1496"/>
      <c r="K7361" t="s">
        <v>4552</v>
      </c>
      <c r="V7361">
        <v>386</v>
      </c>
    </row>
    <row r="7362" spans="1:22" customFormat="1" ht="15" x14ac:dyDescent="0.25">
      <c r="A7362" t="s">
        <v>220</v>
      </c>
      <c r="B7362" t="s">
        <v>5767</v>
      </c>
      <c r="E7362" s="1496" t="s">
        <v>954</v>
      </c>
      <c r="F7362" s="1496"/>
      <c r="G7362" s="1496"/>
      <c r="H7362" s="1496"/>
      <c r="K7362" t="s">
        <v>4552</v>
      </c>
      <c r="V7362">
        <v>246</v>
      </c>
    </row>
    <row r="7363" spans="1:22" customFormat="1" ht="15" x14ac:dyDescent="0.25">
      <c r="A7363" t="s">
        <v>220</v>
      </c>
      <c r="B7363" t="s">
        <v>5767</v>
      </c>
      <c r="E7363" s="1533" t="s">
        <v>956</v>
      </c>
      <c r="F7363" s="1496"/>
      <c r="G7363" s="1496"/>
      <c r="H7363" s="1496"/>
      <c r="K7363" t="s">
        <v>3905</v>
      </c>
      <c r="V7363">
        <v>46</v>
      </c>
    </row>
    <row r="7364" spans="1:22" customFormat="1" ht="15" x14ac:dyDescent="0.25">
      <c r="A7364" t="s">
        <v>220</v>
      </c>
      <c r="B7364" t="s">
        <v>5767</v>
      </c>
      <c r="E7364" s="1524" t="s">
        <v>5779</v>
      </c>
      <c r="F7364" s="1524"/>
      <c r="G7364" s="846" t="s">
        <v>3775</v>
      </c>
      <c r="H7364" s="967">
        <v>4.0526</v>
      </c>
      <c r="K7364" t="s">
        <v>4552</v>
      </c>
      <c r="L7364" t="s">
        <v>690</v>
      </c>
      <c r="P7364" t="s">
        <v>5215</v>
      </c>
      <c r="V7364">
        <v>302</v>
      </c>
    </row>
    <row r="7365" spans="1:22" customFormat="1" ht="15" x14ac:dyDescent="0.25">
      <c r="A7365" t="s">
        <v>220</v>
      </c>
      <c r="B7365" t="s">
        <v>5767</v>
      </c>
      <c r="E7365" s="1524" t="s">
        <v>5780</v>
      </c>
      <c r="F7365" s="1524"/>
      <c r="G7365" s="846" t="s">
        <v>3775</v>
      </c>
      <c r="H7365" s="967">
        <v>2.8513999999999999</v>
      </c>
      <c r="K7365" t="s">
        <v>4552</v>
      </c>
      <c r="L7365" t="s">
        <v>690</v>
      </c>
      <c r="P7365" t="s">
        <v>5215</v>
      </c>
      <c r="V7365">
        <v>290</v>
      </c>
    </row>
    <row r="7366" spans="1:22" customFormat="1" x14ac:dyDescent="0.25">
      <c r="A7366" t="s">
        <v>220</v>
      </c>
      <c r="B7366" t="s">
        <v>5767</v>
      </c>
      <c r="E7366" s="1538" t="s">
        <v>207</v>
      </c>
      <c r="F7366" s="1571"/>
      <c r="G7366" s="1571"/>
      <c r="H7366" s="1571"/>
      <c r="K7366" t="s">
        <v>4208</v>
      </c>
      <c r="V7366">
        <v>31</v>
      </c>
    </row>
    <row r="7367" spans="1:22" customFormat="1" ht="15" x14ac:dyDescent="0.25">
      <c r="A7367" t="s">
        <v>220</v>
      </c>
      <c r="B7367" t="s">
        <v>5767</v>
      </c>
      <c r="E7367" s="1496" t="s">
        <v>4620</v>
      </c>
      <c r="F7367" s="1496"/>
      <c r="G7367" s="1496"/>
      <c r="H7367" s="1496"/>
      <c r="K7367" t="s">
        <v>4208</v>
      </c>
      <c r="V7367">
        <v>285</v>
      </c>
    </row>
    <row r="7368" spans="1:22" customFormat="1" ht="15" x14ac:dyDescent="0.25">
      <c r="A7368" t="s">
        <v>220</v>
      </c>
      <c r="B7368" t="s">
        <v>5767</v>
      </c>
      <c r="E7368" s="1533" t="s">
        <v>950</v>
      </c>
      <c r="F7368" s="1496"/>
      <c r="G7368" s="1496"/>
      <c r="H7368" s="1496"/>
      <c r="K7368" t="s">
        <v>4022</v>
      </c>
      <c r="V7368">
        <v>11</v>
      </c>
    </row>
    <row r="7369" spans="1:22" customFormat="1" ht="15" x14ac:dyDescent="0.25">
      <c r="A7369" t="s">
        <v>220</v>
      </c>
      <c r="B7369" t="s">
        <v>5767</v>
      </c>
      <c r="E7369" s="1496" t="s">
        <v>951</v>
      </c>
      <c r="F7369" s="1496"/>
      <c r="G7369" s="1496"/>
      <c r="H7369" s="1496"/>
      <c r="K7369" t="s">
        <v>4208</v>
      </c>
      <c r="V7369">
        <v>280</v>
      </c>
    </row>
    <row r="7370" spans="1:22" customFormat="1" ht="15" x14ac:dyDescent="0.25">
      <c r="A7370" t="s">
        <v>220</v>
      </c>
      <c r="B7370" t="s">
        <v>5767</v>
      </c>
      <c r="E7370" s="1496" t="s">
        <v>952</v>
      </c>
      <c r="F7370" s="1496"/>
      <c r="G7370" s="1496"/>
      <c r="H7370" s="1496"/>
      <c r="K7370" t="s">
        <v>4208</v>
      </c>
      <c r="V7370">
        <v>411</v>
      </c>
    </row>
    <row r="7371" spans="1:22" customFormat="1" ht="15" x14ac:dyDescent="0.25">
      <c r="A7371" t="s">
        <v>220</v>
      </c>
      <c r="B7371" t="s">
        <v>5767</v>
      </c>
      <c r="E7371" s="1496" t="s">
        <v>953</v>
      </c>
      <c r="F7371" s="1496"/>
      <c r="G7371" s="1496"/>
      <c r="H7371" s="1496"/>
      <c r="K7371" t="s">
        <v>4208</v>
      </c>
      <c r="V7371">
        <v>386</v>
      </c>
    </row>
    <row r="7372" spans="1:22" customFormat="1" ht="15" x14ac:dyDescent="0.25">
      <c r="A7372" t="s">
        <v>220</v>
      </c>
      <c r="B7372" t="s">
        <v>5767</v>
      </c>
      <c r="E7372" s="1496" t="s">
        <v>954</v>
      </c>
      <c r="F7372" s="1496"/>
      <c r="G7372" s="1496"/>
      <c r="H7372" s="1496"/>
      <c r="K7372" t="s">
        <v>4208</v>
      </c>
      <c r="V7372">
        <v>246</v>
      </c>
    </row>
    <row r="7373" spans="1:22" customFormat="1" ht="15" x14ac:dyDescent="0.25">
      <c r="A7373" t="s">
        <v>220</v>
      </c>
      <c r="B7373" t="s">
        <v>5767</v>
      </c>
      <c r="E7373" s="1533" t="s">
        <v>956</v>
      </c>
      <c r="F7373" s="1496"/>
      <c r="G7373" s="1496"/>
      <c r="H7373" s="1496"/>
      <c r="K7373" t="s">
        <v>4023</v>
      </c>
      <c r="V7373">
        <v>46</v>
      </c>
    </row>
    <row r="7374" spans="1:22" customFormat="1" ht="15" x14ac:dyDescent="0.25">
      <c r="A7374" t="s">
        <v>220</v>
      </c>
      <c r="B7374" t="s">
        <v>5767</v>
      </c>
      <c r="E7374" s="1524" t="s">
        <v>3773</v>
      </c>
      <c r="F7374" s="1524"/>
      <c r="G7374" s="846" t="s">
        <v>777</v>
      </c>
      <c r="H7374" s="576">
        <v>5</v>
      </c>
      <c r="K7374" t="s">
        <v>4208</v>
      </c>
      <c r="L7374" t="s">
        <v>690</v>
      </c>
      <c r="P7374" t="s">
        <v>4211</v>
      </c>
      <c r="V7374">
        <v>14</v>
      </c>
    </row>
    <row r="7375" spans="1:22" customFormat="1" ht="18.75" x14ac:dyDescent="0.25">
      <c r="A7375" t="s">
        <v>220</v>
      </c>
      <c r="B7375" t="s">
        <v>5767</v>
      </c>
      <c r="E7375" s="1538" t="s">
        <v>3825</v>
      </c>
      <c r="F7375" s="1592"/>
      <c r="G7375" s="1592"/>
      <c r="H7375" s="1592"/>
      <c r="K7375" t="s">
        <v>4621</v>
      </c>
      <c r="V7375">
        <v>10</v>
      </c>
    </row>
    <row r="7376" spans="1:22" customFormat="1" ht="15.75" thickBot="1" x14ac:dyDescent="0.3">
      <c r="A7376" t="s">
        <v>220</v>
      </c>
      <c r="B7376" t="s">
        <v>5767</v>
      </c>
      <c r="E7376" s="1753" t="s">
        <v>1078</v>
      </c>
      <c r="F7376" s="1524"/>
      <c r="G7376" s="968" t="s">
        <v>3775</v>
      </c>
      <c r="H7376" s="969">
        <v>-0.6</v>
      </c>
      <c r="V7376">
        <v>68</v>
      </c>
    </row>
    <row r="7377" spans="1:22" customFormat="1" ht="15.75" thickBot="1" x14ac:dyDescent="0.3">
      <c r="A7377" t="s">
        <v>220</v>
      </c>
      <c r="B7377" t="s">
        <v>5767</v>
      </c>
      <c r="E7377" s="1753" t="s">
        <v>1079</v>
      </c>
      <c r="F7377" s="1524"/>
      <c r="G7377" s="968" t="s">
        <v>1118</v>
      </c>
      <c r="H7377" s="970">
        <v>-1</v>
      </c>
      <c r="V7377">
        <v>87</v>
      </c>
    </row>
    <row r="7378" spans="1:22" customFormat="1" ht="18.75" x14ac:dyDescent="0.25">
      <c r="A7378" t="s">
        <v>220</v>
      </c>
      <c r="B7378" t="s">
        <v>5767</v>
      </c>
      <c r="E7378" s="1538" t="s">
        <v>3828</v>
      </c>
      <c r="F7378" s="1592"/>
      <c r="G7378" s="1592"/>
      <c r="H7378" s="1592"/>
      <c r="K7378" t="s">
        <v>4623</v>
      </c>
      <c r="V7378">
        <v>24</v>
      </c>
    </row>
    <row r="7379" spans="1:22" customFormat="1" ht="15" x14ac:dyDescent="0.25">
      <c r="A7379" t="s">
        <v>220</v>
      </c>
      <c r="B7379" t="s">
        <v>5767</v>
      </c>
      <c r="E7379" s="1496" t="s">
        <v>951</v>
      </c>
      <c r="F7379" s="1496"/>
      <c r="G7379" s="1496"/>
      <c r="H7379" s="1496"/>
      <c r="V7379">
        <v>280</v>
      </c>
    </row>
    <row r="7380" spans="1:22" customFormat="1" ht="15" x14ac:dyDescent="0.25">
      <c r="A7380" t="s">
        <v>220</v>
      </c>
      <c r="B7380" t="s">
        <v>5767</v>
      </c>
      <c r="E7380" s="1496" t="s">
        <v>1081</v>
      </c>
      <c r="F7380" s="1496"/>
      <c r="G7380" s="1496"/>
      <c r="H7380" s="1496"/>
      <c r="V7380">
        <v>353</v>
      </c>
    </row>
    <row r="7381" spans="1:22" customFormat="1" ht="15" x14ac:dyDescent="0.25">
      <c r="A7381" t="s">
        <v>220</v>
      </c>
      <c r="B7381" t="s">
        <v>5767</v>
      </c>
      <c r="E7381" s="1496" t="s">
        <v>3762</v>
      </c>
      <c r="F7381" s="1496"/>
      <c r="G7381" s="1496"/>
      <c r="H7381" s="1496"/>
      <c r="V7381">
        <v>247</v>
      </c>
    </row>
    <row r="7382" spans="1:22" customFormat="1" ht="15" x14ac:dyDescent="0.25">
      <c r="A7382" t="s">
        <v>220</v>
      </c>
      <c r="B7382" t="s">
        <v>5767</v>
      </c>
      <c r="E7382" s="1533" t="s">
        <v>3830</v>
      </c>
      <c r="F7382" s="1593"/>
      <c r="G7382" s="1593"/>
      <c r="H7382" s="1593"/>
      <c r="K7382" t="s">
        <v>4624</v>
      </c>
      <c r="V7382">
        <v>23</v>
      </c>
    </row>
    <row r="7383" spans="1:22" customFormat="1" ht="15" x14ac:dyDescent="0.25">
      <c r="A7383" t="s">
        <v>220</v>
      </c>
      <c r="B7383" t="s">
        <v>5767</v>
      </c>
      <c r="E7383" s="1525" t="s">
        <v>3832</v>
      </c>
      <c r="F7383" s="1525"/>
      <c r="G7383" s="846" t="s">
        <v>777</v>
      </c>
      <c r="H7383" s="966">
        <v>15</v>
      </c>
      <c r="V7383">
        <v>19</v>
      </c>
    </row>
    <row r="7384" spans="1:22" customFormat="1" ht="15" x14ac:dyDescent="0.25">
      <c r="A7384" t="s">
        <v>220</v>
      </c>
      <c r="B7384" t="s">
        <v>5767</v>
      </c>
      <c r="E7384" s="1525" t="s">
        <v>3833</v>
      </c>
      <c r="F7384" s="1525"/>
      <c r="G7384" s="846" t="s">
        <v>777</v>
      </c>
      <c r="H7384" s="966">
        <v>15</v>
      </c>
      <c r="V7384">
        <v>20</v>
      </c>
    </row>
    <row r="7385" spans="1:22" customFormat="1" ht="15" x14ac:dyDescent="0.25">
      <c r="A7385" t="s">
        <v>220</v>
      </c>
      <c r="B7385" t="s">
        <v>5767</v>
      </c>
      <c r="E7385" s="1525" t="s">
        <v>4056</v>
      </c>
      <c r="F7385" s="1525"/>
      <c r="G7385" s="846" t="s">
        <v>777</v>
      </c>
      <c r="H7385" s="966">
        <v>15</v>
      </c>
      <c r="V7385">
        <v>15</v>
      </c>
    </row>
    <row r="7386" spans="1:22" customFormat="1" ht="15" x14ac:dyDescent="0.25">
      <c r="A7386" t="s">
        <v>220</v>
      </c>
      <c r="B7386" t="s">
        <v>5767</v>
      </c>
      <c r="E7386" s="1525" t="s">
        <v>3836</v>
      </c>
      <c r="F7386" s="1525"/>
      <c r="G7386" s="846" t="s">
        <v>777</v>
      </c>
      <c r="H7386" s="966">
        <v>15</v>
      </c>
      <c r="V7386">
        <v>35</v>
      </c>
    </row>
    <row r="7387" spans="1:22" customFormat="1" ht="15" x14ac:dyDescent="0.25">
      <c r="A7387" t="s">
        <v>220</v>
      </c>
      <c r="B7387" t="s">
        <v>5767</v>
      </c>
      <c r="E7387" s="1525" t="s">
        <v>5781</v>
      </c>
      <c r="F7387" s="1525"/>
      <c r="G7387" s="846" t="s">
        <v>777</v>
      </c>
      <c r="H7387" s="966">
        <v>30</v>
      </c>
      <c r="V7387">
        <v>47</v>
      </c>
    </row>
    <row r="7388" spans="1:22" customFormat="1" ht="15" x14ac:dyDescent="0.25">
      <c r="A7388" t="s">
        <v>220</v>
      </c>
      <c r="B7388" t="s">
        <v>5767</v>
      </c>
      <c r="E7388" s="1525" t="s">
        <v>3838</v>
      </c>
      <c r="F7388" s="1525"/>
      <c r="G7388" s="846" t="s">
        <v>777</v>
      </c>
      <c r="H7388" s="966">
        <v>30</v>
      </c>
      <c r="V7388">
        <v>74</v>
      </c>
    </row>
    <row r="7389" spans="1:22" customFormat="1" ht="15" x14ac:dyDescent="0.25">
      <c r="A7389" t="s">
        <v>220</v>
      </c>
      <c r="B7389" t="s">
        <v>5767</v>
      </c>
      <c r="E7389" s="1533" t="s">
        <v>4062</v>
      </c>
      <c r="F7389" s="1593"/>
      <c r="G7389" s="1593"/>
      <c r="H7389" s="1593"/>
      <c r="K7389" t="s">
        <v>4626</v>
      </c>
      <c r="V7389">
        <v>22</v>
      </c>
    </row>
    <row r="7390" spans="1:22" customFormat="1" ht="15" x14ac:dyDescent="0.25">
      <c r="A7390" t="s">
        <v>220</v>
      </c>
      <c r="B7390" t="s">
        <v>5767</v>
      </c>
      <c r="E7390" s="1525" t="s">
        <v>6858</v>
      </c>
      <c r="F7390" s="1525"/>
      <c r="G7390" s="846" t="s">
        <v>1118</v>
      </c>
      <c r="H7390" s="966">
        <v>1.5</v>
      </c>
      <c r="V7390">
        <v>106</v>
      </c>
    </row>
    <row r="7391" spans="1:22" customFormat="1" ht="15" x14ac:dyDescent="0.25">
      <c r="A7391" t="s">
        <v>220</v>
      </c>
      <c r="B7391" t="s">
        <v>5767</v>
      </c>
      <c r="E7391" s="1525" t="s">
        <v>3842</v>
      </c>
      <c r="F7391" s="1525"/>
      <c r="G7391" s="846" t="s">
        <v>777</v>
      </c>
      <c r="H7391" s="966">
        <v>65</v>
      </c>
      <c r="V7391">
        <v>44</v>
      </c>
    </row>
    <row r="7392" spans="1:22" customFormat="1" ht="15" x14ac:dyDescent="0.25">
      <c r="A7392" t="s">
        <v>220</v>
      </c>
      <c r="B7392" t="s">
        <v>5767</v>
      </c>
      <c r="E7392" s="1525" t="s">
        <v>3843</v>
      </c>
      <c r="F7392" s="1525"/>
      <c r="G7392" s="846" t="s">
        <v>777</v>
      </c>
      <c r="H7392" s="966">
        <v>185</v>
      </c>
      <c r="V7392">
        <v>43</v>
      </c>
    </row>
    <row r="7393" spans="1:22" customFormat="1" ht="15" x14ac:dyDescent="0.25">
      <c r="A7393" t="s">
        <v>220</v>
      </c>
      <c r="B7393" t="s">
        <v>5767</v>
      </c>
      <c r="E7393" s="1533" t="s">
        <v>3846</v>
      </c>
      <c r="F7393" s="1593"/>
      <c r="G7393" s="1593"/>
      <c r="H7393" s="1593"/>
      <c r="V7393">
        <v>5</v>
      </c>
    </row>
    <row r="7394" spans="1:22" customFormat="1" ht="15" x14ac:dyDescent="0.25">
      <c r="A7394" t="s">
        <v>220</v>
      </c>
      <c r="B7394" t="s">
        <v>5767</v>
      </c>
      <c r="E7394" s="1525" t="s">
        <v>5782</v>
      </c>
      <c r="F7394" s="1525"/>
      <c r="G7394" s="846" t="s">
        <v>777</v>
      </c>
      <c r="H7394" s="966">
        <v>500</v>
      </c>
      <c r="V7394">
        <v>64</v>
      </c>
    </row>
    <row r="7395" spans="1:22" customFormat="1" ht="15" x14ac:dyDescent="0.25">
      <c r="A7395" t="s">
        <v>220</v>
      </c>
      <c r="B7395" t="s">
        <v>5767</v>
      </c>
      <c r="E7395" s="1525" t="s">
        <v>5783</v>
      </c>
      <c r="F7395" s="1525"/>
      <c r="G7395" s="846" t="s">
        <v>777</v>
      </c>
      <c r="H7395" s="966">
        <v>1000</v>
      </c>
      <c r="V7395">
        <v>66</v>
      </c>
    </row>
    <row r="7396" spans="1:22" customFormat="1" ht="15" x14ac:dyDescent="0.25">
      <c r="A7396" t="s">
        <v>220</v>
      </c>
      <c r="B7396" t="s">
        <v>5767</v>
      </c>
      <c r="E7396" s="1525" t="s">
        <v>4627</v>
      </c>
      <c r="F7396" s="1525"/>
      <c r="G7396" s="846" t="s">
        <v>777</v>
      </c>
      <c r="H7396" s="966">
        <v>39.14</v>
      </c>
      <c r="V7396">
        <v>105</v>
      </c>
    </row>
    <row r="7397" spans="1:22" customFormat="1" ht="15" x14ac:dyDescent="0.25">
      <c r="A7397" t="s">
        <v>220</v>
      </c>
      <c r="B7397" t="s">
        <v>5767</v>
      </c>
      <c r="E7397" s="1525" t="s">
        <v>5784</v>
      </c>
      <c r="F7397" s="1525"/>
      <c r="G7397" s="846" t="s">
        <v>777</v>
      </c>
      <c r="H7397" s="971" t="s">
        <v>5785</v>
      </c>
      <c r="V7397">
        <v>70</v>
      </c>
    </row>
    <row r="7398" spans="1:22" customFormat="1" ht="18.75" x14ac:dyDescent="0.25">
      <c r="A7398" t="s">
        <v>220</v>
      </c>
      <c r="B7398" t="s">
        <v>5767</v>
      </c>
      <c r="E7398" s="1538" t="s">
        <v>3851</v>
      </c>
      <c r="F7398" s="1592"/>
      <c r="G7398" s="1592"/>
      <c r="H7398" s="1592"/>
      <c r="K7398" t="s">
        <v>4629</v>
      </c>
      <c r="V7398">
        <v>38</v>
      </c>
    </row>
    <row r="7399" spans="1:22" customFormat="1" ht="15" x14ac:dyDescent="0.25">
      <c r="A7399" t="s">
        <v>220</v>
      </c>
      <c r="B7399" t="s">
        <v>5767</v>
      </c>
      <c r="E7399" s="1496" t="s">
        <v>951</v>
      </c>
      <c r="F7399" s="1496"/>
      <c r="G7399" s="1496"/>
      <c r="H7399" s="1496"/>
      <c r="V7399">
        <v>280</v>
      </c>
    </row>
    <row r="7400" spans="1:22" customFormat="1" ht="15" x14ac:dyDescent="0.25">
      <c r="A7400" t="s">
        <v>220</v>
      </c>
      <c r="B7400" t="s">
        <v>5767</v>
      </c>
      <c r="E7400" s="1496" t="s">
        <v>952</v>
      </c>
      <c r="F7400" s="1496"/>
      <c r="G7400" s="1496"/>
      <c r="H7400" s="1496"/>
      <c r="V7400">
        <v>411</v>
      </c>
    </row>
    <row r="7401" spans="1:22" customFormat="1" ht="15" x14ac:dyDescent="0.25">
      <c r="A7401" t="s">
        <v>220</v>
      </c>
      <c r="B7401" t="s">
        <v>5767</v>
      </c>
      <c r="E7401" s="1496" t="s">
        <v>1103</v>
      </c>
      <c r="F7401" s="1496"/>
      <c r="G7401" s="1496"/>
      <c r="H7401" s="1496"/>
      <c r="V7401">
        <v>211</v>
      </c>
    </row>
    <row r="7402" spans="1:22" customFormat="1" ht="15" x14ac:dyDescent="0.25">
      <c r="A7402" t="s">
        <v>220</v>
      </c>
      <c r="B7402" t="s">
        <v>5767</v>
      </c>
      <c r="E7402" s="1496" t="s">
        <v>954</v>
      </c>
      <c r="F7402" s="1496"/>
      <c r="G7402" s="1496"/>
      <c r="H7402" s="1496"/>
      <c r="V7402">
        <v>246</v>
      </c>
    </row>
    <row r="7403" spans="1:22" customFormat="1" ht="15" x14ac:dyDescent="0.25">
      <c r="A7403" t="s">
        <v>220</v>
      </c>
      <c r="B7403" t="s">
        <v>5767</v>
      </c>
      <c r="E7403" s="1496" t="s">
        <v>1104</v>
      </c>
      <c r="F7403" s="1496"/>
      <c r="G7403" s="1496"/>
      <c r="H7403" s="1496"/>
      <c r="V7403">
        <v>142</v>
      </c>
    </row>
    <row r="7404" spans="1:22" customFormat="1" ht="15" x14ac:dyDescent="0.25">
      <c r="A7404" t="s">
        <v>220</v>
      </c>
      <c r="B7404" t="s">
        <v>5767</v>
      </c>
      <c r="E7404" s="1524" t="s">
        <v>849</v>
      </c>
      <c r="F7404" s="1524"/>
      <c r="G7404" s="948" t="s">
        <v>777</v>
      </c>
      <c r="H7404" s="972">
        <v>121.23</v>
      </c>
      <c r="V7404">
        <v>106</v>
      </c>
    </row>
    <row r="7405" spans="1:22" customFormat="1" ht="15" x14ac:dyDescent="0.25">
      <c r="A7405" t="s">
        <v>220</v>
      </c>
      <c r="B7405" t="s">
        <v>5767</v>
      </c>
      <c r="E7405" s="1524" t="s">
        <v>850</v>
      </c>
      <c r="F7405" s="1524"/>
      <c r="G7405" s="948" t="s">
        <v>777</v>
      </c>
      <c r="H7405" s="972">
        <v>48.5</v>
      </c>
      <c r="V7405">
        <v>34</v>
      </c>
    </row>
    <row r="7406" spans="1:22" customFormat="1" ht="15" x14ac:dyDescent="0.25">
      <c r="A7406" t="s">
        <v>220</v>
      </c>
      <c r="B7406" t="s">
        <v>5767</v>
      </c>
      <c r="E7406" s="1524" t="s">
        <v>851</v>
      </c>
      <c r="F7406" s="1524"/>
      <c r="G7406" s="948" t="s">
        <v>852</v>
      </c>
      <c r="H7406" s="972">
        <v>1.2</v>
      </c>
      <c r="V7406">
        <v>51</v>
      </c>
    </row>
    <row r="7407" spans="1:22" customFormat="1" ht="15" x14ac:dyDescent="0.25">
      <c r="A7407" t="s">
        <v>220</v>
      </c>
      <c r="B7407" t="s">
        <v>5767</v>
      </c>
      <c r="E7407" s="1524" t="s">
        <v>853</v>
      </c>
      <c r="F7407" s="1524"/>
      <c r="G7407" s="948" t="s">
        <v>852</v>
      </c>
      <c r="H7407" s="972">
        <v>0.71</v>
      </c>
      <c r="V7407">
        <v>75</v>
      </c>
    </row>
    <row r="7408" spans="1:22" customFormat="1" ht="15" x14ac:dyDescent="0.25">
      <c r="A7408" t="s">
        <v>220</v>
      </c>
      <c r="B7408" t="s">
        <v>5767</v>
      </c>
      <c r="E7408" s="1524" t="s">
        <v>854</v>
      </c>
      <c r="F7408" s="1524"/>
      <c r="G7408" s="948" t="s">
        <v>852</v>
      </c>
      <c r="H7408" s="972">
        <v>-0.71</v>
      </c>
      <c r="V7408">
        <v>72</v>
      </c>
    </row>
    <row r="7409" spans="1:22" customFormat="1" ht="15" x14ac:dyDescent="0.25">
      <c r="A7409" t="s">
        <v>220</v>
      </c>
      <c r="B7409" t="s">
        <v>5767</v>
      </c>
      <c r="E7409" s="1524" t="s">
        <v>855</v>
      </c>
      <c r="F7409" s="1524"/>
      <c r="G7409" s="1593"/>
      <c r="H7409" s="1593"/>
      <c r="V7409">
        <v>34</v>
      </c>
    </row>
    <row r="7410" spans="1:22" customFormat="1" ht="15" x14ac:dyDescent="0.25">
      <c r="A7410" t="s">
        <v>220</v>
      </c>
      <c r="B7410" t="s">
        <v>5767</v>
      </c>
      <c r="E7410" s="1557" t="s">
        <v>1106</v>
      </c>
      <c r="F7410" s="1557"/>
      <c r="G7410" s="948" t="s">
        <v>777</v>
      </c>
      <c r="H7410" s="972">
        <v>0.61</v>
      </c>
      <c r="V7410">
        <v>57</v>
      </c>
    </row>
    <row r="7411" spans="1:22" customFormat="1" ht="15" x14ac:dyDescent="0.25">
      <c r="A7411" t="s">
        <v>220</v>
      </c>
      <c r="B7411" t="s">
        <v>5767</v>
      </c>
      <c r="E7411" s="1557" t="s">
        <v>1107</v>
      </c>
      <c r="F7411" s="1557"/>
      <c r="G7411" s="948" t="s">
        <v>777</v>
      </c>
      <c r="H7411" s="972">
        <v>1.2</v>
      </c>
      <c r="V7411">
        <v>60</v>
      </c>
    </row>
    <row r="7412" spans="1:22" customFormat="1" ht="15" x14ac:dyDescent="0.25">
      <c r="A7412" t="s">
        <v>220</v>
      </c>
      <c r="B7412" t="s">
        <v>5767</v>
      </c>
      <c r="E7412" s="1524" t="s">
        <v>4222</v>
      </c>
      <c r="F7412" s="1524"/>
      <c r="G7412" s="973"/>
      <c r="H7412" s="973"/>
      <c r="V7412">
        <v>266</v>
      </c>
    </row>
    <row r="7413" spans="1:22" customFormat="1" ht="15" x14ac:dyDescent="0.25">
      <c r="A7413" t="s">
        <v>220</v>
      </c>
      <c r="B7413" t="s">
        <v>5767</v>
      </c>
      <c r="E7413" s="1524" t="s">
        <v>1111</v>
      </c>
      <c r="F7413" s="1524"/>
      <c r="G7413" s="948" t="s">
        <v>777</v>
      </c>
      <c r="H7413" s="974" t="s">
        <v>5786</v>
      </c>
      <c r="V7413">
        <v>18</v>
      </c>
    </row>
    <row r="7414" spans="1:22" customFormat="1" ht="15" x14ac:dyDescent="0.25">
      <c r="A7414" t="s">
        <v>220</v>
      </c>
      <c r="B7414" t="s">
        <v>5767</v>
      </c>
      <c r="E7414" s="1524" t="s">
        <v>1112</v>
      </c>
      <c r="F7414" s="1524"/>
      <c r="G7414" s="948" t="s">
        <v>777</v>
      </c>
      <c r="H7414" s="972">
        <v>4.8499999999999996</v>
      </c>
      <c r="V7414">
        <v>69</v>
      </c>
    </row>
    <row r="7415" spans="1:22" customFormat="1" ht="15" x14ac:dyDescent="0.25">
      <c r="A7415" t="s">
        <v>220</v>
      </c>
      <c r="B7415" t="s">
        <v>5767</v>
      </c>
      <c r="E7415" s="1557" t="s">
        <v>858</v>
      </c>
      <c r="F7415" s="1557"/>
      <c r="G7415" s="948" t="s">
        <v>777</v>
      </c>
      <c r="H7415" s="972">
        <v>2.42</v>
      </c>
      <c r="V7415">
        <v>199</v>
      </c>
    </row>
    <row r="7416" spans="1:22" customFormat="1" ht="18.75" x14ac:dyDescent="0.25">
      <c r="A7416" t="s">
        <v>220</v>
      </c>
      <c r="B7416" t="s">
        <v>5767</v>
      </c>
      <c r="E7416" s="1552" t="s">
        <v>3853</v>
      </c>
      <c r="F7416" s="1524"/>
      <c r="G7416" s="1592"/>
      <c r="H7416" s="1592"/>
      <c r="K7416" t="s">
        <v>4630</v>
      </c>
      <c r="V7416">
        <v>12</v>
      </c>
    </row>
    <row r="7417" spans="1:22" customFormat="1" ht="15" x14ac:dyDescent="0.25">
      <c r="A7417" t="s">
        <v>220</v>
      </c>
      <c r="B7417" t="s">
        <v>5767</v>
      </c>
      <c r="E7417" s="1507" t="s">
        <v>1114</v>
      </c>
      <c r="F7417" s="1507"/>
      <c r="G7417" s="1507"/>
      <c r="H7417" s="1507"/>
      <c r="V7417">
        <v>203</v>
      </c>
    </row>
    <row r="7418" spans="1:22" customFormat="1" ht="15" x14ac:dyDescent="0.25">
      <c r="A7418" t="s">
        <v>220</v>
      </c>
      <c r="B7418" t="s">
        <v>5767</v>
      </c>
      <c r="E7418" s="1524" t="s">
        <v>1115</v>
      </c>
      <c r="F7418" s="1524"/>
      <c r="G7418" s="360"/>
      <c r="H7418" s="971">
        <v>1.0431999999999999</v>
      </c>
      <c r="V7418">
        <v>57</v>
      </c>
    </row>
    <row r="7419" spans="1:22" customFormat="1" ht="15" x14ac:dyDescent="0.25">
      <c r="A7419" t="s">
        <v>220</v>
      </c>
      <c r="B7419" t="s">
        <v>5767</v>
      </c>
      <c r="E7419" s="1524" t="s">
        <v>4072</v>
      </c>
      <c r="F7419" s="1524"/>
      <c r="G7419" s="360"/>
      <c r="H7419" s="971">
        <v>1.0148999999999999</v>
      </c>
      <c r="V7419">
        <v>57</v>
      </c>
    </row>
    <row r="7420" spans="1:22" customFormat="1" ht="15" x14ac:dyDescent="0.25">
      <c r="A7420" t="s">
        <v>220</v>
      </c>
      <c r="B7420" t="s">
        <v>5767</v>
      </c>
      <c r="E7420" s="1524" t="s">
        <v>1117</v>
      </c>
      <c r="F7420" s="1524"/>
      <c r="G7420" s="360"/>
      <c r="H7420" s="971">
        <v>1.0327999999999999</v>
      </c>
      <c r="V7420">
        <v>55</v>
      </c>
    </row>
    <row r="7421" spans="1:22" customFormat="1" ht="15" x14ac:dyDescent="0.25">
      <c r="A7421" t="s">
        <v>220</v>
      </c>
      <c r="B7421" t="s">
        <v>5767</v>
      </c>
      <c r="E7421" s="1524" t="s">
        <v>4073</v>
      </c>
      <c r="F7421" s="1524"/>
      <c r="G7421" s="360"/>
      <c r="H7421" s="971">
        <v>1.0048999999999999</v>
      </c>
      <c r="J7421" t="s">
        <v>6859</v>
      </c>
      <c r="V7421">
        <v>55</v>
      </c>
    </row>
    <row r="7422" spans="1:22" customFormat="1" ht="23.25" x14ac:dyDescent="0.25">
      <c r="A7422" t="s">
        <v>237</v>
      </c>
      <c r="C7422" t="s">
        <v>3755</v>
      </c>
      <c r="E7422" s="1550" t="s">
        <v>237</v>
      </c>
      <c r="F7422" s="1550"/>
      <c r="G7422" s="1550"/>
      <c r="H7422" s="1550"/>
      <c r="I7422" t="s">
        <v>94</v>
      </c>
      <c r="J7422" t="s">
        <v>5347</v>
      </c>
      <c r="K7422" t="s">
        <v>237</v>
      </c>
      <c r="M7422">
        <v>6</v>
      </c>
      <c r="V7422">
        <v>30</v>
      </c>
    </row>
    <row r="7423" spans="1:22" customFormat="1" x14ac:dyDescent="0.25">
      <c r="A7423" t="s">
        <v>237</v>
      </c>
      <c r="C7423" t="s">
        <v>3757</v>
      </c>
      <c r="E7423" s="1551" t="s">
        <v>944</v>
      </c>
      <c r="F7423" s="1551"/>
      <c r="G7423" s="1551"/>
      <c r="H7423" s="1551"/>
      <c r="V7423">
        <v>27</v>
      </c>
    </row>
    <row r="7424" spans="1:22" customFormat="1" ht="15.75" x14ac:dyDescent="0.25">
      <c r="A7424" t="s">
        <v>237</v>
      </c>
      <c r="C7424" t="s">
        <v>3758</v>
      </c>
      <c r="E7424" s="1543" t="s">
        <v>6847</v>
      </c>
      <c r="F7424" s="1543"/>
      <c r="G7424" s="1543"/>
      <c r="H7424" s="1543"/>
      <c r="S7424">
        <v>45778</v>
      </c>
      <c r="V7424">
        <v>45</v>
      </c>
    </row>
    <row r="7425" spans="1:22" customFormat="1" ht="15" x14ac:dyDescent="0.25">
      <c r="A7425" t="s">
        <v>237</v>
      </c>
      <c r="C7425" t="s">
        <v>3759</v>
      </c>
      <c r="E7425" s="1544" t="s">
        <v>945</v>
      </c>
      <c r="F7425" s="1544"/>
      <c r="G7425" s="1544"/>
      <c r="H7425" s="1544"/>
      <c r="V7425">
        <v>52</v>
      </c>
    </row>
    <row r="7426" spans="1:22" customFormat="1" ht="15" x14ac:dyDescent="0.25">
      <c r="A7426" t="s">
        <v>237</v>
      </c>
      <c r="E7426" s="1544" t="s">
        <v>946</v>
      </c>
      <c r="F7426" s="1544"/>
      <c r="G7426" s="1544"/>
      <c r="H7426" s="1544"/>
      <c r="V7426">
        <v>53</v>
      </c>
    </row>
    <row r="7427" spans="1:22" customFormat="1" ht="15" x14ac:dyDescent="0.25">
      <c r="A7427" t="s">
        <v>237</v>
      </c>
      <c r="E7427" s="1513" t="s">
        <v>6860</v>
      </c>
      <c r="F7427" s="1513"/>
      <c r="G7427" s="1513"/>
      <c r="H7427" s="1513"/>
      <c r="K7427" t="s">
        <v>6860</v>
      </c>
      <c r="V7427">
        <v>12</v>
      </c>
    </row>
    <row r="7428" spans="1:22" customFormat="1" ht="15" x14ac:dyDescent="0.25">
      <c r="A7428" t="s">
        <v>237</v>
      </c>
      <c r="E7428" s="1492" t="s">
        <v>170</v>
      </c>
      <c r="F7428" s="1516"/>
      <c r="G7428" s="1516"/>
      <c r="H7428" s="1516"/>
      <c r="K7428" t="s">
        <v>947</v>
      </c>
      <c r="V7428">
        <v>34</v>
      </c>
    </row>
    <row r="7429" spans="1:22" customFormat="1" ht="15" x14ac:dyDescent="0.25">
      <c r="A7429" t="s">
        <v>237</v>
      </c>
      <c r="E7429" s="1516" t="s">
        <v>5348</v>
      </c>
      <c r="F7429" s="1516"/>
      <c r="G7429" s="1516"/>
      <c r="H7429" s="1516"/>
      <c r="K7429" t="s">
        <v>947</v>
      </c>
      <c r="V7429">
        <v>470</v>
      </c>
    </row>
    <row r="7430" spans="1:22" customFormat="1" ht="15" x14ac:dyDescent="0.25">
      <c r="A7430" t="s">
        <v>237</v>
      </c>
      <c r="E7430" s="1515" t="s">
        <v>950</v>
      </c>
      <c r="F7430" s="1516"/>
      <c r="G7430" s="1516"/>
      <c r="H7430" s="1516"/>
      <c r="K7430" t="s">
        <v>949</v>
      </c>
      <c r="V7430">
        <v>11</v>
      </c>
    </row>
    <row r="7431" spans="1:22" customFormat="1" ht="15" x14ac:dyDescent="0.25">
      <c r="A7431" t="s">
        <v>237</v>
      </c>
      <c r="E7431" s="1516" t="s">
        <v>4477</v>
      </c>
      <c r="F7431" s="1516"/>
      <c r="G7431" s="1516"/>
      <c r="H7431" s="1516"/>
      <c r="K7431" t="s">
        <v>947</v>
      </c>
      <c r="V7431">
        <v>272</v>
      </c>
    </row>
    <row r="7432" spans="1:22" customFormat="1" ht="15" x14ac:dyDescent="0.25">
      <c r="A7432" t="s">
        <v>237</v>
      </c>
      <c r="E7432" s="1516" t="s">
        <v>4478</v>
      </c>
      <c r="F7432" s="1516"/>
      <c r="G7432" s="1516"/>
      <c r="H7432" s="1516"/>
      <c r="K7432" t="s">
        <v>947</v>
      </c>
      <c r="V7432">
        <v>403</v>
      </c>
    </row>
    <row r="7433" spans="1:22" customFormat="1" ht="15" x14ac:dyDescent="0.25">
      <c r="A7433" t="s">
        <v>237</v>
      </c>
      <c r="E7433" s="1516" t="s">
        <v>5349</v>
      </c>
      <c r="F7433" s="1516"/>
      <c r="G7433" s="1516"/>
      <c r="H7433" s="1516"/>
      <c r="K7433" t="s">
        <v>947</v>
      </c>
      <c r="V7433">
        <v>380</v>
      </c>
    </row>
    <row r="7434" spans="1:22" customFormat="1" ht="15" x14ac:dyDescent="0.25">
      <c r="A7434" t="s">
        <v>237</v>
      </c>
      <c r="E7434" s="1516" t="s">
        <v>3762</v>
      </c>
      <c r="F7434" s="1516"/>
      <c r="G7434" s="1516"/>
      <c r="H7434" s="1516"/>
      <c r="K7434" t="s">
        <v>947</v>
      </c>
      <c r="V7434">
        <v>247</v>
      </c>
    </row>
    <row r="7435" spans="1:22" customFormat="1" ht="15" x14ac:dyDescent="0.25">
      <c r="A7435" t="s">
        <v>237</v>
      </c>
      <c r="E7435" s="1515" t="s">
        <v>956</v>
      </c>
      <c r="F7435" s="1516"/>
      <c r="G7435" s="1516"/>
      <c r="H7435" s="1516"/>
      <c r="K7435" t="s">
        <v>955</v>
      </c>
      <c r="V7435">
        <v>46</v>
      </c>
    </row>
    <row r="7436" spans="1:22" customFormat="1" ht="15" x14ac:dyDescent="0.25">
      <c r="A7436" t="s">
        <v>237</v>
      </c>
      <c r="E7436" s="1507" t="s">
        <v>3773</v>
      </c>
      <c r="F7436" s="1507"/>
      <c r="G7436" s="584" t="s">
        <v>777</v>
      </c>
      <c r="H7436" s="576">
        <v>39.85</v>
      </c>
      <c r="K7436" t="s">
        <v>947</v>
      </c>
      <c r="L7436" t="s">
        <v>690</v>
      </c>
      <c r="P7436" t="s">
        <v>957</v>
      </c>
      <c r="V7436">
        <v>14</v>
      </c>
    </row>
    <row r="7437" spans="1:22" customFormat="1" ht="15" x14ac:dyDescent="0.25">
      <c r="A7437" t="s">
        <v>237</v>
      </c>
      <c r="E7437" s="1507" t="s">
        <v>960</v>
      </c>
      <c r="F7437" s="1507"/>
      <c r="G7437" s="584" t="s">
        <v>777</v>
      </c>
      <c r="H7437" s="576">
        <v>0.42</v>
      </c>
      <c r="K7437" t="s">
        <v>947</v>
      </c>
      <c r="L7437" t="s">
        <v>692</v>
      </c>
      <c r="P7437" t="s">
        <v>959</v>
      </c>
      <c r="V7437">
        <v>64</v>
      </c>
    </row>
    <row r="7438" spans="1:22" customFormat="1" ht="15" x14ac:dyDescent="0.25">
      <c r="A7438" t="s">
        <v>237</v>
      </c>
      <c r="E7438" s="1507" t="s">
        <v>6849</v>
      </c>
      <c r="F7438" s="1510"/>
      <c r="G7438" s="584" t="s">
        <v>845</v>
      </c>
      <c r="H7438" s="577">
        <v>4.1000000000000003E-3</v>
      </c>
      <c r="K7438" t="s">
        <v>947</v>
      </c>
      <c r="L7438" t="s">
        <v>692</v>
      </c>
      <c r="P7438" t="s">
        <v>962</v>
      </c>
      <c r="T7438">
        <v>46142</v>
      </c>
      <c r="V7438">
        <v>139</v>
      </c>
    </row>
    <row r="7439" spans="1:22" customFormat="1" ht="15" x14ac:dyDescent="0.25">
      <c r="A7439" t="s">
        <v>237</v>
      </c>
      <c r="E7439" s="1507" t="s">
        <v>6850</v>
      </c>
      <c r="F7439" s="1510"/>
      <c r="G7439" s="584" t="s">
        <v>845</v>
      </c>
      <c r="H7439" s="577">
        <v>8.9999999999999998E-4</v>
      </c>
      <c r="K7439" t="s">
        <v>947</v>
      </c>
      <c r="L7439" t="s">
        <v>692</v>
      </c>
      <c r="P7439" t="s">
        <v>963</v>
      </c>
      <c r="T7439">
        <v>46142</v>
      </c>
      <c r="V7439">
        <v>96</v>
      </c>
    </row>
    <row r="7440" spans="1:22" customFormat="1" ht="15" x14ac:dyDescent="0.25">
      <c r="A7440" t="s">
        <v>237</v>
      </c>
      <c r="E7440" s="1507" t="s">
        <v>243</v>
      </c>
      <c r="F7440" s="1507"/>
      <c r="G7440" s="584" t="s">
        <v>845</v>
      </c>
      <c r="H7440" s="577">
        <v>1.21E-2</v>
      </c>
      <c r="K7440" t="s">
        <v>947</v>
      </c>
      <c r="L7440" t="s">
        <v>694</v>
      </c>
      <c r="P7440" t="s">
        <v>964</v>
      </c>
      <c r="V7440">
        <v>47</v>
      </c>
    </row>
    <row r="7441" spans="1:22" customFormat="1" ht="15" x14ac:dyDescent="0.25">
      <c r="A7441" t="s">
        <v>237</v>
      </c>
      <c r="E7441" s="1507" t="s">
        <v>175</v>
      </c>
      <c r="F7441" s="1507"/>
      <c r="G7441" s="584" t="s">
        <v>845</v>
      </c>
      <c r="H7441" s="577">
        <v>2.0999999999999999E-3</v>
      </c>
      <c r="K7441" t="s">
        <v>947</v>
      </c>
      <c r="L7441" t="s">
        <v>694</v>
      </c>
      <c r="P7441" t="s">
        <v>965</v>
      </c>
      <c r="V7441">
        <v>74</v>
      </c>
    </row>
    <row r="7442" spans="1:22" customFormat="1" ht="15" x14ac:dyDescent="0.25">
      <c r="A7442" t="s">
        <v>237</v>
      </c>
      <c r="E7442" s="1515" t="s">
        <v>967</v>
      </c>
      <c r="F7442" s="1507"/>
      <c r="G7442" s="584"/>
      <c r="H7442" s="584"/>
      <c r="K7442" t="s">
        <v>966</v>
      </c>
      <c r="V7442">
        <v>48</v>
      </c>
    </row>
    <row r="7443" spans="1:22" customFormat="1" ht="15" x14ac:dyDescent="0.25">
      <c r="A7443" t="s">
        <v>237</v>
      </c>
      <c r="E7443" s="1507" t="s">
        <v>844</v>
      </c>
      <c r="F7443" s="1507"/>
      <c r="G7443" s="584" t="s">
        <v>845</v>
      </c>
      <c r="H7443" s="577">
        <v>4.1000000000000003E-3</v>
      </c>
      <c r="K7443" t="s">
        <v>947</v>
      </c>
      <c r="L7443" t="s">
        <v>968</v>
      </c>
      <c r="P7443" t="s">
        <v>969</v>
      </c>
      <c r="V7443">
        <v>55</v>
      </c>
    </row>
    <row r="7444" spans="1:22" customFormat="1" ht="15" x14ac:dyDescent="0.25">
      <c r="A7444" t="s">
        <v>237</v>
      </c>
      <c r="E7444" s="1507" t="s">
        <v>846</v>
      </c>
      <c r="F7444" s="1507"/>
      <c r="G7444" s="584" t="s">
        <v>845</v>
      </c>
      <c r="H7444" s="577">
        <v>4.0000000000000002E-4</v>
      </c>
      <c r="K7444" t="s">
        <v>947</v>
      </c>
      <c r="L7444" t="s">
        <v>968</v>
      </c>
      <c r="P7444" t="s">
        <v>969</v>
      </c>
      <c r="V7444">
        <v>65</v>
      </c>
    </row>
    <row r="7445" spans="1:22" customFormat="1" ht="15" x14ac:dyDescent="0.25">
      <c r="A7445" t="s">
        <v>237</v>
      </c>
      <c r="E7445" s="1507" t="s">
        <v>847</v>
      </c>
      <c r="F7445" s="1507"/>
      <c r="G7445" s="584" t="s">
        <v>845</v>
      </c>
      <c r="H7445" s="577">
        <v>1.5E-3</v>
      </c>
      <c r="K7445" t="s">
        <v>947</v>
      </c>
      <c r="L7445" t="s">
        <v>968</v>
      </c>
      <c r="P7445" t="s">
        <v>970</v>
      </c>
      <c r="V7445">
        <v>57</v>
      </c>
    </row>
    <row r="7446" spans="1:22" customFormat="1" ht="15" x14ac:dyDescent="0.25">
      <c r="A7446" t="s">
        <v>237</v>
      </c>
      <c r="E7446" s="1507" t="s">
        <v>848</v>
      </c>
      <c r="F7446" s="1507"/>
      <c r="G7446" s="584" t="s">
        <v>777</v>
      </c>
      <c r="H7446" s="576">
        <v>0.25</v>
      </c>
      <c r="K7446" t="s">
        <v>947</v>
      </c>
      <c r="L7446" t="s">
        <v>968</v>
      </c>
      <c r="P7446" t="s">
        <v>971</v>
      </c>
      <c r="V7446">
        <v>63</v>
      </c>
    </row>
    <row r="7447" spans="1:22" customFormat="1" x14ac:dyDescent="0.25">
      <c r="A7447" t="s">
        <v>237</v>
      </c>
      <c r="E7447" s="1492" t="s">
        <v>174</v>
      </c>
      <c r="F7447" s="1493"/>
      <c r="G7447" s="1493"/>
      <c r="H7447" s="1493"/>
      <c r="K7447" t="s">
        <v>972</v>
      </c>
      <c r="V7447">
        <v>54</v>
      </c>
    </row>
    <row r="7448" spans="1:22" customFormat="1" ht="15" x14ac:dyDescent="0.25">
      <c r="A7448" t="s">
        <v>237</v>
      </c>
      <c r="E7448" s="1516" t="s">
        <v>5350</v>
      </c>
      <c r="F7448" s="1516"/>
      <c r="G7448" s="1516"/>
      <c r="H7448" s="1516"/>
      <c r="K7448" t="s">
        <v>972</v>
      </c>
      <c r="V7448">
        <v>418</v>
      </c>
    </row>
    <row r="7449" spans="1:22" customFormat="1" ht="15" x14ac:dyDescent="0.25">
      <c r="A7449" t="s">
        <v>237</v>
      </c>
      <c r="E7449" s="1515" t="s">
        <v>950</v>
      </c>
      <c r="F7449" s="1516"/>
      <c r="G7449" s="1516"/>
      <c r="H7449" s="1516"/>
      <c r="K7449" t="s">
        <v>974</v>
      </c>
      <c r="V7449">
        <v>11</v>
      </c>
    </row>
    <row r="7450" spans="1:22" customFormat="1" ht="15" x14ac:dyDescent="0.25">
      <c r="A7450" t="s">
        <v>237</v>
      </c>
      <c r="E7450" s="1516" t="s">
        <v>4477</v>
      </c>
      <c r="F7450" s="1516"/>
      <c r="G7450" s="1516"/>
      <c r="H7450" s="1516"/>
      <c r="K7450" t="s">
        <v>972</v>
      </c>
      <c r="V7450">
        <v>272</v>
      </c>
    </row>
    <row r="7451" spans="1:22" customFormat="1" ht="15" x14ac:dyDescent="0.25">
      <c r="A7451" t="s">
        <v>237</v>
      </c>
      <c r="E7451" s="1516" t="s">
        <v>4478</v>
      </c>
      <c r="F7451" s="1516"/>
      <c r="G7451" s="1516"/>
      <c r="H7451" s="1516"/>
      <c r="K7451" t="s">
        <v>972</v>
      </c>
      <c r="V7451">
        <v>403</v>
      </c>
    </row>
    <row r="7452" spans="1:22" customFormat="1" ht="15" x14ac:dyDescent="0.25">
      <c r="A7452" t="s">
        <v>237</v>
      </c>
      <c r="E7452" s="1516" t="s">
        <v>5349</v>
      </c>
      <c r="F7452" s="1516"/>
      <c r="G7452" s="1516"/>
      <c r="H7452" s="1516"/>
      <c r="K7452" t="s">
        <v>972</v>
      </c>
      <c r="V7452">
        <v>380</v>
      </c>
    </row>
    <row r="7453" spans="1:22" customFormat="1" ht="15" x14ac:dyDescent="0.25">
      <c r="A7453" t="s">
        <v>237</v>
      </c>
      <c r="E7453" s="1516" t="s">
        <v>3762</v>
      </c>
      <c r="F7453" s="1516"/>
      <c r="G7453" s="1516"/>
      <c r="H7453" s="1516"/>
      <c r="K7453" t="s">
        <v>972</v>
      </c>
      <c r="V7453">
        <v>247</v>
      </c>
    </row>
    <row r="7454" spans="1:22" customFormat="1" ht="15" x14ac:dyDescent="0.25">
      <c r="A7454" t="s">
        <v>237</v>
      </c>
      <c r="E7454" s="1515" t="s">
        <v>956</v>
      </c>
      <c r="F7454" s="1516"/>
      <c r="G7454" s="1516"/>
      <c r="H7454" s="1516"/>
      <c r="K7454" t="s">
        <v>975</v>
      </c>
      <c r="V7454">
        <v>46</v>
      </c>
    </row>
    <row r="7455" spans="1:22" customFormat="1" ht="15" x14ac:dyDescent="0.25">
      <c r="A7455" t="s">
        <v>237</v>
      </c>
      <c r="E7455" s="1507" t="s">
        <v>3773</v>
      </c>
      <c r="F7455" s="1507"/>
      <c r="G7455" s="584" t="s">
        <v>777</v>
      </c>
      <c r="H7455" s="576">
        <v>54.18</v>
      </c>
      <c r="K7455" t="s">
        <v>972</v>
      </c>
      <c r="L7455" t="s">
        <v>690</v>
      </c>
      <c r="P7455" t="s">
        <v>976</v>
      </c>
      <c r="V7455">
        <v>14</v>
      </c>
    </row>
    <row r="7456" spans="1:22" customFormat="1" ht="15" x14ac:dyDescent="0.25">
      <c r="A7456" t="s">
        <v>237</v>
      </c>
      <c r="E7456" s="1507" t="s">
        <v>960</v>
      </c>
      <c r="F7456" s="1507"/>
      <c r="G7456" s="584" t="s">
        <v>777</v>
      </c>
      <c r="H7456" s="576">
        <v>0.42</v>
      </c>
      <c r="K7456" t="s">
        <v>972</v>
      </c>
      <c r="L7456" t="s">
        <v>692</v>
      </c>
      <c r="P7456" t="s">
        <v>977</v>
      </c>
      <c r="V7456">
        <v>64</v>
      </c>
    </row>
    <row r="7457" spans="1:22" customFormat="1" ht="15" x14ac:dyDescent="0.25">
      <c r="A7457" t="s">
        <v>237</v>
      </c>
      <c r="E7457" s="1507" t="s">
        <v>3688</v>
      </c>
      <c r="F7457" s="1507"/>
      <c r="G7457" s="584" t="s">
        <v>845</v>
      </c>
      <c r="H7457" s="577">
        <v>1.24E-2</v>
      </c>
      <c r="K7457" t="s">
        <v>972</v>
      </c>
      <c r="L7457" t="s">
        <v>690</v>
      </c>
      <c r="P7457" t="s">
        <v>978</v>
      </c>
      <c r="V7457">
        <v>28</v>
      </c>
    </row>
    <row r="7458" spans="1:22" customFormat="1" ht="15" x14ac:dyDescent="0.25">
      <c r="A7458" t="s">
        <v>237</v>
      </c>
      <c r="E7458" s="1507" t="s">
        <v>6849</v>
      </c>
      <c r="F7458" s="1510"/>
      <c r="G7458" s="584" t="s">
        <v>845</v>
      </c>
      <c r="H7458" s="577">
        <v>4.1000000000000003E-3</v>
      </c>
      <c r="K7458" t="s">
        <v>972</v>
      </c>
      <c r="L7458" t="s">
        <v>692</v>
      </c>
      <c r="P7458" t="s">
        <v>981</v>
      </c>
      <c r="T7458">
        <v>46142</v>
      </c>
      <c r="V7458">
        <v>139</v>
      </c>
    </row>
    <row r="7459" spans="1:22" customFormat="1" ht="15" x14ac:dyDescent="0.25">
      <c r="A7459" t="s">
        <v>237</v>
      </c>
      <c r="E7459" s="1507" t="s">
        <v>6850</v>
      </c>
      <c r="F7459" s="1510"/>
      <c r="G7459" s="584" t="s">
        <v>845</v>
      </c>
      <c r="H7459" s="577">
        <v>1.1000000000000001E-3</v>
      </c>
      <c r="K7459" t="s">
        <v>972</v>
      </c>
      <c r="L7459" t="s">
        <v>692</v>
      </c>
      <c r="P7459" t="s">
        <v>982</v>
      </c>
      <c r="T7459">
        <v>46142</v>
      </c>
      <c r="V7459">
        <v>96</v>
      </c>
    </row>
    <row r="7460" spans="1:22" customFormat="1" ht="15" x14ac:dyDescent="0.25">
      <c r="A7460" t="s">
        <v>237</v>
      </c>
      <c r="E7460" s="1507" t="s">
        <v>243</v>
      </c>
      <c r="F7460" s="1507"/>
      <c r="G7460" s="584" t="s">
        <v>845</v>
      </c>
      <c r="H7460" s="577">
        <v>1.0800000000000001E-2</v>
      </c>
      <c r="K7460" t="s">
        <v>972</v>
      </c>
      <c r="L7460" t="s">
        <v>694</v>
      </c>
      <c r="P7460" t="s">
        <v>983</v>
      </c>
      <c r="V7460">
        <v>47</v>
      </c>
    </row>
    <row r="7461" spans="1:22" customFormat="1" ht="15" x14ac:dyDescent="0.25">
      <c r="A7461" t="s">
        <v>237</v>
      </c>
      <c r="E7461" s="1507" t="s">
        <v>175</v>
      </c>
      <c r="F7461" s="1507"/>
      <c r="G7461" s="584" t="s">
        <v>845</v>
      </c>
      <c r="H7461" s="577">
        <v>1.8E-3</v>
      </c>
      <c r="K7461" t="s">
        <v>972</v>
      </c>
      <c r="L7461" t="s">
        <v>694</v>
      </c>
      <c r="P7461" t="s">
        <v>984</v>
      </c>
      <c r="V7461">
        <v>74</v>
      </c>
    </row>
    <row r="7462" spans="1:22" customFormat="1" ht="15" x14ac:dyDescent="0.25">
      <c r="A7462" t="s">
        <v>237</v>
      </c>
      <c r="E7462" s="1515" t="s">
        <v>967</v>
      </c>
      <c r="F7462" s="1507"/>
      <c r="G7462" s="584"/>
      <c r="H7462" s="584"/>
      <c r="K7462" t="s">
        <v>985</v>
      </c>
      <c r="V7462">
        <v>48</v>
      </c>
    </row>
    <row r="7463" spans="1:22" customFormat="1" ht="15" x14ac:dyDescent="0.25">
      <c r="A7463" t="s">
        <v>237</v>
      </c>
      <c r="E7463" s="1507" t="s">
        <v>844</v>
      </c>
      <c r="F7463" s="1507"/>
      <c r="G7463" s="584" t="s">
        <v>845</v>
      </c>
      <c r="H7463" s="577">
        <v>4.1000000000000003E-3</v>
      </c>
      <c r="K7463" t="s">
        <v>972</v>
      </c>
      <c r="L7463" t="s">
        <v>968</v>
      </c>
      <c r="P7463" t="s">
        <v>986</v>
      </c>
      <c r="V7463">
        <v>55</v>
      </c>
    </row>
    <row r="7464" spans="1:22" customFormat="1" ht="15" x14ac:dyDescent="0.25">
      <c r="A7464" t="s">
        <v>237</v>
      </c>
      <c r="E7464" s="1507" t="s">
        <v>846</v>
      </c>
      <c r="F7464" s="1507"/>
      <c r="G7464" s="584" t="s">
        <v>845</v>
      </c>
      <c r="H7464" s="577">
        <v>4.0000000000000002E-4</v>
      </c>
      <c r="K7464" t="s">
        <v>972</v>
      </c>
      <c r="L7464" t="s">
        <v>968</v>
      </c>
      <c r="P7464" t="s">
        <v>986</v>
      </c>
      <c r="V7464">
        <v>65</v>
      </c>
    </row>
    <row r="7465" spans="1:22" customFormat="1" ht="15" x14ac:dyDescent="0.25">
      <c r="A7465" t="s">
        <v>237</v>
      </c>
      <c r="E7465" s="1507" t="s">
        <v>847</v>
      </c>
      <c r="F7465" s="1507"/>
      <c r="G7465" s="584" t="s">
        <v>845</v>
      </c>
      <c r="H7465" s="577">
        <v>1.5E-3</v>
      </c>
      <c r="K7465" t="s">
        <v>972</v>
      </c>
      <c r="L7465" t="s">
        <v>968</v>
      </c>
      <c r="P7465" t="s">
        <v>987</v>
      </c>
      <c r="V7465">
        <v>57</v>
      </c>
    </row>
    <row r="7466" spans="1:22" customFormat="1" ht="15" x14ac:dyDescent="0.25">
      <c r="A7466" t="s">
        <v>237</v>
      </c>
      <c r="E7466" s="1507" t="s">
        <v>848</v>
      </c>
      <c r="F7466" s="1507"/>
      <c r="G7466" s="584" t="s">
        <v>777</v>
      </c>
      <c r="H7466" s="576">
        <v>0.25</v>
      </c>
      <c r="K7466" t="s">
        <v>972</v>
      </c>
      <c r="L7466" t="s">
        <v>968</v>
      </c>
      <c r="P7466" t="s">
        <v>988</v>
      </c>
      <c r="V7466">
        <v>63</v>
      </c>
    </row>
    <row r="7467" spans="1:22" customFormat="1" x14ac:dyDescent="0.25">
      <c r="A7467" t="s">
        <v>237</v>
      </c>
      <c r="E7467" s="1492" t="s">
        <v>3767</v>
      </c>
      <c r="F7467" s="1493"/>
      <c r="G7467" s="1493"/>
      <c r="H7467" s="1493"/>
      <c r="K7467" t="s">
        <v>3768</v>
      </c>
      <c r="V7467">
        <v>53</v>
      </c>
    </row>
    <row r="7468" spans="1:22" customFormat="1" ht="15" x14ac:dyDescent="0.25">
      <c r="A7468" t="s">
        <v>237</v>
      </c>
      <c r="E7468" s="1516" t="s">
        <v>5351</v>
      </c>
      <c r="F7468" s="1516"/>
      <c r="G7468" s="1516"/>
      <c r="H7468" s="1516"/>
      <c r="K7468" t="s">
        <v>3768</v>
      </c>
      <c r="V7468">
        <v>629</v>
      </c>
    </row>
    <row r="7469" spans="1:22" customFormat="1" ht="15" x14ac:dyDescent="0.25">
      <c r="A7469" t="s">
        <v>237</v>
      </c>
      <c r="E7469" s="1515" t="s">
        <v>950</v>
      </c>
      <c r="F7469" s="1516"/>
      <c r="G7469" s="1516"/>
      <c r="H7469" s="1516"/>
      <c r="K7469" t="s">
        <v>992</v>
      </c>
      <c r="V7469">
        <v>11</v>
      </c>
    </row>
    <row r="7470" spans="1:22" customFormat="1" ht="15" x14ac:dyDescent="0.25">
      <c r="A7470" t="s">
        <v>237</v>
      </c>
      <c r="E7470" s="1516" t="s">
        <v>4477</v>
      </c>
      <c r="F7470" s="1516"/>
      <c r="G7470" s="1516"/>
      <c r="H7470" s="1516"/>
      <c r="K7470" t="s">
        <v>3768</v>
      </c>
      <c r="V7470">
        <v>272</v>
      </c>
    </row>
    <row r="7471" spans="1:22" customFormat="1" ht="15" x14ac:dyDescent="0.25">
      <c r="A7471" t="s">
        <v>237</v>
      </c>
      <c r="E7471" s="1516" t="s">
        <v>4478</v>
      </c>
      <c r="F7471" s="1516"/>
      <c r="G7471" s="1516"/>
      <c r="H7471" s="1516"/>
      <c r="K7471" t="s">
        <v>3768</v>
      </c>
      <c r="V7471">
        <v>403</v>
      </c>
    </row>
    <row r="7472" spans="1:22" customFormat="1" ht="15" x14ac:dyDescent="0.25">
      <c r="A7472" t="s">
        <v>237</v>
      </c>
      <c r="E7472" s="1516" t="s">
        <v>5349</v>
      </c>
      <c r="F7472" s="1516"/>
      <c r="G7472" s="1516"/>
      <c r="H7472" s="1516"/>
      <c r="K7472" t="s">
        <v>3768</v>
      </c>
      <c r="V7472">
        <v>380</v>
      </c>
    </row>
    <row r="7473" spans="1:22" customFormat="1" ht="15" x14ac:dyDescent="0.25">
      <c r="A7473" t="s">
        <v>237</v>
      </c>
      <c r="E7473" s="1516" t="s">
        <v>993</v>
      </c>
      <c r="F7473" s="1516"/>
      <c r="G7473" s="1516"/>
      <c r="H7473" s="1516"/>
      <c r="K7473" t="s">
        <v>3768</v>
      </c>
      <c r="V7473">
        <v>680</v>
      </c>
    </row>
    <row r="7474" spans="1:22" customFormat="1" ht="15" x14ac:dyDescent="0.25">
      <c r="A7474" t="s">
        <v>237</v>
      </c>
      <c r="E7474" s="1516" t="s">
        <v>3772</v>
      </c>
      <c r="F7474" s="1516"/>
      <c r="G7474" s="1516"/>
      <c r="H7474" s="1516"/>
      <c r="K7474" t="s">
        <v>3768</v>
      </c>
      <c r="V7474">
        <v>693</v>
      </c>
    </row>
    <row r="7475" spans="1:22" customFormat="1" ht="15" x14ac:dyDescent="0.25">
      <c r="A7475" t="s">
        <v>237</v>
      </c>
      <c r="E7475" s="1516" t="s">
        <v>3762</v>
      </c>
      <c r="F7475" s="1516"/>
      <c r="G7475" s="1516"/>
      <c r="H7475" s="1516"/>
      <c r="K7475" t="s">
        <v>3768</v>
      </c>
      <c r="V7475">
        <v>247</v>
      </c>
    </row>
    <row r="7476" spans="1:22" customFormat="1" ht="15" x14ac:dyDescent="0.25">
      <c r="A7476" t="s">
        <v>237</v>
      </c>
      <c r="E7476" s="1515" t="s">
        <v>956</v>
      </c>
      <c r="F7476" s="1516"/>
      <c r="G7476" s="1516"/>
      <c r="H7476" s="1516"/>
      <c r="K7476" t="s">
        <v>995</v>
      </c>
      <c r="V7476">
        <v>46</v>
      </c>
    </row>
    <row r="7477" spans="1:22" customFormat="1" ht="15" x14ac:dyDescent="0.25">
      <c r="A7477" t="s">
        <v>237</v>
      </c>
      <c r="E7477" s="1507" t="s">
        <v>3773</v>
      </c>
      <c r="F7477" s="1507"/>
      <c r="G7477" s="584" t="s">
        <v>777</v>
      </c>
      <c r="H7477" s="576">
        <v>214.85</v>
      </c>
      <c r="K7477" t="s">
        <v>3768</v>
      </c>
      <c r="L7477" t="s">
        <v>690</v>
      </c>
      <c r="P7477" t="s">
        <v>3774</v>
      </c>
      <c r="V7477">
        <v>14</v>
      </c>
    </row>
    <row r="7478" spans="1:22" customFormat="1" ht="15" x14ac:dyDescent="0.25">
      <c r="A7478" t="s">
        <v>237</v>
      </c>
      <c r="E7478" s="1507" t="s">
        <v>3688</v>
      </c>
      <c r="F7478" s="1507"/>
      <c r="G7478" s="584" t="s">
        <v>3775</v>
      </c>
      <c r="H7478" s="577">
        <v>3.2412000000000001</v>
      </c>
      <c r="K7478" t="s">
        <v>3768</v>
      </c>
      <c r="L7478" t="s">
        <v>690</v>
      </c>
      <c r="P7478" t="s">
        <v>3776</v>
      </c>
      <c r="V7478">
        <v>28</v>
      </c>
    </row>
    <row r="7479" spans="1:22" customFormat="1" ht="15" x14ac:dyDescent="0.25">
      <c r="A7479" t="s">
        <v>237</v>
      </c>
      <c r="E7479" s="1507" t="s">
        <v>6849</v>
      </c>
      <c r="F7479" s="1510"/>
      <c r="G7479" s="584" t="s">
        <v>845</v>
      </c>
      <c r="H7479" s="577">
        <v>4.1000000000000003E-3</v>
      </c>
      <c r="K7479" t="s">
        <v>3768</v>
      </c>
      <c r="L7479" t="s">
        <v>692</v>
      </c>
      <c r="P7479" t="s">
        <v>4232</v>
      </c>
      <c r="T7479">
        <v>46142</v>
      </c>
      <c r="V7479">
        <v>139</v>
      </c>
    </row>
    <row r="7480" spans="1:22" customFormat="1" ht="15" x14ac:dyDescent="0.25">
      <c r="A7480" t="s">
        <v>237</v>
      </c>
      <c r="E7480" s="1507" t="s">
        <v>6850</v>
      </c>
      <c r="F7480" s="1510"/>
      <c r="G7480" s="584" t="s">
        <v>3775</v>
      </c>
      <c r="H7480" s="577">
        <v>0.3836</v>
      </c>
      <c r="K7480" t="s">
        <v>3768</v>
      </c>
      <c r="L7480" t="s">
        <v>692</v>
      </c>
      <c r="P7480" t="s">
        <v>3779</v>
      </c>
      <c r="T7480">
        <v>46142</v>
      </c>
      <c r="V7480">
        <v>96</v>
      </c>
    </row>
    <row r="7481" spans="1:22" customFormat="1" ht="15" x14ac:dyDescent="0.25">
      <c r="A7481" t="s">
        <v>237</v>
      </c>
      <c r="E7481" s="1507" t="s">
        <v>243</v>
      </c>
      <c r="F7481" s="1507"/>
      <c r="G7481" s="584" t="s">
        <v>3775</v>
      </c>
      <c r="H7481" s="577">
        <v>4.4829999999999997</v>
      </c>
      <c r="K7481" t="s">
        <v>3768</v>
      </c>
      <c r="L7481" t="s">
        <v>694</v>
      </c>
      <c r="P7481" t="s">
        <v>3780</v>
      </c>
      <c r="V7481">
        <v>47</v>
      </c>
    </row>
    <row r="7482" spans="1:22" customFormat="1" ht="15" x14ac:dyDescent="0.25">
      <c r="A7482" t="s">
        <v>237</v>
      </c>
      <c r="E7482" s="1507" t="s">
        <v>175</v>
      </c>
      <c r="F7482" s="1507"/>
      <c r="G7482" s="584" t="s">
        <v>3775</v>
      </c>
      <c r="H7482" s="577">
        <v>0.73729999999999996</v>
      </c>
      <c r="K7482" t="s">
        <v>3768</v>
      </c>
      <c r="L7482" t="s">
        <v>694</v>
      </c>
      <c r="P7482" t="s">
        <v>3781</v>
      </c>
      <c r="V7482">
        <v>74</v>
      </c>
    </row>
    <row r="7483" spans="1:22" customFormat="1" ht="15" x14ac:dyDescent="0.25">
      <c r="A7483" t="s">
        <v>237</v>
      </c>
      <c r="E7483" s="1515" t="s">
        <v>967</v>
      </c>
      <c r="F7483" s="1507"/>
      <c r="G7483" s="584"/>
      <c r="H7483" s="584"/>
      <c r="K7483" t="s">
        <v>1003</v>
      </c>
      <c r="V7483">
        <v>48</v>
      </c>
    </row>
    <row r="7484" spans="1:22" customFormat="1" ht="15" x14ac:dyDescent="0.25">
      <c r="A7484" t="s">
        <v>237</v>
      </c>
      <c r="E7484" s="1507" t="s">
        <v>844</v>
      </c>
      <c r="F7484" s="1507"/>
      <c r="G7484" s="584" t="s">
        <v>845</v>
      </c>
      <c r="H7484" s="577">
        <v>4.1000000000000003E-3</v>
      </c>
      <c r="K7484" t="s">
        <v>3768</v>
      </c>
      <c r="L7484" t="s">
        <v>968</v>
      </c>
      <c r="P7484" t="s">
        <v>3782</v>
      </c>
      <c r="V7484">
        <v>55</v>
      </c>
    </row>
    <row r="7485" spans="1:22" customFormat="1" ht="15" x14ac:dyDescent="0.25">
      <c r="A7485" t="s">
        <v>237</v>
      </c>
      <c r="E7485" s="1507" t="s">
        <v>846</v>
      </c>
      <c r="F7485" s="1507"/>
      <c r="G7485" s="584" t="s">
        <v>845</v>
      </c>
      <c r="H7485" s="577">
        <v>4.0000000000000002E-4</v>
      </c>
      <c r="K7485" t="s">
        <v>3768</v>
      </c>
      <c r="L7485" t="s">
        <v>968</v>
      </c>
      <c r="P7485" t="s">
        <v>3782</v>
      </c>
      <c r="V7485">
        <v>65</v>
      </c>
    </row>
    <row r="7486" spans="1:22" customFormat="1" ht="15" x14ac:dyDescent="0.25">
      <c r="A7486" t="s">
        <v>237</v>
      </c>
      <c r="E7486" s="1507" t="s">
        <v>847</v>
      </c>
      <c r="F7486" s="1507"/>
      <c r="G7486" s="584" t="s">
        <v>845</v>
      </c>
      <c r="H7486" s="577">
        <v>1.5E-3</v>
      </c>
      <c r="K7486" t="s">
        <v>3768</v>
      </c>
      <c r="L7486" t="s">
        <v>968</v>
      </c>
      <c r="P7486" t="s">
        <v>3783</v>
      </c>
      <c r="V7486">
        <v>57</v>
      </c>
    </row>
    <row r="7487" spans="1:22" customFormat="1" ht="15" x14ac:dyDescent="0.25">
      <c r="A7487" t="s">
        <v>237</v>
      </c>
      <c r="E7487" s="1507" t="s">
        <v>848</v>
      </c>
      <c r="F7487" s="1507"/>
      <c r="G7487" s="584" t="s">
        <v>777</v>
      </c>
      <c r="H7487" s="576">
        <v>0.25</v>
      </c>
      <c r="K7487" t="s">
        <v>3768</v>
      </c>
      <c r="L7487" t="s">
        <v>968</v>
      </c>
      <c r="P7487" t="s">
        <v>3784</v>
      </c>
      <c r="V7487">
        <v>63</v>
      </c>
    </row>
    <row r="7488" spans="1:22" customFormat="1" x14ac:dyDescent="0.25">
      <c r="A7488" t="s">
        <v>237</v>
      </c>
      <c r="E7488" s="1492" t="s">
        <v>194</v>
      </c>
      <c r="F7488" s="1493"/>
      <c r="G7488" s="1493"/>
      <c r="H7488" s="1493"/>
      <c r="K7488" t="s">
        <v>3785</v>
      </c>
      <c r="V7488">
        <v>47</v>
      </c>
    </row>
    <row r="7489" spans="1:22" customFormat="1" ht="15" x14ac:dyDescent="0.25">
      <c r="A7489" t="s">
        <v>237</v>
      </c>
      <c r="E7489" s="1516" t="s">
        <v>5352</v>
      </c>
      <c r="F7489" s="1516"/>
      <c r="G7489" s="1516"/>
      <c r="H7489" s="1516"/>
      <c r="K7489" t="s">
        <v>3785</v>
      </c>
      <c r="V7489">
        <v>722</v>
      </c>
    </row>
    <row r="7490" spans="1:22" customFormat="1" ht="15" x14ac:dyDescent="0.25">
      <c r="A7490" t="s">
        <v>237</v>
      </c>
      <c r="E7490" s="1515" t="s">
        <v>950</v>
      </c>
      <c r="F7490" s="1516"/>
      <c r="G7490" s="1516"/>
      <c r="H7490" s="1516"/>
      <c r="K7490" t="s">
        <v>1010</v>
      </c>
      <c r="V7490">
        <v>11</v>
      </c>
    </row>
    <row r="7491" spans="1:22" customFormat="1" ht="15" x14ac:dyDescent="0.25">
      <c r="A7491" t="s">
        <v>237</v>
      </c>
      <c r="E7491" s="1516" t="s">
        <v>4477</v>
      </c>
      <c r="F7491" s="1516"/>
      <c r="G7491" s="1516"/>
      <c r="H7491" s="1516"/>
      <c r="K7491" t="s">
        <v>3785</v>
      </c>
      <c r="V7491">
        <v>272</v>
      </c>
    </row>
    <row r="7492" spans="1:22" customFormat="1" ht="15" x14ac:dyDescent="0.25">
      <c r="A7492" t="s">
        <v>237</v>
      </c>
      <c r="E7492" s="1516" t="s">
        <v>4478</v>
      </c>
      <c r="F7492" s="1516"/>
      <c r="G7492" s="1516"/>
      <c r="H7492" s="1516"/>
      <c r="K7492" t="s">
        <v>3785</v>
      </c>
      <c r="V7492">
        <v>403</v>
      </c>
    </row>
    <row r="7493" spans="1:22" customFormat="1" ht="15" x14ac:dyDescent="0.25">
      <c r="A7493" t="s">
        <v>237</v>
      </c>
      <c r="E7493" s="1516" t="s">
        <v>5349</v>
      </c>
      <c r="F7493" s="1516"/>
      <c r="G7493" s="1516"/>
      <c r="H7493" s="1516"/>
      <c r="K7493" t="s">
        <v>3785</v>
      </c>
      <c r="V7493">
        <v>380</v>
      </c>
    </row>
    <row r="7494" spans="1:22" customFormat="1" ht="15" x14ac:dyDescent="0.25">
      <c r="A7494" t="s">
        <v>237</v>
      </c>
      <c r="E7494" s="1516" t="s">
        <v>3762</v>
      </c>
      <c r="F7494" s="1516"/>
      <c r="G7494" s="1516"/>
      <c r="H7494" s="1516"/>
      <c r="K7494" t="s">
        <v>3785</v>
      </c>
      <c r="V7494">
        <v>247</v>
      </c>
    </row>
    <row r="7495" spans="1:22" customFormat="1" ht="15" x14ac:dyDescent="0.25">
      <c r="A7495" t="s">
        <v>237</v>
      </c>
      <c r="E7495" s="1515" t="s">
        <v>956</v>
      </c>
      <c r="F7495" s="1516"/>
      <c r="G7495" s="1516"/>
      <c r="H7495" s="1516"/>
      <c r="K7495" t="s">
        <v>1011</v>
      </c>
      <c r="V7495">
        <v>46</v>
      </c>
    </row>
    <row r="7496" spans="1:22" customFormat="1" ht="15" x14ac:dyDescent="0.25">
      <c r="A7496" t="s">
        <v>237</v>
      </c>
      <c r="E7496" s="1507" t="s">
        <v>3893</v>
      </c>
      <c r="F7496" s="1507"/>
      <c r="G7496" s="584" t="s">
        <v>777</v>
      </c>
      <c r="H7496" s="576">
        <v>47.57</v>
      </c>
      <c r="K7496" t="s">
        <v>3785</v>
      </c>
      <c r="L7496" t="s">
        <v>690</v>
      </c>
      <c r="P7496" t="s">
        <v>3788</v>
      </c>
      <c r="V7496">
        <v>29</v>
      </c>
    </row>
    <row r="7497" spans="1:22" customFormat="1" ht="15" x14ac:dyDescent="0.25">
      <c r="A7497" t="s">
        <v>237</v>
      </c>
      <c r="E7497" s="1507" t="s">
        <v>3688</v>
      </c>
      <c r="F7497" s="1507"/>
      <c r="G7497" s="584" t="s">
        <v>845</v>
      </c>
      <c r="H7497" s="577">
        <v>1.09E-2</v>
      </c>
      <c r="K7497" t="s">
        <v>3785</v>
      </c>
      <c r="L7497" t="s">
        <v>690</v>
      </c>
      <c r="P7497" t="s">
        <v>3789</v>
      </c>
      <c r="V7497">
        <v>28</v>
      </c>
    </row>
    <row r="7498" spans="1:22" customFormat="1" ht="15" x14ac:dyDescent="0.25">
      <c r="A7498" t="s">
        <v>237</v>
      </c>
      <c r="E7498" s="1507" t="s">
        <v>6850</v>
      </c>
      <c r="F7498" s="1510"/>
      <c r="G7498" s="584" t="s">
        <v>845</v>
      </c>
      <c r="H7498" s="577">
        <v>1.1000000000000001E-3</v>
      </c>
      <c r="K7498" t="s">
        <v>3785</v>
      </c>
      <c r="L7498" t="s">
        <v>692</v>
      </c>
      <c r="P7498" t="s">
        <v>3792</v>
      </c>
      <c r="T7498">
        <v>46142</v>
      </c>
      <c r="V7498">
        <v>96</v>
      </c>
    </row>
    <row r="7499" spans="1:22" customFormat="1" ht="15" x14ac:dyDescent="0.25">
      <c r="A7499" t="s">
        <v>237</v>
      </c>
      <c r="E7499" s="1507" t="s">
        <v>243</v>
      </c>
      <c r="F7499" s="1507"/>
      <c r="G7499" s="584" t="s">
        <v>845</v>
      </c>
      <c r="H7499" s="577">
        <v>1.0800000000000001E-2</v>
      </c>
      <c r="K7499" t="s">
        <v>3785</v>
      </c>
      <c r="L7499" t="s">
        <v>694</v>
      </c>
      <c r="P7499" t="s">
        <v>3793</v>
      </c>
      <c r="V7499">
        <v>47</v>
      </c>
    </row>
    <row r="7500" spans="1:22" customFormat="1" ht="15" x14ac:dyDescent="0.25">
      <c r="A7500" t="s">
        <v>237</v>
      </c>
      <c r="E7500" s="1507" t="s">
        <v>175</v>
      </c>
      <c r="F7500" s="1507"/>
      <c r="G7500" s="584" t="s">
        <v>845</v>
      </c>
      <c r="H7500" s="577">
        <v>1.8E-3</v>
      </c>
      <c r="K7500" t="s">
        <v>3785</v>
      </c>
      <c r="L7500" t="s">
        <v>694</v>
      </c>
      <c r="P7500" t="s">
        <v>3794</v>
      </c>
      <c r="V7500">
        <v>74</v>
      </c>
    </row>
    <row r="7501" spans="1:22" customFormat="1" ht="15" x14ac:dyDescent="0.25">
      <c r="A7501" t="s">
        <v>237</v>
      </c>
      <c r="E7501" s="1515" t="s">
        <v>967</v>
      </c>
      <c r="F7501" s="1507"/>
      <c r="G7501" s="584"/>
      <c r="H7501" s="584"/>
      <c r="K7501" t="s">
        <v>1019</v>
      </c>
      <c r="V7501">
        <v>48</v>
      </c>
    </row>
    <row r="7502" spans="1:22" customFormat="1" ht="15" x14ac:dyDescent="0.25">
      <c r="A7502" t="s">
        <v>237</v>
      </c>
      <c r="E7502" s="1507" t="s">
        <v>844</v>
      </c>
      <c r="F7502" s="1507"/>
      <c r="G7502" s="584" t="s">
        <v>845</v>
      </c>
      <c r="H7502" s="577">
        <v>4.1000000000000003E-3</v>
      </c>
      <c r="K7502" t="s">
        <v>3785</v>
      </c>
      <c r="L7502" t="s">
        <v>968</v>
      </c>
      <c r="P7502" t="s">
        <v>3795</v>
      </c>
      <c r="V7502">
        <v>55</v>
      </c>
    </row>
    <row r="7503" spans="1:22" customFormat="1" ht="15" x14ac:dyDescent="0.25">
      <c r="A7503" t="s">
        <v>237</v>
      </c>
      <c r="E7503" s="1507" t="s">
        <v>846</v>
      </c>
      <c r="F7503" s="1507"/>
      <c r="G7503" s="584" t="s">
        <v>845</v>
      </c>
      <c r="H7503" s="577">
        <v>4.0000000000000002E-4</v>
      </c>
      <c r="K7503" t="s">
        <v>3785</v>
      </c>
      <c r="L7503" t="s">
        <v>968</v>
      </c>
      <c r="P7503" t="s">
        <v>3795</v>
      </c>
      <c r="V7503">
        <v>65</v>
      </c>
    </row>
    <row r="7504" spans="1:22" customFormat="1" ht="15" x14ac:dyDescent="0.25">
      <c r="A7504" t="s">
        <v>237</v>
      </c>
      <c r="E7504" s="1507" t="s">
        <v>847</v>
      </c>
      <c r="F7504" s="1507"/>
      <c r="G7504" s="584" t="s">
        <v>845</v>
      </c>
      <c r="H7504" s="577">
        <v>1.5E-3</v>
      </c>
      <c r="K7504" t="s">
        <v>3785</v>
      </c>
      <c r="L7504" t="s">
        <v>968</v>
      </c>
      <c r="P7504" t="s">
        <v>3796</v>
      </c>
      <c r="V7504">
        <v>57</v>
      </c>
    </row>
    <row r="7505" spans="1:22" customFormat="1" ht="15" x14ac:dyDescent="0.25">
      <c r="A7505" t="s">
        <v>237</v>
      </c>
      <c r="E7505" s="1507" t="s">
        <v>848</v>
      </c>
      <c r="F7505" s="1507"/>
      <c r="G7505" s="584" t="s">
        <v>777</v>
      </c>
      <c r="H7505" s="576">
        <v>0.25</v>
      </c>
      <c r="K7505" t="s">
        <v>3785</v>
      </c>
      <c r="L7505" t="s">
        <v>968</v>
      </c>
      <c r="P7505" t="s">
        <v>3797</v>
      </c>
      <c r="V7505">
        <v>63</v>
      </c>
    </row>
    <row r="7506" spans="1:22" customFormat="1" x14ac:dyDescent="0.25">
      <c r="A7506" t="s">
        <v>237</v>
      </c>
      <c r="E7506" s="1492" t="s">
        <v>202</v>
      </c>
      <c r="F7506" s="1493"/>
      <c r="G7506" s="1493"/>
      <c r="H7506" s="1493"/>
      <c r="K7506" t="s">
        <v>4447</v>
      </c>
      <c r="V7506">
        <v>38</v>
      </c>
    </row>
    <row r="7507" spans="1:22" customFormat="1" ht="15" x14ac:dyDescent="0.25">
      <c r="A7507" t="s">
        <v>237</v>
      </c>
      <c r="E7507" s="1516" t="s">
        <v>5353</v>
      </c>
      <c r="F7507" s="1516"/>
      <c r="G7507" s="1516"/>
      <c r="H7507" s="1516"/>
      <c r="K7507" t="s">
        <v>4447</v>
      </c>
      <c r="V7507">
        <v>415</v>
      </c>
    </row>
    <row r="7508" spans="1:22" customFormat="1" ht="15" x14ac:dyDescent="0.25">
      <c r="A7508" t="s">
        <v>237</v>
      </c>
      <c r="E7508" s="1515" t="s">
        <v>950</v>
      </c>
      <c r="F7508" s="1516"/>
      <c r="G7508" s="1516"/>
      <c r="H7508" s="1516"/>
      <c r="K7508" t="s">
        <v>1025</v>
      </c>
      <c r="V7508">
        <v>11</v>
      </c>
    </row>
    <row r="7509" spans="1:22" customFormat="1" ht="15" x14ac:dyDescent="0.25">
      <c r="A7509" t="s">
        <v>237</v>
      </c>
      <c r="E7509" s="1516" t="s">
        <v>4477</v>
      </c>
      <c r="F7509" s="1516"/>
      <c r="G7509" s="1516"/>
      <c r="H7509" s="1516"/>
      <c r="K7509" t="s">
        <v>4447</v>
      </c>
      <c r="V7509">
        <v>272</v>
      </c>
    </row>
    <row r="7510" spans="1:22" customFormat="1" ht="15" x14ac:dyDescent="0.25">
      <c r="A7510" t="s">
        <v>237</v>
      </c>
      <c r="E7510" s="1516" t="s">
        <v>4478</v>
      </c>
      <c r="F7510" s="1516"/>
      <c r="G7510" s="1516"/>
      <c r="H7510" s="1516"/>
      <c r="K7510" t="s">
        <v>4447</v>
      </c>
      <c r="V7510">
        <v>403</v>
      </c>
    </row>
    <row r="7511" spans="1:22" customFormat="1" ht="15" x14ac:dyDescent="0.25">
      <c r="A7511" t="s">
        <v>237</v>
      </c>
      <c r="E7511" s="1516" t="s">
        <v>5354</v>
      </c>
      <c r="F7511" s="1516"/>
      <c r="G7511" s="1516"/>
      <c r="H7511" s="1516"/>
      <c r="K7511" t="s">
        <v>4447</v>
      </c>
      <c r="V7511">
        <v>378</v>
      </c>
    </row>
    <row r="7512" spans="1:22" customFormat="1" ht="15" x14ac:dyDescent="0.25">
      <c r="A7512" t="s">
        <v>237</v>
      </c>
      <c r="E7512" s="1516" t="s">
        <v>3762</v>
      </c>
      <c r="F7512" s="1516"/>
      <c r="G7512" s="1516"/>
      <c r="H7512" s="1516"/>
      <c r="K7512" t="s">
        <v>4447</v>
      </c>
      <c r="V7512">
        <v>247</v>
      </c>
    </row>
    <row r="7513" spans="1:22" customFormat="1" ht="15" x14ac:dyDescent="0.25">
      <c r="A7513" t="s">
        <v>237</v>
      </c>
      <c r="E7513" s="1515" t="s">
        <v>956</v>
      </c>
      <c r="F7513" s="1516"/>
      <c r="G7513" s="1516"/>
      <c r="H7513" s="1516"/>
      <c r="K7513" t="s">
        <v>1026</v>
      </c>
      <c r="V7513">
        <v>46</v>
      </c>
    </row>
    <row r="7514" spans="1:22" customFormat="1" ht="15" x14ac:dyDescent="0.25">
      <c r="A7514" t="s">
        <v>237</v>
      </c>
      <c r="E7514" s="1507" t="s">
        <v>3874</v>
      </c>
      <c r="F7514" s="1507"/>
      <c r="G7514" s="584" t="s">
        <v>777</v>
      </c>
      <c r="H7514" s="576">
        <v>2.02</v>
      </c>
      <c r="K7514" t="s">
        <v>4447</v>
      </c>
      <c r="L7514" t="s">
        <v>690</v>
      </c>
      <c r="P7514" t="s">
        <v>4450</v>
      </c>
      <c r="V7514">
        <v>31</v>
      </c>
    </row>
    <row r="7515" spans="1:22" customFormat="1" ht="15" x14ac:dyDescent="0.25">
      <c r="A7515" t="s">
        <v>237</v>
      </c>
      <c r="E7515" s="1507" t="s">
        <v>3688</v>
      </c>
      <c r="F7515" s="1507"/>
      <c r="G7515" s="584" t="s">
        <v>3775</v>
      </c>
      <c r="H7515" s="577">
        <v>5.1984000000000004</v>
      </c>
      <c r="K7515" t="s">
        <v>4447</v>
      </c>
      <c r="L7515" t="s">
        <v>690</v>
      </c>
      <c r="P7515" t="s">
        <v>4451</v>
      </c>
      <c r="V7515">
        <v>28</v>
      </c>
    </row>
    <row r="7516" spans="1:22" customFormat="1" ht="15" x14ac:dyDescent="0.25">
      <c r="A7516" t="s">
        <v>237</v>
      </c>
      <c r="E7516" s="1507" t="s">
        <v>6849</v>
      </c>
      <c r="F7516" s="1510"/>
      <c r="G7516" s="584" t="s">
        <v>845</v>
      </c>
      <c r="H7516" s="577">
        <v>4.1000000000000003E-3</v>
      </c>
      <c r="K7516" t="s">
        <v>4447</v>
      </c>
      <c r="L7516" t="s">
        <v>692</v>
      </c>
      <c r="P7516" t="s">
        <v>4452</v>
      </c>
      <c r="T7516">
        <v>46142</v>
      </c>
      <c r="V7516">
        <v>139</v>
      </c>
    </row>
    <row r="7517" spans="1:22" customFormat="1" ht="15" x14ac:dyDescent="0.25">
      <c r="A7517" t="s">
        <v>237</v>
      </c>
      <c r="E7517" s="1507" t="s">
        <v>6850</v>
      </c>
      <c r="F7517" s="1510"/>
      <c r="G7517" s="584" t="s">
        <v>3775</v>
      </c>
      <c r="H7517" s="577">
        <v>0.4027</v>
      </c>
      <c r="K7517" t="s">
        <v>4447</v>
      </c>
      <c r="L7517" t="s">
        <v>692</v>
      </c>
      <c r="P7517" t="s">
        <v>4453</v>
      </c>
      <c r="T7517">
        <v>46142</v>
      </c>
      <c r="V7517">
        <v>96</v>
      </c>
    </row>
    <row r="7518" spans="1:22" customFormat="1" ht="15" x14ac:dyDescent="0.25">
      <c r="A7518" t="s">
        <v>237</v>
      </c>
      <c r="E7518" s="1507" t="s">
        <v>243</v>
      </c>
      <c r="F7518" s="1507"/>
      <c r="G7518" s="584" t="s">
        <v>3775</v>
      </c>
      <c r="H7518" s="577">
        <v>3.3809</v>
      </c>
      <c r="K7518" t="s">
        <v>4447</v>
      </c>
      <c r="L7518" t="s">
        <v>694</v>
      </c>
      <c r="P7518" t="s">
        <v>4456</v>
      </c>
      <c r="V7518">
        <v>47</v>
      </c>
    </row>
    <row r="7519" spans="1:22" customFormat="1" ht="15" x14ac:dyDescent="0.25">
      <c r="A7519" t="s">
        <v>237</v>
      </c>
      <c r="E7519" s="1507" t="s">
        <v>175</v>
      </c>
      <c r="F7519" s="1507"/>
      <c r="G7519" s="584" t="s">
        <v>3775</v>
      </c>
      <c r="H7519" s="577">
        <v>0.57010000000000005</v>
      </c>
      <c r="K7519" t="s">
        <v>4447</v>
      </c>
      <c r="L7519" t="s">
        <v>694</v>
      </c>
      <c r="P7519" t="s">
        <v>4485</v>
      </c>
      <c r="V7519">
        <v>74</v>
      </c>
    </row>
    <row r="7520" spans="1:22" customFormat="1" ht="15" x14ac:dyDescent="0.25">
      <c r="A7520" t="s">
        <v>237</v>
      </c>
      <c r="E7520" s="1515" t="s">
        <v>967</v>
      </c>
      <c r="F7520" s="1507"/>
      <c r="G7520" s="584"/>
      <c r="H7520" s="584"/>
      <c r="K7520" t="s">
        <v>1035</v>
      </c>
      <c r="V7520">
        <v>48</v>
      </c>
    </row>
    <row r="7521" spans="1:22" customFormat="1" ht="15" x14ac:dyDescent="0.25">
      <c r="A7521" t="s">
        <v>237</v>
      </c>
      <c r="E7521" s="1507" t="s">
        <v>844</v>
      </c>
      <c r="F7521" s="1507"/>
      <c r="G7521" s="584" t="s">
        <v>845</v>
      </c>
      <c r="H7521" s="577">
        <v>4.1000000000000003E-3</v>
      </c>
      <c r="K7521" t="s">
        <v>4447</v>
      </c>
      <c r="L7521" t="s">
        <v>968</v>
      </c>
      <c r="P7521" t="s">
        <v>4458</v>
      </c>
      <c r="V7521">
        <v>55</v>
      </c>
    </row>
    <row r="7522" spans="1:22" customFormat="1" ht="15" x14ac:dyDescent="0.25">
      <c r="A7522" t="s">
        <v>237</v>
      </c>
      <c r="E7522" s="1507" t="s">
        <v>846</v>
      </c>
      <c r="F7522" s="1507"/>
      <c r="G7522" s="584" t="s">
        <v>845</v>
      </c>
      <c r="H7522" s="577">
        <v>4.0000000000000002E-4</v>
      </c>
      <c r="K7522" t="s">
        <v>4447</v>
      </c>
      <c r="L7522" t="s">
        <v>968</v>
      </c>
      <c r="P7522" t="s">
        <v>4458</v>
      </c>
      <c r="V7522">
        <v>65</v>
      </c>
    </row>
    <row r="7523" spans="1:22" customFormat="1" ht="15" x14ac:dyDescent="0.25">
      <c r="A7523" t="s">
        <v>237</v>
      </c>
      <c r="E7523" s="1507" t="s">
        <v>847</v>
      </c>
      <c r="F7523" s="1507"/>
      <c r="G7523" s="584" t="s">
        <v>845</v>
      </c>
      <c r="H7523" s="577">
        <v>1.5E-3</v>
      </c>
      <c r="K7523" t="s">
        <v>4447</v>
      </c>
      <c r="L7523" t="s">
        <v>968</v>
      </c>
      <c r="P7523" t="s">
        <v>4459</v>
      </c>
      <c r="V7523">
        <v>57</v>
      </c>
    </row>
    <row r="7524" spans="1:22" customFormat="1" ht="15" x14ac:dyDescent="0.25">
      <c r="A7524" t="s">
        <v>237</v>
      </c>
      <c r="E7524" s="1507" t="s">
        <v>848</v>
      </c>
      <c r="F7524" s="1507"/>
      <c r="G7524" s="584" t="s">
        <v>777</v>
      </c>
      <c r="H7524" s="576">
        <v>0.25</v>
      </c>
      <c r="K7524" t="s">
        <v>4447</v>
      </c>
      <c r="L7524" t="s">
        <v>968</v>
      </c>
      <c r="P7524" t="s">
        <v>4460</v>
      </c>
      <c r="V7524">
        <v>63</v>
      </c>
    </row>
    <row r="7525" spans="1:22" customFormat="1" x14ac:dyDescent="0.25">
      <c r="A7525" t="s">
        <v>237</v>
      </c>
      <c r="E7525" s="1492" t="s">
        <v>207</v>
      </c>
      <c r="F7525" s="1493"/>
      <c r="G7525" s="1493"/>
      <c r="H7525" s="1493"/>
      <c r="K7525" t="s">
        <v>4461</v>
      </c>
      <c r="V7525">
        <v>31</v>
      </c>
    </row>
    <row r="7526" spans="1:22" customFormat="1" ht="15" x14ac:dyDescent="0.25">
      <c r="A7526" t="s">
        <v>237</v>
      </c>
      <c r="E7526" s="1516" t="s">
        <v>1070</v>
      </c>
      <c r="F7526" s="1516"/>
      <c r="G7526" s="1516"/>
      <c r="H7526" s="1516"/>
      <c r="K7526" t="s">
        <v>4461</v>
      </c>
      <c r="V7526">
        <v>285</v>
      </c>
    </row>
    <row r="7527" spans="1:22" customFormat="1" ht="15" x14ac:dyDescent="0.25">
      <c r="A7527" t="s">
        <v>237</v>
      </c>
      <c r="E7527" s="1515" t="s">
        <v>950</v>
      </c>
      <c r="F7527" s="1516"/>
      <c r="G7527" s="1516"/>
      <c r="H7527" s="1516"/>
      <c r="K7527" t="s">
        <v>1041</v>
      </c>
      <c r="V7527">
        <v>11</v>
      </c>
    </row>
    <row r="7528" spans="1:22" customFormat="1" ht="15" x14ac:dyDescent="0.25">
      <c r="A7528" t="s">
        <v>237</v>
      </c>
      <c r="E7528" s="1516" t="s">
        <v>4477</v>
      </c>
      <c r="F7528" s="1516"/>
      <c r="G7528" s="1516"/>
      <c r="H7528" s="1516"/>
      <c r="K7528" t="s">
        <v>4461</v>
      </c>
      <c r="V7528">
        <v>272</v>
      </c>
    </row>
    <row r="7529" spans="1:22" customFormat="1" ht="15" x14ac:dyDescent="0.25">
      <c r="A7529" t="s">
        <v>237</v>
      </c>
      <c r="E7529" s="1516" t="s">
        <v>4478</v>
      </c>
      <c r="F7529" s="1516"/>
      <c r="G7529" s="1516"/>
      <c r="H7529" s="1516"/>
      <c r="K7529" t="s">
        <v>4461</v>
      </c>
      <c r="V7529">
        <v>403</v>
      </c>
    </row>
    <row r="7530" spans="1:22" customFormat="1" ht="15" x14ac:dyDescent="0.25">
      <c r="A7530" t="s">
        <v>237</v>
      </c>
      <c r="E7530" s="1516" t="s">
        <v>5355</v>
      </c>
      <c r="F7530" s="1516"/>
      <c r="G7530" s="1516"/>
      <c r="H7530" s="1516"/>
      <c r="K7530" t="s">
        <v>4461</v>
      </c>
      <c r="V7530">
        <v>204</v>
      </c>
    </row>
    <row r="7531" spans="1:22" customFormat="1" ht="15" x14ac:dyDescent="0.25">
      <c r="A7531" t="s">
        <v>237</v>
      </c>
      <c r="E7531" s="1516" t="s">
        <v>3762</v>
      </c>
      <c r="F7531" s="1516"/>
      <c r="G7531" s="1516"/>
      <c r="H7531" s="1516"/>
      <c r="K7531" t="s">
        <v>4461</v>
      </c>
      <c r="V7531">
        <v>247</v>
      </c>
    </row>
    <row r="7532" spans="1:22" customFormat="1" ht="15" x14ac:dyDescent="0.25">
      <c r="A7532" t="s">
        <v>237</v>
      </c>
      <c r="E7532" s="1515" t="s">
        <v>956</v>
      </c>
      <c r="F7532" s="1516"/>
      <c r="G7532" s="1516"/>
      <c r="H7532" s="1516"/>
      <c r="K7532" t="s">
        <v>1042</v>
      </c>
      <c r="V7532">
        <v>46</v>
      </c>
    </row>
    <row r="7533" spans="1:22" customFormat="1" ht="15" x14ac:dyDescent="0.25">
      <c r="A7533" t="s">
        <v>237</v>
      </c>
      <c r="E7533" s="1507" t="s">
        <v>3773</v>
      </c>
      <c r="F7533" s="1507"/>
      <c r="G7533" s="584" t="s">
        <v>777</v>
      </c>
      <c r="H7533" s="576">
        <v>5</v>
      </c>
      <c r="K7533" t="s">
        <v>4461</v>
      </c>
      <c r="L7533" t="s">
        <v>690</v>
      </c>
      <c r="P7533" t="s">
        <v>4462</v>
      </c>
      <c r="V7533">
        <v>14</v>
      </c>
    </row>
    <row r="7534" spans="1:22" customFormat="1" ht="18.75" x14ac:dyDescent="0.3">
      <c r="A7534" t="s">
        <v>237</v>
      </c>
      <c r="E7534" s="836" t="s">
        <v>3825</v>
      </c>
      <c r="F7534" s="381"/>
      <c r="G7534" s="381"/>
      <c r="H7534" s="382"/>
      <c r="K7534" t="s">
        <v>5356</v>
      </c>
      <c r="V7534">
        <v>10</v>
      </c>
    </row>
    <row r="7535" spans="1:22" customFormat="1" ht="15" x14ac:dyDescent="0.25">
      <c r="A7535" t="s">
        <v>237</v>
      </c>
      <c r="E7535" s="1507" t="s">
        <v>1078</v>
      </c>
      <c r="F7535" s="1507"/>
      <c r="G7535" s="584" t="s">
        <v>3775</v>
      </c>
      <c r="H7535" s="577">
        <v>-0.6</v>
      </c>
      <c r="V7535">
        <v>68</v>
      </c>
    </row>
    <row r="7536" spans="1:22" customFormat="1" ht="15" x14ac:dyDescent="0.25">
      <c r="A7536" t="s">
        <v>237</v>
      </c>
      <c r="E7536" s="1507" t="s">
        <v>1079</v>
      </c>
      <c r="F7536" s="1507"/>
      <c r="G7536" s="584" t="s">
        <v>1118</v>
      </c>
      <c r="H7536" s="576">
        <v>-1</v>
      </c>
      <c r="V7536">
        <v>87</v>
      </c>
    </row>
    <row r="7537" spans="1:22" customFormat="1" ht="36" x14ac:dyDescent="0.3">
      <c r="A7537" t="s">
        <v>237</v>
      </c>
      <c r="E7537" s="836" t="s">
        <v>3828</v>
      </c>
      <c r="F7537" s="381"/>
      <c r="G7537" s="381"/>
      <c r="H7537" s="382"/>
      <c r="K7537" t="s">
        <v>5357</v>
      </c>
      <c r="V7537">
        <v>24</v>
      </c>
    </row>
    <row r="7538" spans="1:22" customFormat="1" ht="15" x14ac:dyDescent="0.25">
      <c r="A7538" t="s">
        <v>237</v>
      </c>
      <c r="E7538" s="1516" t="s">
        <v>4477</v>
      </c>
      <c r="F7538" s="1516"/>
      <c r="G7538" s="1516"/>
      <c r="H7538" s="1516"/>
      <c r="V7538">
        <v>272</v>
      </c>
    </row>
    <row r="7539" spans="1:22" customFormat="1" ht="15" x14ac:dyDescent="0.25">
      <c r="A7539" t="s">
        <v>237</v>
      </c>
      <c r="E7539" s="1516" t="s">
        <v>4488</v>
      </c>
      <c r="F7539" s="1516"/>
      <c r="G7539" s="1516"/>
      <c r="H7539" s="1516"/>
      <c r="V7539">
        <v>345</v>
      </c>
    </row>
    <row r="7540" spans="1:22" customFormat="1" ht="15" x14ac:dyDescent="0.25">
      <c r="A7540" t="s">
        <v>237</v>
      </c>
      <c r="E7540" s="1516" t="s">
        <v>3762</v>
      </c>
      <c r="F7540" s="1516"/>
      <c r="G7540" s="1516"/>
      <c r="H7540" s="1516"/>
      <c r="V7540">
        <v>247</v>
      </c>
    </row>
    <row r="7541" spans="1:22" customFormat="1" ht="15" x14ac:dyDescent="0.25">
      <c r="A7541" t="s">
        <v>237</v>
      </c>
      <c r="E7541" s="835" t="s">
        <v>3830</v>
      </c>
      <c r="F7541" s="1"/>
      <c r="G7541" s="1"/>
      <c r="H7541" s="649"/>
      <c r="K7541" t="s">
        <v>5358</v>
      </c>
      <c r="V7541">
        <v>23</v>
      </c>
    </row>
    <row r="7542" spans="1:22" customFormat="1" ht="15" x14ac:dyDescent="0.25">
      <c r="A7542" t="s">
        <v>237</v>
      </c>
      <c r="E7542" s="1517" t="s">
        <v>5359</v>
      </c>
      <c r="F7542" s="1517"/>
      <c r="G7542" s="584" t="s">
        <v>777</v>
      </c>
      <c r="H7542" s="576">
        <v>15</v>
      </c>
      <c r="V7542">
        <v>25</v>
      </c>
    </row>
    <row r="7543" spans="1:22" customFormat="1" ht="15" x14ac:dyDescent="0.25">
      <c r="A7543" t="s">
        <v>237</v>
      </c>
      <c r="E7543" s="1517" t="s">
        <v>5360</v>
      </c>
      <c r="F7543" s="1517"/>
      <c r="G7543" s="584" t="s">
        <v>777</v>
      </c>
      <c r="H7543" s="576">
        <v>15</v>
      </c>
      <c r="V7543">
        <v>26</v>
      </c>
    </row>
    <row r="7544" spans="1:22" customFormat="1" ht="15" x14ac:dyDescent="0.25">
      <c r="A7544" t="s">
        <v>237</v>
      </c>
      <c r="E7544" s="1517" t="s">
        <v>5361</v>
      </c>
      <c r="F7544" s="1517"/>
      <c r="G7544" s="584" t="s">
        <v>777</v>
      </c>
      <c r="H7544" s="576">
        <v>15</v>
      </c>
      <c r="V7544">
        <v>45</v>
      </c>
    </row>
    <row r="7545" spans="1:22" customFormat="1" ht="15" x14ac:dyDescent="0.25">
      <c r="A7545" t="s">
        <v>237</v>
      </c>
      <c r="E7545" s="1517" t="s">
        <v>5362</v>
      </c>
      <c r="F7545" s="1517"/>
      <c r="G7545" s="584" t="s">
        <v>777</v>
      </c>
      <c r="H7545" s="576">
        <v>15</v>
      </c>
      <c r="V7545">
        <v>43</v>
      </c>
    </row>
    <row r="7546" spans="1:22" customFormat="1" ht="15" x14ac:dyDescent="0.25">
      <c r="A7546" t="s">
        <v>237</v>
      </c>
      <c r="E7546" s="1517" t="s">
        <v>5363</v>
      </c>
      <c r="F7546" s="1517"/>
      <c r="G7546" s="584" t="s">
        <v>777</v>
      </c>
      <c r="H7546" s="576">
        <v>15</v>
      </c>
      <c r="V7546">
        <v>21</v>
      </c>
    </row>
    <row r="7547" spans="1:22" customFormat="1" ht="15" x14ac:dyDescent="0.25">
      <c r="A7547" t="s">
        <v>237</v>
      </c>
      <c r="E7547" s="1517" t="s">
        <v>5364</v>
      </c>
      <c r="F7547" s="1517"/>
      <c r="G7547" s="584" t="s">
        <v>777</v>
      </c>
      <c r="H7547" s="576">
        <v>15</v>
      </c>
      <c r="V7547">
        <v>23</v>
      </c>
    </row>
    <row r="7548" spans="1:22" customFormat="1" ht="15" x14ac:dyDescent="0.25">
      <c r="A7548" t="s">
        <v>237</v>
      </c>
      <c r="E7548" s="1517" t="s">
        <v>1086</v>
      </c>
      <c r="F7548" s="1517"/>
      <c r="G7548" s="584" t="s">
        <v>777</v>
      </c>
      <c r="H7548" s="576">
        <v>15</v>
      </c>
      <c r="V7548">
        <v>25</v>
      </c>
    </row>
    <row r="7549" spans="1:22" customFormat="1" ht="15" x14ac:dyDescent="0.25">
      <c r="A7549" t="s">
        <v>237</v>
      </c>
      <c r="E7549" s="1517" t="s">
        <v>1084</v>
      </c>
      <c r="F7549" s="1517"/>
      <c r="G7549" s="584" t="s">
        <v>777</v>
      </c>
      <c r="H7549" s="576">
        <v>15</v>
      </c>
      <c r="V7549">
        <v>21</v>
      </c>
    </row>
    <row r="7550" spans="1:22" customFormat="1" ht="15" x14ac:dyDescent="0.25">
      <c r="A7550" t="s">
        <v>237</v>
      </c>
      <c r="E7550" s="1517" t="s">
        <v>5365</v>
      </c>
      <c r="F7550" s="1517"/>
      <c r="G7550" s="584" t="s">
        <v>777</v>
      </c>
      <c r="H7550" s="576">
        <v>25</v>
      </c>
      <c r="V7550">
        <v>62</v>
      </c>
    </row>
    <row r="7551" spans="1:22" customFormat="1" ht="15" x14ac:dyDescent="0.25">
      <c r="A7551" t="s">
        <v>237</v>
      </c>
      <c r="E7551" s="1517" t="s">
        <v>1085</v>
      </c>
      <c r="F7551" s="1517"/>
      <c r="G7551" s="584" t="s">
        <v>777</v>
      </c>
      <c r="H7551" s="576">
        <v>25</v>
      </c>
      <c r="V7551">
        <v>41</v>
      </c>
    </row>
    <row r="7552" spans="1:22" customFormat="1" ht="15" x14ac:dyDescent="0.25">
      <c r="A7552" t="s">
        <v>237</v>
      </c>
      <c r="E7552" s="1517" t="s">
        <v>1087</v>
      </c>
      <c r="F7552" s="1517"/>
      <c r="G7552" s="584" t="s">
        <v>777</v>
      </c>
      <c r="H7552" s="576">
        <v>30</v>
      </c>
      <c r="V7552">
        <v>95</v>
      </c>
    </row>
    <row r="7553" spans="1:22" customFormat="1" ht="15" x14ac:dyDescent="0.25">
      <c r="A7553" t="s">
        <v>237</v>
      </c>
      <c r="E7553" s="1517" t="s">
        <v>1088</v>
      </c>
      <c r="F7553" s="1517"/>
      <c r="G7553" s="584" t="s">
        <v>777</v>
      </c>
      <c r="H7553" s="576">
        <v>30</v>
      </c>
      <c r="V7553">
        <v>25</v>
      </c>
    </row>
    <row r="7554" spans="1:22" customFormat="1" ht="15" x14ac:dyDescent="0.25">
      <c r="A7554" t="s">
        <v>237</v>
      </c>
      <c r="E7554" s="1517" t="s">
        <v>1089</v>
      </c>
      <c r="F7554" s="1517"/>
      <c r="G7554" s="584" t="s">
        <v>777</v>
      </c>
      <c r="H7554" s="576">
        <v>30</v>
      </c>
      <c r="V7554">
        <v>80</v>
      </c>
    </row>
    <row r="7555" spans="1:22" customFormat="1" ht="15" x14ac:dyDescent="0.25">
      <c r="A7555" t="s">
        <v>237</v>
      </c>
      <c r="E7555" s="847" t="s">
        <v>4062</v>
      </c>
      <c r="F7555" s="1"/>
      <c r="G7555" s="1"/>
      <c r="H7555" s="649"/>
      <c r="K7555" t="s">
        <v>5366</v>
      </c>
      <c r="V7555">
        <v>22</v>
      </c>
    </row>
    <row r="7556" spans="1:22" customFormat="1" ht="15" x14ac:dyDescent="0.25">
      <c r="A7556" t="s">
        <v>237</v>
      </c>
      <c r="E7556" s="1517" t="s">
        <v>4981</v>
      </c>
      <c r="F7556" s="1517"/>
      <c r="G7556" s="584"/>
      <c r="H7556" s="650"/>
      <c r="V7556">
        <v>29</v>
      </c>
    </row>
    <row r="7557" spans="1:22" customFormat="1" ht="15" x14ac:dyDescent="0.25">
      <c r="A7557" t="s">
        <v>237</v>
      </c>
      <c r="E7557" s="1517" t="s">
        <v>4982</v>
      </c>
      <c r="F7557" s="1517"/>
      <c r="G7557" s="584" t="s">
        <v>1118</v>
      </c>
      <c r="H7557" s="576">
        <v>1.5</v>
      </c>
      <c r="V7557">
        <v>79</v>
      </c>
    </row>
    <row r="7558" spans="1:22" customFormat="1" ht="15" x14ac:dyDescent="0.25">
      <c r="A7558" t="s">
        <v>237</v>
      </c>
      <c r="E7558" s="1517" t="s">
        <v>1092</v>
      </c>
      <c r="F7558" s="1517"/>
      <c r="G7558" s="584" t="s">
        <v>777</v>
      </c>
      <c r="H7558" s="576">
        <v>65</v>
      </c>
      <c r="V7558">
        <v>50</v>
      </c>
    </row>
    <row r="7559" spans="1:22" customFormat="1" ht="15" x14ac:dyDescent="0.25">
      <c r="A7559" t="s">
        <v>237</v>
      </c>
      <c r="E7559" s="1517" t="s">
        <v>1093</v>
      </c>
      <c r="F7559" s="1517"/>
      <c r="G7559" s="584" t="s">
        <v>777</v>
      </c>
      <c r="H7559" s="576">
        <v>185</v>
      </c>
      <c r="V7559">
        <v>49</v>
      </c>
    </row>
    <row r="7560" spans="1:22" customFormat="1" ht="15" x14ac:dyDescent="0.25">
      <c r="A7560" t="s">
        <v>237</v>
      </c>
      <c r="E7560" s="1517" t="s">
        <v>1094</v>
      </c>
      <c r="F7560" s="1517"/>
      <c r="G7560" s="584" t="s">
        <v>777</v>
      </c>
      <c r="H7560" s="576">
        <v>185</v>
      </c>
      <c r="V7560">
        <v>49</v>
      </c>
    </row>
    <row r="7561" spans="1:22" customFormat="1" ht="15" x14ac:dyDescent="0.25">
      <c r="A7561" t="s">
        <v>237</v>
      </c>
      <c r="E7561" s="1517" t="s">
        <v>1095</v>
      </c>
      <c r="F7561" s="1517"/>
      <c r="G7561" s="584" t="s">
        <v>777</v>
      </c>
      <c r="H7561" s="576">
        <v>415</v>
      </c>
      <c r="V7561">
        <v>48</v>
      </c>
    </row>
    <row r="7562" spans="1:22" customFormat="1" ht="15" x14ac:dyDescent="0.25">
      <c r="A7562" t="s">
        <v>237</v>
      </c>
      <c r="E7562" s="835" t="s">
        <v>3846</v>
      </c>
      <c r="F7562" s="268"/>
      <c r="G7562" s="268"/>
      <c r="H7562" s="650"/>
      <c r="V7562">
        <v>5</v>
      </c>
    </row>
    <row r="7563" spans="1:22" customFormat="1" ht="15" x14ac:dyDescent="0.25">
      <c r="A7563" t="s">
        <v>237</v>
      </c>
      <c r="E7563" s="1517" t="s">
        <v>1097</v>
      </c>
      <c r="F7563" s="1517"/>
      <c r="G7563" s="584" t="s">
        <v>777</v>
      </c>
      <c r="H7563" s="576">
        <v>65</v>
      </c>
      <c r="V7563">
        <v>45</v>
      </c>
    </row>
    <row r="7564" spans="1:22" customFormat="1" ht="15" x14ac:dyDescent="0.25">
      <c r="A7564" t="s">
        <v>237</v>
      </c>
      <c r="E7564" s="1517" t="s">
        <v>5367</v>
      </c>
      <c r="F7564" s="1517"/>
      <c r="G7564" s="584" t="s">
        <v>777</v>
      </c>
      <c r="H7564" s="576">
        <v>165</v>
      </c>
      <c r="V7564">
        <v>40</v>
      </c>
    </row>
    <row r="7565" spans="1:22" customFormat="1" ht="15" x14ac:dyDescent="0.25">
      <c r="A7565" t="s">
        <v>237</v>
      </c>
      <c r="E7565" s="1517" t="s">
        <v>5368</v>
      </c>
      <c r="F7565" s="1517"/>
      <c r="G7565" s="584" t="s">
        <v>777</v>
      </c>
      <c r="H7565" s="576">
        <v>39.14</v>
      </c>
      <c r="V7565">
        <v>117</v>
      </c>
    </row>
    <row r="7566" spans="1:22" customFormat="1" ht="36" x14ac:dyDescent="0.3">
      <c r="A7566" t="s">
        <v>237</v>
      </c>
      <c r="E7566" s="836" t="s">
        <v>3851</v>
      </c>
      <c r="F7566" s="381"/>
      <c r="G7566" s="381"/>
      <c r="H7566" s="382"/>
      <c r="K7566" t="s">
        <v>5369</v>
      </c>
      <c r="V7566">
        <v>38</v>
      </c>
    </row>
    <row r="7567" spans="1:22" customFormat="1" ht="15" x14ac:dyDescent="0.25">
      <c r="A7567" t="s">
        <v>237</v>
      </c>
      <c r="E7567" s="1516" t="s">
        <v>4477</v>
      </c>
      <c r="F7567" s="1516"/>
      <c r="G7567" s="1516"/>
      <c r="H7567" s="1516"/>
      <c r="V7567">
        <v>272</v>
      </c>
    </row>
    <row r="7568" spans="1:22" customFormat="1" ht="15" x14ac:dyDescent="0.25">
      <c r="A7568" t="s">
        <v>237</v>
      </c>
      <c r="E7568" s="1516" t="s">
        <v>4478</v>
      </c>
      <c r="F7568" s="1516"/>
      <c r="G7568" s="1516"/>
      <c r="H7568" s="1516"/>
      <c r="V7568">
        <v>403</v>
      </c>
    </row>
    <row r="7569" spans="1:22" customFormat="1" ht="15" x14ac:dyDescent="0.25">
      <c r="A7569" t="s">
        <v>237</v>
      </c>
      <c r="E7569" s="1516" t="s">
        <v>1103</v>
      </c>
      <c r="F7569" s="1516"/>
      <c r="G7569" s="1516"/>
      <c r="H7569" s="1516"/>
      <c r="V7569">
        <v>211</v>
      </c>
    </row>
    <row r="7570" spans="1:22" customFormat="1" ht="15" x14ac:dyDescent="0.25">
      <c r="A7570" t="s">
        <v>237</v>
      </c>
      <c r="E7570" s="1516" t="s">
        <v>3762</v>
      </c>
      <c r="F7570" s="1516"/>
      <c r="G7570" s="1516"/>
      <c r="H7570" s="1516"/>
      <c r="V7570">
        <v>247</v>
      </c>
    </row>
    <row r="7571" spans="1:22" customFormat="1" ht="15" x14ac:dyDescent="0.25">
      <c r="A7571" t="s">
        <v>237</v>
      </c>
      <c r="E7571" s="1516" t="s">
        <v>1104</v>
      </c>
      <c r="F7571" s="1516"/>
      <c r="G7571" s="1516"/>
      <c r="H7571" s="1516"/>
      <c r="V7571">
        <v>142</v>
      </c>
    </row>
    <row r="7572" spans="1:22" customFormat="1" ht="15" x14ac:dyDescent="0.25">
      <c r="A7572" t="s">
        <v>237</v>
      </c>
      <c r="E7572" s="1507" t="s">
        <v>849</v>
      </c>
      <c r="F7572" s="1507"/>
      <c r="G7572" s="268" t="s">
        <v>777</v>
      </c>
      <c r="H7572" s="576">
        <v>121.23</v>
      </c>
      <c r="V7572">
        <v>106</v>
      </c>
    </row>
    <row r="7573" spans="1:22" customFormat="1" ht="15" x14ac:dyDescent="0.25">
      <c r="A7573" t="s">
        <v>237</v>
      </c>
      <c r="E7573" s="1507" t="s">
        <v>850</v>
      </c>
      <c r="F7573" s="1507"/>
      <c r="G7573" s="268" t="s">
        <v>777</v>
      </c>
      <c r="H7573" s="576">
        <v>48.5</v>
      </c>
      <c r="V7573">
        <v>34</v>
      </c>
    </row>
    <row r="7574" spans="1:22" customFormat="1" ht="15" x14ac:dyDescent="0.25">
      <c r="A7574" t="s">
        <v>237</v>
      </c>
      <c r="E7574" s="1507" t="s">
        <v>851</v>
      </c>
      <c r="F7574" s="1507"/>
      <c r="G7574" s="268" t="s">
        <v>852</v>
      </c>
      <c r="H7574" s="576">
        <v>1.2</v>
      </c>
      <c r="V7574">
        <v>51</v>
      </c>
    </row>
    <row r="7575" spans="1:22" customFormat="1" ht="15" x14ac:dyDescent="0.25">
      <c r="A7575" t="s">
        <v>237</v>
      </c>
      <c r="E7575" s="1507" t="s">
        <v>853</v>
      </c>
      <c r="F7575" s="1507"/>
      <c r="G7575" s="268" t="s">
        <v>852</v>
      </c>
      <c r="H7575" s="576">
        <v>0.71</v>
      </c>
      <c r="V7575">
        <v>75</v>
      </c>
    </row>
    <row r="7576" spans="1:22" customFormat="1" ht="15" x14ac:dyDescent="0.25">
      <c r="A7576" t="s">
        <v>237</v>
      </c>
      <c r="E7576" s="1507" t="s">
        <v>854</v>
      </c>
      <c r="F7576" s="1507"/>
      <c r="G7576" s="268" t="s">
        <v>852</v>
      </c>
      <c r="H7576" s="576">
        <v>-0.71</v>
      </c>
      <c r="V7576">
        <v>72</v>
      </c>
    </row>
    <row r="7577" spans="1:22" customFormat="1" ht="15" x14ac:dyDescent="0.25">
      <c r="A7577" t="s">
        <v>237</v>
      </c>
      <c r="E7577" s="1507" t="s">
        <v>855</v>
      </c>
      <c r="F7577" s="1507"/>
      <c r="G7577" s="268"/>
      <c r="H7577" s="650"/>
      <c r="V7577">
        <v>34</v>
      </c>
    </row>
    <row r="7578" spans="1:22" customFormat="1" ht="15" x14ac:dyDescent="0.25">
      <c r="A7578" t="s">
        <v>237</v>
      </c>
      <c r="E7578" s="1511" t="s">
        <v>1106</v>
      </c>
      <c r="F7578" s="1511"/>
      <c r="G7578" s="268" t="s">
        <v>777</v>
      </c>
      <c r="H7578" s="576">
        <v>0.61</v>
      </c>
      <c r="V7578">
        <v>57</v>
      </c>
    </row>
    <row r="7579" spans="1:22" customFormat="1" ht="15" x14ac:dyDescent="0.25">
      <c r="A7579" t="s">
        <v>237</v>
      </c>
      <c r="E7579" s="1511" t="s">
        <v>1107</v>
      </c>
      <c r="F7579" s="1511"/>
      <c r="G7579" s="268" t="s">
        <v>777</v>
      </c>
      <c r="H7579" s="576">
        <v>1.2</v>
      </c>
      <c r="V7579">
        <v>60</v>
      </c>
    </row>
    <row r="7580" spans="1:22" customFormat="1" ht="15" x14ac:dyDescent="0.25">
      <c r="A7580" t="s">
        <v>237</v>
      </c>
      <c r="E7580" s="1507" t="s">
        <v>1108</v>
      </c>
      <c r="F7580" s="1507"/>
      <c r="G7580" s="268"/>
      <c r="H7580" s="650"/>
      <c r="V7580">
        <v>91</v>
      </c>
    </row>
    <row r="7581" spans="1:22" customFormat="1" ht="15" x14ac:dyDescent="0.25">
      <c r="A7581" t="s">
        <v>237</v>
      </c>
      <c r="E7581" s="1507" t="s">
        <v>1109</v>
      </c>
      <c r="F7581" s="1507"/>
      <c r="G7581" s="268"/>
      <c r="H7581" s="650"/>
      <c r="V7581">
        <v>96</v>
      </c>
    </row>
    <row r="7582" spans="1:22" customFormat="1" ht="15" x14ac:dyDescent="0.25">
      <c r="A7582" t="s">
        <v>237</v>
      </c>
      <c r="E7582" s="1507" t="s">
        <v>856</v>
      </c>
      <c r="F7582" s="1507"/>
      <c r="G7582" s="268"/>
      <c r="H7582" s="650"/>
      <c r="V7582">
        <v>77</v>
      </c>
    </row>
    <row r="7583" spans="1:22" customFormat="1" ht="15" x14ac:dyDescent="0.25">
      <c r="A7583" t="s">
        <v>237</v>
      </c>
      <c r="E7583" s="1511" t="s">
        <v>1111</v>
      </c>
      <c r="F7583" s="1511"/>
      <c r="G7583" s="268" t="s">
        <v>777</v>
      </c>
      <c r="H7583" s="650" t="s">
        <v>857</v>
      </c>
      <c r="V7583">
        <v>18</v>
      </c>
    </row>
    <row r="7584" spans="1:22" customFormat="1" ht="15" x14ac:dyDescent="0.25">
      <c r="A7584" t="s">
        <v>237</v>
      </c>
      <c r="E7584" s="1511" t="s">
        <v>1112</v>
      </c>
      <c r="F7584" s="1511"/>
      <c r="G7584" s="268" t="s">
        <v>777</v>
      </c>
      <c r="H7584" s="576">
        <v>4.8499999999999996</v>
      </c>
      <c r="V7584">
        <v>69</v>
      </c>
    </row>
    <row r="7585" spans="1:22" customFormat="1" ht="15" x14ac:dyDescent="0.25">
      <c r="A7585" t="s">
        <v>237</v>
      </c>
      <c r="E7585" s="1507" t="s">
        <v>858</v>
      </c>
      <c r="F7585" s="1507"/>
      <c r="G7585" s="268" t="s">
        <v>777</v>
      </c>
      <c r="H7585" s="576">
        <v>2.42</v>
      </c>
      <c r="V7585">
        <v>199</v>
      </c>
    </row>
    <row r="7586" spans="1:22" customFormat="1" ht="18.75" x14ac:dyDescent="0.3">
      <c r="A7586" t="s">
        <v>237</v>
      </c>
      <c r="E7586" s="836" t="s">
        <v>3853</v>
      </c>
      <c r="F7586" s="381"/>
      <c r="G7586" s="381"/>
      <c r="H7586" s="382"/>
      <c r="K7586" t="s">
        <v>5370</v>
      </c>
      <c r="V7586">
        <v>12</v>
      </c>
    </row>
    <row r="7587" spans="1:22" customFormat="1" ht="15" x14ac:dyDescent="0.25">
      <c r="A7587" t="s">
        <v>237</v>
      </c>
      <c r="E7587" s="1507" t="s">
        <v>1114</v>
      </c>
      <c r="F7587" s="1507"/>
      <c r="G7587" s="1507"/>
      <c r="H7587" s="1507"/>
      <c r="V7587">
        <v>203</v>
      </c>
    </row>
    <row r="7588" spans="1:22" customFormat="1" ht="15" x14ac:dyDescent="0.25">
      <c r="A7588" t="s">
        <v>237</v>
      </c>
      <c r="E7588" s="1507" t="s">
        <v>1115</v>
      </c>
      <c r="F7588" s="1507"/>
      <c r="G7588" s="584"/>
      <c r="H7588" s="650">
        <v>1.0469999999999999</v>
      </c>
      <c r="V7588">
        <v>57</v>
      </c>
    </row>
    <row r="7589" spans="1:22" customFormat="1" ht="15" x14ac:dyDescent="0.25">
      <c r="A7589" t="s">
        <v>237</v>
      </c>
      <c r="E7589" s="1507" t="s">
        <v>1117</v>
      </c>
      <c r="F7589" s="1507"/>
      <c r="G7589" s="584"/>
      <c r="H7589" s="650">
        <v>1.0365</v>
      </c>
      <c r="J7589" t="s">
        <v>5371</v>
      </c>
      <c r="V7589">
        <v>55</v>
      </c>
    </row>
    <row r="7590" spans="1:22" customFormat="1" ht="23.25" x14ac:dyDescent="0.25">
      <c r="A7590" t="s">
        <v>248</v>
      </c>
      <c r="C7590" t="s">
        <v>3755</v>
      </c>
      <c r="E7590" s="1550" t="s">
        <v>248</v>
      </c>
      <c r="F7590" s="1550"/>
      <c r="G7590" s="1550"/>
      <c r="H7590" s="1550"/>
      <c r="I7590" t="s">
        <v>94</v>
      </c>
      <c r="J7590" t="s">
        <v>5375</v>
      </c>
      <c r="K7590" t="s">
        <v>248</v>
      </c>
      <c r="M7590">
        <v>8</v>
      </c>
      <c r="V7590">
        <v>23</v>
      </c>
    </row>
    <row r="7591" spans="1:22" customFormat="1" x14ac:dyDescent="0.25">
      <c r="A7591" t="s">
        <v>248</v>
      </c>
      <c r="C7591" t="s">
        <v>3757</v>
      </c>
      <c r="E7591" s="1551" t="s">
        <v>944</v>
      </c>
      <c r="F7591" s="1551"/>
      <c r="G7591" s="1551"/>
      <c r="H7591" s="1551"/>
      <c r="V7591">
        <v>27</v>
      </c>
    </row>
    <row r="7592" spans="1:22" customFormat="1" ht="15.75" x14ac:dyDescent="0.25">
      <c r="A7592" t="s">
        <v>248</v>
      </c>
      <c r="C7592" t="s">
        <v>3758</v>
      </c>
      <c r="E7592" s="1543" t="s">
        <v>6847</v>
      </c>
      <c r="F7592" s="1543"/>
      <c r="G7592" s="1543"/>
      <c r="H7592" s="1543"/>
      <c r="S7592">
        <v>45778</v>
      </c>
      <c r="V7592">
        <v>45</v>
      </c>
    </row>
    <row r="7593" spans="1:22" customFormat="1" ht="15" x14ac:dyDescent="0.25">
      <c r="A7593" t="s">
        <v>248</v>
      </c>
      <c r="C7593" t="s">
        <v>3759</v>
      </c>
      <c r="E7593" s="1544" t="s">
        <v>945</v>
      </c>
      <c r="F7593" s="1544"/>
      <c r="G7593" s="1544"/>
      <c r="H7593" s="1544"/>
      <c r="V7593">
        <v>52</v>
      </c>
    </row>
    <row r="7594" spans="1:22" customFormat="1" ht="15" x14ac:dyDescent="0.25">
      <c r="A7594" t="s">
        <v>248</v>
      </c>
      <c r="E7594" s="1544" t="s">
        <v>946</v>
      </c>
      <c r="F7594" s="1544"/>
      <c r="G7594" s="1544"/>
      <c r="H7594" s="1544"/>
      <c r="V7594">
        <v>53</v>
      </c>
    </row>
    <row r="7595" spans="1:22" customFormat="1" ht="15" x14ac:dyDescent="0.25">
      <c r="A7595" t="s">
        <v>248</v>
      </c>
      <c r="E7595" s="1513" t="s">
        <v>6861</v>
      </c>
      <c r="F7595" s="1513"/>
      <c r="G7595" s="1513"/>
      <c r="H7595" s="1513"/>
      <c r="K7595" t="s">
        <v>6861</v>
      </c>
      <c r="V7595">
        <v>12</v>
      </c>
    </row>
    <row r="7596" spans="1:22" customFormat="1" ht="15" x14ac:dyDescent="0.25">
      <c r="A7596" t="s">
        <v>248</v>
      </c>
      <c r="E7596" s="1527" t="s">
        <v>170</v>
      </c>
      <c r="F7596" s="1516"/>
      <c r="G7596" s="1516"/>
      <c r="H7596" s="1516"/>
      <c r="K7596" t="s">
        <v>947</v>
      </c>
      <c r="V7596">
        <v>34</v>
      </c>
    </row>
    <row r="7597" spans="1:22" customFormat="1" ht="15" x14ac:dyDescent="0.25">
      <c r="A7597" t="s">
        <v>248</v>
      </c>
      <c r="E7597" s="1516" t="s">
        <v>5376</v>
      </c>
      <c r="F7597" s="1516"/>
      <c r="G7597" s="1516"/>
      <c r="H7597" s="1516"/>
      <c r="K7597" t="s">
        <v>947</v>
      </c>
      <c r="V7597">
        <v>680</v>
      </c>
    </row>
    <row r="7598" spans="1:22" customFormat="1" ht="15" x14ac:dyDescent="0.25">
      <c r="A7598" t="s">
        <v>248</v>
      </c>
      <c r="E7598" s="1515" t="s">
        <v>950</v>
      </c>
      <c r="F7598" s="1516"/>
      <c r="G7598" s="1516"/>
      <c r="H7598" s="1516"/>
      <c r="K7598" t="s">
        <v>949</v>
      </c>
      <c r="V7598">
        <v>11</v>
      </c>
    </row>
    <row r="7599" spans="1:22" customFormat="1" ht="15" x14ac:dyDescent="0.25">
      <c r="A7599" t="s">
        <v>248</v>
      </c>
      <c r="E7599" s="1516" t="s">
        <v>951</v>
      </c>
      <c r="F7599" s="1516"/>
      <c r="G7599" s="1516"/>
      <c r="H7599" s="1516"/>
      <c r="K7599" t="s">
        <v>947</v>
      </c>
      <c r="V7599">
        <v>280</v>
      </c>
    </row>
    <row r="7600" spans="1:22" customFormat="1" ht="15" x14ac:dyDescent="0.25">
      <c r="A7600" t="s">
        <v>248</v>
      </c>
      <c r="E7600" s="1516" t="s">
        <v>952</v>
      </c>
      <c r="F7600" s="1516"/>
      <c r="G7600" s="1516"/>
      <c r="H7600" s="1516"/>
      <c r="K7600" t="s">
        <v>947</v>
      </c>
      <c r="V7600">
        <v>411</v>
      </c>
    </row>
    <row r="7601" spans="1:22" customFormat="1" ht="15" x14ac:dyDescent="0.25">
      <c r="A7601" t="s">
        <v>248</v>
      </c>
      <c r="E7601" s="1516" t="s">
        <v>3761</v>
      </c>
      <c r="F7601" s="1516"/>
      <c r="G7601" s="1516"/>
      <c r="H7601" s="1516"/>
      <c r="K7601" t="s">
        <v>947</v>
      </c>
      <c r="V7601">
        <v>387</v>
      </c>
    </row>
    <row r="7602" spans="1:22" customFormat="1" ht="15" x14ac:dyDescent="0.25">
      <c r="A7602" t="s">
        <v>248</v>
      </c>
      <c r="E7602" s="1516" t="s">
        <v>954</v>
      </c>
      <c r="F7602" s="1516"/>
      <c r="G7602" s="1516"/>
      <c r="H7602" s="1516"/>
      <c r="K7602" t="s">
        <v>947</v>
      </c>
      <c r="V7602">
        <v>246</v>
      </c>
    </row>
    <row r="7603" spans="1:22" customFormat="1" ht="15" x14ac:dyDescent="0.25">
      <c r="A7603" t="s">
        <v>248</v>
      </c>
      <c r="E7603" s="1515" t="s">
        <v>956</v>
      </c>
      <c r="F7603" s="1516"/>
      <c r="G7603" s="1516"/>
      <c r="H7603" s="1516"/>
      <c r="K7603" t="s">
        <v>955</v>
      </c>
      <c r="V7603">
        <v>46</v>
      </c>
    </row>
    <row r="7604" spans="1:22" customFormat="1" ht="15" x14ac:dyDescent="0.25">
      <c r="A7604" t="s">
        <v>248</v>
      </c>
      <c r="E7604" s="1526" t="s">
        <v>3773</v>
      </c>
      <c r="F7604" s="1507"/>
      <c r="G7604" s="393" t="s">
        <v>777</v>
      </c>
      <c r="H7604" s="576">
        <v>44.39</v>
      </c>
      <c r="K7604" t="s">
        <v>947</v>
      </c>
      <c r="L7604" t="s">
        <v>690</v>
      </c>
      <c r="P7604" t="s">
        <v>957</v>
      </c>
      <c r="V7604">
        <v>14</v>
      </c>
    </row>
    <row r="7605" spans="1:22" customFormat="1" ht="15" x14ac:dyDescent="0.25">
      <c r="A7605" t="s">
        <v>248</v>
      </c>
      <c r="E7605" s="1526" t="s">
        <v>960</v>
      </c>
      <c r="F7605" s="1507"/>
      <c r="G7605" s="393" t="s">
        <v>777</v>
      </c>
      <c r="H7605" s="580">
        <v>0.42</v>
      </c>
      <c r="K7605" t="s">
        <v>947</v>
      </c>
      <c r="L7605" t="s">
        <v>692</v>
      </c>
      <c r="P7605" t="s">
        <v>959</v>
      </c>
      <c r="V7605">
        <v>64</v>
      </c>
    </row>
    <row r="7606" spans="1:22" customFormat="1" ht="15" x14ac:dyDescent="0.25">
      <c r="A7606" t="s">
        <v>248</v>
      </c>
      <c r="E7606" s="1526" t="s">
        <v>910</v>
      </c>
      <c r="F7606" s="1507"/>
      <c r="G7606" s="393" t="s">
        <v>845</v>
      </c>
      <c r="H7606" s="579">
        <v>3.0000000000000001E-3</v>
      </c>
      <c r="K7606" t="s">
        <v>947</v>
      </c>
      <c r="L7606" t="s">
        <v>692</v>
      </c>
      <c r="P7606" t="s">
        <v>961</v>
      </c>
      <c r="V7606">
        <v>24</v>
      </c>
    </row>
    <row r="7607" spans="1:22" customFormat="1" ht="15" x14ac:dyDescent="0.25">
      <c r="A7607" t="s">
        <v>248</v>
      </c>
      <c r="E7607" s="1526" t="s">
        <v>243</v>
      </c>
      <c r="F7607" s="1507"/>
      <c r="G7607" s="393" t="s">
        <v>845</v>
      </c>
      <c r="H7607" s="577">
        <v>1.49E-2</v>
      </c>
      <c r="K7607" t="s">
        <v>947</v>
      </c>
      <c r="L7607" t="s">
        <v>694</v>
      </c>
      <c r="P7607" t="s">
        <v>964</v>
      </c>
      <c r="V7607">
        <v>47</v>
      </c>
    </row>
    <row r="7608" spans="1:22" customFormat="1" ht="15" x14ac:dyDescent="0.25">
      <c r="A7608" t="s">
        <v>248</v>
      </c>
      <c r="E7608" s="1526" t="s">
        <v>175</v>
      </c>
      <c r="F7608" s="1507"/>
      <c r="G7608" s="393" t="s">
        <v>845</v>
      </c>
      <c r="H7608" s="577">
        <v>1.12E-2</v>
      </c>
      <c r="K7608" t="s">
        <v>947</v>
      </c>
      <c r="L7608" t="s">
        <v>694</v>
      </c>
      <c r="P7608" t="s">
        <v>965</v>
      </c>
      <c r="V7608">
        <v>74</v>
      </c>
    </row>
    <row r="7609" spans="1:22" customFormat="1" ht="15" x14ac:dyDescent="0.25">
      <c r="A7609" t="s">
        <v>248</v>
      </c>
      <c r="E7609" s="1515" t="s">
        <v>967</v>
      </c>
      <c r="F7609" s="1507"/>
      <c r="G7609" s="1507"/>
      <c r="H7609" s="1507"/>
      <c r="K7609" t="s">
        <v>966</v>
      </c>
      <c r="V7609">
        <v>48</v>
      </c>
    </row>
    <row r="7610" spans="1:22" customFormat="1" ht="15" x14ac:dyDescent="0.25">
      <c r="A7610" t="s">
        <v>248</v>
      </c>
      <c r="E7610" s="1524" t="s">
        <v>844</v>
      </c>
      <c r="F7610" s="1524"/>
      <c r="G7610" s="662" t="s">
        <v>845</v>
      </c>
      <c r="H7610" s="608">
        <v>4.1000000000000003E-3</v>
      </c>
      <c r="K7610" t="s">
        <v>947</v>
      </c>
      <c r="L7610" t="s">
        <v>968</v>
      </c>
      <c r="P7610" t="s">
        <v>969</v>
      </c>
      <c r="V7610">
        <v>55</v>
      </c>
    </row>
    <row r="7611" spans="1:22" customFormat="1" ht="15" x14ac:dyDescent="0.25">
      <c r="A7611" t="s">
        <v>248</v>
      </c>
      <c r="E7611" s="1524" t="s">
        <v>846</v>
      </c>
      <c r="F7611" s="1524"/>
      <c r="G7611" s="662" t="s">
        <v>845</v>
      </c>
      <c r="H7611" s="608">
        <v>4.0000000000000002E-4</v>
      </c>
      <c r="K7611" t="s">
        <v>947</v>
      </c>
      <c r="L7611" t="s">
        <v>968</v>
      </c>
      <c r="P7611" t="s">
        <v>969</v>
      </c>
      <c r="V7611">
        <v>65</v>
      </c>
    </row>
    <row r="7612" spans="1:22" customFormat="1" ht="15" x14ac:dyDescent="0.25">
      <c r="A7612" t="s">
        <v>248</v>
      </c>
      <c r="E7612" s="1526" t="s">
        <v>847</v>
      </c>
      <c r="F7612" s="1507"/>
      <c r="G7612" s="393" t="s">
        <v>845</v>
      </c>
      <c r="H7612" s="579">
        <v>1.5E-3</v>
      </c>
      <c r="K7612" t="s">
        <v>947</v>
      </c>
      <c r="L7612" t="s">
        <v>968</v>
      </c>
      <c r="P7612" t="s">
        <v>970</v>
      </c>
      <c r="V7612">
        <v>57</v>
      </c>
    </row>
    <row r="7613" spans="1:22" customFormat="1" ht="15" x14ac:dyDescent="0.25">
      <c r="A7613" t="s">
        <v>248</v>
      </c>
      <c r="E7613" s="1526" t="s">
        <v>848</v>
      </c>
      <c r="F7613" s="1507"/>
      <c r="G7613" s="393" t="s">
        <v>777</v>
      </c>
      <c r="H7613" s="580">
        <v>0.25</v>
      </c>
      <c r="K7613" t="s">
        <v>947</v>
      </c>
      <c r="L7613" t="s">
        <v>968</v>
      </c>
      <c r="P7613" t="s">
        <v>971</v>
      </c>
      <c r="V7613">
        <v>63</v>
      </c>
    </row>
    <row r="7614" spans="1:22" customFormat="1" x14ac:dyDescent="0.25">
      <c r="A7614" t="s">
        <v>248</v>
      </c>
      <c r="E7614" s="1527" t="s">
        <v>174</v>
      </c>
      <c r="F7614" s="1493"/>
      <c r="G7614" s="1493"/>
      <c r="H7614" s="1493"/>
      <c r="K7614" t="s">
        <v>972</v>
      </c>
      <c r="V7614">
        <v>54</v>
      </c>
    </row>
    <row r="7615" spans="1:22" customFormat="1" ht="15" x14ac:dyDescent="0.25">
      <c r="A7615" t="s">
        <v>248</v>
      </c>
      <c r="E7615" s="1516" t="s">
        <v>5377</v>
      </c>
      <c r="F7615" s="1516"/>
      <c r="G7615" s="1516"/>
      <c r="H7615" s="1516"/>
      <c r="K7615" t="s">
        <v>972</v>
      </c>
      <c r="V7615">
        <v>337</v>
      </c>
    </row>
    <row r="7616" spans="1:22" customFormat="1" ht="15" x14ac:dyDescent="0.25">
      <c r="A7616" t="s">
        <v>248</v>
      </c>
      <c r="E7616" s="1515" t="s">
        <v>950</v>
      </c>
      <c r="F7616" s="1516"/>
      <c r="G7616" s="1516"/>
      <c r="H7616" s="1516"/>
      <c r="K7616" t="s">
        <v>974</v>
      </c>
      <c r="V7616">
        <v>11</v>
      </c>
    </row>
    <row r="7617" spans="1:22" customFormat="1" ht="15" x14ac:dyDescent="0.25">
      <c r="A7617" t="s">
        <v>248</v>
      </c>
      <c r="E7617" s="1516" t="s">
        <v>951</v>
      </c>
      <c r="F7617" s="1516"/>
      <c r="G7617" s="1516"/>
      <c r="H7617" s="1516"/>
      <c r="K7617" t="s">
        <v>972</v>
      </c>
      <c r="V7617">
        <v>280</v>
      </c>
    </row>
    <row r="7618" spans="1:22" customFormat="1" ht="15" x14ac:dyDescent="0.25">
      <c r="A7618" t="s">
        <v>248</v>
      </c>
      <c r="E7618" s="1516" t="s">
        <v>952</v>
      </c>
      <c r="F7618" s="1516"/>
      <c r="G7618" s="1516"/>
      <c r="H7618" s="1516"/>
      <c r="K7618" t="s">
        <v>972</v>
      </c>
      <c r="V7618">
        <v>411</v>
      </c>
    </row>
    <row r="7619" spans="1:22" customFormat="1" ht="15" x14ac:dyDescent="0.25">
      <c r="A7619" t="s">
        <v>248</v>
      </c>
      <c r="E7619" s="1516" t="s">
        <v>3761</v>
      </c>
      <c r="F7619" s="1516"/>
      <c r="G7619" s="1516"/>
      <c r="H7619" s="1516"/>
      <c r="K7619" t="s">
        <v>972</v>
      </c>
      <c r="V7619">
        <v>387</v>
      </c>
    </row>
    <row r="7620" spans="1:22" customFormat="1" ht="15" x14ac:dyDescent="0.25">
      <c r="A7620" t="s">
        <v>248</v>
      </c>
      <c r="E7620" s="1516" t="s">
        <v>954</v>
      </c>
      <c r="F7620" s="1516"/>
      <c r="G7620" s="1516"/>
      <c r="H7620" s="1516"/>
      <c r="K7620" t="s">
        <v>972</v>
      </c>
      <c r="V7620">
        <v>246</v>
      </c>
    </row>
    <row r="7621" spans="1:22" customFormat="1" ht="15" x14ac:dyDescent="0.25">
      <c r="A7621" t="s">
        <v>248</v>
      </c>
      <c r="E7621" s="1515" t="s">
        <v>956</v>
      </c>
      <c r="F7621" s="1516"/>
      <c r="G7621" s="1516"/>
      <c r="H7621" s="1516"/>
      <c r="K7621" t="s">
        <v>975</v>
      </c>
      <c r="V7621">
        <v>46</v>
      </c>
    </row>
    <row r="7622" spans="1:22" customFormat="1" ht="15" x14ac:dyDescent="0.25">
      <c r="A7622" t="s">
        <v>248</v>
      </c>
      <c r="E7622" s="1526" t="s">
        <v>3773</v>
      </c>
      <c r="F7622" s="1507"/>
      <c r="G7622" s="393" t="s">
        <v>777</v>
      </c>
      <c r="H7622" s="576">
        <v>34.14</v>
      </c>
      <c r="K7622" t="s">
        <v>972</v>
      </c>
      <c r="L7622" t="s">
        <v>690</v>
      </c>
      <c r="P7622" t="s">
        <v>976</v>
      </c>
      <c r="V7622">
        <v>14</v>
      </c>
    </row>
    <row r="7623" spans="1:22" customFormat="1" ht="15" x14ac:dyDescent="0.25">
      <c r="A7623" t="s">
        <v>248</v>
      </c>
      <c r="E7623" s="1526" t="s">
        <v>960</v>
      </c>
      <c r="F7623" s="1507"/>
      <c r="G7623" s="393" t="s">
        <v>777</v>
      </c>
      <c r="H7623" s="580">
        <v>0.42</v>
      </c>
      <c r="K7623" t="s">
        <v>972</v>
      </c>
      <c r="L7623" t="s">
        <v>692</v>
      </c>
      <c r="P7623" t="s">
        <v>977</v>
      </c>
      <c r="V7623">
        <v>64</v>
      </c>
    </row>
    <row r="7624" spans="1:22" customFormat="1" ht="15" x14ac:dyDescent="0.25">
      <c r="A7624" t="s">
        <v>248</v>
      </c>
      <c r="E7624" s="1526" t="s">
        <v>3688</v>
      </c>
      <c r="F7624" s="1507"/>
      <c r="G7624" s="393" t="s">
        <v>845</v>
      </c>
      <c r="H7624" s="577">
        <v>2.3300000000000001E-2</v>
      </c>
      <c r="K7624" t="s">
        <v>972</v>
      </c>
      <c r="L7624" t="s">
        <v>690</v>
      </c>
      <c r="P7624" t="s">
        <v>978</v>
      </c>
      <c r="V7624">
        <v>28</v>
      </c>
    </row>
    <row r="7625" spans="1:22" customFormat="1" ht="15" x14ac:dyDescent="0.25">
      <c r="A7625" t="s">
        <v>248</v>
      </c>
      <c r="E7625" s="1526" t="s">
        <v>910</v>
      </c>
      <c r="F7625" s="1507"/>
      <c r="G7625" s="393" t="s">
        <v>845</v>
      </c>
      <c r="H7625" s="579">
        <v>2.8E-3</v>
      </c>
      <c r="K7625" t="s">
        <v>972</v>
      </c>
      <c r="L7625" t="s">
        <v>692</v>
      </c>
      <c r="P7625" t="s">
        <v>980</v>
      </c>
      <c r="V7625">
        <v>24</v>
      </c>
    </row>
    <row r="7626" spans="1:22" customFormat="1" ht="15" x14ac:dyDescent="0.25">
      <c r="A7626" t="s">
        <v>248</v>
      </c>
      <c r="E7626" s="1526" t="s">
        <v>243</v>
      </c>
      <c r="F7626" s="1507"/>
      <c r="G7626" s="393" t="s">
        <v>845</v>
      </c>
      <c r="H7626" s="577">
        <v>1.32E-2</v>
      </c>
      <c r="K7626" t="s">
        <v>972</v>
      </c>
      <c r="L7626" t="s">
        <v>694</v>
      </c>
      <c r="P7626" t="s">
        <v>983</v>
      </c>
      <c r="V7626">
        <v>47</v>
      </c>
    </row>
    <row r="7627" spans="1:22" customFormat="1" ht="15" x14ac:dyDescent="0.25">
      <c r="A7627" t="s">
        <v>248</v>
      </c>
      <c r="E7627" s="1526" t="s">
        <v>175</v>
      </c>
      <c r="F7627" s="1507"/>
      <c r="G7627" s="393" t="s">
        <v>845</v>
      </c>
      <c r="H7627" s="577">
        <v>1.0200000000000001E-2</v>
      </c>
      <c r="K7627" t="s">
        <v>972</v>
      </c>
      <c r="L7627" t="s">
        <v>694</v>
      </c>
      <c r="P7627" t="s">
        <v>984</v>
      </c>
      <c r="V7627">
        <v>74</v>
      </c>
    </row>
    <row r="7628" spans="1:22" customFormat="1" ht="15" x14ac:dyDescent="0.25">
      <c r="A7628" t="s">
        <v>248</v>
      </c>
      <c r="E7628" s="1515" t="s">
        <v>967</v>
      </c>
      <c r="F7628" s="1507"/>
      <c r="G7628" s="1507"/>
      <c r="H7628" s="1507"/>
      <c r="K7628" t="s">
        <v>985</v>
      </c>
      <c r="V7628">
        <v>48</v>
      </c>
    </row>
    <row r="7629" spans="1:22" customFormat="1" ht="15" x14ac:dyDescent="0.25">
      <c r="A7629" t="s">
        <v>248</v>
      </c>
      <c r="E7629" s="1524" t="s">
        <v>844</v>
      </c>
      <c r="F7629" s="1524"/>
      <c r="G7629" s="662" t="s">
        <v>845</v>
      </c>
      <c r="H7629" s="608">
        <v>4.1000000000000003E-3</v>
      </c>
      <c r="K7629" t="s">
        <v>972</v>
      </c>
      <c r="L7629" t="s">
        <v>968</v>
      </c>
      <c r="P7629" t="s">
        <v>986</v>
      </c>
      <c r="V7629">
        <v>55</v>
      </c>
    </row>
    <row r="7630" spans="1:22" customFormat="1" ht="15" x14ac:dyDescent="0.25">
      <c r="A7630" t="s">
        <v>248</v>
      </c>
      <c r="E7630" s="1524" t="s">
        <v>846</v>
      </c>
      <c r="F7630" s="1524"/>
      <c r="G7630" s="662" t="s">
        <v>845</v>
      </c>
      <c r="H7630" s="608">
        <v>4.0000000000000002E-4</v>
      </c>
      <c r="K7630" t="s">
        <v>972</v>
      </c>
      <c r="L7630" t="s">
        <v>968</v>
      </c>
      <c r="P7630" t="s">
        <v>986</v>
      </c>
      <c r="V7630">
        <v>65</v>
      </c>
    </row>
    <row r="7631" spans="1:22" customFormat="1" ht="15" x14ac:dyDescent="0.25">
      <c r="A7631" t="s">
        <v>248</v>
      </c>
      <c r="E7631" s="1526" t="s">
        <v>847</v>
      </c>
      <c r="F7631" s="1507"/>
      <c r="G7631" s="393" t="s">
        <v>845</v>
      </c>
      <c r="H7631" s="579">
        <v>1.5E-3</v>
      </c>
      <c r="K7631" t="s">
        <v>972</v>
      </c>
      <c r="L7631" t="s">
        <v>968</v>
      </c>
      <c r="P7631" t="s">
        <v>987</v>
      </c>
      <c r="V7631">
        <v>57</v>
      </c>
    </row>
    <row r="7632" spans="1:22" customFormat="1" ht="15" x14ac:dyDescent="0.25">
      <c r="A7632" t="s">
        <v>248</v>
      </c>
      <c r="E7632" s="1526" t="s">
        <v>848</v>
      </c>
      <c r="F7632" s="1507"/>
      <c r="G7632" s="393" t="s">
        <v>777</v>
      </c>
      <c r="H7632" s="580">
        <v>0.25</v>
      </c>
      <c r="K7632" t="s">
        <v>972</v>
      </c>
      <c r="L7632" t="s">
        <v>968</v>
      </c>
      <c r="P7632" t="s">
        <v>988</v>
      </c>
      <c r="V7632">
        <v>63</v>
      </c>
    </row>
    <row r="7633" spans="1:22" customFormat="1" x14ac:dyDescent="0.25">
      <c r="A7633" t="s">
        <v>248</v>
      </c>
      <c r="E7633" s="1527" t="s">
        <v>990</v>
      </c>
      <c r="F7633" s="1493"/>
      <c r="G7633" s="1493"/>
      <c r="H7633" s="1493"/>
      <c r="K7633" t="s">
        <v>989</v>
      </c>
      <c r="V7633">
        <v>51</v>
      </c>
    </row>
    <row r="7634" spans="1:22" customFormat="1" ht="15" x14ac:dyDescent="0.25">
      <c r="A7634" t="s">
        <v>248</v>
      </c>
      <c r="E7634" s="1516" t="s">
        <v>5378</v>
      </c>
      <c r="F7634" s="1516"/>
      <c r="G7634" s="1516"/>
      <c r="H7634" s="1516"/>
      <c r="K7634" t="s">
        <v>989</v>
      </c>
      <c r="V7634">
        <v>511</v>
      </c>
    </row>
    <row r="7635" spans="1:22" customFormat="1" ht="15" x14ac:dyDescent="0.25">
      <c r="A7635" t="s">
        <v>248</v>
      </c>
      <c r="E7635" s="1515" t="s">
        <v>950</v>
      </c>
      <c r="F7635" s="1516"/>
      <c r="G7635" s="1516"/>
      <c r="H7635" s="1516"/>
      <c r="K7635" t="s">
        <v>992</v>
      </c>
      <c r="V7635">
        <v>11</v>
      </c>
    </row>
    <row r="7636" spans="1:22" customFormat="1" ht="15" x14ac:dyDescent="0.25">
      <c r="A7636" t="s">
        <v>248</v>
      </c>
      <c r="E7636" s="1516" t="s">
        <v>951</v>
      </c>
      <c r="F7636" s="1516"/>
      <c r="G7636" s="1516"/>
      <c r="H7636" s="1516"/>
      <c r="K7636" t="s">
        <v>989</v>
      </c>
      <c r="V7636">
        <v>280</v>
      </c>
    </row>
    <row r="7637" spans="1:22" customFormat="1" ht="15" x14ac:dyDescent="0.25">
      <c r="A7637" t="s">
        <v>248</v>
      </c>
      <c r="E7637" s="1516" t="s">
        <v>952</v>
      </c>
      <c r="F7637" s="1516"/>
      <c r="G7637" s="1516"/>
      <c r="H7637" s="1516"/>
      <c r="K7637" t="s">
        <v>989</v>
      </c>
      <c r="V7637">
        <v>411</v>
      </c>
    </row>
    <row r="7638" spans="1:22" customFormat="1" ht="15" x14ac:dyDescent="0.25">
      <c r="A7638" t="s">
        <v>248</v>
      </c>
      <c r="E7638" s="1516" t="s">
        <v>3761</v>
      </c>
      <c r="F7638" s="1516"/>
      <c r="G7638" s="1516"/>
      <c r="H7638" s="1516"/>
      <c r="K7638" t="s">
        <v>989</v>
      </c>
      <c r="V7638">
        <v>387</v>
      </c>
    </row>
    <row r="7639" spans="1:22" customFormat="1" ht="15" x14ac:dyDescent="0.25">
      <c r="A7639" t="s">
        <v>248</v>
      </c>
      <c r="E7639" s="1516" t="s">
        <v>3771</v>
      </c>
      <c r="F7639" s="1516"/>
      <c r="G7639" s="1516"/>
      <c r="H7639" s="1516"/>
      <c r="K7639" t="s">
        <v>989</v>
      </c>
      <c r="V7639">
        <v>677</v>
      </c>
    </row>
    <row r="7640" spans="1:22" customFormat="1" ht="15" x14ac:dyDescent="0.25">
      <c r="A7640" t="s">
        <v>248</v>
      </c>
      <c r="E7640" s="1516" t="s">
        <v>3772</v>
      </c>
      <c r="F7640" s="1516"/>
      <c r="G7640" s="1516"/>
      <c r="H7640" s="1516"/>
      <c r="K7640" t="s">
        <v>989</v>
      </c>
      <c r="V7640">
        <v>693</v>
      </c>
    </row>
    <row r="7641" spans="1:22" customFormat="1" ht="15" x14ac:dyDescent="0.25">
      <c r="A7641" t="s">
        <v>248</v>
      </c>
      <c r="E7641" s="1516" t="s">
        <v>954</v>
      </c>
      <c r="F7641" s="1516"/>
      <c r="G7641" s="1516"/>
      <c r="H7641" s="1516"/>
      <c r="K7641" t="s">
        <v>989</v>
      </c>
      <c r="V7641">
        <v>246</v>
      </c>
    </row>
    <row r="7642" spans="1:22" customFormat="1" ht="15" x14ac:dyDescent="0.25">
      <c r="A7642" t="s">
        <v>248</v>
      </c>
      <c r="E7642" s="1516" t="s">
        <v>5379</v>
      </c>
      <c r="F7642" s="1516"/>
      <c r="G7642" s="1516"/>
      <c r="H7642" s="1516"/>
      <c r="K7642" t="s">
        <v>989</v>
      </c>
      <c r="V7642">
        <v>202</v>
      </c>
    </row>
    <row r="7643" spans="1:22" customFormat="1" ht="15" x14ac:dyDescent="0.25">
      <c r="A7643" t="s">
        <v>248</v>
      </c>
      <c r="E7643" s="1515" t="s">
        <v>956</v>
      </c>
      <c r="F7643" s="1516"/>
      <c r="G7643" s="1516"/>
      <c r="H7643" s="1516"/>
      <c r="K7643" t="s">
        <v>995</v>
      </c>
      <c r="V7643">
        <v>46</v>
      </c>
    </row>
    <row r="7644" spans="1:22" customFormat="1" ht="15" x14ac:dyDescent="0.25">
      <c r="A7644" t="s">
        <v>248</v>
      </c>
      <c r="E7644" s="1526" t="s">
        <v>3773</v>
      </c>
      <c r="F7644" s="1507"/>
      <c r="G7644" s="393" t="s">
        <v>777</v>
      </c>
      <c r="H7644" s="576">
        <v>145.35</v>
      </c>
      <c r="K7644" t="s">
        <v>989</v>
      </c>
      <c r="L7644" t="s">
        <v>690</v>
      </c>
      <c r="P7644" t="s">
        <v>996</v>
      </c>
      <c r="V7644">
        <v>14</v>
      </c>
    </row>
    <row r="7645" spans="1:22" customFormat="1" ht="15" x14ac:dyDescent="0.25">
      <c r="A7645" t="s">
        <v>248</v>
      </c>
      <c r="E7645" s="1526" t="s">
        <v>3688</v>
      </c>
      <c r="F7645" s="1507"/>
      <c r="G7645" s="393" t="s">
        <v>3775</v>
      </c>
      <c r="H7645" s="577">
        <v>6.4576000000000002</v>
      </c>
      <c r="K7645" t="s">
        <v>989</v>
      </c>
      <c r="L7645" t="s">
        <v>690</v>
      </c>
      <c r="P7645" t="s">
        <v>997</v>
      </c>
      <c r="V7645">
        <v>28</v>
      </c>
    </row>
    <row r="7646" spans="1:22" customFormat="1" ht="15" x14ac:dyDescent="0.25">
      <c r="A7646" t="s">
        <v>248</v>
      </c>
      <c r="E7646" s="1526" t="s">
        <v>910</v>
      </c>
      <c r="F7646" s="1507"/>
      <c r="G7646" s="393" t="s">
        <v>3775</v>
      </c>
      <c r="H7646" s="579">
        <v>1.1296999999999999</v>
      </c>
      <c r="K7646" t="s">
        <v>989</v>
      </c>
      <c r="L7646" t="s">
        <v>692</v>
      </c>
      <c r="P7646" t="s">
        <v>998</v>
      </c>
      <c r="V7646">
        <v>24</v>
      </c>
    </row>
    <row r="7647" spans="1:22" customFormat="1" ht="15" x14ac:dyDescent="0.25">
      <c r="A7647" t="s">
        <v>248</v>
      </c>
      <c r="E7647" s="1526" t="s">
        <v>243</v>
      </c>
      <c r="F7647" s="1507"/>
      <c r="G7647" s="393" t="s">
        <v>3775</v>
      </c>
      <c r="H7647" s="577">
        <v>5.7026000000000003</v>
      </c>
      <c r="K7647" t="s">
        <v>989</v>
      </c>
      <c r="L7647" t="s">
        <v>694</v>
      </c>
      <c r="P7647" t="s">
        <v>1001</v>
      </c>
      <c r="V7647">
        <v>47</v>
      </c>
    </row>
    <row r="7648" spans="1:22" customFormat="1" ht="15" x14ac:dyDescent="0.25">
      <c r="A7648" t="s">
        <v>248</v>
      </c>
      <c r="E7648" s="1526" t="s">
        <v>175</v>
      </c>
      <c r="F7648" s="1507"/>
      <c r="G7648" s="393" t="s">
        <v>3775</v>
      </c>
      <c r="H7648" s="577">
        <v>4.3400999999999996</v>
      </c>
      <c r="K7648" t="s">
        <v>989</v>
      </c>
      <c r="L7648" t="s">
        <v>694</v>
      </c>
      <c r="P7648" t="s">
        <v>1002</v>
      </c>
      <c r="V7648">
        <v>74</v>
      </c>
    </row>
    <row r="7649" spans="1:22" customFormat="1" ht="15" x14ac:dyDescent="0.25">
      <c r="A7649" t="s">
        <v>248</v>
      </c>
      <c r="E7649" s="1515" t="s">
        <v>967</v>
      </c>
      <c r="F7649" s="1507"/>
      <c r="G7649" s="1507"/>
      <c r="H7649" s="1507"/>
      <c r="K7649" t="s">
        <v>1003</v>
      </c>
      <c r="V7649">
        <v>48</v>
      </c>
    </row>
    <row r="7650" spans="1:22" customFormat="1" ht="15" x14ac:dyDescent="0.25">
      <c r="A7650" t="s">
        <v>248</v>
      </c>
      <c r="E7650" s="1524" t="s">
        <v>844</v>
      </c>
      <c r="F7650" s="1524"/>
      <c r="G7650" s="662" t="s">
        <v>845</v>
      </c>
      <c r="H7650" s="608">
        <v>4.1000000000000003E-3</v>
      </c>
      <c r="K7650" t="s">
        <v>989</v>
      </c>
      <c r="L7650" t="s">
        <v>968</v>
      </c>
      <c r="P7650" t="s">
        <v>1004</v>
      </c>
      <c r="V7650">
        <v>55</v>
      </c>
    </row>
    <row r="7651" spans="1:22" customFormat="1" ht="15" x14ac:dyDescent="0.25">
      <c r="A7651" t="s">
        <v>248</v>
      </c>
      <c r="E7651" s="1524" t="s">
        <v>846</v>
      </c>
      <c r="F7651" s="1524"/>
      <c r="G7651" s="662" t="s">
        <v>845</v>
      </c>
      <c r="H7651" s="608">
        <v>4.0000000000000002E-4</v>
      </c>
      <c r="K7651" t="s">
        <v>989</v>
      </c>
      <c r="L7651" t="s">
        <v>968</v>
      </c>
      <c r="P7651" t="s">
        <v>1004</v>
      </c>
      <c r="V7651">
        <v>65</v>
      </c>
    </row>
    <row r="7652" spans="1:22" customFormat="1" ht="15" x14ac:dyDescent="0.25">
      <c r="A7652" t="s">
        <v>248</v>
      </c>
      <c r="E7652" s="1526" t="s">
        <v>847</v>
      </c>
      <c r="F7652" s="1507"/>
      <c r="G7652" s="393" t="s">
        <v>845</v>
      </c>
      <c r="H7652" s="579">
        <v>1.5E-3</v>
      </c>
      <c r="K7652" t="s">
        <v>989</v>
      </c>
      <c r="L7652" t="s">
        <v>968</v>
      </c>
      <c r="P7652" t="s">
        <v>1005</v>
      </c>
      <c r="V7652">
        <v>57</v>
      </c>
    </row>
    <row r="7653" spans="1:22" customFormat="1" ht="15" x14ac:dyDescent="0.25">
      <c r="A7653" t="s">
        <v>248</v>
      </c>
      <c r="E7653" s="1526" t="s">
        <v>848</v>
      </c>
      <c r="F7653" s="1507"/>
      <c r="G7653" s="393" t="s">
        <v>777</v>
      </c>
      <c r="H7653" s="580">
        <v>0.25</v>
      </c>
      <c r="K7653" t="s">
        <v>989</v>
      </c>
      <c r="L7653" t="s">
        <v>968</v>
      </c>
      <c r="P7653" t="s">
        <v>1006</v>
      </c>
      <c r="V7653">
        <v>63</v>
      </c>
    </row>
    <row r="7654" spans="1:22" customFormat="1" x14ac:dyDescent="0.25">
      <c r="A7654" t="s">
        <v>248</v>
      </c>
      <c r="E7654" s="1527" t="s">
        <v>1008</v>
      </c>
      <c r="F7654" s="1493"/>
      <c r="G7654" s="1493"/>
      <c r="H7654" s="1493"/>
      <c r="K7654" t="s">
        <v>1007</v>
      </c>
      <c r="V7654">
        <v>56</v>
      </c>
    </row>
    <row r="7655" spans="1:22" customFormat="1" ht="15" x14ac:dyDescent="0.25">
      <c r="A7655" t="s">
        <v>248</v>
      </c>
      <c r="E7655" s="1516" t="s">
        <v>5380</v>
      </c>
      <c r="F7655" s="1516"/>
      <c r="G7655" s="1516"/>
      <c r="H7655" s="1516"/>
      <c r="K7655" t="s">
        <v>1007</v>
      </c>
      <c r="V7655">
        <v>508</v>
      </c>
    </row>
    <row r="7656" spans="1:22" customFormat="1" ht="15" x14ac:dyDescent="0.25">
      <c r="A7656" t="s">
        <v>248</v>
      </c>
      <c r="E7656" s="1515" t="s">
        <v>950</v>
      </c>
      <c r="F7656" s="1516"/>
      <c r="G7656" s="1516"/>
      <c r="H7656" s="1516"/>
      <c r="K7656" t="s">
        <v>1010</v>
      </c>
      <c r="V7656">
        <v>11</v>
      </c>
    </row>
    <row r="7657" spans="1:22" customFormat="1" ht="15" x14ac:dyDescent="0.25">
      <c r="A7657" t="s">
        <v>248</v>
      </c>
      <c r="E7657" s="1516" t="s">
        <v>951</v>
      </c>
      <c r="F7657" s="1516"/>
      <c r="G7657" s="1516"/>
      <c r="H7657" s="1516"/>
      <c r="K7657" t="s">
        <v>1007</v>
      </c>
      <c r="V7657">
        <v>280</v>
      </c>
    </row>
    <row r="7658" spans="1:22" customFormat="1" ht="15" x14ac:dyDescent="0.25">
      <c r="A7658" t="s">
        <v>248</v>
      </c>
      <c r="E7658" s="1516" t="s">
        <v>952</v>
      </c>
      <c r="F7658" s="1516"/>
      <c r="G7658" s="1516"/>
      <c r="H7658" s="1516"/>
      <c r="K7658" t="s">
        <v>1007</v>
      </c>
      <c r="V7658">
        <v>411</v>
      </c>
    </row>
    <row r="7659" spans="1:22" customFormat="1" ht="15" x14ac:dyDescent="0.25">
      <c r="A7659" t="s">
        <v>248</v>
      </c>
      <c r="E7659" s="1516" t="s">
        <v>3761</v>
      </c>
      <c r="F7659" s="1516"/>
      <c r="G7659" s="1516"/>
      <c r="H7659" s="1516"/>
      <c r="K7659" t="s">
        <v>1007</v>
      </c>
      <c r="V7659">
        <v>387</v>
      </c>
    </row>
    <row r="7660" spans="1:22" customFormat="1" ht="15" x14ac:dyDescent="0.25">
      <c r="A7660" t="s">
        <v>248</v>
      </c>
      <c r="E7660" s="1516" t="s">
        <v>3771</v>
      </c>
      <c r="F7660" s="1516"/>
      <c r="G7660" s="1516"/>
      <c r="H7660" s="1516"/>
      <c r="K7660" t="s">
        <v>1007</v>
      </c>
      <c r="V7660">
        <v>677</v>
      </c>
    </row>
    <row r="7661" spans="1:22" customFormat="1" ht="15" x14ac:dyDescent="0.25">
      <c r="A7661" t="s">
        <v>248</v>
      </c>
      <c r="E7661" s="1516" t="s">
        <v>3772</v>
      </c>
      <c r="F7661" s="1516"/>
      <c r="G7661" s="1516"/>
      <c r="H7661" s="1516"/>
      <c r="K7661" t="s">
        <v>1007</v>
      </c>
      <c r="V7661">
        <v>693</v>
      </c>
    </row>
    <row r="7662" spans="1:22" customFormat="1" ht="15" x14ac:dyDescent="0.25">
      <c r="A7662" t="s">
        <v>248</v>
      </c>
      <c r="E7662" s="1516" t="s">
        <v>954</v>
      </c>
      <c r="F7662" s="1516"/>
      <c r="G7662" s="1516"/>
      <c r="H7662" s="1516"/>
      <c r="K7662" t="s">
        <v>1007</v>
      </c>
      <c r="V7662">
        <v>246</v>
      </c>
    </row>
    <row r="7663" spans="1:22" customFormat="1" ht="15" x14ac:dyDescent="0.25">
      <c r="A7663" t="s">
        <v>248</v>
      </c>
      <c r="E7663" s="1516" t="s">
        <v>5379</v>
      </c>
      <c r="F7663" s="1516"/>
      <c r="G7663" s="1516"/>
      <c r="H7663" s="1516"/>
      <c r="K7663" t="s">
        <v>1007</v>
      </c>
      <c r="V7663">
        <v>202</v>
      </c>
    </row>
    <row r="7664" spans="1:22" customFormat="1" ht="15" x14ac:dyDescent="0.25">
      <c r="A7664" t="s">
        <v>248</v>
      </c>
      <c r="E7664" s="1515" t="s">
        <v>956</v>
      </c>
      <c r="F7664" s="1516"/>
      <c r="G7664" s="1516"/>
      <c r="H7664" s="1516"/>
      <c r="K7664" t="s">
        <v>1011</v>
      </c>
      <c r="V7664">
        <v>46</v>
      </c>
    </row>
    <row r="7665" spans="1:22" customFormat="1" ht="15" x14ac:dyDescent="0.25">
      <c r="A7665" t="s">
        <v>248</v>
      </c>
      <c r="E7665" s="1526" t="s">
        <v>3773</v>
      </c>
      <c r="F7665" s="1507"/>
      <c r="G7665" s="393" t="s">
        <v>777</v>
      </c>
      <c r="H7665" s="576">
        <v>324.27</v>
      </c>
      <c r="K7665" t="s">
        <v>1007</v>
      </c>
      <c r="L7665" t="s">
        <v>690</v>
      </c>
      <c r="P7665" t="s">
        <v>1012</v>
      </c>
      <c r="V7665">
        <v>14</v>
      </c>
    </row>
    <row r="7666" spans="1:22" customFormat="1" ht="15" x14ac:dyDescent="0.25">
      <c r="A7666" t="s">
        <v>248</v>
      </c>
      <c r="E7666" s="1526" t="s">
        <v>3688</v>
      </c>
      <c r="F7666" s="1507"/>
      <c r="G7666" s="393" t="s">
        <v>3775</v>
      </c>
      <c r="H7666" s="577">
        <v>5.7702999999999998</v>
      </c>
      <c r="K7666" t="s">
        <v>1007</v>
      </c>
      <c r="L7666" t="s">
        <v>690</v>
      </c>
      <c r="P7666" t="s">
        <v>1013</v>
      </c>
      <c r="V7666">
        <v>28</v>
      </c>
    </row>
    <row r="7667" spans="1:22" customFormat="1" ht="15" x14ac:dyDescent="0.25">
      <c r="A7667" t="s">
        <v>248</v>
      </c>
      <c r="E7667" s="1526" t="s">
        <v>910</v>
      </c>
      <c r="F7667" s="1507"/>
      <c r="G7667" s="393" t="s">
        <v>3775</v>
      </c>
      <c r="H7667" s="579">
        <v>1.1296999999999999</v>
      </c>
      <c r="K7667" t="s">
        <v>1007</v>
      </c>
      <c r="L7667" t="s">
        <v>692</v>
      </c>
      <c r="P7667" t="s">
        <v>1014</v>
      </c>
      <c r="V7667">
        <v>24</v>
      </c>
    </row>
    <row r="7668" spans="1:22" customFormat="1" ht="15" x14ac:dyDescent="0.25">
      <c r="A7668" t="s">
        <v>248</v>
      </c>
      <c r="E7668" s="1526" t="s">
        <v>243</v>
      </c>
      <c r="F7668" s="1507"/>
      <c r="G7668" s="393" t="s">
        <v>3775</v>
      </c>
      <c r="H7668" s="577">
        <v>5.7026000000000003</v>
      </c>
      <c r="K7668" t="s">
        <v>1007</v>
      </c>
      <c r="L7668" t="s">
        <v>694</v>
      </c>
      <c r="P7668" t="s">
        <v>1017</v>
      </c>
      <c r="V7668">
        <v>47</v>
      </c>
    </row>
    <row r="7669" spans="1:22" customFormat="1" ht="15" x14ac:dyDescent="0.25">
      <c r="A7669" t="s">
        <v>248</v>
      </c>
      <c r="E7669" s="1526" t="s">
        <v>175</v>
      </c>
      <c r="F7669" s="1507"/>
      <c r="G7669" s="393" t="s">
        <v>3775</v>
      </c>
      <c r="H7669" s="577">
        <v>4.3400999999999996</v>
      </c>
      <c r="K7669" t="s">
        <v>1007</v>
      </c>
      <c r="L7669" t="s">
        <v>694</v>
      </c>
      <c r="P7669" t="s">
        <v>1018</v>
      </c>
      <c r="V7669">
        <v>74</v>
      </c>
    </row>
    <row r="7670" spans="1:22" customFormat="1" ht="15" x14ac:dyDescent="0.25">
      <c r="A7670" t="s">
        <v>248</v>
      </c>
      <c r="E7670" s="1515" t="s">
        <v>967</v>
      </c>
      <c r="F7670" s="1507"/>
      <c r="G7670" s="1507"/>
      <c r="H7670" s="1507"/>
      <c r="K7670" t="s">
        <v>1019</v>
      </c>
      <c r="V7670">
        <v>48</v>
      </c>
    </row>
    <row r="7671" spans="1:22" customFormat="1" ht="15" x14ac:dyDescent="0.25">
      <c r="A7671" t="s">
        <v>248</v>
      </c>
      <c r="E7671" s="1524" t="s">
        <v>844</v>
      </c>
      <c r="F7671" s="1524"/>
      <c r="G7671" s="662" t="s">
        <v>845</v>
      </c>
      <c r="H7671" s="608">
        <v>4.1000000000000003E-3</v>
      </c>
      <c r="K7671" t="s">
        <v>1007</v>
      </c>
      <c r="L7671" t="s">
        <v>968</v>
      </c>
      <c r="P7671" t="s">
        <v>1020</v>
      </c>
      <c r="V7671">
        <v>55</v>
      </c>
    </row>
    <row r="7672" spans="1:22" customFormat="1" ht="15" x14ac:dyDescent="0.25">
      <c r="A7672" t="s">
        <v>248</v>
      </c>
      <c r="E7672" s="1524" t="s">
        <v>846</v>
      </c>
      <c r="F7672" s="1524"/>
      <c r="G7672" s="662" t="s">
        <v>845</v>
      </c>
      <c r="H7672" s="608">
        <v>4.0000000000000002E-4</v>
      </c>
      <c r="K7672" t="s">
        <v>1007</v>
      </c>
      <c r="L7672" t="s">
        <v>968</v>
      </c>
      <c r="P7672" t="s">
        <v>1020</v>
      </c>
      <c r="V7672">
        <v>65</v>
      </c>
    </row>
    <row r="7673" spans="1:22" customFormat="1" ht="15" x14ac:dyDescent="0.25">
      <c r="A7673" t="s">
        <v>248</v>
      </c>
      <c r="E7673" s="1526" t="s">
        <v>847</v>
      </c>
      <c r="F7673" s="1507"/>
      <c r="G7673" s="393" t="s">
        <v>845</v>
      </c>
      <c r="H7673" s="579">
        <v>1.5E-3</v>
      </c>
      <c r="K7673" t="s">
        <v>1007</v>
      </c>
      <c r="L7673" t="s">
        <v>968</v>
      </c>
      <c r="P7673" t="s">
        <v>1021</v>
      </c>
      <c r="V7673">
        <v>57</v>
      </c>
    </row>
    <row r="7674" spans="1:22" customFormat="1" ht="15" x14ac:dyDescent="0.25">
      <c r="A7674" t="s">
        <v>248</v>
      </c>
      <c r="E7674" s="1526" t="s">
        <v>848</v>
      </c>
      <c r="F7674" s="1507"/>
      <c r="G7674" s="393" t="s">
        <v>777</v>
      </c>
      <c r="H7674" s="580">
        <v>0.25</v>
      </c>
      <c r="K7674" t="s">
        <v>1007</v>
      </c>
      <c r="L7674" t="s">
        <v>968</v>
      </c>
      <c r="P7674" t="s">
        <v>1022</v>
      </c>
      <c r="V7674">
        <v>63</v>
      </c>
    </row>
    <row r="7675" spans="1:22" customFormat="1" x14ac:dyDescent="0.25">
      <c r="A7675" t="s">
        <v>248</v>
      </c>
      <c r="E7675" s="1527" t="s">
        <v>194</v>
      </c>
      <c r="F7675" s="1493"/>
      <c r="G7675" s="1493"/>
      <c r="H7675" s="1493"/>
      <c r="K7675" t="s">
        <v>1023</v>
      </c>
      <c r="V7675">
        <v>47</v>
      </c>
    </row>
    <row r="7676" spans="1:22" customFormat="1" ht="15" x14ac:dyDescent="0.25">
      <c r="A7676" t="s">
        <v>248</v>
      </c>
      <c r="E7676" s="1516" t="s">
        <v>5381</v>
      </c>
      <c r="F7676" s="1516"/>
      <c r="G7676" s="1516"/>
      <c r="H7676" s="1516"/>
      <c r="K7676" t="s">
        <v>1023</v>
      </c>
      <c r="V7676">
        <v>756</v>
      </c>
    </row>
    <row r="7677" spans="1:22" customFormat="1" ht="15" x14ac:dyDescent="0.25">
      <c r="A7677" t="s">
        <v>248</v>
      </c>
      <c r="E7677" s="1515" t="s">
        <v>950</v>
      </c>
      <c r="F7677" s="1516"/>
      <c r="G7677" s="1516"/>
      <c r="H7677" s="1516"/>
      <c r="K7677" t="s">
        <v>1025</v>
      </c>
      <c r="V7677">
        <v>11</v>
      </c>
    </row>
    <row r="7678" spans="1:22" customFormat="1" ht="15" x14ac:dyDescent="0.25">
      <c r="A7678" t="s">
        <v>248</v>
      </c>
      <c r="E7678" s="1516" t="s">
        <v>951</v>
      </c>
      <c r="F7678" s="1516"/>
      <c r="G7678" s="1516"/>
      <c r="H7678" s="1516"/>
      <c r="K7678" t="s">
        <v>1023</v>
      </c>
      <c r="V7678">
        <v>280</v>
      </c>
    </row>
    <row r="7679" spans="1:22" customFormat="1" ht="15" x14ac:dyDescent="0.25">
      <c r="A7679" t="s">
        <v>248</v>
      </c>
      <c r="E7679" s="1516" t="s">
        <v>952</v>
      </c>
      <c r="F7679" s="1516"/>
      <c r="G7679" s="1516"/>
      <c r="H7679" s="1516"/>
      <c r="K7679" t="s">
        <v>1023</v>
      </c>
      <c r="V7679">
        <v>411</v>
      </c>
    </row>
    <row r="7680" spans="1:22" customFormat="1" ht="15" x14ac:dyDescent="0.25">
      <c r="A7680" t="s">
        <v>248</v>
      </c>
      <c r="E7680" s="1516" t="s">
        <v>3761</v>
      </c>
      <c r="F7680" s="1516"/>
      <c r="G7680" s="1516"/>
      <c r="H7680" s="1516"/>
      <c r="K7680" t="s">
        <v>1023</v>
      </c>
      <c r="V7680">
        <v>387</v>
      </c>
    </row>
    <row r="7681" spans="1:22" customFormat="1" ht="15" x14ac:dyDescent="0.25">
      <c r="A7681" t="s">
        <v>248</v>
      </c>
      <c r="E7681" s="1516" t="s">
        <v>954</v>
      </c>
      <c r="F7681" s="1516"/>
      <c r="G7681" s="1516"/>
      <c r="H7681" s="1516"/>
      <c r="K7681" t="s">
        <v>1023</v>
      </c>
      <c r="V7681">
        <v>246</v>
      </c>
    </row>
    <row r="7682" spans="1:22" customFormat="1" ht="15" x14ac:dyDescent="0.25">
      <c r="A7682" t="s">
        <v>248</v>
      </c>
      <c r="E7682" s="1515" t="s">
        <v>956</v>
      </c>
      <c r="F7682" s="1516"/>
      <c r="G7682" s="1516"/>
      <c r="H7682" s="1516"/>
      <c r="K7682" t="s">
        <v>1026</v>
      </c>
      <c r="V7682">
        <v>46</v>
      </c>
    </row>
    <row r="7683" spans="1:22" customFormat="1" ht="15" x14ac:dyDescent="0.25">
      <c r="A7683" t="s">
        <v>248</v>
      </c>
      <c r="E7683" s="1526" t="s">
        <v>3874</v>
      </c>
      <c r="F7683" s="1507"/>
      <c r="G7683" s="393" t="s">
        <v>777</v>
      </c>
      <c r="H7683" s="576">
        <v>20.96</v>
      </c>
      <c r="K7683" t="s">
        <v>1023</v>
      </c>
      <c r="L7683" t="s">
        <v>690</v>
      </c>
      <c r="P7683" t="s">
        <v>1027</v>
      </c>
      <c r="V7683">
        <v>31</v>
      </c>
    </row>
    <row r="7684" spans="1:22" customFormat="1" ht="15" x14ac:dyDescent="0.25">
      <c r="A7684" t="s">
        <v>248</v>
      </c>
      <c r="E7684" s="1526" t="s">
        <v>3688</v>
      </c>
      <c r="F7684" s="1507"/>
      <c r="G7684" s="393" t="s">
        <v>845</v>
      </c>
      <c r="H7684" s="577">
        <v>1.4200000000000001E-2</v>
      </c>
      <c r="K7684" t="s">
        <v>1023</v>
      </c>
      <c r="L7684" t="s">
        <v>690</v>
      </c>
      <c r="P7684" t="s">
        <v>1029</v>
      </c>
      <c r="V7684">
        <v>28</v>
      </c>
    </row>
    <row r="7685" spans="1:22" customFormat="1" ht="15" x14ac:dyDescent="0.25">
      <c r="A7685" t="s">
        <v>248</v>
      </c>
      <c r="E7685" s="1526" t="s">
        <v>910</v>
      </c>
      <c r="F7685" s="1507"/>
      <c r="G7685" s="393" t="s">
        <v>845</v>
      </c>
      <c r="H7685" s="579">
        <v>2.8E-3</v>
      </c>
      <c r="K7685" t="s">
        <v>1023</v>
      </c>
      <c r="L7685" t="s">
        <v>692</v>
      </c>
      <c r="P7685" t="s">
        <v>1030</v>
      </c>
      <c r="V7685">
        <v>24</v>
      </c>
    </row>
    <row r="7686" spans="1:22" customFormat="1" ht="15" x14ac:dyDescent="0.25">
      <c r="A7686" t="s">
        <v>248</v>
      </c>
      <c r="E7686" s="1526" t="s">
        <v>243</v>
      </c>
      <c r="F7686" s="1507"/>
      <c r="G7686" s="393" t="s">
        <v>845</v>
      </c>
      <c r="H7686" s="577">
        <v>1.32E-2</v>
      </c>
      <c r="K7686" t="s">
        <v>1023</v>
      </c>
      <c r="L7686" t="s">
        <v>694</v>
      </c>
      <c r="P7686" t="s">
        <v>1033</v>
      </c>
      <c r="V7686">
        <v>47</v>
      </c>
    </row>
    <row r="7687" spans="1:22" customFormat="1" ht="15" x14ac:dyDescent="0.25">
      <c r="A7687" t="s">
        <v>248</v>
      </c>
      <c r="E7687" s="1526" t="s">
        <v>175</v>
      </c>
      <c r="F7687" s="1507"/>
      <c r="G7687" s="393" t="s">
        <v>845</v>
      </c>
      <c r="H7687" s="577">
        <v>1.0200000000000001E-2</v>
      </c>
      <c r="K7687" t="s">
        <v>1023</v>
      </c>
      <c r="L7687" t="s">
        <v>694</v>
      </c>
      <c r="P7687" t="s">
        <v>1034</v>
      </c>
      <c r="V7687">
        <v>74</v>
      </c>
    </row>
    <row r="7688" spans="1:22" customFormat="1" ht="15" x14ac:dyDescent="0.25">
      <c r="A7688" t="s">
        <v>248</v>
      </c>
      <c r="E7688" s="1515" t="s">
        <v>967</v>
      </c>
      <c r="F7688" s="1507"/>
      <c r="G7688" s="1507"/>
      <c r="H7688" s="1507"/>
      <c r="K7688" t="s">
        <v>1035</v>
      </c>
      <c r="V7688">
        <v>48</v>
      </c>
    </row>
    <row r="7689" spans="1:22" customFormat="1" ht="15" x14ac:dyDescent="0.25">
      <c r="A7689" t="s">
        <v>248</v>
      </c>
      <c r="E7689" s="1524" t="s">
        <v>844</v>
      </c>
      <c r="F7689" s="1524"/>
      <c r="G7689" s="662" t="s">
        <v>845</v>
      </c>
      <c r="H7689" s="608">
        <v>4.1000000000000003E-3</v>
      </c>
      <c r="K7689" t="s">
        <v>1023</v>
      </c>
      <c r="L7689" t="s">
        <v>968</v>
      </c>
      <c r="P7689" t="s">
        <v>1036</v>
      </c>
      <c r="V7689">
        <v>55</v>
      </c>
    </row>
    <row r="7690" spans="1:22" customFormat="1" ht="15" x14ac:dyDescent="0.25">
      <c r="A7690" t="s">
        <v>248</v>
      </c>
      <c r="E7690" s="1524" t="s">
        <v>846</v>
      </c>
      <c r="F7690" s="1524"/>
      <c r="G7690" s="662" t="s">
        <v>845</v>
      </c>
      <c r="H7690" s="608">
        <v>4.0000000000000002E-4</v>
      </c>
      <c r="K7690" t="s">
        <v>1023</v>
      </c>
      <c r="L7690" t="s">
        <v>968</v>
      </c>
      <c r="P7690" t="s">
        <v>1036</v>
      </c>
      <c r="V7690">
        <v>65</v>
      </c>
    </row>
    <row r="7691" spans="1:22" customFormat="1" ht="15" x14ac:dyDescent="0.25">
      <c r="A7691" t="s">
        <v>248</v>
      </c>
      <c r="E7691" s="1526" t="s">
        <v>847</v>
      </c>
      <c r="F7691" s="1507"/>
      <c r="G7691" s="393" t="s">
        <v>845</v>
      </c>
      <c r="H7691" s="579">
        <v>1.5E-3</v>
      </c>
      <c r="K7691" t="s">
        <v>1023</v>
      </c>
      <c r="L7691" t="s">
        <v>968</v>
      </c>
      <c r="P7691" t="s">
        <v>1037</v>
      </c>
      <c r="V7691">
        <v>57</v>
      </c>
    </row>
    <row r="7692" spans="1:22" customFormat="1" ht="15" x14ac:dyDescent="0.25">
      <c r="A7692" t="s">
        <v>248</v>
      </c>
      <c r="E7692" s="1526" t="s">
        <v>848</v>
      </c>
      <c r="F7692" s="1507"/>
      <c r="G7692" s="393" t="s">
        <v>777</v>
      </c>
      <c r="H7692" s="580">
        <v>0.25</v>
      </c>
      <c r="K7692" t="s">
        <v>1023</v>
      </c>
      <c r="L7692" t="s">
        <v>968</v>
      </c>
      <c r="P7692" t="s">
        <v>1038</v>
      </c>
      <c r="V7692">
        <v>63</v>
      </c>
    </row>
    <row r="7693" spans="1:22" customFormat="1" x14ac:dyDescent="0.25">
      <c r="A7693" t="s">
        <v>248</v>
      </c>
      <c r="E7693" s="1527" t="s">
        <v>198</v>
      </c>
      <c r="F7693" s="1493"/>
      <c r="G7693" s="1493"/>
      <c r="H7693" s="1493"/>
      <c r="K7693" t="s">
        <v>1039</v>
      </c>
      <c r="V7693">
        <v>40</v>
      </c>
    </row>
    <row r="7694" spans="1:22" customFormat="1" ht="15" x14ac:dyDescent="0.25">
      <c r="A7694" t="s">
        <v>248</v>
      </c>
      <c r="E7694" s="1516" t="s">
        <v>5382</v>
      </c>
      <c r="F7694" s="1516"/>
      <c r="G7694" s="1516"/>
      <c r="H7694" s="1516"/>
      <c r="K7694" t="s">
        <v>1039</v>
      </c>
      <c r="V7694">
        <v>254</v>
      </c>
    </row>
    <row r="7695" spans="1:22" customFormat="1" ht="15" x14ac:dyDescent="0.25">
      <c r="A7695" t="s">
        <v>248</v>
      </c>
      <c r="E7695" s="1515" t="s">
        <v>950</v>
      </c>
      <c r="F7695" s="1516"/>
      <c r="G7695" s="1516"/>
      <c r="H7695" s="1516"/>
      <c r="K7695" t="s">
        <v>1041</v>
      </c>
      <c r="V7695">
        <v>11</v>
      </c>
    </row>
    <row r="7696" spans="1:22" customFormat="1" ht="15" x14ac:dyDescent="0.25">
      <c r="A7696" t="s">
        <v>248</v>
      </c>
      <c r="E7696" s="1516" t="s">
        <v>951</v>
      </c>
      <c r="F7696" s="1516"/>
      <c r="G7696" s="1516"/>
      <c r="H7696" s="1516"/>
      <c r="K7696" t="s">
        <v>1039</v>
      </c>
      <c r="V7696">
        <v>280</v>
      </c>
    </row>
    <row r="7697" spans="1:22" customFormat="1" ht="15" x14ac:dyDescent="0.25">
      <c r="A7697" t="s">
        <v>248</v>
      </c>
      <c r="E7697" s="1516" t="s">
        <v>952</v>
      </c>
      <c r="F7697" s="1516"/>
      <c r="G7697" s="1516"/>
      <c r="H7697" s="1516"/>
      <c r="K7697" t="s">
        <v>1039</v>
      </c>
      <c r="V7697">
        <v>411</v>
      </c>
    </row>
    <row r="7698" spans="1:22" customFormat="1" ht="15" x14ac:dyDescent="0.25">
      <c r="A7698" t="s">
        <v>248</v>
      </c>
      <c r="E7698" s="1516" t="s">
        <v>3761</v>
      </c>
      <c r="F7698" s="1516"/>
      <c r="G7698" s="1516"/>
      <c r="H7698" s="1516"/>
      <c r="K7698" t="s">
        <v>1039</v>
      </c>
      <c r="V7698">
        <v>387</v>
      </c>
    </row>
    <row r="7699" spans="1:22" customFormat="1" ht="15" x14ac:dyDescent="0.25">
      <c r="A7699" t="s">
        <v>248</v>
      </c>
      <c r="E7699" s="1516" t="s">
        <v>954</v>
      </c>
      <c r="F7699" s="1516"/>
      <c r="G7699" s="1516"/>
      <c r="H7699" s="1516"/>
      <c r="K7699" t="s">
        <v>1039</v>
      </c>
      <c r="V7699">
        <v>246</v>
      </c>
    </row>
    <row r="7700" spans="1:22" customFormat="1" ht="15" x14ac:dyDescent="0.25">
      <c r="A7700" t="s">
        <v>248</v>
      </c>
      <c r="E7700" s="1515" t="s">
        <v>956</v>
      </c>
      <c r="F7700" s="1516"/>
      <c r="G7700" s="1516"/>
      <c r="H7700" s="1516"/>
      <c r="K7700" t="s">
        <v>1042</v>
      </c>
      <c r="V7700">
        <v>46</v>
      </c>
    </row>
    <row r="7701" spans="1:22" customFormat="1" ht="15" x14ac:dyDescent="0.25">
      <c r="A7701" t="s">
        <v>248</v>
      </c>
      <c r="E7701" s="1526" t="s">
        <v>3874</v>
      </c>
      <c r="F7701" s="1507"/>
      <c r="G7701" s="393" t="s">
        <v>777</v>
      </c>
      <c r="H7701" s="576">
        <v>14.19</v>
      </c>
      <c r="K7701" t="s">
        <v>1039</v>
      </c>
      <c r="L7701" t="s">
        <v>690</v>
      </c>
      <c r="P7701" t="s">
        <v>1043</v>
      </c>
      <c r="V7701">
        <v>31</v>
      </c>
    </row>
    <row r="7702" spans="1:22" customFormat="1" ht="15" x14ac:dyDescent="0.25">
      <c r="A7702" t="s">
        <v>248</v>
      </c>
      <c r="E7702" s="1526" t="s">
        <v>3688</v>
      </c>
      <c r="F7702" s="1507"/>
      <c r="G7702" s="393" t="s">
        <v>3775</v>
      </c>
      <c r="H7702" s="577">
        <v>53.8185</v>
      </c>
      <c r="K7702" t="s">
        <v>1039</v>
      </c>
      <c r="L7702" t="s">
        <v>690</v>
      </c>
      <c r="P7702" t="s">
        <v>1044</v>
      </c>
      <c r="V7702">
        <v>28</v>
      </c>
    </row>
    <row r="7703" spans="1:22" customFormat="1" ht="15" x14ac:dyDescent="0.25">
      <c r="A7703" t="s">
        <v>248</v>
      </c>
      <c r="E7703" s="1526" t="s">
        <v>910</v>
      </c>
      <c r="F7703" s="1507"/>
      <c r="G7703" s="393" t="s">
        <v>3775</v>
      </c>
      <c r="H7703" s="579">
        <v>0.81330000000000002</v>
      </c>
      <c r="K7703" t="s">
        <v>1039</v>
      </c>
      <c r="L7703" t="s">
        <v>692</v>
      </c>
      <c r="P7703" t="s">
        <v>1045</v>
      </c>
      <c r="V7703">
        <v>24</v>
      </c>
    </row>
    <row r="7704" spans="1:22" customFormat="1" ht="15" x14ac:dyDescent="0.25">
      <c r="A7704" t="s">
        <v>248</v>
      </c>
      <c r="E7704" s="1526" t="s">
        <v>243</v>
      </c>
      <c r="F7704" s="1507"/>
      <c r="G7704" s="393" t="s">
        <v>3775</v>
      </c>
      <c r="H7704" s="577">
        <v>4.0683999999999996</v>
      </c>
      <c r="K7704" t="s">
        <v>1039</v>
      </c>
      <c r="L7704" t="s">
        <v>694</v>
      </c>
      <c r="P7704" t="s">
        <v>1047</v>
      </c>
      <c r="V7704">
        <v>47</v>
      </c>
    </row>
    <row r="7705" spans="1:22" customFormat="1" ht="15" x14ac:dyDescent="0.25">
      <c r="A7705" t="s">
        <v>248</v>
      </c>
      <c r="E7705" s="1526" t="s">
        <v>175</v>
      </c>
      <c r="F7705" s="1507"/>
      <c r="G7705" s="393" t="s">
        <v>3775</v>
      </c>
      <c r="H7705" s="577">
        <v>3.1244000000000001</v>
      </c>
      <c r="K7705" t="s">
        <v>1039</v>
      </c>
      <c r="L7705" t="s">
        <v>694</v>
      </c>
      <c r="P7705" t="s">
        <v>1048</v>
      </c>
      <c r="V7705">
        <v>74</v>
      </c>
    </row>
    <row r="7706" spans="1:22" customFormat="1" ht="15" x14ac:dyDescent="0.25">
      <c r="A7706" t="s">
        <v>248</v>
      </c>
      <c r="E7706" s="1515" t="s">
        <v>967</v>
      </c>
      <c r="F7706" s="1507"/>
      <c r="G7706" s="1507"/>
      <c r="H7706" s="1507"/>
      <c r="K7706" t="s">
        <v>1049</v>
      </c>
      <c r="V7706">
        <v>48</v>
      </c>
    </row>
    <row r="7707" spans="1:22" customFormat="1" ht="15" x14ac:dyDescent="0.25">
      <c r="A7707" t="s">
        <v>248</v>
      </c>
      <c r="E7707" s="1524" t="s">
        <v>844</v>
      </c>
      <c r="F7707" s="1524"/>
      <c r="G7707" s="662" t="s">
        <v>845</v>
      </c>
      <c r="H7707" s="608">
        <v>4.1000000000000003E-3</v>
      </c>
      <c r="K7707" t="s">
        <v>1039</v>
      </c>
      <c r="L7707" t="s">
        <v>968</v>
      </c>
      <c r="P7707" t="s">
        <v>1050</v>
      </c>
      <c r="V7707">
        <v>55</v>
      </c>
    </row>
    <row r="7708" spans="1:22" customFormat="1" ht="15" x14ac:dyDescent="0.25">
      <c r="A7708" t="s">
        <v>248</v>
      </c>
      <c r="E7708" s="1524" t="s">
        <v>846</v>
      </c>
      <c r="F7708" s="1524"/>
      <c r="G7708" s="662" t="s">
        <v>845</v>
      </c>
      <c r="H7708" s="608">
        <v>4.0000000000000002E-4</v>
      </c>
      <c r="K7708" t="s">
        <v>1039</v>
      </c>
      <c r="L7708" t="s">
        <v>968</v>
      </c>
      <c r="P7708" t="s">
        <v>1050</v>
      </c>
      <c r="V7708">
        <v>65</v>
      </c>
    </row>
    <row r="7709" spans="1:22" customFormat="1" ht="15" x14ac:dyDescent="0.25">
      <c r="A7709" t="s">
        <v>248</v>
      </c>
      <c r="E7709" s="1526" t="s">
        <v>847</v>
      </c>
      <c r="F7709" s="1507"/>
      <c r="G7709" s="393" t="s">
        <v>845</v>
      </c>
      <c r="H7709" s="579">
        <v>1.5E-3</v>
      </c>
      <c r="K7709" t="s">
        <v>1039</v>
      </c>
      <c r="L7709" t="s">
        <v>968</v>
      </c>
      <c r="P7709" t="s">
        <v>1051</v>
      </c>
      <c r="V7709">
        <v>57</v>
      </c>
    </row>
    <row r="7710" spans="1:22" customFormat="1" ht="15" x14ac:dyDescent="0.25">
      <c r="A7710" t="s">
        <v>248</v>
      </c>
      <c r="E7710" s="1526" t="s">
        <v>848</v>
      </c>
      <c r="F7710" s="1507"/>
      <c r="G7710" s="393" t="s">
        <v>777</v>
      </c>
      <c r="H7710" s="580">
        <v>0.25</v>
      </c>
      <c r="K7710" t="s">
        <v>1039</v>
      </c>
      <c r="L7710" t="s">
        <v>968</v>
      </c>
      <c r="P7710" t="s">
        <v>1052</v>
      </c>
      <c r="V7710">
        <v>63</v>
      </c>
    </row>
    <row r="7711" spans="1:22" customFormat="1" x14ac:dyDescent="0.25">
      <c r="A7711" t="s">
        <v>248</v>
      </c>
      <c r="E7711" s="1527" t="s">
        <v>202</v>
      </c>
      <c r="F7711" s="1493"/>
      <c r="G7711" s="1493"/>
      <c r="H7711" s="1493"/>
      <c r="K7711" t="s">
        <v>1053</v>
      </c>
      <c r="V7711">
        <v>38</v>
      </c>
    </row>
    <row r="7712" spans="1:22" customFormat="1" ht="15" x14ac:dyDescent="0.25">
      <c r="A7712" t="s">
        <v>248</v>
      </c>
      <c r="E7712" s="1516" t="s">
        <v>5383</v>
      </c>
      <c r="F7712" s="1516"/>
      <c r="G7712" s="1516"/>
      <c r="H7712" s="1516"/>
      <c r="K7712" t="s">
        <v>1053</v>
      </c>
      <c r="V7712">
        <v>505</v>
      </c>
    </row>
    <row r="7713" spans="1:22" customFormat="1" ht="15" x14ac:dyDescent="0.25">
      <c r="A7713" t="s">
        <v>248</v>
      </c>
      <c r="E7713" s="1515" t="s">
        <v>950</v>
      </c>
      <c r="F7713" s="1516"/>
      <c r="G7713" s="1516"/>
      <c r="H7713" s="1516"/>
      <c r="K7713" t="s">
        <v>1055</v>
      </c>
      <c r="V7713">
        <v>11</v>
      </c>
    </row>
    <row r="7714" spans="1:22" customFormat="1" ht="15" x14ac:dyDescent="0.25">
      <c r="A7714" t="s">
        <v>248</v>
      </c>
      <c r="E7714" s="1516" t="s">
        <v>951</v>
      </c>
      <c r="F7714" s="1516"/>
      <c r="G7714" s="1516"/>
      <c r="H7714" s="1516"/>
      <c r="K7714" t="s">
        <v>1053</v>
      </c>
      <c r="V7714">
        <v>280</v>
      </c>
    </row>
    <row r="7715" spans="1:22" customFormat="1" ht="15" x14ac:dyDescent="0.25">
      <c r="A7715" t="s">
        <v>248</v>
      </c>
      <c r="E7715" s="1516" t="s">
        <v>952</v>
      </c>
      <c r="F7715" s="1516"/>
      <c r="G7715" s="1516"/>
      <c r="H7715" s="1516"/>
      <c r="K7715" t="s">
        <v>1053</v>
      </c>
      <c r="V7715">
        <v>411</v>
      </c>
    </row>
    <row r="7716" spans="1:22" customFormat="1" ht="15" x14ac:dyDescent="0.25">
      <c r="A7716" t="s">
        <v>248</v>
      </c>
      <c r="E7716" s="1516" t="s">
        <v>3761</v>
      </c>
      <c r="F7716" s="1516"/>
      <c r="G7716" s="1516"/>
      <c r="H7716" s="1516"/>
      <c r="K7716" t="s">
        <v>1053</v>
      </c>
      <c r="V7716">
        <v>387</v>
      </c>
    </row>
    <row r="7717" spans="1:22" customFormat="1" ht="15" x14ac:dyDescent="0.25">
      <c r="A7717" t="s">
        <v>248</v>
      </c>
      <c r="E7717" s="1516" t="s">
        <v>954</v>
      </c>
      <c r="F7717" s="1516"/>
      <c r="G7717" s="1516"/>
      <c r="H7717" s="1516"/>
      <c r="K7717" t="s">
        <v>1053</v>
      </c>
      <c r="V7717">
        <v>246</v>
      </c>
    </row>
    <row r="7718" spans="1:22" customFormat="1" ht="15" x14ac:dyDescent="0.25">
      <c r="A7718" t="s">
        <v>248</v>
      </c>
      <c r="E7718" s="1515" t="s">
        <v>956</v>
      </c>
      <c r="F7718" s="1516"/>
      <c r="G7718" s="1516"/>
      <c r="H7718" s="1516"/>
      <c r="K7718" t="s">
        <v>1056</v>
      </c>
      <c r="V7718">
        <v>46</v>
      </c>
    </row>
    <row r="7719" spans="1:22" customFormat="1" ht="15" x14ac:dyDescent="0.25">
      <c r="A7719" t="s">
        <v>248</v>
      </c>
      <c r="E7719" s="1526" t="s">
        <v>3874</v>
      </c>
      <c r="F7719" s="1507"/>
      <c r="G7719" s="393" t="s">
        <v>777</v>
      </c>
      <c r="H7719" s="576">
        <v>2.72</v>
      </c>
      <c r="K7719" t="s">
        <v>1053</v>
      </c>
      <c r="L7719" t="s">
        <v>690</v>
      </c>
      <c r="P7719" t="s">
        <v>1057</v>
      </c>
      <c r="V7719">
        <v>31</v>
      </c>
    </row>
    <row r="7720" spans="1:22" customFormat="1" ht="15" x14ac:dyDescent="0.25">
      <c r="A7720" t="s">
        <v>248</v>
      </c>
      <c r="E7720" s="1526" t="s">
        <v>3688</v>
      </c>
      <c r="F7720" s="1507"/>
      <c r="G7720" s="393" t="s">
        <v>3775</v>
      </c>
      <c r="H7720" s="577">
        <v>1.8391</v>
      </c>
      <c r="K7720" t="s">
        <v>1053</v>
      </c>
      <c r="L7720" t="s">
        <v>690</v>
      </c>
      <c r="P7720" t="s">
        <v>1059</v>
      </c>
      <c r="V7720">
        <v>28</v>
      </c>
    </row>
    <row r="7721" spans="1:22" customFormat="1" ht="15" x14ac:dyDescent="0.25">
      <c r="A7721" t="s">
        <v>248</v>
      </c>
      <c r="E7721" s="1526" t="s">
        <v>910</v>
      </c>
      <c r="F7721" s="1507"/>
      <c r="G7721" s="393" t="s">
        <v>3775</v>
      </c>
      <c r="H7721" s="579">
        <v>0.79669999999999996</v>
      </c>
      <c r="K7721" t="s">
        <v>1053</v>
      </c>
      <c r="L7721" t="s">
        <v>692</v>
      </c>
      <c r="P7721" t="s">
        <v>1060</v>
      </c>
      <c r="V7721">
        <v>24</v>
      </c>
    </row>
    <row r="7722" spans="1:22" customFormat="1" ht="15" x14ac:dyDescent="0.25">
      <c r="A7722" t="s">
        <v>248</v>
      </c>
      <c r="E7722" s="1526" t="s">
        <v>243</v>
      </c>
      <c r="F7722" s="1507"/>
      <c r="G7722" s="393" t="s">
        <v>3775</v>
      </c>
      <c r="H7722" s="577">
        <v>4.0494000000000003</v>
      </c>
      <c r="K7722" t="s">
        <v>1053</v>
      </c>
      <c r="L7722" t="s">
        <v>694</v>
      </c>
      <c r="P7722" t="s">
        <v>1063</v>
      </c>
      <c r="V7722">
        <v>47</v>
      </c>
    </row>
    <row r="7723" spans="1:22" customFormat="1" ht="15" x14ac:dyDescent="0.25">
      <c r="A7723" t="s">
        <v>248</v>
      </c>
      <c r="E7723" s="1526" t="s">
        <v>175</v>
      </c>
      <c r="F7723" s="1507"/>
      <c r="G7723" s="393" t="s">
        <v>3775</v>
      </c>
      <c r="H7723" s="577">
        <v>3.0608</v>
      </c>
      <c r="K7723" t="s">
        <v>1053</v>
      </c>
      <c r="L7723" t="s">
        <v>694</v>
      </c>
      <c r="P7723" t="s">
        <v>1064</v>
      </c>
      <c r="V7723">
        <v>74</v>
      </c>
    </row>
    <row r="7724" spans="1:22" customFormat="1" ht="15" x14ac:dyDescent="0.25">
      <c r="A7724" t="s">
        <v>248</v>
      </c>
      <c r="E7724" s="1515" t="s">
        <v>967</v>
      </c>
      <c r="F7724" s="1507"/>
      <c r="G7724" s="1507"/>
      <c r="H7724" s="1507"/>
      <c r="K7724" t="s">
        <v>1065</v>
      </c>
      <c r="V7724">
        <v>48</v>
      </c>
    </row>
    <row r="7725" spans="1:22" customFormat="1" ht="15" x14ac:dyDescent="0.25">
      <c r="A7725" t="s">
        <v>248</v>
      </c>
      <c r="E7725" s="1524" t="s">
        <v>844</v>
      </c>
      <c r="F7725" s="1524"/>
      <c r="G7725" s="662" t="s">
        <v>845</v>
      </c>
      <c r="H7725" s="608">
        <v>4.1000000000000003E-3</v>
      </c>
      <c r="K7725" t="s">
        <v>1053</v>
      </c>
      <c r="L7725" t="s">
        <v>968</v>
      </c>
      <c r="P7725" t="s">
        <v>1066</v>
      </c>
      <c r="V7725">
        <v>55</v>
      </c>
    </row>
    <row r="7726" spans="1:22" customFormat="1" ht="15" x14ac:dyDescent="0.25">
      <c r="A7726" t="s">
        <v>248</v>
      </c>
      <c r="E7726" s="1524" t="s">
        <v>846</v>
      </c>
      <c r="F7726" s="1524"/>
      <c r="G7726" s="662" t="s">
        <v>845</v>
      </c>
      <c r="H7726" s="608">
        <v>4.0000000000000002E-4</v>
      </c>
      <c r="K7726" t="s">
        <v>1053</v>
      </c>
      <c r="L7726" t="s">
        <v>968</v>
      </c>
      <c r="P7726" t="s">
        <v>1066</v>
      </c>
      <c r="V7726">
        <v>65</v>
      </c>
    </row>
    <row r="7727" spans="1:22" customFormat="1" ht="15" x14ac:dyDescent="0.25">
      <c r="A7727" t="s">
        <v>248</v>
      </c>
      <c r="E7727" s="1526" t="s">
        <v>847</v>
      </c>
      <c r="F7727" s="1507"/>
      <c r="G7727" s="393" t="s">
        <v>845</v>
      </c>
      <c r="H7727" s="579">
        <v>1.5E-3</v>
      </c>
      <c r="K7727" t="s">
        <v>1053</v>
      </c>
      <c r="L7727" t="s">
        <v>968</v>
      </c>
      <c r="P7727" t="s">
        <v>1067</v>
      </c>
      <c r="V7727">
        <v>57</v>
      </c>
    </row>
    <row r="7728" spans="1:22" customFormat="1" ht="15" x14ac:dyDescent="0.25">
      <c r="A7728" t="s">
        <v>248</v>
      </c>
      <c r="E7728" s="1526" t="s">
        <v>848</v>
      </c>
      <c r="F7728" s="1507"/>
      <c r="G7728" s="393" t="s">
        <v>777</v>
      </c>
      <c r="H7728" s="580">
        <v>0.25</v>
      </c>
      <c r="K7728" t="s">
        <v>1053</v>
      </c>
      <c r="L7728" t="s">
        <v>968</v>
      </c>
      <c r="P7728" t="s">
        <v>1068</v>
      </c>
      <c r="V7728">
        <v>63</v>
      </c>
    </row>
    <row r="7729" spans="1:22" customFormat="1" x14ac:dyDescent="0.25">
      <c r="A7729" t="s">
        <v>248</v>
      </c>
      <c r="E7729" s="1492" t="s">
        <v>207</v>
      </c>
      <c r="F7729" s="1493"/>
      <c r="G7729" s="1493"/>
      <c r="H7729" s="1493"/>
      <c r="K7729" t="s">
        <v>1069</v>
      </c>
      <c r="V7729">
        <v>31</v>
      </c>
    </row>
    <row r="7730" spans="1:22" customFormat="1" ht="15" x14ac:dyDescent="0.25">
      <c r="A7730" t="s">
        <v>248</v>
      </c>
      <c r="E7730" s="1516" t="s">
        <v>4150</v>
      </c>
      <c r="F7730" s="1516"/>
      <c r="G7730" s="1516"/>
      <c r="H7730" s="1516"/>
      <c r="K7730" t="s">
        <v>1069</v>
      </c>
      <c r="V7730">
        <v>286</v>
      </c>
    </row>
    <row r="7731" spans="1:22" customFormat="1" ht="15" x14ac:dyDescent="0.25">
      <c r="A7731" t="s">
        <v>248</v>
      </c>
      <c r="E7731" s="1515" t="s">
        <v>950</v>
      </c>
      <c r="F7731" s="1516"/>
      <c r="G7731" s="1516"/>
      <c r="H7731" s="1516"/>
      <c r="K7731" t="s">
        <v>1071</v>
      </c>
      <c r="V7731">
        <v>11</v>
      </c>
    </row>
    <row r="7732" spans="1:22" customFormat="1" ht="15" x14ac:dyDescent="0.25">
      <c r="A7732" t="s">
        <v>248</v>
      </c>
      <c r="E7732" s="1516" t="s">
        <v>951</v>
      </c>
      <c r="F7732" s="1516"/>
      <c r="G7732" s="1516"/>
      <c r="H7732" s="1516"/>
      <c r="K7732" t="s">
        <v>1069</v>
      </c>
      <c r="V7732">
        <v>280</v>
      </c>
    </row>
    <row r="7733" spans="1:22" customFormat="1" ht="15" x14ac:dyDescent="0.25">
      <c r="A7733" t="s">
        <v>248</v>
      </c>
      <c r="E7733" s="1516" t="s">
        <v>952</v>
      </c>
      <c r="F7733" s="1516"/>
      <c r="G7733" s="1516"/>
      <c r="H7733" s="1516"/>
      <c r="K7733" t="s">
        <v>1069</v>
      </c>
      <c r="V7733">
        <v>411</v>
      </c>
    </row>
    <row r="7734" spans="1:22" customFormat="1" ht="15" x14ac:dyDescent="0.25">
      <c r="A7734" t="s">
        <v>248</v>
      </c>
      <c r="E7734" s="1516" t="s">
        <v>1103</v>
      </c>
      <c r="F7734" s="1516"/>
      <c r="G7734" s="1516"/>
      <c r="H7734" s="1516"/>
      <c r="K7734" t="s">
        <v>1069</v>
      </c>
      <c r="V7734">
        <v>211</v>
      </c>
    </row>
    <row r="7735" spans="1:22" customFormat="1" ht="15" x14ac:dyDescent="0.25">
      <c r="A7735" t="s">
        <v>248</v>
      </c>
      <c r="E7735" s="1516" t="s">
        <v>954</v>
      </c>
      <c r="F7735" s="1516"/>
      <c r="G7735" s="1516"/>
      <c r="H7735" s="1516"/>
      <c r="K7735" t="s">
        <v>1069</v>
      </c>
      <c r="V7735">
        <v>246</v>
      </c>
    </row>
    <row r="7736" spans="1:22" customFormat="1" ht="15" x14ac:dyDescent="0.25">
      <c r="A7736" t="s">
        <v>248</v>
      </c>
      <c r="E7736" s="1515" t="s">
        <v>4210</v>
      </c>
      <c r="F7736" s="1516"/>
      <c r="G7736" s="1516"/>
      <c r="H7736" s="1516"/>
      <c r="K7736" t="s">
        <v>1075</v>
      </c>
      <c r="V7736">
        <v>47</v>
      </c>
    </row>
    <row r="7737" spans="1:22" customFormat="1" ht="15" x14ac:dyDescent="0.25">
      <c r="A7737" t="s">
        <v>248</v>
      </c>
      <c r="E7737" s="1526" t="s">
        <v>3773</v>
      </c>
      <c r="F7737" s="1507"/>
      <c r="G7737" s="393" t="s">
        <v>777</v>
      </c>
      <c r="H7737" s="576">
        <v>5</v>
      </c>
      <c r="K7737" t="s">
        <v>1069</v>
      </c>
      <c r="L7737" t="s">
        <v>690</v>
      </c>
      <c r="P7737" t="s">
        <v>1076</v>
      </c>
      <c r="V7737">
        <v>14</v>
      </c>
    </row>
    <row r="7738" spans="1:22" customFormat="1" x14ac:dyDescent="0.25">
      <c r="A7738" t="s">
        <v>248</v>
      </c>
      <c r="E7738" s="1492" t="s">
        <v>3825</v>
      </c>
      <c r="F7738" s="1493"/>
      <c r="G7738" s="1493"/>
      <c r="H7738" s="1493"/>
      <c r="K7738" t="s">
        <v>5384</v>
      </c>
      <c r="V7738">
        <v>10</v>
      </c>
    </row>
    <row r="7739" spans="1:22" customFormat="1" ht="15" x14ac:dyDescent="0.25">
      <c r="A7739" t="s">
        <v>248</v>
      </c>
      <c r="E7739" s="1507" t="s">
        <v>1078</v>
      </c>
      <c r="F7739" s="1507"/>
      <c r="G7739" s="584" t="s">
        <v>3775</v>
      </c>
      <c r="H7739" s="579">
        <v>-0.6</v>
      </c>
      <c r="V7739">
        <v>68</v>
      </c>
    </row>
    <row r="7740" spans="1:22" customFormat="1" ht="15" x14ac:dyDescent="0.25">
      <c r="A7740" t="s">
        <v>248</v>
      </c>
      <c r="E7740" s="1507" t="s">
        <v>1079</v>
      </c>
      <c r="F7740" s="1507"/>
      <c r="G7740" s="584" t="s">
        <v>1118</v>
      </c>
      <c r="H7740" s="580">
        <v>-1</v>
      </c>
      <c r="V7740">
        <v>87</v>
      </c>
    </row>
    <row r="7741" spans="1:22" customFormat="1" x14ac:dyDescent="0.25">
      <c r="A7741" t="s">
        <v>248</v>
      </c>
      <c r="E7741" s="1527" t="s">
        <v>3828</v>
      </c>
      <c r="F7741" s="1493"/>
      <c r="G7741" s="1493"/>
      <c r="H7741" s="1493"/>
      <c r="K7741" t="s">
        <v>5385</v>
      </c>
      <c r="V7741">
        <v>24</v>
      </c>
    </row>
    <row r="7742" spans="1:22" customFormat="1" ht="15" x14ac:dyDescent="0.25">
      <c r="A7742" t="s">
        <v>248</v>
      </c>
      <c r="E7742" s="1549" t="s">
        <v>950</v>
      </c>
      <c r="F7742" s="1516"/>
      <c r="G7742" s="1516"/>
      <c r="H7742" s="1516"/>
      <c r="V7742">
        <v>11</v>
      </c>
    </row>
    <row r="7743" spans="1:22" customFormat="1" ht="15" x14ac:dyDescent="0.25">
      <c r="A7743" t="s">
        <v>248</v>
      </c>
      <c r="E7743" s="1516" t="s">
        <v>951</v>
      </c>
      <c r="F7743" s="1516"/>
      <c r="G7743" s="1516"/>
      <c r="H7743" s="1516"/>
      <c r="V7743">
        <v>280</v>
      </c>
    </row>
    <row r="7744" spans="1:22" customFormat="1" ht="15" x14ac:dyDescent="0.25">
      <c r="A7744" t="s">
        <v>248</v>
      </c>
      <c r="E7744" s="1516" t="s">
        <v>1081</v>
      </c>
      <c r="F7744" s="1516"/>
      <c r="G7744" s="1516"/>
      <c r="H7744" s="1516"/>
      <c r="V7744">
        <v>353</v>
      </c>
    </row>
    <row r="7745" spans="1:22" customFormat="1" ht="15" x14ac:dyDescent="0.25">
      <c r="A7745" t="s">
        <v>248</v>
      </c>
      <c r="E7745" s="1516" t="s">
        <v>954</v>
      </c>
      <c r="F7745" s="1497"/>
      <c r="G7745" s="1497"/>
      <c r="H7745" s="1497"/>
      <c r="V7745">
        <v>246</v>
      </c>
    </row>
    <row r="7746" spans="1:22" customFormat="1" ht="15" x14ac:dyDescent="0.25">
      <c r="A7746" t="s">
        <v>248</v>
      </c>
      <c r="E7746" s="1515" t="s">
        <v>3830</v>
      </c>
      <c r="F7746" s="1497"/>
      <c r="G7746" s="1497"/>
      <c r="H7746" s="1497"/>
      <c r="K7746" t="s">
        <v>5386</v>
      </c>
      <c r="V7746">
        <v>23</v>
      </c>
    </row>
    <row r="7747" spans="1:22" customFormat="1" ht="15" x14ac:dyDescent="0.25">
      <c r="A7747" t="s">
        <v>248</v>
      </c>
      <c r="E7747" s="1517" t="s">
        <v>3832</v>
      </c>
      <c r="F7747" s="1517"/>
      <c r="G7747" s="837" t="s">
        <v>777</v>
      </c>
      <c r="H7747" s="580">
        <v>15</v>
      </c>
      <c r="V7747">
        <v>19</v>
      </c>
    </row>
    <row r="7748" spans="1:22" customFormat="1" ht="15" x14ac:dyDescent="0.25">
      <c r="A7748" t="s">
        <v>248</v>
      </c>
      <c r="E7748" s="1517" t="s">
        <v>3833</v>
      </c>
      <c r="F7748" s="1517"/>
      <c r="G7748" s="584" t="s">
        <v>777</v>
      </c>
      <c r="H7748" s="580">
        <v>15</v>
      </c>
      <c r="V7748">
        <v>20</v>
      </c>
    </row>
    <row r="7749" spans="1:22" customFormat="1" ht="15" x14ac:dyDescent="0.25">
      <c r="A7749" t="s">
        <v>248</v>
      </c>
      <c r="E7749" s="1517" t="s">
        <v>4054</v>
      </c>
      <c r="F7749" s="1517"/>
      <c r="G7749" s="584" t="s">
        <v>777</v>
      </c>
      <c r="H7749" s="580">
        <v>15</v>
      </c>
      <c r="V7749">
        <v>26</v>
      </c>
    </row>
    <row r="7750" spans="1:22" customFormat="1" ht="15" x14ac:dyDescent="0.25">
      <c r="A7750" t="s">
        <v>248</v>
      </c>
      <c r="E7750" s="1517" t="s">
        <v>3834</v>
      </c>
      <c r="F7750" s="1517"/>
      <c r="G7750" s="584" t="s">
        <v>777</v>
      </c>
      <c r="H7750" s="580">
        <v>15</v>
      </c>
      <c r="V7750">
        <v>39</v>
      </c>
    </row>
    <row r="7751" spans="1:22" customFormat="1" ht="15" x14ac:dyDescent="0.25">
      <c r="A7751" t="s">
        <v>248</v>
      </c>
      <c r="E7751" s="1517" t="s">
        <v>4055</v>
      </c>
      <c r="F7751" s="1517"/>
      <c r="G7751" s="584" t="s">
        <v>777</v>
      </c>
      <c r="H7751" s="580">
        <v>15</v>
      </c>
      <c r="V7751">
        <v>37</v>
      </c>
    </row>
    <row r="7752" spans="1:22" customFormat="1" ht="15" x14ac:dyDescent="0.25">
      <c r="A7752" t="s">
        <v>248</v>
      </c>
      <c r="E7752" s="1517" t="s">
        <v>4056</v>
      </c>
      <c r="F7752" s="1517"/>
      <c r="G7752" s="584" t="s">
        <v>777</v>
      </c>
      <c r="H7752" s="580">
        <v>15</v>
      </c>
      <c r="V7752">
        <v>15</v>
      </c>
    </row>
    <row r="7753" spans="1:22" customFormat="1" ht="15" x14ac:dyDescent="0.25">
      <c r="A7753" t="s">
        <v>248</v>
      </c>
      <c r="E7753" s="1517" t="s">
        <v>4057</v>
      </c>
      <c r="F7753" s="1517"/>
      <c r="G7753" s="584" t="s">
        <v>777</v>
      </c>
      <c r="H7753" s="580">
        <v>15</v>
      </c>
      <c r="V7753">
        <v>17</v>
      </c>
    </row>
    <row r="7754" spans="1:22" customFormat="1" ht="15" x14ac:dyDescent="0.25">
      <c r="A7754" t="s">
        <v>248</v>
      </c>
      <c r="E7754" s="1517" t="s">
        <v>4419</v>
      </c>
      <c r="F7754" s="1517"/>
      <c r="G7754" s="584" t="s">
        <v>777</v>
      </c>
      <c r="H7754" s="580">
        <v>15</v>
      </c>
      <c r="V7754">
        <v>19</v>
      </c>
    </row>
    <row r="7755" spans="1:22" customFormat="1" ht="15" x14ac:dyDescent="0.25">
      <c r="A7755" t="s">
        <v>248</v>
      </c>
      <c r="E7755" s="1517" t="s">
        <v>4058</v>
      </c>
      <c r="F7755" s="1517"/>
      <c r="G7755" s="584" t="s">
        <v>777</v>
      </c>
      <c r="H7755" s="580">
        <v>15</v>
      </c>
      <c r="V7755">
        <v>15</v>
      </c>
    </row>
    <row r="7756" spans="1:22" customFormat="1" ht="15" x14ac:dyDescent="0.25">
      <c r="A7756" t="s">
        <v>248</v>
      </c>
      <c r="E7756" s="1517" t="s">
        <v>3835</v>
      </c>
      <c r="F7756" s="1517"/>
      <c r="G7756" s="584" t="s">
        <v>777</v>
      </c>
      <c r="H7756" s="580">
        <v>15</v>
      </c>
      <c r="V7756">
        <v>56</v>
      </c>
    </row>
    <row r="7757" spans="1:22" customFormat="1" ht="15" x14ac:dyDescent="0.25">
      <c r="A7757" t="s">
        <v>248</v>
      </c>
      <c r="E7757" s="1517" t="s">
        <v>3836</v>
      </c>
      <c r="F7757" s="1517"/>
      <c r="G7757" s="584" t="s">
        <v>777</v>
      </c>
      <c r="H7757" s="580">
        <v>15</v>
      </c>
      <c r="V7757">
        <v>35</v>
      </c>
    </row>
    <row r="7758" spans="1:22" customFormat="1" ht="15" x14ac:dyDescent="0.25">
      <c r="A7758" t="s">
        <v>248</v>
      </c>
      <c r="E7758" s="1517" t="s">
        <v>4420</v>
      </c>
      <c r="F7758" s="1517"/>
      <c r="G7758" s="584" t="s">
        <v>777</v>
      </c>
      <c r="H7758" s="580">
        <v>15</v>
      </c>
      <c r="V7758">
        <v>24</v>
      </c>
    </row>
    <row r="7759" spans="1:22" customFormat="1" ht="15" x14ac:dyDescent="0.25">
      <c r="A7759" t="s">
        <v>248</v>
      </c>
      <c r="E7759" s="1517" t="s">
        <v>4059</v>
      </c>
      <c r="F7759" s="1517"/>
      <c r="G7759" s="584" t="s">
        <v>777</v>
      </c>
      <c r="H7759" s="580">
        <v>15</v>
      </c>
      <c r="V7759">
        <v>19</v>
      </c>
    </row>
    <row r="7760" spans="1:22" customFormat="1" ht="15" x14ac:dyDescent="0.25">
      <c r="A7760" t="s">
        <v>248</v>
      </c>
      <c r="E7760" s="1517" t="s">
        <v>3837</v>
      </c>
      <c r="F7760" s="1517"/>
      <c r="G7760" s="584" t="s">
        <v>777</v>
      </c>
      <c r="H7760" s="580">
        <v>30</v>
      </c>
      <c r="V7760">
        <v>89</v>
      </c>
    </row>
    <row r="7761" spans="1:22" customFormat="1" ht="15" x14ac:dyDescent="0.25">
      <c r="A7761" t="s">
        <v>248</v>
      </c>
      <c r="E7761" s="1517" t="s">
        <v>3914</v>
      </c>
      <c r="F7761" s="1517"/>
      <c r="G7761" s="584" t="s">
        <v>777</v>
      </c>
      <c r="H7761" s="580">
        <v>30</v>
      </c>
      <c r="V7761">
        <v>19</v>
      </c>
    </row>
    <row r="7762" spans="1:22" customFormat="1" ht="15" x14ac:dyDescent="0.25">
      <c r="A7762" t="s">
        <v>248</v>
      </c>
      <c r="E7762" s="1517" t="s">
        <v>3838</v>
      </c>
      <c r="F7762" s="1517"/>
      <c r="G7762" s="584" t="s">
        <v>777</v>
      </c>
      <c r="H7762" s="580">
        <v>30</v>
      </c>
      <c r="V7762">
        <v>74</v>
      </c>
    </row>
    <row r="7763" spans="1:22" customFormat="1" ht="15" x14ac:dyDescent="0.25">
      <c r="A7763" t="s">
        <v>248</v>
      </c>
      <c r="E7763" s="1515" t="s">
        <v>4665</v>
      </c>
      <c r="F7763" s="1497"/>
      <c r="G7763" s="1497"/>
      <c r="H7763" s="1497"/>
      <c r="V7763">
        <v>23</v>
      </c>
    </row>
    <row r="7764" spans="1:22" customFormat="1" ht="15" x14ac:dyDescent="0.25">
      <c r="A7764" t="s">
        <v>248</v>
      </c>
      <c r="E7764" s="1507" t="s">
        <v>4700</v>
      </c>
      <c r="F7764" s="1507"/>
      <c r="G7764" s="585"/>
      <c r="H7764" s="783"/>
      <c r="V7764">
        <v>24</v>
      </c>
    </row>
    <row r="7765" spans="1:22" customFormat="1" ht="15" x14ac:dyDescent="0.25">
      <c r="A7765" t="s">
        <v>248</v>
      </c>
      <c r="E7765" s="1507" t="s">
        <v>5387</v>
      </c>
      <c r="F7765" s="1507"/>
      <c r="G7765" s="585" t="s">
        <v>1118</v>
      </c>
      <c r="H7765" s="782">
        <v>1.5</v>
      </c>
      <c r="V7765">
        <v>75</v>
      </c>
    </row>
    <row r="7766" spans="1:22" customFormat="1" ht="15" x14ac:dyDescent="0.25">
      <c r="A7766" t="s">
        <v>248</v>
      </c>
      <c r="E7766" s="1507" t="s">
        <v>3842</v>
      </c>
      <c r="F7766" s="1507"/>
      <c r="G7766" s="585" t="s">
        <v>777</v>
      </c>
      <c r="H7766" s="782">
        <v>65</v>
      </c>
      <c r="V7766">
        <v>44</v>
      </c>
    </row>
    <row r="7767" spans="1:22" customFormat="1" ht="15" x14ac:dyDescent="0.25">
      <c r="A7767" t="s">
        <v>248</v>
      </c>
      <c r="E7767" s="1507" t="s">
        <v>3843</v>
      </c>
      <c r="F7767" s="1507"/>
      <c r="G7767" s="585" t="s">
        <v>777</v>
      </c>
      <c r="H7767" s="782">
        <v>185</v>
      </c>
      <c r="V7767">
        <v>43</v>
      </c>
    </row>
    <row r="7768" spans="1:22" customFormat="1" ht="15" x14ac:dyDescent="0.25">
      <c r="A7768" t="s">
        <v>248</v>
      </c>
      <c r="E7768" s="1507" t="s">
        <v>3844</v>
      </c>
      <c r="F7768" s="1507"/>
      <c r="G7768" s="585" t="s">
        <v>777</v>
      </c>
      <c r="H7768" s="782">
        <v>185</v>
      </c>
      <c r="V7768">
        <v>43</v>
      </c>
    </row>
    <row r="7769" spans="1:22" customFormat="1" ht="15" x14ac:dyDescent="0.25">
      <c r="A7769" t="s">
        <v>248</v>
      </c>
      <c r="E7769" s="1507" t="s">
        <v>3845</v>
      </c>
      <c r="F7769" s="1507"/>
      <c r="G7769" s="585" t="s">
        <v>777</v>
      </c>
      <c r="H7769" s="782">
        <v>415</v>
      </c>
      <c r="V7769">
        <v>42</v>
      </c>
    </row>
    <row r="7770" spans="1:22" customFormat="1" ht="15" x14ac:dyDescent="0.25">
      <c r="A7770" t="s">
        <v>248</v>
      </c>
      <c r="E7770" s="1515" t="s">
        <v>4807</v>
      </c>
      <c r="F7770" s="1556"/>
      <c r="G7770" s="1556"/>
      <c r="H7770" s="1556"/>
      <c r="V7770">
        <v>6</v>
      </c>
    </row>
    <row r="7771" spans="1:22" customFormat="1" ht="15" x14ac:dyDescent="0.25">
      <c r="A7771" t="s">
        <v>248</v>
      </c>
      <c r="E7771" s="1507" t="s">
        <v>4217</v>
      </c>
      <c r="F7771" s="1507"/>
      <c r="G7771" s="585" t="s">
        <v>777</v>
      </c>
      <c r="H7771" s="782">
        <v>30</v>
      </c>
      <c r="V7771">
        <v>39</v>
      </c>
    </row>
    <row r="7772" spans="1:22" customFormat="1" ht="15" x14ac:dyDescent="0.25">
      <c r="A7772" t="s">
        <v>248</v>
      </c>
      <c r="E7772" s="1507" t="s">
        <v>3847</v>
      </c>
      <c r="F7772" s="1507"/>
      <c r="G7772" s="585" t="s">
        <v>777</v>
      </c>
      <c r="H7772" s="782">
        <v>165</v>
      </c>
      <c r="V7772">
        <v>34</v>
      </c>
    </row>
    <row r="7773" spans="1:22" customFormat="1" ht="15" x14ac:dyDescent="0.25">
      <c r="A7773" t="s">
        <v>248</v>
      </c>
      <c r="E7773" s="1507" t="s">
        <v>4702</v>
      </c>
      <c r="F7773" s="1507"/>
      <c r="G7773" s="585" t="s">
        <v>777</v>
      </c>
      <c r="H7773" s="782">
        <v>500</v>
      </c>
      <c r="V7773">
        <v>62</v>
      </c>
    </row>
    <row r="7774" spans="1:22" customFormat="1" ht="15" x14ac:dyDescent="0.25">
      <c r="A7774" t="s">
        <v>248</v>
      </c>
      <c r="E7774" s="1507" t="s">
        <v>4429</v>
      </c>
      <c r="F7774" s="1507"/>
      <c r="G7774" s="585" t="s">
        <v>777</v>
      </c>
      <c r="H7774" s="782">
        <v>300</v>
      </c>
      <c r="V7774">
        <v>65</v>
      </c>
    </row>
    <row r="7775" spans="1:22" customFormat="1" ht="15" x14ac:dyDescent="0.25">
      <c r="A7775" t="s">
        <v>248</v>
      </c>
      <c r="E7775" s="1507" t="s">
        <v>4430</v>
      </c>
      <c r="F7775" s="1507"/>
      <c r="G7775" s="481" t="s">
        <v>777</v>
      </c>
      <c r="H7775" s="782">
        <v>1000</v>
      </c>
      <c r="V7775">
        <v>64</v>
      </c>
    </row>
    <row r="7776" spans="1:22" customFormat="1" ht="15" x14ac:dyDescent="0.25">
      <c r="A7776" t="s">
        <v>248</v>
      </c>
      <c r="E7776" s="1507" t="s">
        <v>4674</v>
      </c>
      <c r="F7776" s="1507"/>
      <c r="G7776" s="481" t="s">
        <v>777</v>
      </c>
      <c r="H7776" s="782">
        <v>39.14</v>
      </c>
      <c r="V7776">
        <v>59</v>
      </c>
    </row>
    <row r="7777" spans="1:22" customFormat="1" ht="15" x14ac:dyDescent="0.25">
      <c r="A7777" t="s">
        <v>248</v>
      </c>
      <c r="E7777" s="1507" t="s">
        <v>4469</v>
      </c>
      <c r="F7777" s="1507"/>
      <c r="G7777" s="1598"/>
      <c r="H7777" s="1598"/>
      <c r="V7777">
        <v>44</v>
      </c>
    </row>
    <row r="7778" spans="1:22" customFormat="1" ht="15" x14ac:dyDescent="0.25">
      <c r="A7778" t="s">
        <v>248</v>
      </c>
      <c r="E7778" s="1507" t="s">
        <v>5388</v>
      </c>
      <c r="F7778" s="1507"/>
      <c r="G7778" s="481" t="s">
        <v>777</v>
      </c>
      <c r="H7778" s="782">
        <v>20</v>
      </c>
      <c r="V7778">
        <v>21</v>
      </c>
    </row>
    <row r="7779" spans="1:22" customFormat="1" x14ac:dyDescent="0.25">
      <c r="A7779" t="s">
        <v>248</v>
      </c>
      <c r="E7779" s="1492" t="s">
        <v>3851</v>
      </c>
      <c r="F7779" s="1493"/>
      <c r="G7779" s="1493"/>
      <c r="H7779" s="1493"/>
      <c r="K7779" t="s">
        <v>5389</v>
      </c>
      <c r="V7779">
        <v>38</v>
      </c>
    </row>
    <row r="7780" spans="1:22" customFormat="1" ht="15" x14ac:dyDescent="0.25">
      <c r="A7780" t="s">
        <v>248</v>
      </c>
      <c r="E7780" s="1549" t="s">
        <v>950</v>
      </c>
      <c r="F7780" s="1516"/>
      <c r="G7780" s="1516"/>
      <c r="H7780" s="1516"/>
      <c r="K7780" t="s">
        <v>1071</v>
      </c>
      <c r="V7780">
        <v>11</v>
      </c>
    </row>
    <row r="7781" spans="1:22" customFormat="1" ht="15" x14ac:dyDescent="0.25">
      <c r="A7781" t="s">
        <v>248</v>
      </c>
      <c r="E7781" s="1516" t="s">
        <v>951</v>
      </c>
      <c r="F7781" s="1516"/>
      <c r="G7781" s="1516"/>
      <c r="H7781" s="1516"/>
      <c r="V7781">
        <v>280</v>
      </c>
    </row>
    <row r="7782" spans="1:22" customFormat="1" ht="15" x14ac:dyDescent="0.25">
      <c r="A7782" t="s">
        <v>248</v>
      </c>
      <c r="E7782" s="1516" t="s">
        <v>952</v>
      </c>
      <c r="F7782" s="1516"/>
      <c r="G7782" s="1516"/>
      <c r="H7782" s="1516"/>
      <c r="V7782">
        <v>411</v>
      </c>
    </row>
    <row r="7783" spans="1:22" customFormat="1" ht="15" x14ac:dyDescent="0.25">
      <c r="A7783" t="s">
        <v>248</v>
      </c>
      <c r="E7783" s="1516" t="s">
        <v>1103</v>
      </c>
      <c r="F7783" s="1516"/>
      <c r="G7783" s="1516"/>
      <c r="H7783" s="1516"/>
      <c r="V7783">
        <v>211</v>
      </c>
    </row>
    <row r="7784" spans="1:22" customFormat="1" ht="15" x14ac:dyDescent="0.25">
      <c r="A7784" t="s">
        <v>248</v>
      </c>
      <c r="E7784" s="1516" t="s">
        <v>954</v>
      </c>
      <c r="F7784" s="1516"/>
      <c r="G7784" s="1516"/>
      <c r="H7784" s="1516"/>
      <c r="V7784">
        <v>246</v>
      </c>
    </row>
    <row r="7785" spans="1:22" customFormat="1" ht="15" x14ac:dyDescent="0.25">
      <c r="A7785" t="s">
        <v>248</v>
      </c>
      <c r="E7785" s="1507" t="s">
        <v>1104</v>
      </c>
      <c r="F7785" s="1507"/>
      <c r="G7785" s="1516"/>
      <c r="H7785" s="1516"/>
      <c r="V7785">
        <v>142</v>
      </c>
    </row>
    <row r="7786" spans="1:22" customFormat="1" ht="15" x14ac:dyDescent="0.25">
      <c r="A7786" t="s">
        <v>248</v>
      </c>
      <c r="E7786" s="1507" t="s">
        <v>849</v>
      </c>
      <c r="F7786" s="1507"/>
      <c r="G7786" s="585" t="s">
        <v>777</v>
      </c>
      <c r="H7786" s="782">
        <v>121.23</v>
      </c>
      <c r="V7786">
        <v>106</v>
      </c>
    </row>
    <row r="7787" spans="1:22" customFormat="1" ht="15" x14ac:dyDescent="0.25">
      <c r="A7787" t="s">
        <v>248</v>
      </c>
      <c r="E7787" s="1507" t="s">
        <v>850</v>
      </c>
      <c r="F7787" s="1507"/>
      <c r="G7787" s="585" t="s">
        <v>777</v>
      </c>
      <c r="H7787" s="782">
        <v>48.5</v>
      </c>
      <c r="V7787">
        <v>34</v>
      </c>
    </row>
    <row r="7788" spans="1:22" customFormat="1" ht="15" x14ac:dyDescent="0.25">
      <c r="A7788" t="s">
        <v>248</v>
      </c>
      <c r="E7788" s="1507" t="s">
        <v>851</v>
      </c>
      <c r="F7788" s="1507"/>
      <c r="G7788" s="585" t="s">
        <v>852</v>
      </c>
      <c r="H7788" s="782">
        <v>1.2</v>
      </c>
      <c r="V7788">
        <v>51</v>
      </c>
    </row>
    <row r="7789" spans="1:22" customFormat="1" ht="15" x14ac:dyDescent="0.25">
      <c r="A7789" t="s">
        <v>248</v>
      </c>
      <c r="E7789" s="1507" t="s">
        <v>853</v>
      </c>
      <c r="F7789" s="1507"/>
      <c r="G7789" s="585" t="s">
        <v>852</v>
      </c>
      <c r="H7789" s="782">
        <v>0.71</v>
      </c>
      <c r="V7789">
        <v>75</v>
      </c>
    </row>
    <row r="7790" spans="1:22" customFormat="1" ht="15" x14ac:dyDescent="0.25">
      <c r="A7790" t="s">
        <v>248</v>
      </c>
      <c r="E7790" s="1507" t="s">
        <v>854</v>
      </c>
      <c r="F7790" s="1507"/>
      <c r="G7790" s="585" t="s">
        <v>852</v>
      </c>
      <c r="H7790" s="782">
        <v>-0.71</v>
      </c>
      <c r="V7790">
        <v>72</v>
      </c>
    </row>
    <row r="7791" spans="1:22" customFormat="1" ht="15" x14ac:dyDescent="0.25">
      <c r="A7791" t="s">
        <v>248</v>
      </c>
      <c r="E7791" s="1511" t="s">
        <v>855</v>
      </c>
      <c r="F7791" s="1511"/>
      <c r="G7791" s="1507"/>
      <c r="H7791" s="1507"/>
      <c r="V7791">
        <v>34</v>
      </c>
    </row>
    <row r="7792" spans="1:22" customFormat="1" ht="15" x14ac:dyDescent="0.25">
      <c r="A7792" t="s">
        <v>248</v>
      </c>
      <c r="E7792" s="1511" t="s">
        <v>1106</v>
      </c>
      <c r="F7792" s="1511"/>
      <c r="G7792" s="585" t="s">
        <v>777</v>
      </c>
      <c r="H7792" s="782">
        <v>0.61</v>
      </c>
      <c r="V7792">
        <v>57</v>
      </c>
    </row>
    <row r="7793" spans="1:22" customFormat="1" ht="15" x14ac:dyDescent="0.25">
      <c r="A7793" t="s">
        <v>248</v>
      </c>
      <c r="E7793" s="1511" t="s">
        <v>1107</v>
      </c>
      <c r="F7793" s="1511"/>
      <c r="G7793" s="585" t="s">
        <v>777</v>
      </c>
      <c r="H7793" s="782">
        <v>1.2</v>
      </c>
      <c r="V7793">
        <v>60</v>
      </c>
    </row>
    <row r="7794" spans="1:22" customFormat="1" ht="15" x14ac:dyDescent="0.25">
      <c r="A7794" t="s">
        <v>248</v>
      </c>
      <c r="E7794" s="1507" t="s">
        <v>4222</v>
      </c>
      <c r="F7794" s="1507"/>
      <c r="G7794" s="808"/>
      <c r="H7794" s="808"/>
      <c r="V7794">
        <v>266</v>
      </c>
    </row>
    <row r="7795" spans="1:22" customFormat="1" ht="15" x14ac:dyDescent="0.25">
      <c r="A7795" t="s">
        <v>248</v>
      </c>
      <c r="E7795" s="1511" t="s">
        <v>1111</v>
      </c>
      <c r="F7795" s="1511"/>
      <c r="G7795" s="384"/>
      <c r="H7795" s="783" t="s">
        <v>857</v>
      </c>
      <c r="V7795">
        <v>18</v>
      </c>
    </row>
    <row r="7796" spans="1:22" customFormat="1" ht="15" x14ac:dyDescent="0.25">
      <c r="A7796" t="s">
        <v>248</v>
      </c>
      <c r="E7796" s="1511" t="s">
        <v>1112</v>
      </c>
      <c r="F7796" s="1511"/>
      <c r="G7796" s="585" t="s">
        <v>777</v>
      </c>
      <c r="H7796" s="782">
        <v>4.8499999999999996</v>
      </c>
      <c r="V7796">
        <v>69</v>
      </c>
    </row>
    <row r="7797" spans="1:22" customFormat="1" ht="15" x14ac:dyDescent="0.25">
      <c r="A7797" t="s">
        <v>248</v>
      </c>
      <c r="E7797" s="1511" t="s">
        <v>858</v>
      </c>
      <c r="F7797" s="1511"/>
      <c r="G7797" s="585" t="s">
        <v>777</v>
      </c>
      <c r="H7797" s="782">
        <v>2.42</v>
      </c>
      <c r="V7797">
        <v>199</v>
      </c>
    </row>
    <row r="7798" spans="1:22" customFormat="1" x14ac:dyDescent="0.25">
      <c r="A7798" t="s">
        <v>248</v>
      </c>
      <c r="E7798" s="1492" t="s">
        <v>3853</v>
      </c>
      <c r="F7798" s="1493"/>
      <c r="G7798" s="1493"/>
      <c r="H7798" s="1493"/>
      <c r="K7798" t="s">
        <v>5390</v>
      </c>
      <c r="V7798">
        <v>12</v>
      </c>
    </row>
    <row r="7799" spans="1:22" customFormat="1" ht="15" x14ac:dyDescent="0.25">
      <c r="A7799" t="s">
        <v>248</v>
      </c>
      <c r="E7799" s="1507" t="s">
        <v>1114</v>
      </c>
      <c r="F7799" s="1507"/>
      <c r="G7799" s="1507"/>
      <c r="H7799" s="1507"/>
      <c r="V7799">
        <v>203</v>
      </c>
    </row>
    <row r="7800" spans="1:22" customFormat="1" ht="15" x14ac:dyDescent="0.25">
      <c r="A7800" t="s">
        <v>248</v>
      </c>
      <c r="E7800" s="1507" t="s">
        <v>1115</v>
      </c>
      <c r="F7800" s="1507"/>
      <c r="G7800" s="584"/>
      <c r="H7800" s="729">
        <v>1.0355000000000001</v>
      </c>
      <c r="V7800">
        <v>57</v>
      </c>
    </row>
    <row r="7801" spans="1:22" customFormat="1" ht="15" x14ac:dyDescent="0.25">
      <c r="A7801" t="s">
        <v>248</v>
      </c>
      <c r="E7801" s="1507" t="s">
        <v>1117</v>
      </c>
      <c r="F7801" s="1507"/>
      <c r="G7801" s="584"/>
      <c r="H7801" s="729">
        <v>1.0250999999999999</v>
      </c>
      <c r="J7801" t="s">
        <v>5391</v>
      </c>
      <c r="V7801">
        <v>55</v>
      </c>
    </row>
    <row r="7802" spans="1:22" customFormat="1" ht="23.25" x14ac:dyDescent="0.25">
      <c r="A7802" t="s">
        <v>252</v>
      </c>
      <c r="C7802" t="s">
        <v>3755</v>
      </c>
      <c r="E7802" s="1550" t="s">
        <v>252</v>
      </c>
      <c r="F7802" s="1550"/>
      <c r="G7802" s="1550"/>
      <c r="H7802" s="1550"/>
      <c r="I7802" t="s">
        <v>94</v>
      </c>
      <c r="J7802" t="s">
        <v>5392</v>
      </c>
      <c r="K7802" t="s">
        <v>252</v>
      </c>
      <c r="M7802">
        <v>7</v>
      </c>
      <c r="V7802">
        <v>34</v>
      </c>
    </row>
    <row r="7803" spans="1:22" customFormat="1" x14ac:dyDescent="0.25">
      <c r="A7803" t="s">
        <v>252</v>
      </c>
      <c r="C7803" t="s">
        <v>3757</v>
      </c>
      <c r="E7803" s="1551" t="s">
        <v>944</v>
      </c>
      <c r="F7803" s="1551"/>
      <c r="G7803" s="1551"/>
      <c r="H7803" s="1551"/>
      <c r="V7803">
        <v>27</v>
      </c>
    </row>
    <row r="7804" spans="1:22" customFormat="1" ht="15.75" x14ac:dyDescent="0.25">
      <c r="A7804" t="s">
        <v>252</v>
      </c>
      <c r="C7804" t="s">
        <v>3758</v>
      </c>
      <c r="E7804" s="1543" t="s">
        <v>6847</v>
      </c>
      <c r="F7804" s="1543"/>
      <c r="G7804" s="1543"/>
      <c r="H7804" s="1543"/>
      <c r="S7804">
        <v>45778</v>
      </c>
      <c r="V7804">
        <v>45</v>
      </c>
    </row>
    <row r="7805" spans="1:22" customFormat="1" ht="15" x14ac:dyDescent="0.25">
      <c r="A7805" t="s">
        <v>252</v>
      </c>
      <c r="C7805" t="s">
        <v>3759</v>
      </c>
      <c r="E7805" s="1544" t="s">
        <v>3921</v>
      </c>
      <c r="F7805" s="1544"/>
      <c r="G7805" s="1544"/>
      <c r="H7805" s="1544"/>
      <c r="V7805">
        <v>53</v>
      </c>
    </row>
    <row r="7806" spans="1:22" customFormat="1" ht="15" x14ac:dyDescent="0.25">
      <c r="A7806" t="s">
        <v>252</v>
      </c>
      <c r="E7806" s="1544" t="s">
        <v>946</v>
      </c>
      <c r="F7806" s="1544"/>
      <c r="G7806" s="1544"/>
      <c r="H7806" s="1544"/>
      <c r="V7806">
        <v>53</v>
      </c>
    </row>
    <row r="7807" spans="1:22" customFormat="1" ht="15" x14ac:dyDescent="0.25">
      <c r="A7807" t="s">
        <v>252</v>
      </c>
      <c r="E7807" s="1513" t="s">
        <v>6862</v>
      </c>
      <c r="F7807" s="1513"/>
      <c r="G7807" s="1513"/>
      <c r="H7807" s="1513"/>
      <c r="K7807" t="s">
        <v>6862</v>
      </c>
      <c r="V7807">
        <v>12</v>
      </c>
    </row>
    <row r="7808" spans="1:22" customFormat="1" ht="15" x14ac:dyDescent="0.25">
      <c r="A7808" t="s">
        <v>252</v>
      </c>
      <c r="E7808" s="1527" t="s">
        <v>170</v>
      </c>
      <c r="F7808" s="1516"/>
      <c r="G7808" s="1516"/>
      <c r="H7808" s="1516"/>
      <c r="K7808" t="s">
        <v>947</v>
      </c>
      <c r="V7808">
        <v>34</v>
      </c>
    </row>
    <row r="7809" spans="1:22" customFormat="1" ht="15" x14ac:dyDescent="0.25">
      <c r="A7809" t="s">
        <v>252</v>
      </c>
      <c r="E7809" s="1516" t="s">
        <v>5393</v>
      </c>
      <c r="F7809" s="1516"/>
      <c r="G7809" s="1516"/>
      <c r="H7809" s="1516"/>
      <c r="K7809" t="s">
        <v>947</v>
      </c>
      <c r="V7809">
        <v>361</v>
      </c>
    </row>
    <row r="7810" spans="1:22" customFormat="1" ht="15" x14ac:dyDescent="0.25">
      <c r="A7810" t="s">
        <v>252</v>
      </c>
      <c r="E7810" s="1515" t="s">
        <v>950</v>
      </c>
      <c r="F7810" s="1516"/>
      <c r="G7810" s="1516"/>
      <c r="H7810" s="1516"/>
      <c r="K7810" t="s">
        <v>949</v>
      </c>
      <c r="V7810">
        <v>11</v>
      </c>
    </row>
    <row r="7811" spans="1:22" customFormat="1" ht="15" x14ac:dyDescent="0.25">
      <c r="A7811" t="s">
        <v>252</v>
      </c>
      <c r="E7811" s="1516" t="s">
        <v>951</v>
      </c>
      <c r="F7811" s="1516"/>
      <c r="G7811" s="1516"/>
      <c r="H7811" s="1516"/>
      <c r="K7811" t="s">
        <v>947</v>
      </c>
      <c r="V7811">
        <v>280</v>
      </c>
    </row>
    <row r="7812" spans="1:22" customFormat="1" ht="15" x14ac:dyDescent="0.25">
      <c r="A7812" t="s">
        <v>252</v>
      </c>
      <c r="E7812" s="1516" t="s">
        <v>952</v>
      </c>
      <c r="F7812" s="1516"/>
      <c r="G7812" s="1516"/>
      <c r="H7812" s="1516"/>
      <c r="K7812" t="s">
        <v>947</v>
      </c>
      <c r="V7812">
        <v>411</v>
      </c>
    </row>
    <row r="7813" spans="1:22" customFormat="1" ht="15" x14ac:dyDescent="0.25">
      <c r="A7813" t="s">
        <v>252</v>
      </c>
      <c r="E7813" s="1516" t="s">
        <v>3761</v>
      </c>
      <c r="F7813" s="1516"/>
      <c r="G7813" s="1516"/>
      <c r="H7813" s="1516"/>
      <c r="K7813" t="s">
        <v>947</v>
      </c>
      <c r="V7813">
        <v>387</v>
      </c>
    </row>
    <row r="7814" spans="1:22" customFormat="1" ht="15" x14ac:dyDescent="0.25">
      <c r="A7814" t="s">
        <v>252</v>
      </c>
      <c r="E7814" s="1516" t="s">
        <v>954</v>
      </c>
      <c r="F7814" s="1516"/>
      <c r="G7814" s="1516"/>
      <c r="H7814" s="1516"/>
      <c r="K7814" t="s">
        <v>947</v>
      </c>
      <c r="V7814">
        <v>246</v>
      </c>
    </row>
    <row r="7815" spans="1:22" customFormat="1" ht="15" x14ac:dyDescent="0.25">
      <c r="A7815" t="s">
        <v>252</v>
      </c>
      <c r="E7815" s="1515" t="s">
        <v>956</v>
      </c>
      <c r="F7815" s="1516"/>
      <c r="G7815" s="1516"/>
      <c r="H7815" s="1516"/>
      <c r="K7815" t="s">
        <v>955</v>
      </c>
      <c r="V7815">
        <v>46</v>
      </c>
    </row>
    <row r="7816" spans="1:22" customFormat="1" ht="15" x14ac:dyDescent="0.25">
      <c r="A7816" t="s">
        <v>252</v>
      </c>
      <c r="E7816" s="1526" t="s">
        <v>3773</v>
      </c>
      <c r="F7816" s="1507"/>
      <c r="G7816" s="393" t="s">
        <v>777</v>
      </c>
      <c r="H7816" s="576">
        <v>33.15</v>
      </c>
      <c r="K7816" t="s">
        <v>947</v>
      </c>
      <c r="L7816" t="s">
        <v>690</v>
      </c>
      <c r="P7816" t="s">
        <v>957</v>
      </c>
      <c r="V7816">
        <v>14</v>
      </c>
    </row>
    <row r="7817" spans="1:22" customFormat="1" ht="15" x14ac:dyDescent="0.25">
      <c r="A7817" t="s">
        <v>252</v>
      </c>
      <c r="E7817" s="1526" t="s">
        <v>960</v>
      </c>
      <c r="F7817" s="1507"/>
      <c r="G7817" s="393" t="s">
        <v>777</v>
      </c>
      <c r="H7817" s="394">
        <v>0.42</v>
      </c>
      <c r="K7817" t="s">
        <v>947</v>
      </c>
      <c r="L7817" t="s">
        <v>692</v>
      </c>
      <c r="P7817" t="s">
        <v>959</v>
      </c>
      <c r="V7817">
        <v>64</v>
      </c>
    </row>
    <row r="7818" spans="1:22" customFormat="1" ht="15" x14ac:dyDescent="0.25">
      <c r="A7818" t="s">
        <v>252</v>
      </c>
      <c r="E7818" s="1526" t="s">
        <v>910</v>
      </c>
      <c r="F7818" s="1507"/>
      <c r="G7818" s="393" t="s">
        <v>845</v>
      </c>
      <c r="H7818" s="395">
        <v>3.3999999999999998E-3</v>
      </c>
      <c r="K7818" t="s">
        <v>947</v>
      </c>
      <c r="L7818" t="s">
        <v>692</v>
      </c>
      <c r="P7818" t="s">
        <v>961</v>
      </c>
      <c r="V7818">
        <v>24</v>
      </c>
    </row>
    <row r="7819" spans="1:22" customFormat="1" ht="15" x14ac:dyDescent="0.25">
      <c r="A7819" t="s">
        <v>252</v>
      </c>
      <c r="E7819" s="1526" t="s">
        <v>6853</v>
      </c>
      <c r="F7819" s="1510"/>
      <c r="G7819" s="393" t="s">
        <v>845</v>
      </c>
      <c r="H7819" s="395">
        <v>1E-4</v>
      </c>
      <c r="K7819" t="s">
        <v>947</v>
      </c>
      <c r="L7819" t="s">
        <v>692</v>
      </c>
      <c r="P7819" t="s">
        <v>3764</v>
      </c>
      <c r="T7819">
        <v>46142</v>
      </c>
      <c r="V7819">
        <v>146</v>
      </c>
    </row>
    <row r="7820" spans="1:22" customFormat="1" ht="15" x14ac:dyDescent="0.25">
      <c r="A7820" t="s">
        <v>252</v>
      </c>
      <c r="E7820" s="1526" t="s">
        <v>6850</v>
      </c>
      <c r="F7820" s="1510"/>
      <c r="G7820" s="393" t="s">
        <v>845</v>
      </c>
      <c r="H7820" s="395">
        <v>-1.6999999999999999E-3</v>
      </c>
      <c r="K7820" t="s">
        <v>947</v>
      </c>
      <c r="L7820" t="s">
        <v>692</v>
      </c>
      <c r="P7820" t="s">
        <v>963</v>
      </c>
      <c r="T7820">
        <v>46142</v>
      </c>
      <c r="V7820">
        <v>96</v>
      </c>
    </row>
    <row r="7821" spans="1:22" customFormat="1" ht="15" x14ac:dyDescent="0.25">
      <c r="A7821" t="s">
        <v>252</v>
      </c>
      <c r="E7821" s="1526" t="s">
        <v>243</v>
      </c>
      <c r="F7821" s="1507"/>
      <c r="G7821" s="393" t="s">
        <v>845</v>
      </c>
      <c r="H7821" s="577">
        <v>9.7000000000000003E-3</v>
      </c>
      <c r="K7821" t="s">
        <v>947</v>
      </c>
      <c r="L7821" t="s">
        <v>694</v>
      </c>
      <c r="P7821" t="s">
        <v>964</v>
      </c>
      <c r="V7821">
        <v>47</v>
      </c>
    </row>
    <row r="7822" spans="1:22" customFormat="1" ht="15" x14ac:dyDescent="0.25">
      <c r="A7822" t="s">
        <v>252</v>
      </c>
      <c r="E7822" s="1526" t="s">
        <v>175</v>
      </c>
      <c r="F7822" s="1507"/>
      <c r="G7822" s="393" t="s">
        <v>845</v>
      </c>
      <c r="H7822" s="577">
        <v>8.0000000000000002E-3</v>
      </c>
      <c r="K7822" t="s">
        <v>947</v>
      </c>
      <c r="L7822" t="s">
        <v>694</v>
      </c>
      <c r="P7822" t="s">
        <v>965</v>
      </c>
      <c r="V7822">
        <v>74</v>
      </c>
    </row>
    <row r="7823" spans="1:22" customFormat="1" ht="15" x14ac:dyDescent="0.25">
      <c r="A7823" t="s">
        <v>252</v>
      </c>
      <c r="E7823" s="1515" t="s">
        <v>967</v>
      </c>
      <c r="F7823" s="1507"/>
      <c r="G7823" s="1507"/>
      <c r="H7823" s="1507"/>
      <c r="K7823" t="s">
        <v>966</v>
      </c>
      <c r="V7823">
        <v>48</v>
      </c>
    </row>
    <row r="7824" spans="1:22" customFormat="1" ht="15" x14ac:dyDescent="0.25">
      <c r="A7824" t="s">
        <v>252</v>
      </c>
      <c r="E7824" s="1507" t="s">
        <v>844</v>
      </c>
      <c r="F7824" s="1507"/>
      <c r="G7824" s="393" t="s">
        <v>845</v>
      </c>
      <c r="H7824" s="395">
        <v>4.1000000000000003E-3</v>
      </c>
      <c r="K7824" t="s">
        <v>947</v>
      </c>
      <c r="L7824" t="s">
        <v>968</v>
      </c>
      <c r="P7824" t="s">
        <v>969</v>
      </c>
      <c r="V7824">
        <v>55</v>
      </c>
    </row>
    <row r="7825" spans="1:22" customFormat="1" ht="15" x14ac:dyDescent="0.25">
      <c r="A7825" t="s">
        <v>252</v>
      </c>
      <c r="E7825" s="1507" t="s">
        <v>846</v>
      </c>
      <c r="F7825" s="1507"/>
      <c r="G7825" s="584" t="s">
        <v>845</v>
      </c>
      <c r="H7825" s="577">
        <v>4.0000000000000002E-4</v>
      </c>
      <c r="K7825" t="s">
        <v>947</v>
      </c>
      <c r="L7825" t="s">
        <v>968</v>
      </c>
      <c r="P7825" t="s">
        <v>969</v>
      </c>
      <c r="V7825">
        <v>65</v>
      </c>
    </row>
    <row r="7826" spans="1:22" customFormat="1" ht="15" x14ac:dyDescent="0.25">
      <c r="A7826" t="s">
        <v>252</v>
      </c>
      <c r="E7826" s="1526" t="s">
        <v>847</v>
      </c>
      <c r="F7826" s="1507"/>
      <c r="G7826" s="393" t="s">
        <v>845</v>
      </c>
      <c r="H7826" s="395">
        <v>1.5E-3</v>
      </c>
      <c r="K7826" t="s">
        <v>947</v>
      </c>
      <c r="L7826" t="s">
        <v>968</v>
      </c>
      <c r="P7826" t="s">
        <v>970</v>
      </c>
      <c r="V7826">
        <v>57</v>
      </c>
    </row>
    <row r="7827" spans="1:22" customFormat="1" ht="15" x14ac:dyDescent="0.25">
      <c r="A7827" t="s">
        <v>252</v>
      </c>
      <c r="E7827" s="1526" t="s">
        <v>848</v>
      </c>
      <c r="F7827" s="1507"/>
      <c r="G7827" s="393" t="s">
        <v>777</v>
      </c>
      <c r="H7827" s="394">
        <v>0.25</v>
      </c>
      <c r="K7827" t="s">
        <v>947</v>
      </c>
      <c r="L7827" t="s">
        <v>968</v>
      </c>
      <c r="P7827" t="s">
        <v>971</v>
      </c>
      <c r="V7827">
        <v>63</v>
      </c>
    </row>
    <row r="7828" spans="1:22" customFormat="1" x14ac:dyDescent="0.25">
      <c r="A7828" t="s">
        <v>252</v>
      </c>
      <c r="E7828" s="1527" t="s">
        <v>174</v>
      </c>
      <c r="F7828" s="1493"/>
      <c r="G7828" s="1493"/>
      <c r="H7828" s="1493"/>
      <c r="K7828" t="s">
        <v>972</v>
      </c>
      <c r="V7828">
        <v>54</v>
      </c>
    </row>
    <row r="7829" spans="1:22" customFormat="1" ht="15" x14ac:dyDescent="0.25">
      <c r="A7829" t="s">
        <v>252</v>
      </c>
      <c r="E7829" s="1516" t="s">
        <v>5394</v>
      </c>
      <c r="F7829" s="1516"/>
      <c r="G7829" s="1516"/>
      <c r="H7829" s="1516"/>
      <c r="K7829" t="s">
        <v>972</v>
      </c>
      <c r="V7829">
        <v>314</v>
      </c>
    </row>
    <row r="7830" spans="1:22" customFormat="1" ht="15" x14ac:dyDescent="0.25">
      <c r="A7830" t="s">
        <v>252</v>
      </c>
      <c r="E7830" s="1515" t="s">
        <v>950</v>
      </c>
      <c r="F7830" s="1516"/>
      <c r="G7830" s="1516"/>
      <c r="H7830" s="1516"/>
      <c r="K7830" t="s">
        <v>974</v>
      </c>
      <c r="V7830">
        <v>11</v>
      </c>
    </row>
    <row r="7831" spans="1:22" customFormat="1" ht="15" x14ac:dyDescent="0.25">
      <c r="A7831" t="s">
        <v>252</v>
      </c>
      <c r="E7831" s="1516" t="s">
        <v>951</v>
      </c>
      <c r="F7831" s="1516"/>
      <c r="G7831" s="1516"/>
      <c r="H7831" s="1516"/>
      <c r="K7831" t="s">
        <v>972</v>
      </c>
      <c r="V7831">
        <v>280</v>
      </c>
    </row>
    <row r="7832" spans="1:22" customFormat="1" ht="15" x14ac:dyDescent="0.25">
      <c r="A7832" t="s">
        <v>252</v>
      </c>
      <c r="E7832" s="1516" t="s">
        <v>952</v>
      </c>
      <c r="F7832" s="1516"/>
      <c r="G7832" s="1516"/>
      <c r="H7832" s="1516"/>
      <c r="K7832" t="s">
        <v>972</v>
      </c>
      <c r="V7832">
        <v>411</v>
      </c>
    </row>
    <row r="7833" spans="1:22" customFormat="1" ht="15" x14ac:dyDescent="0.25">
      <c r="A7833" t="s">
        <v>252</v>
      </c>
      <c r="E7833" s="1516" t="s">
        <v>3761</v>
      </c>
      <c r="F7833" s="1516"/>
      <c r="G7833" s="1516"/>
      <c r="H7833" s="1516"/>
      <c r="K7833" t="s">
        <v>972</v>
      </c>
      <c r="V7833">
        <v>387</v>
      </c>
    </row>
    <row r="7834" spans="1:22" customFormat="1" ht="15" x14ac:dyDescent="0.25">
      <c r="A7834" t="s">
        <v>252</v>
      </c>
      <c r="E7834" s="1516" t="s">
        <v>954</v>
      </c>
      <c r="F7834" s="1516"/>
      <c r="G7834" s="1516"/>
      <c r="H7834" s="1516"/>
      <c r="K7834" t="s">
        <v>972</v>
      </c>
      <c r="V7834">
        <v>246</v>
      </c>
    </row>
    <row r="7835" spans="1:22" customFormat="1" ht="15" x14ac:dyDescent="0.25">
      <c r="A7835" t="s">
        <v>252</v>
      </c>
      <c r="E7835" s="1515" t="s">
        <v>956</v>
      </c>
      <c r="F7835" s="1516"/>
      <c r="G7835" s="1516"/>
      <c r="H7835" s="1516"/>
      <c r="K7835" t="s">
        <v>975</v>
      </c>
      <c r="V7835">
        <v>46</v>
      </c>
    </row>
    <row r="7836" spans="1:22" customFormat="1" ht="15" x14ac:dyDescent="0.25">
      <c r="A7836" t="s">
        <v>252</v>
      </c>
      <c r="E7836" s="1526" t="s">
        <v>3773</v>
      </c>
      <c r="F7836" s="1507"/>
      <c r="G7836" s="393" t="s">
        <v>777</v>
      </c>
      <c r="H7836" s="576">
        <v>25.57</v>
      </c>
      <c r="K7836" t="s">
        <v>972</v>
      </c>
      <c r="L7836" t="s">
        <v>690</v>
      </c>
      <c r="P7836" t="s">
        <v>976</v>
      </c>
      <c r="V7836">
        <v>14</v>
      </c>
    </row>
    <row r="7837" spans="1:22" customFormat="1" ht="15" x14ac:dyDescent="0.25">
      <c r="A7837" t="s">
        <v>252</v>
      </c>
      <c r="E7837" s="1526" t="s">
        <v>960</v>
      </c>
      <c r="F7837" s="1507"/>
      <c r="G7837" s="393" t="s">
        <v>777</v>
      </c>
      <c r="H7837" s="394">
        <v>0.42</v>
      </c>
      <c r="K7837" t="s">
        <v>972</v>
      </c>
      <c r="L7837" t="s">
        <v>692</v>
      </c>
      <c r="P7837" t="s">
        <v>977</v>
      </c>
      <c r="V7837">
        <v>64</v>
      </c>
    </row>
    <row r="7838" spans="1:22" customFormat="1" ht="15" x14ac:dyDescent="0.25">
      <c r="A7838" t="s">
        <v>252</v>
      </c>
      <c r="E7838" s="1526" t="s">
        <v>3688</v>
      </c>
      <c r="F7838" s="1507"/>
      <c r="G7838" s="393" t="s">
        <v>845</v>
      </c>
      <c r="H7838" s="577">
        <v>8.6999999999999994E-3</v>
      </c>
      <c r="K7838" t="s">
        <v>972</v>
      </c>
      <c r="L7838" t="s">
        <v>690</v>
      </c>
      <c r="P7838" t="s">
        <v>978</v>
      </c>
      <c r="V7838">
        <v>28</v>
      </c>
    </row>
    <row r="7839" spans="1:22" customFormat="1" ht="15" x14ac:dyDescent="0.25">
      <c r="A7839" t="s">
        <v>252</v>
      </c>
      <c r="E7839" s="1526" t="s">
        <v>910</v>
      </c>
      <c r="F7839" s="1507"/>
      <c r="G7839" s="393" t="s">
        <v>845</v>
      </c>
      <c r="H7839" s="395">
        <v>3.0000000000000001E-3</v>
      </c>
      <c r="K7839" t="s">
        <v>972</v>
      </c>
      <c r="L7839" t="s">
        <v>692</v>
      </c>
      <c r="P7839" t="s">
        <v>980</v>
      </c>
      <c r="V7839">
        <v>24</v>
      </c>
    </row>
    <row r="7840" spans="1:22" customFormat="1" ht="15" x14ac:dyDescent="0.25">
      <c r="A7840" t="s">
        <v>252</v>
      </c>
      <c r="E7840" s="1526" t="s">
        <v>6849</v>
      </c>
      <c r="F7840" s="1510"/>
      <c r="G7840" s="393" t="s">
        <v>845</v>
      </c>
      <c r="H7840" s="395">
        <v>-4.8999999999999998E-3</v>
      </c>
      <c r="K7840" t="s">
        <v>972</v>
      </c>
      <c r="L7840" t="s">
        <v>692</v>
      </c>
      <c r="P7840" t="s">
        <v>981</v>
      </c>
      <c r="T7840">
        <v>46142</v>
      </c>
      <c r="V7840">
        <v>139</v>
      </c>
    </row>
    <row r="7841" spans="1:22" customFormat="1" ht="15" x14ac:dyDescent="0.25">
      <c r="A7841" t="s">
        <v>252</v>
      </c>
      <c r="E7841" s="1526" t="s">
        <v>6850</v>
      </c>
      <c r="F7841" s="1510"/>
      <c r="G7841" s="393" t="s">
        <v>845</v>
      </c>
      <c r="H7841" s="395">
        <v>-1.6000000000000001E-3</v>
      </c>
      <c r="K7841" t="s">
        <v>972</v>
      </c>
      <c r="L7841" t="s">
        <v>692</v>
      </c>
      <c r="P7841" t="s">
        <v>982</v>
      </c>
      <c r="T7841">
        <v>46142</v>
      </c>
      <c r="V7841">
        <v>96</v>
      </c>
    </row>
    <row r="7842" spans="1:22" customFormat="1" ht="15" x14ac:dyDescent="0.25">
      <c r="A7842" t="s">
        <v>252</v>
      </c>
      <c r="E7842" s="1526" t="s">
        <v>6853</v>
      </c>
      <c r="F7842" s="1510"/>
      <c r="G7842" s="393" t="s">
        <v>845</v>
      </c>
      <c r="H7842" s="395">
        <v>1E-4</v>
      </c>
      <c r="K7842" t="s">
        <v>972</v>
      </c>
      <c r="L7842" t="s">
        <v>692</v>
      </c>
      <c r="P7842" t="s">
        <v>3766</v>
      </c>
      <c r="T7842">
        <v>46142</v>
      </c>
      <c r="V7842">
        <v>146</v>
      </c>
    </row>
    <row r="7843" spans="1:22" customFormat="1" ht="15" x14ac:dyDescent="0.25">
      <c r="A7843" t="s">
        <v>252</v>
      </c>
      <c r="E7843" s="1526" t="s">
        <v>243</v>
      </c>
      <c r="F7843" s="1507"/>
      <c r="G7843" s="393" t="s">
        <v>845</v>
      </c>
      <c r="H7843" s="577">
        <v>9.1000000000000004E-3</v>
      </c>
      <c r="K7843" t="s">
        <v>972</v>
      </c>
      <c r="L7843" t="s">
        <v>694</v>
      </c>
      <c r="P7843" t="s">
        <v>983</v>
      </c>
      <c r="V7843">
        <v>47</v>
      </c>
    </row>
    <row r="7844" spans="1:22" customFormat="1" ht="15" x14ac:dyDescent="0.25">
      <c r="A7844" t="s">
        <v>252</v>
      </c>
      <c r="E7844" s="1526" t="s">
        <v>175</v>
      </c>
      <c r="F7844" s="1507"/>
      <c r="G7844" s="393" t="s">
        <v>845</v>
      </c>
      <c r="H7844" s="577">
        <v>7.1000000000000004E-3</v>
      </c>
      <c r="K7844" t="s">
        <v>972</v>
      </c>
      <c r="L7844" t="s">
        <v>694</v>
      </c>
      <c r="P7844" t="s">
        <v>984</v>
      </c>
      <c r="V7844">
        <v>74</v>
      </c>
    </row>
    <row r="7845" spans="1:22" customFormat="1" ht="15" x14ac:dyDescent="0.25">
      <c r="A7845" t="s">
        <v>252</v>
      </c>
      <c r="E7845" s="1515" t="s">
        <v>967</v>
      </c>
      <c r="F7845" s="1507"/>
      <c r="G7845" s="1507"/>
      <c r="H7845" s="1507"/>
      <c r="K7845" t="s">
        <v>985</v>
      </c>
      <c r="V7845">
        <v>48</v>
      </c>
    </row>
    <row r="7846" spans="1:22" customFormat="1" ht="15" x14ac:dyDescent="0.25">
      <c r="A7846" t="s">
        <v>252</v>
      </c>
      <c r="E7846" s="1507" t="s">
        <v>844</v>
      </c>
      <c r="F7846" s="1507"/>
      <c r="G7846" s="393" t="s">
        <v>845</v>
      </c>
      <c r="H7846" s="395">
        <v>4.1000000000000003E-3</v>
      </c>
      <c r="K7846" t="s">
        <v>972</v>
      </c>
      <c r="L7846" t="s">
        <v>968</v>
      </c>
      <c r="P7846" t="s">
        <v>986</v>
      </c>
      <c r="V7846">
        <v>55</v>
      </c>
    </row>
    <row r="7847" spans="1:22" customFormat="1" ht="15" x14ac:dyDescent="0.25">
      <c r="A7847" t="s">
        <v>252</v>
      </c>
      <c r="E7847" s="1507" t="s">
        <v>846</v>
      </c>
      <c r="F7847" s="1507"/>
      <c r="G7847" s="584" t="s">
        <v>845</v>
      </c>
      <c r="H7847" s="577">
        <v>4.0000000000000002E-4</v>
      </c>
      <c r="K7847" t="s">
        <v>972</v>
      </c>
      <c r="L7847" t="s">
        <v>968</v>
      </c>
      <c r="P7847" t="s">
        <v>986</v>
      </c>
      <c r="V7847">
        <v>65</v>
      </c>
    </row>
    <row r="7848" spans="1:22" customFormat="1" ht="15" x14ac:dyDescent="0.25">
      <c r="A7848" t="s">
        <v>252</v>
      </c>
      <c r="E7848" s="1526" t="s">
        <v>847</v>
      </c>
      <c r="F7848" s="1507"/>
      <c r="G7848" s="393" t="s">
        <v>845</v>
      </c>
      <c r="H7848" s="395">
        <v>1.5E-3</v>
      </c>
      <c r="K7848" t="s">
        <v>972</v>
      </c>
      <c r="L7848" t="s">
        <v>968</v>
      </c>
      <c r="P7848" t="s">
        <v>987</v>
      </c>
      <c r="V7848">
        <v>57</v>
      </c>
    </row>
    <row r="7849" spans="1:22" customFormat="1" ht="15" x14ac:dyDescent="0.25">
      <c r="A7849" t="s">
        <v>252</v>
      </c>
      <c r="E7849" s="1526" t="s">
        <v>848</v>
      </c>
      <c r="F7849" s="1507"/>
      <c r="G7849" s="393" t="s">
        <v>777</v>
      </c>
      <c r="H7849" s="394">
        <v>0.25</v>
      </c>
      <c r="K7849" t="s">
        <v>972</v>
      </c>
      <c r="L7849" t="s">
        <v>968</v>
      </c>
      <c r="P7849" t="s">
        <v>988</v>
      </c>
      <c r="V7849">
        <v>63</v>
      </c>
    </row>
    <row r="7850" spans="1:22" customFormat="1" x14ac:dyDescent="0.25">
      <c r="A7850" t="s">
        <v>252</v>
      </c>
      <c r="E7850" s="1527" t="s">
        <v>5395</v>
      </c>
      <c r="F7850" s="1493"/>
      <c r="G7850" s="1493"/>
      <c r="H7850" s="1493"/>
      <c r="K7850" t="s">
        <v>5396</v>
      </c>
      <c r="V7850">
        <v>53</v>
      </c>
    </row>
    <row r="7851" spans="1:22" customFormat="1" ht="15" x14ac:dyDescent="0.25">
      <c r="A7851" t="s">
        <v>252</v>
      </c>
      <c r="E7851" s="1516" t="s">
        <v>5397</v>
      </c>
      <c r="F7851" s="1516"/>
      <c r="G7851" s="1516"/>
      <c r="H7851" s="1516"/>
      <c r="K7851" t="s">
        <v>5396</v>
      </c>
      <c r="V7851">
        <v>346</v>
      </c>
    </row>
    <row r="7852" spans="1:22" customFormat="1" ht="15" x14ac:dyDescent="0.25">
      <c r="A7852" t="s">
        <v>252</v>
      </c>
      <c r="E7852" s="1515" t="s">
        <v>950</v>
      </c>
      <c r="F7852" s="1516"/>
      <c r="G7852" s="1516"/>
      <c r="H7852" s="1516"/>
      <c r="K7852" t="s">
        <v>992</v>
      </c>
      <c r="V7852">
        <v>11</v>
      </c>
    </row>
    <row r="7853" spans="1:22" customFormat="1" ht="15" x14ac:dyDescent="0.25">
      <c r="A7853" t="s">
        <v>252</v>
      </c>
      <c r="E7853" s="1516" t="s">
        <v>951</v>
      </c>
      <c r="F7853" s="1516"/>
      <c r="G7853" s="1516"/>
      <c r="H7853" s="1516"/>
      <c r="K7853" t="s">
        <v>5396</v>
      </c>
      <c r="V7853">
        <v>280</v>
      </c>
    </row>
    <row r="7854" spans="1:22" customFormat="1" ht="15" x14ac:dyDescent="0.25">
      <c r="A7854" t="s">
        <v>252</v>
      </c>
      <c r="E7854" s="1516" t="s">
        <v>952</v>
      </c>
      <c r="F7854" s="1516"/>
      <c r="G7854" s="1516"/>
      <c r="H7854" s="1516"/>
      <c r="K7854" t="s">
        <v>5396</v>
      </c>
      <c r="V7854">
        <v>411</v>
      </c>
    </row>
    <row r="7855" spans="1:22" customFormat="1" ht="15" x14ac:dyDescent="0.25">
      <c r="A7855" t="s">
        <v>252</v>
      </c>
      <c r="E7855" s="1516" t="s">
        <v>3761</v>
      </c>
      <c r="F7855" s="1516"/>
      <c r="G7855" s="1516"/>
      <c r="H7855" s="1516"/>
      <c r="K7855" t="s">
        <v>5396</v>
      </c>
      <c r="V7855">
        <v>387</v>
      </c>
    </row>
    <row r="7856" spans="1:22" customFormat="1" ht="15" x14ac:dyDescent="0.25">
      <c r="A7856" t="s">
        <v>252</v>
      </c>
      <c r="E7856" s="1516" t="s">
        <v>993</v>
      </c>
      <c r="F7856" s="1516"/>
      <c r="G7856" s="1516"/>
      <c r="H7856" s="1516"/>
      <c r="K7856" t="s">
        <v>5396</v>
      </c>
      <c r="V7856">
        <v>680</v>
      </c>
    </row>
    <row r="7857" spans="1:22" customFormat="1" ht="15" x14ac:dyDescent="0.25">
      <c r="A7857" t="s">
        <v>252</v>
      </c>
      <c r="E7857" s="1516" t="s">
        <v>994</v>
      </c>
      <c r="F7857" s="1516"/>
      <c r="G7857" s="1516"/>
      <c r="H7857" s="1516"/>
      <c r="K7857" t="s">
        <v>5396</v>
      </c>
      <c r="V7857">
        <v>725</v>
      </c>
    </row>
    <row r="7858" spans="1:22" customFormat="1" ht="15" x14ac:dyDescent="0.25">
      <c r="A7858" t="s">
        <v>252</v>
      </c>
      <c r="E7858" s="1516" t="s">
        <v>954</v>
      </c>
      <c r="F7858" s="1516"/>
      <c r="G7858" s="1516"/>
      <c r="H7858" s="1516"/>
      <c r="K7858" t="s">
        <v>5396</v>
      </c>
      <c r="V7858">
        <v>246</v>
      </c>
    </row>
    <row r="7859" spans="1:22" customFormat="1" ht="15" x14ac:dyDescent="0.25">
      <c r="A7859" t="s">
        <v>252</v>
      </c>
      <c r="E7859" s="1515" t="s">
        <v>956</v>
      </c>
      <c r="F7859" s="1516"/>
      <c r="G7859" s="1516"/>
      <c r="H7859" s="1516"/>
      <c r="K7859" t="s">
        <v>995</v>
      </c>
      <c r="V7859">
        <v>46</v>
      </c>
    </row>
    <row r="7860" spans="1:22" customFormat="1" ht="15" x14ac:dyDescent="0.25">
      <c r="A7860" t="s">
        <v>252</v>
      </c>
      <c r="E7860" s="1526" t="s">
        <v>3773</v>
      </c>
      <c r="F7860" s="1507"/>
      <c r="G7860" s="393" t="s">
        <v>777</v>
      </c>
      <c r="H7860" s="576">
        <v>65.400000000000006</v>
      </c>
      <c r="K7860" t="s">
        <v>5396</v>
      </c>
      <c r="L7860" t="s">
        <v>690</v>
      </c>
      <c r="P7860" t="s">
        <v>5398</v>
      </c>
      <c r="V7860">
        <v>14</v>
      </c>
    </row>
    <row r="7861" spans="1:22" customFormat="1" ht="15" x14ac:dyDescent="0.25">
      <c r="A7861" t="s">
        <v>252</v>
      </c>
      <c r="E7861" s="1526" t="s">
        <v>3688</v>
      </c>
      <c r="F7861" s="1507"/>
      <c r="G7861" s="393" t="s">
        <v>3775</v>
      </c>
      <c r="H7861" s="577">
        <v>2.0581</v>
      </c>
      <c r="K7861" t="s">
        <v>5396</v>
      </c>
      <c r="L7861" t="s">
        <v>690</v>
      </c>
      <c r="P7861" t="s">
        <v>5399</v>
      </c>
      <c r="V7861">
        <v>28</v>
      </c>
    </row>
    <row r="7862" spans="1:22" customFormat="1" ht="15" x14ac:dyDescent="0.25">
      <c r="A7862" t="s">
        <v>252</v>
      </c>
      <c r="E7862" s="1526" t="s">
        <v>910</v>
      </c>
      <c r="F7862" s="1507"/>
      <c r="G7862" s="393" t="s">
        <v>3775</v>
      </c>
      <c r="H7862" s="395">
        <v>1.1309</v>
      </c>
      <c r="K7862" t="s">
        <v>5396</v>
      </c>
      <c r="L7862" t="s">
        <v>692</v>
      </c>
      <c r="P7862" t="s">
        <v>5400</v>
      </c>
      <c r="V7862">
        <v>24</v>
      </c>
    </row>
    <row r="7863" spans="1:22" customFormat="1" ht="15" x14ac:dyDescent="0.25">
      <c r="A7863" t="s">
        <v>252</v>
      </c>
      <c r="E7863" s="1526" t="s">
        <v>6849</v>
      </c>
      <c r="F7863" s="1510"/>
      <c r="G7863" s="393" t="s">
        <v>845</v>
      </c>
      <c r="H7863" s="395">
        <v>-4.8999999999999998E-3</v>
      </c>
      <c r="K7863" t="s">
        <v>5396</v>
      </c>
      <c r="L7863" t="s">
        <v>692</v>
      </c>
      <c r="P7863" t="s">
        <v>5401</v>
      </c>
      <c r="T7863">
        <v>46142</v>
      </c>
      <c r="V7863">
        <v>139</v>
      </c>
    </row>
    <row r="7864" spans="1:22" customFormat="1" ht="15" x14ac:dyDescent="0.25">
      <c r="A7864" t="s">
        <v>252</v>
      </c>
      <c r="E7864" s="1526" t="s">
        <v>6850</v>
      </c>
      <c r="F7864" s="1510"/>
      <c r="G7864" s="393" t="s">
        <v>3775</v>
      </c>
      <c r="H7864" s="395">
        <v>-0.56459999999999999</v>
      </c>
      <c r="K7864" t="s">
        <v>5396</v>
      </c>
      <c r="L7864" t="s">
        <v>692</v>
      </c>
      <c r="P7864" t="s">
        <v>5402</v>
      </c>
      <c r="T7864">
        <v>46142</v>
      </c>
      <c r="V7864">
        <v>96</v>
      </c>
    </row>
    <row r="7865" spans="1:22" customFormat="1" ht="15" x14ac:dyDescent="0.25">
      <c r="A7865" t="s">
        <v>252</v>
      </c>
      <c r="E7865" s="1526" t="s">
        <v>6853</v>
      </c>
      <c r="F7865" s="1510"/>
      <c r="G7865" s="393" t="s">
        <v>3775</v>
      </c>
      <c r="H7865" s="395">
        <v>3.7600000000000001E-2</v>
      </c>
      <c r="K7865" t="s">
        <v>5396</v>
      </c>
      <c r="L7865" t="s">
        <v>692</v>
      </c>
      <c r="P7865" t="s">
        <v>5819</v>
      </c>
      <c r="T7865">
        <v>46142</v>
      </c>
      <c r="V7865">
        <v>146</v>
      </c>
    </row>
    <row r="7866" spans="1:22" customFormat="1" ht="15" x14ac:dyDescent="0.25">
      <c r="A7866" t="s">
        <v>252</v>
      </c>
      <c r="E7866" s="1526" t="s">
        <v>243</v>
      </c>
      <c r="F7866" s="1507"/>
      <c r="G7866" s="393" t="s">
        <v>3775</v>
      </c>
      <c r="H7866" s="577">
        <v>3.6785000000000001</v>
      </c>
      <c r="K7866" t="s">
        <v>5396</v>
      </c>
      <c r="L7866" t="s">
        <v>694</v>
      </c>
      <c r="P7866" t="s">
        <v>5403</v>
      </c>
      <c r="V7866">
        <v>47</v>
      </c>
    </row>
    <row r="7867" spans="1:22" customFormat="1" ht="15" x14ac:dyDescent="0.25">
      <c r="A7867" t="s">
        <v>252</v>
      </c>
      <c r="E7867" s="1526" t="s">
        <v>4121</v>
      </c>
      <c r="F7867" s="1507"/>
      <c r="G7867" s="393" t="s">
        <v>3775</v>
      </c>
      <c r="H7867" s="577">
        <v>2.8572000000000002</v>
      </c>
      <c r="K7867" t="s">
        <v>5396</v>
      </c>
      <c r="L7867" t="s">
        <v>694</v>
      </c>
      <c r="P7867" t="s">
        <v>5404</v>
      </c>
      <c r="V7867">
        <v>75</v>
      </c>
    </row>
    <row r="7868" spans="1:22" customFormat="1" ht="15" x14ac:dyDescent="0.25">
      <c r="A7868" t="s">
        <v>252</v>
      </c>
      <c r="E7868" s="1515" t="s">
        <v>967</v>
      </c>
      <c r="F7868" s="1507"/>
      <c r="G7868" s="1507"/>
      <c r="H7868" s="1507"/>
      <c r="K7868" t="s">
        <v>1003</v>
      </c>
      <c r="V7868">
        <v>48</v>
      </c>
    </row>
    <row r="7869" spans="1:22" customFormat="1" ht="15" x14ac:dyDescent="0.25">
      <c r="A7869" t="s">
        <v>252</v>
      </c>
      <c r="E7869" s="1507" t="s">
        <v>844</v>
      </c>
      <c r="F7869" s="1507"/>
      <c r="G7869" s="393" t="s">
        <v>845</v>
      </c>
      <c r="H7869" s="395">
        <v>4.1000000000000003E-3</v>
      </c>
      <c r="K7869" t="s">
        <v>5396</v>
      </c>
      <c r="L7869" t="s">
        <v>968</v>
      </c>
      <c r="P7869" t="s">
        <v>5405</v>
      </c>
      <c r="V7869">
        <v>55</v>
      </c>
    </row>
    <row r="7870" spans="1:22" customFormat="1" ht="15" x14ac:dyDescent="0.25">
      <c r="A7870" t="s">
        <v>252</v>
      </c>
      <c r="E7870" s="1507" t="s">
        <v>846</v>
      </c>
      <c r="F7870" s="1507"/>
      <c r="G7870" s="584" t="s">
        <v>845</v>
      </c>
      <c r="H7870" s="577">
        <v>4.0000000000000002E-4</v>
      </c>
      <c r="K7870" t="s">
        <v>5396</v>
      </c>
      <c r="L7870" t="s">
        <v>968</v>
      </c>
      <c r="P7870" t="s">
        <v>5405</v>
      </c>
      <c r="V7870">
        <v>65</v>
      </c>
    </row>
    <row r="7871" spans="1:22" customFormat="1" ht="15" x14ac:dyDescent="0.25">
      <c r="A7871" t="s">
        <v>252</v>
      </c>
      <c r="E7871" s="1526" t="s">
        <v>847</v>
      </c>
      <c r="F7871" s="1507"/>
      <c r="G7871" s="393" t="s">
        <v>845</v>
      </c>
      <c r="H7871" s="395">
        <v>1.5E-3</v>
      </c>
      <c r="K7871" t="s">
        <v>5396</v>
      </c>
      <c r="L7871" t="s">
        <v>968</v>
      </c>
      <c r="P7871" t="s">
        <v>5406</v>
      </c>
      <c r="V7871">
        <v>57</v>
      </c>
    </row>
    <row r="7872" spans="1:22" customFormat="1" ht="15" x14ac:dyDescent="0.25">
      <c r="A7872" t="s">
        <v>252</v>
      </c>
      <c r="E7872" s="1526" t="s">
        <v>848</v>
      </c>
      <c r="F7872" s="1507"/>
      <c r="G7872" s="393" t="s">
        <v>777</v>
      </c>
      <c r="H7872" s="394">
        <v>0.25</v>
      </c>
      <c r="K7872" t="s">
        <v>5396</v>
      </c>
      <c r="L7872" t="s">
        <v>968</v>
      </c>
      <c r="P7872" t="s">
        <v>5407</v>
      </c>
      <c r="V7872">
        <v>63</v>
      </c>
    </row>
    <row r="7873" spans="1:22" customFormat="1" x14ac:dyDescent="0.25">
      <c r="A7873" t="s">
        <v>252</v>
      </c>
      <c r="E7873" s="1527" t="s">
        <v>5408</v>
      </c>
      <c r="F7873" s="1493"/>
      <c r="G7873" s="1493"/>
      <c r="H7873" s="1493"/>
      <c r="K7873" t="s">
        <v>5409</v>
      </c>
      <c r="V7873">
        <v>40</v>
      </c>
    </row>
    <row r="7874" spans="1:22" customFormat="1" ht="15" x14ac:dyDescent="0.25">
      <c r="A7874" t="s">
        <v>252</v>
      </c>
      <c r="E7874" s="1516" t="s">
        <v>5410</v>
      </c>
      <c r="F7874" s="1516"/>
      <c r="G7874" s="1516"/>
      <c r="H7874" s="1516"/>
      <c r="K7874" t="s">
        <v>5409</v>
      </c>
      <c r="V7874">
        <v>348</v>
      </c>
    </row>
    <row r="7875" spans="1:22" customFormat="1" ht="15" x14ac:dyDescent="0.25">
      <c r="A7875" t="s">
        <v>252</v>
      </c>
      <c r="E7875" s="1515" t="s">
        <v>950</v>
      </c>
      <c r="F7875" s="1516"/>
      <c r="G7875" s="1516"/>
      <c r="H7875" s="1516"/>
      <c r="K7875" t="s">
        <v>1010</v>
      </c>
      <c r="V7875">
        <v>11</v>
      </c>
    </row>
    <row r="7876" spans="1:22" customFormat="1" ht="15" x14ac:dyDescent="0.25">
      <c r="A7876" t="s">
        <v>252</v>
      </c>
      <c r="E7876" s="1516" t="s">
        <v>951</v>
      </c>
      <c r="F7876" s="1516"/>
      <c r="G7876" s="1516"/>
      <c r="H7876" s="1516"/>
      <c r="K7876" t="s">
        <v>5409</v>
      </c>
      <c r="V7876">
        <v>280</v>
      </c>
    </row>
    <row r="7877" spans="1:22" customFormat="1" ht="15" x14ac:dyDescent="0.25">
      <c r="A7877" t="s">
        <v>252</v>
      </c>
      <c r="E7877" s="1516" t="s">
        <v>952</v>
      </c>
      <c r="F7877" s="1516"/>
      <c r="G7877" s="1516"/>
      <c r="H7877" s="1516"/>
      <c r="K7877" t="s">
        <v>5409</v>
      </c>
      <c r="V7877">
        <v>411</v>
      </c>
    </row>
    <row r="7878" spans="1:22" customFormat="1" ht="15" x14ac:dyDescent="0.25">
      <c r="A7878" t="s">
        <v>252</v>
      </c>
      <c r="E7878" s="1516" t="s">
        <v>3761</v>
      </c>
      <c r="F7878" s="1516"/>
      <c r="G7878" s="1516"/>
      <c r="H7878" s="1516"/>
      <c r="K7878" t="s">
        <v>5409</v>
      </c>
      <c r="V7878">
        <v>387</v>
      </c>
    </row>
    <row r="7879" spans="1:22" customFormat="1" ht="15" x14ac:dyDescent="0.25">
      <c r="A7879" t="s">
        <v>252</v>
      </c>
      <c r="E7879" s="1516" t="s">
        <v>993</v>
      </c>
      <c r="F7879" s="1516"/>
      <c r="G7879" s="1516"/>
      <c r="H7879" s="1516"/>
      <c r="K7879" t="s">
        <v>5409</v>
      </c>
      <c r="V7879">
        <v>680</v>
      </c>
    </row>
    <row r="7880" spans="1:22" customFormat="1" ht="15" x14ac:dyDescent="0.25">
      <c r="A7880" t="s">
        <v>252</v>
      </c>
      <c r="E7880" s="1516" t="s">
        <v>994</v>
      </c>
      <c r="F7880" s="1516"/>
      <c r="G7880" s="1516"/>
      <c r="H7880" s="1516"/>
      <c r="K7880" t="s">
        <v>5409</v>
      </c>
      <c r="V7880">
        <v>725</v>
      </c>
    </row>
    <row r="7881" spans="1:22" customFormat="1" ht="15" x14ac:dyDescent="0.25">
      <c r="A7881" t="s">
        <v>252</v>
      </c>
      <c r="E7881" s="1516" t="s">
        <v>954</v>
      </c>
      <c r="F7881" s="1516"/>
      <c r="G7881" s="1516"/>
      <c r="H7881" s="1516"/>
      <c r="K7881" t="s">
        <v>5409</v>
      </c>
      <c r="V7881">
        <v>246</v>
      </c>
    </row>
    <row r="7882" spans="1:22" customFormat="1" ht="15" x14ac:dyDescent="0.25">
      <c r="A7882" t="s">
        <v>252</v>
      </c>
      <c r="E7882" s="1515" t="s">
        <v>956</v>
      </c>
      <c r="F7882" s="1516"/>
      <c r="G7882" s="1516"/>
      <c r="H7882" s="1516"/>
      <c r="K7882" t="s">
        <v>1011</v>
      </c>
      <c r="V7882">
        <v>46</v>
      </c>
    </row>
    <row r="7883" spans="1:22" customFormat="1" ht="15" x14ac:dyDescent="0.25">
      <c r="A7883" t="s">
        <v>252</v>
      </c>
      <c r="E7883" s="1526" t="s">
        <v>3773</v>
      </c>
      <c r="F7883" s="1507"/>
      <c r="G7883" s="393" t="s">
        <v>777</v>
      </c>
      <c r="H7883" s="576">
        <v>275.29000000000002</v>
      </c>
      <c r="K7883" t="s">
        <v>5409</v>
      </c>
      <c r="L7883" t="s">
        <v>690</v>
      </c>
      <c r="P7883" t="s">
        <v>5411</v>
      </c>
      <c r="V7883">
        <v>14</v>
      </c>
    </row>
    <row r="7884" spans="1:22" customFormat="1" ht="15" x14ac:dyDescent="0.25">
      <c r="A7884" t="s">
        <v>252</v>
      </c>
      <c r="E7884" s="1526" t="s">
        <v>3688</v>
      </c>
      <c r="F7884" s="1507"/>
      <c r="G7884" s="393" t="s">
        <v>3775</v>
      </c>
      <c r="H7884" s="577">
        <v>1.5363</v>
      </c>
      <c r="K7884" t="s">
        <v>5409</v>
      </c>
      <c r="L7884" t="s">
        <v>690</v>
      </c>
      <c r="P7884" t="s">
        <v>5412</v>
      </c>
      <c r="V7884">
        <v>28</v>
      </c>
    </row>
    <row r="7885" spans="1:22" customFormat="1" ht="15" x14ac:dyDescent="0.25">
      <c r="A7885" t="s">
        <v>252</v>
      </c>
      <c r="E7885" s="1526" t="s">
        <v>910</v>
      </c>
      <c r="F7885" s="1507"/>
      <c r="G7885" s="393" t="s">
        <v>3775</v>
      </c>
      <c r="H7885" s="395">
        <v>1.3339000000000001</v>
      </c>
      <c r="K7885" t="s">
        <v>5409</v>
      </c>
      <c r="L7885" t="s">
        <v>692</v>
      </c>
      <c r="P7885" t="s">
        <v>5413</v>
      </c>
      <c r="V7885">
        <v>24</v>
      </c>
    </row>
    <row r="7886" spans="1:22" customFormat="1" ht="15" x14ac:dyDescent="0.25">
      <c r="A7886" t="s">
        <v>252</v>
      </c>
      <c r="E7886" s="1526" t="s">
        <v>6850</v>
      </c>
      <c r="F7886" s="1510"/>
      <c r="G7886" s="393" t="s">
        <v>3775</v>
      </c>
      <c r="H7886" s="395">
        <v>-0.4819</v>
      </c>
      <c r="K7886" t="s">
        <v>5409</v>
      </c>
      <c r="L7886" t="s">
        <v>692</v>
      </c>
      <c r="P7886" t="s">
        <v>5414</v>
      </c>
      <c r="T7886">
        <v>46142</v>
      </c>
      <c r="V7886">
        <v>96</v>
      </c>
    </row>
    <row r="7887" spans="1:22" customFormat="1" ht="15" x14ac:dyDescent="0.25">
      <c r="A7887" t="s">
        <v>252</v>
      </c>
      <c r="E7887" s="1526" t="s">
        <v>243</v>
      </c>
      <c r="F7887" s="1507"/>
      <c r="G7887" s="393" t="s">
        <v>3775</v>
      </c>
      <c r="H7887" s="577">
        <v>4.1143999999999998</v>
      </c>
      <c r="K7887" t="s">
        <v>5409</v>
      </c>
      <c r="L7887" t="s">
        <v>694</v>
      </c>
      <c r="P7887" t="s">
        <v>5415</v>
      </c>
      <c r="V7887">
        <v>47</v>
      </c>
    </row>
    <row r="7888" spans="1:22" customFormat="1" ht="15" x14ac:dyDescent="0.25">
      <c r="A7888" t="s">
        <v>252</v>
      </c>
      <c r="E7888" s="1526" t="s">
        <v>175</v>
      </c>
      <c r="F7888" s="1507"/>
      <c r="G7888" s="393" t="s">
        <v>3775</v>
      </c>
      <c r="H7888" s="577">
        <v>3.37</v>
      </c>
      <c r="K7888" t="s">
        <v>5409</v>
      </c>
      <c r="L7888" t="s">
        <v>694</v>
      </c>
      <c r="P7888" t="s">
        <v>5416</v>
      </c>
      <c r="V7888">
        <v>74</v>
      </c>
    </row>
    <row r="7889" spans="1:22" customFormat="1" ht="15" x14ac:dyDescent="0.25">
      <c r="A7889" t="s">
        <v>252</v>
      </c>
      <c r="E7889" s="1515" t="s">
        <v>967</v>
      </c>
      <c r="F7889" s="1507"/>
      <c r="G7889" s="1507"/>
      <c r="H7889" s="1507"/>
      <c r="K7889" t="s">
        <v>1019</v>
      </c>
      <c r="V7889">
        <v>48</v>
      </c>
    </row>
    <row r="7890" spans="1:22" customFormat="1" ht="15" x14ac:dyDescent="0.25">
      <c r="A7890" t="s">
        <v>252</v>
      </c>
      <c r="E7890" s="1507" t="s">
        <v>844</v>
      </c>
      <c r="F7890" s="1507"/>
      <c r="G7890" s="393" t="s">
        <v>845</v>
      </c>
      <c r="H7890" s="395">
        <v>4.1000000000000003E-3</v>
      </c>
      <c r="K7890" t="s">
        <v>5409</v>
      </c>
      <c r="L7890" t="s">
        <v>968</v>
      </c>
      <c r="P7890" t="s">
        <v>5417</v>
      </c>
      <c r="V7890">
        <v>55</v>
      </c>
    </row>
    <row r="7891" spans="1:22" customFormat="1" ht="15" x14ac:dyDescent="0.25">
      <c r="A7891" t="s">
        <v>252</v>
      </c>
      <c r="E7891" s="1507" t="s">
        <v>846</v>
      </c>
      <c r="F7891" s="1507"/>
      <c r="G7891" s="584" t="s">
        <v>845</v>
      </c>
      <c r="H7891" s="577">
        <v>4.0000000000000002E-4</v>
      </c>
      <c r="K7891" t="s">
        <v>5409</v>
      </c>
      <c r="L7891" t="s">
        <v>968</v>
      </c>
      <c r="P7891" t="s">
        <v>5417</v>
      </c>
      <c r="V7891">
        <v>65</v>
      </c>
    </row>
    <row r="7892" spans="1:22" customFormat="1" ht="15" x14ac:dyDescent="0.25">
      <c r="A7892" t="s">
        <v>252</v>
      </c>
      <c r="E7892" s="1526" t="s">
        <v>847</v>
      </c>
      <c r="F7892" s="1507"/>
      <c r="G7892" s="393" t="s">
        <v>845</v>
      </c>
      <c r="H7892" s="395">
        <v>1.5E-3</v>
      </c>
      <c r="K7892" t="s">
        <v>5409</v>
      </c>
      <c r="L7892" t="s">
        <v>968</v>
      </c>
      <c r="P7892" t="s">
        <v>5418</v>
      </c>
      <c r="V7892">
        <v>57</v>
      </c>
    </row>
    <row r="7893" spans="1:22" customFormat="1" ht="15" x14ac:dyDescent="0.25">
      <c r="A7893" t="s">
        <v>252</v>
      </c>
      <c r="E7893" s="1526" t="s">
        <v>848</v>
      </c>
      <c r="F7893" s="1507"/>
      <c r="G7893" s="393" t="s">
        <v>777</v>
      </c>
      <c r="H7893" s="394">
        <v>0.25</v>
      </c>
      <c r="K7893" t="s">
        <v>5409</v>
      </c>
      <c r="L7893" t="s">
        <v>968</v>
      </c>
      <c r="P7893" t="s">
        <v>5419</v>
      </c>
      <c r="V7893">
        <v>63</v>
      </c>
    </row>
    <row r="7894" spans="1:22" customFormat="1" x14ac:dyDescent="0.25">
      <c r="A7894" t="s">
        <v>252</v>
      </c>
      <c r="E7894" s="1527" t="s">
        <v>198</v>
      </c>
      <c r="F7894" s="1493"/>
      <c r="G7894" s="1493"/>
      <c r="H7894" s="1493"/>
      <c r="K7894" t="s">
        <v>3798</v>
      </c>
      <c r="V7894">
        <v>40</v>
      </c>
    </row>
    <row r="7895" spans="1:22" customFormat="1" ht="15" x14ac:dyDescent="0.25">
      <c r="A7895" t="s">
        <v>252</v>
      </c>
      <c r="E7895" s="1516" t="s">
        <v>5420</v>
      </c>
      <c r="F7895" s="1516"/>
      <c r="G7895" s="1516"/>
      <c r="H7895" s="1516"/>
      <c r="K7895" t="s">
        <v>3798</v>
      </c>
      <c r="V7895">
        <v>281</v>
      </c>
    </row>
    <row r="7896" spans="1:22" customFormat="1" ht="15" x14ac:dyDescent="0.25">
      <c r="A7896" t="s">
        <v>252</v>
      </c>
      <c r="E7896" s="1515" t="s">
        <v>950</v>
      </c>
      <c r="F7896" s="1516"/>
      <c r="G7896" s="1516"/>
      <c r="H7896" s="1516"/>
      <c r="K7896" t="s">
        <v>1025</v>
      </c>
      <c r="V7896">
        <v>11</v>
      </c>
    </row>
    <row r="7897" spans="1:22" customFormat="1" ht="15" x14ac:dyDescent="0.25">
      <c r="A7897" t="s">
        <v>252</v>
      </c>
      <c r="E7897" s="1516" t="s">
        <v>951</v>
      </c>
      <c r="F7897" s="1516"/>
      <c r="G7897" s="1516"/>
      <c r="H7897" s="1516"/>
      <c r="K7897" t="s">
        <v>3798</v>
      </c>
      <c r="V7897">
        <v>280</v>
      </c>
    </row>
    <row r="7898" spans="1:22" customFormat="1" ht="15" x14ac:dyDescent="0.25">
      <c r="A7898" t="s">
        <v>252</v>
      </c>
      <c r="E7898" s="1516" t="s">
        <v>952</v>
      </c>
      <c r="F7898" s="1516"/>
      <c r="G7898" s="1516"/>
      <c r="H7898" s="1516"/>
      <c r="K7898" t="s">
        <v>3798</v>
      </c>
      <c r="V7898">
        <v>411</v>
      </c>
    </row>
    <row r="7899" spans="1:22" customFormat="1" ht="15" x14ac:dyDescent="0.25">
      <c r="A7899" t="s">
        <v>252</v>
      </c>
      <c r="E7899" s="1516" t="s">
        <v>3761</v>
      </c>
      <c r="F7899" s="1516"/>
      <c r="G7899" s="1516"/>
      <c r="H7899" s="1516"/>
      <c r="K7899" t="s">
        <v>3798</v>
      </c>
      <c r="V7899">
        <v>387</v>
      </c>
    </row>
    <row r="7900" spans="1:22" customFormat="1" ht="15" x14ac:dyDescent="0.25">
      <c r="A7900" t="s">
        <v>252</v>
      </c>
      <c r="E7900" s="1516" t="s">
        <v>954</v>
      </c>
      <c r="F7900" s="1516"/>
      <c r="G7900" s="1516"/>
      <c r="H7900" s="1516"/>
      <c r="K7900" t="s">
        <v>3798</v>
      </c>
      <c r="V7900">
        <v>246</v>
      </c>
    </row>
    <row r="7901" spans="1:22" customFormat="1" ht="15" x14ac:dyDescent="0.25">
      <c r="A7901" t="s">
        <v>252</v>
      </c>
      <c r="E7901" s="1515" t="s">
        <v>956</v>
      </c>
      <c r="F7901" s="1516"/>
      <c r="G7901" s="1516"/>
      <c r="H7901" s="1516"/>
      <c r="K7901" t="s">
        <v>1026</v>
      </c>
      <c r="V7901">
        <v>46</v>
      </c>
    </row>
    <row r="7902" spans="1:22" customFormat="1" ht="15" x14ac:dyDescent="0.25">
      <c r="A7902" t="s">
        <v>252</v>
      </c>
      <c r="E7902" s="1526" t="s">
        <v>3874</v>
      </c>
      <c r="F7902" s="1507"/>
      <c r="G7902" s="393" t="s">
        <v>777</v>
      </c>
      <c r="H7902" s="576">
        <v>14.21</v>
      </c>
      <c r="K7902" t="s">
        <v>3798</v>
      </c>
      <c r="L7902" t="s">
        <v>690</v>
      </c>
      <c r="P7902" t="s">
        <v>3801</v>
      </c>
      <c r="V7902">
        <v>31</v>
      </c>
    </row>
    <row r="7903" spans="1:22" customFormat="1" ht="15" x14ac:dyDescent="0.25">
      <c r="A7903" t="s">
        <v>252</v>
      </c>
      <c r="E7903" s="1526" t="s">
        <v>3688</v>
      </c>
      <c r="F7903" s="1507"/>
      <c r="G7903" s="393" t="s">
        <v>3775</v>
      </c>
      <c r="H7903" s="577">
        <v>15.397600000000001</v>
      </c>
      <c r="K7903" t="s">
        <v>3798</v>
      </c>
      <c r="L7903" t="s">
        <v>690</v>
      </c>
      <c r="P7903" t="s">
        <v>3802</v>
      </c>
      <c r="V7903">
        <v>28</v>
      </c>
    </row>
    <row r="7904" spans="1:22" customFormat="1" ht="15" x14ac:dyDescent="0.25">
      <c r="A7904" t="s">
        <v>252</v>
      </c>
      <c r="E7904" s="1526" t="s">
        <v>910</v>
      </c>
      <c r="F7904" s="1507"/>
      <c r="G7904" s="393" t="s">
        <v>3775</v>
      </c>
      <c r="H7904" s="395">
        <v>0.88429999999999997</v>
      </c>
      <c r="K7904" t="s">
        <v>3798</v>
      </c>
      <c r="L7904" t="s">
        <v>692</v>
      </c>
      <c r="P7904" t="s">
        <v>3803</v>
      </c>
      <c r="V7904">
        <v>24</v>
      </c>
    </row>
    <row r="7905" spans="1:22" customFormat="1" ht="15" x14ac:dyDescent="0.25">
      <c r="A7905" t="s">
        <v>252</v>
      </c>
      <c r="E7905" s="1526" t="s">
        <v>6853</v>
      </c>
      <c r="F7905" s="1510"/>
      <c r="G7905" s="393" t="s">
        <v>3775</v>
      </c>
      <c r="H7905" s="395">
        <v>2.86E-2</v>
      </c>
      <c r="K7905" t="s">
        <v>3798</v>
      </c>
      <c r="L7905" t="s">
        <v>692</v>
      </c>
      <c r="P7905" t="s">
        <v>3804</v>
      </c>
      <c r="T7905">
        <v>46142</v>
      </c>
      <c r="V7905">
        <v>146</v>
      </c>
    </row>
    <row r="7906" spans="1:22" customFormat="1" ht="15" x14ac:dyDescent="0.25">
      <c r="A7906" t="s">
        <v>252</v>
      </c>
      <c r="E7906" s="1526" t="s">
        <v>6850</v>
      </c>
      <c r="F7906" s="1510"/>
      <c r="G7906" s="393" t="s">
        <v>3775</v>
      </c>
      <c r="H7906" s="395">
        <v>-0.41010000000000002</v>
      </c>
      <c r="K7906" t="s">
        <v>3798</v>
      </c>
      <c r="L7906" t="s">
        <v>692</v>
      </c>
      <c r="P7906" t="s">
        <v>3805</v>
      </c>
      <c r="T7906">
        <v>46142</v>
      </c>
      <c r="V7906">
        <v>96</v>
      </c>
    </row>
    <row r="7907" spans="1:22" customFormat="1" ht="15" x14ac:dyDescent="0.25">
      <c r="A7907" t="s">
        <v>252</v>
      </c>
      <c r="E7907" s="1526" t="s">
        <v>243</v>
      </c>
      <c r="F7907" s="1507"/>
      <c r="G7907" s="393" t="s">
        <v>3775</v>
      </c>
      <c r="H7907" s="577">
        <v>2.7881999999999998</v>
      </c>
      <c r="K7907" t="s">
        <v>3798</v>
      </c>
      <c r="L7907" t="s">
        <v>694</v>
      </c>
      <c r="P7907" t="s">
        <v>3806</v>
      </c>
      <c r="V7907">
        <v>47</v>
      </c>
    </row>
    <row r="7908" spans="1:22" customFormat="1" ht="15" x14ac:dyDescent="0.25">
      <c r="A7908" t="s">
        <v>252</v>
      </c>
      <c r="E7908" s="1526" t="s">
        <v>175</v>
      </c>
      <c r="F7908" s="1507"/>
      <c r="G7908" s="393" t="s">
        <v>3775</v>
      </c>
      <c r="H7908" s="577">
        <v>2.2342</v>
      </c>
      <c r="K7908" t="s">
        <v>3798</v>
      </c>
      <c r="L7908" t="s">
        <v>694</v>
      </c>
      <c r="P7908" t="s">
        <v>3807</v>
      </c>
      <c r="V7908">
        <v>74</v>
      </c>
    </row>
    <row r="7909" spans="1:22" customFormat="1" ht="15" x14ac:dyDescent="0.25">
      <c r="A7909" t="s">
        <v>252</v>
      </c>
      <c r="E7909" s="1515" t="s">
        <v>967</v>
      </c>
      <c r="F7909" s="1507"/>
      <c r="G7909" s="1507"/>
      <c r="H7909" s="1507"/>
      <c r="K7909" t="s">
        <v>1035</v>
      </c>
      <c r="V7909">
        <v>48</v>
      </c>
    </row>
    <row r="7910" spans="1:22" customFormat="1" ht="15" x14ac:dyDescent="0.25">
      <c r="A7910" t="s">
        <v>252</v>
      </c>
      <c r="E7910" s="1507" t="s">
        <v>844</v>
      </c>
      <c r="F7910" s="1507"/>
      <c r="G7910" s="393" t="s">
        <v>845</v>
      </c>
      <c r="H7910" s="395">
        <v>4.1000000000000003E-3</v>
      </c>
      <c r="K7910" t="s">
        <v>3798</v>
      </c>
      <c r="L7910" t="s">
        <v>968</v>
      </c>
      <c r="P7910" t="s">
        <v>3808</v>
      </c>
      <c r="V7910">
        <v>55</v>
      </c>
    </row>
    <row r="7911" spans="1:22" customFormat="1" ht="15" x14ac:dyDescent="0.25">
      <c r="A7911" t="s">
        <v>252</v>
      </c>
      <c r="E7911" s="1507" t="s">
        <v>846</v>
      </c>
      <c r="F7911" s="1507"/>
      <c r="G7911" s="584" t="s">
        <v>845</v>
      </c>
      <c r="H7911" s="577">
        <v>4.0000000000000002E-4</v>
      </c>
      <c r="K7911" t="s">
        <v>3798</v>
      </c>
      <c r="L7911" t="s">
        <v>968</v>
      </c>
      <c r="P7911" t="s">
        <v>3808</v>
      </c>
      <c r="V7911">
        <v>65</v>
      </c>
    </row>
    <row r="7912" spans="1:22" customFormat="1" ht="15" x14ac:dyDescent="0.25">
      <c r="A7912" t="s">
        <v>252</v>
      </c>
      <c r="E7912" s="1526" t="s">
        <v>847</v>
      </c>
      <c r="F7912" s="1507"/>
      <c r="G7912" s="393" t="s">
        <v>845</v>
      </c>
      <c r="H7912" s="395">
        <v>1.5E-3</v>
      </c>
      <c r="K7912" t="s">
        <v>3798</v>
      </c>
      <c r="L7912" t="s">
        <v>968</v>
      </c>
      <c r="P7912" t="s">
        <v>3809</v>
      </c>
      <c r="V7912">
        <v>57</v>
      </c>
    </row>
    <row r="7913" spans="1:22" customFormat="1" ht="15" x14ac:dyDescent="0.25">
      <c r="A7913" t="s">
        <v>252</v>
      </c>
      <c r="E7913" s="1526" t="s">
        <v>848</v>
      </c>
      <c r="F7913" s="1507"/>
      <c r="G7913" s="393" t="s">
        <v>777</v>
      </c>
      <c r="H7913" s="394">
        <v>0.25</v>
      </c>
      <c r="K7913" t="s">
        <v>3798</v>
      </c>
      <c r="L7913" t="s">
        <v>968</v>
      </c>
      <c r="P7913" t="s">
        <v>3810</v>
      </c>
      <c r="V7913">
        <v>63</v>
      </c>
    </row>
    <row r="7914" spans="1:22" customFormat="1" x14ac:dyDescent="0.25">
      <c r="A7914" t="s">
        <v>252</v>
      </c>
      <c r="E7914" s="1527" t="s">
        <v>202</v>
      </c>
      <c r="F7914" s="1493"/>
      <c r="G7914" s="1493"/>
      <c r="H7914" s="1493"/>
      <c r="K7914" t="s">
        <v>3811</v>
      </c>
      <c r="V7914">
        <v>38</v>
      </c>
    </row>
    <row r="7915" spans="1:22" customFormat="1" ht="15" x14ac:dyDescent="0.25">
      <c r="A7915" t="s">
        <v>252</v>
      </c>
      <c r="E7915" s="1516" t="s">
        <v>6863</v>
      </c>
      <c r="F7915" s="1516"/>
      <c r="G7915" s="1516"/>
      <c r="H7915" s="1516"/>
      <c r="K7915" t="s">
        <v>3811</v>
      </c>
      <c r="V7915">
        <v>473</v>
      </c>
    </row>
    <row r="7916" spans="1:22" customFormat="1" ht="15" x14ac:dyDescent="0.25">
      <c r="A7916" t="s">
        <v>252</v>
      </c>
      <c r="E7916" s="1515" t="s">
        <v>950</v>
      </c>
      <c r="F7916" s="1516"/>
      <c r="G7916" s="1516"/>
      <c r="H7916" s="1516"/>
      <c r="K7916" t="s">
        <v>1041</v>
      </c>
      <c r="V7916">
        <v>11</v>
      </c>
    </row>
    <row r="7917" spans="1:22" customFormat="1" ht="15" x14ac:dyDescent="0.25">
      <c r="A7917" t="s">
        <v>252</v>
      </c>
      <c r="E7917" s="1516" t="s">
        <v>951</v>
      </c>
      <c r="F7917" s="1516"/>
      <c r="G7917" s="1516"/>
      <c r="H7917" s="1516"/>
      <c r="K7917" t="s">
        <v>3811</v>
      </c>
      <c r="V7917">
        <v>280</v>
      </c>
    </row>
    <row r="7918" spans="1:22" customFormat="1" ht="15" x14ac:dyDescent="0.25">
      <c r="A7918" t="s">
        <v>252</v>
      </c>
      <c r="E7918" s="1516" t="s">
        <v>952</v>
      </c>
      <c r="F7918" s="1516"/>
      <c r="G7918" s="1516"/>
      <c r="H7918" s="1516"/>
      <c r="K7918" t="s">
        <v>3811</v>
      </c>
      <c r="V7918">
        <v>411</v>
      </c>
    </row>
    <row r="7919" spans="1:22" customFormat="1" ht="15" x14ac:dyDescent="0.25">
      <c r="A7919" t="s">
        <v>252</v>
      </c>
      <c r="E7919" s="1516" t="s">
        <v>3761</v>
      </c>
      <c r="F7919" s="1516"/>
      <c r="G7919" s="1516"/>
      <c r="H7919" s="1516"/>
      <c r="K7919" t="s">
        <v>3811</v>
      </c>
      <c r="V7919">
        <v>387</v>
      </c>
    </row>
    <row r="7920" spans="1:22" customFormat="1" ht="15" x14ac:dyDescent="0.25">
      <c r="A7920" t="s">
        <v>252</v>
      </c>
      <c r="E7920" s="1516" t="s">
        <v>954</v>
      </c>
      <c r="F7920" s="1516"/>
      <c r="G7920" s="1516"/>
      <c r="H7920" s="1516"/>
      <c r="K7920" t="s">
        <v>3811</v>
      </c>
      <c r="V7920">
        <v>246</v>
      </c>
    </row>
    <row r="7921" spans="1:22" customFormat="1" ht="15" x14ac:dyDescent="0.25">
      <c r="A7921" t="s">
        <v>252</v>
      </c>
      <c r="E7921" s="1515" t="s">
        <v>956</v>
      </c>
      <c r="F7921" s="1516"/>
      <c r="G7921" s="1516"/>
      <c r="H7921" s="1516"/>
      <c r="K7921" t="s">
        <v>1042</v>
      </c>
      <c r="V7921">
        <v>46</v>
      </c>
    </row>
    <row r="7922" spans="1:22" customFormat="1" ht="15" x14ac:dyDescent="0.25">
      <c r="A7922" t="s">
        <v>252</v>
      </c>
      <c r="E7922" s="1526" t="s">
        <v>3874</v>
      </c>
      <c r="F7922" s="1507"/>
      <c r="G7922" s="393" t="s">
        <v>777</v>
      </c>
      <c r="H7922" s="576">
        <v>5.47</v>
      </c>
      <c r="K7922" t="s">
        <v>3811</v>
      </c>
      <c r="L7922" t="s">
        <v>690</v>
      </c>
      <c r="P7922" t="s">
        <v>3813</v>
      </c>
      <c r="V7922">
        <v>31</v>
      </c>
    </row>
    <row r="7923" spans="1:22" customFormat="1" ht="15" x14ac:dyDescent="0.25">
      <c r="A7923" t="s">
        <v>252</v>
      </c>
      <c r="E7923" s="1526" t="s">
        <v>3688</v>
      </c>
      <c r="F7923" s="1507"/>
      <c r="G7923" s="393" t="s">
        <v>3775</v>
      </c>
      <c r="H7923" s="577">
        <v>3.0310999999999999</v>
      </c>
      <c r="K7923" t="s">
        <v>3811</v>
      </c>
      <c r="L7923" t="s">
        <v>690</v>
      </c>
      <c r="P7923" t="s">
        <v>3814</v>
      </c>
      <c r="V7923">
        <v>28</v>
      </c>
    </row>
    <row r="7924" spans="1:22" customFormat="1" ht="15" x14ac:dyDescent="0.25">
      <c r="A7924" t="s">
        <v>252</v>
      </c>
      <c r="E7924" s="1526" t="s">
        <v>910</v>
      </c>
      <c r="F7924" s="1507"/>
      <c r="G7924" s="393" t="s">
        <v>3775</v>
      </c>
      <c r="H7924" s="395">
        <v>0.86629999999999996</v>
      </c>
      <c r="K7924" t="s">
        <v>3811</v>
      </c>
      <c r="L7924" t="s">
        <v>692</v>
      </c>
      <c r="P7924" t="s">
        <v>3815</v>
      </c>
      <c r="V7924">
        <v>24</v>
      </c>
    </row>
    <row r="7925" spans="1:22" customFormat="1" ht="15" x14ac:dyDescent="0.25">
      <c r="A7925" t="s">
        <v>252</v>
      </c>
      <c r="E7925" s="1526" t="s">
        <v>6849</v>
      </c>
      <c r="F7925" s="1510"/>
      <c r="G7925" s="393" t="s">
        <v>845</v>
      </c>
      <c r="H7925" s="395">
        <v>-4.8999999999999998E-3</v>
      </c>
      <c r="K7925" t="s">
        <v>3811</v>
      </c>
      <c r="L7925" t="s">
        <v>692</v>
      </c>
      <c r="P7925" t="s">
        <v>4543</v>
      </c>
      <c r="T7925">
        <v>46142</v>
      </c>
      <c r="V7925">
        <v>139</v>
      </c>
    </row>
    <row r="7926" spans="1:22" customFormat="1" ht="15" x14ac:dyDescent="0.25">
      <c r="A7926" t="s">
        <v>252</v>
      </c>
      <c r="E7926" s="1526" t="s">
        <v>6850</v>
      </c>
      <c r="F7926" s="1510"/>
      <c r="G7926" s="393" t="s">
        <v>3775</v>
      </c>
      <c r="H7926" s="395">
        <v>-0.502</v>
      </c>
      <c r="K7926" t="s">
        <v>3811</v>
      </c>
      <c r="L7926" t="s">
        <v>692</v>
      </c>
      <c r="P7926" t="s">
        <v>3817</v>
      </c>
      <c r="T7926">
        <v>46142</v>
      </c>
      <c r="V7926">
        <v>96</v>
      </c>
    </row>
    <row r="7927" spans="1:22" customFormat="1" ht="15" x14ac:dyDescent="0.25">
      <c r="A7927" t="s">
        <v>252</v>
      </c>
      <c r="E7927" s="1526" t="s">
        <v>6853</v>
      </c>
      <c r="F7927" s="1510"/>
      <c r="G7927" s="393" t="s">
        <v>3775</v>
      </c>
      <c r="H7927" s="395">
        <v>3.3799999999999997E-2</v>
      </c>
      <c r="K7927" t="s">
        <v>3811</v>
      </c>
      <c r="L7927" t="s">
        <v>692</v>
      </c>
      <c r="P7927" t="s">
        <v>3816</v>
      </c>
      <c r="T7927">
        <v>46142</v>
      </c>
      <c r="V7927">
        <v>146</v>
      </c>
    </row>
    <row r="7928" spans="1:22" customFormat="1" ht="15" x14ac:dyDescent="0.25">
      <c r="A7928" t="s">
        <v>252</v>
      </c>
      <c r="E7928" s="1526" t="s">
        <v>243</v>
      </c>
      <c r="F7928" s="1507"/>
      <c r="G7928" s="393" t="s">
        <v>3775</v>
      </c>
      <c r="H7928" s="577">
        <v>2.7743000000000002</v>
      </c>
      <c r="K7928" t="s">
        <v>3811</v>
      </c>
      <c r="L7928" t="s">
        <v>694</v>
      </c>
      <c r="P7928" t="s">
        <v>3818</v>
      </c>
      <c r="V7928">
        <v>47</v>
      </c>
    </row>
    <row r="7929" spans="1:22" customFormat="1" ht="15" x14ac:dyDescent="0.25">
      <c r="A7929" t="s">
        <v>252</v>
      </c>
      <c r="E7929" s="1526" t="s">
        <v>175</v>
      </c>
      <c r="F7929" s="1507"/>
      <c r="G7929" s="393" t="s">
        <v>3775</v>
      </c>
      <c r="H7929" s="577">
        <v>2.1888000000000001</v>
      </c>
      <c r="K7929" t="s">
        <v>3811</v>
      </c>
      <c r="L7929" t="s">
        <v>694</v>
      </c>
      <c r="P7929" t="s">
        <v>3819</v>
      </c>
      <c r="V7929">
        <v>74</v>
      </c>
    </row>
    <row r="7930" spans="1:22" customFormat="1" ht="15" x14ac:dyDescent="0.25">
      <c r="A7930" t="s">
        <v>252</v>
      </c>
      <c r="E7930" s="1515" t="s">
        <v>967</v>
      </c>
      <c r="F7930" s="1507"/>
      <c r="G7930" s="1507"/>
      <c r="H7930" s="1507"/>
      <c r="K7930" t="s">
        <v>1049</v>
      </c>
      <c r="V7930">
        <v>48</v>
      </c>
    </row>
    <row r="7931" spans="1:22" customFormat="1" ht="15" x14ac:dyDescent="0.25">
      <c r="A7931" t="s">
        <v>252</v>
      </c>
      <c r="E7931" s="1507" t="s">
        <v>844</v>
      </c>
      <c r="F7931" s="1507"/>
      <c r="G7931" s="393" t="s">
        <v>845</v>
      </c>
      <c r="H7931" s="395">
        <v>4.1000000000000003E-3</v>
      </c>
      <c r="K7931" t="s">
        <v>3811</v>
      </c>
      <c r="L7931" t="s">
        <v>968</v>
      </c>
      <c r="P7931" t="s">
        <v>3820</v>
      </c>
      <c r="V7931">
        <v>55</v>
      </c>
    </row>
    <row r="7932" spans="1:22" customFormat="1" ht="15" x14ac:dyDescent="0.25">
      <c r="A7932" t="s">
        <v>252</v>
      </c>
      <c r="E7932" s="1507" t="s">
        <v>846</v>
      </c>
      <c r="F7932" s="1507"/>
      <c r="G7932" s="584" t="s">
        <v>845</v>
      </c>
      <c r="H7932" s="577">
        <v>4.0000000000000002E-4</v>
      </c>
      <c r="K7932" t="s">
        <v>3811</v>
      </c>
      <c r="L7932" t="s">
        <v>968</v>
      </c>
      <c r="P7932" t="s">
        <v>3820</v>
      </c>
      <c r="V7932">
        <v>65</v>
      </c>
    </row>
    <row r="7933" spans="1:22" customFormat="1" ht="15" x14ac:dyDescent="0.25">
      <c r="A7933" t="s">
        <v>252</v>
      </c>
      <c r="E7933" s="1526" t="s">
        <v>847</v>
      </c>
      <c r="F7933" s="1507"/>
      <c r="G7933" s="393" t="s">
        <v>845</v>
      </c>
      <c r="H7933" s="395">
        <v>1.5E-3</v>
      </c>
      <c r="K7933" t="s">
        <v>3811</v>
      </c>
      <c r="L7933" t="s">
        <v>968</v>
      </c>
      <c r="P7933" t="s">
        <v>3821</v>
      </c>
      <c r="V7933">
        <v>57</v>
      </c>
    </row>
    <row r="7934" spans="1:22" customFormat="1" ht="15" x14ac:dyDescent="0.25">
      <c r="A7934" t="s">
        <v>252</v>
      </c>
      <c r="E7934" s="1526" t="s">
        <v>848</v>
      </c>
      <c r="F7934" s="1507"/>
      <c r="G7934" s="393" t="s">
        <v>777</v>
      </c>
      <c r="H7934" s="394">
        <v>0.25</v>
      </c>
      <c r="K7934" t="s">
        <v>3811</v>
      </c>
      <c r="L7934" t="s">
        <v>968</v>
      </c>
      <c r="P7934" t="s">
        <v>3822</v>
      </c>
      <c r="V7934">
        <v>63</v>
      </c>
    </row>
    <row r="7935" spans="1:22" customFormat="1" x14ac:dyDescent="0.25">
      <c r="A7935" t="s">
        <v>252</v>
      </c>
      <c r="E7935" s="1492" t="s">
        <v>207</v>
      </c>
      <c r="F7935" s="1493"/>
      <c r="G7935" s="1493"/>
      <c r="H7935" s="1493"/>
      <c r="K7935" t="s">
        <v>3823</v>
      </c>
      <c r="V7935">
        <v>31</v>
      </c>
    </row>
    <row r="7936" spans="1:22" customFormat="1" ht="15" x14ac:dyDescent="0.25">
      <c r="A7936" t="s">
        <v>252</v>
      </c>
      <c r="E7936" s="1516" t="s">
        <v>5421</v>
      </c>
      <c r="F7936" s="1516"/>
      <c r="G7936" s="1516"/>
      <c r="H7936" s="1516"/>
      <c r="K7936" t="s">
        <v>3823</v>
      </c>
      <c r="V7936">
        <v>281</v>
      </c>
    </row>
    <row r="7937" spans="1:22" customFormat="1" ht="15" x14ac:dyDescent="0.25">
      <c r="A7937" t="s">
        <v>252</v>
      </c>
      <c r="E7937" s="1515" t="s">
        <v>950</v>
      </c>
      <c r="F7937" s="1516"/>
      <c r="G7937" s="1516"/>
      <c r="H7937" s="1516"/>
      <c r="K7937" t="s">
        <v>1055</v>
      </c>
      <c r="V7937">
        <v>11</v>
      </c>
    </row>
    <row r="7938" spans="1:22" customFormat="1" ht="15" x14ac:dyDescent="0.25">
      <c r="A7938" t="s">
        <v>252</v>
      </c>
      <c r="E7938" s="1516" t="s">
        <v>951</v>
      </c>
      <c r="F7938" s="1516"/>
      <c r="G7938" s="1516"/>
      <c r="H7938" s="1516"/>
      <c r="K7938" t="s">
        <v>3823</v>
      </c>
      <c r="V7938">
        <v>280</v>
      </c>
    </row>
    <row r="7939" spans="1:22" customFormat="1" ht="15" x14ac:dyDescent="0.25">
      <c r="A7939" t="s">
        <v>252</v>
      </c>
      <c r="E7939" s="1516" t="s">
        <v>952</v>
      </c>
      <c r="F7939" s="1516"/>
      <c r="G7939" s="1516"/>
      <c r="H7939" s="1516"/>
      <c r="K7939" t="s">
        <v>3823</v>
      </c>
      <c r="V7939">
        <v>411</v>
      </c>
    </row>
    <row r="7940" spans="1:22" customFormat="1" ht="15" x14ac:dyDescent="0.25">
      <c r="A7940" t="s">
        <v>252</v>
      </c>
      <c r="E7940" s="1516" t="s">
        <v>1103</v>
      </c>
      <c r="F7940" s="1516"/>
      <c r="G7940" s="1516"/>
      <c r="H7940" s="1516"/>
      <c r="K7940" t="s">
        <v>3823</v>
      </c>
      <c r="V7940">
        <v>211</v>
      </c>
    </row>
    <row r="7941" spans="1:22" customFormat="1" ht="15" x14ac:dyDescent="0.25">
      <c r="A7941" t="s">
        <v>252</v>
      </c>
      <c r="E7941" s="1516" t="s">
        <v>954</v>
      </c>
      <c r="F7941" s="1516"/>
      <c r="G7941" s="1516"/>
      <c r="H7941" s="1516"/>
      <c r="K7941" t="s">
        <v>3823</v>
      </c>
      <c r="V7941">
        <v>246</v>
      </c>
    </row>
    <row r="7942" spans="1:22" customFormat="1" ht="15" x14ac:dyDescent="0.25">
      <c r="A7942" t="s">
        <v>252</v>
      </c>
      <c r="E7942" s="1515" t="s">
        <v>4210</v>
      </c>
      <c r="F7942" s="1516"/>
      <c r="G7942" s="1516"/>
      <c r="H7942" s="1516"/>
      <c r="K7942" t="s">
        <v>1056</v>
      </c>
      <c r="V7942">
        <v>47</v>
      </c>
    </row>
    <row r="7943" spans="1:22" customFormat="1" ht="15" x14ac:dyDescent="0.25">
      <c r="A7943" t="s">
        <v>252</v>
      </c>
      <c r="E7943" s="1526" t="s">
        <v>3773</v>
      </c>
      <c r="F7943" s="1507"/>
      <c r="G7943" s="393" t="s">
        <v>777</v>
      </c>
      <c r="H7943" s="576">
        <v>5</v>
      </c>
      <c r="K7943" t="s">
        <v>3823</v>
      </c>
      <c r="L7943" t="s">
        <v>690</v>
      </c>
      <c r="P7943" t="s">
        <v>3824</v>
      </c>
      <c r="V7943">
        <v>14</v>
      </c>
    </row>
    <row r="7944" spans="1:22" customFormat="1" ht="18.75" x14ac:dyDescent="0.25">
      <c r="A7944" t="s">
        <v>252</v>
      </c>
      <c r="E7944" s="1492" t="s">
        <v>3825</v>
      </c>
      <c r="F7944" s="1528"/>
      <c r="G7944" s="1528"/>
      <c r="H7944" s="1528"/>
      <c r="K7944" t="s">
        <v>5422</v>
      </c>
      <c r="V7944">
        <v>10</v>
      </c>
    </row>
    <row r="7945" spans="1:22" customFormat="1" ht="15" x14ac:dyDescent="0.25">
      <c r="A7945" t="s">
        <v>252</v>
      </c>
      <c r="E7945" s="1507" t="s">
        <v>1078</v>
      </c>
      <c r="F7945" s="1507"/>
      <c r="G7945" s="584" t="s">
        <v>3775</v>
      </c>
      <c r="H7945" s="577">
        <v>-0.45</v>
      </c>
      <c r="V7945">
        <v>68</v>
      </c>
    </row>
    <row r="7946" spans="1:22" customFormat="1" ht="15" x14ac:dyDescent="0.25">
      <c r="A7946" t="s">
        <v>252</v>
      </c>
      <c r="E7946" s="1507" t="s">
        <v>1079</v>
      </c>
      <c r="F7946" s="1507"/>
      <c r="G7946" s="584" t="s">
        <v>1118</v>
      </c>
      <c r="H7946" s="576">
        <v>-1</v>
      </c>
      <c r="V7946">
        <v>87</v>
      </c>
    </row>
    <row r="7947" spans="1:22" customFormat="1" ht="18.75" x14ac:dyDescent="0.25">
      <c r="A7947" t="s">
        <v>252</v>
      </c>
      <c r="E7947" s="1527" t="s">
        <v>3828</v>
      </c>
      <c r="F7947" s="1528"/>
      <c r="G7947" s="1528"/>
      <c r="H7947" s="1528"/>
      <c r="K7947" t="s">
        <v>5423</v>
      </c>
      <c r="V7947">
        <v>24</v>
      </c>
    </row>
    <row r="7948" spans="1:22" customFormat="1" ht="15" x14ac:dyDescent="0.25">
      <c r="A7948" t="s">
        <v>252</v>
      </c>
      <c r="E7948" s="1515" t="s">
        <v>950</v>
      </c>
      <c r="F7948" s="1556"/>
      <c r="G7948" s="1556"/>
      <c r="H7948" s="1556"/>
      <c r="V7948">
        <v>11</v>
      </c>
    </row>
    <row r="7949" spans="1:22" customFormat="1" ht="15" x14ac:dyDescent="0.25">
      <c r="A7949" t="s">
        <v>252</v>
      </c>
      <c r="E7949" s="1516" t="s">
        <v>951</v>
      </c>
      <c r="F7949" s="1516"/>
      <c r="G7949" s="1516"/>
      <c r="H7949" s="1516"/>
      <c r="V7949">
        <v>280</v>
      </c>
    </row>
    <row r="7950" spans="1:22" customFormat="1" ht="15" x14ac:dyDescent="0.25">
      <c r="A7950" t="s">
        <v>252</v>
      </c>
      <c r="E7950" s="1516" t="s">
        <v>1081</v>
      </c>
      <c r="F7950" s="1516"/>
      <c r="G7950" s="1516"/>
      <c r="H7950" s="1516"/>
      <c r="V7950">
        <v>353</v>
      </c>
    </row>
    <row r="7951" spans="1:22" customFormat="1" ht="15" x14ac:dyDescent="0.25">
      <c r="A7951" t="s">
        <v>252</v>
      </c>
      <c r="E7951" s="1563" t="s">
        <v>954</v>
      </c>
      <c r="F7951" s="1564"/>
      <c r="G7951" s="1564"/>
      <c r="H7951" s="1564"/>
      <c r="V7951">
        <v>246</v>
      </c>
    </row>
    <row r="7952" spans="1:22" customFormat="1" ht="15" x14ac:dyDescent="0.25">
      <c r="A7952" t="s">
        <v>252</v>
      </c>
      <c r="E7952" s="1515" t="s">
        <v>3830</v>
      </c>
      <c r="F7952" s="1510"/>
      <c r="G7952" s="1510"/>
      <c r="H7952" s="1510"/>
      <c r="K7952" t="s">
        <v>5424</v>
      </c>
      <c r="V7952">
        <v>23</v>
      </c>
    </row>
    <row r="7953" spans="1:22" customFormat="1" ht="15" x14ac:dyDescent="0.25">
      <c r="A7953" t="s">
        <v>252</v>
      </c>
      <c r="E7953" s="1517" t="s">
        <v>3832</v>
      </c>
      <c r="F7953" s="1517"/>
      <c r="G7953" s="584" t="s">
        <v>777</v>
      </c>
      <c r="H7953" s="576">
        <v>15</v>
      </c>
      <c r="V7953">
        <v>19</v>
      </c>
    </row>
    <row r="7954" spans="1:22" customFormat="1" ht="15" x14ac:dyDescent="0.25">
      <c r="A7954" t="s">
        <v>252</v>
      </c>
      <c r="E7954" s="1517" t="s">
        <v>4056</v>
      </c>
      <c r="F7954" s="1517"/>
      <c r="G7954" s="584" t="s">
        <v>777</v>
      </c>
      <c r="H7954" s="576">
        <v>15</v>
      </c>
      <c r="V7954">
        <v>15</v>
      </c>
    </row>
    <row r="7955" spans="1:22" customFormat="1" ht="15" x14ac:dyDescent="0.25">
      <c r="A7955" t="s">
        <v>252</v>
      </c>
      <c r="E7955" s="1517" t="s">
        <v>3835</v>
      </c>
      <c r="F7955" s="1517"/>
      <c r="G7955" s="584" t="s">
        <v>777</v>
      </c>
      <c r="H7955" s="576">
        <v>15</v>
      </c>
      <c r="V7955">
        <v>56</v>
      </c>
    </row>
    <row r="7956" spans="1:22" customFormat="1" ht="15" x14ac:dyDescent="0.25">
      <c r="A7956" t="s">
        <v>252</v>
      </c>
      <c r="E7956" s="1517" t="s">
        <v>3836</v>
      </c>
      <c r="F7956" s="1517"/>
      <c r="G7956" s="584" t="s">
        <v>777</v>
      </c>
      <c r="H7956" s="576">
        <v>15</v>
      </c>
      <c r="V7956">
        <v>35</v>
      </c>
    </row>
    <row r="7957" spans="1:22" customFormat="1" ht="15" x14ac:dyDescent="0.25">
      <c r="A7957" t="s">
        <v>252</v>
      </c>
      <c r="E7957" s="1517" t="s">
        <v>3837</v>
      </c>
      <c r="F7957" s="1517"/>
      <c r="G7957" s="584" t="s">
        <v>777</v>
      </c>
      <c r="H7957" s="576">
        <v>30</v>
      </c>
      <c r="V7957">
        <v>89</v>
      </c>
    </row>
    <row r="7958" spans="1:22" customFormat="1" ht="15" x14ac:dyDescent="0.25">
      <c r="A7958" t="s">
        <v>252</v>
      </c>
      <c r="E7958" s="1517" t="s">
        <v>3838</v>
      </c>
      <c r="F7958" s="1517"/>
      <c r="G7958" s="584" t="s">
        <v>777</v>
      </c>
      <c r="H7958" s="576">
        <v>30</v>
      </c>
      <c r="V7958">
        <v>74</v>
      </c>
    </row>
    <row r="7959" spans="1:22" customFormat="1" ht="15" x14ac:dyDescent="0.25">
      <c r="A7959" t="s">
        <v>252</v>
      </c>
      <c r="E7959" s="1517" t="s">
        <v>3914</v>
      </c>
      <c r="F7959" s="1517"/>
      <c r="G7959" s="584" t="s">
        <v>777</v>
      </c>
      <c r="H7959" s="576">
        <v>30</v>
      </c>
      <c r="V7959">
        <v>19</v>
      </c>
    </row>
    <row r="7960" spans="1:22" customFormat="1" ht="15" x14ac:dyDescent="0.25">
      <c r="A7960" t="s">
        <v>252</v>
      </c>
      <c r="E7960" s="1515" t="s">
        <v>4062</v>
      </c>
      <c r="F7960" s="1510"/>
      <c r="G7960" s="1510"/>
      <c r="H7960" s="1510"/>
      <c r="K7960" t="s">
        <v>5425</v>
      </c>
      <c r="V7960">
        <v>22</v>
      </c>
    </row>
    <row r="7961" spans="1:22" customFormat="1" ht="15" x14ac:dyDescent="0.25">
      <c r="A7961" t="s">
        <v>252</v>
      </c>
      <c r="E7961" s="1517" t="s">
        <v>5426</v>
      </c>
      <c r="F7961" s="1517"/>
      <c r="G7961" s="584" t="s">
        <v>1118</v>
      </c>
      <c r="H7961" s="576">
        <v>1.5</v>
      </c>
      <c r="V7961">
        <v>99</v>
      </c>
    </row>
    <row r="7962" spans="1:22" customFormat="1" ht="15" x14ac:dyDescent="0.25">
      <c r="A7962" t="s">
        <v>252</v>
      </c>
      <c r="E7962" s="1517" t="s">
        <v>3842</v>
      </c>
      <c r="F7962" s="1517"/>
      <c r="G7962" s="584" t="s">
        <v>777</v>
      </c>
      <c r="H7962" s="576">
        <v>40</v>
      </c>
      <c r="V7962">
        <v>44</v>
      </c>
    </row>
    <row r="7963" spans="1:22" customFormat="1" ht="15" x14ac:dyDescent="0.25">
      <c r="A7963" t="s">
        <v>252</v>
      </c>
      <c r="E7963" s="1517" t="s">
        <v>5427</v>
      </c>
      <c r="F7963" s="1517"/>
      <c r="G7963" s="584"/>
      <c r="H7963" s="650" t="s">
        <v>5428</v>
      </c>
      <c r="V7963">
        <v>44</v>
      </c>
    </row>
    <row r="7964" spans="1:22" customFormat="1" ht="15" x14ac:dyDescent="0.25">
      <c r="A7964" t="s">
        <v>252</v>
      </c>
      <c r="E7964" s="1515" t="s">
        <v>3846</v>
      </c>
      <c r="F7964" s="1510"/>
      <c r="G7964" s="1510"/>
      <c r="H7964" s="1510"/>
      <c r="V7964">
        <v>5</v>
      </c>
    </row>
    <row r="7965" spans="1:22" customFormat="1" ht="15" x14ac:dyDescent="0.25">
      <c r="A7965" t="s">
        <v>252</v>
      </c>
      <c r="E7965" s="1517" t="s">
        <v>5429</v>
      </c>
      <c r="F7965" s="1517"/>
      <c r="G7965" s="584"/>
      <c r="H7965" s="650" t="s">
        <v>5428</v>
      </c>
      <c r="V7965">
        <v>65</v>
      </c>
    </row>
    <row r="7966" spans="1:22" customFormat="1" ht="15" x14ac:dyDescent="0.25">
      <c r="A7966" t="s">
        <v>252</v>
      </c>
      <c r="E7966" s="1517" t="s">
        <v>5430</v>
      </c>
      <c r="F7966" s="1517"/>
      <c r="G7966" s="584"/>
      <c r="H7966" s="650" t="s">
        <v>5428</v>
      </c>
      <c r="V7966">
        <v>67</v>
      </c>
    </row>
    <row r="7967" spans="1:22" customFormat="1" ht="15" x14ac:dyDescent="0.25">
      <c r="A7967" t="s">
        <v>252</v>
      </c>
      <c r="E7967" s="1517" t="s">
        <v>4627</v>
      </c>
      <c r="F7967" s="1517"/>
      <c r="G7967" s="584" t="s">
        <v>777</v>
      </c>
      <c r="H7967" s="576">
        <v>39.14</v>
      </c>
      <c r="V7967">
        <v>105</v>
      </c>
    </row>
    <row r="7968" spans="1:22" customFormat="1" x14ac:dyDescent="0.25">
      <c r="A7968" t="s">
        <v>252</v>
      </c>
      <c r="E7968" s="1492" t="s">
        <v>3851</v>
      </c>
      <c r="F7968" s="1492"/>
      <c r="G7968" s="1492"/>
      <c r="H7968" s="1492"/>
      <c r="K7968" t="s">
        <v>5431</v>
      </c>
      <c r="V7968">
        <v>38</v>
      </c>
    </row>
    <row r="7969" spans="1:22" customFormat="1" ht="15" x14ac:dyDescent="0.25">
      <c r="A7969" t="s">
        <v>252</v>
      </c>
      <c r="E7969" s="1515" t="s">
        <v>950</v>
      </c>
      <c r="F7969" s="1556"/>
      <c r="G7969" s="1556"/>
      <c r="H7969" s="1556"/>
      <c r="K7969" t="s">
        <v>1055</v>
      </c>
      <c r="V7969">
        <v>11</v>
      </c>
    </row>
    <row r="7970" spans="1:22" customFormat="1" ht="15" x14ac:dyDescent="0.25">
      <c r="A7970" t="s">
        <v>252</v>
      </c>
      <c r="E7970" s="1516" t="s">
        <v>951</v>
      </c>
      <c r="F7970" s="1516"/>
      <c r="G7970" s="1516"/>
      <c r="H7970" s="1516"/>
      <c r="V7970">
        <v>280</v>
      </c>
    </row>
    <row r="7971" spans="1:22" customFormat="1" ht="15" x14ac:dyDescent="0.25">
      <c r="A7971" t="s">
        <v>252</v>
      </c>
      <c r="E7971" s="1516" t="s">
        <v>952</v>
      </c>
      <c r="F7971" s="1516"/>
      <c r="G7971" s="1516"/>
      <c r="H7971" s="1516"/>
      <c r="V7971">
        <v>411</v>
      </c>
    </row>
    <row r="7972" spans="1:22" customFormat="1" ht="15" x14ac:dyDescent="0.25">
      <c r="A7972" t="s">
        <v>252</v>
      </c>
      <c r="E7972" s="1516" t="s">
        <v>1103</v>
      </c>
      <c r="F7972" s="1516"/>
      <c r="G7972" s="1516"/>
      <c r="H7972" s="1516"/>
      <c r="V7972">
        <v>211</v>
      </c>
    </row>
    <row r="7973" spans="1:22" customFormat="1" ht="15" x14ac:dyDescent="0.25">
      <c r="A7973" t="s">
        <v>252</v>
      </c>
      <c r="E7973" s="1516" t="s">
        <v>954</v>
      </c>
      <c r="F7973" s="1516"/>
      <c r="G7973" s="1516"/>
      <c r="H7973" s="1516"/>
      <c r="V7973">
        <v>246</v>
      </c>
    </row>
    <row r="7974" spans="1:22" customFormat="1" ht="15" x14ac:dyDescent="0.25">
      <c r="A7974" t="s">
        <v>252</v>
      </c>
      <c r="E7974" s="1507" t="s">
        <v>5432</v>
      </c>
      <c r="F7974" s="1507"/>
      <c r="G7974" s="1507"/>
      <c r="H7974" s="1507"/>
      <c r="V7974">
        <v>142</v>
      </c>
    </row>
    <row r="7975" spans="1:22" customFormat="1" ht="15" x14ac:dyDescent="0.25">
      <c r="A7975" t="s">
        <v>252</v>
      </c>
      <c r="E7975" s="1507" t="s">
        <v>849</v>
      </c>
      <c r="F7975" s="1507"/>
      <c r="G7975" s="319" t="s">
        <v>777</v>
      </c>
      <c r="H7975" s="267">
        <v>121.23</v>
      </c>
      <c r="V7975">
        <v>106</v>
      </c>
    </row>
    <row r="7976" spans="1:22" customFormat="1" ht="15" x14ac:dyDescent="0.25">
      <c r="A7976" t="s">
        <v>252</v>
      </c>
      <c r="E7976" s="1507" t="s">
        <v>850</v>
      </c>
      <c r="F7976" s="1507"/>
      <c r="G7976" s="319" t="s">
        <v>777</v>
      </c>
      <c r="H7976" s="267">
        <v>48.5</v>
      </c>
      <c r="V7976">
        <v>34</v>
      </c>
    </row>
    <row r="7977" spans="1:22" customFormat="1" ht="15" x14ac:dyDescent="0.25">
      <c r="A7977" t="s">
        <v>252</v>
      </c>
      <c r="E7977" s="1507" t="s">
        <v>851</v>
      </c>
      <c r="F7977" s="1507"/>
      <c r="G7977" s="319" t="s">
        <v>852</v>
      </c>
      <c r="H7977" s="267">
        <v>1.2</v>
      </c>
      <c r="V7977">
        <v>51</v>
      </c>
    </row>
    <row r="7978" spans="1:22" customFormat="1" ht="15" x14ac:dyDescent="0.25">
      <c r="A7978" t="s">
        <v>252</v>
      </c>
      <c r="E7978" s="1507" t="s">
        <v>853</v>
      </c>
      <c r="F7978" s="1507"/>
      <c r="G7978" s="319" t="s">
        <v>852</v>
      </c>
      <c r="H7978" s="267">
        <v>0.71</v>
      </c>
      <c r="V7978">
        <v>75</v>
      </c>
    </row>
    <row r="7979" spans="1:22" customFormat="1" ht="15" x14ac:dyDescent="0.25">
      <c r="A7979" t="s">
        <v>252</v>
      </c>
      <c r="E7979" s="1511" t="s">
        <v>854</v>
      </c>
      <c r="F7979" s="1511"/>
      <c r="G7979" s="319" t="s">
        <v>852</v>
      </c>
      <c r="H7979" s="267">
        <v>-0.71</v>
      </c>
      <c r="V7979">
        <v>72</v>
      </c>
    </row>
    <row r="7980" spans="1:22" customFormat="1" ht="15" x14ac:dyDescent="0.25">
      <c r="A7980" t="s">
        <v>252</v>
      </c>
      <c r="E7980" s="1511" t="s">
        <v>855</v>
      </c>
      <c r="F7980" s="1511"/>
      <c r="G7980" s="1565"/>
      <c r="H7980" s="1565"/>
      <c r="V7980">
        <v>34</v>
      </c>
    </row>
    <row r="7981" spans="1:22" customFormat="1" ht="15" x14ac:dyDescent="0.25">
      <c r="A7981" t="s">
        <v>252</v>
      </c>
      <c r="E7981" s="1511" t="s">
        <v>1106</v>
      </c>
      <c r="F7981" s="1511"/>
      <c r="G7981" s="585" t="s">
        <v>777</v>
      </c>
      <c r="H7981" s="267">
        <v>0.61</v>
      </c>
      <c r="V7981">
        <v>57</v>
      </c>
    </row>
    <row r="7982" spans="1:22" customFormat="1" ht="15" x14ac:dyDescent="0.25">
      <c r="A7982" t="s">
        <v>252</v>
      </c>
      <c r="E7982" s="1507" t="s">
        <v>1107</v>
      </c>
      <c r="F7982" s="1507"/>
      <c r="G7982" s="585" t="s">
        <v>777</v>
      </c>
      <c r="H7982" s="267">
        <v>1.2</v>
      </c>
      <c r="V7982">
        <v>60</v>
      </c>
    </row>
    <row r="7983" spans="1:22" customFormat="1" ht="15" x14ac:dyDescent="0.25">
      <c r="A7983" t="s">
        <v>252</v>
      </c>
      <c r="E7983" s="1507" t="s">
        <v>4222</v>
      </c>
      <c r="F7983" s="1507"/>
      <c r="G7983" s="852"/>
      <c r="H7983" s="852"/>
      <c r="V7983">
        <v>266</v>
      </c>
    </row>
    <row r="7984" spans="1:22" customFormat="1" ht="15" x14ac:dyDescent="0.25">
      <c r="A7984" t="s">
        <v>252</v>
      </c>
      <c r="E7984" s="1511" t="s">
        <v>1111</v>
      </c>
      <c r="F7984" s="1511"/>
      <c r="G7984" s="585" t="s">
        <v>777</v>
      </c>
      <c r="H7984" s="657" t="s">
        <v>857</v>
      </c>
      <c r="V7984">
        <v>18</v>
      </c>
    </row>
    <row r="7985" spans="1:22" customFormat="1" ht="15" x14ac:dyDescent="0.25">
      <c r="A7985" t="s">
        <v>252</v>
      </c>
      <c r="E7985" s="1511" t="s">
        <v>1112</v>
      </c>
      <c r="F7985" s="1511"/>
      <c r="G7985" s="585" t="s">
        <v>777</v>
      </c>
      <c r="H7985" s="267">
        <v>4.8499999999999996</v>
      </c>
      <c r="V7985">
        <v>69</v>
      </c>
    </row>
    <row r="7986" spans="1:22" customFormat="1" ht="15" x14ac:dyDescent="0.25">
      <c r="A7986" t="s">
        <v>252</v>
      </c>
      <c r="E7986" s="1511" t="s">
        <v>858</v>
      </c>
      <c r="F7986" s="1511"/>
      <c r="G7986" s="268" t="s">
        <v>777</v>
      </c>
      <c r="H7986" s="576">
        <v>2.42</v>
      </c>
      <c r="V7986">
        <v>199</v>
      </c>
    </row>
    <row r="7987" spans="1:22" customFormat="1" ht="18.75" x14ac:dyDescent="0.25">
      <c r="A7987" t="s">
        <v>252</v>
      </c>
      <c r="E7987" s="1492" t="s">
        <v>3853</v>
      </c>
      <c r="F7987" s="1528"/>
      <c r="G7987" s="1528"/>
      <c r="H7987" s="1528"/>
      <c r="K7987" t="s">
        <v>5433</v>
      </c>
      <c r="V7987">
        <v>12</v>
      </c>
    </row>
    <row r="7988" spans="1:22" customFormat="1" ht="15" x14ac:dyDescent="0.25">
      <c r="A7988" t="s">
        <v>252</v>
      </c>
      <c r="E7988" s="1507" t="s">
        <v>1114</v>
      </c>
      <c r="F7988" s="1507"/>
      <c r="G7988" s="1507"/>
      <c r="H7988" s="1507"/>
      <c r="V7988">
        <v>203</v>
      </c>
    </row>
    <row r="7989" spans="1:22" customFormat="1" ht="15" x14ac:dyDescent="0.25">
      <c r="A7989" t="s">
        <v>252</v>
      </c>
      <c r="E7989" s="1507" t="s">
        <v>1115</v>
      </c>
      <c r="F7989" s="1507"/>
      <c r="G7989" s="584"/>
      <c r="H7989" s="650">
        <v>1.0598000000000001</v>
      </c>
      <c r="V7989">
        <v>57</v>
      </c>
    </row>
    <row r="7990" spans="1:22" customFormat="1" ht="15" x14ac:dyDescent="0.25">
      <c r="A7990" t="s">
        <v>252</v>
      </c>
      <c r="E7990" s="1507" t="s">
        <v>1117</v>
      </c>
      <c r="F7990" s="1507"/>
      <c r="G7990" s="584"/>
      <c r="H7990" s="650">
        <v>1.0494000000000001</v>
      </c>
      <c r="J7990" t="s">
        <v>5434</v>
      </c>
      <c r="V7990">
        <v>55</v>
      </c>
    </row>
    <row r="7991" spans="1:22" customFormat="1" ht="23.25" x14ac:dyDescent="0.25">
      <c r="A7991" t="s">
        <v>255</v>
      </c>
      <c r="C7991" t="s">
        <v>3755</v>
      </c>
      <c r="E7991" s="1576" t="s">
        <v>255</v>
      </c>
      <c r="F7991" s="1576"/>
      <c r="G7991" s="1576"/>
      <c r="H7991" s="1576"/>
      <c r="I7991" t="s">
        <v>94</v>
      </c>
      <c r="J7991" t="s">
        <v>5435</v>
      </c>
      <c r="K7991" t="s">
        <v>255</v>
      </c>
      <c r="M7991">
        <v>6</v>
      </c>
      <c r="V7991">
        <v>15</v>
      </c>
    </row>
    <row r="7992" spans="1:22" customFormat="1" x14ac:dyDescent="0.25">
      <c r="A7992" t="s">
        <v>255</v>
      </c>
      <c r="C7992" t="s">
        <v>3757</v>
      </c>
      <c r="E7992" s="1577" t="s">
        <v>944</v>
      </c>
      <c r="F7992" s="1577"/>
      <c r="G7992" s="1577"/>
      <c r="H7992" s="1577"/>
      <c r="V7992">
        <v>27</v>
      </c>
    </row>
    <row r="7993" spans="1:22" customFormat="1" ht="15.75" x14ac:dyDescent="0.25">
      <c r="A7993" t="s">
        <v>255</v>
      </c>
      <c r="C7993" t="s">
        <v>3758</v>
      </c>
      <c r="E7993" s="1585" t="s">
        <v>6847</v>
      </c>
      <c r="F7993" s="1585"/>
      <c r="G7993" s="1585"/>
      <c r="H7993" s="1585"/>
      <c r="S7993">
        <v>45778</v>
      </c>
      <c r="V7993">
        <v>45</v>
      </c>
    </row>
    <row r="7994" spans="1:22" customFormat="1" ht="15" x14ac:dyDescent="0.25">
      <c r="A7994" t="s">
        <v>255</v>
      </c>
      <c r="C7994" t="s">
        <v>3759</v>
      </c>
      <c r="E7994" s="1575" t="s">
        <v>945</v>
      </c>
      <c r="F7994" s="1575"/>
      <c r="G7994" s="1575"/>
      <c r="H7994" s="1575"/>
      <c r="V7994">
        <v>52</v>
      </c>
    </row>
    <row r="7995" spans="1:22" customFormat="1" ht="15" x14ac:dyDescent="0.25">
      <c r="A7995" t="s">
        <v>255</v>
      </c>
      <c r="E7995" s="1575" t="s">
        <v>946</v>
      </c>
      <c r="F7995" s="1575"/>
      <c r="G7995" s="1575"/>
      <c r="H7995" s="1575"/>
      <c r="V7995">
        <v>53</v>
      </c>
    </row>
    <row r="7996" spans="1:22" customFormat="1" ht="15" x14ac:dyDescent="0.25">
      <c r="A7996" t="s">
        <v>255</v>
      </c>
      <c r="E7996" s="1538" t="s">
        <v>170</v>
      </c>
      <c r="F7996" s="1496"/>
      <c r="G7996" s="1496"/>
      <c r="H7996" s="1496"/>
      <c r="K7996" t="s">
        <v>947</v>
      </c>
      <c r="V7996">
        <v>34</v>
      </c>
    </row>
    <row r="7997" spans="1:22" customFormat="1" ht="15" x14ac:dyDescent="0.25">
      <c r="A7997" t="s">
        <v>255</v>
      </c>
      <c r="E7997" s="1496" t="s">
        <v>5436</v>
      </c>
      <c r="F7997" s="1496"/>
      <c r="G7997" s="1496"/>
      <c r="H7997" s="1496"/>
      <c r="K7997" t="s">
        <v>947</v>
      </c>
      <c r="V7997">
        <v>361</v>
      </c>
    </row>
    <row r="7998" spans="1:22" customFormat="1" ht="15" x14ac:dyDescent="0.25">
      <c r="A7998" t="s">
        <v>255</v>
      </c>
      <c r="E7998" s="1533" t="s">
        <v>950</v>
      </c>
      <c r="F7998" s="1496"/>
      <c r="G7998" s="1496"/>
      <c r="H7998" s="1496"/>
      <c r="K7998" t="s">
        <v>949</v>
      </c>
      <c r="V7998">
        <v>11</v>
      </c>
    </row>
    <row r="7999" spans="1:22" customFormat="1" ht="15" x14ac:dyDescent="0.25">
      <c r="A7999" t="s">
        <v>255</v>
      </c>
      <c r="E7999" s="1496" t="s">
        <v>951</v>
      </c>
      <c r="F7999" s="1496"/>
      <c r="G7999" s="1496"/>
      <c r="H7999" s="1496"/>
      <c r="K7999" t="s">
        <v>947</v>
      </c>
      <c r="V7999">
        <v>280</v>
      </c>
    </row>
    <row r="8000" spans="1:22" customFormat="1" ht="15" x14ac:dyDescent="0.25">
      <c r="A8000" t="s">
        <v>255</v>
      </c>
      <c r="E8000" s="1496" t="s">
        <v>952</v>
      </c>
      <c r="F8000" s="1496"/>
      <c r="G8000" s="1496"/>
      <c r="H8000" s="1496"/>
      <c r="K8000" t="s">
        <v>947</v>
      </c>
      <c r="V8000">
        <v>411</v>
      </c>
    </row>
    <row r="8001" spans="1:22" customFormat="1" ht="15" x14ac:dyDescent="0.25">
      <c r="A8001" t="s">
        <v>255</v>
      </c>
      <c r="E8001" s="1496" t="s">
        <v>3761</v>
      </c>
      <c r="F8001" s="1496"/>
      <c r="G8001" s="1496"/>
      <c r="H8001" s="1496"/>
      <c r="K8001" t="s">
        <v>947</v>
      </c>
      <c r="V8001">
        <v>387</v>
      </c>
    </row>
    <row r="8002" spans="1:22" customFormat="1" ht="15" x14ac:dyDescent="0.25">
      <c r="A8002" t="s">
        <v>255</v>
      </c>
      <c r="E8002" s="1496" t="s">
        <v>3762</v>
      </c>
      <c r="F8002" s="1496"/>
      <c r="G8002" s="1496"/>
      <c r="H8002" s="1496"/>
      <c r="K8002" t="s">
        <v>947</v>
      </c>
      <c r="V8002">
        <v>247</v>
      </c>
    </row>
    <row r="8003" spans="1:22" customFormat="1" ht="15" x14ac:dyDescent="0.25">
      <c r="A8003" t="s">
        <v>255</v>
      </c>
      <c r="E8003" s="1488" t="s">
        <v>956</v>
      </c>
      <c r="F8003" s="1590"/>
      <c r="G8003" s="1590"/>
      <c r="H8003" s="1590"/>
      <c r="K8003" t="s">
        <v>955</v>
      </c>
      <c r="V8003">
        <v>46</v>
      </c>
    </row>
    <row r="8004" spans="1:22" customFormat="1" ht="15" x14ac:dyDescent="0.25">
      <c r="A8004" t="s">
        <v>255</v>
      </c>
      <c r="E8004" s="1495" t="s">
        <v>3773</v>
      </c>
      <c r="F8004" s="1495"/>
      <c r="G8004" s="360" t="s">
        <v>777</v>
      </c>
      <c r="H8004" s="576">
        <v>44.2</v>
      </c>
      <c r="K8004" t="s">
        <v>947</v>
      </c>
      <c r="L8004" t="s">
        <v>690</v>
      </c>
      <c r="P8004" t="s">
        <v>957</v>
      </c>
      <c r="V8004">
        <v>14</v>
      </c>
    </row>
    <row r="8005" spans="1:22" customFormat="1" ht="15" x14ac:dyDescent="0.25">
      <c r="A8005" t="s">
        <v>255</v>
      </c>
      <c r="E8005" s="1495" t="s">
        <v>6864</v>
      </c>
      <c r="F8005" s="1561"/>
      <c r="G8005" s="360" t="s">
        <v>777</v>
      </c>
      <c r="H8005" s="576">
        <v>1.32</v>
      </c>
      <c r="K8005" t="s">
        <v>947</v>
      </c>
      <c r="L8005" t="s">
        <v>692</v>
      </c>
      <c r="P8005" t="s">
        <v>963</v>
      </c>
      <c r="V8005">
        <v>104</v>
      </c>
    </row>
    <row r="8006" spans="1:22" customFormat="1" ht="15" x14ac:dyDescent="0.25">
      <c r="A8006" t="s">
        <v>255</v>
      </c>
      <c r="E8006" s="1495" t="s">
        <v>960</v>
      </c>
      <c r="F8006" s="1495"/>
      <c r="G8006" s="360" t="s">
        <v>777</v>
      </c>
      <c r="H8006" s="604">
        <v>0.42</v>
      </c>
      <c r="K8006" t="s">
        <v>947</v>
      </c>
      <c r="L8006" t="s">
        <v>692</v>
      </c>
      <c r="P8006" t="s">
        <v>959</v>
      </c>
      <c r="V8006">
        <v>64</v>
      </c>
    </row>
    <row r="8007" spans="1:22" customFormat="1" ht="15" x14ac:dyDescent="0.25">
      <c r="A8007" t="s">
        <v>255</v>
      </c>
      <c r="E8007" s="1495" t="s">
        <v>910</v>
      </c>
      <c r="F8007" s="1495"/>
      <c r="G8007" s="360" t="s">
        <v>845</v>
      </c>
      <c r="H8007" s="605">
        <v>1.11E-2</v>
      </c>
      <c r="K8007" t="s">
        <v>947</v>
      </c>
      <c r="L8007" t="s">
        <v>692</v>
      </c>
      <c r="P8007" t="s">
        <v>961</v>
      </c>
      <c r="V8007">
        <v>24</v>
      </c>
    </row>
    <row r="8008" spans="1:22" customFormat="1" ht="15" x14ac:dyDescent="0.25">
      <c r="A8008" t="s">
        <v>255</v>
      </c>
      <c r="E8008" s="1681" t="s">
        <v>6865</v>
      </c>
      <c r="F8008" s="1681"/>
      <c r="G8008" s="268" t="s">
        <v>845</v>
      </c>
      <c r="H8008" s="577">
        <v>2.3999999999999998E-3</v>
      </c>
      <c r="K8008" t="s">
        <v>947</v>
      </c>
      <c r="L8008" t="s">
        <v>692</v>
      </c>
      <c r="P8008" t="s">
        <v>963</v>
      </c>
      <c r="V8008">
        <v>96</v>
      </c>
    </row>
    <row r="8009" spans="1:22" customFormat="1" ht="15" x14ac:dyDescent="0.25">
      <c r="A8009" t="s">
        <v>255</v>
      </c>
      <c r="E8009" s="1495" t="s">
        <v>243</v>
      </c>
      <c r="F8009" s="1495"/>
      <c r="G8009" s="360" t="s">
        <v>845</v>
      </c>
      <c r="H8009" s="577">
        <v>1.06E-2</v>
      </c>
      <c r="K8009" t="s">
        <v>947</v>
      </c>
      <c r="L8009" t="s">
        <v>694</v>
      </c>
      <c r="P8009" t="s">
        <v>964</v>
      </c>
      <c r="V8009">
        <v>47</v>
      </c>
    </row>
    <row r="8010" spans="1:22" customFormat="1" ht="15" x14ac:dyDescent="0.25">
      <c r="A8010" t="s">
        <v>255</v>
      </c>
      <c r="E8010" s="1495" t="s">
        <v>175</v>
      </c>
      <c r="F8010" s="1495"/>
      <c r="G8010" s="360" t="s">
        <v>845</v>
      </c>
      <c r="H8010" s="577">
        <v>8.3000000000000001E-3</v>
      </c>
      <c r="K8010" t="s">
        <v>947</v>
      </c>
      <c r="L8010" t="s">
        <v>694</v>
      </c>
      <c r="P8010" t="s">
        <v>965</v>
      </c>
      <c r="V8010">
        <v>74</v>
      </c>
    </row>
    <row r="8011" spans="1:22" customFormat="1" ht="15" x14ac:dyDescent="0.25">
      <c r="A8011" t="s">
        <v>255</v>
      </c>
      <c r="E8011" s="1488" t="s">
        <v>967</v>
      </c>
      <c r="F8011" s="1495"/>
      <c r="G8011" s="360"/>
      <c r="H8011" s="360"/>
      <c r="K8011" t="s">
        <v>966</v>
      </c>
      <c r="V8011">
        <v>48</v>
      </c>
    </row>
    <row r="8012" spans="1:22" customFormat="1" ht="15" x14ac:dyDescent="0.25">
      <c r="A8012" t="s">
        <v>255</v>
      </c>
      <c r="E8012" s="1495" t="s">
        <v>844</v>
      </c>
      <c r="F8012" s="1495"/>
      <c r="G8012" s="360" t="s">
        <v>845</v>
      </c>
      <c r="H8012" s="605">
        <v>4.1000000000000003E-3</v>
      </c>
      <c r="K8012" t="s">
        <v>947</v>
      </c>
      <c r="L8012" t="s">
        <v>968</v>
      </c>
      <c r="P8012" t="s">
        <v>969</v>
      </c>
      <c r="V8012">
        <v>55</v>
      </c>
    </row>
    <row r="8013" spans="1:22" customFormat="1" ht="15" x14ac:dyDescent="0.25">
      <c r="A8013" t="s">
        <v>255</v>
      </c>
      <c r="E8013" s="1495" t="s">
        <v>846</v>
      </c>
      <c r="F8013" s="1495"/>
      <c r="G8013" s="360" t="s">
        <v>845</v>
      </c>
      <c r="H8013" s="605">
        <v>4.0000000000000002E-4</v>
      </c>
      <c r="K8013" t="s">
        <v>947</v>
      </c>
      <c r="L8013" t="s">
        <v>968</v>
      </c>
      <c r="P8013" t="s">
        <v>969</v>
      </c>
      <c r="V8013">
        <v>65</v>
      </c>
    </row>
    <row r="8014" spans="1:22" customFormat="1" ht="15" x14ac:dyDescent="0.25">
      <c r="A8014" t="s">
        <v>255</v>
      </c>
      <c r="E8014" s="1495" t="s">
        <v>847</v>
      </c>
      <c r="F8014" s="1495"/>
      <c r="G8014" s="360" t="s">
        <v>845</v>
      </c>
      <c r="H8014" s="605">
        <v>1.5E-3</v>
      </c>
      <c r="K8014" t="s">
        <v>947</v>
      </c>
      <c r="L8014" t="s">
        <v>968</v>
      </c>
      <c r="P8014" t="s">
        <v>970</v>
      </c>
      <c r="V8014">
        <v>57</v>
      </c>
    </row>
    <row r="8015" spans="1:22" customFormat="1" ht="15" x14ac:dyDescent="0.25">
      <c r="A8015" t="s">
        <v>255</v>
      </c>
      <c r="E8015" s="1495" t="s">
        <v>848</v>
      </c>
      <c r="F8015" s="1495"/>
      <c r="G8015" s="360" t="s">
        <v>777</v>
      </c>
      <c r="H8015" s="604">
        <v>0.25</v>
      </c>
      <c r="K8015" t="s">
        <v>947</v>
      </c>
      <c r="L8015" t="s">
        <v>968</v>
      </c>
      <c r="P8015" t="s">
        <v>971</v>
      </c>
      <c r="V8015">
        <v>63</v>
      </c>
    </row>
    <row r="8016" spans="1:22" customFormat="1" x14ac:dyDescent="0.25">
      <c r="A8016" t="s">
        <v>255</v>
      </c>
      <c r="E8016" s="1538" t="s">
        <v>174</v>
      </c>
      <c r="F8016" s="1571"/>
      <c r="G8016" s="1571"/>
      <c r="H8016" s="1571"/>
      <c r="K8016" t="s">
        <v>972</v>
      </c>
      <c r="V8016">
        <v>54</v>
      </c>
    </row>
    <row r="8017" spans="1:22" customFormat="1" ht="15" x14ac:dyDescent="0.25">
      <c r="A8017" t="s">
        <v>255</v>
      </c>
      <c r="E8017" s="1496" t="s">
        <v>5437</v>
      </c>
      <c r="F8017" s="1496"/>
      <c r="G8017" s="1496"/>
      <c r="H8017" s="1496"/>
      <c r="K8017" t="s">
        <v>972</v>
      </c>
      <c r="V8017">
        <v>480</v>
      </c>
    </row>
    <row r="8018" spans="1:22" customFormat="1" ht="15" x14ac:dyDescent="0.25">
      <c r="A8018" t="s">
        <v>255</v>
      </c>
      <c r="E8018" s="1533" t="s">
        <v>950</v>
      </c>
      <c r="F8018" s="1496"/>
      <c r="G8018" s="1496"/>
      <c r="H8018" s="1496"/>
      <c r="K8018" t="s">
        <v>974</v>
      </c>
      <c r="V8018">
        <v>11</v>
      </c>
    </row>
    <row r="8019" spans="1:22" customFormat="1" ht="15" x14ac:dyDescent="0.25">
      <c r="A8019" t="s">
        <v>255</v>
      </c>
      <c r="E8019" s="1496" t="s">
        <v>951</v>
      </c>
      <c r="F8019" s="1496"/>
      <c r="G8019" s="1496"/>
      <c r="H8019" s="1496"/>
      <c r="K8019" t="s">
        <v>972</v>
      </c>
      <c r="V8019">
        <v>280</v>
      </c>
    </row>
    <row r="8020" spans="1:22" customFormat="1" ht="15" x14ac:dyDescent="0.25">
      <c r="A8020" t="s">
        <v>255</v>
      </c>
      <c r="E8020" s="1496" t="s">
        <v>952</v>
      </c>
      <c r="F8020" s="1496"/>
      <c r="G8020" s="1496"/>
      <c r="H8020" s="1496"/>
      <c r="K8020" t="s">
        <v>972</v>
      </c>
      <c r="V8020">
        <v>411</v>
      </c>
    </row>
    <row r="8021" spans="1:22" customFormat="1" ht="15" x14ac:dyDescent="0.25">
      <c r="A8021" t="s">
        <v>255</v>
      </c>
      <c r="E8021" s="1496" t="s">
        <v>3761</v>
      </c>
      <c r="F8021" s="1496"/>
      <c r="G8021" s="1496"/>
      <c r="H8021" s="1496"/>
      <c r="K8021" t="s">
        <v>972</v>
      </c>
      <c r="V8021">
        <v>387</v>
      </c>
    </row>
    <row r="8022" spans="1:22" customFormat="1" ht="15" x14ac:dyDescent="0.25">
      <c r="A8022" t="s">
        <v>255</v>
      </c>
      <c r="E8022" s="1496" t="s">
        <v>3762</v>
      </c>
      <c r="F8022" s="1496"/>
      <c r="G8022" s="1496"/>
      <c r="H8022" s="1496"/>
      <c r="K8022" t="s">
        <v>972</v>
      </c>
      <c r="V8022">
        <v>247</v>
      </c>
    </row>
    <row r="8023" spans="1:22" customFormat="1" ht="15" x14ac:dyDescent="0.25">
      <c r="A8023" t="s">
        <v>255</v>
      </c>
      <c r="E8023" s="1488" t="s">
        <v>956</v>
      </c>
      <c r="F8023" s="1590"/>
      <c r="G8023" s="1590"/>
      <c r="H8023" s="1590"/>
      <c r="K8023" t="s">
        <v>975</v>
      </c>
      <c r="V8023">
        <v>46</v>
      </c>
    </row>
    <row r="8024" spans="1:22" customFormat="1" ht="15" x14ac:dyDescent="0.25">
      <c r="A8024" t="s">
        <v>255</v>
      </c>
      <c r="E8024" s="1495" t="s">
        <v>3773</v>
      </c>
      <c r="F8024" s="1495"/>
      <c r="G8024" s="360" t="s">
        <v>777</v>
      </c>
      <c r="H8024" s="576">
        <v>30.34</v>
      </c>
      <c r="K8024" t="s">
        <v>972</v>
      </c>
      <c r="L8024" t="s">
        <v>690</v>
      </c>
      <c r="P8024" t="s">
        <v>976</v>
      </c>
      <c r="V8024">
        <v>14</v>
      </c>
    </row>
    <row r="8025" spans="1:22" customFormat="1" ht="15" x14ac:dyDescent="0.25">
      <c r="A8025" t="s">
        <v>255</v>
      </c>
      <c r="E8025" s="1495" t="s">
        <v>960</v>
      </c>
      <c r="F8025" s="1495"/>
      <c r="G8025" s="360" t="s">
        <v>777</v>
      </c>
      <c r="H8025" s="604">
        <v>0.42</v>
      </c>
      <c r="K8025" t="s">
        <v>972</v>
      </c>
      <c r="L8025" t="s">
        <v>692</v>
      </c>
      <c r="P8025" t="s">
        <v>977</v>
      </c>
      <c r="V8025">
        <v>64</v>
      </c>
    </row>
    <row r="8026" spans="1:22" customFormat="1" ht="15" x14ac:dyDescent="0.25">
      <c r="A8026" t="s">
        <v>255</v>
      </c>
      <c r="E8026" s="1495" t="s">
        <v>3688</v>
      </c>
      <c r="F8026" s="1495"/>
      <c r="G8026" s="360" t="s">
        <v>845</v>
      </c>
      <c r="H8026" s="577">
        <v>1.32E-2</v>
      </c>
      <c r="K8026" t="s">
        <v>972</v>
      </c>
      <c r="L8026" t="s">
        <v>690</v>
      </c>
      <c r="P8026" t="s">
        <v>978</v>
      </c>
      <c r="V8026">
        <v>28</v>
      </c>
    </row>
    <row r="8027" spans="1:22" customFormat="1" ht="15" x14ac:dyDescent="0.25">
      <c r="A8027" t="s">
        <v>255</v>
      </c>
      <c r="E8027" s="1495" t="s">
        <v>910</v>
      </c>
      <c r="F8027" s="1495"/>
      <c r="G8027" s="360" t="s">
        <v>845</v>
      </c>
      <c r="H8027" s="605">
        <v>1.0699999999999999E-2</v>
      </c>
      <c r="K8027" t="s">
        <v>972</v>
      </c>
      <c r="L8027" t="s">
        <v>692</v>
      </c>
      <c r="P8027" t="s">
        <v>980</v>
      </c>
      <c r="V8027">
        <v>24</v>
      </c>
    </row>
    <row r="8028" spans="1:22" customFormat="1" ht="15" x14ac:dyDescent="0.25">
      <c r="A8028" t="s">
        <v>255</v>
      </c>
      <c r="E8028" s="1495" t="s">
        <v>6865</v>
      </c>
      <c r="F8028" s="1561"/>
      <c r="G8028" s="360" t="s">
        <v>845</v>
      </c>
      <c r="H8028" s="605">
        <v>2.5000000000000001E-3</v>
      </c>
      <c r="K8028" t="s">
        <v>972</v>
      </c>
      <c r="L8028" t="s">
        <v>692</v>
      </c>
      <c r="P8028" t="s">
        <v>982</v>
      </c>
      <c r="V8028">
        <v>96</v>
      </c>
    </row>
    <row r="8029" spans="1:22" customFormat="1" ht="15" x14ac:dyDescent="0.25">
      <c r="A8029" t="s">
        <v>255</v>
      </c>
      <c r="E8029" s="1495" t="s">
        <v>6864</v>
      </c>
      <c r="F8029" s="1561"/>
      <c r="G8029" s="360" t="s">
        <v>845</v>
      </c>
      <c r="H8029" s="605">
        <v>1.4E-3</v>
      </c>
      <c r="K8029" t="s">
        <v>972</v>
      </c>
      <c r="L8029" t="s">
        <v>692</v>
      </c>
      <c r="P8029" t="s">
        <v>982</v>
      </c>
      <c r="V8029">
        <v>104</v>
      </c>
    </row>
    <row r="8030" spans="1:22" customFormat="1" ht="15" x14ac:dyDescent="0.25">
      <c r="A8030" t="s">
        <v>255</v>
      </c>
      <c r="E8030" s="1495" t="s">
        <v>243</v>
      </c>
      <c r="F8030" s="1495"/>
      <c r="G8030" s="360" t="s">
        <v>845</v>
      </c>
      <c r="H8030" s="577">
        <v>9.5999999999999992E-3</v>
      </c>
      <c r="K8030" t="s">
        <v>972</v>
      </c>
      <c r="L8030" t="s">
        <v>694</v>
      </c>
      <c r="P8030" t="s">
        <v>983</v>
      </c>
      <c r="V8030">
        <v>47</v>
      </c>
    </row>
    <row r="8031" spans="1:22" customFormat="1" ht="15" x14ac:dyDescent="0.25">
      <c r="A8031" t="s">
        <v>255</v>
      </c>
      <c r="E8031" s="1495" t="s">
        <v>175</v>
      </c>
      <c r="F8031" s="1495"/>
      <c r="G8031" s="360" t="s">
        <v>845</v>
      </c>
      <c r="H8031" s="577">
        <v>7.9000000000000008E-3</v>
      </c>
      <c r="K8031" t="s">
        <v>972</v>
      </c>
      <c r="L8031" t="s">
        <v>694</v>
      </c>
      <c r="P8031" t="s">
        <v>984</v>
      </c>
      <c r="V8031">
        <v>74</v>
      </c>
    </row>
    <row r="8032" spans="1:22" customFormat="1" ht="15" x14ac:dyDescent="0.25">
      <c r="A8032" t="s">
        <v>255</v>
      </c>
      <c r="E8032" s="1488" t="s">
        <v>967</v>
      </c>
      <c r="F8032" s="1495"/>
      <c r="G8032" s="360"/>
      <c r="H8032" s="360"/>
      <c r="K8032" t="s">
        <v>985</v>
      </c>
      <c r="V8032">
        <v>48</v>
      </c>
    </row>
    <row r="8033" spans="1:22" customFormat="1" ht="15" x14ac:dyDescent="0.25">
      <c r="A8033" t="s">
        <v>255</v>
      </c>
      <c r="E8033" s="1495" t="s">
        <v>844</v>
      </c>
      <c r="F8033" s="1495"/>
      <c r="G8033" s="360" t="s">
        <v>845</v>
      </c>
      <c r="H8033" s="605">
        <v>4.1000000000000003E-3</v>
      </c>
      <c r="K8033" t="s">
        <v>972</v>
      </c>
      <c r="L8033" t="s">
        <v>968</v>
      </c>
      <c r="P8033" t="s">
        <v>986</v>
      </c>
      <c r="V8033">
        <v>55</v>
      </c>
    </row>
    <row r="8034" spans="1:22" customFormat="1" ht="15" x14ac:dyDescent="0.25">
      <c r="A8034" t="s">
        <v>255</v>
      </c>
      <c r="E8034" s="1495" t="s">
        <v>846</v>
      </c>
      <c r="F8034" s="1495"/>
      <c r="G8034" s="360" t="s">
        <v>845</v>
      </c>
      <c r="H8034" s="605">
        <v>4.0000000000000002E-4</v>
      </c>
      <c r="K8034" t="s">
        <v>972</v>
      </c>
      <c r="L8034" t="s">
        <v>968</v>
      </c>
      <c r="P8034" t="s">
        <v>986</v>
      </c>
      <c r="V8034">
        <v>65</v>
      </c>
    </row>
    <row r="8035" spans="1:22" customFormat="1" ht="15" x14ac:dyDescent="0.25">
      <c r="A8035" t="s">
        <v>255</v>
      </c>
      <c r="E8035" s="1495" t="s">
        <v>847</v>
      </c>
      <c r="F8035" s="1495"/>
      <c r="G8035" s="360" t="s">
        <v>845</v>
      </c>
      <c r="H8035" s="605">
        <v>1.5E-3</v>
      </c>
      <c r="K8035" t="s">
        <v>972</v>
      </c>
      <c r="L8035" t="s">
        <v>968</v>
      </c>
      <c r="P8035" t="s">
        <v>987</v>
      </c>
      <c r="V8035">
        <v>57</v>
      </c>
    </row>
    <row r="8036" spans="1:22" customFormat="1" ht="15" x14ac:dyDescent="0.25">
      <c r="A8036" t="s">
        <v>255</v>
      </c>
      <c r="E8036" s="1495" t="s">
        <v>848</v>
      </c>
      <c r="F8036" s="1495"/>
      <c r="G8036" s="360" t="s">
        <v>777</v>
      </c>
      <c r="H8036" s="604">
        <v>0.25</v>
      </c>
      <c r="K8036" t="s">
        <v>972</v>
      </c>
      <c r="L8036" t="s">
        <v>968</v>
      </c>
      <c r="P8036" t="s">
        <v>988</v>
      </c>
      <c r="V8036">
        <v>63</v>
      </c>
    </row>
    <row r="8037" spans="1:22" customFormat="1" x14ac:dyDescent="0.25">
      <c r="A8037" t="s">
        <v>255</v>
      </c>
      <c r="E8037" s="1538" t="s">
        <v>3767</v>
      </c>
      <c r="F8037" s="1571"/>
      <c r="G8037" s="1571"/>
      <c r="H8037" s="1571"/>
      <c r="K8037" t="s">
        <v>3768</v>
      </c>
      <c r="V8037">
        <v>53</v>
      </c>
    </row>
    <row r="8038" spans="1:22" customFormat="1" ht="15" x14ac:dyDescent="0.25">
      <c r="A8038" t="s">
        <v>255</v>
      </c>
      <c r="E8038" s="1496" t="s">
        <v>5332</v>
      </c>
      <c r="F8038" s="1496"/>
      <c r="G8038" s="1496"/>
      <c r="H8038" s="1496"/>
      <c r="K8038" t="s">
        <v>3768</v>
      </c>
      <c r="V8038">
        <v>356</v>
      </c>
    </row>
    <row r="8039" spans="1:22" customFormat="1" ht="15" x14ac:dyDescent="0.25">
      <c r="A8039" t="s">
        <v>255</v>
      </c>
      <c r="E8039" s="1533" t="s">
        <v>950</v>
      </c>
      <c r="F8039" s="1496"/>
      <c r="G8039" s="1496"/>
      <c r="H8039" s="1496"/>
      <c r="K8039" t="s">
        <v>992</v>
      </c>
      <c r="V8039">
        <v>11</v>
      </c>
    </row>
    <row r="8040" spans="1:22" customFormat="1" ht="15" x14ac:dyDescent="0.25">
      <c r="A8040" t="s">
        <v>255</v>
      </c>
      <c r="E8040" s="1496" t="s">
        <v>951</v>
      </c>
      <c r="F8040" s="1496"/>
      <c r="G8040" s="1496"/>
      <c r="H8040" s="1496"/>
      <c r="K8040" t="s">
        <v>3768</v>
      </c>
      <c r="V8040">
        <v>280</v>
      </c>
    </row>
    <row r="8041" spans="1:22" customFormat="1" ht="15" x14ac:dyDescent="0.25">
      <c r="A8041" t="s">
        <v>255</v>
      </c>
      <c r="E8041" s="1496" t="s">
        <v>952</v>
      </c>
      <c r="F8041" s="1496"/>
      <c r="G8041" s="1496"/>
      <c r="H8041" s="1496"/>
      <c r="K8041" t="s">
        <v>3768</v>
      </c>
      <c r="V8041">
        <v>411</v>
      </c>
    </row>
    <row r="8042" spans="1:22" customFormat="1" ht="15" x14ac:dyDescent="0.25">
      <c r="A8042" t="s">
        <v>255</v>
      </c>
      <c r="E8042" s="1496" t="s">
        <v>3761</v>
      </c>
      <c r="F8042" s="1496"/>
      <c r="G8042" s="1496"/>
      <c r="H8042" s="1496"/>
      <c r="K8042" t="s">
        <v>3768</v>
      </c>
      <c r="V8042">
        <v>387</v>
      </c>
    </row>
    <row r="8043" spans="1:22" customFormat="1" ht="15" x14ac:dyDescent="0.25">
      <c r="A8043" t="s">
        <v>255</v>
      </c>
      <c r="E8043" s="1496" t="s">
        <v>3771</v>
      </c>
      <c r="F8043" s="1496"/>
      <c r="G8043" s="1496"/>
      <c r="H8043" s="1496"/>
      <c r="K8043" t="s">
        <v>3768</v>
      </c>
      <c r="V8043">
        <v>677</v>
      </c>
    </row>
    <row r="8044" spans="1:22" customFormat="1" ht="15" x14ac:dyDescent="0.25">
      <c r="A8044" t="s">
        <v>255</v>
      </c>
      <c r="E8044" s="1496" t="s">
        <v>3772</v>
      </c>
      <c r="F8044" s="1496"/>
      <c r="G8044" s="1496"/>
      <c r="H8044" s="1496"/>
      <c r="K8044" t="s">
        <v>3768</v>
      </c>
      <c r="V8044">
        <v>693</v>
      </c>
    </row>
    <row r="8045" spans="1:22" customFormat="1" ht="15" x14ac:dyDescent="0.25">
      <c r="A8045" t="s">
        <v>255</v>
      </c>
      <c r="E8045" s="1496" t="s">
        <v>3762</v>
      </c>
      <c r="F8045" s="1496"/>
      <c r="G8045" s="1496"/>
      <c r="H8045" s="1496"/>
      <c r="K8045" t="s">
        <v>3768</v>
      </c>
      <c r="V8045">
        <v>247</v>
      </c>
    </row>
    <row r="8046" spans="1:22" customFormat="1" ht="15" x14ac:dyDescent="0.25">
      <c r="A8046" t="s">
        <v>255</v>
      </c>
      <c r="E8046" s="1488" t="s">
        <v>956</v>
      </c>
      <c r="F8046" s="1590"/>
      <c r="G8046" s="1590"/>
      <c r="H8046" s="1590"/>
      <c r="K8046" t="s">
        <v>995</v>
      </c>
      <c r="V8046">
        <v>46</v>
      </c>
    </row>
    <row r="8047" spans="1:22" customFormat="1" ht="15" x14ac:dyDescent="0.25">
      <c r="A8047" t="s">
        <v>255</v>
      </c>
      <c r="E8047" s="1495" t="s">
        <v>3773</v>
      </c>
      <c r="F8047" s="1495"/>
      <c r="G8047" s="360" t="s">
        <v>777</v>
      </c>
      <c r="H8047" s="576">
        <v>96.43</v>
      </c>
      <c r="K8047" t="s">
        <v>3768</v>
      </c>
      <c r="L8047" t="s">
        <v>690</v>
      </c>
      <c r="P8047" t="s">
        <v>3774</v>
      </c>
      <c r="V8047">
        <v>14</v>
      </c>
    </row>
    <row r="8048" spans="1:22" customFormat="1" ht="15" x14ac:dyDescent="0.25">
      <c r="A8048" t="s">
        <v>255</v>
      </c>
      <c r="E8048" s="1495" t="s">
        <v>3688</v>
      </c>
      <c r="F8048" s="1495"/>
      <c r="G8048" s="360" t="s">
        <v>3775</v>
      </c>
      <c r="H8048" s="577">
        <v>2.0432999999999999</v>
      </c>
      <c r="K8048" t="s">
        <v>3768</v>
      </c>
      <c r="L8048" t="s">
        <v>690</v>
      </c>
      <c r="P8048" t="s">
        <v>3776</v>
      </c>
      <c r="V8048">
        <v>28</v>
      </c>
    </row>
    <row r="8049" spans="1:22" customFormat="1" ht="15" x14ac:dyDescent="0.25">
      <c r="A8049" t="s">
        <v>255</v>
      </c>
      <c r="E8049" s="1495" t="s">
        <v>910</v>
      </c>
      <c r="F8049" s="1495"/>
      <c r="G8049" s="360" t="s">
        <v>3775</v>
      </c>
      <c r="H8049" s="605">
        <v>3.8561000000000001</v>
      </c>
      <c r="K8049" t="s">
        <v>3768</v>
      </c>
      <c r="L8049" t="s">
        <v>692</v>
      </c>
      <c r="P8049" t="s">
        <v>3777</v>
      </c>
      <c r="V8049">
        <v>24</v>
      </c>
    </row>
    <row r="8050" spans="1:22" customFormat="1" ht="15" x14ac:dyDescent="0.25">
      <c r="A8050" t="s">
        <v>255</v>
      </c>
      <c r="E8050" s="1495" t="s">
        <v>6865</v>
      </c>
      <c r="F8050" s="1561"/>
      <c r="G8050" s="360" t="s">
        <v>3775</v>
      </c>
      <c r="H8050" s="605">
        <v>0.95340000000000003</v>
      </c>
      <c r="K8050" t="s">
        <v>3768</v>
      </c>
      <c r="L8050" t="s">
        <v>692</v>
      </c>
      <c r="P8050" t="s">
        <v>3779</v>
      </c>
      <c r="V8050">
        <v>96</v>
      </c>
    </row>
    <row r="8051" spans="1:22" customFormat="1" ht="15" x14ac:dyDescent="0.25">
      <c r="A8051" t="s">
        <v>255</v>
      </c>
      <c r="E8051" s="1495" t="s">
        <v>6864</v>
      </c>
      <c r="F8051" s="1561"/>
      <c r="G8051" s="360" t="s">
        <v>3775</v>
      </c>
      <c r="H8051" s="605">
        <v>0.52729999999999999</v>
      </c>
      <c r="K8051" t="s">
        <v>3768</v>
      </c>
      <c r="L8051" t="s">
        <v>692</v>
      </c>
      <c r="P8051" t="s">
        <v>3779</v>
      </c>
      <c r="V8051">
        <v>104</v>
      </c>
    </row>
    <row r="8052" spans="1:22" customFormat="1" ht="15" x14ac:dyDescent="0.25">
      <c r="A8052" t="s">
        <v>255</v>
      </c>
      <c r="E8052" s="1495" t="s">
        <v>6866</v>
      </c>
      <c r="F8052" s="1561"/>
      <c r="G8052" s="360" t="s">
        <v>845</v>
      </c>
      <c r="H8052" s="605">
        <v>1.8E-3</v>
      </c>
      <c r="K8052" t="s">
        <v>3768</v>
      </c>
      <c r="L8052" t="s">
        <v>692</v>
      </c>
      <c r="P8052" t="s">
        <v>4232</v>
      </c>
      <c r="V8052">
        <v>141</v>
      </c>
    </row>
    <row r="8053" spans="1:22" customFormat="1" ht="15" x14ac:dyDescent="0.25">
      <c r="A8053" t="s">
        <v>255</v>
      </c>
      <c r="E8053" s="1495" t="s">
        <v>243</v>
      </c>
      <c r="F8053" s="1495"/>
      <c r="G8053" s="360" t="s">
        <v>3775</v>
      </c>
      <c r="H8053" s="577">
        <v>3.9464999999999999</v>
      </c>
      <c r="K8053" t="s">
        <v>3768</v>
      </c>
      <c r="L8053" t="s">
        <v>694</v>
      </c>
      <c r="P8053" t="s">
        <v>3780</v>
      </c>
      <c r="V8053">
        <v>47</v>
      </c>
    </row>
    <row r="8054" spans="1:22" customFormat="1" ht="15" x14ac:dyDescent="0.25">
      <c r="A8054" t="s">
        <v>255</v>
      </c>
      <c r="E8054" s="1495" t="s">
        <v>175</v>
      </c>
      <c r="F8054" s="1495"/>
      <c r="G8054" s="360" t="s">
        <v>3775</v>
      </c>
      <c r="H8054" s="577">
        <v>3.1105</v>
      </c>
      <c r="K8054" t="s">
        <v>3768</v>
      </c>
      <c r="L8054" t="s">
        <v>694</v>
      </c>
      <c r="P8054" t="s">
        <v>3781</v>
      </c>
      <c r="V8054">
        <v>74</v>
      </c>
    </row>
    <row r="8055" spans="1:22" customFormat="1" ht="15" x14ac:dyDescent="0.25">
      <c r="A8055" t="s">
        <v>255</v>
      </c>
      <c r="E8055" s="1488" t="s">
        <v>967</v>
      </c>
      <c r="F8055" s="1495"/>
      <c r="G8055" s="360"/>
      <c r="H8055" s="360"/>
      <c r="K8055" t="s">
        <v>1003</v>
      </c>
      <c r="V8055">
        <v>48</v>
      </c>
    </row>
    <row r="8056" spans="1:22" customFormat="1" ht="15" x14ac:dyDescent="0.25">
      <c r="A8056" t="s">
        <v>255</v>
      </c>
      <c r="E8056" s="1495" t="s">
        <v>844</v>
      </c>
      <c r="F8056" s="1495"/>
      <c r="G8056" s="360" t="s">
        <v>845</v>
      </c>
      <c r="H8056" s="605">
        <v>4.1000000000000003E-3</v>
      </c>
      <c r="K8056" t="s">
        <v>3768</v>
      </c>
      <c r="L8056" t="s">
        <v>968</v>
      </c>
      <c r="P8056" t="s">
        <v>3782</v>
      </c>
      <c r="V8056">
        <v>55</v>
      </c>
    </row>
    <row r="8057" spans="1:22" customFormat="1" ht="15" x14ac:dyDescent="0.25">
      <c r="A8057" t="s">
        <v>255</v>
      </c>
      <c r="E8057" s="1495" t="s">
        <v>846</v>
      </c>
      <c r="F8057" s="1495"/>
      <c r="G8057" s="360" t="s">
        <v>845</v>
      </c>
      <c r="H8057" s="605">
        <v>4.0000000000000002E-4</v>
      </c>
      <c r="K8057" t="s">
        <v>3768</v>
      </c>
      <c r="L8057" t="s">
        <v>968</v>
      </c>
      <c r="P8057" t="s">
        <v>3782</v>
      </c>
      <c r="V8057">
        <v>65</v>
      </c>
    </row>
    <row r="8058" spans="1:22" customFormat="1" ht="15" x14ac:dyDescent="0.25">
      <c r="A8058" t="s">
        <v>255</v>
      </c>
      <c r="E8058" s="1495" t="s">
        <v>847</v>
      </c>
      <c r="F8058" s="1495"/>
      <c r="G8058" s="360" t="s">
        <v>845</v>
      </c>
      <c r="H8058" s="605">
        <v>1.5E-3</v>
      </c>
      <c r="K8058" t="s">
        <v>3768</v>
      </c>
      <c r="L8058" t="s">
        <v>968</v>
      </c>
      <c r="P8058" t="s">
        <v>3783</v>
      </c>
      <c r="V8058">
        <v>57</v>
      </c>
    </row>
    <row r="8059" spans="1:22" customFormat="1" ht="15" x14ac:dyDescent="0.25">
      <c r="A8059" t="s">
        <v>255</v>
      </c>
      <c r="E8059" s="1495" t="s">
        <v>848</v>
      </c>
      <c r="F8059" s="1495"/>
      <c r="G8059" s="360" t="s">
        <v>777</v>
      </c>
      <c r="H8059" s="604">
        <v>0.25</v>
      </c>
      <c r="K8059" t="s">
        <v>3768</v>
      </c>
      <c r="L8059" t="s">
        <v>968</v>
      </c>
      <c r="P8059" t="s">
        <v>3784</v>
      </c>
      <c r="V8059">
        <v>63</v>
      </c>
    </row>
    <row r="8060" spans="1:22" customFormat="1" x14ac:dyDescent="0.25">
      <c r="A8060" t="s">
        <v>255</v>
      </c>
      <c r="E8060" s="1538" t="s">
        <v>202</v>
      </c>
      <c r="F8060" s="1571"/>
      <c r="G8060" s="1571"/>
      <c r="H8060" s="1571"/>
      <c r="K8060" t="s">
        <v>4402</v>
      </c>
      <c r="V8060">
        <v>38</v>
      </c>
    </row>
    <row r="8061" spans="1:22" customFormat="1" ht="15" x14ac:dyDescent="0.25">
      <c r="A8061" t="s">
        <v>255</v>
      </c>
      <c r="E8061" s="1496" t="s">
        <v>5000</v>
      </c>
      <c r="F8061" s="1496"/>
      <c r="G8061" s="1496"/>
      <c r="H8061" s="1496"/>
      <c r="K8061" t="s">
        <v>4402</v>
      </c>
      <c r="V8061">
        <v>551</v>
      </c>
    </row>
    <row r="8062" spans="1:22" customFormat="1" ht="15" x14ac:dyDescent="0.25">
      <c r="A8062" t="s">
        <v>255</v>
      </c>
      <c r="E8062" s="1533" t="s">
        <v>950</v>
      </c>
      <c r="F8062" s="1496"/>
      <c r="G8062" s="1496"/>
      <c r="H8062" s="1496"/>
      <c r="K8062" t="s">
        <v>1010</v>
      </c>
      <c r="V8062">
        <v>11</v>
      </c>
    </row>
    <row r="8063" spans="1:22" customFormat="1" ht="15" x14ac:dyDescent="0.25">
      <c r="A8063" t="s">
        <v>255</v>
      </c>
      <c r="E8063" s="1496" t="s">
        <v>951</v>
      </c>
      <c r="F8063" s="1496"/>
      <c r="G8063" s="1496"/>
      <c r="H8063" s="1496"/>
      <c r="K8063" t="s">
        <v>4402</v>
      </c>
      <c r="V8063">
        <v>280</v>
      </c>
    </row>
    <row r="8064" spans="1:22" customFormat="1" ht="15" x14ac:dyDescent="0.25">
      <c r="A8064" t="s">
        <v>255</v>
      </c>
      <c r="E8064" s="1496" t="s">
        <v>952</v>
      </c>
      <c r="F8064" s="1496"/>
      <c r="G8064" s="1496"/>
      <c r="H8064" s="1496"/>
      <c r="K8064" t="s">
        <v>4402</v>
      </c>
      <c r="V8064">
        <v>411</v>
      </c>
    </row>
    <row r="8065" spans="1:22" customFormat="1" ht="15" x14ac:dyDescent="0.25">
      <c r="A8065" t="s">
        <v>255</v>
      </c>
      <c r="E8065" s="1496" t="s">
        <v>3761</v>
      </c>
      <c r="F8065" s="1496"/>
      <c r="G8065" s="1496"/>
      <c r="H8065" s="1496"/>
      <c r="K8065" t="s">
        <v>4402</v>
      </c>
      <c r="V8065">
        <v>387</v>
      </c>
    </row>
    <row r="8066" spans="1:22" customFormat="1" ht="15" x14ac:dyDescent="0.25">
      <c r="A8066" t="s">
        <v>255</v>
      </c>
      <c r="E8066" s="1496" t="s">
        <v>3762</v>
      </c>
      <c r="F8066" s="1496"/>
      <c r="G8066" s="1496"/>
      <c r="H8066" s="1496"/>
      <c r="K8066" t="s">
        <v>4402</v>
      </c>
      <c r="V8066">
        <v>247</v>
      </c>
    </row>
    <row r="8067" spans="1:22" customFormat="1" ht="15" x14ac:dyDescent="0.25">
      <c r="A8067" t="s">
        <v>255</v>
      </c>
      <c r="E8067" s="1488" t="s">
        <v>956</v>
      </c>
      <c r="F8067" s="1590"/>
      <c r="G8067" s="1590"/>
      <c r="H8067" s="1590"/>
      <c r="K8067" t="s">
        <v>1011</v>
      </c>
      <c r="V8067">
        <v>46</v>
      </c>
    </row>
    <row r="8068" spans="1:22" customFormat="1" ht="15" x14ac:dyDescent="0.25">
      <c r="A8068" t="s">
        <v>255</v>
      </c>
      <c r="E8068" s="1495" t="s">
        <v>3874</v>
      </c>
      <c r="F8068" s="1495"/>
      <c r="G8068" s="360" t="s">
        <v>777</v>
      </c>
      <c r="H8068" s="576">
        <v>1.74</v>
      </c>
      <c r="K8068" t="s">
        <v>4402</v>
      </c>
      <c r="L8068" t="s">
        <v>690</v>
      </c>
      <c r="P8068" t="s">
        <v>4404</v>
      </c>
      <c r="V8068">
        <v>31</v>
      </c>
    </row>
    <row r="8069" spans="1:22" customFormat="1" ht="15" x14ac:dyDescent="0.25">
      <c r="A8069" t="s">
        <v>255</v>
      </c>
      <c r="E8069" s="1495" t="s">
        <v>3688</v>
      </c>
      <c r="F8069" s="1495"/>
      <c r="G8069" s="360" t="s">
        <v>3775</v>
      </c>
      <c r="H8069" s="577">
        <v>10.135</v>
      </c>
      <c r="K8069" t="s">
        <v>4402</v>
      </c>
      <c r="L8069" t="s">
        <v>690</v>
      </c>
      <c r="P8069" t="s">
        <v>4405</v>
      </c>
      <c r="V8069">
        <v>28</v>
      </c>
    </row>
    <row r="8070" spans="1:22" customFormat="1" ht="15" x14ac:dyDescent="0.25">
      <c r="A8070" t="s">
        <v>255</v>
      </c>
      <c r="E8070" s="1495" t="s">
        <v>910</v>
      </c>
      <c r="F8070" s="1495"/>
      <c r="G8070" s="360" t="s">
        <v>3775</v>
      </c>
      <c r="H8070" s="605">
        <v>2.9811999999999999</v>
      </c>
      <c r="K8070" t="s">
        <v>4402</v>
      </c>
      <c r="L8070" t="s">
        <v>692</v>
      </c>
      <c r="P8070" t="s">
        <v>5438</v>
      </c>
      <c r="V8070">
        <v>24</v>
      </c>
    </row>
    <row r="8071" spans="1:22" customFormat="1" ht="15" x14ac:dyDescent="0.25">
      <c r="A8071" t="s">
        <v>255</v>
      </c>
      <c r="E8071" s="1495" t="s">
        <v>6865</v>
      </c>
      <c r="F8071" s="1561"/>
      <c r="G8071" s="360" t="s">
        <v>3775</v>
      </c>
      <c r="H8071" s="605">
        <v>0.68899999999999995</v>
      </c>
      <c r="K8071" t="s">
        <v>4402</v>
      </c>
      <c r="L8071" t="s">
        <v>692</v>
      </c>
      <c r="P8071" t="s">
        <v>4407</v>
      </c>
      <c r="V8071">
        <v>96</v>
      </c>
    </row>
    <row r="8072" spans="1:22" customFormat="1" ht="15" x14ac:dyDescent="0.25">
      <c r="A8072" t="s">
        <v>255</v>
      </c>
      <c r="E8072" s="1495" t="s">
        <v>6864</v>
      </c>
      <c r="F8072" s="1561"/>
      <c r="G8072" s="360" t="s">
        <v>3775</v>
      </c>
      <c r="H8072" s="605">
        <v>0.53300000000000003</v>
      </c>
      <c r="K8072" t="s">
        <v>4402</v>
      </c>
      <c r="L8072" t="s">
        <v>692</v>
      </c>
      <c r="P8072" t="s">
        <v>4407</v>
      </c>
      <c r="V8072">
        <v>104</v>
      </c>
    </row>
    <row r="8073" spans="1:22" customFormat="1" ht="15" x14ac:dyDescent="0.25">
      <c r="A8073" t="s">
        <v>255</v>
      </c>
      <c r="E8073" s="1495" t="s">
        <v>6866</v>
      </c>
      <c r="F8073" s="1561"/>
      <c r="G8073" s="360" t="s">
        <v>845</v>
      </c>
      <c r="H8073" s="605">
        <v>1.8E-3</v>
      </c>
      <c r="K8073" t="s">
        <v>4402</v>
      </c>
      <c r="L8073" t="s">
        <v>692</v>
      </c>
      <c r="P8073" t="s">
        <v>5270</v>
      </c>
      <c r="V8073">
        <v>141</v>
      </c>
    </row>
    <row r="8074" spans="1:22" customFormat="1" ht="15" x14ac:dyDescent="0.25">
      <c r="A8074" t="s">
        <v>255</v>
      </c>
      <c r="E8074" s="1495" t="s">
        <v>243</v>
      </c>
      <c r="F8074" s="1495"/>
      <c r="G8074" s="360" t="s">
        <v>3775</v>
      </c>
      <c r="H8074" s="577">
        <v>2.9761000000000002</v>
      </c>
      <c r="K8074" t="s">
        <v>4402</v>
      </c>
      <c r="L8074" t="s">
        <v>694</v>
      </c>
      <c r="P8074" t="s">
        <v>4408</v>
      </c>
      <c r="V8074">
        <v>47</v>
      </c>
    </row>
    <row r="8075" spans="1:22" customFormat="1" ht="15" x14ac:dyDescent="0.25">
      <c r="A8075" t="s">
        <v>255</v>
      </c>
      <c r="E8075" s="1495" t="s">
        <v>175</v>
      </c>
      <c r="F8075" s="1495"/>
      <c r="G8075" s="360" t="s">
        <v>3775</v>
      </c>
      <c r="H8075" s="577">
        <v>2.4047999999999998</v>
      </c>
      <c r="K8075" t="s">
        <v>4402</v>
      </c>
      <c r="L8075" t="s">
        <v>694</v>
      </c>
      <c r="P8075" t="s">
        <v>4409</v>
      </c>
      <c r="V8075">
        <v>74</v>
      </c>
    </row>
    <row r="8076" spans="1:22" customFormat="1" ht="15" x14ac:dyDescent="0.25">
      <c r="A8076" t="s">
        <v>255</v>
      </c>
      <c r="E8076" s="1488" t="s">
        <v>967</v>
      </c>
      <c r="F8076" s="1495"/>
      <c r="G8076" s="360"/>
      <c r="H8076" s="360"/>
      <c r="K8076" t="s">
        <v>1019</v>
      </c>
      <c r="V8076">
        <v>48</v>
      </c>
    </row>
    <row r="8077" spans="1:22" customFormat="1" ht="15" x14ac:dyDescent="0.25">
      <c r="A8077" t="s">
        <v>255</v>
      </c>
      <c r="E8077" s="1495" t="s">
        <v>844</v>
      </c>
      <c r="F8077" s="1495"/>
      <c r="G8077" s="360" t="s">
        <v>845</v>
      </c>
      <c r="H8077" s="605">
        <v>4.1000000000000003E-3</v>
      </c>
      <c r="K8077" t="s">
        <v>4402</v>
      </c>
      <c r="L8077" t="s">
        <v>968</v>
      </c>
      <c r="P8077" t="s">
        <v>4410</v>
      </c>
      <c r="V8077">
        <v>55</v>
      </c>
    </row>
    <row r="8078" spans="1:22" customFormat="1" ht="15" x14ac:dyDescent="0.25">
      <c r="A8078" t="s">
        <v>255</v>
      </c>
      <c r="E8078" s="1495" t="s">
        <v>846</v>
      </c>
      <c r="F8078" s="1495"/>
      <c r="G8078" s="360" t="s">
        <v>845</v>
      </c>
      <c r="H8078" s="605">
        <v>4.0000000000000002E-4</v>
      </c>
      <c r="K8078" t="s">
        <v>4402</v>
      </c>
      <c r="L8078" t="s">
        <v>968</v>
      </c>
      <c r="P8078" t="s">
        <v>4410</v>
      </c>
      <c r="V8078">
        <v>65</v>
      </c>
    </row>
    <row r="8079" spans="1:22" customFormat="1" ht="15" x14ac:dyDescent="0.25">
      <c r="A8079" t="s">
        <v>255</v>
      </c>
      <c r="E8079" s="1495" t="s">
        <v>847</v>
      </c>
      <c r="F8079" s="1495"/>
      <c r="G8079" s="360" t="s">
        <v>845</v>
      </c>
      <c r="H8079" s="605">
        <v>1.5E-3</v>
      </c>
      <c r="K8079" t="s">
        <v>4402</v>
      </c>
      <c r="L8079" t="s">
        <v>968</v>
      </c>
      <c r="P8079" t="s">
        <v>4411</v>
      </c>
      <c r="V8079">
        <v>57</v>
      </c>
    </row>
    <row r="8080" spans="1:22" customFormat="1" ht="15" x14ac:dyDescent="0.25">
      <c r="A8080" t="s">
        <v>255</v>
      </c>
      <c r="E8080" s="1495" t="s">
        <v>848</v>
      </c>
      <c r="F8080" s="1495"/>
      <c r="G8080" s="360" t="s">
        <v>777</v>
      </c>
      <c r="H8080" s="604">
        <v>0.25</v>
      </c>
      <c r="K8080" t="s">
        <v>4402</v>
      </c>
      <c r="L8080" t="s">
        <v>968</v>
      </c>
      <c r="P8080" t="s">
        <v>4412</v>
      </c>
      <c r="V8080">
        <v>63</v>
      </c>
    </row>
    <row r="8081" spans="1:22" customFormat="1" x14ac:dyDescent="0.25">
      <c r="A8081" t="s">
        <v>255</v>
      </c>
      <c r="E8081" s="1538" t="s">
        <v>194</v>
      </c>
      <c r="F8081" s="1571"/>
      <c r="G8081" s="1571"/>
      <c r="H8081" s="1571"/>
      <c r="K8081" t="s">
        <v>1023</v>
      </c>
      <c r="V8081">
        <v>47</v>
      </c>
    </row>
    <row r="8082" spans="1:22" customFormat="1" ht="15" x14ac:dyDescent="0.25">
      <c r="A8082" t="s">
        <v>255</v>
      </c>
      <c r="E8082" s="1496" t="s">
        <v>4999</v>
      </c>
      <c r="F8082" s="1496"/>
      <c r="G8082" s="1496"/>
      <c r="H8082" s="1496"/>
      <c r="K8082" t="s">
        <v>1023</v>
      </c>
      <c r="V8082">
        <v>620</v>
      </c>
    </row>
    <row r="8083" spans="1:22" customFormat="1" ht="15" x14ac:dyDescent="0.25">
      <c r="A8083" t="s">
        <v>255</v>
      </c>
      <c r="E8083" s="1533" t="s">
        <v>950</v>
      </c>
      <c r="F8083" s="1496"/>
      <c r="G8083" s="1496"/>
      <c r="H8083" s="1496"/>
      <c r="K8083" t="s">
        <v>1025</v>
      </c>
      <c r="V8083">
        <v>11</v>
      </c>
    </row>
    <row r="8084" spans="1:22" customFormat="1" ht="15" x14ac:dyDescent="0.25">
      <c r="A8084" t="s">
        <v>255</v>
      </c>
      <c r="E8084" s="1496" t="s">
        <v>951</v>
      </c>
      <c r="F8084" s="1496"/>
      <c r="G8084" s="1496"/>
      <c r="H8084" s="1496"/>
      <c r="K8084" t="s">
        <v>1023</v>
      </c>
      <c r="V8084">
        <v>280</v>
      </c>
    </row>
    <row r="8085" spans="1:22" customFormat="1" ht="15" x14ac:dyDescent="0.25">
      <c r="A8085" t="s">
        <v>255</v>
      </c>
      <c r="E8085" s="1496" t="s">
        <v>952</v>
      </c>
      <c r="F8085" s="1496"/>
      <c r="G8085" s="1496"/>
      <c r="H8085" s="1496"/>
      <c r="K8085" t="s">
        <v>1023</v>
      </c>
      <c r="V8085">
        <v>411</v>
      </c>
    </row>
    <row r="8086" spans="1:22" customFormat="1" ht="15" x14ac:dyDescent="0.25">
      <c r="A8086" t="s">
        <v>255</v>
      </c>
      <c r="E8086" s="1496" t="s">
        <v>3761</v>
      </c>
      <c r="F8086" s="1496"/>
      <c r="G8086" s="1496"/>
      <c r="H8086" s="1496"/>
      <c r="K8086" t="s">
        <v>1023</v>
      </c>
      <c r="V8086">
        <v>387</v>
      </c>
    </row>
    <row r="8087" spans="1:22" customFormat="1" ht="15" x14ac:dyDescent="0.25">
      <c r="A8087" t="s">
        <v>255</v>
      </c>
      <c r="E8087" s="1496" t="s">
        <v>3762</v>
      </c>
      <c r="F8087" s="1496"/>
      <c r="G8087" s="1496"/>
      <c r="H8087" s="1496"/>
      <c r="K8087" t="s">
        <v>1023</v>
      </c>
      <c r="V8087">
        <v>247</v>
      </c>
    </row>
    <row r="8088" spans="1:22" customFormat="1" ht="15" x14ac:dyDescent="0.25">
      <c r="A8088" t="s">
        <v>255</v>
      </c>
      <c r="E8088" s="1488" t="s">
        <v>956</v>
      </c>
      <c r="F8088" s="1590"/>
      <c r="G8088" s="1590"/>
      <c r="H8088" s="1590"/>
      <c r="K8088" t="s">
        <v>1026</v>
      </c>
      <c r="V8088">
        <v>46</v>
      </c>
    </row>
    <row r="8089" spans="1:22" customFormat="1" ht="15" x14ac:dyDescent="0.25">
      <c r="A8089" t="s">
        <v>255</v>
      </c>
      <c r="E8089" s="1495" t="s">
        <v>3874</v>
      </c>
      <c r="F8089" s="1495"/>
      <c r="G8089" s="360" t="s">
        <v>777</v>
      </c>
      <c r="H8089" s="576">
        <v>7.3</v>
      </c>
      <c r="K8089" t="s">
        <v>1023</v>
      </c>
      <c r="L8089" t="s">
        <v>690</v>
      </c>
      <c r="P8089" t="s">
        <v>1027</v>
      </c>
      <c r="V8089">
        <v>31</v>
      </c>
    </row>
    <row r="8090" spans="1:22" customFormat="1" ht="15" x14ac:dyDescent="0.25">
      <c r="A8090" t="s">
        <v>255</v>
      </c>
      <c r="E8090" s="1495" t="s">
        <v>3688</v>
      </c>
      <c r="F8090" s="1495"/>
      <c r="G8090" s="360" t="s">
        <v>845</v>
      </c>
      <c r="H8090" s="577">
        <v>2.06E-2</v>
      </c>
      <c r="K8090" t="s">
        <v>1023</v>
      </c>
      <c r="L8090" t="s">
        <v>690</v>
      </c>
      <c r="P8090" t="s">
        <v>1029</v>
      </c>
      <c r="V8090">
        <v>28</v>
      </c>
    </row>
    <row r="8091" spans="1:22" customFormat="1" ht="15" x14ac:dyDescent="0.25">
      <c r="A8091" t="s">
        <v>255</v>
      </c>
      <c r="E8091" s="1495" t="s">
        <v>910</v>
      </c>
      <c r="F8091" s="1495"/>
      <c r="G8091" s="360" t="s">
        <v>845</v>
      </c>
      <c r="H8091" s="605">
        <v>1.0699999999999999E-2</v>
      </c>
      <c r="K8091" t="s">
        <v>1023</v>
      </c>
      <c r="L8091" t="s">
        <v>692</v>
      </c>
      <c r="P8091" t="s">
        <v>1030</v>
      </c>
      <c r="V8091">
        <v>24</v>
      </c>
    </row>
    <row r="8092" spans="1:22" customFormat="1" ht="15" x14ac:dyDescent="0.25">
      <c r="A8092" t="s">
        <v>255</v>
      </c>
      <c r="E8092" s="1495" t="s">
        <v>6865</v>
      </c>
      <c r="F8092" s="1561"/>
      <c r="G8092" s="360" t="s">
        <v>845</v>
      </c>
      <c r="H8092" s="605">
        <v>1.55E-2</v>
      </c>
      <c r="K8092" t="s">
        <v>1023</v>
      </c>
      <c r="L8092" t="s">
        <v>692</v>
      </c>
      <c r="P8092" t="s">
        <v>1032</v>
      </c>
      <c r="V8092">
        <v>96</v>
      </c>
    </row>
    <row r="8093" spans="1:22" customFormat="1" ht="15" x14ac:dyDescent="0.25">
      <c r="A8093" t="s">
        <v>255</v>
      </c>
      <c r="E8093" s="1495" t="s">
        <v>6864</v>
      </c>
      <c r="F8093" s="1561"/>
      <c r="G8093" s="360" t="s">
        <v>845</v>
      </c>
      <c r="H8093" s="605">
        <v>1.6000000000000001E-3</v>
      </c>
      <c r="K8093" t="s">
        <v>1023</v>
      </c>
      <c r="L8093" t="s">
        <v>692</v>
      </c>
      <c r="P8093" t="s">
        <v>1032</v>
      </c>
      <c r="V8093">
        <v>104</v>
      </c>
    </row>
    <row r="8094" spans="1:22" customFormat="1" ht="15" x14ac:dyDescent="0.25">
      <c r="A8094" t="s">
        <v>255</v>
      </c>
      <c r="E8094" s="1495" t="s">
        <v>243</v>
      </c>
      <c r="F8094" s="1495"/>
      <c r="G8094" s="360" t="s">
        <v>845</v>
      </c>
      <c r="H8094" s="577">
        <v>9.5999999999999992E-3</v>
      </c>
      <c r="K8094" t="s">
        <v>1023</v>
      </c>
      <c r="L8094" t="s">
        <v>694</v>
      </c>
      <c r="P8094" t="s">
        <v>1033</v>
      </c>
      <c r="V8094">
        <v>47</v>
      </c>
    </row>
    <row r="8095" spans="1:22" customFormat="1" ht="15" x14ac:dyDescent="0.25">
      <c r="A8095" t="s">
        <v>255</v>
      </c>
      <c r="E8095" s="1495" t="s">
        <v>175</v>
      </c>
      <c r="F8095" s="1495"/>
      <c r="G8095" s="360" t="s">
        <v>845</v>
      </c>
      <c r="H8095" s="577">
        <v>7.9000000000000008E-3</v>
      </c>
      <c r="K8095" t="s">
        <v>1023</v>
      </c>
      <c r="L8095" t="s">
        <v>694</v>
      </c>
      <c r="P8095" t="s">
        <v>1034</v>
      </c>
      <c r="V8095">
        <v>74</v>
      </c>
    </row>
    <row r="8096" spans="1:22" customFormat="1" ht="15" x14ac:dyDescent="0.25">
      <c r="A8096" t="s">
        <v>255</v>
      </c>
      <c r="E8096" s="1488" t="s">
        <v>967</v>
      </c>
      <c r="F8096" s="1495"/>
      <c r="G8096" s="360"/>
      <c r="H8096" s="360"/>
      <c r="K8096" t="s">
        <v>1035</v>
      </c>
      <c r="V8096">
        <v>48</v>
      </c>
    </row>
    <row r="8097" spans="1:22" customFormat="1" ht="15" x14ac:dyDescent="0.25">
      <c r="A8097" t="s">
        <v>255</v>
      </c>
      <c r="E8097" s="1495" t="s">
        <v>844</v>
      </c>
      <c r="F8097" s="1495"/>
      <c r="G8097" s="360" t="s">
        <v>845</v>
      </c>
      <c r="H8097" s="605">
        <v>4.1000000000000003E-3</v>
      </c>
      <c r="K8097" t="s">
        <v>1023</v>
      </c>
      <c r="L8097" t="s">
        <v>968</v>
      </c>
      <c r="P8097" t="s">
        <v>1036</v>
      </c>
      <c r="V8097">
        <v>55</v>
      </c>
    </row>
    <row r="8098" spans="1:22" customFormat="1" ht="15" x14ac:dyDescent="0.25">
      <c r="A8098" t="s">
        <v>255</v>
      </c>
      <c r="E8098" s="1495" t="s">
        <v>846</v>
      </c>
      <c r="F8098" s="1495"/>
      <c r="G8098" s="360" t="s">
        <v>845</v>
      </c>
      <c r="H8098" s="605">
        <v>4.0000000000000002E-4</v>
      </c>
      <c r="K8098" t="s">
        <v>1023</v>
      </c>
      <c r="L8098" t="s">
        <v>968</v>
      </c>
      <c r="P8098" t="s">
        <v>1036</v>
      </c>
      <c r="V8098">
        <v>65</v>
      </c>
    </row>
    <row r="8099" spans="1:22" customFormat="1" ht="15" x14ac:dyDescent="0.25">
      <c r="A8099" t="s">
        <v>255</v>
      </c>
      <c r="E8099" s="1495" t="s">
        <v>847</v>
      </c>
      <c r="F8099" s="1495"/>
      <c r="G8099" s="360" t="s">
        <v>845</v>
      </c>
      <c r="H8099" s="605">
        <v>1.5E-3</v>
      </c>
      <c r="K8099" t="s">
        <v>1023</v>
      </c>
      <c r="L8099" t="s">
        <v>968</v>
      </c>
      <c r="P8099" t="s">
        <v>1037</v>
      </c>
      <c r="V8099">
        <v>57</v>
      </c>
    </row>
    <row r="8100" spans="1:22" customFormat="1" ht="15" x14ac:dyDescent="0.25">
      <c r="A8100" t="s">
        <v>255</v>
      </c>
      <c r="E8100" s="1495" t="s">
        <v>848</v>
      </c>
      <c r="F8100" s="1495"/>
      <c r="G8100" s="360" t="s">
        <v>777</v>
      </c>
      <c r="H8100" s="604">
        <v>0.25</v>
      </c>
      <c r="K8100" t="s">
        <v>1023</v>
      </c>
      <c r="L8100" t="s">
        <v>968</v>
      </c>
      <c r="P8100" t="s">
        <v>1038</v>
      </c>
      <c r="V8100">
        <v>63</v>
      </c>
    </row>
    <row r="8101" spans="1:22" customFormat="1" x14ac:dyDescent="0.25">
      <c r="A8101" t="s">
        <v>255</v>
      </c>
      <c r="E8101" s="1538" t="s">
        <v>207</v>
      </c>
      <c r="F8101" s="1571"/>
      <c r="G8101" s="1571"/>
      <c r="H8101" s="1571"/>
      <c r="K8101" t="s">
        <v>4461</v>
      </c>
      <c r="V8101">
        <v>31</v>
      </c>
    </row>
    <row r="8102" spans="1:22" customFormat="1" ht="15" x14ac:dyDescent="0.25">
      <c r="A8102" t="s">
        <v>255</v>
      </c>
      <c r="E8102" s="1496" t="s">
        <v>4620</v>
      </c>
      <c r="F8102" s="1496"/>
      <c r="G8102" s="1496"/>
      <c r="H8102" s="1496"/>
      <c r="K8102" t="s">
        <v>4461</v>
      </c>
      <c r="V8102">
        <v>285</v>
      </c>
    </row>
    <row r="8103" spans="1:22" customFormat="1" ht="15" x14ac:dyDescent="0.25">
      <c r="A8103" t="s">
        <v>255</v>
      </c>
      <c r="E8103" s="1533" t="s">
        <v>950</v>
      </c>
      <c r="F8103" s="1496"/>
      <c r="G8103" s="1496"/>
      <c r="H8103" s="1496"/>
      <c r="K8103" t="s">
        <v>1041</v>
      </c>
      <c r="V8103">
        <v>11</v>
      </c>
    </row>
    <row r="8104" spans="1:22" customFormat="1" ht="15" x14ac:dyDescent="0.25">
      <c r="A8104" t="s">
        <v>255</v>
      </c>
      <c r="E8104" s="1496" t="s">
        <v>951</v>
      </c>
      <c r="F8104" s="1496"/>
      <c r="G8104" s="1496"/>
      <c r="H8104" s="1496"/>
      <c r="K8104" t="s">
        <v>4461</v>
      </c>
      <c r="V8104">
        <v>280</v>
      </c>
    </row>
    <row r="8105" spans="1:22" customFormat="1" ht="15" x14ac:dyDescent="0.25">
      <c r="A8105" t="s">
        <v>255</v>
      </c>
      <c r="E8105" s="1496" t="s">
        <v>952</v>
      </c>
      <c r="F8105" s="1496"/>
      <c r="G8105" s="1496"/>
      <c r="H8105" s="1496"/>
      <c r="K8105" t="s">
        <v>4461</v>
      </c>
      <c r="V8105">
        <v>411</v>
      </c>
    </row>
    <row r="8106" spans="1:22" customFormat="1" ht="15" x14ac:dyDescent="0.25">
      <c r="A8106" t="s">
        <v>255</v>
      </c>
      <c r="E8106" s="1496" t="s">
        <v>1103</v>
      </c>
      <c r="F8106" s="1496"/>
      <c r="G8106" s="1496"/>
      <c r="H8106" s="1496"/>
      <c r="K8106" t="s">
        <v>4461</v>
      </c>
      <c r="V8106">
        <v>211</v>
      </c>
    </row>
    <row r="8107" spans="1:22" customFormat="1" ht="15" x14ac:dyDescent="0.25">
      <c r="A8107" t="s">
        <v>255</v>
      </c>
      <c r="E8107" s="1496" t="s">
        <v>3762</v>
      </c>
      <c r="F8107" s="1496"/>
      <c r="G8107" s="1496"/>
      <c r="H8107" s="1496"/>
      <c r="K8107" t="s">
        <v>4461</v>
      </c>
      <c r="V8107">
        <v>247</v>
      </c>
    </row>
    <row r="8108" spans="1:22" customFormat="1" ht="15" x14ac:dyDescent="0.25">
      <c r="A8108" t="s">
        <v>255</v>
      </c>
      <c r="E8108" s="1488" t="s">
        <v>956</v>
      </c>
      <c r="F8108" s="1590"/>
      <c r="G8108" s="1590"/>
      <c r="H8108" s="1590"/>
      <c r="K8108" t="s">
        <v>1042</v>
      </c>
      <c r="V8108">
        <v>46</v>
      </c>
    </row>
    <row r="8109" spans="1:22" customFormat="1" ht="15" x14ac:dyDescent="0.25">
      <c r="A8109" t="s">
        <v>255</v>
      </c>
      <c r="E8109" s="1495" t="s">
        <v>3773</v>
      </c>
      <c r="F8109" s="1495"/>
      <c r="G8109" s="360" t="s">
        <v>777</v>
      </c>
      <c r="H8109" s="576">
        <v>5</v>
      </c>
      <c r="K8109" t="s">
        <v>4461</v>
      </c>
      <c r="L8109" t="s">
        <v>690</v>
      </c>
      <c r="P8109" t="s">
        <v>4462</v>
      </c>
      <c r="V8109">
        <v>14</v>
      </c>
    </row>
    <row r="8110" spans="1:22" customFormat="1" ht="18.75" x14ac:dyDescent="0.3">
      <c r="A8110" t="s">
        <v>255</v>
      </c>
      <c r="E8110" s="843" t="s">
        <v>3825</v>
      </c>
      <c r="F8110" s="639"/>
      <c r="G8110" s="639"/>
      <c r="H8110" s="640"/>
      <c r="K8110" t="s">
        <v>5439</v>
      </c>
      <c r="V8110">
        <v>10</v>
      </c>
    </row>
    <row r="8111" spans="1:22" customFormat="1" ht="15" x14ac:dyDescent="0.25">
      <c r="A8111" t="s">
        <v>255</v>
      </c>
      <c r="E8111" s="1495" t="s">
        <v>1078</v>
      </c>
      <c r="F8111" s="1495"/>
      <c r="G8111" s="360" t="s">
        <v>3775</v>
      </c>
      <c r="H8111" s="605">
        <v>-0.6</v>
      </c>
      <c r="V8111">
        <v>68</v>
      </c>
    </row>
    <row r="8112" spans="1:22" customFormat="1" ht="15" x14ac:dyDescent="0.25">
      <c r="A8112" t="s">
        <v>255</v>
      </c>
      <c r="E8112" s="1495" t="s">
        <v>1079</v>
      </c>
      <c r="F8112" s="1495"/>
      <c r="G8112" s="360" t="s">
        <v>1118</v>
      </c>
      <c r="H8112" s="604">
        <v>-1</v>
      </c>
      <c r="V8112">
        <v>87</v>
      </c>
    </row>
    <row r="8113" spans="1:22" customFormat="1" ht="36.75" x14ac:dyDescent="0.3">
      <c r="A8113" t="s">
        <v>255</v>
      </c>
      <c r="E8113" s="843" t="s">
        <v>3828</v>
      </c>
      <c r="F8113" s="639"/>
      <c r="G8113" s="639"/>
      <c r="H8113" s="640"/>
      <c r="K8113" t="s">
        <v>5440</v>
      </c>
      <c r="V8113">
        <v>24</v>
      </c>
    </row>
    <row r="8114" spans="1:22" customFormat="1" ht="15" x14ac:dyDescent="0.25">
      <c r="A8114" t="s">
        <v>255</v>
      </c>
      <c r="E8114" s="1496" t="s">
        <v>951</v>
      </c>
      <c r="F8114" s="1496"/>
      <c r="G8114" s="1496"/>
      <c r="H8114" s="1496"/>
      <c r="V8114">
        <v>280</v>
      </c>
    </row>
    <row r="8115" spans="1:22" customFormat="1" ht="15" x14ac:dyDescent="0.25">
      <c r="A8115" t="s">
        <v>255</v>
      </c>
      <c r="E8115" s="1496" t="s">
        <v>1081</v>
      </c>
      <c r="F8115" s="1496"/>
      <c r="G8115" s="1496"/>
      <c r="H8115" s="1496"/>
      <c r="V8115">
        <v>353</v>
      </c>
    </row>
    <row r="8116" spans="1:22" customFormat="1" ht="15" x14ac:dyDescent="0.25">
      <c r="A8116" t="s">
        <v>255</v>
      </c>
      <c r="E8116" s="1496" t="s">
        <v>3762</v>
      </c>
      <c r="F8116" s="1496"/>
      <c r="G8116" s="1496"/>
      <c r="H8116" s="1496"/>
      <c r="V8116">
        <v>247</v>
      </c>
    </row>
    <row r="8117" spans="1:22" customFormat="1" ht="15" x14ac:dyDescent="0.25">
      <c r="A8117" t="s">
        <v>255</v>
      </c>
      <c r="E8117" s="849" t="s">
        <v>3830</v>
      </c>
      <c r="F8117" s="276"/>
      <c r="G8117" s="276"/>
      <c r="H8117" s="641"/>
      <c r="K8117" t="s">
        <v>5441</v>
      </c>
      <c r="V8117">
        <v>23</v>
      </c>
    </row>
    <row r="8118" spans="1:22" customFormat="1" ht="15" x14ac:dyDescent="0.25">
      <c r="A8118" t="s">
        <v>255</v>
      </c>
      <c r="E8118" s="1487" t="s">
        <v>3832</v>
      </c>
      <c r="F8118" s="1487"/>
      <c r="G8118" s="360" t="s">
        <v>777</v>
      </c>
      <c r="H8118" s="604">
        <v>15</v>
      </c>
      <c r="V8118">
        <v>19</v>
      </c>
    </row>
    <row r="8119" spans="1:22" customFormat="1" ht="15" x14ac:dyDescent="0.25">
      <c r="A8119" t="s">
        <v>255</v>
      </c>
      <c r="E8119" s="1487" t="s">
        <v>3833</v>
      </c>
      <c r="F8119" s="1487"/>
      <c r="G8119" s="360" t="s">
        <v>777</v>
      </c>
      <c r="H8119" s="604">
        <v>15</v>
      </c>
      <c r="V8119">
        <v>20</v>
      </c>
    </row>
    <row r="8120" spans="1:22" customFormat="1" ht="15" x14ac:dyDescent="0.25">
      <c r="A8120" t="s">
        <v>255</v>
      </c>
      <c r="E8120" s="1487" t="s">
        <v>4054</v>
      </c>
      <c r="F8120" s="1487"/>
      <c r="G8120" s="360" t="s">
        <v>777</v>
      </c>
      <c r="H8120" s="604">
        <v>15</v>
      </c>
      <c r="V8120">
        <v>26</v>
      </c>
    </row>
    <row r="8121" spans="1:22" customFormat="1" ht="15" x14ac:dyDescent="0.25">
      <c r="A8121" t="s">
        <v>255</v>
      </c>
      <c r="E8121" s="1487" t="s">
        <v>3834</v>
      </c>
      <c r="F8121" s="1487"/>
      <c r="G8121" s="360" t="s">
        <v>777</v>
      </c>
      <c r="H8121" s="604">
        <v>15</v>
      </c>
      <c r="V8121">
        <v>39</v>
      </c>
    </row>
    <row r="8122" spans="1:22" customFormat="1" ht="15" x14ac:dyDescent="0.25">
      <c r="A8122" t="s">
        <v>255</v>
      </c>
      <c r="E8122" s="1487" t="s">
        <v>4055</v>
      </c>
      <c r="F8122" s="1487"/>
      <c r="G8122" s="360" t="s">
        <v>777</v>
      </c>
      <c r="H8122" s="604">
        <v>15</v>
      </c>
      <c r="V8122">
        <v>37</v>
      </c>
    </row>
    <row r="8123" spans="1:22" customFormat="1" ht="15" x14ac:dyDescent="0.25">
      <c r="A8123" t="s">
        <v>255</v>
      </c>
      <c r="E8123" s="1487" t="s">
        <v>4056</v>
      </c>
      <c r="F8123" s="1487"/>
      <c r="G8123" s="360" t="s">
        <v>777</v>
      </c>
      <c r="H8123" s="604">
        <v>15</v>
      </c>
      <c r="V8123">
        <v>15</v>
      </c>
    </row>
    <row r="8124" spans="1:22" customFormat="1" ht="15" x14ac:dyDescent="0.25">
      <c r="A8124" t="s">
        <v>255</v>
      </c>
      <c r="E8124" s="1487" t="s">
        <v>4057</v>
      </c>
      <c r="F8124" s="1487"/>
      <c r="G8124" s="360" t="s">
        <v>777</v>
      </c>
      <c r="H8124" s="604">
        <v>15</v>
      </c>
      <c r="V8124">
        <v>17</v>
      </c>
    </row>
    <row r="8125" spans="1:22" customFormat="1" ht="15" x14ac:dyDescent="0.25">
      <c r="A8125" t="s">
        <v>255</v>
      </c>
      <c r="E8125" s="1487" t="s">
        <v>4419</v>
      </c>
      <c r="F8125" s="1487"/>
      <c r="G8125" s="360" t="s">
        <v>777</v>
      </c>
      <c r="H8125" s="604">
        <v>15</v>
      </c>
      <c r="V8125">
        <v>19</v>
      </c>
    </row>
    <row r="8126" spans="1:22" customFormat="1" ht="15" x14ac:dyDescent="0.25">
      <c r="A8126" t="s">
        <v>255</v>
      </c>
      <c r="E8126" s="1487" t="s">
        <v>4058</v>
      </c>
      <c r="F8126" s="1487"/>
      <c r="G8126" s="360" t="s">
        <v>777</v>
      </c>
      <c r="H8126" s="604">
        <v>15</v>
      </c>
      <c r="V8126">
        <v>15</v>
      </c>
    </row>
    <row r="8127" spans="1:22" customFormat="1" ht="15" x14ac:dyDescent="0.25">
      <c r="A8127" t="s">
        <v>255</v>
      </c>
      <c r="E8127" s="1487" t="s">
        <v>3835</v>
      </c>
      <c r="F8127" s="1487"/>
      <c r="G8127" s="360" t="s">
        <v>777</v>
      </c>
      <c r="H8127" s="604">
        <v>25</v>
      </c>
      <c r="V8127">
        <v>56</v>
      </c>
    </row>
    <row r="8128" spans="1:22" customFormat="1" ht="15" x14ac:dyDescent="0.25">
      <c r="A8128" t="s">
        <v>255</v>
      </c>
      <c r="E8128" s="1487" t="s">
        <v>3836</v>
      </c>
      <c r="F8128" s="1487"/>
      <c r="G8128" s="360" t="s">
        <v>777</v>
      </c>
      <c r="H8128" s="604">
        <v>15</v>
      </c>
      <c r="V8128">
        <v>35</v>
      </c>
    </row>
    <row r="8129" spans="1:22" customFormat="1" ht="15" x14ac:dyDescent="0.25">
      <c r="A8129" t="s">
        <v>255</v>
      </c>
      <c r="E8129" s="1487" t="s">
        <v>4420</v>
      </c>
      <c r="F8129" s="1487"/>
      <c r="G8129" s="360" t="s">
        <v>777</v>
      </c>
      <c r="H8129" s="604">
        <v>15</v>
      </c>
      <c r="V8129">
        <v>24</v>
      </c>
    </row>
    <row r="8130" spans="1:22" customFormat="1" ht="15" x14ac:dyDescent="0.25">
      <c r="A8130" t="s">
        <v>255</v>
      </c>
      <c r="E8130" s="1487" t="s">
        <v>4059</v>
      </c>
      <c r="F8130" s="1487"/>
      <c r="G8130" s="360" t="s">
        <v>777</v>
      </c>
      <c r="H8130" s="604">
        <v>15</v>
      </c>
      <c r="V8130">
        <v>19</v>
      </c>
    </row>
    <row r="8131" spans="1:22" customFormat="1" ht="15" x14ac:dyDescent="0.25">
      <c r="A8131" t="s">
        <v>255</v>
      </c>
      <c r="E8131" s="1487" t="s">
        <v>3837</v>
      </c>
      <c r="F8131" s="1487"/>
      <c r="G8131" s="360" t="s">
        <v>777</v>
      </c>
      <c r="H8131" s="604">
        <v>15</v>
      </c>
      <c r="V8131">
        <v>89</v>
      </c>
    </row>
    <row r="8132" spans="1:22" customFormat="1" ht="15" x14ac:dyDescent="0.25">
      <c r="A8132" t="s">
        <v>255</v>
      </c>
      <c r="E8132" s="1487" t="s">
        <v>3914</v>
      </c>
      <c r="F8132" s="1487"/>
      <c r="G8132" s="360" t="s">
        <v>777</v>
      </c>
      <c r="H8132" s="604">
        <v>30</v>
      </c>
      <c r="V8132">
        <v>19</v>
      </c>
    </row>
    <row r="8133" spans="1:22" customFormat="1" ht="15" x14ac:dyDescent="0.25">
      <c r="A8133" t="s">
        <v>255</v>
      </c>
      <c r="E8133" s="1487" t="s">
        <v>3838</v>
      </c>
      <c r="F8133" s="1487"/>
      <c r="G8133" s="360" t="s">
        <v>777</v>
      </c>
      <c r="H8133" s="604">
        <v>30</v>
      </c>
      <c r="V8133">
        <v>74</v>
      </c>
    </row>
    <row r="8134" spans="1:22" customFormat="1" ht="15" x14ac:dyDescent="0.25">
      <c r="A8134" t="s">
        <v>255</v>
      </c>
      <c r="E8134" s="849" t="s">
        <v>4062</v>
      </c>
      <c r="F8134" s="276"/>
      <c r="G8134" s="276"/>
      <c r="H8134" s="641"/>
      <c r="K8134" t="s">
        <v>5442</v>
      </c>
      <c r="V8134">
        <v>22</v>
      </c>
    </row>
    <row r="8135" spans="1:22" customFormat="1" ht="15" x14ac:dyDescent="0.25">
      <c r="A8135" t="s">
        <v>255</v>
      </c>
      <c r="E8135" s="1487" t="s">
        <v>4666</v>
      </c>
      <c r="F8135" s="1487"/>
      <c r="G8135" s="360" t="s">
        <v>1118</v>
      </c>
      <c r="H8135" s="604">
        <v>1.5</v>
      </c>
      <c r="V8135">
        <v>99</v>
      </c>
    </row>
    <row r="8136" spans="1:22" customFormat="1" ht="15" x14ac:dyDescent="0.25">
      <c r="A8136" t="s">
        <v>255</v>
      </c>
      <c r="E8136" s="1487" t="s">
        <v>3842</v>
      </c>
      <c r="F8136" s="1487"/>
      <c r="G8136" s="360" t="s">
        <v>777</v>
      </c>
      <c r="H8136" s="604">
        <v>25</v>
      </c>
      <c r="V8136">
        <v>44</v>
      </c>
    </row>
    <row r="8137" spans="1:22" customFormat="1" ht="15" x14ac:dyDescent="0.25">
      <c r="A8137" t="s">
        <v>255</v>
      </c>
      <c r="E8137" s="1487" t="s">
        <v>3843</v>
      </c>
      <c r="F8137" s="1487"/>
      <c r="G8137" s="360" t="s">
        <v>777</v>
      </c>
      <c r="H8137" s="604">
        <v>50</v>
      </c>
      <c r="V8137">
        <v>43</v>
      </c>
    </row>
    <row r="8138" spans="1:22" customFormat="1" ht="15" x14ac:dyDescent="0.25">
      <c r="A8138" t="s">
        <v>255</v>
      </c>
      <c r="E8138" s="1487" t="s">
        <v>3844</v>
      </c>
      <c r="F8138" s="1487"/>
      <c r="G8138" s="360" t="s">
        <v>777</v>
      </c>
      <c r="H8138" s="604">
        <v>185</v>
      </c>
      <c r="V8138">
        <v>43</v>
      </c>
    </row>
    <row r="8139" spans="1:22" customFormat="1" ht="15" x14ac:dyDescent="0.25">
      <c r="A8139" t="s">
        <v>255</v>
      </c>
      <c r="E8139" s="1487" t="s">
        <v>3845</v>
      </c>
      <c r="F8139" s="1487"/>
      <c r="G8139" s="360" t="s">
        <v>777</v>
      </c>
      <c r="H8139" s="604">
        <v>415</v>
      </c>
      <c r="V8139">
        <v>42</v>
      </c>
    </row>
    <row r="8140" spans="1:22" customFormat="1" ht="15" x14ac:dyDescent="0.25">
      <c r="A8140" t="s">
        <v>255</v>
      </c>
      <c r="E8140" s="849" t="s">
        <v>3846</v>
      </c>
      <c r="F8140" s="654"/>
      <c r="G8140" s="615"/>
      <c r="H8140" s="616"/>
      <c r="V8140">
        <v>5</v>
      </c>
    </row>
    <row r="8141" spans="1:22" customFormat="1" ht="15" x14ac:dyDescent="0.25">
      <c r="A8141" t="s">
        <v>255</v>
      </c>
      <c r="E8141" s="1487" t="s">
        <v>4217</v>
      </c>
      <c r="F8141" s="1487"/>
      <c r="G8141" s="360" t="s">
        <v>777</v>
      </c>
      <c r="H8141" s="604">
        <v>30</v>
      </c>
      <c r="V8141">
        <v>39</v>
      </c>
    </row>
    <row r="8142" spans="1:22" customFormat="1" ht="15" x14ac:dyDescent="0.25">
      <c r="A8142" t="s">
        <v>255</v>
      </c>
      <c r="E8142" s="1487" t="s">
        <v>3847</v>
      </c>
      <c r="F8142" s="1487"/>
      <c r="G8142" s="360" t="s">
        <v>777</v>
      </c>
      <c r="H8142" s="604">
        <v>165</v>
      </c>
      <c r="V8142">
        <v>34</v>
      </c>
    </row>
    <row r="8143" spans="1:22" customFormat="1" ht="15" x14ac:dyDescent="0.25">
      <c r="A8143" t="s">
        <v>255</v>
      </c>
      <c r="E8143" s="1487" t="s">
        <v>3848</v>
      </c>
      <c r="F8143" s="1487"/>
      <c r="G8143" s="360" t="s">
        <v>777</v>
      </c>
      <c r="H8143" s="604">
        <v>500</v>
      </c>
      <c r="V8143">
        <v>64</v>
      </c>
    </row>
    <row r="8144" spans="1:22" customFormat="1" ht="15" x14ac:dyDescent="0.25">
      <c r="A8144" t="s">
        <v>255</v>
      </c>
      <c r="E8144" s="1487" t="s">
        <v>4808</v>
      </c>
      <c r="F8144" s="1487"/>
      <c r="G8144" s="360" t="s">
        <v>777</v>
      </c>
      <c r="H8144" s="604">
        <v>300</v>
      </c>
      <c r="V8144">
        <v>67</v>
      </c>
    </row>
    <row r="8145" spans="1:22" customFormat="1" ht="15" x14ac:dyDescent="0.25">
      <c r="A8145" t="s">
        <v>255</v>
      </c>
      <c r="E8145" s="1487" t="s">
        <v>3849</v>
      </c>
      <c r="F8145" s="1487"/>
      <c r="G8145" s="360" t="s">
        <v>777</v>
      </c>
      <c r="H8145" s="604">
        <v>1000</v>
      </c>
      <c r="V8145">
        <v>66</v>
      </c>
    </row>
    <row r="8146" spans="1:22" customFormat="1" ht="15" x14ac:dyDescent="0.25">
      <c r="A8146" t="s">
        <v>255</v>
      </c>
      <c r="E8146" s="1487" t="s">
        <v>5023</v>
      </c>
      <c r="F8146" s="1487"/>
      <c r="G8146" s="360" t="s">
        <v>777</v>
      </c>
      <c r="H8146" s="604">
        <v>39.14</v>
      </c>
      <c r="V8146">
        <v>104</v>
      </c>
    </row>
    <row r="8147" spans="1:22" customFormat="1" ht="36.75" x14ac:dyDescent="0.3">
      <c r="A8147" t="s">
        <v>255</v>
      </c>
      <c r="E8147" s="843" t="s">
        <v>3851</v>
      </c>
      <c r="F8147" s="639"/>
      <c r="G8147" s="639"/>
      <c r="H8147" s="640"/>
      <c r="K8147" t="s">
        <v>5443</v>
      </c>
      <c r="V8147">
        <v>38</v>
      </c>
    </row>
    <row r="8148" spans="1:22" customFormat="1" ht="15" x14ac:dyDescent="0.25">
      <c r="A8148" t="s">
        <v>255</v>
      </c>
      <c r="E8148" s="1496" t="s">
        <v>951</v>
      </c>
      <c r="F8148" s="1496"/>
      <c r="G8148" s="1496"/>
      <c r="H8148" s="1496"/>
      <c r="V8148">
        <v>280</v>
      </c>
    </row>
    <row r="8149" spans="1:22" customFormat="1" ht="15" x14ac:dyDescent="0.25">
      <c r="A8149" t="s">
        <v>255</v>
      </c>
      <c r="E8149" s="1496" t="s">
        <v>952</v>
      </c>
      <c r="F8149" s="1496"/>
      <c r="G8149" s="1496"/>
      <c r="H8149" s="1496"/>
      <c r="V8149">
        <v>411</v>
      </c>
    </row>
    <row r="8150" spans="1:22" customFormat="1" ht="15" x14ac:dyDescent="0.25">
      <c r="A8150" t="s">
        <v>255</v>
      </c>
      <c r="E8150" s="1496" t="s">
        <v>1103</v>
      </c>
      <c r="F8150" s="1496"/>
      <c r="G8150" s="1496"/>
      <c r="H8150" s="1496"/>
      <c r="V8150">
        <v>211</v>
      </c>
    </row>
    <row r="8151" spans="1:22" customFormat="1" ht="15" x14ac:dyDescent="0.25">
      <c r="A8151" t="s">
        <v>255</v>
      </c>
      <c r="E8151" s="1496" t="s">
        <v>3762</v>
      </c>
      <c r="F8151" s="1496"/>
      <c r="G8151" s="1496"/>
      <c r="H8151" s="1496"/>
      <c r="V8151">
        <v>247</v>
      </c>
    </row>
    <row r="8152" spans="1:22" customFormat="1" ht="15" x14ac:dyDescent="0.25">
      <c r="A8152" t="s">
        <v>255</v>
      </c>
      <c r="E8152" s="1496" t="s">
        <v>1104</v>
      </c>
      <c r="F8152" s="1496"/>
      <c r="G8152" s="1496"/>
      <c r="H8152" s="1496"/>
      <c r="V8152">
        <v>142</v>
      </c>
    </row>
    <row r="8153" spans="1:22" customFormat="1" ht="15" x14ac:dyDescent="0.25">
      <c r="A8153" t="s">
        <v>255</v>
      </c>
      <c r="E8153" s="1495" t="s">
        <v>849</v>
      </c>
      <c r="F8153" s="1495"/>
      <c r="G8153" s="615" t="s">
        <v>777</v>
      </c>
      <c r="H8153" s="604">
        <v>121.23</v>
      </c>
      <c r="V8153">
        <v>106</v>
      </c>
    </row>
    <row r="8154" spans="1:22" customFormat="1" ht="15" x14ac:dyDescent="0.25">
      <c r="A8154" t="s">
        <v>255</v>
      </c>
      <c r="E8154" s="1495" t="s">
        <v>850</v>
      </c>
      <c r="F8154" s="1495"/>
      <c r="G8154" s="615" t="s">
        <v>777</v>
      </c>
      <c r="H8154" s="604">
        <v>48.5</v>
      </c>
      <c r="V8154">
        <v>34</v>
      </c>
    </row>
    <row r="8155" spans="1:22" customFormat="1" ht="15" x14ac:dyDescent="0.25">
      <c r="A8155" t="s">
        <v>255</v>
      </c>
      <c r="E8155" s="1495" t="s">
        <v>851</v>
      </c>
      <c r="F8155" s="1495"/>
      <c r="G8155" s="615" t="s">
        <v>852</v>
      </c>
      <c r="H8155" s="604">
        <v>1.2</v>
      </c>
      <c r="V8155">
        <v>51</v>
      </c>
    </row>
    <row r="8156" spans="1:22" customFormat="1" ht="15" x14ac:dyDescent="0.25">
      <c r="A8156" t="s">
        <v>255</v>
      </c>
      <c r="E8156" s="1495" t="s">
        <v>853</v>
      </c>
      <c r="F8156" s="1495"/>
      <c r="G8156" s="615" t="s">
        <v>852</v>
      </c>
      <c r="H8156" s="604">
        <v>0.71</v>
      </c>
      <c r="V8156">
        <v>75</v>
      </c>
    </row>
    <row r="8157" spans="1:22" customFormat="1" ht="15" x14ac:dyDescent="0.25">
      <c r="A8157" t="s">
        <v>255</v>
      </c>
      <c r="E8157" s="1495" t="s">
        <v>854</v>
      </c>
      <c r="F8157" s="1495"/>
      <c r="G8157" s="615" t="s">
        <v>852</v>
      </c>
      <c r="H8157" s="604">
        <v>-0.71</v>
      </c>
      <c r="V8157">
        <v>72</v>
      </c>
    </row>
    <row r="8158" spans="1:22" customFormat="1" ht="15" x14ac:dyDescent="0.25">
      <c r="A8158" t="s">
        <v>255</v>
      </c>
      <c r="E8158" s="1495" t="s">
        <v>855</v>
      </c>
      <c r="F8158" s="1495"/>
      <c r="G8158" s="615"/>
      <c r="H8158" s="616"/>
      <c r="V8158">
        <v>34</v>
      </c>
    </row>
    <row r="8159" spans="1:22" customFormat="1" ht="15" x14ac:dyDescent="0.25">
      <c r="A8159" t="s">
        <v>255</v>
      </c>
      <c r="E8159" s="1591" t="s">
        <v>1106</v>
      </c>
      <c r="F8159" s="1591"/>
      <c r="G8159" s="615" t="s">
        <v>777</v>
      </c>
      <c r="H8159" s="604">
        <v>0.61</v>
      </c>
      <c r="V8159">
        <v>57</v>
      </c>
    </row>
    <row r="8160" spans="1:22" customFormat="1" ht="15" x14ac:dyDescent="0.25">
      <c r="A8160" t="s">
        <v>255</v>
      </c>
      <c r="E8160" s="1591" t="s">
        <v>1107</v>
      </c>
      <c r="F8160" s="1591"/>
      <c r="G8160" s="615" t="s">
        <v>777</v>
      </c>
      <c r="H8160" s="604">
        <v>1.2</v>
      </c>
      <c r="V8160">
        <v>60</v>
      </c>
    </row>
    <row r="8161" spans="1:22" customFormat="1" ht="15" x14ac:dyDescent="0.25">
      <c r="A8161" t="s">
        <v>255</v>
      </c>
      <c r="E8161" s="1495" t="s">
        <v>1108</v>
      </c>
      <c r="F8161" s="1495"/>
      <c r="G8161" s="615"/>
      <c r="H8161" s="616"/>
      <c r="V8161">
        <v>91</v>
      </c>
    </row>
    <row r="8162" spans="1:22" customFormat="1" ht="15" x14ac:dyDescent="0.25">
      <c r="A8162" t="s">
        <v>255</v>
      </c>
      <c r="E8162" s="1495" t="s">
        <v>1109</v>
      </c>
      <c r="F8162" s="1495"/>
      <c r="G8162" s="615"/>
      <c r="H8162" s="616"/>
      <c r="V8162">
        <v>96</v>
      </c>
    </row>
    <row r="8163" spans="1:22" customFormat="1" ht="15" x14ac:dyDescent="0.25">
      <c r="A8163" t="s">
        <v>255</v>
      </c>
      <c r="E8163" s="1495" t="s">
        <v>856</v>
      </c>
      <c r="F8163" s="1495"/>
      <c r="G8163" s="615"/>
      <c r="H8163" s="616"/>
      <c r="V8163">
        <v>77</v>
      </c>
    </row>
    <row r="8164" spans="1:22" customFormat="1" ht="15" x14ac:dyDescent="0.25">
      <c r="A8164" t="s">
        <v>255</v>
      </c>
      <c r="E8164" s="1591" t="s">
        <v>1111</v>
      </c>
      <c r="F8164" s="1591"/>
      <c r="G8164" s="615" t="s">
        <v>777</v>
      </c>
      <c r="H8164" s="616" t="s">
        <v>857</v>
      </c>
      <c r="V8164">
        <v>18</v>
      </c>
    </row>
    <row r="8165" spans="1:22" customFormat="1" ht="15" x14ac:dyDescent="0.25">
      <c r="A8165" t="s">
        <v>255</v>
      </c>
      <c r="E8165" s="1591" t="s">
        <v>1112</v>
      </c>
      <c r="F8165" s="1591"/>
      <c r="G8165" s="615" t="s">
        <v>777</v>
      </c>
      <c r="H8165" s="604">
        <v>4.8499999999999996</v>
      </c>
      <c r="V8165">
        <v>69</v>
      </c>
    </row>
    <row r="8166" spans="1:22" customFormat="1" ht="15" x14ac:dyDescent="0.25">
      <c r="A8166" t="s">
        <v>255</v>
      </c>
      <c r="E8166" s="1524" t="s">
        <v>858</v>
      </c>
      <c r="F8166" s="1524"/>
      <c r="G8166" s="615" t="s">
        <v>777</v>
      </c>
      <c r="H8166" s="604">
        <v>2.42</v>
      </c>
      <c r="V8166">
        <v>199</v>
      </c>
    </row>
    <row r="8167" spans="1:22" customFormat="1" ht="18.75" x14ac:dyDescent="0.3">
      <c r="A8167" t="s">
        <v>255</v>
      </c>
      <c r="E8167" s="843" t="s">
        <v>3853</v>
      </c>
      <c r="F8167" s="639"/>
      <c r="G8167" s="639"/>
      <c r="H8167" s="640"/>
      <c r="K8167" t="s">
        <v>5444</v>
      </c>
      <c r="V8167">
        <v>12</v>
      </c>
    </row>
    <row r="8168" spans="1:22" customFormat="1" ht="15" x14ac:dyDescent="0.25">
      <c r="A8168" t="s">
        <v>255</v>
      </c>
      <c r="E8168" s="1524" t="s">
        <v>1114</v>
      </c>
      <c r="F8168" s="1524"/>
      <c r="G8168" s="1524"/>
      <c r="H8168" s="1524"/>
      <c r="V8168">
        <v>203</v>
      </c>
    </row>
    <row r="8169" spans="1:22" customFormat="1" ht="15" x14ac:dyDescent="0.25">
      <c r="A8169" t="s">
        <v>255</v>
      </c>
      <c r="E8169" s="1495" t="s">
        <v>1115</v>
      </c>
      <c r="F8169" s="1495"/>
      <c r="G8169" s="360"/>
      <c r="H8169" s="616">
        <v>1.0831999999999999</v>
      </c>
      <c r="V8169">
        <v>57</v>
      </c>
    </row>
    <row r="8170" spans="1:22" customFormat="1" ht="15" x14ac:dyDescent="0.25">
      <c r="A8170" t="s">
        <v>255</v>
      </c>
      <c r="E8170" s="1495" t="s">
        <v>1117</v>
      </c>
      <c r="F8170" s="1495"/>
      <c r="G8170" s="360"/>
      <c r="H8170" s="616">
        <v>1.0731999999999999</v>
      </c>
      <c r="J8170" t="s">
        <v>5445</v>
      </c>
      <c r="V8170">
        <v>55</v>
      </c>
    </row>
    <row r="8171" spans="1:22" customFormat="1" ht="23.25" x14ac:dyDescent="0.25">
      <c r="A8171" t="s">
        <v>259</v>
      </c>
      <c r="C8171" t="s">
        <v>3755</v>
      </c>
      <c r="E8171" s="1550" t="s">
        <v>259</v>
      </c>
      <c r="F8171" s="1550"/>
      <c r="G8171" s="1550"/>
      <c r="H8171" s="1550"/>
      <c r="I8171" t="s">
        <v>94</v>
      </c>
      <c r="J8171" t="s">
        <v>3756</v>
      </c>
      <c r="K8171" t="s">
        <v>259</v>
      </c>
      <c r="M8171">
        <v>7</v>
      </c>
      <c r="V8171">
        <v>21</v>
      </c>
    </row>
    <row r="8172" spans="1:22" customFormat="1" x14ac:dyDescent="0.25">
      <c r="A8172" t="s">
        <v>259</v>
      </c>
      <c r="C8172" t="s">
        <v>3757</v>
      </c>
      <c r="E8172" s="1551" t="s">
        <v>944</v>
      </c>
      <c r="F8172" s="1551"/>
      <c r="G8172" s="1551"/>
      <c r="H8172" s="1551"/>
      <c r="V8172">
        <v>27</v>
      </c>
    </row>
    <row r="8173" spans="1:22" customFormat="1" ht="15.75" x14ac:dyDescent="0.25">
      <c r="A8173" t="s">
        <v>259</v>
      </c>
      <c r="C8173" t="s">
        <v>3758</v>
      </c>
      <c r="E8173" s="1543" t="s">
        <v>6511</v>
      </c>
      <c r="F8173" s="1543"/>
      <c r="G8173" s="1543"/>
      <c r="H8173" s="1543"/>
      <c r="S8173">
        <v>45658</v>
      </c>
      <c r="V8173">
        <v>49</v>
      </c>
    </row>
    <row r="8174" spans="1:22" customFormat="1" ht="15" x14ac:dyDescent="0.25">
      <c r="A8174" t="s">
        <v>259</v>
      </c>
      <c r="C8174" t="s">
        <v>3759</v>
      </c>
      <c r="E8174" s="1544" t="s">
        <v>945</v>
      </c>
      <c r="F8174" s="1544"/>
      <c r="G8174" s="1544"/>
      <c r="H8174" s="1544"/>
      <c r="V8174">
        <v>52</v>
      </c>
    </row>
    <row r="8175" spans="1:22" customFormat="1" ht="15" x14ac:dyDescent="0.25">
      <c r="A8175" t="s">
        <v>259</v>
      </c>
      <c r="E8175" s="1544" t="s">
        <v>946</v>
      </c>
      <c r="F8175" s="1544"/>
      <c r="G8175" s="1544"/>
      <c r="H8175" s="1544"/>
      <c r="V8175">
        <v>53</v>
      </c>
    </row>
    <row r="8176" spans="1:22" customFormat="1" ht="15" x14ac:dyDescent="0.25">
      <c r="A8176" t="s">
        <v>259</v>
      </c>
      <c r="E8176" s="1513" t="s">
        <v>6867</v>
      </c>
      <c r="F8176" s="1513"/>
      <c r="G8176" s="1513"/>
      <c r="H8176" s="1513"/>
      <c r="K8176" t="s">
        <v>6867</v>
      </c>
      <c r="V8176">
        <v>12</v>
      </c>
    </row>
    <row r="8177" spans="1:22" customFormat="1" ht="15" x14ac:dyDescent="0.25">
      <c r="A8177" t="s">
        <v>259</v>
      </c>
      <c r="E8177" s="1492" t="s">
        <v>170</v>
      </c>
      <c r="F8177" s="1516"/>
      <c r="G8177" s="1516"/>
      <c r="H8177" s="1516"/>
      <c r="K8177" t="s">
        <v>947</v>
      </c>
      <c r="V8177">
        <v>34</v>
      </c>
    </row>
    <row r="8178" spans="1:22" customFormat="1" ht="15" x14ac:dyDescent="0.25">
      <c r="A8178" t="s">
        <v>259</v>
      </c>
      <c r="E8178" s="1516" t="s">
        <v>3760</v>
      </c>
      <c r="F8178" s="1516"/>
      <c r="G8178" s="1516"/>
      <c r="H8178" s="1516"/>
      <c r="K8178" t="s">
        <v>947</v>
      </c>
      <c r="V8178">
        <v>620</v>
      </c>
    </row>
    <row r="8179" spans="1:22" customFormat="1" ht="15" x14ac:dyDescent="0.25">
      <c r="A8179" t="s">
        <v>259</v>
      </c>
      <c r="E8179" s="1515" t="s">
        <v>950</v>
      </c>
      <c r="F8179" s="1516"/>
      <c r="G8179" s="1516"/>
      <c r="H8179" s="1516"/>
      <c r="K8179" t="s">
        <v>949</v>
      </c>
      <c r="V8179">
        <v>11</v>
      </c>
    </row>
    <row r="8180" spans="1:22" customFormat="1" ht="15" x14ac:dyDescent="0.25">
      <c r="A8180" t="s">
        <v>259</v>
      </c>
      <c r="E8180" s="1516" t="s">
        <v>951</v>
      </c>
      <c r="F8180" s="1516"/>
      <c r="G8180" s="1516"/>
      <c r="H8180" s="1516"/>
      <c r="K8180" t="s">
        <v>947</v>
      </c>
      <c r="V8180">
        <v>280</v>
      </c>
    </row>
    <row r="8181" spans="1:22" customFormat="1" ht="15" x14ac:dyDescent="0.25">
      <c r="A8181" t="s">
        <v>259</v>
      </c>
      <c r="E8181" s="1516" t="s">
        <v>952</v>
      </c>
      <c r="F8181" s="1516"/>
      <c r="G8181" s="1516"/>
      <c r="H8181" s="1516"/>
      <c r="K8181" t="s">
        <v>947</v>
      </c>
      <c r="V8181">
        <v>411</v>
      </c>
    </row>
    <row r="8182" spans="1:22" customFormat="1" ht="15" x14ac:dyDescent="0.25">
      <c r="A8182" t="s">
        <v>259</v>
      </c>
      <c r="E8182" s="1516" t="s">
        <v>3761</v>
      </c>
      <c r="F8182" s="1516"/>
      <c r="G8182" s="1516"/>
      <c r="H8182" s="1516"/>
      <c r="K8182" t="s">
        <v>947</v>
      </c>
      <c r="V8182">
        <v>387</v>
      </c>
    </row>
    <row r="8183" spans="1:22" customFormat="1" ht="15" x14ac:dyDescent="0.25">
      <c r="A8183" t="s">
        <v>259</v>
      </c>
      <c r="E8183" s="1516" t="s">
        <v>3762</v>
      </c>
      <c r="F8183" s="1516"/>
      <c r="G8183" s="1516"/>
      <c r="H8183" s="1516"/>
      <c r="K8183" t="s">
        <v>947</v>
      </c>
      <c r="V8183">
        <v>247</v>
      </c>
    </row>
    <row r="8184" spans="1:22" customFormat="1" ht="15" x14ac:dyDescent="0.25">
      <c r="A8184" t="s">
        <v>259</v>
      </c>
      <c r="E8184" s="1596" t="s">
        <v>956</v>
      </c>
      <c r="F8184" s="1572"/>
      <c r="G8184" s="1572"/>
      <c r="H8184" s="1572"/>
      <c r="K8184" t="s">
        <v>955</v>
      </c>
      <c r="V8184">
        <v>46</v>
      </c>
    </row>
    <row r="8185" spans="1:22" customFormat="1" ht="15" x14ac:dyDescent="0.25">
      <c r="A8185" t="s">
        <v>259</v>
      </c>
      <c r="E8185" s="1561" t="s">
        <v>3763</v>
      </c>
      <c r="F8185" s="1561"/>
      <c r="G8185" s="584" t="s">
        <v>777</v>
      </c>
      <c r="H8185" s="576">
        <v>22.51</v>
      </c>
      <c r="K8185" t="s">
        <v>947</v>
      </c>
      <c r="L8185" t="s">
        <v>690</v>
      </c>
      <c r="P8185" t="s">
        <v>957</v>
      </c>
      <c r="V8185">
        <v>15</v>
      </c>
    </row>
    <row r="8186" spans="1:22" customFormat="1" ht="15" x14ac:dyDescent="0.25">
      <c r="A8186" t="s">
        <v>259</v>
      </c>
      <c r="E8186" s="1561" t="s">
        <v>6868</v>
      </c>
      <c r="F8186" s="1561"/>
      <c r="G8186" s="584" t="s">
        <v>777</v>
      </c>
      <c r="H8186" s="576">
        <v>-1.17</v>
      </c>
      <c r="K8186" t="s">
        <v>947</v>
      </c>
      <c r="L8186" t="s">
        <v>692</v>
      </c>
      <c r="P8186" t="s">
        <v>963</v>
      </c>
      <c r="T8186">
        <v>46022</v>
      </c>
      <c r="V8186">
        <v>100</v>
      </c>
    </row>
    <row r="8187" spans="1:22" customFormat="1" ht="15" x14ac:dyDescent="0.25">
      <c r="A8187" t="s">
        <v>259</v>
      </c>
      <c r="E8187" s="1606" t="s">
        <v>960</v>
      </c>
      <c r="F8187" s="1606"/>
      <c r="G8187" s="584" t="s">
        <v>777</v>
      </c>
      <c r="H8187" s="576">
        <v>0.42</v>
      </c>
      <c r="K8187" t="s">
        <v>947</v>
      </c>
      <c r="L8187" t="s">
        <v>692</v>
      </c>
      <c r="P8187" t="s">
        <v>959</v>
      </c>
      <c r="V8187">
        <v>64</v>
      </c>
    </row>
    <row r="8188" spans="1:22" customFormat="1" ht="15" x14ac:dyDescent="0.25">
      <c r="A8188" t="s">
        <v>259</v>
      </c>
      <c r="E8188" s="1606" t="s">
        <v>910</v>
      </c>
      <c r="F8188" s="1606"/>
      <c r="G8188" s="578" t="s">
        <v>845</v>
      </c>
      <c r="H8188" s="577">
        <v>1.6999999999999999E-3</v>
      </c>
      <c r="K8188" t="s">
        <v>947</v>
      </c>
      <c r="L8188" t="s">
        <v>692</v>
      </c>
      <c r="P8188" t="s">
        <v>961</v>
      </c>
      <c r="V8188">
        <v>24</v>
      </c>
    </row>
    <row r="8189" spans="1:22" customFormat="1" ht="15" x14ac:dyDescent="0.25">
      <c r="A8189" t="s">
        <v>259</v>
      </c>
      <c r="E8189" s="1606" t="s">
        <v>5989</v>
      </c>
      <c r="F8189" s="1561"/>
      <c r="G8189" s="578" t="s">
        <v>845</v>
      </c>
      <c r="H8189" s="975">
        <v>-1.5E-3</v>
      </c>
      <c r="K8189" t="s">
        <v>947</v>
      </c>
      <c r="L8189" t="s">
        <v>692</v>
      </c>
      <c r="P8189" t="s">
        <v>963</v>
      </c>
      <c r="T8189">
        <v>46022</v>
      </c>
      <c r="V8189">
        <v>92</v>
      </c>
    </row>
    <row r="8190" spans="1:22" customFormat="1" ht="15" x14ac:dyDescent="0.25">
      <c r="A8190" t="s">
        <v>259</v>
      </c>
      <c r="E8190" s="1606" t="s">
        <v>6869</v>
      </c>
      <c r="F8190" s="1561"/>
      <c r="G8190" s="578" t="s">
        <v>845</v>
      </c>
      <c r="H8190" s="975">
        <v>-6.3E-3</v>
      </c>
      <c r="K8190" t="s">
        <v>947</v>
      </c>
      <c r="L8190" t="s">
        <v>692</v>
      </c>
      <c r="P8190" t="s">
        <v>962</v>
      </c>
      <c r="T8190">
        <v>46022</v>
      </c>
      <c r="V8190">
        <v>130</v>
      </c>
    </row>
    <row r="8191" spans="1:22" customFormat="1" ht="15" x14ac:dyDescent="0.25">
      <c r="A8191" t="s">
        <v>259</v>
      </c>
      <c r="E8191" s="1606" t="s">
        <v>243</v>
      </c>
      <c r="F8191" s="1606"/>
      <c r="G8191" s="584" t="s">
        <v>845</v>
      </c>
      <c r="H8191" s="577">
        <v>1.1599999999999999E-2</v>
      </c>
      <c r="K8191" t="s">
        <v>947</v>
      </c>
      <c r="L8191" t="s">
        <v>694</v>
      </c>
      <c r="P8191" t="s">
        <v>964</v>
      </c>
      <c r="V8191">
        <v>47</v>
      </c>
    </row>
    <row r="8192" spans="1:22" customFormat="1" ht="15" x14ac:dyDescent="0.25">
      <c r="A8192" t="s">
        <v>259</v>
      </c>
      <c r="E8192" s="1561" t="s">
        <v>175</v>
      </c>
      <c r="F8192" s="1561"/>
      <c r="G8192" s="584" t="s">
        <v>845</v>
      </c>
      <c r="H8192" s="577">
        <v>5.1999999999999998E-3</v>
      </c>
      <c r="K8192" t="s">
        <v>947</v>
      </c>
      <c r="L8192" t="s">
        <v>694</v>
      </c>
      <c r="P8192" t="s">
        <v>965</v>
      </c>
      <c r="V8192">
        <v>74</v>
      </c>
    </row>
    <row r="8193" spans="1:22" customFormat="1" ht="15" x14ac:dyDescent="0.25">
      <c r="A8193" t="s">
        <v>259</v>
      </c>
      <c r="E8193" s="1596" t="s">
        <v>967</v>
      </c>
      <c r="F8193" s="1561"/>
      <c r="G8193" s="584"/>
      <c r="H8193" s="584"/>
      <c r="K8193" t="s">
        <v>966</v>
      </c>
      <c r="V8193">
        <v>48</v>
      </c>
    </row>
    <row r="8194" spans="1:22" customFormat="1" ht="15" x14ac:dyDescent="0.25">
      <c r="A8194" t="s">
        <v>259</v>
      </c>
      <c r="E8194" s="1561" t="s">
        <v>844</v>
      </c>
      <c r="F8194" s="1561"/>
      <c r="G8194" s="360" t="s">
        <v>845</v>
      </c>
      <c r="H8194" s="577">
        <v>4.1000000000000003E-3</v>
      </c>
      <c r="K8194" t="s">
        <v>947</v>
      </c>
      <c r="L8194" t="s">
        <v>968</v>
      </c>
      <c r="P8194" t="s">
        <v>969</v>
      </c>
      <c r="V8194">
        <v>55</v>
      </c>
    </row>
    <row r="8195" spans="1:22" customFormat="1" ht="15" x14ac:dyDescent="0.25">
      <c r="A8195" t="s">
        <v>259</v>
      </c>
      <c r="E8195" s="1561" t="s">
        <v>846</v>
      </c>
      <c r="F8195" s="1561"/>
      <c r="G8195" s="360" t="s">
        <v>845</v>
      </c>
      <c r="H8195" s="577">
        <v>4.0000000000000002E-4</v>
      </c>
      <c r="K8195" t="s">
        <v>947</v>
      </c>
      <c r="L8195" t="s">
        <v>968</v>
      </c>
      <c r="P8195" t="s">
        <v>969</v>
      </c>
      <c r="V8195">
        <v>65</v>
      </c>
    </row>
    <row r="8196" spans="1:22" customFormat="1" ht="15" x14ac:dyDescent="0.25">
      <c r="A8196" t="s">
        <v>259</v>
      </c>
      <c r="E8196" s="1561" t="s">
        <v>847</v>
      </c>
      <c r="F8196" s="1561"/>
      <c r="G8196" s="360" t="s">
        <v>845</v>
      </c>
      <c r="H8196" s="577">
        <v>1.5E-3</v>
      </c>
      <c r="K8196" t="s">
        <v>947</v>
      </c>
      <c r="L8196" t="s">
        <v>968</v>
      </c>
      <c r="P8196" t="s">
        <v>970</v>
      </c>
      <c r="V8196">
        <v>57</v>
      </c>
    </row>
    <row r="8197" spans="1:22" customFormat="1" ht="15" x14ac:dyDescent="0.25">
      <c r="A8197" t="s">
        <v>259</v>
      </c>
      <c r="E8197" s="1561" t="s">
        <v>848</v>
      </c>
      <c r="F8197" s="1561"/>
      <c r="G8197" s="360" t="s">
        <v>777</v>
      </c>
      <c r="H8197" s="576">
        <v>0.25</v>
      </c>
      <c r="K8197" t="s">
        <v>947</v>
      </c>
      <c r="L8197" t="s">
        <v>968</v>
      </c>
      <c r="P8197" t="s">
        <v>971</v>
      </c>
      <c r="V8197">
        <v>63</v>
      </c>
    </row>
    <row r="8198" spans="1:22" customFormat="1" x14ac:dyDescent="0.25">
      <c r="A8198" t="s">
        <v>259</v>
      </c>
      <c r="E8198" s="1492" t="s">
        <v>174</v>
      </c>
      <c r="F8198" s="1493"/>
      <c r="G8198" s="1493"/>
      <c r="H8198" s="1493"/>
      <c r="K8198" t="s">
        <v>972</v>
      </c>
      <c r="V8198">
        <v>54</v>
      </c>
    </row>
    <row r="8199" spans="1:22" customFormat="1" ht="15" x14ac:dyDescent="0.25">
      <c r="A8199" t="s">
        <v>259</v>
      </c>
      <c r="E8199" s="1516" t="s">
        <v>3765</v>
      </c>
      <c r="F8199" s="1516"/>
      <c r="G8199" s="1516"/>
      <c r="H8199" s="1516"/>
      <c r="K8199" t="s">
        <v>972</v>
      </c>
      <c r="V8199">
        <v>402</v>
      </c>
    </row>
    <row r="8200" spans="1:22" customFormat="1" ht="15" x14ac:dyDescent="0.25">
      <c r="A8200" t="s">
        <v>259</v>
      </c>
      <c r="E8200" s="1515" t="s">
        <v>950</v>
      </c>
      <c r="F8200" s="1516"/>
      <c r="G8200" s="1516"/>
      <c r="H8200" s="1516"/>
      <c r="K8200" t="s">
        <v>974</v>
      </c>
      <c r="V8200">
        <v>11</v>
      </c>
    </row>
    <row r="8201" spans="1:22" customFormat="1" ht="15" x14ac:dyDescent="0.25">
      <c r="A8201" t="s">
        <v>259</v>
      </c>
      <c r="E8201" s="1516" t="s">
        <v>951</v>
      </c>
      <c r="F8201" s="1516"/>
      <c r="G8201" s="1516"/>
      <c r="H8201" s="1516"/>
      <c r="K8201" t="s">
        <v>972</v>
      </c>
      <c r="V8201">
        <v>280</v>
      </c>
    </row>
    <row r="8202" spans="1:22" customFormat="1" ht="15" x14ac:dyDescent="0.25">
      <c r="A8202" t="s">
        <v>259</v>
      </c>
      <c r="E8202" s="1516" t="s">
        <v>952</v>
      </c>
      <c r="F8202" s="1516"/>
      <c r="G8202" s="1516"/>
      <c r="H8202" s="1516"/>
      <c r="K8202" t="s">
        <v>972</v>
      </c>
      <c r="V8202">
        <v>411</v>
      </c>
    </row>
    <row r="8203" spans="1:22" customFormat="1" ht="15" x14ac:dyDescent="0.25">
      <c r="A8203" t="s">
        <v>259</v>
      </c>
      <c r="E8203" s="1516" t="s">
        <v>3761</v>
      </c>
      <c r="F8203" s="1516"/>
      <c r="G8203" s="1516"/>
      <c r="H8203" s="1516"/>
      <c r="K8203" t="s">
        <v>972</v>
      </c>
      <c r="V8203">
        <v>387</v>
      </c>
    </row>
    <row r="8204" spans="1:22" customFormat="1" ht="15" x14ac:dyDescent="0.25">
      <c r="A8204" t="s">
        <v>259</v>
      </c>
      <c r="E8204" s="1516" t="s">
        <v>3762</v>
      </c>
      <c r="F8204" s="1516"/>
      <c r="G8204" s="1516"/>
      <c r="H8204" s="1516"/>
      <c r="K8204" t="s">
        <v>972</v>
      </c>
      <c r="V8204">
        <v>247</v>
      </c>
    </row>
    <row r="8205" spans="1:22" customFormat="1" ht="15" x14ac:dyDescent="0.25">
      <c r="A8205" t="s">
        <v>259</v>
      </c>
      <c r="E8205" s="1596" t="s">
        <v>956</v>
      </c>
      <c r="F8205" s="1572"/>
      <c r="G8205" s="1572"/>
      <c r="H8205" s="1572"/>
      <c r="K8205" t="s">
        <v>975</v>
      </c>
      <c r="V8205">
        <v>46</v>
      </c>
    </row>
    <row r="8206" spans="1:22" customFormat="1" ht="15" x14ac:dyDescent="0.25">
      <c r="A8206" t="s">
        <v>259</v>
      </c>
      <c r="E8206" s="1561" t="s">
        <v>3763</v>
      </c>
      <c r="F8206" s="1561"/>
      <c r="G8206" s="584" t="s">
        <v>777</v>
      </c>
      <c r="H8206" s="576">
        <v>20.28</v>
      </c>
      <c r="K8206" t="s">
        <v>972</v>
      </c>
      <c r="L8206" t="s">
        <v>690</v>
      </c>
      <c r="P8206" t="s">
        <v>976</v>
      </c>
      <c r="V8206">
        <v>15</v>
      </c>
    </row>
    <row r="8207" spans="1:22" customFormat="1" ht="15" x14ac:dyDescent="0.25">
      <c r="A8207" t="s">
        <v>259</v>
      </c>
      <c r="E8207" s="1561" t="s">
        <v>960</v>
      </c>
      <c r="F8207" s="1561"/>
      <c r="G8207" s="584" t="s">
        <v>777</v>
      </c>
      <c r="H8207" s="576">
        <v>0.42</v>
      </c>
      <c r="K8207" t="s">
        <v>972</v>
      </c>
      <c r="L8207" t="s">
        <v>692</v>
      </c>
      <c r="P8207" t="s">
        <v>977</v>
      </c>
      <c r="V8207">
        <v>64</v>
      </c>
    </row>
    <row r="8208" spans="1:22" customFormat="1" ht="15" x14ac:dyDescent="0.25">
      <c r="A8208" t="s">
        <v>259</v>
      </c>
      <c r="E8208" s="1561" t="s">
        <v>979</v>
      </c>
      <c r="F8208" s="1561"/>
      <c r="G8208" s="584" t="s">
        <v>845</v>
      </c>
      <c r="H8208" s="577">
        <v>9.1999999999999998E-3</v>
      </c>
      <c r="K8208" t="s">
        <v>972</v>
      </c>
      <c r="L8208" t="s">
        <v>690</v>
      </c>
      <c r="P8208" t="s">
        <v>978</v>
      </c>
      <c r="V8208">
        <v>29</v>
      </c>
    </row>
    <row r="8209" spans="1:22" customFormat="1" ht="15" x14ac:dyDescent="0.25">
      <c r="A8209" t="s">
        <v>259</v>
      </c>
      <c r="E8209" s="1561" t="s">
        <v>910</v>
      </c>
      <c r="F8209" s="1561"/>
      <c r="G8209" s="584" t="s">
        <v>845</v>
      </c>
      <c r="H8209" s="577">
        <v>1.5E-3</v>
      </c>
      <c r="K8209" t="s">
        <v>972</v>
      </c>
      <c r="L8209" t="s">
        <v>692</v>
      </c>
      <c r="P8209" t="s">
        <v>980</v>
      </c>
      <c r="V8209">
        <v>24</v>
      </c>
    </row>
    <row r="8210" spans="1:22" customFormat="1" ht="15" x14ac:dyDescent="0.25">
      <c r="A8210" t="s">
        <v>259</v>
      </c>
      <c r="E8210" s="1606" t="s">
        <v>5989</v>
      </c>
      <c r="F8210" s="1561"/>
      <c r="G8210" s="578" t="s">
        <v>845</v>
      </c>
      <c r="H8210" s="975">
        <v>-1.1000000000000001E-3</v>
      </c>
      <c r="K8210" t="s">
        <v>972</v>
      </c>
      <c r="L8210" t="s">
        <v>692</v>
      </c>
      <c r="P8210" t="s">
        <v>982</v>
      </c>
      <c r="T8210">
        <v>46022</v>
      </c>
      <c r="V8210">
        <v>92</v>
      </c>
    </row>
    <row r="8211" spans="1:22" customFormat="1" ht="15" x14ac:dyDescent="0.25">
      <c r="A8211" t="s">
        <v>259</v>
      </c>
      <c r="E8211" s="1606" t="s">
        <v>6868</v>
      </c>
      <c r="F8211" s="1561"/>
      <c r="G8211" s="578" t="s">
        <v>845</v>
      </c>
      <c r="H8211" s="975">
        <v>-1E-3</v>
      </c>
      <c r="K8211" t="s">
        <v>972</v>
      </c>
      <c r="L8211" t="s">
        <v>692</v>
      </c>
      <c r="P8211" t="s">
        <v>982</v>
      </c>
      <c r="T8211">
        <v>46022</v>
      </c>
      <c r="V8211">
        <v>100</v>
      </c>
    </row>
    <row r="8212" spans="1:22" customFormat="1" ht="15" x14ac:dyDescent="0.25">
      <c r="A8212" t="s">
        <v>259</v>
      </c>
      <c r="E8212" s="1606" t="s">
        <v>6869</v>
      </c>
      <c r="F8212" s="1561"/>
      <c r="G8212" s="578" t="s">
        <v>845</v>
      </c>
      <c r="H8212" s="975">
        <v>-6.3E-3</v>
      </c>
      <c r="K8212" t="s">
        <v>972</v>
      </c>
      <c r="L8212" t="s">
        <v>692</v>
      </c>
      <c r="P8212" t="s">
        <v>981</v>
      </c>
      <c r="T8212">
        <v>46022</v>
      </c>
      <c r="V8212">
        <v>130</v>
      </c>
    </row>
    <row r="8213" spans="1:22" customFormat="1" ht="15" x14ac:dyDescent="0.25">
      <c r="A8213" t="s">
        <v>259</v>
      </c>
      <c r="E8213" s="1561" t="s">
        <v>243</v>
      </c>
      <c r="F8213" s="1561"/>
      <c r="G8213" s="584" t="s">
        <v>845</v>
      </c>
      <c r="H8213" s="577">
        <v>1.06E-2</v>
      </c>
      <c r="K8213" t="s">
        <v>972</v>
      </c>
      <c r="L8213" t="s">
        <v>694</v>
      </c>
      <c r="P8213" t="s">
        <v>983</v>
      </c>
      <c r="V8213">
        <v>47</v>
      </c>
    </row>
    <row r="8214" spans="1:22" customFormat="1" ht="15" x14ac:dyDescent="0.25">
      <c r="A8214" t="s">
        <v>259</v>
      </c>
      <c r="E8214" s="1561" t="s">
        <v>175</v>
      </c>
      <c r="F8214" s="1561"/>
      <c r="G8214" s="584" t="s">
        <v>845</v>
      </c>
      <c r="H8214" s="577">
        <v>4.4999999999999997E-3</v>
      </c>
      <c r="K8214" t="s">
        <v>972</v>
      </c>
      <c r="L8214" t="s">
        <v>694</v>
      </c>
      <c r="P8214" t="s">
        <v>984</v>
      </c>
      <c r="V8214">
        <v>74</v>
      </c>
    </row>
    <row r="8215" spans="1:22" customFormat="1" ht="15" x14ac:dyDescent="0.25">
      <c r="A8215" t="s">
        <v>259</v>
      </c>
      <c r="E8215" s="1596" t="s">
        <v>967</v>
      </c>
      <c r="F8215" s="1561"/>
      <c r="G8215" s="584"/>
      <c r="H8215" s="584"/>
      <c r="K8215" t="s">
        <v>985</v>
      </c>
      <c r="V8215">
        <v>48</v>
      </c>
    </row>
    <row r="8216" spans="1:22" customFormat="1" ht="15" x14ac:dyDescent="0.25">
      <c r="A8216" t="s">
        <v>259</v>
      </c>
      <c r="E8216" s="1561" t="s">
        <v>844</v>
      </c>
      <c r="F8216" s="1561"/>
      <c r="G8216" s="584" t="s">
        <v>845</v>
      </c>
      <c r="H8216" s="577">
        <v>4.1000000000000003E-3</v>
      </c>
      <c r="K8216" t="s">
        <v>972</v>
      </c>
      <c r="L8216" t="s">
        <v>968</v>
      </c>
      <c r="P8216" t="s">
        <v>986</v>
      </c>
      <c r="V8216">
        <v>55</v>
      </c>
    </row>
    <row r="8217" spans="1:22" customFormat="1" ht="15" x14ac:dyDescent="0.25">
      <c r="A8217" t="s">
        <v>259</v>
      </c>
      <c r="E8217" s="1561" t="s">
        <v>846</v>
      </c>
      <c r="F8217" s="1561"/>
      <c r="G8217" s="584" t="s">
        <v>845</v>
      </c>
      <c r="H8217" s="577">
        <v>4.0000000000000002E-4</v>
      </c>
      <c r="K8217" t="s">
        <v>972</v>
      </c>
      <c r="L8217" t="s">
        <v>968</v>
      </c>
      <c r="P8217" t="s">
        <v>986</v>
      </c>
      <c r="V8217">
        <v>65</v>
      </c>
    </row>
    <row r="8218" spans="1:22" customFormat="1" ht="15" x14ac:dyDescent="0.25">
      <c r="A8218" t="s">
        <v>259</v>
      </c>
      <c r="E8218" s="1561" t="s">
        <v>847</v>
      </c>
      <c r="F8218" s="1561"/>
      <c r="G8218" s="584" t="s">
        <v>845</v>
      </c>
      <c r="H8218" s="577">
        <v>1.5E-3</v>
      </c>
      <c r="K8218" t="s">
        <v>972</v>
      </c>
      <c r="L8218" t="s">
        <v>968</v>
      </c>
      <c r="P8218" t="s">
        <v>987</v>
      </c>
      <c r="V8218">
        <v>57</v>
      </c>
    </row>
    <row r="8219" spans="1:22" customFormat="1" ht="15" x14ac:dyDescent="0.25">
      <c r="A8219" t="s">
        <v>259</v>
      </c>
      <c r="E8219" s="1561" t="s">
        <v>848</v>
      </c>
      <c r="F8219" s="1561"/>
      <c r="G8219" s="584" t="s">
        <v>777</v>
      </c>
      <c r="H8219" s="576">
        <v>0.25</v>
      </c>
      <c r="K8219" t="s">
        <v>972</v>
      </c>
      <c r="L8219" t="s">
        <v>968</v>
      </c>
      <c r="P8219" t="s">
        <v>988</v>
      </c>
      <c r="V8219">
        <v>63</v>
      </c>
    </row>
    <row r="8220" spans="1:22" customFormat="1" x14ac:dyDescent="0.25">
      <c r="A8220" t="s">
        <v>259</v>
      </c>
      <c r="E8220" s="1492" t="s">
        <v>3767</v>
      </c>
      <c r="F8220" s="1493"/>
      <c r="G8220" s="1493"/>
      <c r="H8220" s="1493"/>
      <c r="K8220" t="s">
        <v>3768</v>
      </c>
      <c r="V8220">
        <v>53</v>
      </c>
    </row>
    <row r="8221" spans="1:22" customFormat="1" ht="15" x14ac:dyDescent="0.25">
      <c r="A8221" t="s">
        <v>259</v>
      </c>
      <c r="E8221" s="1516" t="s">
        <v>3769</v>
      </c>
      <c r="F8221" s="1516"/>
      <c r="G8221" s="1516"/>
      <c r="H8221" s="1516"/>
      <c r="K8221" t="s">
        <v>3768</v>
      </c>
      <c r="V8221">
        <v>850</v>
      </c>
    </row>
    <row r="8222" spans="1:22" customFormat="1" ht="15" x14ac:dyDescent="0.25">
      <c r="A8222" t="s">
        <v>259</v>
      </c>
      <c r="E8222" s="1515" t="s">
        <v>950</v>
      </c>
      <c r="F8222" s="1516"/>
      <c r="G8222" s="1516"/>
      <c r="H8222" s="1516"/>
      <c r="K8222" t="s">
        <v>992</v>
      </c>
      <c r="V8222">
        <v>11</v>
      </c>
    </row>
    <row r="8223" spans="1:22" customFormat="1" ht="15" x14ac:dyDescent="0.25">
      <c r="A8223" t="s">
        <v>259</v>
      </c>
      <c r="E8223" s="1516" t="s">
        <v>951</v>
      </c>
      <c r="F8223" s="1516"/>
      <c r="G8223" s="1516"/>
      <c r="H8223" s="1516"/>
      <c r="K8223" t="s">
        <v>3768</v>
      </c>
      <c r="V8223">
        <v>280</v>
      </c>
    </row>
    <row r="8224" spans="1:22" customFormat="1" ht="15" x14ac:dyDescent="0.25">
      <c r="A8224" t="s">
        <v>259</v>
      </c>
      <c r="E8224" s="1516" t="s">
        <v>952</v>
      </c>
      <c r="F8224" s="1516"/>
      <c r="G8224" s="1516"/>
      <c r="H8224" s="1516"/>
      <c r="K8224" t="s">
        <v>3768</v>
      </c>
      <c r="V8224">
        <v>411</v>
      </c>
    </row>
    <row r="8225" spans="1:22" customFormat="1" ht="15" x14ac:dyDescent="0.25">
      <c r="A8225" t="s">
        <v>259</v>
      </c>
      <c r="E8225" s="1516" t="s">
        <v>3770</v>
      </c>
      <c r="F8225" s="1516"/>
      <c r="G8225" s="1516"/>
      <c r="H8225" s="1516"/>
      <c r="K8225" t="s">
        <v>3768</v>
      </c>
      <c r="V8225">
        <v>385</v>
      </c>
    </row>
    <row r="8226" spans="1:22" customFormat="1" ht="15" x14ac:dyDescent="0.25">
      <c r="A8226" t="s">
        <v>259</v>
      </c>
      <c r="E8226" s="1516" t="s">
        <v>3771</v>
      </c>
      <c r="F8226" s="1516"/>
      <c r="G8226" s="1516"/>
      <c r="H8226" s="1516"/>
      <c r="K8226" t="s">
        <v>3768</v>
      </c>
      <c r="V8226">
        <v>677</v>
      </c>
    </row>
    <row r="8227" spans="1:22" customFormat="1" ht="15" x14ac:dyDescent="0.25">
      <c r="A8227" t="s">
        <v>259</v>
      </c>
      <c r="E8227" s="1516" t="s">
        <v>3772</v>
      </c>
      <c r="F8227" s="1516"/>
      <c r="G8227" s="1516"/>
      <c r="H8227" s="1516"/>
      <c r="K8227" t="s">
        <v>3768</v>
      </c>
      <c r="V8227">
        <v>693</v>
      </c>
    </row>
    <row r="8228" spans="1:22" customFormat="1" ht="15" x14ac:dyDescent="0.25">
      <c r="A8228" t="s">
        <v>259</v>
      </c>
      <c r="E8228" s="1516" t="s">
        <v>3762</v>
      </c>
      <c r="F8228" s="1516"/>
      <c r="G8228" s="1516"/>
      <c r="H8228" s="1516"/>
      <c r="K8228" t="s">
        <v>3768</v>
      </c>
      <c r="V8228">
        <v>247</v>
      </c>
    </row>
    <row r="8229" spans="1:22" customFormat="1" ht="15" x14ac:dyDescent="0.25">
      <c r="A8229" t="s">
        <v>259</v>
      </c>
      <c r="E8229" s="1596" t="s">
        <v>956</v>
      </c>
      <c r="F8229" s="1572"/>
      <c r="G8229" s="1572"/>
      <c r="H8229" s="1572"/>
      <c r="K8229" t="s">
        <v>995</v>
      </c>
      <c r="V8229">
        <v>46</v>
      </c>
    </row>
    <row r="8230" spans="1:22" customFormat="1" ht="15" x14ac:dyDescent="0.25">
      <c r="A8230" t="s">
        <v>259</v>
      </c>
      <c r="E8230" s="1561" t="s">
        <v>3773</v>
      </c>
      <c r="F8230" s="1561"/>
      <c r="G8230" s="584" t="s">
        <v>777</v>
      </c>
      <c r="H8230" s="576">
        <v>112</v>
      </c>
      <c r="K8230" t="s">
        <v>3768</v>
      </c>
      <c r="L8230" t="s">
        <v>690</v>
      </c>
      <c r="P8230" t="s">
        <v>3774</v>
      </c>
      <c r="V8230">
        <v>14</v>
      </c>
    </row>
    <row r="8231" spans="1:22" customFormat="1" ht="15" x14ac:dyDescent="0.25">
      <c r="A8231" t="s">
        <v>259</v>
      </c>
      <c r="E8231" s="1561" t="s">
        <v>979</v>
      </c>
      <c r="F8231" s="1561"/>
      <c r="G8231" s="584" t="s">
        <v>3775</v>
      </c>
      <c r="H8231" s="577">
        <v>2.7118000000000002</v>
      </c>
      <c r="K8231" t="s">
        <v>3768</v>
      </c>
      <c r="L8231" t="s">
        <v>690</v>
      </c>
      <c r="P8231" t="s">
        <v>3776</v>
      </c>
      <c r="V8231">
        <v>29</v>
      </c>
    </row>
    <row r="8232" spans="1:22" customFormat="1" ht="15" x14ac:dyDescent="0.25">
      <c r="A8232" t="s">
        <v>259</v>
      </c>
      <c r="E8232" s="1561" t="s">
        <v>910</v>
      </c>
      <c r="F8232" s="1561"/>
      <c r="G8232" s="584" t="s">
        <v>3775</v>
      </c>
      <c r="H8232" s="577">
        <v>0.57050000000000001</v>
      </c>
      <c r="K8232" t="s">
        <v>3768</v>
      </c>
      <c r="L8232" t="s">
        <v>692</v>
      </c>
      <c r="P8232" t="s">
        <v>3777</v>
      </c>
      <c r="V8232">
        <v>24</v>
      </c>
    </row>
    <row r="8233" spans="1:22" customFormat="1" ht="15" x14ac:dyDescent="0.25">
      <c r="A8233" t="s">
        <v>259</v>
      </c>
      <c r="E8233" s="1646" t="s">
        <v>5989</v>
      </c>
      <c r="F8233" s="1561"/>
      <c r="G8233" s="976" t="s">
        <v>3775</v>
      </c>
      <c r="H8233" s="975">
        <v>-0.38329999999999997</v>
      </c>
      <c r="K8233" t="s">
        <v>3768</v>
      </c>
      <c r="L8233" t="s">
        <v>692</v>
      </c>
      <c r="P8233" t="s">
        <v>3779</v>
      </c>
      <c r="T8233">
        <v>46022</v>
      </c>
      <c r="V8233">
        <v>92</v>
      </c>
    </row>
    <row r="8234" spans="1:22" customFormat="1" ht="15" x14ac:dyDescent="0.25">
      <c r="A8234" t="s">
        <v>259</v>
      </c>
      <c r="E8234" s="1646" t="s">
        <v>6868</v>
      </c>
      <c r="F8234" s="1561"/>
      <c r="G8234" s="976" t="s">
        <v>3775</v>
      </c>
      <c r="H8234" s="975">
        <v>-0.20200000000000001</v>
      </c>
      <c r="K8234" t="s">
        <v>3768</v>
      </c>
      <c r="L8234" t="s">
        <v>692</v>
      </c>
      <c r="P8234" t="s">
        <v>3779</v>
      </c>
      <c r="T8234">
        <v>46022</v>
      </c>
      <c r="V8234">
        <v>100</v>
      </c>
    </row>
    <row r="8235" spans="1:22" customFormat="1" ht="15" x14ac:dyDescent="0.25">
      <c r="A8235" t="s">
        <v>259</v>
      </c>
      <c r="E8235" s="1646" t="s">
        <v>6869</v>
      </c>
      <c r="F8235" s="1561"/>
      <c r="G8235" s="976" t="s">
        <v>845</v>
      </c>
      <c r="H8235" s="975">
        <v>-6.3E-3</v>
      </c>
      <c r="K8235" t="s">
        <v>3768</v>
      </c>
      <c r="L8235" t="s">
        <v>692</v>
      </c>
      <c r="P8235" t="s">
        <v>4232</v>
      </c>
      <c r="T8235">
        <v>46022</v>
      </c>
      <c r="V8235">
        <v>130</v>
      </c>
    </row>
    <row r="8236" spans="1:22" customFormat="1" ht="15" x14ac:dyDescent="0.25">
      <c r="A8236" t="s">
        <v>259</v>
      </c>
      <c r="E8236" s="1561" t="s">
        <v>243</v>
      </c>
      <c r="F8236" s="1561"/>
      <c r="G8236" s="584" t="s">
        <v>3775</v>
      </c>
      <c r="H8236" s="577">
        <v>4.3559999999999999</v>
      </c>
      <c r="K8236" t="s">
        <v>3768</v>
      </c>
      <c r="L8236" t="s">
        <v>694</v>
      </c>
      <c r="P8236" t="s">
        <v>3780</v>
      </c>
      <c r="V8236">
        <v>47</v>
      </c>
    </row>
    <row r="8237" spans="1:22" customFormat="1" ht="15" x14ac:dyDescent="0.25">
      <c r="A8237" t="s">
        <v>259</v>
      </c>
      <c r="E8237" s="1561" t="s">
        <v>175</v>
      </c>
      <c r="F8237" s="1561"/>
      <c r="G8237" s="584" t="s">
        <v>3775</v>
      </c>
      <c r="H8237" s="577">
        <v>1.8444</v>
      </c>
      <c r="K8237" t="s">
        <v>3768</v>
      </c>
      <c r="L8237" t="s">
        <v>694</v>
      </c>
      <c r="P8237" t="s">
        <v>3781</v>
      </c>
      <c r="V8237">
        <v>74</v>
      </c>
    </row>
    <row r="8238" spans="1:22" customFormat="1" ht="15" x14ac:dyDescent="0.25">
      <c r="A8238" t="s">
        <v>259</v>
      </c>
      <c r="E8238" s="1596" t="s">
        <v>967</v>
      </c>
      <c r="F8238" s="1561"/>
      <c r="G8238" s="584"/>
      <c r="H8238" s="584"/>
      <c r="K8238" t="s">
        <v>1003</v>
      </c>
      <c r="V8238">
        <v>48</v>
      </c>
    </row>
    <row r="8239" spans="1:22" customFormat="1" ht="15" x14ac:dyDescent="0.25">
      <c r="A8239" t="s">
        <v>259</v>
      </c>
      <c r="E8239" s="1561" t="s">
        <v>844</v>
      </c>
      <c r="F8239" s="1561"/>
      <c r="G8239" s="360" t="s">
        <v>845</v>
      </c>
      <c r="H8239" s="577">
        <v>4.1000000000000003E-3</v>
      </c>
      <c r="K8239" t="s">
        <v>3768</v>
      </c>
      <c r="L8239" t="s">
        <v>968</v>
      </c>
      <c r="P8239" t="s">
        <v>3782</v>
      </c>
      <c r="V8239">
        <v>55</v>
      </c>
    </row>
    <row r="8240" spans="1:22" customFormat="1" ht="15" x14ac:dyDescent="0.25">
      <c r="A8240" t="s">
        <v>259</v>
      </c>
      <c r="E8240" s="1561" t="s">
        <v>846</v>
      </c>
      <c r="F8240" s="1561"/>
      <c r="G8240" s="360" t="s">
        <v>845</v>
      </c>
      <c r="H8240" s="577">
        <v>4.0000000000000002E-4</v>
      </c>
      <c r="K8240" t="s">
        <v>3768</v>
      </c>
      <c r="L8240" t="s">
        <v>968</v>
      </c>
      <c r="P8240" t="s">
        <v>3782</v>
      </c>
      <c r="V8240">
        <v>65</v>
      </c>
    </row>
    <row r="8241" spans="1:22" customFormat="1" ht="15" x14ac:dyDescent="0.25">
      <c r="A8241" t="s">
        <v>259</v>
      </c>
      <c r="E8241" s="1561" t="s">
        <v>847</v>
      </c>
      <c r="F8241" s="1561"/>
      <c r="G8241" s="360" t="s">
        <v>845</v>
      </c>
      <c r="H8241" s="577">
        <v>1.5E-3</v>
      </c>
      <c r="K8241" t="s">
        <v>3768</v>
      </c>
      <c r="L8241" t="s">
        <v>968</v>
      </c>
      <c r="P8241" t="s">
        <v>3783</v>
      </c>
      <c r="V8241">
        <v>57</v>
      </c>
    </row>
    <row r="8242" spans="1:22" customFormat="1" ht="15" x14ac:dyDescent="0.25">
      <c r="A8242" t="s">
        <v>259</v>
      </c>
      <c r="E8242" s="1561" t="s">
        <v>848</v>
      </c>
      <c r="F8242" s="1561"/>
      <c r="G8242" s="360" t="s">
        <v>777</v>
      </c>
      <c r="H8242" s="576">
        <v>0.25</v>
      </c>
      <c r="K8242" t="s">
        <v>3768</v>
      </c>
      <c r="L8242" t="s">
        <v>968</v>
      </c>
      <c r="P8242" t="s">
        <v>3784</v>
      </c>
      <c r="V8242">
        <v>63</v>
      </c>
    </row>
    <row r="8243" spans="1:22" customFormat="1" x14ac:dyDescent="0.25">
      <c r="A8243" t="s">
        <v>259</v>
      </c>
      <c r="E8243" s="1492" t="s">
        <v>194</v>
      </c>
      <c r="F8243" s="1493"/>
      <c r="G8243" s="1493"/>
      <c r="H8243" s="1493"/>
      <c r="K8243" t="s">
        <v>3785</v>
      </c>
      <c r="V8243">
        <v>47</v>
      </c>
    </row>
    <row r="8244" spans="1:22" customFormat="1" ht="15" x14ac:dyDescent="0.25">
      <c r="A8244" t="s">
        <v>259</v>
      </c>
      <c r="E8244" s="1516" t="s">
        <v>3786</v>
      </c>
      <c r="F8244" s="1516"/>
      <c r="G8244" s="1516"/>
      <c r="H8244" s="1516"/>
      <c r="K8244" t="s">
        <v>3785</v>
      </c>
      <c r="V8244">
        <v>721</v>
      </c>
    </row>
    <row r="8245" spans="1:22" customFormat="1" ht="15" x14ac:dyDescent="0.25">
      <c r="A8245" t="s">
        <v>259</v>
      </c>
      <c r="E8245" s="1515" t="s">
        <v>950</v>
      </c>
      <c r="F8245" s="1516"/>
      <c r="G8245" s="1516"/>
      <c r="H8245" s="1516"/>
      <c r="K8245" t="s">
        <v>1010</v>
      </c>
      <c r="V8245">
        <v>11</v>
      </c>
    </row>
    <row r="8246" spans="1:22" customFormat="1" ht="15" x14ac:dyDescent="0.25">
      <c r="A8246" t="s">
        <v>259</v>
      </c>
      <c r="E8246" s="1516" t="s">
        <v>951</v>
      </c>
      <c r="F8246" s="1516"/>
      <c r="G8246" s="1516"/>
      <c r="H8246" s="1516"/>
      <c r="K8246" t="s">
        <v>3785</v>
      </c>
      <c r="V8246">
        <v>280</v>
      </c>
    </row>
    <row r="8247" spans="1:22" customFormat="1" ht="15" x14ac:dyDescent="0.25">
      <c r="A8247" t="s">
        <v>259</v>
      </c>
      <c r="E8247" s="1516" t="s">
        <v>952</v>
      </c>
      <c r="F8247" s="1516"/>
      <c r="G8247" s="1516"/>
      <c r="H8247" s="1516"/>
      <c r="K8247" t="s">
        <v>3785</v>
      </c>
      <c r="V8247">
        <v>411</v>
      </c>
    </row>
    <row r="8248" spans="1:22" customFormat="1" ht="15" x14ac:dyDescent="0.25">
      <c r="A8248" t="s">
        <v>259</v>
      </c>
      <c r="E8248" s="1516" t="s">
        <v>3761</v>
      </c>
      <c r="F8248" s="1516"/>
      <c r="G8248" s="1516"/>
      <c r="H8248" s="1516"/>
      <c r="K8248" t="s">
        <v>3785</v>
      </c>
      <c r="V8248">
        <v>387</v>
      </c>
    </row>
    <row r="8249" spans="1:22" customFormat="1" ht="15" x14ac:dyDescent="0.25">
      <c r="A8249" t="s">
        <v>259</v>
      </c>
      <c r="E8249" s="1516" t="s">
        <v>3762</v>
      </c>
      <c r="F8249" s="1516"/>
      <c r="G8249" s="1516"/>
      <c r="H8249" s="1516"/>
      <c r="K8249" t="s">
        <v>3785</v>
      </c>
      <c r="V8249">
        <v>247</v>
      </c>
    </row>
    <row r="8250" spans="1:22" customFormat="1" ht="15" x14ac:dyDescent="0.25">
      <c r="A8250" t="s">
        <v>259</v>
      </c>
      <c r="E8250" s="1596" t="s">
        <v>956</v>
      </c>
      <c r="F8250" s="1572"/>
      <c r="G8250" s="1572"/>
      <c r="H8250" s="1572"/>
      <c r="K8250" t="s">
        <v>1011</v>
      </c>
      <c r="V8250">
        <v>46</v>
      </c>
    </row>
    <row r="8251" spans="1:22" customFormat="1" ht="15" x14ac:dyDescent="0.25">
      <c r="A8251" t="s">
        <v>259</v>
      </c>
      <c r="E8251" s="1561" t="s">
        <v>3787</v>
      </c>
      <c r="F8251" s="1561"/>
      <c r="G8251" s="584" t="s">
        <v>777</v>
      </c>
      <c r="H8251" s="576">
        <v>9.6199999999999992</v>
      </c>
      <c r="K8251" t="s">
        <v>3785</v>
      </c>
      <c r="L8251" t="s">
        <v>690</v>
      </c>
      <c r="P8251" t="s">
        <v>3788</v>
      </c>
      <c r="V8251">
        <v>30</v>
      </c>
    </row>
    <row r="8252" spans="1:22" customFormat="1" ht="15" x14ac:dyDescent="0.25">
      <c r="A8252" t="s">
        <v>259</v>
      </c>
      <c r="E8252" s="1561" t="s">
        <v>979</v>
      </c>
      <c r="F8252" s="1561"/>
      <c r="G8252" s="584" t="s">
        <v>845</v>
      </c>
      <c r="H8252" s="577">
        <v>5.7000000000000002E-3</v>
      </c>
      <c r="K8252" t="s">
        <v>3785</v>
      </c>
      <c r="L8252" t="s">
        <v>690</v>
      </c>
      <c r="P8252" t="s">
        <v>3789</v>
      </c>
      <c r="V8252">
        <v>29</v>
      </c>
    </row>
    <row r="8253" spans="1:22" customFormat="1" ht="15" x14ac:dyDescent="0.25">
      <c r="A8253" t="s">
        <v>259</v>
      </c>
      <c r="E8253" s="1561" t="s">
        <v>910</v>
      </c>
      <c r="F8253" s="1561"/>
      <c r="G8253" s="584" t="s">
        <v>845</v>
      </c>
      <c r="H8253" s="577">
        <v>1.5E-3</v>
      </c>
      <c r="K8253" t="s">
        <v>3785</v>
      </c>
      <c r="L8253" t="s">
        <v>692</v>
      </c>
      <c r="P8253" t="s">
        <v>3790</v>
      </c>
      <c r="V8253">
        <v>24</v>
      </c>
    </row>
    <row r="8254" spans="1:22" customFormat="1" ht="15" x14ac:dyDescent="0.25">
      <c r="A8254" t="s">
        <v>259</v>
      </c>
      <c r="E8254" s="1606" t="s">
        <v>5989</v>
      </c>
      <c r="F8254" s="1561"/>
      <c r="G8254" s="578" t="s">
        <v>845</v>
      </c>
      <c r="H8254" s="975">
        <v>-1E-3</v>
      </c>
      <c r="K8254" t="s">
        <v>3785</v>
      </c>
      <c r="L8254" t="s">
        <v>692</v>
      </c>
      <c r="P8254" t="s">
        <v>3792</v>
      </c>
      <c r="T8254">
        <v>46022</v>
      </c>
      <c r="V8254">
        <v>92</v>
      </c>
    </row>
    <row r="8255" spans="1:22" customFormat="1" ht="15" x14ac:dyDescent="0.25">
      <c r="A8255" t="s">
        <v>259</v>
      </c>
      <c r="E8255" s="1606" t="s">
        <v>6868</v>
      </c>
      <c r="F8255" s="1561"/>
      <c r="G8255" s="578" t="s">
        <v>845</v>
      </c>
      <c r="H8255" s="975">
        <v>-5.9999999999999995E-4</v>
      </c>
      <c r="K8255" t="s">
        <v>3785</v>
      </c>
      <c r="L8255" t="s">
        <v>692</v>
      </c>
      <c r="P8255" t="s">
        <v>3792</v>
      </c>
      <c r="T8255">
        <v>46022</v>
      </c>
      <c r="V8255">
        <v>100</v>
      </c>
    </row>
    <row r="8256" spans="1:22" customFormat="1" ht="15" x14ac:dyDescent="0.25">
      <c r="A8256" t="s">
        <v>259</v>
      </c>
      <c r="E8256" s="1606" t="s">
        <v>6869</v>
      </c>
      <c r="F8256" s="1561"/>
      <c r="G8256" s="578" t="s">
        <v>845</v>
      </c>
      <c r="H8256" s="975">
        <v>-6.3E-3</v>
      </c>
      <c r="K8256" t="s">
        <v>3785</v>
      </c>
      <c r="L8256" t="s">
        <v>692</v>
      </c>
      <c r="P8256" t="s">
        <v>4818</v>
      </c>
      <c r="T8256">
        <v>46022</v>
      </c>
      <c r="V8256">
        <v>130</v>
      </c>
    </row>
    <row r="8257" spans="1:22" customFormat="1" ht="15" x14ac:dyDescent="0.25">
      <c r="A8257" t="s">
        <v>259</v>
      </c>
      <c r="E8257" s="1561" t="s">
        <v>243</v>
      </c>
      <c r="F8257" s="1561"/>
      <c r="G8257" s="584" t="s">
        <v>845</v>
      </c>
      <c r="H8257" s="577">
        <v>1.06E-2</v>
      </c>
      <c r="K8257" t="s">
        <v>3785</v>
      </c>
      <c r="L8257" t="s">
        <v>694</v>
      </c>
      <c r="P8257" t="s">
        <v>3793</v>
      </c>
      <c r="V8257">
        <v>47</v>
      </c>
    </row>
    <row r="8258" spans="1:22" customFormat="1" ht="15" x14ac:dyDescent="0.25">
      <c r="A8258" t="s">
        <v>259</v>
      </c>
      <c r="E8258" s="1561" t="s">
        <v>175</v>
      </c>
      <c r="F8258" s="1561"/>
      <c r="G8258" s="584" t="s">
        <v>845</v>
      </c>
      <c r="H8258" s="577">
        <v>4.4999999999999997E-3</v>
      </c>
      <c r="K8258" t="s">
        <v>3785</v>
      </c>
      <c r="L8258" t="s">
        <v>694</v>
      </c>
      <c r="P8258" t="s">
        <v>3794</v>
      </c>
      <c r="V8258">
        <v>74</v>
      </c>
    </row>
    <row r="8259" spans="1:22" customFormat="1" ht="15" x14ac:dyDescent="0.25">
      <c r="A8259" t="s">
        <v>259</v>
      </c>
      <c r="E8259" s="1596" t="s">
        <v>967</v>
      </c>
      <c r="F8259" s="1561"/>
      <c r="G8259" s="584"/>
      <c r="H8259" s="584"/>
      <c r="K8259" t="s">
        <v>1019</v>
      </c>
      <c r="V8259">
        <v>48</v>
      </c>
    </row>
    <row r="8260" spans="1:22" customFormat="1" ht="15" x14ac:dyDescent="0.25">
      <c r="A8260" t="s">
        <v>259</v>
      </c>
      <c r="E8260" s="1561" t="s">
        <v>844</v>
      </c>
      <c r="F8260" s="1561"/>
      <c r="G8260" s="360" t="s">
        <v>845</v>
      </c>
      <c r="H8260" s="577">
        <v>4.1000000000000003E-3</v>
      </c>
      <c r="K8260" t="s">
        <v>3785</v>
      </c>
      <c r="L8260" t="s">
        <v>968</v>
      </c>
      <c r="P8260" t="s">
        <v>3795</v>
      </c>
      <c r="V8260">
        <v>55</v>
      </c>
    </row>
    <row r="8261" spans="1:22" customFormat="1" ht="15" x14ac:dyDescent="0.25">
      <c r="A8261" t="s">
        <v>259</v>
      </c>
      <c r="E8261" s="1561" t="s">
        <v>846</v>
      </c>
      <c r="F8261" s="1561"/>
      <c r="G8261" s="360" t="s">
        <v>845</v>
      </c>
      <c r="H8261" s="577">
        <v>4.0000000000000002E-4</v>
      </c>
      <c r="K8261" t="s">
        <v>3785</v>
      </c>
      <c r="L8261" t="s">
        <v>968</v>
      </c>
      <c r="P8261" t="s">
        <v>3795</v>
      </c>
      <c r="V8261">
        <v>65</v>
      </c>
    </row>
    <row r="8262" spans="1:22" customFormat="1" ht="15" x14ac:dyDescent="0.25">
      <c r="A8262" t="s">
        <v>259</v>
      </c>
      <c r="E8262" s="1561" t="s">
        <v>847</v>
      </c>
      <c r="F8262" s="1561"/>
      <c r="G8262" s="360" t="s">
        <v>845</v>
      </c>
      <c r="H8262" s="577">
        <v>1.5E-3</v>
      </c>
      <c r="K8262" t="s">
        <v>3785</v>
      </c>
      <c r="L8262" t="s">
        <v>968</v>
      </c>
      <c r="P8262" t="s">
        <v>3796</v>
      </c>
      <c r="V8262">
        <v>57</v>
      </c>
    </row>
    <row r="8263" spans="1:22" customFormat="1" ht="15" x14ac:dyDescent="0.25">
      <c r="A8263" t="s">
        <v>259</v>
      </c>
      <c r="E8263" s="1561" t="s">
        <v>848</v>
      </c>
      <c r="F8263" s="1561"/>
      <c r="G8263" s="360" t="s">
        <v>777</v>
      </c>
      <c r="H8263" s="576">
        <v>0.25</v>
      </c>
      <c r="K8263" t="s">
        <v>3785</v>
      </c>
      <c r="L8263" t="s">
        <v>968</v>
      </c>
      <c r="P8263" t="s">
        <v>3797</v>
      </c>
      <c r="V8263">
        <v>63</v>
      </c>
    </row>
    <row r="8264" spans="1:22" customFormat="1" x14ac:dyDescent="0.25">
      <c r="A8264" t="s">
        <v>259</v>
      </c>
      <c r="E8264" s="1492" t="s">
        <v>198</v>
      </c>
      <c r="F8264" s="1493"/>
      <c r="G8264" s="1493"/>
      <c r="H8264" s="1493"/>
      <c r="K8264" t="s">
        <v>3798</v>
      </c>
      <c r="V8264">
        <v>40</v>
      </c>
    </row>
    <row r="8265" spans="1:22" customFormat="1" ht="15" x14ac:dyDescent="0.25">
      <c r="A8265" t="s">
        <v>259</v>
      </c>
      <c r="E8265" s="1516" t="s">
        <v>3799</v>
      </c>
      <c r="F8265" s="1516"/>
      <c r="G8265" s="1516"/>
      <c r="H8265" s="1516"/>
      <c r="K8265" t="s">
        <v>3798</v>
      </c>
      <c r="V8265">
        <v>324</v>
      </c>
    </row>
    <row r="8266" spans="1:22" customFormat="1" ht="15" x14ac:dyDescent="0.25">
      <c r="A8266" t="s">
        <v>259</v>
      </c>
      <c r="E8266" s="1515" t="s">
        <v>950</v>
      </c>
      <c r="F8266" s="1516"/>
      <c r="G8266" s="1516"/>
      <c r="H8266" s="1516"/>
      <c r="K8266" t="s">
        <v>1025</v>
      </c>
      <c r="V8266">
        <v>11</v>
      </c>
    </row>
    <row r="8267" spans="1:22" customFormat="1" ht="15" x14ac:dyDescent="0.25">
      <c r="A8267" t="s">
        <v>259</v>
      </c>
      <c r="E8267" s="1516" t="s">
        <v>951</v>
      </c>
      <c r="F8267" s="1516"/>
      <c r="G8267" s="1516"/>
      <c r="H8267" s="1516"/>
      <c r="K8267" t="s">
        <v>3798</v>
      </c>
      <c r="V8267">
        <v>280</v>
      </c>
    </row>
    <row r="8268" spans="1:22" customFormat="1" ht="15" x14ac:dyDescent="0.25">
      <c r="A8268" t="s">
        <v>259</v>
      </c>
      <c r="E8268" s="1516" t="s">
        <v>952</v>
      </c>
      <c r="F8268" s="1516"/>
      <c r="G8268" s="1516"/>
      <c r="H8268" s="1516"/>
      <c r="K8268" t="s">
        <v>3798</v>
      </c>
      <c r="V8268">
        <v>411</v>
      </c>
    </row>
    <row r="8269" spans="1:22" customFormat="1" ht="15" x14ac:dyDescent="0.25">
      <c r="A8269" t="s">
        <v>259</v>
      </c>
      <c r="E8269" s="1516" t="s">
        <v>3761</v>
      </c>
      <c r="F8269" s="1516"/>
      <c r="G8269" s="1516"/>
      <c r="H8269" s="1516"/>
      <c r="K8269" t="s">
        <v>3798</v>
      </c>
      <c r="V8269">
        <v>387</v>
      </c>
    </row>
    <row r="8270" spans="1:22" customFormat="1" ht="15" x14ac:dyDescent="0.25">
      <c r="A8270" t="s">
        <v>259</v>
      </c>
      <c r="E8270" s="1516" t="s">
        <v>3762</v>
      </c>
      <c r="F8270" s="1516"/>
      <c r="G8270" s="1516"/>
      <c r="H8270" s="1516"/>
      <c r="K8270" t="s">
        <v>3798</v>
      </c>
      <c r="V8270">
        <v>247</v>
      </c>
    </row>
    <row r="8271" spans="1:22" customFormat="1" ht="15" x14ac:dyDescent="0.25">
      <c r="A8271" t="s">
        <v>259</v>
      </c>
      <c r="E8271" s="1596" t="s">
        <v>956</v>
      </c>
      <c r="F8271" s="1572"/>
      <c r="G8271" s="1572"/>
      <c r="H8271" s="1572"/>
      <c r="K8271" t="s">
        <v>1026</v>
      </c>
      <c r="V8271">
        <v>46</v>
      </c>
    </row>
    <row r="8272" spans="1:22" customFormat="1" ht="15" x14ac:dyDescent="0.25">
      <c r="A8272" t="s">
        <v>259</v>
      </c>
      <c r="E8272" s="1561" t="s">
        <v>3800</v>
      </c>
      <c r="F8272" s="1561"/>
      <c r="G8272" s="584" t="s">
        <v>777</v>
      </c>
      <c r="H8272" s="576">
        <v>1.74</v>
      </c>
      <c r="K8272" t="s">
        <v>3798</v>
      </c>
      <c r="L8272" t="s">
        <v>690</v>
      </c>
      <c r="P8272" t="s">
        <v>3801</v>
      </c>
      <c r="V8272">
        <v>32</v>
      </c>
    </row>
    <row r="8273" spans="1:22" customFormat="1" ht="15" x14ac:dyDescent="0.25">
      <c r="A8273" t="s">
        <v>259</v>
      </c>
      <c r="E8273" s="1561" t="s">
        <v>979</v>
      </c>
      <c r="F8273" s="1561"/>
      <c r="G8273" s="584" t="s">
        <v>3775</v>
      </c>
      <c r="H8273" s="577">
        <v>4.0789999999999997</v>
      </c>
      <c r="K8273" t="s">
        <v>3798</v>
      </c>
      <c r="L8273" t="s">
        <v>690</v>
      </c>
      <c r="P8273" t="s">
        <v>3802</v>
      </c>
      <c r="V8273">
        <v>29</v>
      </c>
    </row>
    <row r="8274" spans="1:22" customFormat="1" ht="15" x14ac:dyDescent="0.25">
      <c r="A8274" t="s">
        <v>259</v>
      </c>
      <c r="E8274" s="1561" t="s">
        <v>910</v>
      </c>
      <c r="F8274" s="1561"/>
      <c r="G8274" s="584" t="s">
        <v>3775</v>
      </c>
      <c r="H8274" s="577">
        <v>0.90059999999999996</v>
      </c>
      <c r="K8274" t="s">
        <v>3798</v>
      </c>
      <c r="L8274" t="s">
        <v>692</v>
      </c>
      <c r="P8274" t="s">
        <v>3803</v>
      </c>
      <c r="V8274">
        <v>24</v>
      </c>
    </row>
    <row r="8275" spans="1:22" customFormat="1" ht="15" x14ac:dyDescent="0.25">
      <c r="A8275" t="s">
        <v>259</v>
      </c>
      <c r="E8275" s="1561" t="s">
        <v>5989</v>
      </c>
      <c r="F8275" s="1561"/>
      <c r="G8275" s="584" t="s">
        <v>3775</v>
      </c>
      <c r="H8275" s="577">
        <v>-5.5599999999999997E-2</v>
      </c>
      <c r="K8275" t="s">
        <v>3798</v>
      </c>
      <c r="L8275" t="s">
        <v>692</v>
      </c>
      <c r="P8275" t="s">
        <v>3805</v>
      </c>
      <c r="T8275">
        <v>46022</v>
      </c>
      <c r="V8275">
        <v>92</v>
      </c>
    </row>
    <row r="8276" spans="1:22" customFormat="1" ht="15" x14ac:dyDescent="0.25">
      <c r="A8276" t="s">
        <v>259</v>
      </c>
      <c r="E8276" s="1561" t="s">
        <v>6868</v>
      </c>
      <c r="F8276" s="1561"/>
      <c r="G8276" s="584" t="s">
        <v>3775</v>
      </c>
      <c r="H8276" s="577">
        <v>-0.2026</v>
      </c>
      <c r="K8276" t="s">
        <v>3798</v>
      </c>
      <c r="L8276" t="s">
        <v>692</v>
      </c>
      <c r="P8276" t="s">
        <v>3805</v>
      </c>
      <c r="T8276">
        <v>46022</v>
      </c>
      <c r="V8276">
        <v>100</v>
      </c>
    </row>
    <row r="8277" spans="1:22" customFormat="1" ht="15" x14ac:dyDescent="0.25">
      <c r="A8277" t="s">
        <v>259</v>
      </c>
      <c r="E8277" s="1561" t="s">
        <v>243</v>
      </c>
      <c r="F8277" s="1561"/>
      <c r="G8277" s="584" t="s">
        <v>3775</v>
      </c>
      <c r="H8277" s="577">
        <v>3.2863000000000002</v>
      </c>
      <c r="K8277" t="s">
        <v>3798</v>
      </c>
      <c r="L8277" t="s">
        <v>694</v>
      </c>
      <c r="P8277" t="s">
        <v>3806</v>
      </c>
      <c r="V8277">
        <v>47</v>
      </c>
    </row>
    <row r="8278" spans="1:22" customFormat="1" ht="15" x14ac:dyDescent="0.25">
      <c r="A8278" t="s">
        <v>259</v>
      </c>
      <c r="E8278" s="1561" t="s">
        <v>175</v>
      </c>
      <c r="F8278" s="1561"/>
      <c r="G8278" s="584" t="s">
        <v>3775</v>
      </c>
      <c r="H8278" s="577">
        <v>2.9114</v>
      </c>
      <c r="K8278" t="s">
        <v>3798</v>
      </c>
      <c r="L8278" t="s">
        <v>694</v>
      </c>
      <c r="P8278" t="s">
        <v>3807</v>
      </c>
      <c r="V8278">
        <v>74</v>
      </c>
    </row>
    <row r="8279" spans="1:22" customFormat="1" ht="15" x14ac:dyDescent="0.25">
      <c r="A8279" t="s">
        <v>259</v>
      </c>
      <c r="E8279" s="1596" t="s">
        <v>967</v>
      </c>
      <c r="F8279" s="1561"/>
      <c r="G8279" s="584"/>
      <c r="H8279" s="584"/>
      <c r="K8279" t="s">
        <v>1035</v>
      </c>
      <c r="V8279">
        <v>48</v>
      </c>
    </row>
    <row r="8280" spans="1:22" customFormat="1" ht="15" x14ac:dyDescent="0.25">
      <c r="A8280" t="s">
        <v>259</v>
      </c>
      <c r="E8280" s="1561" t="s">
        <v>844</v>
      </c>
      <c r="F8280" s="1561"/>
      <c r="G8280" s="584" t="s">
        <v>845</v>
      </c>
      <c r="H8280" s="577">
        <v>4.1000000000000003E-3</v>
      </c>
      <c r="K8280" t="s">
        <v>3798</v>
      </c>
      <c r="L8280" t="s">
        <v>968</v>
      </c>
      <c r="P8280" t="s">
        <v>3808</v>
      </c>
      <c r="V8280">
        <v>55</v>
      </c>
    </row>
    <row r="8281" spans="1:22" customFormat="1" ht="15" x14ac:dyDescent="0.25">
      <c r="A8281" t="s">
        <v>259</v>
      </c>
      <c r="E8281" s="1561" t="s">
        <v>846</v>
      </c>
      <c r="F8281" s="1561"/>
      <c r="G8281" s="584" t="s">
        <v>845</v>
      </c>
      <c r="H8281" s="577">
        <v>4.0000000000000002E-4</v>
      </c>
      <c r="K8281" t="s">
        <v>3798</v>
      </c>
      <c r="L8281" t="s">
        <v>968</v>
      </c>
      <c r="P8281" t="s">
        <v>3808</v>
      </c>
      <c r="V8281">
        <v>65</v>
      </c>
    </row>
    <row r="8282" spans="1:22" customFormat="1" ht="15" x14ac:dyDescent="0.25">
      <c r="A8282" t="s">
        <v>259</v>
      </c>
      <c r="E8282" s="1561" t="s">
        <v>847</v>
      </c>
      <c r="F8282" s="1561"/>
      <c r="G8282" s="584" t="s">
        <v>845</v>
      </c>
      <c r="H8282" s="577">
        <v>1.5E-3</v>
      </c>
      <c r="K8282" t="s">
        <v>3798</v>
      </c>
      <c r="L8282" t="s">
        <v>968</v>
      </c>
      <c r="P8282" t="s">
        <v>3809</v>
      </c>
      <c r="V8282">
        <v>57</v>
      </c>
    </row>
    <row r="8283" spans="1:22" customFormat="1" ht="15" x14ac:dyDescent="0.25">
      <c r="A8283" t="s">
        <v>259</v>
      </c>
      <c r="E8283" s="1561" t="s">
        <v>848</v>
      </c>
      <c r="F8283" s="1561"/>
      <c r="G8283" s="584" t="s">
        <v>777</v>
      </c>
      <c r="H8283" s="576">
        <v>0.25</v>
      </c>
      <c r="K8283" t="s">
        <v>3798</v>
      </c>
      <c r="L8283" t="s">
        <v>968</v>
      </c>
      <c r="P8283" t="s">
        <v>3810</v>
      </c>
      <c r="V8283">
        <v>63</v>
      </c>
    </row>
    <row r="8284" spans="1:22" customFormat="1" x14ac:dyDescent="0.25">
      <c r="A8284" t="s">
        <v>259</v>
      </c>
      <c r="E8284" s="1492" t="s">
        <v>202</v>
      </c>
      <c r="F8284" s="1493"/>
      <c r="G8284" s="1493"/>
      <c r="H8284" s="1493"/>
      <c r="K8284" t="s">
        <v>3811</v>
      </c>
      <c r="V8284">
        <v>38</v>
      </c>
    </row>
    <row r="8285" spans="1:22" customFormat="1" ht="15" x14ac:dyDescent="0.25">
      <c r="A8285" t="s">
        <v>259</v>
      </c>
      <c r="E8285" s="1516" t="s">
        <v>3812</v>
      </c>
      <c r="F8285" s="1516"/>
      <c r="G8285" s="1516"/>
      <c r="H8285" s="1516"/>
      <c r="K8285" t="s">
        <v>3811</v>
      </c>
      <c r="V8285">
        <v>334</v>
      </c>
    </row>
    <row r="8286" spans="1:22" customFormat="1" ht="15" x14ac:dyDescent="0.25">
      <c r="A8286" t="s">
        <v>259</v>
      </c>
      <c r="E8286" s="1515" t="s">
        <v>950</v>
      </c>
      <c r="F8286" s="1516"/>
      <c r="G8286" s="1516"/>
      <c r="H8286" s="1516"/>
      <c r="K8286" t="s">
        <v>1041</v>
      </c>
      <c r="V8286">
        <v>11</v>
      </c>
    </row>
    <row r="8287" spans="1:22" customFormat="1" ht="15" x14ac:dyDescent="0.25">
      <c r="A8287" t="s">
        <v>259</v>
      </c>
      <c r="E8287" s="1516" t="s">
        <v>951</v>
      </c>
      <c r="F8287" s="1516"/>
      <c r="G8287" s="1516"/>
      <c r="H8287" s="1516"/>
      <c r="K8287" t="s">
        <v>3811</v>
      </c>
      <c r="V8287">
        <v>280</v>
      </c>
    </row>
    <row r="8288" spans="1:22" customFormat="1" ht="15" x14ac:dyDescent="0.25">
      <c r="A8288" t="s">
        <v>259</v>
      </c>
      <c r="E8288" s="1516" t="s">
        <v>952</v>
      </c>
      <c r="F8288" s="1516"/>
      <c r="G8288" s="1516"/>
      <c r="H8288" s="1516"/>
      <c r="K8288" t="s">
        <v>3811</v>
      </c>
      <c r="V8288">
        <v>411</v>
      </c>
    </row>
    <row r="8289" spans="1:22" customFormat="1" ht="15" x14ac:dyDescent="0.25">
      <c r="A8289" t="s">
        <v>259</v>
      </c>
      <c r="E8289" s="1516" t="s">
        <v>3761</v>
      </c>
      <c r="F8289" s="1516"/>
      <c r="G8289" s="1516"/>
      <c r="H8289" s="1516"/>
      <c r="K8289" t="s">
        <v>3811</v>
      </c>
      <c r="V8289">
        <v>387</v>
      </c>
    </row>
    <row r="8290" spans="1:22" customFormat="1" ht="15" x14ac:dyDescent="0.25">
      <c r="A8290" t="s">
        <v>259</v>
      </c>
      <c r="E8290" s="1516" t="s">
        <v>3762</v>
      </c>
      <c r="F8290" s="1516"/>
      <c r="G8290" s="1516"/>
      <c r="H8290" s="1516"/>
      <c r="K8290" t="s">
        <v>3811</v>
      </c>
      <c r="V8290">
        <v>247</v>
      </c>
    </row>
    <row r="8291" spans="1:22" customFormat="1" ht="15" x14ac:dyDescent="0.25">
      <c r="A8291" t="s">
        <v>259</v>
      </c>
      <c r="E8291" s="1596" t="s">
        <v>956</v>
      </c>
      <c r="F8291" s="1572"/>
      <c r="G8291" s="1572"/>
      <c r="H8291" s="1572"/>
      <c r="K8291" t="s">
        <v>1042</v>
      </c>
      <c r="V8291">
        <v>46</v>
      </c>
    </row>
    <row r="8292" spans="1:22" customFormat="1" ht="15" x14ac:dyDescent="0.25">
      <c r="A8292" t="s">
        <v>259</v>
      </c>
      <c r="E8292" s="1561" t="s">
        <v>3800</v>
      </c>
      <c r="F8292" s="1561"/>
      <c r="G8292" s="584" t="s">
        <v>777</v>
      </c>
      <c r="H8292" s="576">
        <v>0.57999999999999996</v>
      </c>
      <c r="K8292" t="s">
        <v>3811</v>
      </c>
      <c r="L8292" t="s">
        <v>690</v>
      </c>
      <c r="P8292" t="s">
        <v>3813</v>
      </c>
      <c r="V8292">
        <v>32</v>
      </c>
    </row>
    <row r="8293" spans="1:22" customFormat="1" ht="15" x14ac:dyDescent="0.25">
      <c r="A8293" t="s">
        <v>259</v>
      </c>
      <c r="E8293" s="1561" t="s">
        <v>979</v>
      </c>
      <c r="F8293" s="1561"/>
      <c r="G8293" s="584" t="s">
        <v>3775</v>
      </c>
      <c r="H8293" s="577">
        <v>6.3098999999999998</v>
      </c>
      <c r="K8293" t="s">
        <v>3811</v>
      </c>
      <c r="L8293" t="s">
        <v>690</v>
      </c>
      <c r="P8293" t="s">
        <v>3814</v>
      </c>
      <c r="V8293">
        <v>29</v>
      </c>
    </row>
    <row r="8294" spans="1:22" customFormat="1" ht="15" x14ac:dyDescent="0.25">
      <c r="A8294" t="s">
        <v>259</v>
      </c>
      <c r="E8294" s="1561" t="s">
        <v>910</v>
      </c>
      <c r="F8294" s="1561"/>
      <c r="G8294" s="584" t="s">
        <v>3775</v>
      </c>
      <c r="H8294" s="577">
        <v>0.441</v>
      </c>
      <c r="K8294" t="s">
        <v>3811</v>
      </c>
      <c r="L8294" t="s">
        <v>692</v>
      </c>
      <c r="P8294" t="s">
        <v>3815</v>
      </c>
      <c r="V8294">
        <v>24</v>
      </c>
    </row>
    <row r="8295" spans="1:22" customFormat="1" ht="15" x14ac:dyDescent="0.25">
      <c r="A8295" t="s">
        <v>259</v>
      </c>
      <c r="E8295" s="1561" t="s">
        <v>5989</v>
      </c>
      <c r="F8295" s="1561"/>
      <c r="G8295" s="584" t="s">
        <v>3775</v>
      </c>
      <c r="H8295" s="577">
        <v>-0.35270000000000001</v>
      </c>
      <c r="K8295" t="s">
        <v>3811</v>
      </c>
      <c r="L8295" t="s">
        <v>692</v>
      </c>
      <c r="P8295" t="s">
        <v>3817</v>
      </c>
      <c r="T8295">
        <v>46022</v>
      </c>
      <c r="V8295">
        <v>92</v>
      </c>
    </row>
    <row r="8296" spans="1:22" customFormat="1" ht="15" x14ac:dyDescent="0.25">
      <c r="A8296" t="s">
        <v>259</v>
      </c>
      <c r="E8296" s="1561" t="s">
        <v>6868</v>
      </c>
      <c r="F8296" s="1561"/>
      <c r="G8296" s="584" t="s">
        <v>3775</v>
      </c>
      <c r="H8296" s="577">
        <v>0.39240000000000003</v>
      </c>
      <c r="K8296" t="s">
        <v>3811</v>
      </c>
      <c r="L8296" t="s">
        <v>692</v>
      </c>
      <c r="P8296" t="s">
        <v>3817</v>
      </c>
      <c r="T8296">
        <v>46022</v>
      </c>
      <c r="V8296">
        <v>100</v>
      </c>
    </row>
    <row r="8297" spans="1:22" customFormat="1" ht="15" x14ac:dyDescent="0.25">
      <c r="A8297" t="s">
        <v>259</v>
      </c>
      <c r="E8297" s="1561" t="s">
        <v>6869</v>
      </c>
      <c r="F8297" s="1561"/>
      <c r="G8297" s="584" t="s">
        <v>845</v>
      </c>
      <c r="H8297" s="577">
        <v>-6.3E-3</v>
      </c>
      <c r="K8297" t="s">
        <v>3811</v>
      </c>
      <c r="L8297" t="s">
        <v>692</v>
      </c>
      <c r="P8297" t="s">
        <v>4543</v>
      </c>
      <c r="T8297">
        <v>46022</v>
      </c>
      <c r="V8297">
        <v>130</v>
      </c>
    </row>
    <row r="8298" spans="1:22" customFormat="1" ht="15" x14ac:dyDescent="0.25">
      <c r="A8298" t="s">
        <v>259</v>
      </c>
      <c r="E8298" s="1561" t="s">
        <v>243</v>
      </c>
      <c r="F8298" s="1561"/>
      <c r="G8298" s="584" t="s">
        <v>3775</v>
      </c>
      <c r="H8298" s="577">
        <v>3.2854000000000001</v>
      </c>
      <c r="K8298" t="s">
        <v>3811</v>
      </c>
      <c r="L8298" t="s">
        <v>694</v>
      </c>
      <c r="P8298" t="s">
        <v>3818</v>
      </c>
      <c r="V8298">
        <v>47</v>
      </c>
    </row>
    <row r="8299" spans="1:22" customFormat="1" ht="15" x14ac:dyDescent="0.25">
      <c r="A8299" t="s">
        <v>259</v>
      </c>
      <c r="E8299" s="1561" t="s">
        <v>175</v>
      </c>
      <c r="F8299" s="1561"/>
      <c r="G8299" s="584" t="s">
        <v>3775</v>
      </c>
      <c r="H8299" s="577">
        <v>1.4257</v>
      </c>
      <c r="K8299" t="s">
        <v>3811</v>
      </c>
      <c r="L8299" t="s">
        <v>694</v>
      </c>
      <c r="P8299" t="s">
        <v>3819</v>
      </c>
      <c r="V8299">
        <v>74</v>
      </c>
    </row>
    <row r="8300" spans="1:22" customFormat="1" ht="15" x14ac:dyDescent="0.25">
      <c r="A8300" t="s">
        <v>259</v>
      </c>
      <c r="E8300" s="1596" t="s">
        <v>967</v>
      </c>
      <c r="F8300" s="1561"/>
      <c r="G8300" s="584"/>
      <c r="H8300" s="584"/>
      <c r="K8300" t="s">
        <v>1049</v>
      </c>
      <c r="V8300">
        <v>48</v>
      </c>
    </row>
    <row r="8301" spans="1:22" customFormat="1" ht="15" x14ac:dyDescent="0.25">
      <c r="A8301" t="s">
        <v>259</v>
      </c>
      <c r="E8301" s="1561" t="s">
        <v>844</v>
      </c>
      <c r="F8301" s="1561"/>
      <c r="G8301" s="584" t="s">
        <v>845</v>
      </c>
      <c r="H8301" s="577">
        <v>4.1000000000000003E-3</v>
      </c>
      <c r="K8301" t="s">
        <v>3811</v>
      </c>
      <c r="L8301" t="s">
        <v>968</v>
      </c>
      <c r="P8301" t="s">
        <v>3820</v>
      </c>
      <c r="V8301">
        <v>55</v>
      </c>
    </row>
    <row r="8302" spans="1:22" customFormat="1" ht="15" x14ac:dyDescent="0.25">
      <c r="A8302" t="s">
        <v>259</v>
      </c>
      <c r="E8302" s="1561" t="s">
        <v>846</v>
      </c>
      <c r="F8302" s="1561"/>
      <c r="G8302" s="584" t="s">
        <v>845</v>
      </c>
      <c r="H8302" s="577">
        <v>4.0000000000000002E-4</v>
      </c>
      <c r="K8302" t="s">
        <v>3811</v>
      </c>
      <c r="L8302" t="s">
        <v>968</v>
      </c>
      <c r="P8302" t="s">
        <v>3820</v>
      </c>
      <c r="V8302">
        <v>65</v>
      </c>
    </row>
    <row r="8303" spans="1:22" customFormat="1" ht="15" x14ac:dyDescent="0.25">
      <c r="A8303" t="s">
        <v>259</v>
      </c>
      <c r="E8303" s="1561" t="s">
        <v>847</v>
      </c>
      <c r="F8303" s="1561"/>
      <c r="G8303" s="584" t="s">
        <v>845</v>
      </c>
      <c r="H8303" s="577">
        <v>1.5E-3</v>
      </c>
      <c r="K8303" t="s">
        <v>3811</v>
      </c>
      <c r="L8303" t="s">
        <v>968</v>
      </c>
      <c r="P8303" t="s">
        <v>3821</v>
      </c>
      <c r="V8303">
        <v>57</v>
      </c>
    </row>
    <row r="8304" spans="1:22" customFormat="1" ht="15" x14ac:dyDescent="0.25">
      <c r="A8304" t="s">
        <v>259</v>
      </c>
      <c r="E8304" s="1561" t="s">
        <v>848</v>
      </c>
      <c r="F8304" s="1561"/>
      <c r="G8304" s="584" t="s">
        <v>777</v>
      </c>
      <c r="H8304" s="576">
        <v>0.25</v>
      </c>
      <c r="K8304" t="s">
        <v>3811</v>
      </c>
      <c r="L8304" t="s">
        <v>968</v>
      </c>
      <c r="P8304" t="s">
        <v>3822</v>
      </c>
      <c r="V8304">
        <v>63</v>
      </c>
    </row>
    <row r="8305" spans="1:22" customFormat="1" x14ac:dyDescent="0.25">
      <c r="A8305" t="s">
        <v>259</v>
      </c>
      <c r="E8305" s="1492" t="s">
        <v>207</v>
      </c>
      <c r="F8305" s="1493"/>
      <c r="G8305" s="1493"/>
      <c r="H8305" s="1493"/>
      <c r="K8305" t="s">
        <v>3823</v>
      </c>
      <c r="V8305">
        <v>31</v>
      </c>
    </row>
    <row r="8306" spans="1:22" customFormat="1" ht="15" x14ac:dyDescent="0.25">
      <c r="A8306" t="s">
        <v>259</v>
      </c>
      <c r="E8306" s="1516" t="s">
        <v>1070</v>
      </c>
      <c r="F8306" s="1516"/>
      <c r="G8306" s="1516"/>
      <c r="H8306" s="1516"/>
      <c r="K8306" t="s">
        <v>3823</v>
      </c>
      <c r="V8306">
        <v>285</v>
      </c>
    </row>
    <row r="8307" spans="1:22" customFormat="1" ht="15" x14ac:dyDescent="0.25">
      <c r="A8307" t="s">
        <v>259</v>
      </c>
      <c r="E8307" s="1515" t="s">
        <v>950</v>
      </c>
      <c r="F8307" s="1516"/>
      <c r="G8307" s="1516"/>
      <c r="H8307" s="1516"/>
      <c r="K8307" t="s">
        <v>1055</v>
      </c>
      <c r="V8307">
        <v>11</v>
      </c>
    </row>
    <row r="8308" spans="1:22" customFormat="1" ht="15" x14ac:dyDescent="0.25">
      <c r="A8308" t="s">
        <v>259</v>
      </c>
      <c r="E8308" s="1516" t="s">
        <v>951</v>
      </c>
      <c r="F8308" s="1516"/>
      <c r="G8308" s="1516"/>
      <c r="H8308" s="1516"/>
      <c r="K8308" t="s">
        <v>3823</v>
      </c>
      <c r="V8308">
        <v>280</v>
      </c>
    </row>
    <row r="8309" spans="1:22" customFormat="1" ht="15" x14ac:dyDescent="0.25">
      <c r="A8309" t="s">
        <v>259</v>
      </c>
      <c r="E8309" s="1516" t="s">
        <v>952</v>
      </c>
      <c r="F8309" s="1516"/>
      <c r="G8309" s="1516"/>
      <c r="H8309" s="1516"/>
      <c r="K8309" t="s">
        <v>3823</v>
      </c>
      <c r="V8309">
        <v>411</v>
      </c>
    </row>
    <row r="8310" spans="1:22" customFormat="1" ht="15" x14ac:dyDescent="0.25">
      <c r="A8310" t="s">
        <v>259</v>
      </c>
      <c r="E8310" s="1516" t="s">
        <v>953</v>
      </c>
      <c r="F8310" s="1516"/>
      <c r="G8310" s="1516"/>
      <c r="H8310" s="1516"/>
      <c r="K8310" t="s">
        <v>3823</v>
      </c>
      <c r="V8310">
        <v>386</v>
      </c>
    </row>
    <row r="8311" spans="1:22" customFormat="1" ht="15" x14ac:dyDescent="0.25">
      <c r="A8311" t="s">
        <v>259</v>
      </c>
      <c r="E8311" s="1516" t="s">
        <v>3762</v>
      </c>
      <c r="F8311" s="1516"/>
      <c r="G8311" s="1516"/>
      <c r="H8311" s="1516"/>
      <c r="K8311" t="s">
        <v>3823</v>
      </c>
      <c r="V8311">
        <v>247</v>
      </c>
    </row>
    <row r="8312" spans="1:22" customFormat="1" ht="15" x14ac:dyDescent="0.25">
      <c r="A8312" t="s">
        <v>259</v>
      </c>
      <c r="E8312" s="1596" t="s">
        <v>956</v>
      </c>
      <c r="F8312" s="1572"/>
      <c r="G8312" s="1572"/>
      <c r="H8312" s="1572"/>
      <c r="K8312" t="s">
        <v>1056</v>
      </c>
      <c r="V8312">
        <v>46</v>
      </c>
    </row>
    <row r="8313" spans="1:22" customFormat="1" ht="15" x14ac:dyDescent="0.25">
      <c r="A8313" t="s">
        <v>259</v>
      </c>
      <c r="E8313" s="1561" t="s">
        <v>3773</v>
      </c>
      <c r="F8313" s="1561"/>
      <c r="G8313" s="584" t="s">
        <v>777</v>
      </c>
      <c r="H8313" s="576">
        <v>10</v>
      </c>
      <c r="K8313" t="s">
        <v>3823</v>
      </c>
      <c r="L8313" t="s">
        <v>690</v>
      </c>
      <c r="P8313" t="s">
        <v>3824</v>
      </c>
      <c r="V8313">
        <v>14</v>
      </c>
    </row>
    <row r="8314" spans="1:22" customFormat="1" ht="18.75" x14ac:dyDescent="0.3">
      <c r="A8314" t="s">
        <v>259</v>
      </c>
      <c r="E8314" s="840" t="s">
        <v>3825</v>
      </c>
      <c r="F8314" s="381"/>
      <c r="G8314" s="381"/>
      <c r="H8314" s="382"/>
      <c r="K8314" t="s">
        <v>3826</v>
      </c>
      <c r="V8314">
        <v>10</v>
      </c>
    </row>
    <row r="8315" spans="1:22" customFormat="1" ht="15" x14ac:dyDescent="0.25">
      <c r="A8315" t="s">
        <v>259</v>
      </c>
      <c r="E8315" s="1561" t="s">
        <v>1078</v>
      </c>
      <c r="F8315" s="1561"/>
      <c r="G8315" s="584" t="s">
        <v>3775</v>
      </c>
      <c r="H8315" s="577">
        <v>-0.6</v>
      </c>
      <c r="V8315">
        <v>68</v>
      </c>
    </row>
    <row r="8316" spans="1:22" customFormat="1" ht="15" x14ac:dyDescent="0.25">
      <c r="A8316" t="s">
        <v>259</v>
      </c>
      <c r="E8316" s="1561" t="s">
        <v>3827</v>
      </c>
      <c r="F8316" s="1561"/>
      <c r="G8316" s="584" t="s">
        <v>1118</v>
      </c>
      <c r="H8316" s="576">
        <v>-1</v>
      </c>
      <c r="V8316">
        <v>89</v>
      </c>
    </row>
    <row r="8317" spans="1:22" customFormat="1" ht="36" x14ac:dyDescent="0.25">
      <c r="A8317" t="s">
        <v>259</v>
      </c>
      <c r="E8317" s="840" t="s">
        <v>3828</v>
      </c>
      <c r="F8317" s="476"/>
      <c r="G8317" s="476"/>
      <c r="H8317" s="475"/>
      <c r="K8317" t="s">
        <v>3829</v>
      </c>
      <c r="V8317">
        <v>24</v>
      </c>
    </row>
    <row r="8318" spans="1:22" customFormat="1" ht="15" x14ac:dyDescent="0.25">
      <c r="A8318" t="s">
        <v>259</v>
      </c>
      <c r="E8318" s="1516" t="s">
        <v>951</v>
      </c>
      <c r="F8318" s="1516"/>
      <c r="G8318" s="1516"/>
      <c r="H8318" s="1516"/>
      <c r="V8318">
        <v>280</v>
      </c>
    </row>
    <row r="8319" spans="1:22" customFormat="1" ht="15" x14ac:dyDescent="0.25">
      <c r="A8319" t="s">
        <v>259</v>
      </c>
      <c r="E8319" s="1516" t="s">
        <v>1081</v>
      </c>
      <c r="F8319" s="1516"/>
      <c r="G8319" s="1516"/>
      <c r="H8319" s="1516"/>
      <c r="V8319">
        <v>353</v>
      </c>
    </row>
    <row r="8320" spans="1:22" customFormat="1" ht="15" x14ac:dyDescent="0.25">
      <c r="A8320" t="s">
        <v>259</v>
      </c>
      <c r="E8320" s="1516" t="s">
        <v>3762</v>
      </c>
      <c r="F8320" s="1516"/>
      <c r="G8320" s="1516"/>
      <c r="H8320" s="1516"/>
      <c r="V8320">
        <v>247</v>
      </c>
    </row>
    <row r="8321" spans="1:22" customFormat="1" ht="15" x14ac:dyDescent="0.25">
      <c r="A8321" t="s">
        <v>259</v>
      </c>
      <c r="E8321" s="839" t="s">
        <v>3830</v>
      </c>
      <c r="F8321" s="1"/>
      <c r="G8321" s="1"/>
      <c r="H8321" s="649"/>
      <c r="K8321" t="s">
        <v>3831</v>
      </c>
      <c r="V8321">
        <v>23</v>
      </c>
    </row>
    <row r="8322" spans="1:22" customFormat="1" ht="15" x14ac:dyDescent="0.25">
      <c r="A8322" t="s">
        <v>259</v>
      </c>
      <c r="E8322" s="1569" t="s">
        <v>3832</v>
      </c>
      <c r="F8322" s="1569"/>
      <c r="G8322" s="584" t="s">
        <v>777</v>
      </c>
      <c r="H8322" s="576">
        <v>15</v>
      </c>
      <c r="V8322">
        <v>19</v>
      </c>
    </row>
    <row r="8323" spans="1:22" customFormat="1" ht="15" x14ac:dyDescent="0.25">
      <c r="A8323" t="s">
        <v>259</v>
      </c>
      <c r="E8323" s="1569" t="s">
        <v>3833</v>
      </c>
      <c r="F8323" s="1569"/>
      <c r="G8323" s="584" t="s">
        <v>777</v>
      </c>
      <c r="H8323" s="576">
        <v>15</v>
      </c>
      <c r="V8323">
        <v>20</v>
      </c>
    </row>
    <row r="8324" spans="1:22" customFormat="1" ht="15" x14ac:dyDescent="0.25">
      <c r="A8324" t="s">
        <v>259</v>
      </c>
      <c r="E8324" s="1569" t="s">
        <v>3834</v>
      </c>
      <c r="F8324" s="1569"/>
      <c r="G8324" s="584" t="s">
        <v>777</v>
      </c>
      <c r="H8324" s="576">
        <v>15</v>
      </c>
      <c r="V8324">
        <v>39</v>
      </c>
    </row>
    <row r="8325" spans="1:22" customFormat="1" ht="15" x14ac:dyDescent="0.25">
      <c r="A8325" t="s">
        <v>259</v>
      </c>
      <c r="E8325" s="1569" t="s">
        <v>3835</v>
      </c>
      <c r="F8325" s="1569"/>
      <c r="G8325" s="584" t="s">
        <v>777</v>
      </c>
      <c r="H8325" s="576">
        <v>15</v>
      </c>
      <c r="V8325">
        <v>56</v>
      </c>
    </row>
    <row r="8326" spans="1:22" customFormat="1" ht="15" x14ac:dyDescent="0.25">
      <c r="A8326" t="s">
        <v>259</v>
      </c>
      <c r="E8326" s="1569" t="s">
        <v>3836</v>
      </c>
      <c r="F8326" s="1569"/>
      <c r="G8326" s="584" t="s">
        <v>777</v>
      </c>
      <c r="H8326" s="576">
        <v>20</v>
      </c>
      <c r="V8326">
        <v>35</v>
      </c>
    </row>
    <row r="8327" spans="1:22" customFormat="1" ht="15" x14ac:dyDescent="0.25">
      <c r="A8327" t="s">
        <v>259</v>
      </c>
      <c r="E8327" s="1569" t="s">
        <v>3837</v>
      </c>
      <c r="F8327" s="1569"/>
      <c r="G8327" s="584" t="s">
        <v>777</v>
      </c>
      <c r="H8327" s="576">
        <v>40</v>
      </c>
      <c r="V8327">
        <v>89</v>
      </c>
    </row>
    <row r="8328" spans="1:22" customFormat="1" ht="15" x14ac:dyDescent="0.25">
      <c r="A8328" t="s">
        <v>259</v>
      </c>
      <c r="E8328" s="1569" t="s">
        <v>3838</v>
      </c>
      <c r="F8328" s="1569"/>
      <c r="G8328" s="584" t="s">
        <v>777</v>
      </c>
      <c r="H8328" s="576">
        <v>30</v>
      </c>
      <c r="V8328">
        <v>74</v>
      </c>
    </row>
    <row r="8329" spans="1:22" customFormat="1" ht="15" x14ac:dyDescent="0.25">
      <c r="A8329" t="s">
        <v>259</v>
      </c>
      <c r="E8329" s="839" t="s">
        <v>3839</v>
      </c>
      <c r="F8329" s="838"/>
      <c r="G8329" s="838"/>
      <c r="H8329" s="433"/>
      <c r="K8329" t="s">
        <v>3840</v>
      </c>
      <c r="V8329">
        <v>22</v>
      </c>
    </row>
    <row r="8330" spans="1:22" customFormat="1" ht="15" x14ac:dyDescent="0.25">
      <c r="A8330" t="s">
        <v>259</v>
      </c>
      <c r="E8330" s="1569" t="s">
        <v>3841</v>
      </c>
      <c r="F8330" s="1569"/>
      <c r="G8330" s="584" t="s">
        <v>1118</v>
      </c>
      <c r="H8330" s="576">
        <v>1.5</v>
      </c>
      <c r="V8330">
        <v>100</v>
      </c>
    </row>
    <row r="8331" spans="1:22" customFormat="1" ht="15" x14ac:dyDescent="0.25">
      <c r="A8331" t="s">
        <v>259</v>
      </c>
      <c r="E8331" s="1569" t="s">
        <v>3842</v>
      </c>
      <c r="F8331" s="1569"/>
      <c r="G8331" s="584" t="s">
        <v>777</v>
      </c>
      <c r="H8331" s="576">
        <v>30</v>
      </c>
      <c r="V8331">
        <v>44</v>
      </c>
    </row>
    <row r="8332" spans="1:22" customFormat="1" ht="15" x14ac:dyDescent="0.25">
      <c r="A8332" t="s">
        <v>259</v>
      </c>
      <c r="E8332" s="1569" t="s">
        <v>3843</v>
      </c>
      <c r="F8332" s="1569"/>
      <c r="G8332" s="584" t="s">
        <v>777</v>
      </c>
      <c r="H8332" s="576">
        <v>165</v>
      </c>
      <c r="V8332">
        <v>43</v>
      </c>
    </row>
    <row r="8333" spans="1:22" customFormat="1" ht="15" x14ac:dyDescent="0.25">
      <c r="A8333" t="s">
        <v>259</v>
      </c>
      <c r="E8333" s="1569" t="s">
        <v>3844</v>
      </c>
      <c r="F8333" s="1569"/>
      <c r="G8333" s="584" t="s">
        <v>777</v>
      </c>
      <c r="H8333" s="576">
        <v>100</v>
      </c>
      <c r="V8333">
        <v>43</v>
      </c>
    </row>
    <row r="8334" spans="1:22" customFormat="1" ht="15" x14ac:dyDescent="0.25">
      <c r="A8334" t="s">
        <v>259</v>
      </c>
      <c r="E8334" s="1569" t="s">
        <v>3845</v>
      </c>
      <c r="F8334" s="1569"/>
      <c r="G8334" s="584" t="s">
        <v>777</v>
      </c>
      <c r="H8334" s="576">
        <v>300</v>
      </c>
      <c r="V8334">
        <v>42</v>
      </c>
    </row>
    <row r="8335" spans="1:22" customFormat="1" ht="15" x14ac:dyDescent="0.25">
      <c r="A8335" t="s">
        <v>259</v>
      </c>
      <c r="E8335" s="839" t="s">
        <v>3846</v>
      </c>
      <c r="F8335" s="481"/>
      <c r="G8335" s="585"/>
      <c r="H8335" s="651"/>
      <c r="V8335">
        <v>5</v>
      </c>
    </row>
    <row r="8336" spans="1:22" customFormat="1" ht="15" x14ac:dyDescent="0.25">
      <c r="A8336" t="s">
        <v>259</v>
      </c>
      <c r="E8336" s="1569" t="s">
        <v>3847</v>
      </c>
      <c r="F8336" s="1569"/>
      <c r="G8336" s="584" t="s">
        <v>777</v>
      </c>
      <c r="H8336" s="576">
        <v>165</v>
      </c>
      <c r="V8336">
        <v>34</v>
      </c>
    </row>
    <row r="8337" spans="1:22" customFormat="1" ht="15" x14ac:dyDescent="0.25">
      <c r="A8337" t="s">
        <v>259</v>
      </c>
      <c r="E8337" s="1569" t="s">
        <v>3848</v>
      </c>
      <c r="F8337" s="1569"/>
      <c r="G8337" s="584" t="s">
        <v>777</v>
      </c>
      <c r="H8337" s="576">
        <v>500</v>
      </c>
      <c r="V8337">
        <v>64</v>
      </c>
    </row>
    <row r="8338" spans="1:22" customFormat="1" ht="15" x14ac:dyDescent="0.25">
      <c r="A8338" t="s">
        <v>259</v>
      </c>
      <c r="E8338" s="1569" t="s">
        <v>3849</v>
      </c>
      <c r="F8338" s="1569"/>
      <c r="G8338" s="584" t="s">
        <v>777</v>
      </c>
      <c r="H8338" s="576">
        <v>1000</v>
      </c>
      <c r="V8338">
        <v>66</v>
      </c>
    </row>
    <row r="8339" spans="1:22" customFormat="1" ht="15" x14ac:dyDescent="0.25">
      <c r="A8339" t="s">
        <v>259</v>
      </c>
      <c r="E8339" s="1569" t="s">
        <v>3850</v>
      </c>
      <c r="F8339" s="1569"/>
      <c r="G8339" s="389" t="s">
        <v>777</v>
      </c>
      <c r="H8339" s="576">
        <v>39.14</v>
      </c>
      <c r="V8339">
        <v>109</v>
      </c>
    </row>
    <row r="8340" spans="1:22" customFormat="1" ht="18.75" x14ac:dyDescent="0.3">
      <c r="A8340" t="s">
        <v>259</v>
      </c>
      <c r="E8340" s="1647" t="s">
        <v>3851</v>
      </c>
      <c r="F8340" s="1754"/>
      <c r="G8340" s="381"/>
      <c r="H8340" s="382"/>
      <c r="K8340" t="s">
        <v>3852</v>
      </c>
      <c r="V8340">
        <v>38</v>
      </c>
    </row>
    <row r="8341" spans="1:22" customFormat="1" ht="15" x14ac:dyDescent="0.25">
      <c r="A8341" t="s">
        <v>259</v>
      </c>
      <c r="E8341" s="1516" t="s">
        <v>951</v>
      </c>
      <c r="F8341" s="1516"/>
      <c r="G8341" s="1516"/>
      <c r="H8341" s="1516"/>
      <c r="V8341">
        <v>280</v>
      </c>
    </row>
    <row r="8342" spans="1:22" customFormat="1" ht="15" x14ac:dyDescent="0.25">
      <c r="A8342" t="s">
        <v>259</v>
      </c>
      <c r="E8342" s="1516" t="s">
        <v>952</v>
      </c>
      <c r="F8342" s="1516"/>
      <c r="G8342" s="1516"/>
      <c r="H8342" s="1516"/>
      <c r="V8342">
        <v>411</v>
      </c>
    </row>
    <row r="8343" spans="1:22" customFormat="1" ht="15" x14ac:dyDescent="0.25">
      <c r="A8343" t="s">
        <v>259</v>
      </c>
      <c r="E8343" s="1516" t="s">
        <v>1103</v>
      </c>
      <c r="F8343" s="1516"/>
      <c r="G8343" s="1516"/>
      <c r="H8343" s="1516"/>
      <c r="V8343">
        <v>211</v>
      </c>
    </row>
    <row r="8344" spans="1:22" customFormat="1" ht="15" x14ac:dyDescent="0.25">
      <c r="A8344" t="s">
        <v>259</v>
      </c>
      <c r="E8344" s="1516" t="s">
        <v>3762</v>
      </c>
      <c r="F8344" s="1516"/>
      <c r="G8344" s="1516"/>
      <c r="H8344" s="1516"/>
      <c r="V8344">
        <v>247</v>
      </c>
    </row>
    <row r="8345" spans="1:22" customFormat="1" ht="15" x14ac:dyDescent="0.25">
      <c r="A8345" t="s">
        <v>259</v>
      </c>
      <c r="E8345" s="1516" t="s">
        <v>1104</v>
      </c>
      <c r="F8345" s="1516"/>
      <c r="G8345" s="1516"/>
      <c r="H8345" s="1516"/>
      <c r="V8345">
        <v>142</v>
      </c>
    </row>
    <row r="8346" spans="1:22" customFormat="1" ht="15" x14ac:dyDescent="0.25">
      <c r="A8346" t="s">
        <v>259</v>
      </c>
      <c r="E8346" s="1561" t="s">
        <v>849</v>
      </c>
      <c r="F8346" s="1561"/>
      <c r="G8346" s="268" t="s">
        <v>777</v>
      </c>
      <c r="H8346" s="576">
        <v>121.23</v>
      </c>
      <c r="V8346">
        <v>106</v>
      </c>
    </row>
    <row r="8347" spans="1:22" customFormat="1" ht="15" x14ac:dyDescent="0.25">
      <c r="A8347" t="s">
        <v>259</v>
      </c>
      <c r="E8347" s="1561" t="s">
        <v>850</v>
      </c>
      <c r="F8347" s="1561"/>
      <c r="G8347" s="585" t="s">
        <v>777</v>
      </c>
      <c r="H8347" s="349">
        <v>48.5</v>
      </c>
      <c r="V8347">
        <v>34</v>
      </c>
    </row>
    <row r="8348" spans="1:22" customFormat="1" ht="15" x14ac:dyDescent="0.25">
      <c r="A8348" t="s">
        <v>259</v>
      </c>
      <c r="E8348" s="1561" t="s">
        <v>851</v>
      </c>
      <c r="F8348" s="1561"/>
      <c r="G8348" s="585" t="s">
        <v>852</v>
      </c>
      <c r="H8348" s="349">
        <v>1.2</v>
      </c>
      <c r="V8348">
        <v>51</v>
      </c>
    </row>
    <row r="8349" spans="1:22" customFormat="1" ht="15" x14ac:dyDescent="0.25">
      <c r="A8349" t="s">
        <v>259</v>
      </c>
      <c r="E8349" s="1561" t="s">
        <v>853</v>
      </c>
      <c r="F8349" s="1561"/>
      <c r="G8349" s="585" t="s">
        <v>852</v>
      </c>
      <c r="H8349" s="349">
        <v>0.71</v>
      </c>
      <c r="V8349">
        <v>75</v>
      </c>
    </row>
    <row r="8350" spans="1:22" customFormat="1" ht="15" x14ac:dyDescent="0.25">
      <c r="A8350" t="s">
        <v>259</v>
      </c>
      <c r="E8350" s="1561" t="s">
        <v>854</v>
      </c>
      <c r="F8350" s="1561"/>
      <c r="G8350" s="585" t="s">
        <v>852</v>
      </c>
      <c r="H8350" s="349">
        <v>-0.71</v>
      </c>
      <c r="V8350">
        <v>72</v>
      </c>
    </row>
    <row r="8351" spans="1:22" customFormat="1" ht="15" x14ac:dyDescent="0.25">
      <c r="A8351" t="s">
        <v>259</v>
      </c>
      <c r="E8351" s="1561" t="s">
        <v>855</v>
      </c>
      <c r="F8351" s="1561"/>
      <c r="G8351" s="585"/>
      <c r="H8351" s="651"/>
      <c r="V8351">
        <v>34</v>
      </c>
    </row>
    <row r="8352" spans="1:22" customFormat="1" ht="15" x14ac:dyDescent="0.25">
      <c r="A8352" t="s">
        <v>259</v>
      </c>
      <c r="E8352" s="1574" t="s">
        <v>1106</v>
      </c>
      <c r="F8352" s="1574"/>
      <c r="G8352" s="585" t="s">
        <v>777</v>
      </c>
      <c r="H8352" s="349">
        <v>0.61</v>
      </c>
      <c r="V8352">
        <v>57</v>
      </c>
    </row>
    <row r="8353" spans="1:22" customFormat="1" ht="15" x14ac:dyDescent="0.25">
      <c r="A8353" t="s">
        <v>259</v>
      </c>
      <c r="E8353" s="1574" t="s">
        <v>1107</v>
      </c>
      <c r="F8353" s="1574"/>
      <c r="G8353" s="585" t="s">
        <v>777</v>
      </c>
      <c r="H8353" s="349">
        <v>1.2</v>
      </c>
      <c r="V8353">
        <v>60</v>
      </c>
    </row>
    <row r="8354" spans="1:22" customFormat="1" ht="15" x14ac:dyDescent="0.25">
      <c r="A8354" t="s">
        <v>259</v>
      </c>
      <c r="E8354" s="1561" t="s">
        <v>1108</v>
      </c>
      <c r="F8354" s="1561"/>
      <c r="G8354" s="585"/>
      <c r="H8354" s="651"/>
      <c r="V8354">
        <v>91</v>
      </c>
    </row>
    <row r="8355" spans="1:22" customFormat="1" ht="15" x14ac:dyDescent="0.25">
      <c r="A8355" t="s">
        <v>259</v>
      </c>
      <c r="E8355" s="1561" t="s">
        <v>1109</v>
      </c>
      <c r="F8355" s="1561"/>
      <c r="G8355" s="585"/>
      <c r="H8355" s="651"/>
      <c r="V8355">
        <v>96</v>
      </c>
    </row>
    <row r="8356" spans="1:22" customFormat="1" ht="15" x14ac:dyDescent="0.25">
      <c r="A8356" t="s">
        <v>259</v>
      </c>
      <c r="E8356" s="1561" t="s">
        <v>856</v>
      </c>
      <c r="F8356" s="1561"/>
      <c r="G8356" s="585"/>
      <c r="H8356" s="651"/>
      <c r="V8356">
        <v>77</v>
      </c>
    </row>
    <row r="8357" spans="1:22" customFormat="1" ht="15" x14ac:dyDescent="0.25">
      <c r="A8357" t="s">
        <v>259</v>
      </c>
      <c r="E8357" s="1574" t="s">
        <v>1111</v>
      </c>
      <c r="F8357" s="1574"/>
      <c r="G8357" s="585" t="s">
        <v>777</v>
      </c>
      <c r="H8357" s="651" t="s">
        <v>857</v>
      </c>
      <c r="V8357">
        <v>18</v>
      </c>
    </row>
    <row r="8358" spans="1:22" customFormat="1" ht="15" x14ac:dyDescent="0.25">
      <c r="A8358" t="s">
        <v>259</v>
      </c>
      <c r="E8358" s="1574" t="s">
        <v>1112</v>
      </c>
      <c r="F8358" s="1574"/>
      <c r="G8358" s="585" t="s">
        <v>777</v>
      </c>
      <c r="H8358" s="349">
        <v>4.8499999999999996</v>
      </c>
      <c r="V8358">
        <v>69</v>
      </c>
    </row>
    <row r="8359" spans="1:22" customFormat="1" ht="15" x14ac:dyDescent="0.25">
      <c r="A8359" t="s">
        <v>259</v>
      </c>
      <c r="E8359" s="1507" t="s">
        <v>858</v>
      </c>
      <c r="F8359" s="1507"/>
      <c r="G8359" s="268" t="s">
        <v>777</v>
      </c>
      <c r="H8359" s="576">
        <v>2.42</v>
      </c>
      <c r="V8359">
        <v>199</v>
      </c>
    </row>
    <row r="8360" spans="1:22" customFormat="1" ht="18.75" x14ac:dyDescent="0.3">
      <c r="A8360" t="s">
        <v>259</v>
      </c>
      <c r="E8360" s="840" t="s">
        <v>3853</v>
      </c>
      <c r="F8360" s="381"/>
      <c r="G8360" s="381"/>
      <c r="H8360" s="382"/>
      <c r="K8360" t="s">
        <v>3854</v>
      </c>
      <c r="V8360">
        <v>12</v>
      </c>
    </row>
    <row r="8361" spans="1:22" customFormat="1" ht="15" x14ac:dyDescent="0.25">
      <c r="A8361" t="s">
        <v>259</v>
      </c>
      <c r="E8361" s="1507" t="s">
        <v>1114</v>
      </c>
      <c r="F8361" s="1507"/>
      <c r="G8361" s="1507"/>
      <c r="H8361" s="1507"/>
      <c r="V8361">
        <v>203</v>
      </c>
    </row>
    <row r="8362" spans="1:22" customFormat="1" ht="15" x14ac:dyDescent="0.25">
      <c r="A8362" t="s">
        <v>259</v>
      </c>
      <c r="E8362" s="1606" t="s">
        <v>1115</v>
      </c>
      <c r="F8362" s="1606"/>
      <c r="G8362" s="578"/>
      <c r="H8362" s="729">
        <v>1.0585</v>
      </c>
      <c r="V8362">
        <v>57</v>
      </c>
    </row>
    <row r="8363" spans="1:22" customFormat="1" ht="15" x14ac:dyDescent="0.25">
      <c r="A8363" t="s">
        <v>259</v>
      </c>
      <c r="E8363" s="1606" t="s">
        <v>1117</v>
      </c>
      <c r="F8363" s="1606"/>
      <c r="G8363" s="578"/>
      <c r="H8363" s="729">
        <v>1.0486</v>
      </c>
      <c r="J8363" t="s">
        <v>3855</v>
      </c>
      <c r="V8363">
        <v>55</v>
      </c>
    </row>
    <row r="8364" spans="1:22" customFormat="1" ht="23.25" x14ac:dyDescent="0.25">
      <c r="A8364" t="s">
        <v>265</v>
      </c>
      <c r="C8364" t="s">
        <v>3755</v>
      </c>
      <c r="E8364" s="1576" t="s">
        <v>265</v>
      </c>
      <c r="F8364" s="1576"/>
      <c r="G8364" s="1576"/>
      <c r="H8364" s="1576"/>
      <c r="I8364" t="s">
        <v>94</v>
      </c>
      <c r="J8364" t="s">
        <v>5810</v>
      </c>
      <c r="K8364" t="s">
        <v>265</v>
      </c>
      <c r="M8364">
        <v>13</v>
      </c>
      <c r="V8364">
        <v>20</v>
      </c>
    </row>
    <row r="8365" spans="1:22" customFormat="1" x14ac:dyDescent="0.25">
      <c r="A8365" t="s">
        <v>265</v>
      </c>
      <c r="C8365" t="s">
        <v>3757</v>
      </c>
      <c r="E8365" s="1577" t="s">
        <v>944</v>
      </c>
      <c r="F8365" s="1577"/>
      <c r="G8365" s="1577"/>
      <c r="H8365" s="1577"/>
      <c r="V8365">
        <v>27</v>
      </c>
    </row>
    <row r="8366" spans="1:22" customFormat="1" ht="15.75" x14ac:dyDescent="0.25">
      <c r="A8366" t="s">
        <v>265</v>
      </c>
      <c r="C8366" t="s">
        <v>3758</v>
      </c>
      <c r="E8366" s="1585" t="s">
        <v>6511</v>
      </c>
      <c r="F8366" s="1585"/>
      <c r="G8366" s="1585"/>
      <c r="H8366" s="1585"/>
      <c r="S8366">
        <v>45658</v>
      </c>
      <c r="V8366">
        <v>49</v>
      </c>
    </row>
    <row r="8367" spans="1:22" customFormat="1" ht="15" x14ac:dyDescent="0.25">
      <c r="A8367" t="s">
        <v>265</v>
      </c>
      <c r="C8367" t="s">
        <v>3759</v>
      </c>
      <c r="E8367" s="1575" t="s">
        <v>945</v>
      </c>
      <c r="F8367" s="1575"/>
      <c r="G8367" s="1575"/>
      <c r="H8367" s="1575"/>
      <c r="V8367">
        <v>52</v>
      </c>
    </row>
    <row r="8368" spans="1:22" customFormat="1" ht="15" x14ac:dyDescent="0.25">
      <c r="A8368" t="s">
        <v>265</v>
      </c>
      <c r="E8368" s="1575" t="s">
        <v>946</v>
      </c>
      <c r="F8368" s="1575"/>
      <c r="G8368" s="1575"/>
      <c r="H8368" s="1575"/>
      <c r="V8368">
        <v>53</v>
      </c>
    </row>
    <row r="8369" spans="1:22" customFormat="1" ht="15" x14ac:dyDescent="0.25">
      <c r="A8369" t="s">
        <v>265</v>
      </c>
      <c r="E8369" s="1534" t="s">
        <v>6870</v>
      </c>
      <c r="F8369" s="1534"/>
      <c r="G8369" s="1534"/>
      <c r="H8369" s="1534"/>
      <c r="K8369" t="s">
        <v>6870</v>
      </c>
      <c r="V8369">
        <v>12</v>
      </c>
    </row>
    <row r="8370" spans="1:22" customFormat="1" ht="15" x14ac:dyDescent="0.25">
      <c r="A8370" t="s">
        <v>265</v>
      </c>
      <c r="E8370" s="1492" t="s">
        <v>170</v>
      </c>
      <c r="F8370" s="1516"/>
      <c r="G8370" s="1516"/>
      <c r="H8370" s="1516"/>
      <c r="K8370" t="s">
        <v>947</v>
      </c>
      <c r="V8370">
        <v>34</v>
      </c>
    </row>
    <row r="8371" spans="1:22" customFormat="1" ht="15" x14ac:dyDescent="0.25">
      <c r="A8371" t="s">
        <v>265</v>
      </c>
      <c r="E8371" s="1531" t="s">
        <v>5811</v>
      </c>
      <c r="F8371" s="1531"/>
      <c r="G8371" s="1531"/>
      <c r="H8371" s="1531"/>
      <c r="K8371" t="s">
        <v>947</v>
      </c>
      <c r="V8371">
        <v>622</v>
      </c>
    </row>
    <row r="8372" spans="1:22" customFormat="1" ht="15" x14ac:dyDescent="0.25">
      <c r="A8372" t="s">
        <v>265</v>
      </c>
      <c r="E8372" s="1562" t="s">
        <v>950</v>
      </c>
      <c r="F8372" s="1530"/>
      <c r="G8372" s="1530"/>
      <c r="H8372" s="1530"/>
      <c r="K8372" t="s">
        <v>949</v>
      </c>
      <c r="V8372">
        <v>11</v>
      </c>
    </row>
    <row r="8373" spans="1:22" customFormat="1" ht="15" x14ac:dyDescent="0.25">
      <c r="A8373" t="s">
        <v>265</v>
      </c>
      <c r="E8373" s="1531" t="s">
        <v>951</v>
      </c>
      <c r="F8373" s="1531"/>
      <c r="G8373" s="1531"/>
      <c r="H8373" s="1531"/>
      <c r="K8373" t="s">
        <v>947</v>
      </c>
      <c r="V8373">
        <v>280</v>
      </c>
    </row>
    <row r="8374" spans="1:22" customFormat="1" ht="15" x14ac:dyDescent="0.25">
      <c r="A8374" t="s">
        <v>265</v>
      </c>
      <c r="E8374" s="1531" t="s">
        <v>952</v>
      </c>
      <c r="F8374" s="1531"/>
      <c r="G8374" s="1531"/>
      <c r="H8374" s="1531"/>
      <c r="K8374" t="s">
        <v>947</v>
      </c>
      <c r="V8374">
        <v>411</v>
      </c>
    </row>
    <row r="8375" spans="1:22" customFormat="1" ht="15" x14ac:dyDescent="0.25">
      <c r="A8375" t="s">
        <v>265</v>
      </c>
      <c r="E8375" s="1531" t="s">
        <v>953</v>
      </c>
      <c r="F8375" s="1531"/>
      <c r="G8375" s="1531"/>
      <c r="H8375" s="1531"/>
      <c r="K8375" t="s">
        <v>947</v>
      </c>
      <c r="V8375">
        <v>386</v>
      </c>
    </row>
    <row r="8376" spans="1:22" customFormat="1" ht="15" x14ac:dyDescent="0.25">
      <c r="A8376" t="s">
        <v>265</v>
      </c>
      <c r="E8376" s="1531" t="s">
        <v>954</v>
      </c>
      <c r="F8376" s="1531"/>
      <c r="G8376" s="1531"/>
      <c r="H8376" s="1531"/>
      <c r="K8376" t="s">
        <v>947</v>
      </c>
      <c r="V8376">
        <v>246</v>
      </c>
    </row>
    <row r="8377" spans="1:22" customFormat="1" ht="15" x14ac:dyDescent="0.25">
      <c r="A8377" t="s">
        <v>265</v>
      </c>
      <c r="E8377" s="1566" t="s">
        <v>956</v>
      </c>
      <c r="F8377" s="1567"/>
      <c r="G8377" s="1567"/>
      <c r="H8377" s="1567"/>
      <c r="K8377" t="s">
        <v>955</v>
      </c>
      <c r="V8377">
        <v>46</v>
      </c>
    </row>
    <row r="8378" spans="1:22" customFormat="1" ht="15" x14ac:dyDescent="0.25">
      <c r="A8378" t="s">
        <v>265</v>
      </c>
      <c r="E8378" s="1495" t="s">
        <v>3773</v>
      </c>
      <c r="F8378" s="1561"/>
      <c r="G8378" s="360" t="s">
        <v>777</v>
      </c>
      <c r="H8378" s="616">
        <v>34.26</v>
      </c>
      <c r="K8378" t="s">
        <v>947</v>
      </c>
      <c r="L8378" t="s">
        <v>690</v>
      </c>
      <c r="P8378" t="s">
        <v>957</v>
      </c>
      <c r="V8378">
        <v>14</v>
      </c>
    </row>
    <row r="8379" spans="1:22" customFormat="1" ht="15" x14ac:dyDescent="0.25">
      <c r="A8379" t="s">
        <v>265</v>
      </c>
      <c r="E8379" s="1495" t="s">
        <v>5812</v>
      </c>
      <c r="F8379" s="1561"/>
      <c r="G8379" s="360" t="s">
        <v>777</v>
      </c>
      <c r="H8379" s="616">
        <v>0.25</v>
      </c>
      <c r="K8379" t="s">
        <v>947</v>
      </c>
      <c r="L8379" t="s">
        <v>690</v>
      </c>
      <c r="P8379" t="s">
        <v>5523</v>
      </c>
      <c r="T8379">
        <v>46022</v>
      </c>
      <c r="V8379">
        <v>100</v>
      </c>
    </row>
    <row r="8380" spans="1:22" customFormat="1" ht="15" x14ac:dyDescent="0.25">
      <c r="A8380" t="s">
        <v>265</v>
      </c>
      <c r="E8380" s="1495" t="s">
        <v>5813</v>
      </c>
      <c r="F8380" s="1561"/>
      <c r="G8380" s="360" t="s">
        <v>777</v>
      </c>
      <c r="H8380" s="616">
        <v>0.42</v>
      </c>
      <c r="K8380" t="s">
        <v>947</v>
      </c>
      <c r="L8380" t="s">
        <v>692</v>
      </c>
      <c r="P8380" t="s">
        <v>959</v>
      </c>
      <c r="T8380">
        <v>44926</v>
      </c>
      <c r="V8380">
        <v>64</v>
      </c>
    </row>
    <row r="8381" spans="1:22" customFormat="1" ht="15" x14ac:dyDescent="0.25">
      <c r="A8381" t="s">
        <v>265</v>
      </c>
      <c r="E8381" s="1495" t="s">
        <v>910</v>
      </c>
      <c r="F8381" s="1561"/>
      <c r="G8381" s="360" t="s">
        <v>845</v>
      </c>
      <c r="H8381" s="616">
        <v>5.0000000000000002E-5</v>
      </c>
      <c r="K8381" t="s">
        <v>947</v>
      </c>
      <c r="L8381" t="s">
        <v>692</v>
      </c>
      <c r="P8381" t="s">
        <v>961</v>
      </c>
      <c r="V8381">
        <v>24</v>
      </c>
    </row>
    <row r="8382" spans="1:22" customFormat="1" ht="15" x14ac:dyDescent="0.25">
      <c r="A8382" t="s">
        <v>265</v>
      </c>
      <c r="E8382" s="1495" t="s">
        <v>5989</v>
      </c>
      <c r="F8382" s="1561"/>
      <c r="G8382" s="360" t="s">
        <v>845</v>
      </c>
      <c r="H8382" s="616">
        <v>-2.0000000000000001E-4</v>
      </c>
      <c r="K8382" t="s">
        <v>947</v>
      </c>
      <c r="L8382" t="s">
        <v>692</v>
      </c>
      <c r="P8382" t="s">
        <v>963</v>
      </c>
      <c r="T8382">
        <v>46022</v>
      </c>
      <c r="V8382">
        <v>92</v>
      </c>
    </row>
    <row r="8383" spans="1:22" customFormat="1" ht="15" x14ac:dyDescent="0.25">
      <c r="A8383" t="s">
        <v>265</v>
      </c>
      <c r="E8383" s="1495" t="s">
        <v>6871</v>
      </c>
      <c r="F8383" s="1561"/>
      <c r="G8383" s="360" t="s">
        <v>845</v>
      </c>
      <c r="H8383" s="616">
        <v>2.0000000000000001E-4</v>
      </c>
      <c r="K8383" t="s">
        <v>947</v>
      </c>
      <c r="L8383" t="s">
        <v>692</v>
      </c>
      <c r="P8383" t="s">
        <v>3764</v>
      </c>
      <c r="T8383">
        <v>46022</v>
      </c>
      <c r="V8383">
        <v>135</v>
      </c>
    </row>
    <row r="8384" spans="1:22" customFormat="1" ht="15" x14ac:dyDescent="0.25">
      <c r="A8384" t="s">
        <v>265</v>
      </c>
      <c r="E8384" s="1495" t="s">
        <v>6872</v>
      </c>
      <c r="F8384" s="1561"/>
      <c r="G8384" s="360" t="s">
        <v>845</v>
      </c>
      <c r="H8384" s="616">
        <v>3.8999999999999998E-3</v>
      </c>
      <c r="K8384" t="s">
        <v>947</v>
      </c>
      <c r="L8384" t="s">
        <v>692</v>
      </c>
      <c r="P8384" t="s">
        <v>962</v>
      </c>
      <c r="T8384">
        <v>46022</v>
      </c>
      <c r="V8384">
        <v>138</v>
      </c>
    </row>
    <row r="8385" spans="1:22" customFormat="1" ht="15" x14ac:dyDescent="0.25">
      <c r="A8385" t="s">
        <v>265</v>
      </c>
      <c r="E8385" s="1495" t="s">
        <v>243</v>
      </c>
      <c r="F8385" s="1561"/>
      <c r="G8385" s="360" t="s">
        <v>845</v>
      </c>
      <c r="H8385" s="616">
        <v>1.26E-2</v>
      </c>
      <c r="K8385" t="s">
        <v>947</v>
      </c>
      <c r="L8385" t="s">
        <v>694</v>
      </c>
      <c r="P8385" t="s">
        <v>964</v>
      </c>
      <c r="V8385">
        <v>47</v>
      </c>
    </row>
    <row r="8386" spans="1:22" customFormat="1" ht="15" x14ac:dyDescent="0.25">
      <c r="A8386" t="s">
        <v>265</v>
      </c>
      <c r="E8386" s="1495" t="s">
        <v>175</v>
      </c>
      <c r="F8386" s="1561"/>
      <c r="G8386" s="360" t="s">
        <v>845</v>
      </c>
      <c r="H8386" s="616">
        <v>7.1999999999999998E-3</v>
      </c>
      <c r="K8386" t="s">
        <v>947</v>
      </c>
      <c r="L8386" t="s">
        <v>694</v>
      </c>
      <c r="P8386" t="s">
        <v>965</v>
      </c>
      <c r="V8386">
        <v>74</v>
      </c>
    </row>
    <row r="8387" spans="1:22" customFormat="1" ht="15" x14ac:dyDescent="0.25">
      <c r="A8387" t="s">
        <v>265</v>
      </c>
      <c r="E8387" s="1488" t="s">
        <v>967</v>
      </c>
      <c r="F8387" s="1561"/>
      <c r="G8387" s="360"/>
      <c r="H8387" s="360"/>
      <c r="K8387" t="s">
        <v>966</v>
      </c>
      <c r="V8387">
        <v>48</v>
      </c>
    </row>
    <row r="8388" spans="1:22" customFormat="1" ht="15" x14ac:dyDescent="0.25">
      <c r="A8388" t="s">
        <v>265</v>
      </c>
      <c r="E8388" s="1495" t="s">
        <v>844</v>
      </c>
      <c r="F8388" s="1495"/>
      <c r="G8388" s="662" t="s">
        <v>845</v>
      </c>
      <c r="H8388" s="650">
        <v>4.1000000000000003E-3</v>
      </c>
      <c r="K8388" t="s">
        <v>947</v>
      </c>
      <c r="L8388" t="s">
        <v>968</v>
      </c>
      <c r="P8388" t="s">
        <v>969</v>
      </c>
      <c r="V8388">
        <v>55</v>
      </c>
    </row>
    <row r="8389" spans="1:22" customFormat="1" ht="15" x14ac:dyDescent="0.25">
      <c r="A8389" t="s">
        <v>265</v>
      </c>
      <c r="E8389" s="1561" t="s">
        <v>846</v>
      </c>
      <c r="F8389" s="1561"/>
      <c r="G8389" s="662" t="s">
        <v>845</v>
      </c>
      <c r="H8389" s="820">
        <v>4.0000000000000002E-4</v>
      </c>
      <c r="K8389" t="s">
        <v>947</v>
      </c>
      <c r="L8389" t="s">
        <v>968</v>
      </c>
      <c r="P8389" t="s">
        <v>969</v>
      </c>
      <c r="V8389">
        <v>65</v>
      </c>
    </row>
    <row r="8390" spans="1:22" customFormat="1" ht="15" x14ac:dyDescent="0.25">
      <c r="A8390" t="s">
        <v>265</v>
      </c>
      <c r="E8390" s="1495" t="s">
        <v>847</v>
      </c>
      <c r="F8390" s="1495"/>
      <c r="G8390" s="662" t="s">
        <v>845</v>
      </c>
      <c r="H8390" s="820">
        <v>1.5E-3</v>
      </c>
      <c r="K8390" t="s">
        <v>947</v>
      </c>
      <c r="L8390" t="s">
        <v>968</v>
      </c>
      <c r="P8390" t="s">
        <v>970</v>
      </c>
      <c r="V8390">
        <v>57</v>
      </c>
    </row>
    <row r="8391" spans="1:22" customFormat="1" ht="15" x14ac:dyDescent="0.25">
      <c r="A8391" t="s">
        <v>265</v>
      </c>
      <c r="E8391" s="1495" t="s">
        <v>848</v>
      </c>
      <c r="F8391" s="1495"/>
      <c r="G8391" s="360" t="s">
        <v>777</v>
      </c>
      <c r="H8391" s="820">
        <v>0.25</v>
      </c>
      <c r="K8391" t="s">
        <v>947</v>
      </c>
      <c r="L8391" t="s">
        <v>968</v>
      </c>
      <c r="P8391" t="s">
        <v>971</v>
      </c>
      <c r="V8391">
        <v>63</v>
      </c>
    </row>
    <row r="8392" spans="1:22" customFormat="1" x14ac:dyDescent="0.25">
      <c r="A8392" t="s">
        <v>265</v>
      </c>
      <c r="E8392" s="1538" t="s">
        <v>174</v>
      </c>
      <c r="F8392" s="1538"/>
      <c r="G8392" s="1538"/>
      <c r="H8392" s="1539"/>
      <c r="K8392" t="s">
        <v>972</v>
      </c>
      <c r="V8392">
        <v>54</v>
      </c>
    </row>
    <row r="8393" spans="1:22" customFormat="1" ht="15" x14ac:dyDescent="0.25">
      <c r="A8393" t="s">
        <v>265</v>
      </c>
      <c r="E8393" s="1531" t="s">
        <v>5814</v>
      </c>
      <c r="F8393" s="1531"/>
      <c r="G8393" s="1531"/>
      <c r="H8393" s="1532"/>
      <c r="K8393" t="s">
        <v>972</v>
      </c>
      <c r="V8393">
        <v>329</v>
      </c>
    </row>
    <row r="8394" spans="1:22" customFormat="1" ht="15" x14ac:dyDescent="0.25">
      <c r="A8394" t="s">
        <v>265</v>
      </c>
      <c r="E8394" s="1562" t="s">
        <v>950</v>
      </c>
      <c r="F8394" s="1530"/>
      <c r="G8394" s="1530"/>
      <c r="H8394" s="1530"/>
      <c r="K8394" t="s">
        <v>974</v>
      </c>
      <c r="V8394">
        <v>11</v>
      </c>
    </row>
    <row r="8395" spans="1:22" customFormat="1" ht="15" x14ac:dyDescent="0.25">
      <c r="A8395" t="s">
        <v>265</v>
      </c>
      <c r="E8395" s="1531" t="s">
        <v>951</v>
      </c>
      <c r="F8395" s="1531"/>
      <c r="G8395" s="1531"/>
      <c r="H8395" s="1532"/>
      <c r="K8395" t="s">
        <v>972</v>
      </c>
      <c r="V8395">
        <v>280</v>
      </c>
    </row>
    <row r="8396" spans="1:22" customFormat="1" ht="15" x14ac:dyDescent="0.25">
      <c r="A8396" t="s">
        <v>265</v>
      </c>
      <c r="E8396" s="1531" t="s">
        <v>952</v>
      </c>
      <c r="F8396" s="1531"/>
      <c r="G8396" s="1531"/>
      <c r="H8396" s="1532"/>
      <c r="K8396" t="s">
        <v>972</v>
      </c>
      <c r="V8396">
        <v>411</v>
      </c>
    </row>
    <row r="8397" spans="1:22" customFormat="1" ht="15" x14ac:dyDescent="0.25">
      <c r="A8397" t="s">
        <v>265</v>
      </c>
      <c r="E8397" s="1531" t="s">
        <v>953</v>
      </c>
      <c r="F8397" s="1531"/>
      <c r="G8397" s="1531"/>
      <c r="H8397" s="1532"/>
      <c r="K8397" t="s">
        <v>972</v>
      </c>
      <c r="V8397">
        <v>386</v>
      </c>
    </row>
    <row r="8398" spans="1:22" customFormat="1" ht="15" x14ac:dyDescent="0.25">
      <c r="A8398" t="s">
        <v>265</v>
      </c>
      <c r="E8398" s="1531" t="s">
        <v>5520</v>
      </c>
      <c r="F8398" s="1531"/>
      <c r="G8398" s="1531"/>
      <c r="H8398" s="1532"/>
      <c r="K8398" t="s">
        <v>972</v>
      </c>
      <c r="V8398">
        <v>231</v>
      </c>
    </row>
    <row r="8399" spans="1:22" customFormat="1" ht="15" x14ac:dyDescent="0.25">
      <c r="A8399" t="s">
        <v>265</v>
      </c>
      <c r="E8399" s="1566" t="s">
        <v>956</v>
      </c>
      <c r="F8399" s="1567"/>
      <c r="G8399" s="1567"/>
      <c r="H8399" s="1567"/>
      <c r="K8399" t="s">
        <v>975</v>
      </c>
      <c r="V8399">
        <v>46</v>
      </c>
    </row>
    <row r="8400" spans="1:22" customFormat="1" ht="15" x14ac:dyDescent="0.25">
      <c r="A8400" t="s">
        <v>265</v>
      </c>
      <c r="E8400" s="1495" t="s">
        <v>3773</v>
      </c>
      <c r="F8400" s="1495"/>
      <c r="G8400" s="360" t="s">
        <v>777</v>
      </c>
      <c r="H8400" s="616">
        <v>23.53</v>
      </c>
      <c r="K8400" t="s">
        <v>972</v>
      </c>
      <c r="L8400" t="s">
        <v>690</v>
      </c>
      <c r="P8400" t="s">
        <v>976</v>
      </c>
      <c r="V8400">
        <v>14</v>
      </c>
    </row>
    <row r="8401" spans="1:22" customFormat="1" ht="15" x14ac:dyDescent="0.25">
      <c r="A8401" t="s">
        <v>265</v>
      </c>
      <c r="E8401" s="1495" t="s">
        <v>5813</v>
      </c>
      <c r="F8401" s="1561"/>
      <c r="G8401" s="360" t="s">
        <v>777</v>
      </c>
      <c r="H8401" s="616">
        <v>0.42</v>
      </c>
      <c r="K8401" t="s">
        <v>972</v>
      </c>
      <c r="L8401" t="s">
        <v>692</v>
      </c>
      <c r="P8401" t="s">
        <v>977</v>
      </c>
      <c r="T8401">
        <v>44926</v>
      </c>
      <c r="V8401">
        <v>64</v>
      </c>
    </row>
    <row r="8402" spans="1:22" customFormat="1" ht="15" x14ac:dyDescent="0.25">
      <c r="A8402" t="s">
        <v>265</v>
      </c>
      <c r="E8402" s="1495" t="s">
        <v>3688</v>
      </c>
      <c r="F8402" s="1495"/>
      <c r="G8402" s="360" t="s">
        <v>845</v>
      </c>
      <c r="H8402" s="616">
        <v>3.0499999999999999E-2</v>
      </c>
      <c r="K8402" t="s">
        <v>972</v>
      </c>
      <c r="L8402" t="s">
        <v>690</v>
      </c>
      <c r="P8402" t="s">
        <v>978</v>
      </c>
      <c r="V8402">
        <v>28</v>
      </c>
    </row>
    <row r="8403" spans="1:22" customFormat="1" ht="15" x14ac:dyDescent="0.25">
      <c r="A8403" t="s">
        <v>265</v>
      </c>
      <c r="E8403" s="1495" t="s">
        <v>910</v>
      </c>
      <c r="F8403" s="1495"/>
      <c r="G8403" s="360" t="s">
        <v>845</v>
      </c>
      <c r="H8403" s="616">
        <v>5.0000000000000002E-5</v>
      </c>
      <c r="K8403" t="s">
        <v>972</v>
      </c>
      <c r="L8403" t="s">
        <v>692</v>
      </c>
      <c r="P8403" t="s">
        <v>980</v>
      </c>
      <c r="V8403">
        <v>24</v>
      </c>
    </row>
    <row r="8404" spans="1:22" customFormat="1" ht="15" x14ac:dyDescent="0.25">
      <c r="A8404" t="s">
        <v>265</v>
      </c>
      <c r="E8404" s="1495" t="s">
        <v>5812</v>
      </c>
      <c r="F8404" s="1561"/>
      <c r="G8404" s="360" t="s">
        <v>845</v>
      </c>
      <c r="H8404" s="616">
        <v>6.9999999999999999E-4</v>
      </c>
      <c r="K8404" t="s">
        <v>972</v>
      </c>
      <c r="L8404" t="s">
        <v>690</v>
      </c>
      <c r="P8404" t="s">
        <v>3931</v>
      </c>
      <c r="T8404">
        <v>46022</v>
      </c>
      <c r="V8404">
        <v>100</v>
      </c>
    </row>
    <row r="8405" spans="1:22" customFormat="1" ht="15" x14ac:dyDescent="0.25">
      <c r="A8405" t="s">
        <v>265</v>
      </c>
      <c r="E8405" s="1495" t="s">
        <v>6871</v>
      </c>
      <c r="F8405" s="1561"/>
      <c r="G8405" s="360" t="s">
        <v>845</v>
      </c>
      <c r="H8405" s="616">
        <v>2.0000000000000001E-4</v>
      </c>
      <c r="K8405" t="s">
        <v>972</v>
      </c>
      <c r="L8405" t="s">
        <v>692</v>
      </c>
      <c r="P8405" t="s">
        <v>3766</v>
      </c>
      <c r="T8405">
        <v>46022</v>
      </c>
      <c r="V8405">
        <v>135</v>
      </c>
    </row>
    <row r="8406" spans="1:22" customFormat="1" ht="15" x14ac:dyDescent="0.25">
      <c r="A8406" t="s">
        <v>265</v>
      </c>
      <c r="E8406" s="1495" t="s">
        <v>6872</v>
      </c>
      <c r="F8406" s="1561"/>
      <c r="G8406" s="360" t="s">
        <v>845</v>
      </c>
      <c r="H8406" s="616">
        <v>3.8999999999999998E-3</v>
      </c>
      <c r="K8406" t="s">
        <v>972</v>
      </c>
      <c r="L8406" t="s">
        <v>692</v>
      </c>
      <c r="P8406" t="s">
        <v>981</v>
      </c>
      <c r="T8406">
        <v>46022</v>
      </c>
      <c r="V8406">
        <v>138</v>
      </c>
    </row>
    <row r="8407" spans="1:22" customFormat="1" ht="15" x14ac:dyDescent="0.25">
      <c r="A8407" t="s">
        <v>265</v>
      </c>
      <c r="E8407" s="1495" t="s">
        <v>243</v>
      </c>
      <c r="F8407" s="1495"/>
      <c r="G8407" s="360" t="s">
        <v>845</v>
      </c>
      <c r="H8407" s="616">
        <v>1.18E-2</v>
      </c>
      <c r="K8407" t="s">
        <v>972</v>
      </c>
      <c r="L8407" t="s">
        <v>694</v>
      </c>
      <c r="P8407" t="s">
        <v>983</v>
      </c>
      <c r="V8407">
        <v>47</v>
      </c>
    </row>
    <row r="8408" spans="1:22" customFormat="1" ht="15" x14ac:dyDescent="0.25">
      <c r="A8408" t="s">
        <v>265</v>
      </c>
      <c r="E8408" s="1495" t="s">
        <v>175</v>
      </c>
      <c r="F8408" s="1495"/>
      <c r="G8408" s="360" t="s">
        <v>845</v>
      </c>
      <c r="H8408" s="616">
        <v>7.0000000000000001E-3</v>
      </c>
      <c r="K8408" t="s">
        <v>972</v>
      </c>
      <c r="L8408" t="s">
        <v>694</v>
      </c>
      <c r="P8408" t="s">
        <v>984</v>
      </c>
      <c r="V8408">
        <v>74</v>
      </c>
    </row>
    <row r="8409" spans="1:22" customFormat="1" ht="15" x14ac:dyDescent="0.25">
      <c r="A8409" t="s">
        <v>265</v>
      </c>
      <c r="E8409" s="1488" t="s">
        <v>967</v>
      </c>
      <c r="F8409" s="1561"/>
      <c r="G8409" s="360"/>
      <c r="H8409" s="360"/>
      <c r="K8409" t="s">
        <v>985</v>
      </c>
      <c r="V8409">
        <v>48</v>
      </c>
    </row>
    <row r="8410" spans="1:22" customFormat="1" ht="15" x14ac:dyDescent="0.25">
      <c r="A8410" t="s">
        <v>265</v>
      </c>
      <c r="E8410" s="1495" t="s">
        <v>844</v>
      </c>
      <c r="F8410" s="1495"/>
      <c r="G8410" s="662" t="s">
        <v>845</v>
      </c>
      <c r="H8410" s="650">
        <v>4.1000000000000003E-3</v>
      </c>
      <c r="K8410" t="s">
        <v>972</v>
      </c>
      <c r="L8410" t="s">
        <v>968</v>
      </c>
      <c r="P8410" t="s">
        <v>986</v>
      </c>
      <c r="V8410">
        <v>55</v>
      </c>
    </row>
    <row r="8411" spans="1:22" customFormat="1" ht="15" x14ac:dyDescent="0.25">
      <c r="A8411" t="s">
        <v>265</v>
      </c>
      <c r="E8411" s="1561" t="s">
        <v>846</v>
      </c>
      <c r="F8411" s="1561"/>
      <c r="G8411" s="662" t="s">
        <v>845</v>
      </c>
      <c r="H8411" s="820">
        <v>4.0000000000000002E-4</v>
      </c>
      <c r="K8411" t="s">
        <v>972</v>
      </c>
      <c r="L8411" t="s">
        <v>968</v>
      </c>
      <c r="P8411" t="s">
        <v>986</v>
      </c>
      <c r="V8411">
        <v>65</v>
      </c>
    </row>
    <row r="8412" spans="1:22" customFormat="1" ht="15" x14ac:dyDescent="0.25">
      <c r="A8412" t="s">
        <v>265</v>
      </c>
      <c r="E8412" s="1495" t="s">
        <v>847</v>
      </c>
      <c r="F8412" s="1495"/>
      <c r="G8412" s="662" t="s">
        <v>845</v>
      </c>
      <c r="H8412" s="820">
        <v>1.5E-3</v>
      </c>
      <c r="K8412" t="s">
        <v>972</v>
      </c>
      <c r="L8412" t="s">
        <v>968</v>
      </c>
      <c r="P8412" t="s">
        <v>987</v>
      </c>
      <c r="V8412">
        <v>57</v>
      </c>
    </row>
    <row r="8413" spans="1:22" customFormat="1" ht="15" x14ac:dyDescent="0.25">
      <c r="A8413" t="s">
        <v>265</v>
      </c>
      <c r="E8413" s="1495" t="s">
        <v>848</v>
      </c>
      <c r="F8413" s="1495"/>
      <c r="G8413" s="360" t="s">
        <v>777</v>
      </c>
      <c r="H8413" s="820">
        <v>0.25</v>
      </c>
      <c r="K8413" t="s">
        <v>972</v>
      </c>
      <c r="L8413" t="s">
        <v>968</v>
      </c>
      <c r="P8413" t="s">
        <v>988</v>
      </c>
      <c r="V8413">
        <v>63</v>
      </c>
    </row>
    <row r="8414" spans="1:22" customFormat="1" x14ac:dyDescent="0.25">
      <c r="A8414" t="s">
        <v>265</v>
      </c>
      <c r="E8414" s="1538" t="s">
        <v>5395</v>
      </c>
      <c r="F8414" s="1538"/>
      <c r="G8414" s="1538"/>
      <c r="H8414" s="1539"/>
      <c r="K8414" t="s">
        <v>5396</v>
      </c>
      <c r="V8414">
        <v>53</v>
      </c>
    </row>
    <row r="8415" spans="1:22" customFormat="1" ht="15" x14ac:dyDescent="0.25">
      <c r="A8415" t="s">
        <v>265</v>
      </c>
      <c r="E8415" s="1531" t="s">
        <v>5815</v>
      </c>
      <c r="F8415" s="1531"/>
      <c r="G8415" s="1531"/>
      <c r="H8415" s="1532"/>
      <c r="K8415" t="s">
        <v>5396</v>
      </c>
      <c r="V8415">
        <v>355</v>
      </c>
    </row>
    <row r="8416" spans="1:22" customFormat="1" ht="15" x14ac:dyDescent="0.25">
      <c r="A8416" t="s">
        <v>265</v>
      </c>
      <c r="E8416" s="1562" t="s">
        <v>950</v>
      </c>
      <c r="F8416" s="1530"/>
      <c r="G8416" s="1530"/>
      <c r="H8416" s="1530"/>
      <c r="K8416" t="s">
        <v>992</v>
      </c>
      <c r="V8416">
        <v>11</v>
      </c>
    </row>
    <row r="8417" spans="1:22" customFormat="1" ht="15" x14ac:dyDescent="0.25">
      <c r="A8417" t="s">
        <v>265</v>
      </c>
      <c r="E8417" s="1531" t="s">
        <v>951</v>
      </c>
      <c r="F8417" s="1531"/>
      <c r="G8417" s="1531"/>
      <c r="H8417" s="1532"/>
      <c r="K8417" t="s">
        <v>5396</v>
      </c>
      <c r="V8417">
        <v>280</v>
      </c>
    </row>
    <row r="8418" spans="1:22" customFormat="1" ht="15" x14ac:dyDescent="0.25">
      <c r="A8418" t="s">
        <v>265</v>
      </c>
      <c r="E8418" s="1531" t="s">
        <v>952</v>
      </c>
      <c r="F8418" s="1531"/>
      <c r="G8418" s="1531"/>
      <c r="H8418" s="1532"/>
      <c r="K8418" t="s">
        <v>5396</v>
      </c>
      <c r="V8418">
        <v>411</v>
      </c>
    </row>
    <row r="8419" spans="1:22" customFormat="1" ht="15" x14ac:dyDescent="0.25">
      <c r="A8419" t="s">
        <v>265</v>
      </c>
      <c r="E8419" s="1531" t="s">
        <v>953</v>
      </c>
      <c r="F8419" s="1531"/>
      <c r="G8419" s="1531"/>
      <c r="H8419" s="1532"/>
      <c r="K8419" t="s">
        <v>5396</v>
      </c>
      <c r="V8419">
        <v>386</v>
      </c>
    </row>
    <row r="8420" spans="1:22" customFormat="1" ht="15" x14ac:dyDescent="0.25">
      <c r="A8420" t="s">
        <v>265</v>
      </c>
      <c r="E8420" s="1516" t="s">
        <v>5571</v>
      </c>
      <c r="F8420" s="1516"/>
      <c r="G8420" s="1516"/>
      <c r="H8420" s="1516"/>
      <c r="K8420" t="s">
        <v>5396</v>
      </c>
      <c r="V8420">
        <v>678</v>
      </c>
    </row>
    <row r="8421" spans="1:22" customFormat="1" ht="15" x14ac:dyDescent="0.25">
      <c r="A8421" t="s">
        <v>265</v>
      </c>
      <c r="E8421" s="1516" t="s">
        <v>5816</v>
      </c>
      <c r="F8421" s="1516"/>
      <c r="G8421" s="1516"/>
      <c r="H8421" s="1516"/>
      <c r="K8421" t="s">
        <v>5396</v>
      </c>
      <c r="V8421">
        <v>694</v>
      </c>
    </row>
    <row r="8422" spans="1:22" customFormat="1" ht="15" x14ac:dyDescent="0.25">
      <c r="A8422" t="s">
        <v>265</v>
      </c>
      <c r="E8422" s="1531" t="s">
        <v>954</v>
      </c>
      <c r="F8422" s="1531"/>
      <c r="G8422" s="1531"/>
      <c r="H8422" s="1531"/>
      <c r="K8422" t="s">
        <v>5396</v>
      </c>
      <c r="V8422">
        <v>246</v>
      </c>
    </row>
    <row r="8423" spans="1:22" customFormat="1" ht="15" x14ac:dyDescent="0.25">
      <c r="A8423" t="s">
        <v>265</v>
      </c>
      <c r="E8423" s="1570" t="s">
        <v>5817</v>
      </c>
      <c r="F8423" s="1570"/>
      <c r="G8423" s="1570"/>
      <c r="H8423" s="1570"/>
      <c r="K8423" t="s">
        <v>5396</v>
      </c>
      <c r="V8423">
        <v>148</v>
      </c>
    </row>
    <row r="8424" spans="1:22" customFormat="1" ht="15" x14ac:dyDescent="0.25">
      <c r="A8424" t="s">
        <v>265</v>
      </c>
      <c r="E8424" s="1566" t="s">
        <v>956</v>
      </c>
      <c r="F8424" s="1567"/>
      <c r="G8424" s="1567"/>
      <c r="H8424" s="1567"/>
      <c r="K8424" t="s">
        <v>995</v>
      </c>
      <c r="V8424">
        <v>46</v>
      </c>
    </row>
    <row r="8425" spans="1:22" customFormat="1" ht="15" x14ac:dyDescent="0.25">
      <c r="A8425" t="s">
        <v>265</v>
      </c>
      <c r="E8425" s="1495" t="s">
        <v>3773</v>
      </c>
      <c r="F8425" s="1495"/>
      <c r="G8425" s="360" t="s">
        <v>777</v>
      </c>
      <c r="H8425" s="616">
        <v>200</v>
      </c>
      <c r="K8425" t="s">
        <v>5396</v>
      </c>
      <c r="L8425" t="s">
        <v>690</v>
      </c>
      <c r="P8425" t="s">
        <v>5398</v>
      </c>
      <c r="V8425">
        <v>14</v>
      </c>
    </row>
    <row r="8426" spans="1:22" customFormat="1" ht="15" x14ac:dyDescent="0.25">
      <c r="A8426" t="s">
        <v>265</v>
      </c>
      <c r="E8426" s="1495" t="s">
        <v>3688</v>
      </c>
      <c r="F8426" s="1495"/>
      <c r="G8426" s="360" t="s">
        <v>3775</v>
      </c>
      <c r="H8426" s="616">
        <v>6.5552999999999999</v>
      </c>
      <c r="K8426" t="s">
        <v>5396</v>
      </c>
      <c r="L8426" t="s">
        <v>690</v>
      </c>
      <c r="P8426" t="s">
        <v>5399</v>
      </c>
      <c r="V8426">
        <v>28</v>
      </c>
    </row>
    <row r="8427" spans="1:22" customFormat="1" ht="15" x14ac:dyDescent="0.25">
      <c r="A8427" t="s">
        <v>265</v>
      </c>
      <c r="E8427" s="1495" t="s">
        <v>910</v>
      </c>
      <c r="F8427" s="1495"/>
      <c r="G8427" s="360" t="s">
        <v>3775</v>
      </c>
      <c r="H8427" s="616">
        <v>2.0629999999999999E-2</v>
      </c>
      <c r="K8427" t="s">
        <v>5396</v>
      </c>
      <c r="L8427" t="s">
        <v>692</v>
      </c>
      <c r="P8427" t="s">
        <v>5400</v>
      </c>
      <c r="V8427">
        <v>24</v>
      </c>
    </row>
    <row r="8428" spans="1:22" customFormat="1" ht="15" x14ac:dyDescent="0.25">
      <c r="A8428" t="s">
        <v>265</v>
      </c>
      <c r="E8428" s="1495" t="s">
        <v>5812</v>
      </c>
      <c r="F8428" s="1561"/>
      <c r="G8428" s="360" t="s">
        <v>3775</v>
      </c>
      <c r="H8428" s="616">
        <v>-0.2477</v>
      </c>
      <c r="K8428" t="s">
        <v>5396</v>
      </c>
      <c r="L8428" t="s">
        <v>690</v>
      </c>
      <c r="P8428" t="s">
        <v>5818</v>
      </c>
      <c r="T8428">
        <v>46022</v>
      </c>
      <c r="V8428">
        <v>100</v>
      </c>
    </row>
    <row r="8429" spans="1:22" customFormat="1" ht="15" x14ac:dyDescent="0.25">
      <c r="A8429" t="s">
        <v>265</v>
      </c>
      <c r="E8429" s="1495" t="s">
        <v>5989</v>
      </c>
      <c r="F8429" s="1561"/>
      <c r="G8429" s="360" t="s">
        <v>3775</v>
      </c>
      <c r="H8429" s="616">
        <v>0.35310000000000002</v>
      </c>
      <c r="K8429" t="s">
        <v>5396</v>
      </c>
      <c r="L8429" t="s">
        <v>692</v>
      </c>
      <c r="P8429" t="s">
        <v>5402</v>
      </c>
      <c r="T8429">
        <v>46022</v>
      </c>
      <c r="V8429">
        <v>92</v>
      </c>
    </row>
    <row r="8430" spans="1:22" customFormat="1" ht="15" x14ac:dyDescent="0.25">
      <c r="A8430" t="s">
        <v>265</v>
      </c>
      <c r="E8430" s="1495" t="s">
        <v>6871</v>
      </c>
      <c r="F8430" s="1561"/>
      <c r="G8430" s="360" t="s">
        <v>845</v>
      </c>
      <c r="H8430" s="616">
        <v>2.0000000000000001E-4</v>
      </c>
      <c r="K8430" t="s">
        <v>5396</v>
      </c>
      <c r="L8430" t="s">
        <v>692</v>
      </c>
      <c r="P8430" t="s">
        <v>5819</v>
      </c>
      <c r="T8430">
        <v>46022</v>
      </c>
      <c r="V8430">
        <v>135</v>
      </c>
    </row>
    <row r="8431" spans="1:22" customFormat="1" ht="15" x14ac:dyDescent="0.25">
      <c r="A8431" t="s">
        <v>265</v>
      </c>
      <c r="E8431" s="1495" t="s">
        <v>6873</v>
      </c>
      <c r="F8431" s="1561"/>
      <c r="G8431" s="360" t="s">
        <v>3775</v>
      </c>
      <c r="H8431" s="616">
        <v>-0.30499999999999999</v>
      </c>
      <c r="K8431" t="s">
        <v>5396</v>
      </c>
      <c r="L8431" t="s">
        <v>692</v>
      </c>
      <c r="P8431" t="s">
        <v>5402</v>
      </c>
      <c r="T8431">
        <v>46022</v>
      </c>
      <c r="V8431">
        <v>146</v>
      </c>
    </row>
    <row r="8432" spans="1:22" customFormat="1" ht="15" x14ac:dyDescent="0.25">
      <c r="A8432" t="s">
        <v>265</v>
      </c>
      <c r="E8432" s="1495" t="s">
        <v>6872</v>
      </c>
      <c r="F8432" s="1561"/>
      <c r="G8432" s="360" t="s">
        <v>845</v>
      </c>
      <c r="H8432" s="616">
        <v>3.8999999999999998E-3</v>
      </c>
      <c r="K8432" t="s">
        <v>5396</v>
      </c>
      <c r="L8432" t="s">
        <v>692</v>
      </c>
      <c r="P8432" t="s">
        <v>5401</v>
      </c>
      <c r="T8432">
        <v>46022</v>
      </c>
      <c r="V8432">
        <v>138</v>
      </c>
    </row>
    <row r="8433" spans="1:22" customFormat="1" ht="15" x14ac:dyDescent="0.25">
      <c r="A8433" t="s">
        <v>265</v>
      </c>
      <c r="E8433" s="1495" t="s">
        <v>243</v>
      </c>
      <c r="F8433" s="1495"/>
      <c r="G8433" s="360" t="s">
        <v>3775</v>
      </c>
      <c r="H8433" s="616">
        <v>4.8479999999999999</v>
      </c>
      <c r="K8433" t="s">
        <v>5396</v>
      </c>
      <c r="L8433" t="s">
        <v>694</v>
      </c>
      <c r="P8433" t="s">
        <v>5403</v>
      </c>
      <c r="V8433">
        <v>47</v>
      </c>
    </row>
    <row r="8434" spans="1:22" customFormat="1" ht="15" x14ac:dyDescent="0.25">
      <c r="A8434" t="s">
        <v>265</v>
      </c>
      <c r="E8434" s="1495" t="s">
        <v>175</v>
      </c>
      <c r="F8434" s="1495"/>
      <c r="G8434" s="360" t="s">
        <v>3775</v>
      </c>
      <c r="H8434" s="616">
        <v>2.8187000000000002</v>
      </c>
      <c r="K8434" t="s">
        <v>5396</v>
      </c>
      <c r="L8434" t="s">
        <v>694</v>
      </c>
      <c r="P8434" t="s">
        <v>5404</v>
      </c>
      <c r="V8434">
        <v>74</v>
      </c>
    </row>
    <row r="8435" spans="1:22" customFormat="1" ht="15" x14ac:dyDescent="0.25">
      <c r="A8435" t="s">
        <v>265</v>
      </c>
      <c r="E8435" s="1488" t="s">
        <v>967</v>
      </c>
      <c r="F8435" s="1561"/>
      <c r="G8435" s="360"/>
      <c r="H8435" s="360"/>
      <c r="K8435" t="s">
        <v>1003</v>
      </c>
      <c r="V8435">
        <v>48</v>
      </c>
    </row>
    <row r="8436" spans="1:22" customFormat="1" ht="15" x14ac:dyDescent="0.25">
      <c r="A8436" t="s">
        <v>265</v>
      </c>
      <c r="E8436" s="1495" t="s">
        <v>844</v>
      </c>
      <c r="F8436" s="1495"/>
      <c r="G8436" s="662" t="s">
        <v>845</v>
      </c>
      <c r="H8436" s="650">
        <v>4.1000000000000003E-3</v>
      </c>
      <c r="K8436" t="s">
        <v>5396</v>
      </c>
      <c r="L8436" t="s">
        <v>968</v>
      </c>
      <c r="P8436" t="s">
        <v>5405</v>
      </c>
      <c r="V8436">
        <v>55</v>
      </c>
    </row>
    <row r="8437" spans="1:22" customFormat="1" ht="15" x14ac:dyDescent="0.25">
      <c r="A8437" t="s">
        <v>265</v>
      </c>
      <c r="E8437" s="1561" t="s">
        <v>846</v>
      </c>
      <c r="F8437" s="1561"/>
      <c r="G8437" s="662" t="s">
        <v>845</v>
      </c>
      <c r="H8437" s="820">
        <v>4.0000000000000002E-4</v>
      </c>
      <c r="K8437" t="s">
        <v>5396</v>
      </c>
      <c r="L8437" t="s">
        <v>968</v>
      </c>
      <c r="P8437" t="s">
        <v>5405</v>
      </c>
      <c r="V8437">
        <v>65</v>
      </c>
    </row>
    <row r="8438" spans="1:22" customFormat="1" ht="15" x14ac:dyDescent="0.25">
      <c r="A8438" t="s">
        <v>265</v>
      </c>
      <c r="E8438" s="1495" t="s">
        <v>847</v>
      </c>
      <c r="F8438" s="1495"/>
      <c r="G8438" s="662" t="s">
        <v>845</v>
      </c>
      <c r="H8438" s="820">
        <v>1.5E-3</v>
      </c>
      <c r="K8438" t="s">
        <v>5396</v>
      </c>
      <c r="L8438" t="s">
        <v>968</v>
      </c>
      <c r="P8438" t="s">
        <v>5406</v>
      </c>
      <c r="V8438">
        <v>57</v>
      </c>
    </row>
    <row r="8439" spans="1:22" customFormat="1" ht="15" x14ac:dyDescent="0.25">
      <c r="A8439" t="s">
        <v>265</v>
      </c>
      <c r="E8439" s="1495" t="s">
        <v>848</v>
      </c>
      <c r="F8439" s="1495"/>
      <c r="G8439" s="360" t="s">
        <v>777</v>
      </c>
      <c r="H8439" s="820">
        <v>0.25</v>
      </c>
      <c r="K8439" t="s">
        <v>5396</v>
      </c>
      <c r="L8439" t="s">
        <v>968</v>
      </c>
      <c r="P8439" t="s">
        <v>5407</v>
      </c>
      <c r="V8439">
        <v>63</v>
      </c>
    </row>
    <row r="8440" spans="1:22" customFormat="1" x14ac:dyDescent="0.25">
      <c r="A8440" t="s">
        <v>265</v>
      </c>
      <c r="E8440" s="1538" t="s">
        <v>5820</v>
      </c>
      <c r="F8440" s="1538"/>
      <c r="G8440" s="1538"/>
      <c r="H8440" s="1539"/>
      <c r="K8440" t="s">
        <v>5821</v>
      </c>
      <c r="V8440">
        <v>56</v>
      </c>
    </row>
    <row r="8441" spans="1:22" customFormat="1" ht="15" x14ac:dyDescent="0.25">
      <c r="A8441" t="s">
        <v>265</v>
      </c>
      <c r="E8441" s="1531" t="s">
        <v>5822</v>
      </c>
      <c r="F8441" s="1531"/>
      <c r="G8441" s="1531"/>
      <c r="H8441" s="1532"/>
      <c r="K8441" t="s">
        <v>5821</v>
      </c>
      <c r="V8441">
        <v>359</v>
      </c>
    </row>
    <row r="8442" spans="1:22" customFormat="1" ht="15" x14ac:dyDescent="0.25">
      <c r="A8442" t="s">
        <v>265</v>
      </c>
      <c r="E8442" s="1562" t="s">
        <v>950</v>
      </c>
      <c r="F8442" s="1530"/>
      <c r="G8442" s="1530"/>
      <c r="H8442" s="1530"/>
      <c r="K8442" t="s">
        <v>1010</v>
      </c>
      <c r="V8442">
        <v>11</v>
      </c>
    </row>
    <row r="8443" spans="1:22" customFormat="1" ht="15" x14ac:dyDescent="0.25">
      <c r="A8443" t="s">
        <v>265</v>
      </c>
      <c r="E8443" s="1531" t="s">
        <v>951</v>
      </c>
      <c r="F8443" s="1531"/>
      <c r="G8443" s="1531"/>
      <c r="H8443" s="1532"/>
      <c r="K8443" t="s">
        <v>5821</v>
      </c>
      <c r="V8443">
        <v>280</v>
      </c>
    </row>
    <row r="8444" spans="1:22" customFormat="1" ht="15" x14ac:dyDescent="0.25">
      <c r="A8444" t="s">
        <v>265</v>
      </c>
      <c r="E8444" s="1531" t="s">
        <v>5823</v>
      </c>
      <c r="F8444" s="1531"/>
      <c r="G8444" s="1531"/>
      <c r="H8444" s="1532"/>
      <c r="K8444" t="s">
        <v>5821</v>
      </c>
      <c r="V8444">
        <v>396</v>
      </c>
    </row>
    <row r="8445" spans="1:22" customFormat="1" ht="15" x14ac:dyDescent="0.25">
      <c r="A8445" t="s">
        <v>265</v>
      </c>
      <c r="E8445" s="1531" t="s">
        <v>953</v>
      </c>
      <c r="F8445" s="1531"/>
      <c r="G8445" s="1531"/>
      <c r="H8445" s="1532"/>
      <c r="K8445" t="s">
        <v>5821</v>
      </c>
      <c r="V8445">
        <v>386</v>
      </c>
    </row>
    <row r="8446" spans="1:22" customFormat="1" ht="15" x14ac:dyDescent="0.25">
      <c r="A8446" t="s">
        <v>265</v>
      </c>
      <c r="E8446" s="1516" t="s">
        <v>5571</v>
      </c>
      <c r="F8446" s="1516"/>
      <c r="G8446" s="1516"/>
      <c r="H8446" s="1516"/>
      <c r="K8446" t="s">
        <v>5821</v>
      </c>
      <c r="V8446">
        <v>678</v>
      </c>
    </row>
    <row r="8447" spans="1:22" customFormat="1" ht="15" x14ac:dyDescent="0.25">
      <c r="A8447" t="s">
        <v>265</v>
      </c>
      <c r="E8447" s="1516" t="s">
        <v>5816</v>
      </c>
      <c r="F8447" s="1516"/>
      <c r="G8447" s="1516"/>
      <c r="H8447" s="1516"/>
      <c r="K8447" t="s">
        <v>5821</v>
      </c>
      <c r="V8447">
        <v>694</v>
      </c>
    </row>
    <row r="8448" spans="1:22" customFormat="1" ht="15" x14ac:dyDescent="0.25">
      <c r="A8448" t="s">
        <v>265</v>
      </c>
      <c r="E8448" s="1531" t="s">
        <v>954</v>
      </c>
      <c r="F8448" s="1531"/>
      <c r="G8448" s="1531"/>
      <c r="H8448" s="1532"/>
      <c r="K8448" t="s">
        <v>5821</v>
      </c>
      <c r="V8448">
        <v>246</v>
      </c>
    </row>
    <row r="8449" spans="1:22" customFormat="1" ht="15" x14ac:dyDescent="0.25">
      <c r="A8449" t="s">
        <v>265</v>
      </c>
      <c r="E8449" s="1570" t="s">
        <v>5817</v>
      </c>
      <c r="F8449" s="1570"/>
      <c r="G8449" s="1570"/>
      <c r="H8449" s="1570"/>
      <c r="K8449" t="s">
        <v>5821</v>
      </c>
      <c r="V8449">
        <v>148</v>
      </c>
    </row>
    <row r="8450" spans="1:22" customFormat="1" ht="15" x14ac:dyDescent="0.25">
      <c r="A8450" t="s">
        <v>265</v>
      </c>
      <c r="E8450" s="1566" t="s">
        <v>956</v>
      </c>
      <c r="F8450" s="1567"/>
      <c r="G8450" s="1567"/>
      <c r="H8450" s="1567"/>
      <c r="K8450" t="s">
        <v>1011</v>
      </c>
      <c r="V8450">
        <v>46</v>
      </c>
    </row>
    <row r="8451" spans="1:22" customFormat="1" ht="15" x14ac:dyDescent="0.25">
      <c r="A8451" t="s">
        <v>265</v>
      </c>
      <c r="E8451" s="1495" t="s">
        <v>3773</v>
      </c>
      <c r="F8451" s="1495"/>
      <c r="G8451" s="360" t="s">
        <v>777</v>
      </c>
      <c r="H8451" s="821">
        <v>4126.75</v>
      </c>
      <c r="K8451" t="s">
        <v>5821</v>
      </c>
      <c r="L8451" t="s">
        <v>690</v>
      </c>
      <c r="P8451" t="s">
        <v>5824</v>
      </c>
      <c r="V8451">
        <v>14</v>
      </c>
    </row>
    <row r="8452" spans="1:22" customFormat="1" ht="15" x14ac:dyDescent="0.25">
      <c r="A8452" t="s">
        <v>265</v>
      </c>
      <c r="E8452" s="1495" t="s">
        <v>3688</v>
      </c>
      <c r="F8452" s="1495"/>
      <c r="G8452" s="360" t="s">
        <v>3775</v>
      </c>
      <c r="H8452" s="616">
        <v>6.0796000000000001</v>
      </c>
      <c r="K8452" t="s">
        <v>5821</v>
      </c>
      <c r="L8452" t="s">
        <v>690</v>
      </c>
      <c r="P8452" t="s">
        <v>5825</v>
      </c>
      <c r="V8452">
        <v>28</v>
      </c>
    </row>
    <row r="8453" spans="1:22" customFormat="1" ht="15" x14ac:dyDescent="0.25">
      <c r="A8453" t="s">
        <v>265</v>
      </c>
      <c r="E8453" s="1495" t="s">
        <v>910</v>
      </c>
      <c r="F8453" s="1495"/>
      <c r="G8453" s="360" t="s">
        <v>3775</v>
      </c>
      <c r="H8453" s="616">
        <v>2.2040000000000001E-2</v>
      </c>
      <c r="K8453" t="s">
        <v>5821</v>
      </c>
      <c r="L8453" t="s">
        <v>692</v>
      </c>
      <c r="P8453" t="s">
        <v>5826</v>
      </c>
      <c r="V8453">
        <v>24</v>
      </c>
    </row>
    <row r="8454" spans="1:22" customFormat="1" ht="15" x14ac:dyDescent="0.25">
      <c r="A8454" t="s">
        <v>265</v>
      </c>
      <c r="E8454" s="1495" t="s">
        <v>5812</v>
      </c>
      <c r="F8454" s="1561"/>
      <c r="G8454" s="360" t="s">
        <v>3775</v>
      </c>
      <c r="H8454" s="616">
        <v>0.2021</v>
      </c>
      <c r="K8454" t="s">
        <v>5821</v>
      </c>
      <c r="L8454" t="s">
        <v>690</v>
      </c>
      <c r="P8454" t="s">
        <v>5828</v>
      </c>
      <c r="T8454">
        <v>46022</v>
      </c>
      <c r="V8454">
        <v>100</v>
      </c>
    </row>
    <row r="8455" spans="1:22" customFormat="1" ht="15" x14ac:dyDescent="0.25">
      <c r="A8455" t="s">
        <v>265</v>
      </c>
      <c r="E8455" s="1495" t="s">
        <v>5989</v>
      </c>
      <c r="F8455" s="1561"/>
      <c r="G8455" s="360" t="s">
        <v>3775</v>
      </c>
      <c r="H8455" s="616">
        <v>5.3600000000000002E-2</v>
      </c>
      <c r="K8455" t="s">
        <v>5821</v>
      </c>
      <c r="L8455" t="s">
        <v>692</v>
      </c>
      <c r="P8455" t="s">
        <v>5827</v>
      </c>
      <c r="T8455">
        <v>46022</v>
      </c>
      <c r="V8455">
        <v>92</v>
      </c>
    </row>
    <row r="8456" spans="1:22" customFormat="1" ht="15" x14ac:dyDescent="0.25">
      <c r="A8456" t="s">
        <v>265</v>
      </c>
      <c r="E8456" s="1495" t="s">
        <v>6871</v>
      </c>
      <c r="F8456" s="1561"/>
      <c r="G8456" s="360" t="s">
        <v>845</v>
      </c>
      <c r="H8456" s="616">
        <v>2.0000000000000001E-4</v>
      </c>
      <c r="K8456" t="s">
        <v>5821</v>
      </c>
      <c r="L8456" t="s">
        <v>692</v>
      </c>
      <c r="P8456" t="s">
        <v>5829</v>
      </c>
      <c r="T8456">
        <v>46022</v>
      </c>
      <c r="V8456">
        <v>135</v>
      </c>
    </row>
    <row r="8457" spans="1:22" customFormat="1" ht="15" x14ac:dyDescent="0.25">
      <c r="A8457" t="s">
        <v>265</v>
      </c>
      <c r="E8457" s="1495" t="s">
        <v>6872</v>
      </c>
      <c r="F8457" s="1561"/>
      <c r="G8457" s="360" t="s">
        <v>845</v>
      </c>
      <c r="H8457" s="616">
        <v>3.8999999999999998E-3</v>
      </c>
      <c r="K8457" t="s">
        <v>5821</v>
      </c>
      <c r="L8457" t="s">
        <v>692</v>
      </c>
      <c r="P8457" t="s">
        <v>5830</v>
      </c>
      <c r="T8457">
        <v>46022</v>
      </c>
      <c r="V8457">
        <v>138</v>
      </c>
    </row>
    <row r="8458" spans="1:22" customFormat="1" ht="15" x14ac:dyDescent="0.25">
      <c r="A8458" t="s">
        <v>265</v>
      </c>
      <c r="E8458" s="1495" t="s">
        <v>243</v>
      </c>
      <c r="F8458" s="1495"/>
      <c r="G8458" s="360" t="s">
        <v>3775</v>
      </c>
      <c r="H8458" s="616">
        <v>5.0336999999999996</v>
      </c>
      <c r="K8458" t="s">
        <v>5821</v>
      </c>
      <c r="L8458" t="s">
        <v>694</v>
      </c>
      <c r="P8458" t="s">
        <v>5831</v>
      </c>
      <c r="V8458">
        <v>47</v>
      </c>
    </row>
    <row r="8459" spans="1:22" customFormat="1" ht="15" x14ac:dyDescent="0.25">
      <c r="A8459" t="s">
        <v>265</v>
      </c>
      <c r="E8459" s="1495" t="s">
        <v>175</v>
      </c>
      <c r="F8459" s="1495"/>
      <c r="G8459" s="360" t="s">
        <v>3775</v>
      </c>
      <c r="H8459" s="616">
        <v>3.0125999999999999</v>
      </c>
      <c r="K8459" t="s">
        <v>5821</v>
      </c>
      <c r="L8459" t="s">
        <v>694</v>
      </c>
      <c r="P8459" t="s">
        <v>5832</v>
      </c>
      <c r="V8459">
        <v>74</v>
      </c>
    </row>
    <row r="8460" spans="1:22" customFormat="1" ht="15" x14ac:dyDescent="0.25">
      <c r="A8460" t="s">
        <v>265</v>
      </c>
      <c r="E8460" s="1488" t="s">
        <v>967</v>
      </c>
      <c r="F8460" s="1561"/>
      <c r="G8460" s="360"/>
      <c r="H8460" s="360"/>
      <c r="K8460" t="s">
        <v>1019</v>
      </c>
      <c r="V8460">
        <v>48</v>
      </c>
    </row>
    <row r="8461" spans="1:22" customFormat="1" ht="15" x14ac:dyDescent="0.25">
      <c r="A8461" t="s">
        <v>265</v>
      </c>
      <c r="E8461" s="1495" t="s">
        <v>844</v>
      </c>
      <c r="F8461" s="1495"/>
      <c r="G8461" s="662" t="s">
        <v>845</v>
      </c>
      <c r="H8461" s="650">
        <v>4.1000000000000003E-3</v>
      </c>
      <c r="K8461" t="s">
        <v>5821</v>
      </c>
      <c r="L8461" t="s">
        <v>968</v>
      </c>
      <c r="P8461" t="s">
        <v>5833</v>
      </c>
      <c r="V8461">
        <v>55</v>
      </c>
    </row>
    <row r="8462" spans="1:22" customFormat="1" ht="15" x14ac:dyDescent="0.25">
      <c r="A8462" t="s">
        <v>265</v>
      </c>
      <c r="E8462" s="1561" t="s">
        <v>846</v>
      </c>
      <c r="F8462" s="1561"/>
      <c r="G8462" s="662" t="s">
        <v>845</v>
      </c>
      <c r="H8462" s="820">
        <v>4.0000000000000002E-4</v>
      </c>
      <c r="K8462" t="s">
        <v>5821</v>
      </c>
      <c r="L8462" t="s">
        <v>968</v>
      </c>
      <c r="P8462" t="s">
        <v>5833</v>
      </c>
      <c r="V8462">
        <v>65</v>
      </c>
    </row>
    <row r="8463" spans="1:22" customFormat="1" ht="15" x14ac:dyDescent="0.25">
      <c r="A8463" t="s">
        <v>265</v>
      </c>
      <c r="E8463" s="1495" t="s">
        <v>847</v>
      </c>
      <c r="F8463" s="1495"/>
      <c r="G8463" s="662" t="s">
        <v>845</v>
      </c>
      <c r="H8463" s="820">
        <v>1.5E-3</v>
      </c>
      <c r="K8463" t="s">
        <v>5821</v>
      </c>
      <c r="L8463" t="s">
        <v>968</v>
      </c>
      <c r="P8463" t="s">
        <v>5834</v>
      </c>
      <c r="V8463">
        <v>57</v>
      </c>
    </row>
    <row r="8464" spans="1:22" customFormat="1" ht="15" x14ac:dyDescent="0.25">
      <c r="A8464" t="s">
        <v>265</v>
      </c>
      <c r="E8464" s="1495" t="s">
        <v>848</v>
      </c>
      <c r="F8464" s="1495"/>
      <c r="G8464" s="360" t="s">
        <v>777</v>
      </c>
      <c r="H8464" s="820">
        <v>0.25</v>
      </c>
      <c r="K8464" t="s">
        <v>5821</v>
      </c>
      <c r="L8464" t="s">
        <v>968</v>
      </c>
      <c r="P8464" t="s">
        <v>5835</v>
      </c>
      <c r="V8464">
        <v>63</v>
      </c>
    </row>
    <row r="8465" spans="1:22" customFormat="1" x14ac:dyDescent="0.25">
      <c r="A8465" t="s">
        <v>265</v>
      </c>
      <c r="E8465" s="1538" t="s">
        <v>189</v>
      </c>
      <c r="F8465" s="1538"/>
      <c r="G8465" s="1538"/>
      <c r="H8465" s="1539"/>
      <c r="K8465" t="s">
        <v>3967</v>
      </c>
      <c r="V8465">
        <v>32</v>
      </c>
    </row>
    <row r="8466" spans="1:22" customFormat="1" ht="15" x14ac:dyDescent="0.25">
      <c r="A8466" t="s">
        <v>265</v>
      </c>
      <c r="E8466" s="1531" t="s">
        <v>5836</v>
      </c>
      <c r="F8466" s="1531"/>
      <c r="G8466" s="1531"/>
      <c r="H8466" s="1532"/>
      <c r="K8466" t="s">
        <v>3967</v>
      </c>
      <c r="V8466">
        <v>320</v>
      </c>
    </row>
    <row r="8467" spans="1:22" customFormat="1" ht="15" x14ac:dyDescent="0.25">
      <c r="A8467" t="s">
        <v>265</v>
      </c>
      <c r="E8467" s="1562" t="s">
        <v>950</v>
      </c>
      <c r="F8467" s="1530"/>
      <c r="G8467" s="1530"/>
      <c r="H8467" s="1530"/>
      <c r="K8467" t="s">
        <v>1025</v>
      </c>
      <c r="V8467">
        <v>11</v>
      </c>
    </row>
    <row r="8468" spans="1:22" customFormat="1" ht="15" x14ac:dyDescent="0.25">
      <c r="A8468" t="s">
        <v>265</v>
      </c>
      <c r="E8468" s="1531" t="s">
        <v>951</v>
      </c>
      <c r="F8468" s="1531"/>
      <c r="G8468" s="1531"/>
      <c r="H8468" s="1532"/>
      <c r="K8468" t="s">
        <v>3967</v>
      </c>
      <c r="V8468">
        <v>280</v>
      </c>
    </row>
    <row r="8469" spans="1:22" customFormat="1" ht="15" x14ac:dyDescent="0.25">
      <c r="A8469" t="s">
        <v>265</v>
      </c>
      <c r="E8469" s="1531" t="s">
        <v>5837</v>
      </c>
      <c r="F8469" s="1531"/>
      <c r="G8469" s="1531"/>
      <c r="H8469" s="1532"/>
      <c r="K8469" t="s">
        <v>3967</v>
      </c>
      <c r="V8469">
        <v>396</v>
      </c>
    </row>
    <row r="8470" spans="1:22" customFormat="1" ht="15" x14ac:dyDescent="0.25">
      <c r="A8470" t="s">
        <v>265</v>
      </c>
      <c r="E8470" s="1531" t="s">
        <v>953</v>
      </c>
      <c r="F8470" s="1531"/>
      <c r="G8470" s="1531"/>
      <c r="H8470" s="1532"/>
      <c r="K8470" t="s">
        <v>3967</v>
      </c>
      <c r="V8470">
        <v>386</v>
      </c>
    </row>
    <row r="8471" spans="1:22" customFormat="1" ht="15" x14ac:dyDescent="0.25">
      <c r="A8471" t="s">
        <v>265</v>
      </c>
      <c r="E8471" s="1516" t="s">
        <v>5571</v>
      </c>
      <c r="F8471" s="1516"/>
      <c r="G8471" s="1516"/>
      <c r="H8471" s="1516"/>
      <c r="K8471" t="s">
        <v>3967</v>
      </c>
      <c r="V8471">
        <v>678</v>
      </c>
    </row>
    <row r="8472" spans="1:22" customFormat="1" ht="15" x14ac:dyDescent="0.25">
      <c r="A8472" t="s">
        <v>265</v>
      </c>
      <c r="E8472" s="1516" t="s">
        <v>5816</v>
      </c>
      <c r="F8472" s="1516"/>
      <c r="G8472" s="1516"/>
      <c r="H8472" s="1516"/>
      <c r="K8472" t="s">
        <v>3967</v>
      </c>
      <c r="V8472">
        <v>694</v>
      </c>
    </row>
    <row r="8473" spans="1:22" customFormat="1" ht="15" x14ac:dyDescent="0.25">
      <c r="A8473" t="s">
        <v>265</v>
      </c>
      <c r="E8473" s="1531" t="s">
        <v>954</v>
      </c>
      <c r="F8473" s="1531"/>
      <c r="G8473" s="1531"/>
      <c r="H8473" s="1532"/>
      <c r="K8473" t="s">
        <v>3967</v>
      </c>
      <c r="V8473">
        <v>246</v>
      </c>
    </row>
    <row r="8474" spans="1:22" customFormat="1" ht="15" x14ac:dyDescent="0.25">
      <c r="A8474" t="s">
        <v>265</v>
      </c>
      <c r="E8474" s="1570" t="s">
        <v>5817</v>
      </c>
      <c r="F8474" s="1570"/>
      <c r="G8474" s="1570"/>
      <c r="H8474" s="1570"/>
      <c r="K8474" t="s">
        <v>3967</v>
      </c>
      <c r="V8474">
        <v>148</v>
      </c>
    </row>
    <row r="8475" spans="1:22" customFormat="1" ht="15" x14ac:dyDescent="0.25">
      <c r="A8475" t="s">
        <v>265</v>
      </c>
      <c r="E8475" s="1566" t="s">
        <v>956</v>
      </c>
      <c r="F8475" s="1567"/>
      <c r="G8475" s="1567"/>
      <c r="H8475" s="1567"/>
      <c r="K8475" t="s">
        <v>1026</v>
      </c>
      <c r="V8475">
        <v>46</v>
      </c>
    </row>
    <row r="8476" spans="1:22" customFormat="1" ht="15" x14ac:dyDescent="0.25">
      <c r="A8476" t="s">
        <v>265</v>
      </c>
      <c r="E8476" s="1495" t="s">
        <v>3773</v>
      </c>
      <c r="F8476" s="1495"/>
      <c r="G8476" s="360" t="s">
        <v>777</v>
      </c>
      <c r="H8476" s="821">
        <v>14946.93</v>
      </c>
      <c r="K8476" t="s">
        <v>3967</v>
      </c>
      <c r="L8476" t="s">
        <v>690</v>
      </c>
      <c r="P8476" t="s">
        <v>3969</v>
      </c>
      <c r="V8476">
        <v>14</v>
      </c>
    </row>
    <row r="8477" spans="1:22" customFormat="1" ht="15" x14ac:dyDescent="0.25">
      <c r="A8477" t="s">
        <v>265</v>
      </c>
      <c r="E8477" s="1495" t="s">
        <v>3688</v>
      </c>
      <c r="F8477" s="1495"/>
      <c r="G8477" s="360" t="s">
        <v>3775</v>
      </c>
      <c r="H8477" s="616">
        <v>6.0316000000000001</v>
      </c>
      <c r="K8477" t="s">
        <v>3967</v>
      </c>
      <c r="L8477" t="s">
        <v>690</v>
      </c>
      <c r="P8477" t="s">
        <v>3972</v>
      </c>
      <c r="V8477">
        <v>28</v>
      </c>
    </row>
    <row r="8478" spans="1:22" customFormat="1" ht="15" x14ac:dyDescent="0.25">
      <c r="A8478" t="s">
        <v>265</v>
      </c>
      <c r="E8478" s="1495" t="s">
        <v>910</v>
      </c>
      <c r="F8478" s="1495"/>
      <c r="G8478" s="360" t="s">
        <v>3775</v>
      </c>
      <c r="H8478" s="616">
        <v>2.4819999999999998E-2</v>
      </c>
      <c r="K8478" t="s">
        <v>3967</v>
      </c>
      <c r="L8478" t="s">
        <v>692</v>
      </c>
      <c r="P8478" t="s">
        <v>3973</v>
      </c>
      <c r="V8478">
        <v>24</v>
      </c>
    </row>
    <row r="8479" spans="1:22" customFormat="1" ht="15" x14ac:dyDescent="0.25">
      <c r="A8479" t="s">
        <v>265</v>
      </c>
      <c r="E8479" s="1495" t="s">
        <v>5812</v>
      </c>
      <c r="F8479" s="1561"/>
      <c r="G8479" s="360" t="s">
        <v>3775</v>
      </c>
      <c r="H8479" s="616">
        <v>0.2011</v>
      </c>
      <c r="K8479" t="s">
        <v>3967</v>
      </c>
      <c r="L8479" t="s">
        <v>690</v>
      </c>
      <c r="P8479" t="s">
        <v>3974</v>
      </c>
      <c r="T8479">
        <v>46022</v>
      </c>
      <c r="V8479">
        <v>100</v>
      </c>
    </row>
    <row r="8480" spans="1:22" customFormat="1" ht="15" x14ac:dyDescent="0.25">
      <c r="A8480" t="s">
        <v>265</v>
      </c>
      <c r="E8480" s="1495" t="s">
        <v>5989</v>
      </c>
      <c r="F8480" s="1561"/>
      <c r="G8480" s="360" t="s">
        <v>3775</v>
      </c>
      <c r="H8480" s="616">
        <v>6.3399999999999998E-2</v>
      </c>
      <c r="K8480" t="s">
        <v>3967</v>
      </c>
      <c r="L8480" t="s">
        <v>692</v>
      </c>
      <c r="P8480" t="s">
        <v>3975</v>
      </c>
      <c r="T8480">
        <v>46022</v>
      </c>
      <c r="V8480">
        <v>92</v>
      </c>
    </row>
    <row r="8481" spans="1:22" customFormat="1" ht="15" x14ac:dyDescent="0.25">
      <c r="A8481" t="s">
        <v>265</v>
      </c>
      <c r="E8481" s="1495" t="s">
        <v>6871</v>
      </c>
      <c r="F8481" s="1561"/>
      <c r="G8481" s="360" t="s">
        <v>845</v>
      </c>
      <c r="H8481" s="616">
        <v>2.0000000000000001E-4</v>
      </c>
      <c r="K8481" t="s">
        <v>3967</v>
      </c>
      <c r="L8481" t="s">
        <v>692</v>
      </c>
      <c r="P8481" t="s">
        <v>5740</v>
      </c>
      <c r="T8481">
        <v>46022</v>
      </c>
      <c r="V8481">
        <v>135</v>
      </c>
    </row>
    <row r="8482" spans="1:22" customFormat="1" ht="15" x14ac:dyDescent="0.25">
      <c r="A8482" t="s">
        <v>265</v>
      </c>
      <c r="E8482" s="1495" t="s">
        <v>6872</v>
      </c>
      <c r="F8482" s="1561"/>
      <c r="G8482" s="360" t="s">
        <v>845</v>
      </c>
      <c r="H8482" s="616">
        <v>3.8999999999999998E-3</v>
      </c>
      <c r="K8482" t="s">
        <v>3967</v>
      </c>
      <c r="L8482" t="s">
        <v>692</v>
      </c>
      <c r="P8482" t="s">
        <v>5739</v>
      </c>
      <c r="T8482">
        <v>46022</v>
      </c>
      <c r="V8482">
        <v>138</v>
      </c>
    </row>
    <row r="8483" spans="1:22" customFormat="1" ht="15" x14ac:dyDescent="0.25">
      <c r="A8483" t="s">
        <v>265</v>
      </c>
      <c r="E8483" s="1495" t="s">
        <v>243</v>
      </c>
      <c r="F8483" s="1495"/>
      <c r="G8483" s="360" t="s">
        <v>3775</v>
      </c>
      <c r="H8483" s="616">
        <v>5.5801999999999996</v>
      </c>
      <c r="K8483" t="s">
        <v>3967</v>
      </c>
      <c r="L8483" t="s">
        <v>694</v>
      </c>
      <c r="P8483" t="s">
        <v>3978</v>
      </c>
      <c r="V8483">
        <v>47</v>
      </c>
    </row>
    <row r="8484" spans="1:22" customFormat="1" ht="15" x14ac:dyDescent="0.25">
      <c r="A8484" t="s">
        <v>265</v>
      </c>
      <c r="E8484" s="1495" t="s">
        <v>175</v>
      </c>
      <c r="F8484" s="1495"/>
      <c r="G8484" s="360" t="s">
        <v>3775</v>
      </c>
      <c r="H8484" s="616">
        <v>3.3923999999999999</v>
      </c>
      <c r="K8484" t="s">
        <v>3967</v>
      </c>
      <c r="L8484" t="s">
        <v>694</v>
      </c>
      <c r="P8484" t="s">
        <v>3979</v>
      </c>
      <c r="V8484">
        <v>74</v>
      </c>
    </row>
    <row r="8485" spans="1:22" customFormat="1" ht="15" x14ac:dyDescent="0.25">
      <c r="A8485" t="s">
        <v>265</v>
      </c>
      <c r="E8485" s="1488" t="s">
        <v>967</v>
      </c>
      <c r="F8485" s="1561"/>
      <c r="G8485" s="360"/>
      <c r="H8485" s="360"/>
      <c r="K8485" t="s">
        <v>1035</v>
      </c>
      <c r="V8485">
        <v>48</v>
      </c>
    </row>
    <row r="8486" spans="1:22" customFormat="1" ht="15" x14ac:dyDescent="0.25">
      <c r="A8486" t="s">
        <v>265</v>
      </c>
      <c r="E8486" s="1495" t="s">
        <v>844</v>
      </c>
      <c r="F8486" s="1495"/>
      <c r="G8486" s="662" t="s">
        <v>845</v>
      </c>
      <c r="H8486" s="650">
        <v>4.1000000000000003E-3</v>
      </c>
      <c r="K8486" t="s">
        <v>3967</v>
      </c>
      <c r="L8486" t="s">
        <v>968</v>
      </c>
      <c r="P8486" t="s">
        <v>3980</v>
      </c>
      <c r="V8486">
        <v>55</v>
      </c>
    </row>
    <row r="8487" spans="1:22" customFormat="1" ht="15" x14ac:dyDescent="0.25">
      <c r="A8487" t="s">
        <v>265</v>
      </c>
      <c r="E8487" s="1561" t="s">
        <v>846</v>
      </c>
      <c r="F8487" s="1561"/>
      <c r="G8487" s="662" t="s">
        <v>845</v>
      </c>
      <c r="H8487" s="820">
        <v>4.0000000000000002E-4</v>
      </c>
      <c r="K8487" t="s">
        <v>3967</v>
      </c>
      <c r="L8487" t="s">
        <v>968</v>
      </c>
      <c r="P8487" t="s">
        <v>3980</v>
      </c>
      <c r="V8487">
        <v>65</v>
      </c>
    </row>
    <row r="8488" spans="1:22" customFormat="1" ht="15" x14ac:dyDescent="0.25">
      <c r="A8488" t="s">
        <v>265</v>
      </c>
      <c r="E8488" s="1495" t="s">
        <v>847</v>
      </c>
      <c r="F8488" s="1495"/>
      <c r="G8488" s="662" t="s">
        <v>845</v>
      </c>
      <c r="H8488" s="820">
        <v>1.5E-3</v>
      </c>
      <c r="K8488" t="s">
        <v>3967</v>
      </c>
      <c r="L8488" t="s">
        <v>968</v>
      </c>
      <c r="P8488" t="s">
        <v>3981</v>
      </c>
      <c r="V8488">
        <v>57</v>
      </c>
    </row>
    <row r="8489" spans="1:22" customFormat="1" ht="15" x14ac:dyDescent="0.25">
      <c r="A8489" t="s">
        <v>265</v>
      </c>
      <c r="E8489" s="1495" t="s">
        <v>848</v>
      </c>
      <c r="F8489" s="1495"/>
      <c r="G8489" s="360" t="s">
        <v>777</v>
      </c>
      <c r="H8489" s="820">
        <v>0.25</v>
      </c>
      <c r="K8489" t="s">
        <v>3967</v>
      </c>
      <c r="L8489" t="s">
        <v>968</v>
      </c>
      <c r="P8489" t="s">
        <v>3982</v>
      </c>
      <c r="V8489">
        <v>63</v>
      </c>
    </row>
    <row r="8490" spans="1:22" customFormat="1" x14ac:dyDescent="0.25">
      <c r="A8490" t="s">
        <v>265</v>
      </c>
      <c r="E8490" s="1538" t="s">
        <v>194</v>
      </c>
      <c r="F8490" s="1538"/>
      <c r="G8490" s="1538"/>
      <c r="H8490" s="1539"/>
      <c r="K8490" t="s">
        <v>3872</v>
      </c>
      <c r="V8490">
        <v>47</v>
      </c>
    </row>
    <row r="8491" spans="1:22" customFormat="1" ht="15" x14ac:dyDescent="0.25">
      <c r="A8491" t="s">
        <v>265</v>
      </c>
      <c r="E8491" s="1531" t="s">
        <v>5838</v>
      </c>
      <c r="F8491" s="1531"/>
      <c r="G8491" s="1531"/>
      <c r="H8491" s="1532"/>
      <c r="K8491" t="s">
        <v>3872</v>
      </c>
      <c r="V8491">
        <v>658</v>
      </c>
    </row>
    <row r="8492" spans="1:22" customFormat="1" ht="15" x14ac:dyDescent="0.25">
      <c r="A8492" t="s">
        <v>265</v>
      </c>
      <c r="E8492" s="1562" t="s">
        <v>950</v>
      </c>
      <c r="F8492" s="1530"/>
      <c r="G8492" s="1530"/>
      <c r="H8492" s="1530"/>
      <c r="K8492" t="s">
        <v>1041</v>
      </c>
      <c r="V8492">
        <v>11</v>
      </c>
    </row>
    <row r="8493" spans="1:22" customFormat="1" ht="15" x14ac:dyDescent="0.25">
      <c r="A8493" t="s">
        <v>265</v>
      </c>
      <c r="E8493" s="1531" t="s">
        <v>951</v>
      </c>
      <c r="F8493" s="1531"/>
      <c r="G8493" s="1531"/>
      <c r="H8493" s="1532"/>
      <c r="K8493" t="s">
        <v>3872</v>
      </c>
      <c r="V8493">
        <v>280</v>
      </c>
    </row>
    <row r="8494" spans="1:22" customFormat="1" ht="15" x14ac:dyDescent="0.25">
      <c r="A8494" t="s">
        <v>265</v>
      </c>
      <c r="E8494" s="1531" t="s">
        <v>952</v>
      </c>
      <c r="F8494" s="1531"/>
      <c r="G8494" s="1531"/>
      <c r="H8494" s="1532"/>
      <c r="K8494" t="s">
        <v>3872</v>
      </c>
      <c r="V8494">
        <v>411</v>
      </c>
    </row>
    <row r="8495" spans="1:22" customFormat="1" ht="15" x14ac:dyDescent="0.25">
      <c r="A8495" t="s">
        <v>265</v>
      </c>
      <c r="E8495" s="1531" t="s">
        <v>953</v>
      </c>
      <c r="F8495" s="1531"/>
      <c r="G8495" s="1531"/>
      <c r="H8495" s="1532"/>
      <c r="K8495" t="s">
        <v>3872</v>
      </c>
      <c r="V8495">
        <v>386</v>
      </c>
    </row>
    <row r="8496" spans="1:22" customFormat="1" ht="15" x14ac:dyDescent="0.25">
      <c r="A8496" t="s">
        <v>265</v>
      </c>
      <c r="E8496" s="1531" t="s">
        <v>954</v>
      </c>
      <c r="F8496" s="1531"/>
      <c r="G8496" s="1531"/>
      <c r="H8496" s="1532"/>
      <c r="K8496" t="s">
        <v>3872</v>
      </c>
      <c r="V8496">
        <v>246</v>
      </c>
    </row>
    <row r="8497" spans="1:22" customFormat="1" ht="15" x14ac:dyDescent="0.25">
      <c r="A8497" t="s">
        <v>265</v>
      </c>
      <c r="E8497" s="1566" t="s">
        <v>956</v>
      </c>
      <c r="F8497" s="1567"/>
      <c r="G8497" s="1567"/>
      <c r="H8497" s="1567"/>
      <c r="K8497" t="s">
        <v>1042</v>
      </c>
      <c r="V8497">
        <v>46</v>
      </c>
    </row>
    <row r="8498" spans="1:22" customFormat="1" ht="15" x14ac:dyDescent="0.25">
      <c r="A8498" t="s">
        <v>265</v>
      </c>
      <c r="E8498" s="1495" t="s">
        <v>3874</v>
      </c>
      <c r="F8498" s="1495"/>
      <c r="G8498" s="360" t="s">
        <v>777</v>
      </c>
      <c r="H8498" s="616">
        <v>7.09</v>
      </c>
      <c r="K8498" t="s">
        <v>3872</v>
      </c>
      <c r="L8498" t="s">
        <v>690</v>
      </c>
      <c r="P8498" t="s">
        <v>3875</v>
      </c>
      <c r="V8498">
        <v>31</v>
      </c>
    </row>
    <row r="8499" spans="1:22" customFormat="1" ht="15" x14ac:dyDescent="0.25">
      <c r="A8499" t="s">
        <v>265</v>
      </c>
      <c r="E8499" s="1495" t="s">
        <v>3688</v>
      </c>
      <c r="F8499" s="1495"/>
      <c r="G8499" s="360" t="s">
        <v>845</v>
      </c>
      <c r="H8499" s="616">
        <v>3.3799999999999997E-2</v>
      </c>
      <c r="K8499" t="s">
        <v>3872</v>
      </c>
      <c r="L8499" t="s">
        <v>690</v>
      </c>
      <c r="P8499" t="s">
        <v>3876</v>
      </c>
      <c r="V8499">
        <v>28</v>
      </c>
    </row>
    <row r="8500" spans="1:22" customFormat="1" ht="15" x14ac:dyDescent="0.25">
      <c r="A8500" t="s">
        <v>265</v>
      </c>
      <c r="E8500" s="1495" t="s">
        <v>910</v>
      </c>
      <c r="F8500" s="1495"/>
      <c r="G8500" s="360" t="s">
        <v>845</v>
      </c>
      <c r="H8500" s="616">
        <v>5.0000000000000002E-5</v>
      </c>
      <c r="K8500" t="s">
        <v>3872</v>
      </c>
      <c r="L8500" t="s">
        <v>692</v>
      </c>
      <c r="P8500" t="s">
        <v>3986</v>
      </c>
      <c r="V8500">
        <v>24</v>
      </c>
    </row>
    <row r="8501" spans="1:22" customFormat="1" ht="15" x14ac:dyDescent="0.25">
      <c r="A8501" t="s">
        <v>265</v>
      </c>
      <c r="E8501" s="1495" t="s">
        <v>5989</v>
      </c>
      <c r="F8501" s="1561"/>
      <c r="G8501" s="360" t="s">
        <v>845</v>
      </c>
      <c r="H8501" s="616">
        <v>1E-4</v>
      </c>
      <c r="K8501" t="s">
        <v>3872</v>
      </c>
      <c r="L8501" t="s">
        <v>692</v>
      </c>
      <c r="P8501" t="s">
        <v>3990</v>
      </c>
      <c r="T8501">
        <v>46022</v>
      </c>
      <c r="V8501">
        <v>92</v>
      </c>
    </row>
    <row r="8502" spans="1:22" customFormat="1" ht="15" x14ac:dyDescent="0.25">
      <c r="A8502" t="s">
        <v>265</v>
      </c>
      <c r="E8502" s="1495" t="s">
        <v>6871</v>
      </c>
      <c r="F8502" s="1561"/>
      <c r="G8502" s="360" t="s">
        <v>845</v>
      </c>
      <c r="H8502" s="616">
        <v>2.0000000000000001E-4</v>
      </c>
      <c r="K8502" t="s">
        <v>3872</v>
      </c>
      <c r="L8502" t="s">
        <v>692</v>
      </c>
      <c r="P8502" t="s">
        <v>3991</v>
      </c>
      <c r="T8502">
        <v>46022</v>
      </c>
      <c r="V8502">
        <v>135</v>
      </c>
    </row>
    <row r="8503" spans="1:22" customFormat="1" ht="15" x14ac:dyDescent="0.25">
      <c r="A8503" t="s">
        <v>265</v>
      </c>
      <c r="E8503" s="1495" t="s">
        <v>243</v>
      </c>
      <c r="F8503" s="1495"/>
      <c r="G8503" s="360" t="s">
        <v>845</v>
      </c>
      <c r="H8503" s="616">
        <v>1.18E-2</v>
      </c>
      <c r="K8503" t="s">
        <v>3872</v>
      </c>
      <c r="L8503" t="s">
        <v>694</v>
      </c>
      <c r="P8503" t="s">
        <v>3877</v>
      </c>
      <c r="V8503">
        <v>47</v>
      </c>
    </row>
    <row r="8504" spans="1:22" customFormat="1" ht="15" x14ac:dyDescent="0.25">
      <c r="A8504" t="s">
        <v>265</v>
      </c>
      <c r="E8504" s="1495" t="s">
        <v>175</v>
      </c>
      <c r="F8504" s="1495"/>
      <c r="G8504" s="360" t="s">
        <v>845</v>
      </c>
      <c r="H8504" s="616">
        <v>7.0000000000000001E-3</v>
      </c>
      <c r="K8504" t="s">
        <v>3872</v>
      </c>
      <c r="L8504" t="s">
        <v>694</v>
      </c>
      <c r="P8504" t="s">
        <v>3878</v>
      </c>
      <c r="V8504">
        <v>74</v>
      </c>
    </row>
    <row r="8505" spans="1:22" customFormat="1" ht="15" x14ac:dyDescent="0.25">
      <c r="A8505" t="s">
        <v>265</v>
      </c>
      <c r="E8505" s="1488" t="s">
        <v>967</v>
      </c>
      <c r="F8505" s="1561"/>
      <c r="G8505" s="360"/>
      <c r="H8505" s="360"/>
      <c r="K8505" t="s">
        <v>1049</v>
      </c>
      <c r="V8505">
        <v>48</v>
      </c>
    </row>
    <row r="8506" spans="1:22" customFormat="1" ht="15" x14ac:dyDescent="0.25">
      <c r="A8506" t="s">
        <v>265</v>
      </c>
      <c r="E8506" s="1495" t="s">
        <v>844</v>
      </c>
      <c r="F8506" s="1495"/>
      <c r="G8506" s="662" t="s">
        <v>845</v>
      </c>
      <c r="H8506" s="650">
        <v>4.1000000000000003E-3</v>
      </c>
      <c r="K8506" t="s">
        <v>3872</v>
      </c>
      <c r="L8506" t="s">
        <v>968</v>
      </c>
      <c r="P8506" t="s">
        <v>3879</v>
      </c>
      <c r="V8506">
        <v>55</v>
      </c>
    </row>
    <row r="8507" spans="1:22" customFormat="1" ht="15" x14ac:dyDescent="0.25">
      <c r="A8507" t="s">
        <v>265</v>
      </c>
      <c r="E8507" s="1561" t="s">
        <v>846</v>
      </c>
      <c r="F8507" s="1561"/>
      <c r="G8507" s="662" t="s">
        <v>845</v>
      </c>
      <c r="H8507" s="820">
        <v>4.0000000000000002E-4</v>
      </c>
      <c r="K8507" t="s">
        <v>3872</v>
      </c>
      <c r="L8507" t="s">
        <v>968</v>
      </c>
      <c r="P8507" t="s">
        <v>3879</v>
      </c>
      <c r="V8507">
        <v>65</v>
      </c>
    </row>
    <row r="8508" spans="1:22" customFormat="1" ht="15" x14ac:dyDescent="0.25">
      <c r="A8508" t="s">
        <v>265</v>
      </c>
      <c r="E8508" s="1495" t="s">
        <v>847</v>
      </c>
      <c r="F8508" s="1495"/>
      <c r="G8508" s="662" t="s">
        <v>845</v>
      </c>
      <c r="H8508" s="820">
        <v>1.5E-3</v>
      </c>
      <c r="K8508" t="s">
        <v>3872</v>
      </c>
      <c r="L8508" t="s">
        <v>968</v>
      </c>
      <c r="P8508" t="s">
        <v>3880</v>
      </c>
      <c r="V8508">
        <v>57</v>
      </c>
    </row>
    <row r="8509" spans="1:22" customFormat="1" ht="15" x14ac:dyDescent="0.25">
      <c r="A8509" t="s">
        <v>265</v>
      </c>
      <c r="E8509" s="1495" t="s">
        <v>848</v>
      </c>
      <c r="F8509" s="1495"/>
      <c r="G8509" s="360" t="s">
        <v>777</v>
      </c>
      <c r="H8509" s="820">
        <v>0.25</v>
      </c>
      <c r="K8509" t="s">
        <v>3872</v>
      </c>
      <c r="L8509" t="s">
        <v>968</v>
      </c>
      <c r="P8509" t="s">
        <v>3881</v>
      </c>
      <c r="V8509">
        <v>63</v>
      </c>
    </row>
    <row r="8510" spans="1:22" customFormat="1" x14ac:dyDescent="0.25">
      <c r="A8510" t="s">
        <v>265</v>
      </c>
      <c r="E8510" s="1538" t="s">
        <v>4002</v>
      </c>
      <c r="F8510" s="1538"/>
      <c r="G8510" s="1538"/>
      <c r="H8510" s="1539"/>
      <c r="K8510" t="s">
        <v>4175</v>
      </c>
      <c r="V8510">
        <v>36</v>
      </c>
    </row>
    <row r="8511" spans="1:22" customFormat="1" ht="15" x14ac:dyDescent="0.25">
      <c r="A8511" t="s">
        <v>265</v>
      </c>
      <c r="E8511" s="1531" t="s">
        <v>5839</v>
      </c>
      <c r="F8511" s="1531"/>
      <c r="G8511" s="1531"/>
      <c r="H8511" s="1532"/>
      <c r="K8511" t="s">
        <v>4175</v>
      </c>
      <c r="V8511">
        <v>251</v>
      </c>
    </row>
    <row r="8512" spans="1:22" customFormat="1" ht="15" x14ac:dyDescent="0.25">
      <c r="A8512" t="s">
        <v>265</v>
      </c>
      <c r="E8512" s="1562" t="s">
        <v>950</v>
      </c>
      <c r="F8512" s="1530"/>
      <c r="G8512" s="1530"/>
      <c r="H8512" s="1530"/>
      <c r="K8512" t="s">
        <v>1055</v>
      </c>
      <c r="V8512">
        <v>11</v>
      </c>
    </row>
    <row r="8513" spans="1:22" customFormat="1" ht="15" x14ac:dyDescent="0.25">
      <c r="A8513" t="s">
        <v>265</v>
      </c>
      <c r="E8513" s="1531" t="s">
        <v>951</v>
      </c>
      <c r="F8513" s="1531"/>
      <c r="G8513" s="1531"/>
      <c r="H8513" s="1532"/>
      <c r="K8513" t="s">
        <v>4175</v>
      </c>
      <c r="V8513">
        <v>280</v>
      </c>
    </row>
    <row r="8514" spans="1:22" customFormat="1" ht="15" x14ac:dyDescent="0.25">
      <c r="A8514" t="s">
        <v>265</v>
      </c>
      <c r="E8514" s="1531" t="s">
        <v>952</v>
      </c>
      <c r="F8514" s="1531"/>
      <c r="G8514" s="1531"/>
      <c r="H8514" s="1532"/>
      <c r="K8514" t="s">
        <v>4175</v>
      </c>
      <c r="V8514">
        <v>411</v>
      </c>
    </row>
    <row r="8515" spans="1:22" customFormat="1" ht="15" x14ac:dyDescent="0.25">
      <c r="A8515" t="s">
        <v>265</v>
      </c>
      <c r="E8515" s="1531" t="s">
        <v>1103</v>
      </c>
      <c r="F8515" s="1531"/>
      <c r="G8515" s="1531"/>
      <c r="H8515" s="1532"/>
      <c r="K8515" t="s">
        <v>4175</v>
      </c>
      <c r="V8515">
        <v>211</v>
      </c>
    </row>
    <row r="8516" spans="1:22" customFormat="1" ht="15" x14ac:dyDescent="0.25">
      <c r="A8516" t="s">
        <v>265</v>
      </c>
      <c r="E8516" s="1531" t="s">
        <v>5840</v>
      </c>
      <c r="F8516" s="1531"/>
      <c r="G8516" s="1531"/>
      <c r="H8516" s="1532"/>
      <c r="K8516" t="s">
        <v>4175</v>
      </c>
      <c r="V8516">
        <v>245</v>
      </c>
    </row>
    <row r="8517" spans="1:22" customFormat="1" ht="15" x14ac:dyDescent="0.25">
      <c r="A8517" t="s">
        <v>265</v>
      </c>
      <c r="E8517" s="1682" t="s">
        <v>4005</v>
      </c>
      <c r="F8517" s="1567"/>
      <c r="G8517" s="1567"/>
      <c r="H8517" s="1567"/>
      <c r="K8517" t="s">
        <v>1056</v>
      </c>
      <c r="V8517">
        <v>77</v>
      </c>
    </row>
    <row r="8518" spans="1:22" customFormat="1" ht="15" x14ac:dyDescent="0.25">
      <c r="A8518" t="s">
        <v>265</v>
      </c>
      <c r="E8518" s="1495" t="s">
        <v>3773</v>
      </c>
      <c r="F8518" s="1495"/>
      <c r="G8518" s="360" t="s">
        <v>777</v>
      </c>
      <c r="H8518" s="616">
        <v>186.89</v>
      </c>
      <c r="K8518" t="s">
        <v>4175</v>
      </c>
      <c r="L8518" t="s">
        <v>690</v>
      </c>
      <c r="P8518" t="s">
        <v>5841</v>
      </c>
      <c r="V8518">
        <v>14</v>
      </c>
    </row>
    <row r="8519" spans="1:22" customFormat="1" ht="15" x14ac:dyDescent="0.25">
      <c r="A8519" t="s">
        <v>265</v>
      </c>
      <c r="E8519" s="1495" t="s">
        <v>5842</v>
      </c>
      <c r="F8519" s="1495"/>
      <c r="G8519" s="360" t="s">
        <v>3775</v>
      </c>
      <c r="H8519" s="650">
        <v>2.4940000000000002</v>
      </c>
      <c r="K8519" t="s">
        <v>4175</v>
      </c>
      <c r="L8519" t="s">
        <v>690</v>
      </c>
      <c r="P8519" t="s">
        <v>4864</v>
      </c>
      <c r="V8519">
        <v>39</v>
      </c>
    </row>
    <row r="8520" spans="1:22" customFormat="1" ht="15" x14ac:dyDescent="0.25">
      <c r="A8520" t="s">
        <v>265</v>
      </c>
      <c r="E8520" s="1495" t="s">
        <v>5843</v>
      </c>
      <c r="F8520" s="1495"/>
      <c r="G8520" s="360" t="s">
        <v>3775</v>
      </c>
      <c r="H8520" s="616">
        <v>2.2877000000000001</v>
      </c>
      <c r="K8520" t="s">
        <v>4175</v>
      </c>
      <c r="L8520" t="s">
        <v>690</v>
      </c>
      <c r="P8520" t="s">
        <v>4864</v>
      </c>
      <c r="V8520">
        <v>42</v>
      </c>
    </row>
    <row r="8521" spans="1:22" customFormat="1" ht="15" x14ac:dyDescent="0.25">
      <c r="A8521" t="s">
        <v>265</v>
      </c>
      <c r="E8521" s="1495" t="s">
        <v>5844</v>
      </c>
      <c r="F8521" s="1495"/>
      <c r="G8521" s="360" t="s">
        <v>3775</v>
      </c>
      <c r="H8521" s="616">
        <v>2.5388000000000002</v>
      </c>
      <c r="K8521" t="s">
        <v>4175</v>
      </c>
      <c r="L8521" t="s">
        <v>690</v>
      </c>
      <c r="P8521" t="s">
        <v>4864</v>
      </c>
      <c r="V8521">
        <v>38</v>
      </c>
    </row>
    <row r="8522" spans="1:22" customFormat="1" x14ac:dyDescent="0.25">
      <c r="A8522" t="s">
        <v>265</v>
      </c>
      <c r="E8522" s="1538" t="s">
        <v>198</v>
      </c>
      <c r="F8522" s="1538"/>
      <c r="G8522" s="1538"/>
      <c r="H8522" s="1539"/>
      <c r="K8522" t="s">
        <v>4179</v>
      </c>
      <c r="V8522">
        <v>40</v>
      </c>
    </row>
    <row r="8523" spans="1:22" customFormat="1" ht="15" x14ac:dyDescent="0.25">
      <c r="A8523" t="s">
        <v>265</v>
      </c>
      <c r="E8523" s="1531" t="s">
        <v>4693</v>
      </c>
      <c r="F8523" s="1531"/>
      <c r="G8523" s="1531"/>
      <c r="H8523" s="1532"/>
      <c r="K8523" t="s">
        <v>4179</v>
      </c>
      <c r="V8523">
        <v>253</v>
      </c>
    </row>
    <row r="8524" spans="1:22" customFormat="1" ht="15" x14ac:dyDescent="0.25">
      <c r="A8524" t="s">
        <v>265</v>
      </c>
      <c r="E8524" s="1562" t="s">
        <v>950</v>
      </c>
      <c r="F8524" s="1530"/>
      <c r="G8524" s="1530"/>
      <c r="H8524" s="1530"/>
      <c r="K8524" t="s">
        <v>1071</v>
      </c>
      <c r="V8524">
        <v>11</v>
      </c>
    </row>
    <row r="8525" spans="1:22" customFormat="1" ht="15" x14ac:dyDescent="0.25">
      <c r="A8525" t="s">
        <v>265</v>
      </c>
      <c r="E8525" s="1531" t="s">
        <v>951</v>
      </c>
      <c r="F8525" s="1531"/>
      <c r="G8525" s="1531"/>
      <c r="H8525" s="1532"/>
      <c r="K8525" t="s">
        <v>4179</v>
      </c>
      <c r="V8525">
        <v>280</v>
      </c>
    </row>
    <row r="8526" spans="1:22" customFormat="1" ht="15" x14ac:dyDescent="0.25">
      <c r="A8526" t="s">
        <v>265</v>
      </c>
      <c r="E8526" s="1531" t="s">
        <v>952</v>
      </c>
      <c r="F8526" s="1531"/>
      <c r="G8526" s="1531"/>
      <c r="H8526" s="1532"/>
      <c r="K8526" t="s">
        <v>4179</v>
      </c>
      <c r="V8526">
        <v>411</v>
      </c>
    </row>
    <row r="8527" spans="1:22" customFormat="1" ht="15" x14ac:dyDescent="0.25">
      <c r="A8527" t="s">
        <v>265</v>
      </c>
      <c r="E8527" s="1531" t="s">
        <v>953</v>
      </c>
      <c r="F8527" s="1531"/>
      <c r="G8527" s="1531"/>
      <c r="H8527" s="1532"/>
      <c r="K8527" t="s">
        <v>4179</v>
      </c>
      <c r="V8527">
        <v>386</v>
      </c>
    </row>
    <row r="8528" spans="1:22" customFormat="1" ht="15" x14ac:dyDescent="0.25">
      <c r="A8528" t="s">
        <v>265</v>
      </c>
      <c r="E8528" s="1531" t="s">
        <v>954</v>
      </c>
      <c r="F8528" s="1531"/>
      <c r="G8528" s="1531"/>
      <c r="H8528" s="1532"/>
      <c r="K8528" t="s">
        <v>4179</v>
      </c>
      <c r="V8528">
        <v>246</v>
      </c>
    </row>
    <row r="8529" spans="1:22" customFormat="1" ht="15" x14ac:dyDescent="0.25">
      <c r="A8529" t="s">
        <v>265</v>
      </c>
      <c r="E8529" s="1566" t="s">
        <v>956</v>
      </c>
      <c r="F8529" s="1567"/>
      <c r="G8529" s="1567"/>
      <c r="H8529" s="1567"/>
      <c r="K8529" t="s">
        <v>1075</v>
      </c>
      <c r="V8529">
        <v>46</v>
      </c>
    </row>
    <row r="8530" spans="1:22" customFormat="1" ht="15" x14ac:dyDescent="0.25">
      <c r="A8530" t="s">
        <v>265</v>
      </c>
      <c r="E8530" s="1495" t="s">
        <v>3874</v>
      </c>
      <c r="F8530" s="1495"/>
      <c r="G8530" s="360" t="s">
        <v>777</v>
      </c>
      <c r="H8530" s="616">
        <v>7.02</v>
      </c>
      <c r="K8530" t="s">
        <v>4179</v>
      </c>
      <c r="L8530" t="s">
        <v>690</v>
      </c>
      <c r="P8530" t="s">
        <v>4181</v>
      </c>
      <c r="V8530">
        <v>31</v>
      </c>
    </row>
    <row r="8531" spans="1:22" customFormat="1" ht="15" x14ac:dyDescent="0.25">
      <c r="A8531" t="s">
        <v>265</v>
      </c>
      <c r="E8531" s="1495" t="s">
        <v>3688</v>
      </c>
      <c r="F8531" s="1495"/>
      <c r="G8531" s="360" t="s">
        <v>3775</v>
      </c>
      <c r="H8531" s="616">
        <v>32.929699999999997</v>
      </c>
      <c r="K8531" t="s">
        <v>4179</v>
      </c>
      <c r="L8531" t="s">
        <v>690</v>
      </c>
      <c r="P8531" t="s">
        <v>4183</v>
      </c>
      <c r="V8531">
        <v>28</v>
      </c>
    </row>
    <row r="8532" spans="1:22" customFormat="1" ht="15" x14ac:dyDescent="0.25">
      <c r="A8532" t="s">
        <v>265</v>
      </c>
      <c r="E8532" s="1495" t="s">
        <v>910</v>
      </c>
      <c r="F8532" s="1495"/>
      <c r="G8532" s="360" t="s">
        <v>3775</v>
      </c>
      <c r="H8532" s="616">
        <v>1.532E-2</v>
      </c>
      <c r="K8532" t="s">
        <v>4179</v>
      </c>
      <c r="L8532" t="s">
        <v>692</v>
      </c>
      <c r="P8532" t="s">
        <v>4184</v>
      </c>
      <c r="V8532">
        <v>24</v>
      </c>
    </row>
    <row r="8533" spans="1:22" customFormat="1" ht="15" x14ac:dyDescent="0.25">
      <c r="A8533" t="s">
        <v>265</v>
      </c>
      <c r="E8533" s="1495" t="s">
        <v>5989</v>
      </c>
      <c r="F8533" s="1561"/>
      <c r="G8533" s="360" t="s">
        <v>3775</v>
      </c>
      <c r="H8533" s="616">
        <v>4.1399999999999999E-2</v>
      </c>
      <c r="K8533" t="s">
        <v>4179</v>
      </c>
      <c r="L8533" t="s">
        <v>692</v>
      </c>
      <c r="P8533" t="s">
        <v>4186</v>
      </c>
      <c r="T8533">
        <v>46022</v>
      </c>
      <c r="V8533">
        <v>92</v>
      </c>
    </row>
    <row r="8534" spans="1:22" customFormat="1" ht="15" x14ac:dyDescent="0.25">
      <c r="A8534" t="s">
        <v>265</v>
      </c>
      <c r="E8534" s="1495" t="s">
        <v>6871</v>
      </c>
      <c r="F8534" s="1561"/>
      <c r="G8534" s="360" t="s">
        <v>845</v>
      </c>
      <c r="H8534" s="616">
        <v>2.0000000000000001E-4</v>
      </c>
      <c r="K8534" t="s">
        <v>4179</v>
      </c>
      <c r="L8534" t="s">
        <v>692</v>
      </c>
      <c r="P8534" t="s">
        <v>4185</v>
      </c>
      <c r="T8534">
        <v>46022</v>
      </c>
      <c r="V8534">
        <v>135</v>
      </c>
    </row>
    <row r="8535" spans="1:22" customFormat="1" ht="15" x14ac:dyDescent="0.25">
      <c r="A8535" t="s">
        <v>265</v>
      </c>
      <c r="E8535" s="1495" t="s">
        <v>243</v>
      </c>
      <c r="F8535" s="1495"/>
      <c r="G8535" s="360" t="s">
        <v>3775</v>
      </c>
      <c r="H8535" s="616">
        <v>3.5788000000000002</v>
      </c>
      <c r="K8535" t="s">
        <v>4179</v>
      </c>
      <c r="L8535" t="s">
        <v>694</v>
      </c>
      <c r="P8535" t="s">
        <v>4187</v>
      </c>
      <c r="V8535">
        <v>47</v>
      </c>
    </row>
    <row r="8536" spans="1:22" customFormat="1" ht="15" x14ac:dyDescent="0.25">
      <c r="A8536" t="s">
        <v>265</v>
      </c>
      <c r="E8536" s="1495" t="s">
        <v>175</v>
      </c>
      <c r="F8536" s="1495"/>
      <c r="G8536" s="360" t="s">
        <v>3775</v>
      </c>
      <c r="H8536" s="616">
        <v>2.0941999999999998</v>
      </c>
      <c r="K8536" t="s">
        <v>4179</v>
      </c>
      <c r="L8536" t="s">
        <v>694</v>
      </c>
      <c r="P8536" t="s">
        <v>4188</v>
      </c>
      <c r="V8536">
        <v>74</v>
      </c>
    </row>
    <row r="8537" spans="1:22" customFormat="1" ht="15" x14ac:dyDescent="0.25">
      <c r="A8537" t="s">
        <v>265</v>
      </c>
      <c r="E8537" s="1488" t="s">
        <v>967</v>
      </c>
      <c r="F8537" s="1561"/>
      <c r="G8537" s="360"/>
      <c r="H8537" s="360"/>
      <c r="K8537" t="s">
        <v>3898</v>
      </c>
      <c r="V8537">
        <v>48</v>
      </c>
    </row>
    <row r="8538" spans="1:22" customFormat="1" ht="15" x14ac:dyDescent="0.25">
      <c r="A8538" t="s">
        <v>265</v>
      </c>
      <c r="E8538" s="1495" t="s">
        <v>844</v>
      </c>
      <c r="F8538" s="1495"/>
      <c r="G8538" s="662" t="s">
        <v>845</v>
      </c>
      <c r="H8538" s="650">
        <v>4.1000000000000003E-3</v>
      </c>
      <c r="K8538" t="s">
        <v>4179</v>
      </c>
      <c r="L8538" t="s">
        <v>968</v>
      </c>
      <c r="P8538" t="s">
        <v>4189</v>
      </c>
      <c r="V8538">
        <v>55</v>
      </c>
    </row>
    <row r="8539" spans="1:22" customFormat="1" ht="15" x14ac:dyDescent="0.25">
      <c r="A8539" t="s">
        <v>265</v>
      </c>
      <c r="E8539" s="1561" t="s">
        <v>846</v>
      </c>
      <c r="F8539" s="1561"/>
      <c r="G8539" s="662" t="s">
        <v>845</v>
      </c>
      <c r="H8539" s="820">
        <v>4.0000000000000002E-4</v>
      </c>
      <c r="K8539" t="s">
        <v>4179</v>
      </c>
      <c r="L8539" t="s">
        <v>968</v>
      </c>
      <c r="P8539" t="s">
        <v>4189</v>
      </c>
      <c r="V8539">
        <v>65</v>
      </c>
    </row>
    <row r="8540" spans="1:22" customFormat="1" ht="15" x14ac:dyDescent="0.25">
      <c r="A8540" t="s">
        <v>265</v>
      </c>
      <c r="E8540" s="1495" t="s">
        <v>847</v>
      </c>
      <c r="F8540" s="1495"/>
      <c r="G8540" s="662" t="s">
        <v>845</v>
      </c>
      <c r="H8540" s="820">
        <v>1.5E-3</v>
      </c>
      <c r="K8540" t="s">
        <v>4179</v>
      </c>
      <c r="L8540" t="s">
        <v>968</v>
      </c>
      <c r="P8540" t="s">
        <v>4190</v>
      </c>
      <c r="V8540">
        <v>57</v>
      </c>
    </row>
    <row r="8541" spans="1:22" customFormat="1" ht="15" x14ac:dyDescent="0.25">
      <c r="A8541" t="s">
        <v>265</v>
      </c>
      <c r="E8541" s="1495" t="s">
        <v>848</v>
      </c>
      <c r="F8541" s="1495"/>
      <c r="G8541" s="360" t="s">
        <v>777</v>
      </c>
      <c r="H8541" s="820">
        <v>0.25</v>
      </c>
      <c r="K8541" t="s">
        <v>4179</v>
      </c>
      <c r="L8541" t="s">
        <v>968</v>
      </c>
      <c r="P8541" t="s">
        <v>4191</v>
      </c>
      <c r="V8541">
        <v>63</v>
      </c>
    </row>
    <row r="8542" spans="1:22" customFormat="1" x14ac:dyDescent="0.25">
      <c r="A8542" t="s">
        <v>265</v>
      </c>
      <c r="E8542" s="1538" t="s">
        <v>202</v>
      </c>
      <c r="F8542" s="1538"/>
      <c r="G8542" s="1538"/>
      <c r="H8542" s="1539"/>
      <c r="K8542" t="s">
        <v>4192</v>
      </c>
      <c r="V8542">
        <v>38</v>
      </c>
    </row>
    <row r="8543" spans="1:22" customFormat="1" ht="15" x14ac:dyDescent="0.25">
      <c r="A8543" t="s">
        <v>265</v>
      </c>
      <c r="E8543" s="1531" t="s">
        <v>5845</v>
      </c>
      <c r="F8543" s="1531"/>
      <c r="G8543" s="1531"/>
      <c r="H8543" s="1532"/>
      <c r="K8543" t="s">
        <v>4192</v>
      </c>
      <c r="V8543">
        <v>517</v>
      </c>
    </row>
    <row r="8544" spans="1:22" customFormat="1" ht="15" x14ac:dyDescent="0.25">
      <c r="A8544" t="s">
        <v>265</v>
      </c>
      <c r="E8544" s="1562" t="s">
        <v>950</v>
      </c>
      <c r="F8544" s="1530"/>
      <c r="G8544" s="1530"/>
      <c r="H8544" s="1530"/>
      <c r="K8544" t="s">
        <v>3904</v>
      </c>
      <c r="V8544">
        <v>11</v>
      </c>
    </row>
    <row r="8545" spans="1:22" customFormat="1" ht="15" x14ac:dyDescent="0.25">
      <c r="A8545" t="s">
        <v>265</v>
      </c>
      <c r="E8545" s="1531" t="s">
        <v>951</v>
      </c>
      <c r="F8545" s="1531"/>
      <c r="G8545" s="1531"/>
      <c r="H8545" s="1532"/>
      <c r="K8545" t="s">
        <v>4192</v>
      </c>
      <c r="V8545">
        <v>280</v>
      </c>
    </row>
    <row r="8546" spans="1:22" customFormat="1" ht="15" x14ac:dyDescent="0.25">
      <c r="A8546" t="s">
        <v>265</v>
      </c>
      <c r="E8546" s="1531" t="s">
        <v>952</v>
      </c>
      <c r="F8546" s="1531"/>
      <c r="G8546" s="1531"/>
      <c r="H8546" s="1532"/>
      <c r="K8546" t="s">
        <v>4192</v>
      </c>
      <c r="V8546">
        <v>411</v>
      </c>
    </row>
    <row r="8547" spans="1:22" customFormat="1" ht="15" x14ac:dyDescent="0.25">
      <c r="A8547" t="s">
        <v>265</v>
      </c>
      <c r="E8547" s="1531" t="s">
        <v>953</v>
      </c>
      <c r="F8547" s="1531"/>
      <c r="G8547" s="1531"/>
      <c r="H8547" s="1532"/>
      <c r="K8547" t="s">
        <v>4192</v>
      </c>
      <c r="V8547">
        <v>386</v>
      </c>
    </row>
    <row r="8548" spans="1:22" customFormat="1" ht="15" x14ac:dyDescent="0.25">
      <c r="A8548" t="s">
        <v>265</v>
      </c>
      <c r="E8548" s="1531" t="s">
        <v>5846</v>
      </c>
      <c r="F8548" s="1531"/>
      <c r="G8548" s="1531"/>
      <c r="H8548" s="1532"/>
      <c r="K8548" t="s">
        <v>4192</v>
      </c>
      <c r="V8548">
        <v>247</v>
      </c>
    </row>
    <row r="8549" spans="1:22" customFormat="1" ht="15" x14ac:dyDescent="0.25">
      <c r="A8549" t="s">
        <v>265</v>
      </c>
      <c r="E8549" s="1566" t="s">
        <v>956</v>
      </c>
      <c r="F8549" s="1567"/>
      <c r="G8549" s="1567"/>
      <c r="H8549" s="1567"/>
      <c r="K8549" t="s">
        <v>3905</v>
      </c>
      <c r="V8549">
        <v>46</v>
      </c>
    </row>
    <row r="8550" spans="1:22" customFormat="1" ht="15" x14ac:dyDescent="0.25">
      <c r="A8550" t="s">
        <v>265</v>
      </c>
      <c r="E8550" s="1495" t="s">
        <v>3874</v>
      </c>
      <c r="F8550" s="1495"/>
      <c r="G8550" s="360" t="s">
        <v>777</v>
      </c>
      <c r="H8550" s="616">
        <v>1.1200000000000001</v>
      </c>
      <c r="K8550" t="s">
        <v>4192</v>
      </c>
      <c r="L8550" t="s">
        <v>690</v>
      </c>
      <c r="P8550" t="s">
        <v>4194</v>
      </c>
      <c r="V8550">
        <v>31</v>
      </c>
    </row>
    <row r="8551" spans="1:22" customFormat="1" ht="15" x14ac:dyDescent="0.25">
      <c r="A8551" t="s">
        <v>265</v>
      </c>
      <c r="E8551" s="1495" t="s">
        <v>3688</v>
      </c>
      <c r="F8551" s="1495"/>
      <c r="G8551" s="360" t="s">
        <v>3775</v>
      </c>
      <c r="H8551" s="616">
        <v>7.8163999999999998</v>
      </c>
      <c r="K8551" t="s">
        <v>4192</v>
      </c>
      <c r="L8551" t="s">
        <v>690</v>
      </c>
      <c r="P8551" t="s">
        <v>4196</v>
      </c>
      <c r="V8551">
        <v>28</v>
      </c>
    </row>
    <row r="8552" spans="1:22" customFormat="1" ht="15" x14ac:dyDescent="0.25">
      <c r="A8552" t="s">
        <v>265</v>
      </c>
      <c r="E8552" s="1495" t="s">
        <v>910</v>
      </c>
      <c r="F8552" s="1495"/>
      <c r="G8552" s="360" t="s">
        <v>3775</v>
      </c>
      <c r="H8552" s="616">
        <v>1.5640000000000001E-2</v>
      </c>
      <c r="K8552" t="s">
        <v>4192</v>
      </c>
      <c r="L8552" t="s">
        <v>692</v>
      </c>
      <c r="P8552" t="s">
        <v>4197</v>
      </c>
      <c r="V8552">
        <v>24</v>
      </c>
    </row>
    <row r="8553" spans="1:22" customFormat="1" ht="15" x14ac:dyDescent="0.25">
      <c r="A8553" t="s">
        <v>265</v>
      </c>
      <c r="E8553" s="1495" t="s">
        <v>5847</v>
      </c>
      <c r="F8553" s="1561"/>
      <c r="G8553" s="360" t="s">
        <v>3775</v>
      </c>
      <c r="H8553" s="616">
        <v>4.8925000000000001</v>
      </c>
      <c r="K8553" t="s">
        <v>4192</v>
      </c>
      <c r="L8553" t="s">
        <v>692</v>
      </c>
      <c r="P8553" t="s">
        <v>6874</v>
      </c>
      <c r="T8553">
        <v>46387</v>
      </c>
      <c r="V8553">
        <v>78</v>
      </c>
    </row>
    <row r="8554" spans="1:22" customFormat="1" ht="15" x14ac:dyDescent="0.25">
      <c r="A8554" t="s">
        <v>265</v>
      </c>
      <c r="E8554" s="1495" t="s">
        <v>5989</v>
      </c>
      <c r="F8554" s="1561"/>
      <c r="G8554" s="360" t="s">
        <v>3775</v>
      </c>
      <c r="H8554" s="616">
        <v>4.1000000000000002E-2</v>
      </c>
      <c r="K8554" t="s">
        <v>4192</v>
      </c>
      <c r="L8554" t="s">
        <v>692</v>
      </c>
      <c r="P8554" t="s">
        <v>4199</v>
      </c>
      <c r="T8554">
        <v>46022</v>
      </c>
      <c r="V8554">
        <v>92</v>
      </c>
    </row>
    <row r="8555" spans="1:22" customFormat="1" ht="15" x14ac:dyDescent="0.25">
      <c r="A8555" t="s">
        <v>265</v>
      </c>
      <c r="E8555" s="1495" t="s">
        <v>6871</v>
      </c>
      <c r="F8555" s="1561"/>
      <c r="G8555" s="360" t="s">
        <v>845</v>
      </c>
      <c r="H8555" s="616">
        <v>2.0000000000000001E-4</v>
      </c>
      <c r="K8555" t="s">
        <v>4192</v>
      </c>
      <c r="L8555" t="s">
        <v>692</v>
      </c>
      <c r="P8555" t="s">
        <v>4200</v>
      </c>
      <c r="T8555">
        <v>46022</v>
      </c>
      <c r="V8555">
        <v>135</v>
      </c>
    </row>
    <row r="8556" spans="1:22" customFormat="1" ht="15" x14ac:dyDescent="0.25">
      <c r="A8556" t="s">
        <v>265</v>
      </c>
      <c r="E8556" s="1495" t="s">
        <v>6872</v>
      </c>
      <c r="F8556" s="1561"/>
      <c r="G8556" s="360" t="s">
        <v>845</v>
      </c>
      <c r="H8556" s="616">
        <v>3.8999999999999998E-3</v>
      </c>
      <c r="K8556" t="s">
        <v>4192</v>
      </c>
      <c r="L8556" t="s">
        <v>692</v>
      </c>
      <c r="P8556" t="s">
        <v>4198</v>
      </c>
      <c r="T8556">
        <v>46022</v>
      </c>
      <c r="V8556">
        <v>138</v>
      </c>
    </row>
    <row r="8557" spans="1:22" customFormat="1" ht="15" x14ac:dyDescent="0.25">
      <c r="A8557" t="s">
        <v>265</v>
      </c>
      <c r="E8557" s="1495" t="s">
        <v>243</v>
      </c>
      <c r="F8557" s="1495"/>
      <c r="G8557" s="360" t="s">
        <v>3775</v>
      </c>
      <c r="H8557" s="616">
        <v>3.597</v>
      </c>
      <c r="K8557" t="s">
        <v>4192</v>
      </c>
      <c r="L8557" t="s">
        <v>694</v>
      </c>
      <c r="P8557" t="s">
        <v>4203</v>
      </c>
      <c r="V8557">
        <v>47</v>
      </c>
    </row>
    <row r="8558" spans="1:22" customFormat="1" ht="15" x14ac:dyDescent="0.25">
      <c r="A8558" t="s">
        <v>265</v>
      </c>
      <c r="E8558" s="1495" t="s">
        <v>175</v>
      </c>
      <c r="F8558" s="1495"/>
      <c r="G8558" s="360" t="s">
        <v>3775</v>
      </c>
      <c r="H8558" s="616">
        <v>2.1377000000000002</v>
      </c>
      <c r="K8558" t="s">
        <v>4192</v>
      </c>
      <c r="L8558" t="s">
        <v>694</v>
      </c>
      <c r="P8558" t="s">
        <v>4204</v>
      </c>
      <c r="V8558">
        <v>74</v>
      </c>
    </row>
    <row r="8559" spans="1:22" customFormat="1" ht="15" x14ac:dyDescent="0.25">
      <c r="A8559" t="s">
        <v>265</v>
      </c>
      <c r="E8559" s="1488" t="s">
        <v>967</v>
      </c>
      <c r="F8559" s="1561"/>
      <c r="G8559" s="360"/>
      <c r="H8559" s="360"/>
      <c r="K8559" t="s">
        <v>4015</v>
      </c>
      <c r="V8559">
        <v>48</v>
      </c>
    </row>
    <row r="8560" spans="1:22" customFormat="1" ht="15" x14ac:dyDescent="0.25">
      <c r="A8560" t="s">
        <v>265</v>
      </c>
      <c r="E8560" s="1495" t="s">
        <v>844</v>
      </c>
      <c r="F8560" s="1495"/>
      <c r="G8560" s="662" t="s">
        <v>845</v>
      </c>
      <c r="H8560" s="650">
        <v>4.1000000000000003E-3</v>
      </c>
      <c r="K8560" t="s">
        <v>4192</v>
      </c>
      <c r="L8560" t="s">
        <v>968</v>
      </c>
      <c r="P8560" t="s">
        <v>4205</v>
      </c>
      <c r="V8560">
        <v>55</v>
      </c>
    </row>
    <row r="8561" spans="1:22" customFormat="1" ht="15" x14ac:dyDescent="0.25">
      <c r="A8561" t="s">
        <v>265</v>
      </c>
      <c r="E8561" s="1561" t="s">
        <v>846</v>
      </c>
      <c r="F8561" s="1561"/>
      <c r="G8561" s="662" t="s">
        <v>845</v>
      </c>
      <c r="H8561" s="820">
        <v>4.0000000000000002E-4</v>
      </c>
      <c r="K8561" t="s">
        <v>4192</v>
      </c>
      <c r="L8561" t="s">
        <v>968</v>
      </c>
      <c r="P8561" t="s">
        <v>4205</v>
      </c>
      <c r="V8561">
        <v>65</v>
      </c>
    </row>
    <row r="8562" spans="1:22" customFormat="1" ht="15" x14ac:dyDescent="0.25">
      <c r="A8562" t="s">
        <v>265</v>
      </c>
      <c r="E8562" s="1495" t="s">
        <v>847</v>
      </c>
      <c r="F8562" s="1495"/>
      <c r="G8562" s="662" t="s">
        <v>845</v>
      </c>
      <c r="H8562" s="820">
        <v>1.5E-3</v>
      </c>
      <c r="K8562" t="s">
        <v>4192</v>
      </c>
      <c r="L8562" t="s">
        <v>968</v>
      </c>
      <c r="P8562" t="s">
        <v>4206</v>
      </c>
      <c r="V8562">
        <v>57</v>
      </c>
    </row>
    <row r="8563" spans="1:22" customFormat="1" ht="15" x14ac:dyDescent="0.25">
      <c r="A8563" t="s">
        <v>265</v>
      </c>
      <c r="E8563" s="1495" t="s">
        <v>848</v>
      </c>
      <c r="F8563" s="1495"/>
      <c r="G8563" s="360" t="s">
        <v>777</v>
      </c>
      <c r="H8563" s="820">
        <v>0.25</v>
      </c>
      <c r="K8563" t="s">
        <v>4192</v>
      </c>
      <c r="L8563" t="s">
        <v>968</v>
      </c>
      <c r="P8563" t="s">
        <v>4207</v>
      </c>
      <c r="V8563">
        <v>63</v>
      </c>
    </row>
    <row r="8564" spans="1:22" customFormat="1" ht="15" x14ac:dyDescent="0.25">
      <c r="A8564" t="s">
        <v>265</v>
      </c>
      <c r="E8564" s="1538" t="s">
        <v>5848</v>
      </c>
      <c r="F8564" s="1537"/>
      <c r="G8564" s="1537"/>
      <c r="H8564" s="1677"/>
      <c r="K8564" t="s">
        <v>5849</v>
      </c>
      <c r="V8564">
        <v>35</v>
      </c>
    </row>
    <row r="8565" spans="1:22" customFormat="1" ht="15" x14ac:dyDescent="0.25">
      <c r="A8565" t="s">
        <v>265</v>
      </c>
      <c r="E8565" s="1531" t="s">
        <v>5850</v>
      </c>
      <c r="F8565" s="1531"/>
      <c r="G8565" s="1531"/>
      <c r="H8565" s="1532"/>
      <c r="K8565" t="s">
        <v>5849</v>
      </c>
      <c r="V8565">
        <v>189</v>
      </c>
    </row>
    <row r="8566" spans="1:22" customFormat="1" ht="15" x14ac:dyDescent="0.25">
      <c r="A8566" t="s">
        <v>265</v>
      </c>
      <c r="E8566" s="1533" t="s">
        <v>950</v>
      </c>
      <c r="F8566" s="1516"/>
      <c r="G8566" s="1516"/>
      <c r="H8566" s="1516"/>
      <c r="K8566" t="s">
        <v>4022</v>
      </c>
      <c r="V8566">
        <v>11</v>
      </c>
    </row>
    <row r="8567" spans="1:22" customFormat="1" ht="15" x14ac:dyDescent="0.25">
      <c r="A8567" t="s">
        <v>265</v>
      </c>
      <c r="E8567" s="1531" t="s">
        <v>951</v>
      </c>
      <c r="F8567" s="1531"/>
      <c r="G8567" s="1531"/>
      <c r="H8567" s="1532"/>
      <c r="K8567" t="s">
        <v>5849</v>
      </c>
      <c r="V8567">
        <v>280</v>
      </c>
    </row>
    <row r="8568" spans="1:22" customFormat="1" ht="15" x14ac:dyDescent="0.25">
      <c r="A8568" t="s">
        <v>265</v>
      </c>
      <c r="E8568" s="1531" t="s">
        <v>952</v>
      </c>
      <c r="F8568" s="1531"/>
      <c r="G8568" s="1531"/>
      <c r="H8568" s="1532"/>
      <c r="K8568" t="s">
        <v>5849</v>
      </c>
      <c r="V8568">
        <v>411</v>
      </c>
    </row>
    <row r="8569" spans="1:22" customFormat="1" ht="15" x14ac:dyDescent="0.25">
      <c r="A8569" t="s">
        <v>265</v>
      </c>
      <c r="E8569" s="1531" t="s">
        <v>5305</v>
      </c>
      <c r="F8569" s="1531"/>
      <c r="G8569" s="1531"/>
      <c r="H8569" s="1532"/>
      <c r="K8569" t="s">
        <v>5849</v>
      </c>
      <c r="V8569">
        <v>212</v>
      </c>
    </row>
    <row r="8570" spans="1:22" customFormat="1" ht="15" x14ac:dyDescent="0.25">
      <c r="A8570" t="s">
        <v>265</v>
      </c>
      <c r="E8570" s="1531" t="s">
        <v>5846</v>
      </c>
      <c r="F8570" s="1531"/>
      <c r="G8570" s="1531"/>
      <c r="H8570" s="1532"/>
      <c r="K8570" t="s">
        <v>5849</v>
      </c>
      <c r="V8570">
        <v>247</v>
      </c>
    </row>
    <row r="8571" spans="1:22" customFormat="1" ht="15" x14ac:dyDescent="0.25">
      <c r="A8571" t="s">
        <v>265</v>
      </c>
      <c r="E8571" s="1488" t="s">
        <v>956</v>
      </c>
      <c r="F8571" s="1572"/>
      <c r="G8571" s="1572"/>
      <c r="H8571" s="1572"/>
      <c r="K8571" t="s">
        <v>4023</v>
      </c>
      <c r="V8571">
        <v>46</v>
      </c>
    </row>
    <row r="8572" spans="1:22" customFormat="1" ht="15" x14ac:dyDescent="0.25">
      <c r="A8572" t="s">
        <v>265</v>
      </c>
      <c r="E8572" s="1495" t="s">
        <v>3773</v>
      </c>
      <c r="F8572" s="1495"/>
      <c r="G8572" s="360" t="s">
        <v>777</v>
      </c>
      <c r="H8572" s="616">
        <v>16</v>
      </c>
      <c r="K8572" t="s">
        <v>5849</v>
      </c>
      <c r="L8572" t="s">
        <v>690</v>
      </c>
      <c r="P8572" t="s">
        <v>5851</v>
      </c>
      <c r="V8572">
        <v>14</v>
      </c>
    </row>
    <row r="8573" spans="1:22" customFormat="1" x14ac:dyDescent="0.25">
      <c r="A8573" t="s">
        <v>265</v>
      </c>
      <c r="E8573" s="1538" t="s">
        <v>207</v>
      </c>
      <c r="F8573" s="1538"/>
      <c r="G8573" s="1538"/>
      <c r="H8573" s="1539"/>
      <c r="K8573" t="s">
        <v>5852</v>
      </c>
      <c r="V8573">
        <v>31</v>
      </c>
    </row>
    <row r="8574" spans="1:22" customFormat="1" ht="15" x14ac:dyDescent="0.25">
      <c r="A8574" t="s">
        <v>265</v>
      </c>
      <c r="E8574" s="1531" t="s">
        <v>4775</v>
      </c>
      <c r="F8574" s="1531"/>
      <c r="G8574" s="1531"/>
      <c r="H8574" s="1532"/>
      <c r="K8574" t="s">
        <v>5852</v>
      </c>
      <c r="V8574">
        <v>286</v>
      </c>
    </row>
    <row r="8575" spans="1:22" customFormat="1" ht="15" x14ac:dyDescent="0.25">
      <c r="A8575" t="s">
        <v>265</v>
      </c>
      <c r="E8575" s="1562" t="s">
        <v>950</v>
      </c>
      <c r="F8575" s="1530"/>
      <c r="G8575" s="1530"/>
      <c r="H8575" s="1530"/>
      <c r="K8575" t="s">
        <v>4040</v>
      </c>
      <c r="V8575">
        <v>11</v>
      </c>
    </row>
    <row r="8576" spans="1:22" customFormat="1" ht="15" x14ac:dyDescent="0.25">
      <c r="A8576" t="s">
        <v>265</v>
      </c>
      <c r="E8576" s="1531" t="s">
        <v>951</v>
      </c>
      <c r="F8576" s="1531"/>
      <c r="G8576" s="1531"/>
      <c r="H8576" s="1532"/>
      <c r="K8576" t="s">
        <v>5852</v>
      </c>
      <c r="V8576">
        <v>280</v>
      </c>
    </row>
    <row r="8577" spans="1:22" customFormat="1" ht="15" x14ac:dyDescent="0.25">
      <c r="A8577" t="s">
        <v>265</v>
      </c>
      <c r="E8577" s="1531" t="s">
        <v>952</v>
      </c>
      <c r="F8577" s="1531"/>
      <c r="G8577" s="1531"/>
      <c r="H8577" s="1532"/>
      <c r="K8577" t="s">
        <v>5852</v>
      </c>
      <c r="V8577">
        <v>411</v>
      </c>
    </row>
    <row r="8578" spans="1:22" customFormat="1" ht="15" x14ac:dyDescent="0.25">
      <c r="A8578" t="s">
        <v>265</v>
      </c>
      <c r="E8578" s="1531" t="s">
        <v>5305</v>
      </c>
      <c r="F8578" s="1531"/>
      <c r="G8578" s="1531"/>
      <c r="H8578" s="1532"/>
      <c r="K8578" t="s">
        <v>5852</v>
      </c>
      <c r="V8578">
        <v>212</v>
      </c>
    </row>
    <row r="8579" spans="1:22" customFormat="1" ht="15" x14ac:dyDescent="0.25">
      <c r="A8579" t="s">
        <v>265</v>
      </c>
      <c r="E8579" s="1531" t="s">
        <v>5846</v>
      </c>
      <c r="F8579" s="1531"/>
      <c r="G8579" s="1531"/>
      <c r="H8579" s="1532"/>
      <c r="K8579" t="s">
        <v>5852</v>
      </c>
      <c r="V8579">
        <v>247</v>
      </c>
    </row>
    <row r="8580" spans="1:22" customFormat="1" ht="15" x14ac:dyDescent="0.25">
      <c r="A8580" t="s">
        <v>265</v>
      </c>
      <c r="E8580" s="1566" t="s">
        <v>956</v>
      </c>
      <c r="F8580" s="1567"/>
      <c r="G8580" s="1567"/>
      <c r="H8580" s="1567"/>
      <c r="K8580" t="s">
        <v>4041</v>
      </c>
      <c r="V8580">
        <v>46</v>
      </c>
    </row>
    <row r="8581" spans="1:22" customFormat="1" ht="15" x14ac:dyDescent="0.25">
      <c r="A8581" t="s">
        <v>265</v>
      </c>
      <c r="E8581" s="1495" t="s">
        <v>3773</v>
      </c>
      <c r="F8581" s="1495"/>
      <c r="G8581" s="360" t="s">
        <v>777</v>
      </c>
      <c r="H8581" s="616">
        <v>16</v>
      </c>
      <c r="K8581" t="s">
        <v>5852</v>
      </c>
      <c r="L8581" t="s">
        <v>690</v>
      </c>
      <c r="P8581" t="s">
        <v>5853</v>
      </c>
      <c r="V8581">
        <v>14</v>
      </c>
    </row>
    <row r="8582" spans="1:22" customFormat="1" x14ac:dyDescent="0.25">
      <c r="A8582" t="s">
        <v>265</v>
      </c>
      <c r="E8582" s="1538" t="s">
        <v>5854</v>
      </c>
      <c r="F8582" s="1538"/>
      <c r="G8582" s="1538"/>
      <c r="H8582" s="1539"/>
      <c r="K8582" t="s">
        <v>5855</v>
      </c>
      <c r="V8582">
        <v>26</v>
      </c>
    </row>
    <row r="8583" spans="1:22" customFormat="1" ht="15" x14ac:dyDescent="0.25">
      <c r="A8583" t="s">
        <v>265</v>
      </c>
      <c r="E8583" s="1531" t="s">
        <v>5856</v>
      </c>
      <c r="F8583" s="1531"/>
      <c r="G8583" s="1531"/>
      <c r="H8583" s="1532"/>
      <c r="K8583" t="s">
        <v>5855</v>
      </c>
      <c r="V8583">
        <v>281</v>
      </c>
    </row>
    <row r="8584" spans="1:22" customFormat="1" ht="15" x14ac:dyDescent="0.25">
      <c r="A8584" t="s">
        <v>265</v>
      </c>
      <c r="E8584" s="1562" t="s">
        <v>950</v>
      </c>
      <c r="F8584" s="1530"/>
      <c r="G8584" s="1530"/>
      <c r="H8584" s="1530"/>
      <c r="K8584" t="s">
        <v>4045</v>
      </c>
      <c r="V8584">
        <v>11</v>
      </c>
    </row>
    <row r="8585" spans="1:22" customFormat="1" ht="15" x14ac:dyDescent="0.25">
      <c r="A8585" t="s">
        <v>265</v>
      </c>
      <c r="E8585" s="1531" t="s">
        <v>951</v>
      </c>
      <c r="F8585" s="1531"/>
      <c r="G8585" s="1531"/>
      <c r="H8585" s="1532"/>
      <c r="K8585" t="s">
        <v>5855</v>
      </c>
      <c r="V8585">
        <v>280</v>
      </c>
    </row>
    <row r="8586" spans="1:22" customFormat="1" ht="15" x14ac:dyDescent="0.25">
      <c r="A8586" t="s">
        <v>265</v>
      </c>
      <c r="E8586" s="1531" t="s">
        <v>952</v>
      </c>
      <c r="F8586" s="1531"/>
      <c r="G8586" s="1531"/>
      <c r="H8586" s="1532"/>
      <c r="K8586" t="s">
        <v>5855</v>
      </c>
      <c r="V8586">
        <v>411</v>
      </c>
    </row>
    <row r="8587" spans="1:22" customFormat="1" ht="15" x14ac:dyDescent="0.25">
      <c r="A8587" t="s">
        <v>265</v>
      </c>
      <c r="E8587" s="1531" t="s">
        <v>5305</v>
      </c>
      <c r="F8587" s="1531"/>
      <c r="G8587" s="1531"/>
      <c r="H8587" s="1532"/>
      <c r="K8587" t="s">
        <v>5855</v>
      </c>
      <c r="V8587">
        <v>212</v>
      </c>
    </row>
    <row r="8588" spans="1:22" customFormat="1" ht="15" x14ac:dyDescent="0.25">
      <c r="A8588" t="s">
        <v>265</v>
      </c>
      <c r="E8588" s="1531" t="s">
        <v>5846</v>
      </c>
      <c r="F8588" s="1531"/>
      <c r="G8588" s="1531"/>
      <c r="H8588" s="1532"/>
      <c r="K8588" t="s">
        <v>5855</v>
      </c>
      <c r="V8588">
        <v>247</v>
      </c>
    </row>
    <row r="8589" spans="1:22" customFormat="1" ht="15" x14ac:dyDescent="0.25">
      <c r="A8589" t="s">
        <v>265</v>
      </c>
      <c r="E8589" s="1566" t="s">
        <v>956</v>
      </c>
      <c r="F8589" s="1567"/>
      <c r="G8589" s="1567"/>
      <c r="H8589" s="1567"/>
      <c r="K8589" t="s">
        <v>4046</v>
      </c>
      <c r="V8589">
        <v>46</v>
      </c>
    </row>
    <row r="8590" spans="1:22" customFormat="1" ht="15" x14ac:dyDescent="0.25">
      <c r="A8590" t="s">
        <v>265</v>
      </c>
      <c r="E8590" s="1495" t="s">
        <v>3773</v>
      </c>
      <c r="F8590" s="1495"/>
      <c r="G8590" s="360" t="s">
        <v>777</v>
      </c>
      <c r="H8590" s="616">
        <v>84</v>
      </c>
      <c r="K8590" t="s">
        <v>5855</v>
      </c>
      <c r="L8590" t="s">
        <v>690</v>
      </c>
      <c r="P8590" t="s">
        <v>5857</v>
      </c>
      <c r="V8590">
        <v>14</v>
      </c>
    </row>
    <row r="8591" spans="1:22" customFormat="1" x14ac:dyDescent="0.25">
      <c r="A8591" t="s">
        <v>265</v>
      </c>
      <c r="E8591" s="1538" t="s">
        <v>5858</v>
      </c>
      <c r="F8591" s="1538"/>
      <c r="G8591" s="1538"/>
      <c r="H8591" s="1539"/>
      <c r="K8591" t="s">
        <v>5859</v>
      </c>
      <c r="V8591">
        <v>56</v>
      </c>
    </row>
    <row r="8592" spans="1:22" customFormat="1" ht="15" x14ac:dyDescent="0.25">
      <c r="A8592" t="s">
        <v>265</v>
      </c>
      <c r="E8592" s="1531" t="s">
        <v>5860</v>
      </c>
      <c r="F8592" s="1531"/>
      <c r="G8592" s="1531"/>
      <c r="H8592" s="1532"/>
      <c r="K8592" t="s">
        <v>5859</v>
      </c>
      <c r="V8592">
        <v>315</v>
      </c>
    </row>
    <row r="8593" spans="1:22" customFormat="1" ht="15" x14ac:dyDescent="0.25">
      <c r="A8593" t="s">
        <v>265</v>
      </c>
      <c r="E8593" s="1562" t="s">
        <v>950</v>
      </c>
      <c r="F8593" s="1530"/>
      <c r="G8593" s="1530"/>
      <c r="H8593" s="1530"/>
      <c r="K8593" t="s">
        <v>5551</v>
      </c>
      <c r="V8593">
        <v>11</v>
      </c>
    </row>
    <row r="8594" spans="1:22" customFormat="1" ht="15" x14ac:dyDescent="0.25">
      <c r="A8594" t="s">
        <v>265</v>
      </c>
      <c r="E8594" s="1531" t="s">
        <v>951</v>
      </c>
      <c r="F8594" s="1531"/>
      <c r="G8594" s="1531"/>
      <c r="H8594" s="1532"/>
      <c r="K8594" t="s">
        <v>5859</v>
      </c>
      <c r="V8594">
        <v>280</v>
      </c>
    </row>
    <row r="8595" spans="1:22" customFormat="1" ht="15" x14ac:dyDescent="0.25">
      <c r="A8595" t="s">
        <v>265</v>
      </c>
      <c r="E8595" s="1531" t="s">
        <v>952</v>
      </c>
      <c r="F8595" s="1531"/>
      <c r="G8595" s="1531"/>
      <c r="H8595" s="1532"/>
      <c r="K8595" t="s">
        <v>5859</v>
      </c>
      <c r="V8595">
        <v>411</v>
      </c>
    </row>
    <row r="8596" spans="1:22" customFormat="1" ht="15" x14ac:dyDescent="0.25">
      <c r="A8596" t="s">
        <v>265</v>
      </c>
      <c r="E8596" s="1531" t="s">
        <v>5305</v>
      </c>
      <c r="F8596" s="1531"/>
      <c r="G8596" s="1531"/>
      <c r="H8596" s="1532"/>
      <c r="K8596" t="s">
        <v>5859</v>
      </c>
      <c r="V8596">
        <v>212</v>
      </c>
    </row>
    <row r="8597" spans="1:22" customFormat="1" ht="15" x14ac:dyDescent="0.25">
      <c r="A8597" t="s">
        <v>265</v>
      </c>
      <c r="E8597" s="1531" t="s">
        <v>5846</v>
      </c>
      <c r="F8597" s="1531"/>
      <c r="G8597" s="1531"/>
      <c r="H8597" s="1532"/>
      <c r="K8597" t="s">
        <v>5859</v>
      </c>
      <c r="V8597">
        <v>247</v>
      </c>
    </row>
    <row r="8598" spans="1:22" customFormat="1" ht="15" x14ac:dyDescent="0.25">
      <c r="A8598" t="s">
        <v>265</v>
      </c>
      <c r="E8598" s="1566" t="s">
        <v>956</v>
      </c>
      <c r="F8598" s="1567"/>
      <c r="G8598" s="1567"/>
      <c r="H8598" s="1567"/>
      <c r="K8598" t="s">
        <v>5552</v>
      </c>
      <c r="V8598">
        <v>46</v>
      </c>
    </row>
    <row r="8599" spans="1:22" customFormat="1" ht="15" x14ac:dyDescent="0.25">
      <c r="A8599" t="s">
        <v>265</v>
      </c>
      <c r="E8599" s="1495" t="s">
        <v>3773</v>
      </c>
      <c r="F8599" s="1495"/>
      <c r="G8599" s="360" t="s">
        <v>777</v>
      </c>
      <c r="H8599" s="616">
        <v>347</v>
      </c>
      <c r="K8599" t="s">
        <v>5859</v>
      </c>
      <c r="L8599" t="s">
        <v>690</v>
      </c>
      <c r="P8599" t="s">
        <v>5861</v>
      </c>
      <c r="V8599">
        <v>14</v>
      </c>
    </row>
    <row r="8600" spans="1:22" customFormat="1" x14ac:dyDescent="0.25">
      <c r="A8600" t="s">
        <v>265</v>
      </c>
      <c r="E8600" s="761" t="s">
        <v>3825</v>
      </c>
      <c r="F8600" s="722"/>
      <c r="G8600" s="722"/>
      <c r="H8600" s="722"/>
      <c r="K8600" t="s">
        <v>5862</v>
      </c>
      <c r="V8600">
        <v>10</v>
      </c>
    </row>
    <row r="8601" spans="1:22" customFormat="1" ht="15" x14ac:dyDescent="0.25">
      <c r="A8601" t="s">
        <v>265</v>
      </c>
      <c r="E8601" s="1507" t="s">
        <v>6875</v>
      </c>
      <c r="F8601" s="1507"/>
      <c r="G8601" s="624" t="s">
        <v>3775</v>
      </c>
      <c r="H8601" s="650">
        <v>-0.45</v>
      </c>
      <c r="T8601">
        <v>45961</v>
      </c>
      <c r="V8601">
        <v>103</v>
      </c>
    </row>
    <row r="8602" spans="1:22" customFormat="1" ht="15" x14ac:dyDescent="0.25">
      <c r="A8602" t="s">
        <v>265</v>
      </c>
      <c r="E8602" s="1495" t="s">
        <v>1079</v>
      </c>
      <c r="F8602" s="1495"/>
      <c r="G8602" s="624" t="s">
        <v>1118</v>
      </c>
      <c r="H8602" s="650">
        <v>-1</v>
      </c>
      <c r="V8602">
        <v>87</v>
      </c>
    </row>
    <row r="8603" spans="1:22" customFormat="1" x14ac:dyDescent="0.25">
      <c r="A8603" t="s">
        <v>265</v>
      </c>
      <c r="E8603" s="761" t="s">
        <v>3828</v>
      </c>
      <c r="F8603" s="627"/>
      <c r="G8603" s="627"/>
      <c r="H8603" s="628"/>
      <c r="K8603" t="s">
        <v>5863</v>
      </c>
      <c r="V8603">
        <v>24</v>
      </c>
    </row>
    <row r="8604" spans="1:22" customFormat="1" ht="15" x14ac:dyDescent="0.25">
      <c r="A8604" t="s">
        <v>265</v>
      </c>
      <c r="E8604" s="1535" t="s">
        <v>950</v>
      </c>
      <c r="F8604" s="1516"/>
      <c r="G8604" s="1516"/>
      <c r="H8604" s="1516"/>
      <c r="V8604">
        <v>11</v>
      </c>
    </row>
    <row r="8605" spans="1:22" customFormat="1" ht="15" x14ac:dyDescent="0.25">
      <c r="A8605" t="s">
        <v>265</v>
      </c>
      <c r="E8605" s="1496" t="s">
        <v>951</v>
      </c>
      <c r="F8605" s="1496"/>
      <c r="G8605" s="1496"/>
      <c r="H8605" s="1536"/>
      <c r="V8605">
        <v>280</v>
      </c>
    </row>
    <row r="8606" spans="1:22" customFormat="1" ht="15" x14ac:dyDescent="0.25">
      <c r="A8606" t="s">
        <v>265</v>
      </c>
      <c r="E8606" s="1496" t="s">
        <v>1081</v>
      </c>
      <c r="F8606" s="1496"/>
      <c r="G8606" s="1496"/>
      <c r="H8606" s="1536"/>
      <c r="V8606">
        <v>353</v>
      </c>
    </row>
    <row r="8607" spans="1:22" customFormat="1" ht="15" x14ac:dyDescent="0.25">
      <c r="A8607" t="s">
        <v>265</v>
      </c>
      <c r="E8607" s="1496" t="s">
        <v>954</v>
      </c>
      <c r="F8607" s="1496"/>
      <c r="G8607" s="1496"/>
      <c r="H8607" s="1536"/>
      <c r="V8607">
        <v>246</v>
      </c>
    </row>
    <row r="8608" spans="1:22" customFormat="1" ht="15" x14ac:dyDescent="0.25">
      <c r="A8608" t="s">
        <v>265</v>
      </c>
      <c r="E8608" s="762" t="s">
        <v>3830</v>
      </c>
      <c r="F8608" s="627"/>
      <c r="G8608" s="627"/>
      <c r="H8608" s="628"/>
      <c r="K8608" t="s">
        <v>5864</v>
      </c>
      <c r="V8608">
        <v>23</v>
      </c>
    </row>
    <row r="8609" spans="1:22" customFormat="1" ht="15" x14ac:dyDescent="0.25">
      <c r="A8609" t="s">
        <v>265</v>
      </c>
      <c r="E8609" s="1568" t="s">
        <v>5865</v>
      </c>
      <c r="F8609" s="1568"/>
      <c r="G8609" s="360" t="s">
        <v>777</v>
      </c>
      <c r="H8609" s="616">
        <v>18</v>
      </c>
      <c r="V8609">
        <v>19</v>
      </c>
    </row>
    <row r="8610" spans="1:22" customFormat="1" ht="15" x14ac:dyDescent="0.25">
      <c r="A8610" t="s">
        <v>265</v>
      </c>
      <c r="E8610" s="1568" t="s">
        <v>5866</v>
      </c>
      <c r="F8610" s="1569"/>
      <c r="G8610" s="360" t="s">
        <v>777</v>
      </c>
      <c r="H8610" s="616">
        <v>29</v>
      </c>
      <c r="V8610">
        <v>47</v>
      </c>
    </row>
    <row r="8611" spans="1:22" customFormat="1" ht="15" x14ac:dyDescent="0.25">
      <c r="A8611" t="s">
        <v>265</v>
      </c>
      <c r="E8611" s="1568" t="s">
        <v>3834</v>
      </c>
      <c r="F8611" s="1568"/>
      <c r="G8611" s="360" t="s">
        <v>777</v>
      </c>
      <c r="H8611" s="616">
        <v>6</v>
      </c>
      <c r="V8611">
        <v>39</v>
      </c>
    </row>
    <row r="8612" spans="1:22" customFormat="1" ht="15" x14ac:dyDescent="0.25">
      <c r="A8612" t="s">
        <v>265</v>
      </c>
      <c r="E8612" s="1568" t="s">
        <v>5867</v>
      </c>
      <c r="F8612" s="1568"/>
      <c r="G8612" s="360" t="s">
        <v>777</v>
      </c>
      <c r="H8612" s="616">
        <v>140</v>
      </c>
      <c r="V8612">
        <v>84</v>
      </c>
    </row>
    <row r="8613" spans="1:22" customFormat="1" ht="15" x14ac:dyDescent="0.25">
      <c r="A8613" t="s">
        <v>265</v>
      </c>
      <c r="E8613" s="1568" t="s">
        <v>3835</v>
      </c>
      <c r="F8613" s="1568"/>
      <c r="G8613" s="360" t="s">
        <v>777</v>
      </c>
      <c r="H8613" s="616">
        <v>18</v>
      </c>
      <c r="V8613">
        <v>56</v>
      </c>
    </row>
    <row r="8614" spans="1:22" customFormat="1" ht="15" x14ac:dyDescent="0.25">
      <c r="A8614" t="s">
        <v>265</v>
      </c>
      <c r="E8614" s="1568" t="s">
        <v>5868</v>
      </c>
      <c r="F8614" s="1568"/>
      <c r="G8614" s="360" t="s">
        <v>777</v>
      </c>
      <c r="H8614" s="616">
        <v>29</v>
      </c>
      <c r="V8614">
        <v>46</v>
      </c>
    </row>
    <row r="8615" spans="1:22" customFormat="1" ht="15" x14ac:dyDescent="0.25">
      <c r="A8615" t="s">
        <v>265</v>
      </c>
      <c r="E8615" s="1568" t="s">
        <v>3837</v>
      </c>
      <c r="F8615" s="1568"/>
      <c r="G8615" s="360" t="s">
        <v>777</v>
      </c>
      <c r="H8615" s="616">
        <v>29</v>
      </c>
      <c r="V8615">
        <v>89</v>
      </c>
    </row>
    <row r="8616" spans="1:22" customFormat="1" ht="15" x14ac:dyDescent="0.25">
      <c r="A8616" t="s">
        <v>265</v>
      </c>
      <c r="E8616" s="1568" t="s">
        <v>5869</v>
      </c>
      <c r="F8616" s="1568"/>
      <c r="G8616" s="360" t="s">
        <v>777</v>
      </c>
      <c r="H8616" s="616">
        <v>359</v>
      </c>
      <c r="V8616">
        <v>30</v>
      </c>
    </row>
    <row r="8617" spans="1:22" customFormat="1" ht="15" x14ac:dyDescent="0.25">
      <c r="A8617" t="s">
        <v>265</v>
      </c>
      <c r="E8617" s="1568" t="s">
        <v>5870</v>
      </c>
      <c r="F8617" s="1568"/>
      <c r="G8617" s="360" t="s">
        <v>777</v>
      </c>
      <c r="H8617" s="616">
        <v>270</v>
      </c>
      <c r="V8617">
        <v>47</v>
      </c>
    </row>
    <row r="8618" spans="1:22" customFormat="1" ht="15" x14ac:dyDescent="0.25">
      <c r="A8618" t="s">
        <v>265</v>
      </c>
      <c r="E8618" s="762" t="s">
        <v>4062</v>
      </c>
      <c r="F8618" s="627"/>
      <c r="G8618" s="611"/>
      <c r="H8618" s="613"/>
      <c r="K8618" t="s">
        <v>5871</v>
      </c>
      <c r="V8618">
        <v>22</v>
      </c>
    </row>
    <row r="8619" spans="1:22" customFormat="1" ht="15" x14ac:dyDescent="0.25">
      <c r="A8619" t="s">
        <v>265</v>
      </c>
      <c r="E8619" s="1568" t="s">
        <v>5872</v>
      </c>
      <c r="F8619" s="1568"/>
      <c r="G8619" s="360" t="s">
        <v>1118</v>
      </c>
      <c r="H8619" s="616">
        <v>1.5</v>
      </c>
      <c r="V8619">
        <v>98</v>
      </c>
    </row>
    <row r="8620" spans="1:22" customFormat="1" ht="15" x14ac:dyDescent="0.25">
      <c r="A8620" t="s">
        <v>265</v>
      </c>
      <c r="E8620" s="1568" t="s">
        <v>3842</v>
      </c>
      <c r="F8620" s="1568"/>
      <c r="G8620" s="360" t="s">
        <v>777</v>
      </c>
      <c r="H8620" s="616">
        <v>76</v>
      </c>
      <c r="V8620">
        <v>44</v>
      </c>
    </row>
    <row r="8621" spans="1:22" customFormat="1" ht="15" x14ac:dyDescent="0.25">
      <c r="A8621" t="s">
        <v>265</v>
      </c>
      <c r="E8621" s="1568" t="s">
        <v>3843</v>
      </c>
      <c r="F8621" s="1568"/>
      <c r="G8621" s="360" t="s">
        <v>777</v>
      </c>
      <c r="H8621" s="616">
        <v>115</v>
      </c>
      <c r="V8621">
        <v>43</v>
      </c>
    </row>
    <row r="8622" spans="1:22" customFormat="1" ht="15" x14ac:dyDescent="0.25">
      <c r="A8622" t="s">
        <v>265</v>
      </c>
      <c r="E8622" s="1568" t="s">
        <v>3844</v>
      </c>
      <c r="F8622" s="1568"/>
      <c r="G8622" s="360" t="s">
        <v>777</v>
      </c>
      <c r="H8622" s="616">
        <v>286</v>
      </c>
      <c r="V8622">
        <v>43</v>
      </c>
    </row>
    <row r="8623" spans="1:22" customFormat="1" ht="15" x14ac:dyDescent="0.25">
      <c r="A8623" t="s">
        <v>265</v>
      </c>
      <c r="E8623" s="1568" t="s">
        <v>3845</v>
      </c>
      <c r="F8623" s="1568"/>
      <c r="G8623" s="360" t="s">
        <v>777</v>
      </c>
      <c r="H8623" s="616">
        <v>483</v>
      </c>
      <c r="V8623">
        <v>42</v>
      </c>
    </row>
    <row r="8624" spans="1:22" customFormat="1" ht="15" x14ac:dyDescent="0.25">
      <c r="A8624" t="s">
        <v>265</v>
      </c>
      <c r="E8624" s="763" t="s">
        <v>3846</v>
      </c>
      <c r="F8624" s="627"/>
      <c r="G8624" s="611"/>
      <c r="H8624" s="613"/>
      <c r="V8624">
        <v>5</v>
      </c>
    </row>
    <row r="8625" spans="1:22" customFormat="1" ht="15" x14ac:dyDescent="0.25">
      <c r="A8625" t="s">
        <v>265</v>
      </c>
      <c r="E8625" s="1568" t="s">
        <v>3848</v>
      </c>
      <c r="F8625" s="1568"/>
      <c r="G8625" s="360" t="s">
        <v>777</v>
      </c>
      <c r="H8625" s="616">
        <v>1007</v>
      </c>
      <c r="V8625">
        <v>64</v>
      </c>
    </row>
    <row r="8626" spans="1:22" customFormat="1" ht="15" x14ac:dyDescent="0.25">
      <c r="A8626" t="s">
        <v>265</v>
      </c>
      <c r="E8626" s="1568" t="s">
        <v>4808</v>
      </c>
      <c r="F8626" s="1568"/>
      <c r="G8626" s="360" t="s">
        <v>777</v>
      </c>
      <c r="H8626" s="616">
        <v>1461</v>
      </c>
      <c r="V8626">
        <v>67</v>
      </c>
    </row>
    <row r="8627" spans="1:22" customFormat="1" ht="15" x14ac:dyDescent="0.25">
      <c r="A8627" t="s">
        <v>265</v>
      </c>
      <c r="E8627" s="1568" t="s">
        <v>3849</v>
      </c>
      <c r="F8627" s="1568"/>
      <c r="G8627" s="360" t="s">
        <v>777</v>
      </c>
      <c r="H8627" s="616">
        <v>3590</v>
      </c>
      <c r="V8627">
        <v>66</v>
      </c>
    </row>
    <row r="8628" spans="1:22" customFormat="1" ht="15" x14ac:dyDescent="0.25">
      <c r="A8628" t="s">
        <v>265</v>
      </c>
      <c r="E8628" s="1568" t="s">
        <v>5309</v>
      </c>
      <c r="F8628" s="1568"/>
      <c r="G8628" s="360" t="s">
        <v>777</v>
      </c>
      <c r="H8628" s="616">
        <v>39.14</v>
      </c>
      <c r="V8628">
        <v>105</v>
      </c>
    </row>
    <row r="8629" spans="1:22" customFormat="1" ht="15" x14ac:dyDescent="0.25">
      <c r="A8629" t="s">
        <v>265</v>
      </c>
      <c r="E8629" s="1568" t="s">
        <v>5873</v>
      </c>
      <c r="F8629" s="1568"/>
      <c r="G8629" s="360"/>
      <c r="H8629" s="616" t="s">
        <v>5874</v>
      </c>
      <c r="V8629">
        <v>40</v>
      </c>
    </row>
    <row r="8630" spans="1:22" customFormat="1" ht="15" x14ac:dyDescent="0.25">
      <c r="A8630" t="s">
        <v>265</v>
      </c>
      <c r="E8630" s="1568" t="s">
        <v>5875</v>
      </c>
      <c r="F8630" s="1568"/>
      <c r="G8630" s="360" t="s">
        <v>777</v>
      </c>
      <c r="H8630" s="616">
        <v>162</v>
      </c>
      <c r="V8630">
        <v>95</v>
      </c>
    </row>
    <row r="8631" spans="1:22" customFormat="1" x14ac:dyDescent="0.25">
      <c r="A8631" t="s">
        <v>265</v>
      </c>
      <c r="E8631" s="761" t="s">
        <v>3851</v>
      </c>
      <c r="F8631" s="627"/>
      <c r="G8631" s="627"/>
      <c r="H8631" s="628"/>
      <c r="K8631" t="s">
        <v>5876</v>
      </c>
      <c r="V8631">
        <v>38</v>
      </c>
    </row>
    <row r="8632" spans="1:22" customFormat="1" ht="15" x14ac:dyDescent="0.25">
      <c r="A8632" t="s">
        <v>265</v>
      </c>
      <c r="E8632" s="1496" t="s">
        <v>5592</v>
      </c>
      <c r="F8632" s="1496"/>
      <c r="G8632" s="1496"/>
      <c r="H8632" s="1536"/>
      <c r="V8632">
        <v>265</v>
      </c>
    </row>
    <row r="8633" spans="1:22" customFormat="1" ht="15" x14ac:dyDescent="0.25">
      <c r="A8633" t="s">
        <v>265</v>
      </c>
      <c r="E8633" s="1496" t="s">
        <v>952</v>
      </c>
      <c r="F8633" s="1496"/>
      <c r="G8633" s="1496"/>
      <c r="H8633" s="1536"/>
      <c r="V8633">
        <v>411</v>
      </c>
    </row>
    <row r="8634" spans="1:22" customFormat="1" ht="15" x14ac:dyDescent="0.25">
      <c r="A8634" t="s">
        <v>265</v>
      </c>
      <c r="E8634" s="1496" t="s">
        <v>1103</v>
      </c>
      <c r="F8634" s="1496"/>
      <c r="G8634" s="1496"/>
      <c r="H8634" s="1536"/>
      <c r="V8634">
        <v>211</v>
      </c>
    </row>
    <row r="8635" spans="1:22" customFormat="1" ht="15" x14ac:dyDescent="0.25">
      <c r="A8635" t="s">
        <v>265</v>
      </c>
      <c r="E8635" s="1496" t="s">
        <v>954</v>
      </c>
      <c r="F8635" s="1496"/>
      <c r="G8635" s="1496"/>
      <c r="H8635" s="1536"/>
      <c r="V8635">
        <v>246</v>
      </c>
    </row>
    <row r="8636" spans="1:22" customFormat="1" ht="15" x14ac:dyDescent="0.25">
      <c r="A8636" t="s">
        <v>265</v>
      </c>
      <c r="E8636" s="1496" t="s">
        <v>1104</v>
      </c>
      <c r="F8636" s="1496"/>
      <c r="G8636" s="1496"/>
      <c r="H8636" s="1536"/>
      <c r="V8636">
        <v>142</v>
      </c>
    </row>
    <row r="8637" spans="1:22" customFormat="1" ht="15" x14ac:dyDescent="0.25">
      <c r="A8637" t="s">
        <v>265</v>
      </c>
      <c r="E8637" s="1495" t="s">
        <v>849</v>
      </c>
      <c r="F8637" s="1495"/>
      <c r="G8637" s="735" t="s">
        <v>777</v>
      </c>
      <c r="H8637" s="726">
        <v>121.23</v>
      </c>
      <c r="V8637">
        <v>106</v>
      </c>
    </row>
    <row r="8638" spans="1:22" customFormat="1" ht="15" x14ac:dyDescent="0.25">
      <c r="A8638" t="s">
        <v>265</v>
      </c>
      <c r="E8638" s="1495" t="s">
        <v>850</v>
      </c>
      <c r="F8638" s="1495"/>
      <c r="G8638" s="735" t="s">
        <v>777</v>
      </c>
      <c r="H8638" s="636">
        <v>48.5</v>
      </c>
      <c r="V8638">
        <v>34</v>
      </c>
    </row>
    <row r="8639" spans="1:22" customFormat="1" ht="15" x14ac:dyDescent="0.25">
      <c r="A8639" t="s">
        <v>265</v>
      </c>
      <c r="E8639" s="1495" t="s">
        <v>851</v>
      </c>
      <c r="F8639" s="1495"/>
      <c r="G8639" s="735" t="s">
        <v>852</v>
      </c>
      <c r="H8639" s="636">
        <v>1.2</v>
      </c>
      <c r="V8639">
        <v>51</v>
      </c>
    </row>
    <row r="8640" spans="1:22" customFormat="1" ht="15" x14ac:dyDescent="0.25">
      <c r="A8640" t="s">
        <v>265</v>
      </c>
      <c r="E8640" s="1495" t="s">
        <v>853</v>
      </c>
      <c r="F8640" s="1495"/>
      <c r="G8640" s="735" t="s">
        <v>852</v>
      </c>
      <c r="H8640" s="636">
        <v>0.71</v>
      </c>
      <c r="V8640">
        <v>75</v>
      </c>
    </row>
    <row r="8641" spans="1:22" customFormat="1" ht="15" x14ac:dyDescent="0.25">
      <c r="A8641" t="s">
        <v>265</v>
      </c>
      <c r="E8641" s="1495" t="s">
        <v>854</v>
      </c>
      <c r="F8641" s="1495"/>
      <c r="G8641" s="735" t="s">
        <v>852</v>
      </c>
      <c r="H8641" s="651">
        <v>-0.71</v>
      </c>
      <c r="V8641">
        <v>72</v>
      </c>
    </row>
    <row r="8642" spans="1:22" customFormat="1" ht="15" x14ac:dyDescent="0.25">
      <c r="A8642" t="s">
        <v>265</v>
      </c>
      <c r="E8642" s="1495" t="s">
        <v>1105</v>
      </c>
      <c r="F8642" s="1495"/>
      <c r="G8642" s="822"/>
      <c r="H8642" s="822"/>
      <c r="V8642">
        <v>35</v>
      </c>
    </row>
    <row r="8643" spans="1:22" customFormat="1" ht="15" x14ac:dyDescent="0.25">
      <c r="A8643" t="s">
        <v>265</v>
      </c>
      <c r="E8643" s="1591" t="s">
        <v>1106</v>
      </c>
      <c r="F8643" s="1591"/>
      <c r="G8643" s="735" t="s">
        <v>777</v>
      </c>
      <c r="H8643" s="636">
        <v>0.61</v>
      </c>
      <c r="V8643">
        <v>57</v>
      </c>
    </row>
    <row r="8644" spans="1:22" customFormat="1" ht="15" x14ac:dyDescent="0.25">
      <c r="A8644" t="s">
        <v>265</v>
      </c>
      <c r="E8644" s="1591" t="s">
        <v>1107</v>
      </c>
      <c r="F8644" s="1591"/>
      <c r="G8644" s="735" t="s">
        <v>777</v>
      </c>
      <c r="H8644" s="636">
        <v>1.2</v>
      </c>
      <c r="V8644">
        <v>60</v>
      </c>
    </row>
    <row r="8645" spans="1:22" customFormat="1" ht="15" x14ac:dyDescent="0.25">
      <c r="A8645" t="s">
        <v>265</v>
      </c>
      <c r="E8645" s="1495" t="s">
        <v>1108</v>
      </c>
      <c r="F8645" s="1495"/>
      <c r="G8645" s="725"/>
      <c r="H8645" s="822"/>
      <c r="V8645">
        <v>91</v>
      </c>
    </row>
    <row r="8646" spans="1:22" customFormat="1" ht="15" x14ac:dyDescent="0.25">
      <c r="A8646" t="s">
        <v>265</v>
      </c>
      <c r="E8646" s="1495" t="s">
        <v>1109</v>
      </c>
      <c r="F8646" s="1495"/>
      <c r="G8646" s="725"/>
      <c r="H8646" s="822"/>
      <c r="V8646">
        <v>96</v>
      </c>
    </row>
    <row r="8647" spans="1:22" customFormat="1" ht="15" x14ac:dyDescent="0.25">
      <c r="A8647" t="s">
        <v>265</v>
      </c>
      <c r="E8647" s="1495" t="s">
        <v>1110</v>
      </c>
      <c r="F8647" s="1495"/>
      <c r="G8647" s="725"/>
      <c r="H8647" s="822"/>
      <c r="V8647">
        <v>78</v>
      </c>
    </row>
    <row r="8648" spans="1:22" customFormat="1" ht="15" x14ac:dyDescent="0.25">
      <c r="A8648" t="s">
        <v>265</v>
      </c>
      <c r="E8648" s="1591" t="s">
        <v>1111</v>
      </c>
      <c r="F8648" s="1591"/>
      <c r="G8648" s="735" t="s">
        <v>777</v>
      </c>
      <c r="H8648" s="636" t="s">
        <v>857</v>
      </c>
      <c r="V8648">
        <v>18</v>
      </c>
    </row>
    <row r="8649" spans="1:22" customFormat="1" ht="15" x14ac:dyDescent="0.25">
      <c r="A8649" t="s">
        <v>265</v>
      </c>
      <c r="E8649" s="1591" t="s">
        <v>1112</v>
      </c>
      <c r="F8649" s="1591"/>
      <c r="G8649" s="735" t="s">
        <v>777</v>
      </c>
      <c r="H8649" s="636">
        <v>4.8499999999999996</v>
      </c>
      <c r="V8649">
        <v>69</v>
      </c>
    </row>
    <row r="8650" spans="1:22" customFormat="1" ht="15" x14ac:dyDescent="0.25">
      <c r="A8650" t="s">
        <v>265</v>
      </c>
      <c r="E8650" s="1495" t="s">
        <v>5877</v>
      </c>
      <c r="F8650" s="1495"/>
      <c r="G8650" s="725"/>
      <c r="H8650" s="822"/>
      <c r="V8650">
        <v>114</v>
      </c>
    </row>
    <row r="8651" spans="1:22" customFormat="1" ht="15" x14ac:dyDescent="0.25">
      <c r="A8651" t="s">
        <v>265</v>
      </c>
      <c r="E8651" s="1683" t="s">
        <v>5878</v>
      </c>
      <c r="F8651" s="1683"/>
      <c r="G8651" s="735" t="s">
        <v>777</v>
      </c>
      <c r="H8651" s="636">
        <v>2.42</v>
      </c>
      <c r="V8651">
        <v>84</v>
      </c>
    </row>
    <row r="8652" spans="1:22" customFormat="1" ht="18.75" x14ac:dyDescent="0.3">
      <c r="A8652" t="s">
        <v>265</v>
      </c>
      <c r="E8652" s="860" t="s">
        <v>3853</v>
      </c>
      <c r="F8652" s="860"/>
      <c r="G8652" s="710"/>
      <c r="H8652" s="381"/>
      <c r="K8652" t="s">
        <v>5879</v>
      </c>
      <c r="V8652">
        <v>12</v>
      </c>
    </row>
    <row r="8653" spans="1:22" customFormat="1" ht="15" x14ac:dyDescent="0.25">
      <c r="A8653" t="s">
        <v>265</v>
      </c>
      <c r="E8653" s="1507" t="s">
        <v>1114</v>
      </c>
      <c r="F8653" s="1507"/>
      <c r="G8653" s="1507"/>
      <c r="H8653" s="1507"/>
      <c r="V8653">
        <v>203</v>
      </c>
    </row>
    <row r="8654" spans="1:22" customFormat="1" ht="15" x14ac:dyDescent="0.25">
      <c r="A8654" t="s">
        <v>265</v>
      </c>
      <c r="E8654" s="1561" t="s">
        <v>1115</v>
      </c>
      <c r="F8654" s="1561"/>
      <c r="G8654" s="1561"/>
      <c r="H8654" s="616">
        <v>1.0338000000000001</v>
      </c>
      <c r="V8654">
        <v>57</v>
      </c>
    </row>
    <row r="8655" spans="1:22" customFormat="1" ht="15" x14ac:dyDescent="0.25">
      <c r="A8655" t="s">
        <v>265</v>
      </c>
      <c r="E8655" s="1561" t="s">
        <v>4072</v>
      </c>
      <c r="F8655" s="1561"/>
      <c r="G8655" s="1561"/>
      <c r="H8655" s="616">
        <v>1.0152000000000001</v>
      </c>
      <c r="V8655">
        <v>57</v>
      </c>
    </row>
    <row r="8656" spans="1:22" customFormat="1" ht="15" x14ac:dyDescent="0.25">
      <c r="A8656" t="s">
        <v>265</v>
      </c>
      <c r="E8656" s="1561" t="s">
        <v>1117</v>
      </c>
      <c r="F8656" s="1561"/>
      <c r="G8656" s="1561"/>
      <c r="H8656" s="616">
        <v>1.0234000000000001</v>
      </c>
      <c r="V8656">
        <v>55</v>
      </c>
    </row>
    <row r="8657" spans="1:22" customFormat="1" ht="15" x14ac:dyDescent="0.25">
      <c r="A8657" t="s">
        <v>265</v>
      </c>
      <c r="E8657" s="1561" t="s">
        <v>4073</v>
      </c>
      <c r="F8657" s="1561"/>
      <c r="G8657" s="1561"/>
      <c r="H8657" s="616">
        <v>1.0051000000000001</v>
      </c>
      <c r="J8657" t="s">
        <v>5880</v>
      </c>
      <c r="V8657">
        <v>55</v>
      </c>
    </row>
    <row r="8658" spans="1:22" customFormat="1" ht="23.25" x14ac:dyDescent="0.25">
      <c r="A8658" t="s">
        <v>275</v>
      </c>
      <c r="C8658" t="s">
        <v>3755</v>
      </c>
      <c r="E8658" s="1576" t="s">
        <v>275</v>
      </c>
      <c r="F8658" s="1576"/>
      <c r="G8658" s="1576"/>
      <c r="H8658" s="1576"/>
      <c r="I8658" t="s">
        <v>94</v>
      </c>
      <c r="J8658" t="s">
        <v>5462</v>
      </c>
      <c r="K8658" t="s">
        <v>275</v>
      </c>
      <c r="M8658">
        <v>10</v>
      </c>
      <c r="V8658">
        <v>17</v>
      </c>
    </row>
    <row r="8659" spans="1:22" customFormat="1" x14ac:dyDescent="0.25">
      <c r="A8659" t="s">
        <v>275</v>
      </c>
      <c r="C8659" t="s">
        <v>3757</v>
      </c>
      <c r="E8659" s="1577" t="s">
        <v>944</v>
      </c>
      <c r="F8659" s="1577"/>
      <c r="G8659" s="1577"/>
      <c r="H8659" s="1577"/>
      <c r="V8659">
        <v>27</v>
      </c>
    </row>
    <row r="8660" spans="1:22" customFormat="1" ht="15.75" x14ac:dyDescent="0.25">
      <c r="A8660" t="s">
        <v>275</v>
      </c>
      <c r="C8660" t="s">
        <v>3758</v>
      </c>
      <c r="E8660" s="1585" t="s">
        <v>6847</v>
      </c>
      <c r="F8660" s="1585"/>
      <c r="G8660" s="1585"/>
      <c r="H8660" s="1585"/>
      <c r="S8660">
        <v>45778</v>
      </c>
      <c r="V8660">
        <v>45</v>
      </c>
    </row>
    <row r="8661" spans="1:22" customFormat="1" ht="15" x14ac:dyDescent="0.25">
      <c r="A8661" t="s">
        <v>275</v>
      </c>
      <c r="C8661" t="s">
        <v>3759</v>
      </c>
      <c r="E8661" s="1575" t="s">
        <v>945</v>
      </c>
      <c r="F8661" s="1575"/>
      <c r="G8661" s="1575"/>
      <c r="H8661" s="1575"/>
      <c r="V8661">
        <v>52</v>
      </c>
    </row>
    <row r="8662" spans="1:22" customFormat="1" ht="15" x14ac:dyDescent="0.25">
      <c r="A8662" t="s">
        <v>275</v>
      </c>
      <c r="E8662" s="1575" t="s">
        <v>946</v>
      </c>
      <c r="F8662" s="1575"/>
      <c r="G8662" s="1575"/>
      <c r="H8662" s="1575"/>
      <c r="V8662">
        <v>53</v>
      </c>
    </row>
    <row r="8663" spans="1:22" customFormat="1" ht="15" x14ac:dyDescent="0.25">
      <c r="A8663" t="s">
        <v>275</v>
      </c>
      <c r="E8663" s="1534" t="s">
        <v>6876</v>
      </c>
      <c r="F8663" s="1534"/>
      <c r="G8663" s="1534"/>
      <c r="H8663" s="1534"/>
      <c r="K8663" t="s">
        <v>6876</v>
      </c>
      <c r="V8663">
        <v>12</v>
      </c>
    </row>
    <row r="8664" spans="1:22" customFormat="1" ht="15" x14ac:dyDescent="0.25">
      <c r="A8664" t="s">
        <v>275</v>
      </c>
      <c r="E8664" s="1538" t="s">
        <v>170</v>
      </c>
      <c r="F8664" s="1496"/>
      <c r="G8664" s="1496"/>
      <c r="H8664" s="1496"/>
      <c r="K8664" t="s">
        <v>947</v>
      </c>
      <c r="V8664">
        <v>34</v>
      </c>
    </row>
    <row r="8665" spans="1:22" customFormat="1" ht="15" x14ac:dyDescent="0.25">
      <c r="A8665" t="s">
        <v>275</v>
      </c>
      <c r="E8665" s="1496" t="s">
        <v>5463</v>
      </c>
      <c r="F8665" s="1496"/>
      <c r="G8665" s="1496"/>
      <c r="H8665" s="1496"/>
      <c r="K8665" t="s">
        <v>947</v>
      </c>
      <c r="V8665">
        <v>1111</v>
      </c>
    </row>
    <row r="8666" spans="1:22" customFormat="1" ht="15" x14ac:dyDescent="0.25">
      <c r="A8666" t="s">
        <v>275</v>
      </c>
      <c r="E8666" s="1533" t="s">
        <v>950</v>
      </c>
      <c r="F8666" s="1496"/>
      <c r="G8666" s="1496"/>
      <c r="H8666" s="1496"/>
      <c r="K8666" t="s">
        <v>949</v>
      </c>
      <c r="V8666">
        <v>11</v>
      </c>
    </row>
    <row r="8667" spans="1:22" customFormat="1" ht="15" x14ac:dyDescent="0.25">
      <c r="A8667" t="s">
        <v>275</v>
      </c>
      <c r="E8667" s="1496" t="s">
        <v>951</v>
      </c>
      <c r="F8667" s="1496"/>
      <c r="G8667" s="1496"/>
      <c r="H8667" s="1496"/>
      <c r="K8667" t="s">
        <v>947</v>
      </c>
      <c r="V8667">
        <v>280</v>
      </c>
    </row>
    <row r="8668" spans="1:22" customFormat="1" ht="15" x14ac:dyDescent="0.25">
      <c r="A8668" t="s">
        <v>275</v>
      </c>
      <c r="E8668" s="1496" t="s">
        <v>952</v>
      </c>
      <c r="F8668" s="1496"/>
      <c r="G8668" s="1496"/>
      <c r="H8668" s="1496"/>
      <c r="K8668" t="s">
        <v>947</v>
      </c>
      <c r="V8668">
        <v>411</v>
      </c>
    </row>
    <row r="8669" spans="1:22" customFormat="1" ht="15" x14ac:dyDescent="0.25">
      <c r="A8669" t="s">
        <v>275</v>
      </c>
      <c r="E8669" s="1496" t="s">
        <v>953</v>
      </c>
      <c r="F8669" s="1496"/>
      <c r="G8669" s="1496"/>
      <c r="H8669" s="1496"/>
      <c r="K8669" t="s">
        <v>947</v>
      </c>
      <c r="V8669">
        <v>386</v>
      </c>
    </row>
    <row r="8670" spans="1:22" customFormat="1" ht="15" x14ac:dyDescent="0.25">
      <c r="A8670" t="s">
        <v>275</v>
      </c>
      <c r="E8670" s="1496" t="s">
        <v>3762</v>
      </c>
      <c r="F8670" s="1496"/>
      <c r="G8670" s="1496"/>
      <c r="H8670" s="1496"/>
      <c r="K8670" t="s">
        <v>947</v>
      </c>
      <c r="V8670">
        <v>247</v>
      </c>
    </row>
    <row r="8671" spans="1:22" customFormat="1" ht="15" x14ac:dyDescent="0.25">
      <c r="A8671" t="s">
        <v>275</v>
      </c>
      <c r="E8671" s="1533" t="s">
        <v>956</v>
      </c>
      <c r="F8671" s="1496"/>
      <c r="G8671" s="1496"/>
      <c r="H8671" s="1496"/>
      <c r="K8671" t="s">
        <v>955</v>
      </c>
      <c r="V8671">
        <v>46</v>
      </c>
    </row>
    <row r="8672" spans="1:22" customFormat="1" ht="15" x14ac:dyDescent="0.25">
      <c r="A8672" t="s">
        <v>275</v>
      </c>
      <c r="E8672" s="1524" t="s">
        <v>3773</v>
      </c>
      <c r="F8672" s="1524"/>
      <c r="G8672" s="360" t="s">
        <v>777</v>
      </c>
      <c r="H8672" s="576">
        <v>30.65</v>
      </c>
      <c r="K8672" t="s">
        <v>947</v>
      </c>
      <c r="L8672" t="s">
        <v>690</v>
      </c>
      <c r="P8672" t="s">
        <v>957</v>
      </c>
      <c r="V8672">
        <v>14</v>
      </c>
    </row>
    <row r="8673" spans="1:22" customFormat="1" ht="15" x14ac:dyDescent="0.25">
      <c r="A8673" t="s">
        <v>275</v>
      </c>
      <c r="E8673" s="1524" t="s">
        <v>5464</v>
      </c>
      <c r="F8673" s="1507"/>
      <c r="G8673" s="360" t="s">
        <v>777</v>
      </c>
      <c r="H8673" s="576">
        <v>0.04</v>
      </c>
      <c r="K8673" t="s">
        <v>947</v>
      </c>
      <c r="L8673" t="s">
        <v>690</v>
      </c>
      <c r="P8673" t="s">
        <v>5883</v>
      </c>
      <c r="V8673">
        <v>147</v>
      </c>
    </row>
    <row r="8674" spans="1:22" customFormat="1" ht="15" x14ac:dyDescent="0.25">
      <c r="A8674" t="s">
        <v>275</v>
      </c>
      <c r="E8674" s="1524" t="s">
        <v>960</v>
      </c>
      <c r="F8674" s="1524"/>
      <c r="G8674" s="360" t="s">
        <v>777</v>
      </c>
      <c r="H8674" s="604">
        <v>0.42</v>
      </c>
      <c r="K8674" t="s">
        <v>947</v>
      </c>
      <c r="L8674" t="s">
        <v>692</v>
      </c>
      <c r="P8674" t="s">
        <v>959</v>
      </c>
      <c r="V8674">
        <v>64</v>
      </c>
    </row>
    <row r="8675" spans="1:22" customFormat="1" ht="15" x14ac:dyDescent="0.25">
      <c r="A8675" t="s">
        <v>275</v>
      </c>
      <c r="E8675" s="1524" t="s">
        <v>6849</v>
      </c>
      <c r="F8675" s="1510"/>
      <c r="G8675" s="360" t="s">
        <v>845</v>
      </c>
      <c r="H8675" s="605">
        <v>1.6999999999999999E-3</v>
      </c>
      <c r="K8675" t="s">
        <v>947</v>
      </c>
      <c r="L8675" t="s">
        <v>692</v>
      </c>
      <c r="P8675" t="s">
        <v>962</v>
      </c>
      <c r="T8675">
        <v>46142</v>
      </c>
      <c r="V8675">
        <v>139</v>
      </c>
    </row>
    <row r="8676" spans="1:22" customFormat="1" ht="15" x14ac:dyDescent="0.25">
      <c r="A8676" t="s">
        <v>275</v>
      </c>
      <c r="E8676" s="1524" t="s">
        <v>6850</v>
      </c>
      <c r="F8676" s="1510"/>
      <c r="G8676" s="360" t="s">
        <v>845</v>
      </c>
      <c r="H8676" s="605">
        <v>1E-4</v>
      </c>
      <c r="K8676" t="s">
        <v>947</v>
      </c>
      <c r="L8676" t="s">
        <v>692</v>
      </c>
      <c r="P8676" t="s">
        <v>963</v>
      </c>
      <c r="T8676">
        <v>46142</v>
      </c>
      <c r="V8676">
        <v>96</v>
      </c>
    </row>
    <row r="8677" spans="1:22" customFormat="1" ht="15" x14ac:dyDescent="0.25">
      <c r="A8677" t="s">
        <v>275</v>
      </c>
      <c r="E8677" s="1524" t="s">
        <v>6853</v>
      </c>
      <c r="F8677" s="1510"/>
      <c r="G8677" s="360" t="s">
        <v>845</v>
      </c>
      <c r="H8677" s="605">
        <v>2.0000000000000001E-4</v>
      </c>
      <c r="K8677" t="s">
        <v>947</v>
      </c>
      <c r="L8677" t="s">
        <v>692</v>
      </c>
      <c r="P8677" t="s">
        <v>3764</v>
      </c>
      <c r="T8677">
        <v>46142</v>
      </c>
      <c r="V8677">
        <v>146</v>
      </c>
    </row>
    <row r="8678" spans="1:22" customFormat="1" ht="15" x14ac:dyDescent="0.25">
      <c r="A8678" t="s">
        <v>275</v>
      </c>
      <c r="E8678" s="1524" t="s">
        <v>243</v>
      </c>
      <c r="F8678" s="1524"/>
      <c r="G8678" s="360" t="s">
        <v>845</v>
      </c>
      <c r="H8678" s="577">
        <v>1.18E-2</v>
      </c>
      <c r="K8678" t="s">
        <v>947</v>
      </c>
      <c r="L8678" t="s">
        <v>694</v>
      </c>
      <c r="P8678" t="s">
        <v>964</v>
      </c>
      <c r="V8678">
        <v>47</v>
      </c>
    </row>
    <row r="8679" spans="1:22" customFormat="1" ht="15" x14ac:dyDescent="0.25">
      <c r="A8679" t="s">
        <v>275</v>
      </c>
      <c r="E8679" s="1524" t="s">
        <v>175</v>
      </c>
      <c r="F8679" s="1524"/>
      <c r="G8679" s="360" t="s">
        <v>845</v>
      </c>
      <c r="H8679" s="577">
        <v>8.3999999999999995E-3</v>
      </c>
      <c r="K8679" t="s">
        <v>947</v>
      </c>
      <c r="L8679" t="s">
        <v>694</v>
      </c>
      <c r="P8679" t="s">
        <v>965</v>
      </c>
      <c r="V8679">
        <v>74</v>
      </c>
    </row>
    <row r="8680" spans="1:22" customFormat="1" ht="15" x14ac:dyDescent="0.25">
      <c r="A8680" t="s">
        <v>275</v>
      </c>
      <c r="E8680" s="1533" t="s">
        <v>967</v>
      </c>
      <c r="F8680" s="1524"/>
      <c r="G8680" s="360"/>
      <c r="H8680" s="360"/>
      <c r="K8680" t="s">
        <v>966</v>
      </c>
      <c r="V8680">
        <v>48</v>
      </c>
    </row>
    <row r="8681" spans="1:22" customFormat="1" ht="15" x14ac:dyDescent="0.25">
      <c r="A8681" t="s">
        <v>275</v>
      </c>
      <c r="E8681" s="1524" t="s">
        <v>844</v>
      </c>
      <c r="F8681" s="1524"/>
      <c r="G8681" s="360" t="s">
        <v>845</v>
      </c>
      <c r="H8681" s="605">
        <v>4.1000000000000003E-3</v>
      </c>
      <c r="K8681" t="s">
        <v>947</v>
      </c>
      <c r="L8681" t="s">
        <v>968</v>
      </c>
      <c r="P8681" t="s">
        <v>969</v>
      </c>
      <c r="V8681">
        <v>55</v>
      </c>
    </row>
    <row r="8682" spans="1:22" customFormat="1" ht="15" x14ac:dyDescent="0.25">
      <c r="A8682" t="s">
        <v>275</v>
      </c>
      <c r="E8682" s="1524" t="s">
        <v>846</v>
      </c>
      <c r="F8682" s="1524"/>
      <c r="G8682" s="360" t="s">
        <v>845</v>
      </c>
      <c r="H8682" s="605">
        <v>4.0000000000000002E-4</v>
      </c>
      <c r="K8682" t="s">
        <v>947</v>
      </c>
      <c r="L8682" t="s">
        <v>968</v>
      </c>
      <c r="P8682" t="s">
        <v>969</v>
      </c>
      <c r="V8682">
        <v>65</v>
      </c>
    </row>
    <row r="8683" spans="1:22" customFormat="1" ht="15" x14ac:dyDescent="0.25">
      <c r="A8683" t="s">
        <v>275</v>
      </c>
      <c r="E8683" s="1524" t="s">
        <v>847</v>
      </c>
      <c r="F8683" s="1524"/>
      <c r="G8683" s="360" t="s">
        <v>845</v>
      </c>
      <c r="H8683" s="605">
        <v>1.5E-3</v>
      </c>
      <c r="K8683" t="s">
        <v>947</v>
      </c>
      <c r="L8683" t="s">
        <v>968</v>
      </c>
      <c r="P8683" t="s">
        <v>970</v>
      </c>
      <c r="V8683">
        <v>57</v>
      </c>
    </row>
    <row r="8684" spans="1:22" customFormat="1" ht="15" x14ac:dyDescent="0.25">
      <c r="A8684" t="s">
        <v>275</v>
      </c>
      <c r="E8684" s="1524" t="s">
        <v>848</v>
      </c>
      <c r="F8684" s="1524"/>
      <c r="G8684" s="360" t="s">
        <v>777</v>
      </c>
      <c r="H8684" s="604">
        <v>0.25</v>
      </c>
      <c r="K8684" t="s">
        <v>947</v>
      </c>
      <c r="L8684" t="s">
        <v>968</v>
      </c>
      <c r="P8684" t="s">
        <v>971</v>
      </c>
      <c r="V8684">
        <v>63</v>
      </c>
    </row>
    <row r="8685" spans="1:22" customFormat="1" x14ac:dyDescent="0.25">
      <c r="A8685" t="s">
        <v>275</v>
      </c>
      <c r="E8685" s="1538" t="s">
        <v>174</v>
      </c>
      <c r="F8685" s="1571"/>
      <c r="G8685" s="1571"/>
      <c r="H8685" s="1571"/>
      <c r="K8685" t="s">
        <v>972</v>
      </c>
      <c r="V8685">
        <v>54</v>
      </c>
    </row>
    <row r="8686" spans="1:22" customFormat="1" ht="15" x14ac:dyDescent="0.25">
      <c r="A8686" t="s">
        <v>275</v>
      </c>
      <c r="E8686" s="1496" t="s">
        <v>5466</v>
      </c>
      <c r="F8686" s="1496"/>
      <c r="G8686" s="1496"/>
      <c r="H8686" s="1496"/>
      <c r="K8686" t="s">
        <v>972</v>
      </c>
      <c r="V8686">
        <v>789</v>
      </c>
    </row>
    <row r="8687" spans="1:22" customFormat="1" ht="15" x14ac:dyDescent="0.25">
      <c r="A8687" t="s">
        <v>275</v>
      </c>
      <c r="E8687" s="1533" t="s">
        <v>950</v>
      </c>
      <c r="F8687" s="1496"/>
      <c r="G8687" s="1496"/>
      <c r="H8687" s="1496"/>
      <c r="K8687" t="s">
        <v>974</v>
      </c>
      <c r="V8687">
        <v>11</v>
      </c>
    </row>
    <row r="8688" spans="1:22" customFormat="1" ht="15" x14ac:dyDescent="0.25">
      <c r="A8688" t="s">
        <v>275</v>
      </c>
      <c r="E8688" s="1496" t="s">
        <v>951</v>
      </c>
      <c r="F8688" s="1496"/>
      <c r="G8688" s="1496"/>
      <c r="H8688" s="1496"/>
      <c r="K8688" t="s">
        <v>972</v>
      </c>
      <c r="V8688">
        <v>280</v>
      </c>
    </row>
    <row r="8689" spans="1:22" customFormat="1" ht="15" x14ac:dyDescent="0.25">
      <c r="A8689" t="s">
        <v>275</v>
      </c>
      <c r="E8689" s="1496" t="s">
        <v>952</v>
      </c>
      <c r="F8689" s="1496"/>
      <c r="G8689" s="1496"/>
      <c r="H8689" s="1496"/>
      <c r="K8689" t="s">
        <v>972</v>
      </c>
      <c r="V8689">
        <v>411</v>
      </c>
    </row>
    <row r="8690" spans="1:22" customFormat="1" ht="15" x14ac:dyDescent="0.25">
      <c r="A8690" t="s">
        <v>275</v>
      </c>
      <c r="E8690" s="1496" t="s">
        <v>953</v>
      </c>
      <c r="F8690" s="1496"/>
      <c r="G8690" s="1496"/>
      <c r="H8690" s="1496"/>
      <c r="K8690" t="s">
        <v>972</v>
      </c>
      <c r="V8690">
        <v>386</v>
      </c>
    </row>
    <row r="8691" spans="1:22" customFormat="1" ht="15" x14ac:dyDescent="0.25">
      <c r="A8691" t="s">
        <v>275</v>
      </c>
      <c r="E8691" s="1496" t="s">
        <v>3762</v>
      </c>
      <c r="F8691" s="1496"/>
      <c r="G8691" s="1496"/>
      <c r="H8691" s="1496"/>
      <c r="K8691" t="s">
        <v>972</v>
      </c>
      <c r="V8691">
        <v>247</v>
      </c>
    </row>
    <row r="8692" spans="1:22" customFormat="1" ht="15" x14ac:dyDescent="0.25">
      <c r="A8692" t="s">
        <v>275</v>
      </c>
      <c r="E8692" s="1533" t="s">
        <v>956</v>
      </c>
      <c r="F8692" s="1496"/>
      <c r="G8692" s="1496"/>
      <c r="H8692" s="1496"/>
      <c r="K8692" t="s">
        <v>975</v>
      </c>
      <c r="V8692">
        <v>46</v>
      </c>
    </row>
    <row r="8693" spans="1:22" customFormat="1" ht="15" x14ac:dyDescent="0.25">
      <c r="A8693" t="s">
        <v>275</v>
      </c>
      <c r="E8693" s="1524" t="s">
        <v>3773</v>
      </c>
      <c r="F8693" s="1524"/>
      <c r="G8693" s="360" t="s">
        <v>777</v>
      </c>
      <c r="H8693" s="576">
        <v>35.1</v>
      </c>
      <c r="K8693" t="s">
        <v>972</v>
      </c>
      <c r="L8693" t="s">
        <v>690</v>
      </c>
      <c r="P8693" t="s">
        <v>976</v>
      </c>
      <c r="V8693">
        <v>14</v>
      </c>
    </row>
    <row r="8694" spans="1:22" customFormat="1" ht="15" x14ac:dyDescent="0.25">
      <c r="A8694" t="s">
        <v>275</v>
      </c>
      <c r="E8694" s="1524" t="s">
        <v>5464</v>
      </c>
      <c r="F8694" s="1507"/>
      <c r="G8694" s="360" t="s">
        <v>777</v>
      </c>
      <c r="H8694" s="576">
        <v>0.09</v>
      </c>
      <c r="K8694" t="s">
        <v>972</v>
      </c>
      <c r="L8694" t="s">
        <v>690</v>
      </c>
      <c r="P8694" t="s">
        <v>6877</v>
      </c>
      <c r="V8694">
        <v>147</v>
      </c>
    </row>
    <row r="8695" spans="1:22" customFormat="1" ht="15" x14ac:dyDescent="0.25">
      <c r="A8695" t="s">
        <v>275</v>
      </c>
      <c r="E8695" s="1524" t="s">
        <v>960</v>
      </c>
      <c r="F8695" s="1524"/>
      <c r="G8695" s="360" t="s">
        <v>777</v>
      </c>
      <c r="H8695" s="604">
        <v>0.42</v>
      </c>
      <c r="K8695" t="s">
        <v>972</v>
      </c>
      <c r="L8695" t="s">
        <v>692</v>
      </c>
      <c r="P8695" t="s">
        <v>977</v>
      </c>
      <c r="V8695">
        <v>64</v>
      </c>
    </row>
    <row r="8696" spans="1:22" customFormat="1" ht="15" x14ac:dyDescent="0.25">
      <c r="A8696" t="s">
        <v>275</v>
      </c>
      <c r="E8696" s="1524" t="s">
        <v>3688</v>
      </c>
      <c r="F8696" s="1524"/>
      <c r="G8696" s="360" t="s">
        <v>845</v>
      </c>
      <c r="H8696" s="577">
        <v>1.5100000000000001E-2</v>
      </c>
      <c r="K8696" t="s">
        <v>972</v>
      </c>
      <c r="L8696" t="s">
        <v>690</v>
      </c>
      <c r="P8696" t="s">
        <v>978</v>
      </c>
      <c r="V8696">
        <v>28</v>
      </c>
    </row>
    <row r="8697" spans="1:22" customFormat="1" ht="15" x14ac:dyDescent="0.25">
      <c r="A8697" t="s">
        <v>275</v>
      </c>
      <c r="E8697" s="1524" t="s">
        <v>6849</v>
      </c>
      <c r="F8697" s="1510"/>
      <c r="G8697" s="360" t="s">
        <v>845</v>
      </c>
      <c r="H8697" s="577">
        <v>1.6999999999999999E-3</v>
      </c>
      <c r="K8697" t="s">
        <v>972</v>
      </c>
      <c r="L8697" t="s">
        <v>692</v>
      </c>
      <c r="P8697" t="s">
        <v>981</v>
      </c>
      <c r="T8697">
        <v>46142</v>
      </c>
      <c r="V8697">
        <v>139</v>
      </c>
    </row>
    <row r="8698" spans="1:22" customFormat="1" ht="15" x14ac:dyDescent="0.25">
      <c r="A8698" t="s">
        <v>275</v>
      </c>
      <c r="E8698" s="1524" t="s">
        <v>6850</v>
      </c>
      <c r="F8698" s="1510"/>
      <c r="G8698" s="360" t="s">
        <v>845</v>
      </c>
      <c r="H8698" s="577">
        <v>2.9999999999999997E-4</v>
      </c>
      <c r="K8698" t="s">
        <v>972</v>
      </c>
      <c r="L8698" t="s">
        <v>692</v>
      </c>
      <c r="P8698" t="s">
        <v>982</v>
      </c>
      <c r="T8698">
        <v>46142</v>
      </c>
      <c r="V8698">
        <v>96</v>
      </c>
    </row>
    <row r="8699" spans="1:22" customFormat="1" ht="15" x14ac:dyDescent="0.25">
      <c r="A8699" t="s">
        <v>275</v>
      </c>
      <c r="E8699" s="1524" t="s">
        <v>6853</v>
      </c>
      <c r="F8699" s="1510"/>
      <c r="G8699" s="360" t="s">
        <v>845</v>
      </c>
      <c r="H8699" s="577">
        <v>2.0000000000000001E-4</v>
      </c>
      <c r="K8699" t="s">
        <v>972</v>
      </c>
      <c r="L8699" t="s">
        <v>692</v>
      </c>
      <c r="P8699" t="s">
        <v>3766</v>
      </c>
      <c r="T8699">
        <v>46142</v>
      </c>
      <c r="V8699">
        <v>146</v>
      </c>
    </row>
    <row r="8700" spans="1:22" customFormat="1" ht="15" x14ac:dyDescent="0.25">
      <c r="A8700" t="s">
        <v>275</v>
      </c>
      <c r="E8700" s="1524" t="s">
        <v>243</v>
      </c>
      <c r="F8700" s="1524"/>
      <c r="G8700" s="360" t="s">
        <v>845</v>
      </c>
      <c r="H8700" s="577">
        <v>1.0999999999999999E-2</v>
      </c>
      <c r="K8700" t="s">
        <v>972</v>
      </c>
      <c r="L8700" t="s">
        <v>694</v>
      </c>
      <c r="P8700" t="s">
        <v>983</v>
      </c>
      <c r="V8700">
        <v>47</v>
      </c>
    </row>
    <row r="8701" spans="1:22" customFormat="1" ht="15" x14ac:dyDescent="0.25">
      <c r="A8701" t="s">
        <v>275</v>
      </c>
      <c r="E8701" s="1524" t="s">
        <v>4121</v>
      </c>
      <c r="F8701" s="1524"/>
      <c r="G8701" s="360" t="s">
        <v>845</v>
      </c>
      <c r="H8701" s="577">
        <v>7.6E-3</v>
      </c>
      <c r="K8701" t="s">
        <v>972</v>
      </c>
      <c r="L8701" t="s">
        <v>694</v>
      </c>
      <c r="P8701" t="s">
        <v>984</v>
      </c>
      <c r="V8701">
        <v>75</v>
      </c>
    </row>
    <row r="8702" spans="1:22" customFormat="1" ht="15" x14ac:dyDescent="0.25">
      <c r="A8702" t="s">
        <v>275</v>
      </c>
      <c r="E8702" s="1533" t="s">
        <v>967</v>
      </c>
      <c r="F8702" s="1524"/>
      <c r="G8702" s="360"/>
      <c r="H8702" s="360"/>
      <c r="K8702" t="s">
        <v>985</v>
      </c>
      <c r="V8702">
        <v>48</v>
      </c>
    </row>
    <row r="8703" spans="1:22" customFormat="1" ht="15" x14ac:dyDescent="0.25">
      <c r="A8703" t="s">
        <v>275</v>
      </c>
      <c r="E8703" s="1524" t="s">
        <v>844</v>
      </c>
      <c r="F8703" s="1524"/>
      <c r="G8703" s="360" t="s">
        <v>845</v>
      </c>
      <c r="H8703" s="605">
        <v>4.1000000000000003E-3</v>
      </c>
      <c r="K8703" t="s">
        <v>972</v>
      </c>
      <c r="L8703" t="s">
        <v>968</v>
      </c>
      <c r="P8703" t="s">
        <v>986</v>
      </c>
      <c r="V8703">
        <v>55</v>
      </c>
    </row>
    <row r="8704" spans="1:22" customFormat="1" ht="15" x14ac:dyDescent="0.25">
      <c r="A8704" t="s">
        <v>275</v>
      </c>
      <c r="E8704" s="1524" t="s">
        <v>846</v>
      </c>
      <c r="F8704" s="1524"/>
      <c r="G8704" s="360" t="s">
        <v>845</v>
      </c>
      <c r="H8704" s="605">
        <v>4.0000000000000002E-4</v>
      </c>
      <c r="K8704" t="s">
        <v>972</v>
      </c>
      <c r="L8704" t="s">
        <v>968</v>
      </c>
      <c r="P8704" t="s">
        <v>986</v>
      </c>
      <c r="V8704">
        <v>65</v>
      </c>
    </row>
    <row r="8705" spans="1:22" customFormat="1" ht="15" x14ac:dyDescent="0.25">
      <c r="A8705" t="s">
        <v>275</v>
      </c>
      <c r="E8705" s="1524" t="s">
        <v>847</v>
      </c>
      <c r="F8705" s="1524"/>
      <c r="G8705" s="360" t="s">
        <v>845</v>
      </c>
      <c r="H8705" s="605">
        <v>1.5E-3</v>
      </c>
      <c r="K8705" t="s">
        <v>972</v>
      </c>
      <c r="L8705" t="s">
        <v>968</v>
      </c>
      <c r="P8705" t="s">
        <v>987</v>
      </c>
      <c r="V8705">
        <v>57</v>
      </c>
    </row>
    <row r="8706" spans="1:22" customFormat="1" ht="15" x14ac:dyDescent="0.25">
      <c r="A8706" t="s">
        <v>275</v>
      </c>
      <c r="E8706" s="1524" t="s">
        <v>848</v>
      </c>
      <c r="F8706" s="1524"/>
      <c r="G8706" s="360" t="s">
        <v>777</v>
      </c>
      <c r="H8706" s="604">
        <v>0.25</v>
      </c>
      <c r="K8706" t="s">
        <v>972</v>
      </c>
      <c r="L8706" t="s">
        <v>968</v>
      </c>
      <c r="P8706" t="s">
        <v>988</v>
      </c>
      <c r="V8706">
        <v>63</v>
      </c>
    </row>
    <row r="8707" spans="1:22" customFormat="1" x14ac:dyDescent="0.25">
      <c r="A8707" t="s">
        <v>275</v>
      </c>
      <c r="E8707" s="1538" t="s">
        <v>3767</v>
      </c>
      <c r="F8707" s="1571"/>
      <c r="G8707" s="1571"/>
      <c r="H8707" s="1571"/>
      <c r="K8707" t="s">
        <v>3768</v>
      </c>
      <c r="V8707">
        <v>53</v>
      </c>
    </row>
    <row r="8708" spans="1:22" customFormat="1" ht="15" x14ac:dyDescent="0.25">
      <c r="A8708" t="s">
        <v>275</v>
      </c>
      <c r="E8708" s="1496" t="s">
        <v>5468</v>
      </c>
      <c r="F8708" s="1496"/>
      <c r="G8708" s="1496"/>
      <c r="H8708" s="1496"/>
      <c r="K8708" t="s">
        <v>3768</v>
      </c>
      <c r="V8708">
        <v>746</v>
      </c>
    </row>
    <row r="8709" spans="1:22" customFormat="1" ht="15" x14ac:dyDescent="0.25">
      <c r="A8709" t="s">
        <v>275</v>
      </c>
      <c r="E8709" s="1533" t="s">
        <v>950</v>
      </c>
      <c r="F8709" s="1496"/>
      <c r="G8709" s="1496"/>
      <c r="H8709" s="1496"/>
      <c r="K8709" t="s">
        <v>992</v>
      </c>
      <c r="V8709">
        <v>11</v>
      </c>
    </row>
    <row r="8710" spans="1:22" customFormat="1" ht="15" x14ac:dyDescent="0.25">
      <c r="A8710" t="s">
        <v>275</v>
      </c>
      <c r="E8710" s="1496" t="s">
        <v>951</v>
      </c>
      <c r="F8710" s="1496"/>
      <c r="G8710" s="1496"/>
      <c r="H8710" s="1496"/>
      <c r="K8710" t="s">
        <v>3768</v>
      </c>
      <c r="V8710">
        <v>280</v>
      </c>
    </row>
    <row r="8711" spans="1:22" customFormat="1" ht="15" x14ac:dyDescent="0.25">
      <c r="A8711" t="s">
        <v>275</v>
      </c>
      <c r="E8711" s="1496" t="s">
        <v>952</v>
      </c>
      <c r="F8711" s="1496"/>
      <c r="G8711" s="1496"/>
      <c r="H8711" s="1496"/>
      <c r="K8711" t="s">
        <v>3768</v>
      </c>
      <c r="V8711">
        <v>411</v>
      </c>
    </row>
    <row r="8712" spans="1:22" customFormat="1" ht="15" x14ac:dyDescent="0.25">
      <c r="A8712" t="s">
        <v>275</v>
      </c>
      <c r="E8712" s="1496" t="s">
        <v>953</v>
      </c>
      <c r="F8712" s="1496"/>
      <c r="G8712" s="1496"/>
      <c r="H8712" s="1496"/>
      <c r="K8712" t="s">
        <v>3768</v>
      </c>
      <c r="V8712">
        <v>386</v>
      </c>
    </row>
    <row r="8713" spans="1:22" customFormat="1" ht="15" x14ac:dyDescent="0.25">
      <c r="A8713" t="s">
        <v>275</v>
      </c>
      <c r="E8713" s="1496" t="s">
        <v>5306</v>
      </c>
      <c r="F8713" s="1496"/>
      <c r="G8713" s="1496"/>
      <c r="H8713" s="1496"/>
      <c r="K8713" t="s">
        <v>3768</v>
      </c>
      <c r="V8713">
        <v>1404</v>
      </c>
    </row>
    <row r="8714" spans="1:22" customFormat="1" ht="15" x14ac:dyDescent="0.25">
      <c r="A8714" t="s">
        <v>275</v>
      </c>
      <c r="E8714" s="1496" t="s">
        <v>3762</v>
      </c>
      <c r="F8714" s="1496"/>
      <c r="G8714" s="1496"/>
      <c r="H8714" s="1496"/>
      <c r="K8714" t="s">
        <v>3768</v>
      </c>
      <c r="V8714">
        <v>247</v>
      </c>
    </row>
    <row r="8715" spans="1:22" customFormat="1" ht="15" x14ac:dyDescent="0.25">
      <c r="A8715" t="s">
        <v>275</v>
      </c>
      <c r="E8715" s="1533" t="s">
        <v>956</v>
      </c>
      <c r="F8715" s="1496"/>
      <c r="G8715" s="1496"/>
      <c r="H8715" s="1496"/>
      <c r="K8715" t="s">
        <v>995</v>
      </c>
      <c r="V8715">
        <v>46</v>
      </c>
    </row>
    <row r="8716" spans="1:22" customFormat="1" ht="15" x14ac:dyDescent="0.25">
      <c r="A8716" t="s">
        <v>275</v>
      </c>
      <c r="E8716" s="1524" t="s">
        <v>3773</v>
      </c>
      <c r="F8716" s="1524"/>
      <c r="G8716" s="360" t="s">
        <v>777</v>
      </c>
      <c r="H8716" s="576">
        <v>171.45</v>
      </c>
      <c r="K8716" t="s">
        <v>3768</v>
      </c>
      <c r="L8716" t="s">
        <v>690</v>
      </c>
      <c r="P8716" t="s">
        <v>3774</v>
      </c>
      <c r="V8716">
        <v>14</v>
      </c>
    </row>
    <row r="8717" spans="1:22" customFormat="1" ht="15" x14ac:dyDescent="0.25">
      <c r="A8717" t="s">
        <v>275</v>
      </c>
      <c r="E8717" s="1524" t="s">
        <v>5464</v>
      </c>
      <c r="F8717" s="1507"/>
      <c r="G8717" s="360" t="s">
        <v>777</v>
      </c>
      <c r="H8717" s="576">
        <v>1.02</v>
      </c>
      <c r="K8717" t="s">
        <v>3768</v>
      </c>
      <c r="L8717" t="s">
        <v>690</v>
      </c>
      <c r="P8717" t="s">
        <v>6878</v>
      </c>
      <c r="V8717">
        <v>147</v>
      </c>
    </row>
    <row r="8718" spans="1:22" customFormat="1" ht="15" x14ac:dyDescent="0.25">
      <c r="A8718" t="s">
        <v>275</v>
      </c>
      <c r="E8718" s="1524" t="s">
        <v>3688</v>
      </c>
      <c r="F8718" s="1524"/>
      <c r="G8718" s="360" t="s">
        <v>3775</v>
      </c>
      <c r="H8718" s="577">
        <v>3.6116000000000001</v>
      </c>
      <c r="K8718" t="s">
        <v>3768</v>
      </c>
      <c r="L8718" t="s">
        <v>690</v>
      </c>
      <c r="P8718" t="s">
        <v>3776</v>
      </c>
      <c r="V8718">
        <v>28</v>
      </c>
    </row>
    <row r="8719" spans="1:22" customFormat="1" ht="15" x14ac:dyDescent="0.25">
      <c r="A8719" t="s">
        <v>275</v>
      </c>
      <c r="E8719" s="1524" t="s">
        <v>6849</v>
      </c>
      <c r="F8719" s="1510"/>
      <c r="G8719" s="360" t="s">
        <v>845</v>
      </c>
      <c r="H8719" s="577">
        <v>1.6999999999999999E-3</v>
      </c>
      <c r="K8719" t="s">
        <v>3768</v>
      </c>
      <c r="L8719" t="s">
        <v>692</v>
      </c>
      <c r="P8719" t="s">
        <v>4232</v>
      </c>
      <c r="T8719">
        <v>46142</v>
      </c>
      <c r="V8719">
        <v>139</v>
      </c>
    </row>
    <row r="8720" spans="1:22" customFormat="1" ht="15" x14ac:dyDescent="0.25">
      <c r="A8720" t="s">
        <v>275</v>
      </c>
      <c r="E8720" s="1524" t="s">
        <v>6852</v>
      </c>
      <c r="F8720" s="1510"/>
      <c r="G8720" s="360" t="s">
        <v>3775</v>
      </c>
      <c r="H8720" s="577">
        <v>-0.28789999999999999</v>
      </c>
      <c r="K8720" t="s">
        <v>3768</v>
      </c>
      <c r="L8720" t="s">
        <v>692</v>
      </c>
      <c r="P8720" t="s">
        <v>3779</v>
      </c>
      <c r="T8720">
        <v>46142</v>
      </c>
      <c r="V8720">
        <v>156</v>
      </c>
    </row>
    <row r="8721" spans="1:22" customFormat="1" ht="15" x14ac:dyDescent="0.25">
      <c r="A8721" t="s">
        <v>275</v>
      </c>
      <c r="E8721" s="1524" t="s">
        <v>6850</v>
      </c>
      <c r="F8721" s="1510"/>
      <c r="G8721" s="360" t="s">
        <v>3775</v>
      </c>
      <c r="H8721" s="577">
        <v>0.437</v>
      </c>
      <c r="K8721" t="s">
        <v>3768</v>
      </c>
      <c r="L8721" t="s">
        <v>692</v>
      </c>
      <c r="P8721" t="s">
        <v>3779</v>
      </c>
      <c r="T8721">
        <v>46142</v>
      </c>
      <c r="V8721">
        <v>96</v>
      </c>
    </row>
    <row r="8722" spans="1:22" customFormat="1" ht="15" x14ac:dyDescent="0.25">
      <c r="A8722" t="s">
        <v>275</v>
      </c>
      <c r="E8722" s="1524" t="s">
        <v>6853</v>
      </c>
      <c r="F8722" s="1510"/>
      <c r="G8722" s="360" t="s">
        <v>3775</v>
      </c>
      <c r="H8722" s="577">
        <v>7.2499999999999995E-2</v>
      </c>
      <c r="K8722" t="s">
        <v>3768</v>
      </c>
      <c r="L8722" t="s">
        <v>692</v>
      </c>
      <c r="P8722" t="s">
        <v>3778</v>
      </c>
      <c r="T8722">
        <v>46142</v>
      </c>
      <c r="V8722">
        <v>146</v>
      </c>
    </row>
    <row r="8723" spans="1:22" customFormat="1" ht="15" x14ac:dyDescent="0.25">
      <c r="A8723" t="s">
        <v>275</v>
      </c>
      <c r="E8723" s="1524" t="s">
        <v>243</v>
      </c>
      <c r="F8723" s="1524"/>
      <c r="G8723" s="360" t="s">
        <v>3775</v>
      </c>
      <c r="H8723" s="577">
        <v>4.9603999999999999</v>
      </c>
      <c r="K8723" t="s">
        <v>3768</v>
      </c>
      <c r="L8723" t="s">
        <v>694</v>
      </c>
      <c r="P8723" t="s">
        <v>3780</v>
      </c>
      <c r="V8723">
        <v>47</v>
      </c>
    </row>
    <row r="8724" spans="1:22" customFormat="1" ht="15" x14ac:dyDescent="0.25">
      <c r="A8724" t="s">
        <v>275</v>
      </c>
      <c r="E8724" s="1524" t="s">
        <v>4121</v>
      </c>
      <c r="F8724" s="1524"/>
      <c r="G8724" s="360" t="s">
        <v>3775</v>
      </c>
      <c r="H8724" s="577">
        <v>3.7902</v>
      </c>
      <c r="K8724" t="s">
        <v>3768</v>
      </c>
      <c r="L8724" t="s">
        <v>694</v>
      </c>
      <c r="P8724" t="s">
        <v>3781</v>
      </c>
      <c r="V8724">
        <v>75</v>
      </c>
    </row>
    <row r="8725" spans="1:22" customFormat="1" ht="15" x14ac:dyDescent="0.25">
      <c r="A8725" t="s">
        <v>275</v>
      </c>
      <c r="E8725" s="1533" t="s">
        <v>967</v>
      </c>
      <c r="F8725" s="1524"/>
      <c r="G8725" s="360"/>
      <c r="H8725" s="360"/>
      <c r="K8725" t="s">
        <v>1003</v>
      </c>
      <c r="V8725">
        <v>48</v>
      </c>
    </row>
    <row r="8726" spans="1:22" customFormat="1" ht="15" x14ac:dyDescent="0.25">
      <c r="A8726" t="s">
        <v>275</v>
      </c>
      <c r="E8726" s="1524" t="s">
        <v>844</v>
      </c>
      <c r="F8726" s="1524"/>
      <c r="G8726" s="360" t="s">
        <v>845</v>
      </c>
      <c r="H8726" s="605">
        <v>4.1000000000000003E-3</v>
      </c>
      <c r="K8726" t="s">
        <v>3768</v>
      </c>
      <c r="L8726" t="s">
        <v>968</v>
      </c>
      <c r="P8726" t="s">
        <v>3782</v>
      </c>
      <c r="V8726">
        <v>55</v>
      </c>
    </row>
    <row r="8727" spans="1:22" customFormat="1" ht="15" x14ac:dyDescent="0.25">
      <c r="A8727" t="s">
        <v>275</v>
      </c>
      <c r="E8727" s="1524" t="s">
        <v>846</v>
      </c>
      <c r="F8727" s="1524"/>
      <c r="G8727" s="360" t="s">
        <v>845</v>
      </c>
      <c r="H8727" s="605">
        <v>4.0000000000000002E-4</v>
      </c>
      <c r="K8727" t="s">
        <v>3768</v>
      </c>
      <c r="L8727" t="s">
        <v>968</v>
      </c>
      <c r="P8727" t="s">
        <v>3782</v>
      </c>
      <c r="V8727">
        <v>65</v>
      </c>
    </row>
    <row r="8728" spans="1:22" customFormat="1" ht="15" x14ac:dyDescent="0.25">
      <c r="A8728" t="s">
        <v>275</v>
      </c>
      <c r="E8728" s="1524" t="s">
        <v>847</v>
      </c>
      <c r="F8728" s="1524"/>
      <c r="G8728" s="360" t="s">
        <v>845</v>
      </c>
      <c r="H8728" s="605">
        <v>1.5E-3</v>
      </c>
      <c r="K8728" t="s">
        <v>3768</v>
      </c>
      <c r="L8728" t="s">
        <v>968</v>
      </c>
      <c r="P8728" t="s">
        <v>3783</v>
      </c>
      <c r="V8728">
        <v>57</v>
      </c>
    </row>
    <row r="8729" spans="1:22" customFormat="1" ht="15" x14ac:dyDescent="0.25">
      <c r="A8729" t="s">
        <v>275</v>
      </c>
      <c r="E8729" s="1524" t="s">
        <v>848</v>
      </c>
      <c r="F8729" s="1524"/>
      <c r="G8729" s="360" t="s">
        <v>777</v>
      </c>
      <c r="H8729" s="604">
        <v>0.25</v>
      </c>
      <c r="K8729" t="s">
        <v>3768</v>
      </c>
      <c r="L8729" t="s">
        <v>968</v>
      </c>
      <c r="P8729" t="s">
        <v>3784</v>
      </c>
      <c r="V8729">
        <v>63</v>
      </c>
    </row>
    <row r="8730" spans="1:22" customFormat="1" x14ac:dyDescent="0.25">
      <c r="A8730" t="s">
        <v>275</v>
      </c>
      <c r="E8730" s="1538" t="s">
        <v>5469</v>
      </c>
      <c r="F8730" s="1571"/>
      <c r="G8730" s="1571"/>
      <c r="H8730" s="1571"/>
      <c r="K8730" t="s">
        <v>5470</v>
      </c>
      <c r="V8730">
        <v>72</v>
      </c>
    </row>
    <row r="8731" spans="1:22" customFormat="1" ht="15" x14ac:dyDescent="0.25">
      <c r="A8731" t="s">
        <v>275</v>
      </c>
      <c r="E8731" s="1496" t="s">
        <v>5471</v>
      </c>
      <c r="F8731" s="1496"/>
      <c r="G8731" s="1496"/>
      <c r="H8731" s="1496"/>
      <c r="K8731" t="s">
        <v>5470</v>
      </c>
      <c r="V8731">
        <v>904</v>
      </c>
    </row>
    <row r="8732" spans="1:22" customFormat="1" ht="15" x14ac:dyDescent="0.25">
      <c r="A8732" t="s">
        <v>275</v>
      </c>
      <c r="E8732" s="1533" t="s">
        <v>950</v>
      </c>
      <c r="F8732" s="1496"/>
      <c r="G8732" s="1496"/>
      <c r="H8732" s="1496"/>
      <c r="K8732" t="s">
        <v>1010</v>
      </c>
      <c r="V8732">
        <v>11</v>
      </c>
    </row>
    <row r="8733" spans="1:22" customFormat="1" ht="15" x14ac:dyDescent="0.25">
      <c r="A8733" t="s">
        <v>275</v>
      </c>
      <c r="E8733" s="1496" t="s">
        <v>951</v>
      </c>
      <c r="F8733" s="1496"/>
      <c r="G8733" s="1496"/>
      <c r="H8733" s="1496"/>
      <c r="K8733" t="s">
        <v>5470</v>
      </c>
      <c r="V8733">
        <v>280</v>
      </c>
    </row>
    <row r="8734" spans="1:22" customFormat="1" ht="15" x14ac:dyDescent="0.25">
      <c r="A8734" t="s">
        <v>275</v>
      </c>
      <c r="E8734" s="1496" t="s">
        <v>952</v>
      </c>
      <c r="F8734" s="1496"/>
      <c r="G8734" s="1496"/>
      <c r="H8734" s="1496"/>
      <c r="K8734" t="s">
        <v>5470</v>
      </c>
      <c r="V8734">
        <v>411</v>
      </c>
    </row>
    <row r="8735" spans="1:22" customFormat="1" ht="15" x14ac:dyDescent="0.25">
      <c r="A8735" t="s">
        <v>275</v>
      </c>
      <c r="E8735" s="1496" t="s">
        <v>953</v>
      </c>
      <c r="F8735" s="1496"/>
      <c r="G8735" s="1496"/>
      <c r="H8735" s="1496"/>
      <c r="K8735" t="s">
        <v>5470</v>
      </c>
      <c r="V8735">
        <v>386</v>
      </c>
    </row>
    <row r="8736" spans="1:22" customFormat="1" ht="15" x14ac:dyDescent="0.25">
      <c r="A8736" t="s">
        <v>275</v>
      </c>
      <c r="E8736" s="1496" t="s">
        <v>5306</v>
      </c>
      <c r="F8736" s="1496"/>
      <c r="G8736" s="1496"/>
      <c r="H8736" s="1496"/>
      <c r="K8736" t="s">
        <v>5470</v>
      </c>
      <c r="V8736">
        <v>1404</v>
      </c>
    </row>
    <row r="8737" spans="1:22" customFormat="1" ht="15" x14ac:dyDescent="0.25">
      <c r="A8737" t="s">
        <v>275</v>
      </c>
      <c r="E8737" s="1496" t="s">
        <v>3762</v>
      </c>
      <c r="F8737" s="1496"/>
      <c r="G8737" s="1496"/>
      <c r="H8737" s="1496"/>
      <c r="K8737" t="s">
        <v>5470</v>
      </c>
      <c r="V8737">
        <v>247</v>
      </c>
    </row>
    <row r="8738" spans="1:22" customFormat="1" ht="15" x14ac:dyDescent="0.25">
      <c r="A8738" t="s">
        <v>275</v>
      </c>
      <c r="E8738" s="1533" t="s">
        <v>956</v>
      </c>
      <c r="F8738" s="1496"/>
      <c r="G8738" s="1496"/>
      <c r="H8738" s="1496"/>
      <c r="K8738" t="s">
        <v>1011</v>
      </c>
      <c r="V8738">
        <v>46</v>
      </c>
    </row>
    <row r="8739" spans="1:22" customFormat="1" ht="15" x14ac:dyDescent="0.25">
      <c r="A8739" t="s">
        <v>275</v>
      </c>
      <c r="E8739" s="1524" t="s">
        <v>3773</v>
      </c>
      <c r="F8739" s="1524"/>
      <c r="G8739" s="360" t="s">
        <v>777</v>
      </c>
      <c r="H8739" s="576">
        <v>1007.35</v>
      </c>
      <c r="K8739" t="s">
        <v>5470</v>
      </c>
      <c r="L8739" t="s">
        <v>690</v>
      </c>
      <c r="P8739" t="s">
        <v>5472</v>
      </c>
      <c r="V8739">
        <v>14</v>
      </c>
    </row>
    <row r="8740" spans="1:22" customFormat="1" ht="15" x14ac:dyDescent="0.25">
      <c r="A8740" t="s">
        <v>275</v>
      </c>
      <c r="E8740" s="1524" t="s">
        <v>5464</v>
      </c>
      <c r="F8740" s="1507"/>
      <c r="G8740" s="360" t="s">
        <v>777</v>
      </c>
      <c r="H8740" s="576">
        <v>1.67</v>
      </c>
      <c r="K8740" t="s">
        <v>5470</v>
      </c>
      <c r="L8740" t="s">
        <v>690</v>
      </c>
      <c r="P8740" t="s">
        <v>6879</v>
      </c>
      <c r="V8740">
        <v>147</v>
      </c>
    </row>
    <row r="8741" spans="1:22" customFormat="1" ht="15" x14ac:dyDescent="0.25">
      <c r="A8741" t="s">
        <v>275</v>
      </c>
      <c r="E8741" s="1524" t="s">
        <v>5473</v>
      </c>
      <c r="F8741" s="1524"/>
      <c r="G8741" s="360" t="s">
        <v>3775</v>
      </c>
      <c r="H8741" s="577">
        <v>2.4178999999999999</v>
      </c>
      <c r="K8741" t="s">
        <v>5470</v>
      </c>
      <c r="L8741" t="s">
        <v>690</v>
      </c>
      <c r="P8741" t="s">
        <v>5474</v>
      </c>
      <c r="V8741">
        <v>145</v>
      </c>
    </row>
    <row r="8742" spans="1:22" customFormat="1" ht="15" x14ac:dyDescent="0.25">
      <c r="A8742" t="s">
        <v>275</v>
      </c>
      <c r="E8742" s="1524" t="s">
        <v>6849</v>
      </c>
      <c r="F8742" s="1510"/>
      <c r="G8742" s="360" t="s">
        <v>845</v>
      </c>
      <c r="H8742" s="577">
        <v>1.6999999999999999E-3</v>
      </c>
      <c r="K8742" t="s">
        <v>5470</v>
      </c>
      <c r="L8742" t="s">
        <v>692</v>
      </c>
      <c r="P8742" t="s">
        <v>5475</v>
      </c>
      <c r="T8742">
        <v>46142</v>
      </c>
      <c r="V8742">
        <v>139</v>
      </c>
    </row>
    <row r="8743" spans="1:22" customFormat="1" ht="15" x14ac:dyDescent="0.25">
      <c r="A8743" t="s">
        <v>275</v>
      </c>
      <c r="E8743" s="1524" t="s">
        <v>6852</v>
      </c>
      <c r="F8743" s="1510"/>
      <c r="G8743" s="360" t="s">
        <v>3775</v>
      </c>
      <c r="H8743" s="577">
        <v>-0.14899999999999999</v>
      </c>
      <c r="K8743" t="s">
        <v>5470</v>
      </c>
      <c r="L8743" t="s">
        <v>692</v>
      </c>
      <c r="P8743" t="s">
        <v>5476</v>
      </c>
      <c r="T8743">
        <v>46142</v>
      </c>
      <c r="V8743">
        <v>156</v>
      </c>
    </row>
    <row r="8744" spans="1:22" customFormat="1" ht="15" x14ac:dyDescent="0.25">
      <c r="A8744" t="s">
        <v>275</v>
      </c>
      <c r="E8744" s="1524" t="s">
        <v>6850</v>
      </c>
      <c r="F8744" s="1510"/>
      <c r="G8744" s="360" t="s">
        <v>3775</v>
      </c>
      <c r="H8744" s="577">
        <v>0.1855</v>
      </c>
      <c r="K8744" t="s">
        <v>5470</v>
      </c>
      <c r="L8744" t="s">
        <v>692</v>
      </c>
      <c r="P8744" t="s">
        <v>5476</v>
      </c>
      <c r="T8744">
        <v>46142</v>
      </c>
      <c r="V8744">
        <v>96</v>
      </c>
    </row>
    <row r="8745" spans="1:22" customFormat="1" ht="15" x14ac:dyDescent="0.25">
      <c r="A8745" t="s">
        <v>275</v>
      </c>
      <c r="E8745" s="1524" t="s">
        <v>6853</v>
      </c>
      <c r="F8745" s="1510"/>
      <c r="G8745" s="360" t="s">
        <v>3775</v>
      </c>
      <c r="H8745" s="577">
        <v>4.1200000000000001E-2</v>
      </c>
      <c r="K8745" t="s">
        <v>5470</v>
      </c>
      <c r="L8745" t="s">
        <v>692</v>
      </c>
      <c r="P8745" t="s">
        <v>5477</v>
      </c>
      <c r="T8745">
        <v>46142</v>
      </c>
      <c r="V8745">
        <v>146</v>
      </c>
    </row>
    <row r="8746" spans="1:22" customFormat="1" ht="15" x14ac:dyDescent="0.25">
      <c r="A8746" t="s">
        <v>275</v>
      </c>
      <c r="E8746" s="1524" t="s">
        <v>243</v>
      </c>
      <c r="F8746" s="1524"/>
      <c r="G8746" s="360" t="s">
        <v>3775</v>
      </c>
      <c r="H8746" s="577">
        <v>5.7263999999999999</v>
      </c>
      <c r="K8746" t="s">
        <v>5470</v>
      </c>
      <c r="L8746" t="s">
        <v>694</v>
      </c>
      <c r="P8746" t="s">
        <v>5478</v>
      </c>
      <c r="V8746">
        <v>47</v>
      </c>
    </row>
    <row r="8747" spans="1:22" customFormat="1" ht="15" x14ac:dyDescent="0.25">
      <c r="A8747" t="s">
        <v>275</v>
      </c>
      <c r="E8747" s="1524" t="s">
        <v>4121</v>
      </c>
      <c r="F8747" s="1524"/>
      <c r="G8747" s="360" t="s">
        <v>3775</v>
      </c>
      <c r="H8747" s="577">
        <v>4.0092999999999996</v>
      </c>
      <c r="K8747" t="s">
        <v>5470</v>
      </c>
      <c r="L8747" t="s">
        <v>694</v>
      </c>
      <c r="P8747" t="s">
        <v>5479</v>
      </c>
      <c r="V8747">
        <v>75</v>
      </c>
    </row>
    <row r="8748" spans="1:22" customFormat="1" ht="15" x14ac:dyDescent="0.25">
      <c r="A8748" t="s">
        <v>275</v>
      </c>
      <c r="E8748" s="1533" t="s">
        <v>967</v>
      </c>
      <c r="F8748" s="1524"/>
      <c r="G8748" s="360"/>
      <c r="H8748" s="360"/>
      <c r="K8748" t="s">
        <v>1019</v>
      </c>
      <c r="V8748">
        <v>48</v>
      </c>
    </row>
    <row r="8749" spans="1:22" customFormat="1" ht="15" x14ac:dyDescent="0.25">
      <c r="A8749" t="s">
        <v>275</v>
      </c>
      <c r="E8749" s="1524" t="s">
        <v>844</v>
      </c>
      <c r="F8749" s="1524"/>
      <c r="G8749" s="360" t="s">
        <v>845</v>
      </c>
      <c r="H8749" s="605">
        <v>4.1000000000000003E-3</v>
      </c>
      <c r="K8749" t="s">
        <v>5470</v>
      </c>
      <c r="L8749" t="s">
        <v>968</v>
      </c>
      <c r="P8749" t="s">
        <v>5480</v>
      </c>
      <c r="V8749">
        <v>55</v>
      </c>
    </row>
    <row r="8750" spans="1:22" customFormat="1" ht="15" x14ac:dyDescent="0.25">
      <c r="A8750" t="s">
        <v>275</v>
      </c>
      <c r="E8750" s="1524" t="s">
        <v>846</v>
      </c>
      <c r="F8750" s="1524"/>
      <c r="G8750" s="360" t="s">
        <v>845</v>
      </c>
      <c r="H8750" s="605">
        <v>4.0000000000000002E-4</v>
      </c>
      <c r="K8750" t="s">
        <v>5470</v>
      </c>
      <c r="L8750" t="s">
        <v>968</v>
      </c>
      <c r="P8750" t="s">
        <v>5480</v>
      </c>
      <c r="V8750">
        <v>65</v>
      </c>
    </row>
    <row r="8751" spans="1:22" customFormat="1" ht="15" x14ac:dyDescent="0.25">
      <c r="A8751" t="s">
        <v>275</v>
      </c>
      <c r="E8751" s="1524" t="s">
        <v>847</v>
      </c>
      <c r="F8751" s="1524"/>
      <c r="G8751" s="360" t="s">
        <v>845</v>
      </c>
      <c r="H8751" s="605">
        <v>1.5E-3</v>
      </c>
      <c r="K8751" t="s">
        <v>5470</v>
      </c>
      <c r="L8751" t="s">
        <v>968</v>
      </c>
      <c r="P8751" t="s">
        <v>5481</v>
      </c>
      <c r="V8751">
        <v>57</v>
      </c>
    </row>
    <row r="8752" spans="1:22" customFormat="1" ht="15" x14ac:dyDescent="0.25">
      <c r="A8752" t="s">
        <v>275</v>
      </c>
      <c r="E8752" s="1524" t="s">
        <v>848</v>
      </c>
      <c r="F8752" s="1524"/>
      <c r="G8752" s="360" t="s">
        <v>777</v>
      </c>
      <c r="H8752" s="604">
        <v>0.25</v>
      </c>
      <c r="K8752" t="s">
        <v>5470</v>
      </c>
      <c r="L8752" t="s">
        <v>968</v>
      </c>
      <c r="P8752" t="s">
        <v>5482</v>
      </c>
      <c r="V8752">
        <v>63</v>
      </c>
    </row>
    <row r="8753" spans="1:22" customFormat="1" x14ac:dyDescent="0.25">
      <c r="A8753" t="s">
        <v>275</v>
      </c>
      <c r="E8753" s="1538" t="s">
        <v>4002</v>
      </c>
      <c r="F8753" s="1571"/>
      <c r="G8753" s="1571"/>
      <c r="H8753" s="1571"/>
      <c r="K8753" t="s">
        <v>4338</v>
      </c>
      <c r="V8753">
        <v>36</v>
      </c>
    </row>
    <row r="8754" spans="1:22" customFormat="1" ht="15" x14ac:dyDescent="0.25">
      <c r="A8754" t="s">
        <v>275</v>
      </c>
      <c r="E8754" s="1496" t="s">
        <v>5483</v>
      </c>
      <c r="F8754" s="1496"/>
      <c r="G8754" s="1496"/>
      <c r="H8754" s="1496"/>
      <c r="K8754" t="s">
        <v>4338</v>
      </c>
      <c r="V8754">
        <v>294</v>
      </c>
    </row>
    <row r="8755" spans="1:22" customFormat="1" ht="15" x14ac:dyDescent="0.25">
      <c r="A8755" t="s">
        <v>275</v>
      </c>
      <c r="E8755" s="1533" t="s">
        <v>950</v>
      </c>
      <c r="F8755" s="1496"/>
      <c r="G8755" s="1496"/>
      <c r="H8755" s="1496"/>
      <c r="K8755" t="s">
        <v>1025</v>
      </c>
      <c r="V8755">
        <v>11</v>
      </c>
    </row>
    <row r="8756" spans="1:22" customFormat="1" ht="15" x14ac:dyDescent="0.25">
      <c r="A8756" t="s">
        <v>275</v>
      </c>
      <c r="E8756" s="1496" t="s">
        <v>951</v>
      </c>
      <c r="F8756" s="1496"/>
      <c r="G8756" s="1496"/>
      <c r="H8756" s="1496"/>
      <c r="K8756" t="s">
        <v>4338</v>
      </c>
      <c r="V8756">
        <v>280</v>
      </c>
    </row>
    <row r="8757" spans="1:22" customFormat="1" ht="15" x14ac:dyDescent="0.25">
      <c r="A8757" t="s">
        <v>275</v>
      </c>
      <c r="E8757" s="1496" t="s">
        <v>952</v>
      </c>
      <c r="F8757" s="1496"/>
      <c r="G8757" s="1496"/>
      <c r="H8757" s="1496"/>
      <c r="K8757" t="s">
        <v>4338</v>
      </c>
      <c r="V8757">
        <v>411</v>
      </c>
    </row>
    <row r="8758" spans="1:22" customFormat="1" ht="15" x14ac:dyDescent="0.25">
      <c r="A8758" t="s">
        <v>275</v>
      </c>
      <c r="E8758" s="1496" t="s">
        <v>1103</v>
      </c>
      <c r="F8758" s="1496"/>
      <c r="G8758" s="1496"/>
      <c r="H8758" s="1496"/>
      <c r="K8758" t="s">
        <v>4338</v>
      </c>
      <c r="V8758">
        <v>211</v>
      </c>
    </row>
    <row r="8759" spans="1:22" customFormat="1" ht="15" x14ac:dyDescent="0.25">
      <c r="A8759" t="s">
        <v>275</v>
      </c>
      <c r="E8759" s="1496" t="s">
        <v>5306</v>
      </c>
      <c r="F8759" s="1496"/>
      <c r="G8759" s="1496"/>
      <c r="H8759" s="1496"/>
      <c r="K8759" t="s">
        <v>4338</v>
      </c>
      <c r="V8759">
        <v>1404</v>
      </c>
    </row>
    <row r="8760" spans="1:22" customFormat="1" ht="15" x14ac:dyDescent="0.25">
      <c r="A8760" t="s">
        <v>275</v>
      </c>
      <c r="E8760" s="1496" t="s">
        <v>3762</v>
      </c>
      <c r="F8760" s="1496"/>
      <c r="G8760" s="1496"/>
      <c r="H8760" s="1496"/>
      <c r="K8760" t="s">
        <v>4338</v>
      </c>
      <c r="V8760">
        <v>247</v>
      </c>
    </row>
    <row r="8761" spans="1:22" customFormat="1" ht="15" x14ac:dyDescent="0.25">
      <c r="A8761" t="s">
        <v>275</v>
      </c>
      <c r="E8761" s="1533" t="s">
        <v>956</v>
      </c>
      <c r="F8761" s="1496"/>
      <c r="G8761" s="1496"/>
      <c r="H8761" s="1496"/>
      <c r="K8761" t="s">
        <v>1026</v>
      </c>
      <c r="V8761">
        <v>46</v>
      </c>
    </row>
    <row r="8762" spans="1:22" customFormat="1" ht="15" x14ac:dyDescent="0.25">
      <c r="A8762" t="s">
        <v>275</v>
      </c>
      <c r="E8762" s="1524" t="s">
        <v>5484</v>
      </c>
      <c r="F8762" s="1524"/>
      <c r="G8762" s="360" t="s">
        <v>3775</v>
      </c>
      <c r="H8762" s="605">
        <v>3.9190999999999998</v>
      </c>
      <c r="K8762" t="s">
        <v>4338</v>
      </c>
      <c r="L8762" t="s">
        <v>690</v>
      </c>
      <c r="P8762" t="s">
        <v>4341</v>
      </c>
      <c r="V8762">
        <v>102</v>
      </c>
    </row>
    <row r="8763" spans="1:22" customFormat="1" ht="15" x14ac:dyDescent="0.25">
      <c r="A8763" t="s">
        <v>275</v>
      </c>
      <c r="E8763" s="1524" t="s">
        <v>6849</v>
      </c>
      <c r="F8763" s="1510"/>
      <c r="G8763" s="360" t="s">
        <v>845</v>
      </c>
      <c r="H8763" s="605">
        <v>1.6999999999999999E-3</v>
      </c>
      <c r="K8763" t="s">
        <v>4338</v>
      </c>
      <c r="L8763" t="s">
        <v>692</v>
      </c>
      <c r="P8763" t="s">
        <v>5485</v>
      </c>
      <c r="T8763">
        <v>46142</v>
      </c>
      <c r="V8763">
        <v>139</v>
      </c>
    </row>
    <row r="8764" spans="1:22" customFormat="1" ht="15" x14ac:dyDescent="0.25">
      <c r="A8764" t="s">
        <v>275</v>
      </c>
      <c r="E8764" s="1524" t="s">
        <v>6852</v>
      </c>
      <c r="F8764" s="1510"/>
      <c r="G8764" s="360" t="s">
        <v>3775</v>
      </c>
      <c r="H8764" s="605">
        <v>-0.14899999999999999</v>
      </c>
      <c r="K8764" t="s">
        <v>4338</v>
      </c>
      <c r="L8764" t="s">
        <v>692</v>
      </c>
      <c r="P8764" t="s">
        <v>5486</v>
      </c>
      <c r="T8764">
        <v>46142</v>
      </c>
      <c r="V8764">
        <v>156</v>
      </c>
    </row>
    <row r="8765" spans="1:22" customFormat="1" ht="15" x14ac:dyDescent="0.25">
      <c r="A8765" t="s">
        <v>275</v>
      </c>
      <c r="E8765" s="1524" t="s">
        <v>6850</v>
      </c>
      <c r="F8765" s="1510"/>
      <c r="G8765" s="360" t="s">
        <v>3775</v>
      </c>
      <c r="H8765" s="605">
        <v>0.2152</v>
      </c>
      <c r="K8765" t="s">
        <v>4338</v>
      </c>
      <c r="L8765" t="s">
        <v>692</v>
      </c>
      <c r="P8765" t="s">
        <v>5486</v>
      </c>
      <c r="T8765">
        <v>46142</v>
      </c>
      <c r="V8765">
        <v>96</v>
      </c>
    </row>
    <row r="8766" spans="1:22" customFormat="1" ht="15" x14ac:dyDescent="0.25">
      <c r="A8766" t="s">
        <v>275</v>
      </c>
      <c r="E8766" s="1524" t="s">
        <v>6853</v>
      </c>
      <c r="F8766" s="1510"/>
      <c r="G8766" s="360" t="s">
        <v>3775</v>
      </c>
      <c r="H8766" s="605">
        <v>7.0699999999999999E-2</v>
      </c>
      <c r="K8766" t="s">
        <v>4338</v>
      </c>
      <c r="L8766" t="s">
        <v>692</v>
      </c>
      <c r="P8766" t="s">
        <v>5487</v>
      </c>
      <c r="T8766">
        <v>46142</v>
      </c>
      <c r="V8766">
        <v>146</v>
      </c>
    </row>
    <row r="8767" spans="1:22" customFormat="1" x14ac:dyDescent="0.25">
      <c r="A8767" t="s">
        <v>275</v>
      </c>
      <c r="E8767" s="1538" t="s">
        <v>189</v>
      </c>
      <c r="F8767" s="1571"/>
      <c r="G8767" s="1571"/>
      <c r="H8767" s="1571"/>
      <c r="K8767" t="s">
        <v>4761</v>
      </c>
      <c r="V8767">
        <v>32</v>
      </c>
    </row>
    <row r="8768" spans="1:22" customFormat="1" ht="15" x14ac:dyDescent="0.25">
      <c r="A8768" t="s">
        <v>275</v>
      </c>
      <c r="E8768" s="1496" t="s">
        <v>5488</v>
      </c>
      <c r="F8768" s="1496"/>
      <c r="G8768" s="1496"/>
      <c r="H8768" s="1496"/>
      <c r="K8768" t="s">
        <v>4761</v>
      </c>
      <c r="V8768">
        <v>348</v>
      </c>
    </row>
    <row r="8769" spans="1:22" customFormat="1" ht="15" x14ac:dyDescent="0.25">
      <c r="A8769" t="s">
        <v>275</v>
      </c>
      <c r="E8769" s="1533" t="s">
        <v>950</v>
      </c>
      <c r="F8769" s="1496"/>
      <c r="G8769" s="1496"/>
      <c r="H8769" s="1496"/>
      <c r="K8769" t="s">
        <v>1041</v>
      </c>
      <c r="V8769">
        <v>11</v>
      </c>
    </row>
    <row r="8770" spans="1:22" customFormat="1" ht="15" x14ac:dyDescent="0.25">
      <c r="A8770" t="s">
        <v>275</v>
      </c>
      <c r="E8770" s="1496" t="s">
        <v>951</v>
      </c>
      <c r="F8770" s="1496"/>
      <c r="G8770" s="1496"/>
      <c r="H8770" s="1496"/>
      <c r="K8770" t="s">
        <v>4761</v>
      </c>
      <c r="V8770">
        <v>280</v>
      </c>
    </row>
    <row r="8771" spans="1:22" customFormat="1" ht="15" x14ac:dyDescent="0.25">
      <c r="A8771" t="s">
        <v>275</v>
      </c>
      <c r="E8771" s="1496" t="s">
        <v>952</v>
      </c>
      <c r="F8771" s="1496"/>
      <c r="G8771" s="1496"/>
      <c r="H8771" s="1496"/>
      <c r="K8771" t="s">
        <v>4761</v>
      </c>
      <c r="V8771">
        <v>411</v>
      </c>
    </row>
    <row r="8772" spans="1:22" customFormat="1" ht="15" x14ac:dyDescent="0.25">
      <c r="A8772" t="s">
        <v>275</v>
      </c>
      <c r="E8772" s="1496" t="s">
        <v>953</v>
      </c>
      <c r="F8772" s="1496"/>
      <c r="G8772" s="1496"/>
      <c r="H8772" s="1496"/>
      <c r="K8772" t="s">
        <v>4761</v>
      </c>
      <c r="V8772">
        <v>386</v>
      </c>
    </row>
    <row r="8773" spans="1:22" customFormat="1" ht="15" x14ac:dyDescent="0.25">
      <c r="A8773" t="s">
        <v>275</v>
      </c>
      <c r="E8773" s="1496" t="s">
        <v>5306</v>
      </c>
      <c r="F8773" s="1496"/>
      <c r="G8773" s="1496"/>
      <c r="H8773" s="1496"/>
      <c r="K8773" t="s">
        <v>4761</v>
      </c>
      <c r="V8773">
        <v>1404</v>
      </c>
    </row>
    <row r="8774" spans="1:22" customFormat="1" ht="15" x14ac:dyDescent="0.25">
      <c r="A8774" t="s">
        <v>275</v>
      </c>
      <c r="E8774" s="1496" t="s">
        <v>3762</v>
      </c>
      <c r="F8774" s="1496"/>
      <c r="G8774" s="1496"/>
      <c r="H8774" s="1496"/>
      <c r="K8774" t="s">
        <v>4761</v>
      </c>
      <c r="V8774">
        <v>247</v>
      </c>
    </row>
    <row r="8775" spans="1:22" customFormat="1" ht="15" x14ac:dyDescent="0.25">
      <c r="A8775" t="s">
        <v>275</v>
      </c>
      <c r="E8775" s="1533" t="s">
        <v>956</v>
      </c>
      <c r="F8775" s="1496"/>
      <c r="G8775" s="1496"/>
      <c r="H8775" s="1496"/>
      <c r="K8775" t="s">
        <v>1042</v>
      </c>
      <c r="V8775">
        <v>46</v>
      </c>
    </row>
    <row r="8776" spans="1:22" customFormat="1" ht="15" x14ac:dyDescent="0.25">
      <c r="A8776" t="s">
        <v>275</v>
      </c>
      <c r="E8776" s="1524" t="s">
        <v>3773</v>
      </c>
      <c r="F8776" s="1524"/>
      <c r="G8776" s="360" t="s">
        <v>777</v>
      </c>
      <c r="H8776" s="576">
        <v>22099.68</v>
      </c>
      <c r="K8776" t="s">
        <v>4761</v>
      </c>
      <c r="L8776" t="s">
        <v>690</v>
      </c>
      <c r="P8776" t="s">
        <v>4763</v>
      </c>
      <c r="V8776">
        <v>14</v>
      </c>
    </row>
    <row r="8777" spans="1:22" customFormat="1" ht="15" x14ac:dyDescent="0.25">
      <c r="A8777" t="s">
        <v>275</v>
      </c>
      <c r="E8777" s="1524" t="s">
        <v>5464</v>
      </c>
      <c r="F8777" s="1507"/>
      <c r="G8777" s="360" t="s">
        <v>777</v>
      </c>
      <c r="H8777" s="576">
        <v>77.13</v>
      </c>
      <c r="K8777" t="s">
        <v>4761</v>
      </c>
      <c r="L8777" t="s">
        <v>690</v>
      </c>
      <c r="P8777" t="s">
        <v>6880</v>
      </c>
      <c r="V8777">
        <v>147</v>
      </c>
    </row>
    <row r="8778" spans="1:22" customFormat="1" ht="15" x14ac:dyDescent="0.25">
      <c r="A8778" t="s">
        <v>275</v>
      </c>
      <c r="E8778" s="1524" t="s">
        <v>3688</v>
      </c>
      <c r="F8778" s="1524"/>
      <c r="G8778" s="360" t="s">
        <v>3775</v>
      </c>
      <c r="H8778" s="577">
        <v>3.0503999999999998</v>
      </c>
      <c r="K8778" t="s">
        <v>4761</v>
      </c>
      <c r="L8778" t="s">
        <v>690</v>
      </c>
      <c r="P8778" t="s">
        <v>4764</v>
      </c>
      <c r="V8778">
        <v>28</v>
      </c>
    </row>
    <row r="8779" spans="1:22" customFormat="1" ht="15" x14ac:dyDescent="0.25">
      <c r="A8779" t="s">
        <v>275</v>
      </c>
      <c r="E8779" s="1524" t="s">
        <v>6850</v>
      </c>
      <c r="F8779" s="1510"/>
      <c r="G8779" s="360" t="s">
        <v>3775</v>
      </c>
      <c r="H8779" s="577">
        <v>0.193</v>
      </c>
      <c r="K8779" t="s">
        <v>4761</v>
      </c>
      <c r="L8779" t="s">
        <v>692</v>
      </c>
      <c r="P8779" t="s">
        <v>4766</v>
      </c>
      <c r="T8779">
        <v>46142</v>
      </c>
      <c r="V8779">
        <v>96</v>
      </c>
    </row>
    <row r="8780" spans="1:22" customFormat="1" ht="15" x14ac:dyDescent="0.25">
      <c r="A8780" t="s">
        <v>275</v>
      </c>
      <c r="E8780" s="1524" t="s">
        <v>251</v>
      </c>
      <c r="F8780" s="1524"/>
      <c r="G8780" s="360" t="s">
        <v>3775</v>
      </c>
      <c r="H8780" s="577">
        <v>5.0814000000000004</v>
      </c>
      <c r="K8780" t="s">
        <v>4761</v>
      </c>
      <c r="L8780" t="s">
        <v>694</v>
      </c>
      <c r="P8780" t="s">
        <v>4767</v>
      </c>
      <c r="V8780">
        <v>66</v>
      </c>
    </row>
    <row r="8781" spans="1:22" customFormat="1" ht="15" x14ac:dyDescent="0.25">
      <c r="A8781" t="s">
        <v>275</v>
      </c>
      <c r="E8781" s="1524" t="s">
        <v>4444</v>
      </c>
      <c r="F8781" s="1524"/>
      <c r="G8781" s="360" t="s">
        <v>3775</v>
      </c>
      <c r="H8781" s="577">
        <v>3.7902</v>
      </c>
      <c r="K8781" t="s">
        <v>4761</v>
      </c>
      <c r="L8781" t="s">
        <v>694</v>
      </c>
      <c r="P8781" t="s">
        <v>4768</v>
      </c>
      <c r="V8781">
        <v>94</v>
      </c>
    </row>
    <row r="8782" spans="1:22" customFormat="1" ht="15" x14ac:dyDescent="0.25">
      <c r="A8782" t="s">
        <v>275</v>
      </c>
      <c r="E8782" s="1533" t="s">
        <v>967</v>
      </c>
      <c r="F8782" s="1524"/>
      <c r="G8782" s="360"/>
      <c r="H8782" s="360"/>
      <c r="K8782" t="s">
        <v>1049</v>
      </c>
      <c r="V8782">
        <v>48</v>
      </c>
    </row>
    <row r="8783" spans="1:22" customFormat="1" ht="15" x14ac:dyDescent="0.25">
      <c r="A8783" t="s">
        <v>275</v>
      </c>
      <c r="E8783" s="1524" t="s">
        <v>844</v>
      </c>
      <c r="F8783" s="1524"/>
      <c r="G8783" s="360" t="s">
        <v>845</v>
      </c>
      <c r="H8783" s="605">
        <v>4.1000000000000003E-3</v>
      </c>
      <c r="K8783" t="s">
        <v>4761</v>
      </c>
      <c r="L8783" t="s">
        <v>968</v>
      </c>
      <c r="P8783" t="s">
        <v>4769</v>
      </c>
      <c r="V8783">
        <v>55</v>
      </c>
    </row>
    <row r="8784" spans="1:22" customFormat="1" ht="15" x14ac:dyDescent="0.25">
      <c r="A8784" t="s">
        <v>275</v>
      </c>
      <c r="E8784" s="1524" t="s">
        <v>846</v>
      </c>
      <c r="F8784" s="1524"/>
      <c r="G8784" s="360" t="s">
        <v>845</v>
      </c>
      <c r="H8784" s="605">
        <v>4.0000000000000002E-4</v>
      </c>
      <c r="K8784" t="s">
        <v>4761</v>
      </c>
      <c r="L8784" t="s">
        <v>968</v>
      </c>
      <c r="P8784" t="s">
        <v>4769</v>
      </c>
      <c r="V8784">
        <v>65</v>
      </c>
    </row>
    <row r="8785" spans="1:22" customFormat="1" ht="15" x14ac:dyDescent="0.25">
      <c r="A8785" t="s">
        <v>275</v>
      </c>
      <c r="E8785" s="1524" t="s">
        <v>847</v>
      </c>
      <c r="F8785" s="1524"/>
      <c r="G8785" s="360" t="s">
        <v>845</v>
      </c>
      <c r="H8785" s="605">
        <v>1.5E-3</v>
      </c>
      <c r="K8785" t="s">
        <v>4761</v>
      </c>
      <c r="L8785" t="s">
        <v>968</v>
      </c>
      <c r="P8785" t="s">
        <v>4770</v>
      </c>
      <c r="V8785">
        <v>57</v>
      </c>
    </row>
    <row r="8786" spans="1:22" customFormat="1" ht="15" x14ac:dyDescent="0.25">
      <c r="A8786" t="s">
        <v>275</v>
      </c>
      <c r="E8786" s="1524" t="s">
        <v>848</v>
      </c>
      <c r="F8786" s="1524"/>
      <c r="G8786" s="360" t="s">
        <v>777</v>
      </c>
      <c r="H8786" s="604">
        <v>0.25</v>
      </c>
      <c r="K8786" t="s">
        <v>4761</v>
      </c>
      <c r="L8786" t="s">
        <v>968</v>
      </c>
      <c r="P8786" t="s">
        <v>4771</v>
      </c>
      <c r="V8786">
        <v>63</v>
      </c>
    </row>
    <row r="8787" spans="1:22" customFormat="1" x14ac:dyDescent="0.25">
      <c r="A8787" t="s">
        <v>275</v>
      </c>
      <c r="E8787" s="1538" t="s">
        <v>202</v>
      </c>
      <c r="F8787" s="1571"/>
      <c r="G8787" s="1571"/>
      <c r="H8787" s="1571"/>
      <c r="K8787" t="s">
        <v>1053</v>
      </c>
      <c r="V8787">
        <v>38</v>
      </c>
    </row>
    <row r="8788" spans="1:22" customFormat="1" ht="15" x14ac:dyDescent="0.25">
      <c r="A8788" t="s">
        <v>275</v>
      </c>
      <c r="E8788" s="1496" t="s">
        <v>5489</v>
      </c>
      <c r="F8788" s="1496"/>
      <c r="G8788" s="1496"/>
      <c r="H8788" s="1496"/>
      <c r="K8788" t="s">
        <v>1053</v>
      </c>
      <c r="V8788">
        <v>473</v>
      </c>
    </row>
    <row r="8789" spans="1:22" customFormat="1" ht="15" x14ac:dyDescent="0.25">
      <c r="A8789" t="s">
        <v>275</v>
      </c>
      <c r="E8789" s="1533" t="s">
        <v>950</v>
      </c>
      <c r="F8789" s="1496"/>
      <c r="G8789" s="1496"/>
      <c r="H8789" s="1496"/>
      <c r="K8789" t="s">
        <v>1055</v>
      </c>
      <c r="V8789">
        <v>11</v>
      </c>
    </row>
    <row r="8790" spans="1:22" customFormat="1" ht="15" x14ac:dyDescent="0.25">
      <c r="A8790" t="s">
        <v>275</v>
      </c>
      <c r="E8790" s="1496" t="s">
        <v>951</v>
      </c>
      <c r="F8790" s="1496"/>
      <c r="G8790" s="1496"/>
      <c r="H8790" s="1496"/>
      <c r="K8790" t="s">
        <v>1053</v>
      </c>
      <c r="V8790">
        <v>280</v>
      </c>
    </row>
    <row r="8791" spans="1:22" customFormat="1" ht="15" x14ac:dyDescent="0.25">
      <c r="A8791" t="s">
        <v>275</v>
      </c>
      <c r="E8791" s="1496" t="s">
        <v>952</v>
      </c>
      <c r="F8791" s="1496"/>
      <c r="G8791" s="1496"/>
      <c r="H8791" s="1496"/>
      <c r="K8791" t="s">
        <v>1053</v>
      </c>
      <c r="V8791">
        <v>411</v>
      </c>
    </row>
    <row r="8792" spans="1:22" customFormat="1" ht="15" x14ac:dyDescent="0.25">
      <c r="A8792" t="s">
        <v>275</v>
      </c>
      <c r="E8792" s="1496" t="s">
        <v>953</v>
      </c>
      <c r="F8792" s="1496"/>
      <c r="G8792" s="1496"/>
      <c r="H8792" s="1496"/>
      <c r="K8792" t="s">
        <v>1053</v>
      </c>
      <c r="V8792">
        <v>386</v>
      </c>
    </row>
    <row r="8793" spans="1:22" customFormat="1" ht="15" x14ac:dyDescent="0.25">
      <c r="A8793" t="s">
        <v>275</v>
      </c>
      <c r="E8793" s="1496" t="s">
        <v>3762</v>
      </c>
      <c r="F8793" s="1496"/>
      <c r="G8793" s="1496"/>
      <c r="H8793" s="1496"/>
      <c r="K8793" t="s">
        <v>1053</v>
      </c>
      <c r="V8793">
        <v>247</v>
      </c>
    </row>
    <row r="8794" spans="1:22" customFormat="1" ht="15" x14ac:dyDescent="0.25">
      <c r="A8794" t="s">
        <v>275</v>
      </c>
      <c r="E8794" s="1533" t="s">
        <v>956</v>
      </c>
      <c r="F8794" s="1496"/>
      <c r="G8794" s="1496"/>
      <c r="H8794" s="1496"/>
      <c r="K8794" t="s">
        <v>1056</v>
      </c>
      <c r="V8794">
        <v>46</v>
      </c>
    </row>
    <row r="8795" spans="1:22" customFormat="1" ht="15" x14ac:dyDescent="0.25">
      <c r="A8795" t="s">
        <v>275</v>
      </c>
      <c r="E8795" s="1524" t="s">
        <v>3874</v>
      </c>
      <c r="F8795" s="1524"/>
      <c r="G8795" s="360" t="s">
        <v>777</v>
      </c>
      <c r="H8795" s="576">
        <v>1.94</v>
      </c>
      <c r="K8795" t="s">
        <v>1053</v>
      </c>
      <c r="L8795" t="s">
        <v>690</v>
      </c>
      <c r="P8795" t="s">
        <v>1057</v>
      </c>
      <c r="V8795">
        <v>31</v>
      </c>
    </row>
    <row r="8796" spans="1:22" customFormat="1" ht="15" x14ac:dyDescent="0.25">
      <c r="A8796" t="s">
        <v>275</v>
      </c>
      <c r="E8796" s="1524" t="s">
        <v>3688</v>
      </c>
      <c r="F8796" s="1524"/>
      <c r="G8796" s="360" t="s">
        <v>3775</v>
      </c>
      <c r="H8796" s="577">
        <v>11.649699999999999</v>
      </c>
      <c r="K8796" t="s">
        <v>1053</v>
      </c>
      <c r="L8796" t="s">
        <v>690</v>
      </c>
      <c r="P8796" t="s">
        <v>1059</v>
      </c>
      <c r="V8796">
        <v>28</v>
      </c>
    </row>
    <row r="8797" spans="1:22" customFormat="1" ht="15" x14ac:dyDescent="0.25">
      <c r="A8797" t="s">
        <v>275</v>
      </c>
      <c r="E8797" s="1524" t="s">
        <v>6849</v>
      </c>
      <c r="F8797" s="1510"/>
      <c r="G8797" s="360" t="s">
        <v>845</v>
      </c>
      <c r="H8797" s="577">
        <v>1.6999999999999999E-3</v>
      </c>
      <c r="K8797" t="s">
        <v>1053</v>
      </c>
      <c r="L8797" t="s">
        <v>692</v>
      </c>
      <c r="P8797" t="s">
        <v>1061</v>
      </c>
      <c r="T8797">
        <v>46142</v>
      </c>
      <c r="V8797">
        <v>139</v>
      </c>
    </row>
    <row r="8798" spans="1:22" customFormat="1" ht="15" x14ac:dyDescent="0.25">
      <c r="A8798" t="s">
        <v>275</v>
      </c>
      <c r="E8798" s="1524" t="s">
        <v>6850</v>
      </c>
      <c r="F8798" s="1510"/>
      <c r="G8798" s="360" t="s">
        <v>3775</v>
      </c>
      <c r="H8798" s="577">
        <v>0.13420000000000001</v>
      </c>
      <c r="K8798" t="s">
        <v>1053</v>
      </c>
      <c r="L8798" t="s">
        <v>692</v>
      </c>
      <c r="P8798" t="s">
        <v>1062</v>
      </c>
      <c r="T8798">
        <v>46142</v>
      </c>
      <c r="V8798">
        <v>96</v>
      </c>
    </row>
    <row r="8799" spans="1:22" customFormat="1" ht="15" x14ac:dyDescent="0.25">
      <c r="A8799" t="s">
        <v>275</v>
      </c>
      <c r="E8799" s="1524" t="s">
        <v>6853</v>
      </c>
      <c r="F8799" s="1510"/>
      <c r="G8799" s="360" t="s">
        <v>3775</v>
      </c>
      <c r="H8799" s="577">
        <v>6.8400000000000002E-2</v>
      </c>
      <c r="K8799" t="s">
        <v>1053</v>
      </c>
      <c r="L8799" t="s">
        <v>692</v>
      </c>
      <c r="P8799" t="s">
        <v>3997</v>
      </c>
      <c r="T8799">
        <v>46142</v>
      </c>
      <c r="V8799">
        <v>146</v>
      </c>
    </row>
    <row r="8800" spans="1:22" customFormat="1" ht="15" x14ac:dyDescent="0.25">
      <c r="A8800" t="s">
        <v>275</v>
      </c>
      <c r="E8800" s="1524" t="s">
        <v>243</v>
      </c>
      <c r="F8800" s="1524"/>
      <c r="G8800" s="360" t="s">
        <v>3775</v>
      </c>
      <c r="H8800" s="577">
        <v>3.4060000000000001</v>
      </c>
      <c r="K8800" t="s">
        <v>1053</v>
      </c>
      <c r="L8800" t="s">
        <v>694</v>
      </c>
      <c r="P8800" t="s">
        <v>1063</v>
      </c>
      <c r="V8800">
        <v>47</v>
      </c>
    </row>
    <row r="8801" spans="1:22" customFormat="1" ht="15" x14ac:dyDescent="0.25">
      <c r="A8801" t="s">
        <v>275</v>
      </c>
      <c r="E8801" s="1524" t="s">
        <v>4121</v>
      </c>
      <c r="F8801" s="1524"/>
      <c r="G8801" s="360" t="s">
        <v>3775</v>
      </c>
      <c r="H8801" s="577">
        <v>2.3948999999999998</v>
      </c>
      <c r="K8801" t="s">
        <v>1053</v>
      </c>
      <c r="L8801" t="s">
        <v>694</v>
      </c>
      <c r="P8801" t="s">
        <v>1064</v>
      </c>
      <c r="V8801">
        <v>75</v>
      </c>
    </row>
    <row r="8802" spans="1:22" customFormat="1" ht="15" x14ac:dyDescent="0.25">
      <c r="A8802" t="s">
        <v>275</v>
      </c>
      <c r="E8802" s="1533" t="s">
        <v>967</v>
      </c>
      <c r="F8802" s="1524"/>
      <c r="G8802" s="360"/>
      <c r="H8802" s="360"/>
      <c r="K8802" t="s">
        <v>1065</v>
      </c>
      <c r="V8802">
        <v>48</v>
      </c>
    </row>
    <row r="8803" spans="1:22" customFormat="1" ht="15" x14ac:dyDescent="0.25">
      <c r="A8803" t="s">
        <v>275</v>
      </c>
      <c r="E8803" s="1524" t="s">
        <v>844</v>
      </c>
      <c r="F8803" s="1524"/>
      <c r="G8803" s="360" t="s">
        <v>845</v>
      </c>
      <c r="H8803" s="605">
        <v>4.1000000000000003E-3</v>
      </c>
      <c r="K8803" t="s">
        <v>1053</v>
      </c>
      <c r="L8803" t="s">
        <v>968</v>
      </c>
      <c r="P8803" t="s">
        <v>1066</v>
      </c>
      <c r="V8803">
        <v>55</v>
      </c>
    </row>
    <row r="8804" spans="1:22" customFormat="1" ht="15" x14ac:dyDescent="0.25">
      <c r="A8804" t="s">
        <v>275</v>
      </c>
      <c r="E8804" s="1524" t="s">
        <v>846</v>
      </c>
      <c r="F8804" s="1524"/>
      <c r="G8804" s="360" t="s">
        <v>845</v>
      </c>
      <c r="H8804" s="605">
        <v>4.0000000000000002E-4</v>
      </c>
      <c r="K8804" t="s">
        <v>1053</v>
      </c>
      <c r="L8804" t="s">
        <v>968</v>
      </c>
      <c r="P8804" t="s">
        <v>1066</v>
      </c>
      <c r="V8804">
        <v>65</v>
      </c>
    </row>
    <row r="8805" spans="1:22" customFormat="1" ht="15" x14ac:dyDescent="0.25">
      <c r="A8805" t="s">
        <v>275</v>
      </c>
      <c r="E8805" s="1524" t="s">
        <v>847</v>
      </c>
      <c r="F8805" s="1524"/>
      <c r="G8805" s="360" t="s">
        <v>845</v>
      </c>
      <c r="H8805" s="605">
        <v>1.5E-3</v>
      </c>
      <c r="K8805" t="s">
        <v>1053</v>
      </c>
      <c r="L8805" t="s">
        <v>968</v>
      </c>
      <c r="P8805" t="s">
        <v>1067</v>
      </c>
      <c r="V8805">
        <v>57</v>
      </c>
    </row>
    <row r="8806" spans="1:22" customFormat="1" ht="15" x14ac:dyDescent="0.25">
      <c r="A8806" t="s">
        <v>275</v>
      </c>
      <c r="E8806" s="1524" t="s">
        <v>848</v>
      </c>
      <c r="F8806" s="1524"/>
      <c r="G8806" s="360" t="s">
        <v>777</v>
      </c>
      <c r="H8806" s="604">
        <v>0.25</v>
      </c>
      <c r="K8806" t="s">
        <v>1053</v>
      </c>
      <c r="L8806" t="s">
        <v>968</v>
      </c>
      <c r="P8806" t="s">
        <v>1068</v>
      </c>
      <c r="V8806">
        <v>63</v>
      </c>
    </row>
    <row r="8807" spans="1:22" customFormat="1" x14ac:dyDescent="0.25">
      <c r="A8807" t="s">
        <v>275</v>
      </c>
      <c r="E8807" s="1538" t="s">
        <v>198</v>
      </c>
      <c r="F8807" s="1571"/>
      <c r="G8807" s="1571"/>
      <c r="H8807" s="1571"/>
      <c r="K8807" t="s">
        <v>4179</v>
      </c>
      <c r="V8807">
        <v>40</v>
      </c>
    </row>
    <row r="8808" spans="1:22" customFormat="1" ht="15" x14ac:dyDescent="0.25">
      <c r="A8808" t="s">
        <v>275</v>
      </c>
      <c r="E8808" s="1496" t="s">
        <v>5490</v>
      </c>
      <c r="F8808" s="1496"/>
      <c r="G8808" s="1496"/>
      <c r="H8808" s="1496"/>
      <c r="K8808" t="s">
        <v>4179</v>
      </c>
      <c r="V8808">
        <v>185</v>
      </c>
    </row>
    <row r="8809" spans="1:22" customFormat="1" ht="15" x14ac:dyDescent="0.25">
      <c r="A8809" t="s">
        <v>275</v>
      </c>
      <c r="E8809" s="1533" t="s">
        <v>950</v>
      </c>
      <c r="F8809" s="1496"/>
      <c r="G8809" s="1496"/>
      <c r="H8809" s="1496"/>
      <c r="K8809" t="s">
        <v>1071</v>
      </c>
      <c r="V8809">
        <v>11</v>
      </c>
    </row>
    <row r="8810" spans="1:22" customFormat="1" ht="15" x14ac:dyDescent="0.25">
      <c r="A8810" t="s">
        <v>275</v>
      </c>
      <c r="E8810" s="1496" t="s">
        <v>951</v>
      </c>
      <c r="F8810" s="1496"/>
      <c r="G8810" s="1496"/>
      <c r="H8810" s="1496"/>
      <c r="K8810" t="s">
        <v>4179</v>
      </c>
      <c r="V8810">
        <v>280</v>
      </c>
    </row>
    <row r="8811" spans="1:22" customFormat="1" ht="15" x14ac:dyDescent="0.25">
      <c r="A8811" t="s">
        <v>275</v>
      </c>
      <c r="E8811" s="1496" t="s">
        <v>952</v>
      </c>
      <c r="F8811" s="1496"/>
      <c r="G8811" s="1496"/>
      <c r="H8811" s="1496"/>
      <c r="K8811" t="s">
        <v>4179</v>
      </c>
      <c r="V8811">
        <v>411</v>
      </c>
    </row>
    <row r="8812" spans="1:22" customFormat="1" ht="15" x14ac:dyDescent="0.25">
      <c r="A8812" t="s">
        <v>275</v>
      </c>
      <c r="E8812" s="1496" t="s">
        <v>953</v>
      </c>
      <c r="F8812" s="1496"/>
      <c r="G8812" s="1496"/>
      <c r="H8812" s="1496"/>
      <c r="K8812" t="s">
        <v>4179</v>
      </c>
      <c r="V8812">
        <v>386</v>
      </c>
    </row>
    <row r="8813" spans="1:22" customFormat="1" ht="15" x14ac:dyDescent="0.25">
      <c r="A8813" t="s">
        <v>275</v>
      </c>
      <c r="E8813" s="1496" t="s">
        <v>3762</v>
      </c>
      <c r="F8813" s="1496"/>
      <c r="G8813" s="1496"/>
      <c r="H8813" s="1496"/>
      <c r="K8813" t="s">
        <v>4179</v>
      </c>
      <c r="V8813">
        <v>247</v>
      </c>
    </row>
    <row r="8814" spans="1:22" customFormat="1" ht="15" x14ac:dyDescent="0.25">
      <c r="A8814" t="s">
        <v>275</v>
      </c>
      <c r="E8814" s="1533" t="s">
        <v>956</v>
      </c>
      <c r="F8814" s="1496"/>
      <c r="G8814" s="1496"/>
      <c r="H8814" s="1496"/>
      <c r="K8814" t="s">
        <v>1075</v>
      </c>
      <c r="V8814">
        <v>46</v>
      </c>
    </row>
    <row r="8815" spans="1:22" customFormat="1" ht="15" x14ac:dyDescent="0.25">
      <c r="A8815" t="s">
        <v>275</v>
      </c>
      <c r="E8815" s="1524" t="s">
        <v>3874</v>
      </c>
      <c r="F8815" s="1524"/>
      <c r="G8815" s="360" t="s">
        <v>777</v>
      </c>
      <c r="H8815" s="576">
        <v>5.47</v>
      </c>
      <c r="K8815" t="s">
        <v>4179</v>
      </c>
      <c r="L8815" t="s">
        <v>690</v>
      </c>
      <c r="P8815" t="s">
        <v>4181</v>
      </c>
      <c r="V8815">
        <v>31</v>
      </c>
    </row>
    <row r="8816" spans="1:22" customFormat="1" ht="15" x14ac:dyDescent="0.25">
      <c r="A8816" t="s">
        <v>275</v>
      </c>
      <c r="E8816" s="1524" t="s">
        <v>5464</v>
      </c>
      <c r="F8816" s="1507"/>
      <c r="G8816" s="360" t="s">
        <v>777</v>
      </c>
      <c r="H8816" s="576">
        <v>0.01</v>
      </c>
      <c r="K8816" t="s">
        <v>4179</v>
      </c>
      <c r="L8816" t="s">
        <v>690</v>
      </c>
      <c r="P8816" t="s">
        <v>6881</v>
      </c>
      <c r="V8816">
        <v>147</v>
      </c>
    </row>
    <row r="8817" spans="1:22" customFormat="1" ht="15" x14ac:dyDescent="0.25">
      <c r="A8817" t="s">
        <v>275</v>
      </c>
      <c r="E8817" s="1524" t="s">
        <v>3688</v>
      </c>
      <c r="F8817" s="1524"/>
      <c r="G8817" s="360" t="s">
        <v>3775</v>
      </c>
      <c r="H8817" s="577">
        <v>21.3948</v>
      </c>
      <c r="K8817" t="s">
        <v>4179</v>
      </c>
      <c r="L8817" t="s">
        <v>690</v>
      </c>
      <c r="P8817" t="s">
        <v>4183</v>
      </c>
      <c r="V8817">
        <v>28</v>
      </c>
    </row>
    <row r="8818" spans="1:22" customFormat="1" ht="15" x14ac:dyDescent="0.25">
      <c r="A8818" t="s">
        <v>275</v>
      </c>
      <c r="E8818" s="1524" t="s">
        <v>6849</v>
      </c>
      <c r="F8818" s="1510"/>
      <c r="G8818" s="360" t="s">
        <v>845</v>
      </c>
      <c r="H8818" s="577">
        <v>1.6999999999999999E-3</v>
      </c>
      <c r="K8818" t="s">
        <v>4179</v>
      </c>
      <c r="L8818" t="s">
        <v>692</v>
      </c>
      <c r="P8818" t="s">
        <v>4281</v>
      </c>
      <c r="T8818">
        <v>46142</v>
      </c>
      <c r="V8818">
        <v>139</v>
      </c>
    </row>
    <row r="8819" spans="1:22" customFormat="1" ht="15" x14ac:dyDescent="0.25">
      <c r="A8819" t="s">
        <v>275</v>
      </c>
      <c r="E8819" s="1524" t="s">
        <v>6850</v>
      </c>
      <c r="F8819" s="1510"/>
      <c r="G8819" s="360" t="s">
        <v>3775</v>
      </c>
      <c r="H8819" s="577">
        <v>0.13880000000000001</v>
      </c>
      <c r="K8819" t="s">
        <v>4179</v>
      </c>
      <c r="L8819" t="s">
        <v>692</v>
      </c>
      <c r="P8819" t="s">
        <v>4186</v>
      </c>
      <c r="T8819">
        <v>46142</v>
      </c>
      <c r="V8819">
        <v>96</v>
      </c>
    </row>
    <row r="8820" spans="1:22" customFormat="1" ht="15" x14ac:dyDescent="0.25">
      <c r="A8820" t="s">
        <v>275</v>
      </c>
      <c r="E8820" s="1524" t="s">
        <v>6853</v>
      </c>
      <c r="F8820" s="1510"/>
      <c r="G8820" s="360" t="s">
        <v>3775</v>
      </c>
      <c r="H8820" s="577">
        <v>7.0499999999999993E-2</v>
      </c>
      <c r="K8820" t="s">
        <v>4179</v>
      </c>
      <c r="L8820" t="s">
        <v>692</v>
      </c>
      <c r="P8820" t="s">
        <v>4185</v>
      </c>
      <c r="T8820">
        <v>46142</v>
      </c>
      <c r="V8820">
        <v>146</v>
      </c>
    </row>
    <row r="8821" spans="1:22" customFormat="1" ht="15" x14ac:dyDescent="0.25">
      <c r="A8821" t="s">
        <v>275</v>
      </c>
      <c r="E8821" s="1524" t="s">
        <v>243</v>
      </c>
      <c r="F8821" s="1524"/>
      <c r="G8821" s="360" t="s">
        <v>3775</v>
      </c>
      <c r="H8821" s="577">
        <v>3.4104000000000001</v>
      </c>
      <c r="K8821" t="s">
        <v>4179</v>
      </c>
      <c r="L8821" t="s">
        <v>694</v>
      </c>
      <c r="P8821" t="s">
        <v>4187</v>
      </c>
      <c r="V8821">
        <v>47</v>
      </c>
    </row>
    <row r="8822" spans="1:22" customFormat="1" ht="15" x14ac:dyDescent="0.25">
      <c r="A8822" t="s">
        <v>275</v>
      </c>
      <c r="E8822" s="1524" t="s">
        <v>175</v>
      </c>
      <c r="F8822" s="1524"/>
      <c r="G8822" s="360" t="s">
        <v>3775</v>
      </c>
      <c r="H8822" s="577">
        <v>2.3982999999999999</v>
      </c>
      <c r="K8822" t="s">
        <v>4179</v>
      </c>
      <c r="L8822" t="s">
        <v>694</v>
      </c>
      <c r="P8822" t="s">
        <v>4188</v>
      </c>
      <c r="V8822">
        <v>74</v>
      </c>
    </row>
    <row r="8823" spans="1:22" customFormat="1" ht="15" x14ac:dyDescent="0.25">
      <c r="A8823" t="s">
        <v>275</v>
      </c>
      <c r="E8823" s="1533" t="s">
        <v>967</v>
      </c>
      <c r="F8823" s="1524"/>
      <c r="G8823" s="360"/>
      <c r="H8823" s="360"/>
      <c r="K8823" t="s">
        <v>3898</v>
      </c>
      <c r="V8823">
        <v>48</v>
      </c>
    </row>
    <row r="8824" spans="1:22" customFormat="1" ht="15" x14ac:dyDescent="0.25">
      <c r="A8824" t="s">
        <v>275</v>
      </c>
      <c r="E8824" s="1524" t="s">
        <v>844</v>
      </c>
      <c r="F8824" s="1524"/>
      <c r="G8824" s="360" t="s">
        <v>845</v>
      </c>
      <c r="H8824" s="605">
        <v>4.1000000000000003E-3</v>
      </c>
      <c r="K8824" t="s">
        <v>4179</v>
      </c>
      <c r="L8824" t="s">
        <v>968</v>
      </c>
      <c r="P8824" t="s">
        <v>4189</v>
      </c>
      <c r="V8824">
        <v>55</v>
      </c>
    </row>
    <row r="8825" spans="1:22" customFormat="1" ht="15" x14ac:dyDescent="0.25">
      <c r="A8825" t="s">
        <v>275</v>
      </c>
      <c r="E8825" s="1524" t="s">
        <v>846</v>
      </c>
      <c r="F8825" s="1524"/>
      <c r="G8825" s="360" t="s">
        <v>845</v>
      </c>
      <c r="H8825" s="605">
        <v>4.0000000000000002E-4</v>
      </c>
      <c r="K8825" t="s">
        <v>4179</v>
      </c>
      <c r="L8825" t="s">
        <v>968</v>
      </c>
      <c r="P8825" t="s">
        <v>4189</v>
      </c>
      <c r="V8825">
        <v>65</v>
      </c>
    </row>
    <row r="8826" spans="1:22" customFormat="1" ht="15" x14ac:dyDescent="0.25">
      <c r="A8826" t="s">
        <v>275</v>
      </c>
      <c r="E8826" s="1524" t="s">
        <v>847</v>
      </c>
      <c r="F8826" s="1524"/>
      <c r="G8826" s="360" t="s">
        <v>845</v>
      </c>
      <c r="H8826" s="605">
        <v>1.5E-3</v>
      </c>
      <c r="K8826" t="s">
        <v>4179</v>
      </c>
      <c r="L8826" t="s">
        <v>968</v>
      </c>
      <c r="P8826" t="s">
        <v>4190</v>
      </c>
      <c r="V8826">
        <v>57</v>
      </c>
    </row>
    <row r="8827" spans="1:22" customFormat="1" ht="15" x14ac:dyDescent="0.25">
      <c r="A8827" t="s">
        <v>275</v>
      </c>
      <c r="E8827" s="1524" t="s">
        <v>848</v>
      </c>
      <c r="F8827" s="1524"/>
      <c r="G8827" s="360" t="s">
        <v>777</v>
      </c>
      <c r="H8827" s="604">
        <v>0.25</v>
      </c>
      <c r="K8827" t="s">
        <v>4179</v>
      </c>
      <c r="L8827" t="s">
        <v>968</v>
      </c>
      <c r="P8827" t="s">
        <v>4191</v>
      </c>
      <c r="V8827">
        <v>63</v>
      </c>
    </row>
    <row r="8828" spans="1:22" customFormat="1" x14ac:dyDescent="0.25">
      <c r="A8828" t="s">
        <v>275</v>
      </c>
      <c r="E8828" s="1538" t="s">
        <v>194</v>
      </c>
      <c r="F8828" s="1571"/>
      <c r="G8828" s="1571"/>
      <c r="H8828" s="1571"/>
      <c r="K8828" t="s">
        <v>5491</v>
      </c>
      <c r="V8828">
        <v>47</v>
      </c>
    </row>
    <row r="8829" spans="1:22" customFormat="1" ht="15" x14ac:dyDescent="0.25">
      <c r="A8829" t="s">
        <v>275</v>
      </c>
      <c r="E8829" s="1496" t="s">
        <v>5492</v>
      </c>
      <c r="F8829" s="1496"/>
      <c r="G8829" s="1496"/>
      <c r="H8829" s="1496"/>
      <c r="K8829" t="s">
        <v>5491</v>
      </c>
      <c r="V8829">
        <v>716</v>
      </c>
    </row>
    <row r="8830" spans="1:22" customFormat="1" ht="15" x14ac:dyDescent="0.25">
      <c r="A8830" t="s">
        <v>275</v>
      </c>
      <c r="E8830" s="1533" t="s">
        <v>950</v>
      </c>
      <c r="F8830" s="1496"/>
      <c r="G8830" s="1496"/>
      <c r="H8830" s="1496"/>
      <c r="K8830" t="s">
        <v>3904</v>
      </c>
      <c r="V8830">
        <v>11</v>
      </c>
    </row>
    <row r="8831" spans="1:22" customFormat="1" ht="15" x14ac:dyDescent="0.25">
      <c r="A8831" t="s">
        <v>275</v>
      </c>
      <c r="E8831" s="1496" t="s">
        <v>951</v>
      </c>
      <c r="F8831" s="1496"/>
      <c r="G8831" s="1496"/>
      <c r="H8831" s="1496"/>
      <c r="K8831" t="s">
        <v>5491</v>
      </c>
      <c r="V8831">
        <v>280</v>
      </c>
    </row>
    <row r="8832" spans="1:22" customFormat="1" ht="15" x14ac:dyDescent="0.25">
      <c r="A8832" t="s">
        <v>275</v>
      </c>
      <c r="E8832" s="1496" t="s">
        <v>952</v>
      </c>
      <c r="F8832" s="1496"/>
      <c r="G8832" s="1496"/>
      <c r="H8832" s="1496"/>
      <c r="K8832" t="s">
        <v>5491</v>
      </c>
      <c r="V8832">
        <v>411</v>
      </c>
    </row>
    <row r="8833" spans="1:22" customFormat="1" ht="15" x14ac:dyDescent="0.25">
      <c r="A8833" t="s">
        <v>275</v>
      </c>
      <c r="E8833" s="1496" t="s">
        <v>953</v>
      </c>
      <c r="F8833" s="1496"/>
      <c r="G8833" s="1496"/>
      <c r="H8833" s="1496"/>
      <c r="K8833" t="s">
        <v>5491</v>
      </c>
      <c r="V8833">
        <v>386</v>
      </c>
    </row>
    <row r="8834" spans="1:22" customFormat="1" ht="15" x14ac:dyDescent="0.25">
      <c r="A8834" t="s">
        <v>275</v>
      </c>
      <c r="E8834" s="1496" t="s">
        <v>3762</v>
      </c>
      <c r="F8834" s="1496"/>
      <c r="G8834" s="1496"/>
      <c r="H8834" s="1496"/>
      <c r="K8834" t="s">
        <v>5491</v>
      </c>
      <c r="V8834">
        <v>247</v>
      </c>
    </row>
    <row r="8835" spans="1:22" customFormat="1" ht="15" x14ac:dyDescent="0.25">
      <c r="A8835" t="s">
        <v>275</v>
      </c>
      <c r="E8835" s="1533" t="s">
        <v>956</v>
      </c>
      <c r="F8835" s="1496"/>
      <c r="G8835" s="1496"/>
      <c r="H8835" s="1496"/>
      <c r="K8835" t="s">
        <v>3905</v>
      </c>
      <c r="V8835">
        <v>46</v>
      </c>
    </row>
    <row r="8836" spans="1:22" customFormat="1" ht="15" x14ac:dyDescent="0.25">
      <c r="A8836" t="s">
        <v>275</v>
      </c>
      <c r="E8836" s="1524" t="s">
        <v>3874</v>
      </c>
      <c r="F8836" s="1524"/>
      <c r="G8836" s="360" t="s">
        <v>777</v>
      </c>
      <c r="H8836" s="576">
        <v>2.74</v>
      </c>
      <c r="K8836" t="s">
        <v>5491</v>
      </c>
      <c r="L8836" t="s">
        <v>690</v>
      </c>
      <c r="P8836" t="s">
        <v>5493</v>
      </c>
      <c r="V8836">
        <v>31</v>
      </c>
    </row>
    <row r="8837" spans="1:22" customFormat="1" ht="15" x14ac:dyDescent="0.25">
      <c r="A8837" t="s">
        <v>275</v>
      </c>
      <c r="E8837" s="1524" t="s">
        <v>5464</v>
      </c>
      <c r="F8837" s="1507"/>
      <c r="G8837" s="360" t="s">
        <v>777</v>
      </c>
      <c r="H8837" s="576">
        <v>0.01</v>
      </c>
      <c r="K8837" t="s">
        <v>5491</v>
      </c>
      <c r="L8837" t="s">
        <v>690</v>
      </c>
      <c r="P8837" t="s">
        <v>6882</v>
      </c>
      <c r="V8837">
        <v>147</v>
      </c>
    </row>
    <row r="8838" spans="1:22" customFormat="1" ht="15" x14ac:dyDescent="0.25">
      <c r="A8838" t="s">
        <v>275</v>
      </c>
      <c r="E8838" s="1524" t="s">
        <v>3688</v>
      </c>
      <c r="F8838" s="1524"/>
      <c r="G8838" s="360" t="s">
        <v>845</v>
      </c>
      <c r="H8838" s="577">
        <v>2.8799999999999999E-2</v>
      </c>
      <c r="K8838" t="s">
        <v>5491</v>
      </c>
      <c r="L8838" t="s">
        <v>690</v>
      </c>
      <c r="P8838" t="s">
        <v>5494</v>
      </c>
      <c r="V8838">
        <v>28</v>
      </c>
    </row>
    <row r="8839" spans="1:22" customFormat="1" ht="15" x14ac:dyDescent="0.25">
      <c r="A8839" t="s">
        <v>275</v>
      </c>
      <c r="E8839" s="1524" t="s">
        <v>6853</v>
      </c>
      <c r="F8839" s="1510"/>
      <c r="G8839" s="360" t="s">
        <v>845</v>
      </c>
      <c r="H8839" s="577">
        <v>2.0000000000000001E-4</v>
      </c>
      <c r="K8839" t="s">
        <v>5491</v>
      </c>
      <c r="L8839" t="s">
        <v>692</v>
      </c>
      <c r="P8839" t="s">
        <v>5495</v>
      </c>
      <c r="T8839">
        <v>46142</v>
      </c>
      <c r="V8839">
        <v>146</v>
      </c>
    </row>
    <row r="8840" spans="1:22" customFormat="1" ht="15" x14ac:dyDescent="0.25">
      <c r="A8840" t="s">
        <v>275</v>
      </c>
      <c r="E8840" s="1524" t="s">
        <v>6850</v>
      </c>
      <c r="F8840" s="1510"/>
      <c r="G8840" s="360" t="s">
        <v>845</v>
      </c>
      <c r="H8840" s="577">
        <v>4.0000000000000002E-4</v>
      </c>
      <c r="K8840" t="s">
        <v>5491</v>
      </c>
      <c r="L8840" t="s">
        <v>692</v>
      </c>
      <c r="P8840" t="s">
        <v>5496</v>
      </c>
      <c r="T8840">
        <v>46142</v>
      </c>
      <c r="V8840">
        <v>96</v>
      </c>
    </row>
    <row r="8841" spans="1:22" customFormat="1" ht="15" x14ac:dyDescent="0.25">
      <c r="A8841" t="s">
        <v>275</v>
      </c>
      <c r="E8841" s="1524" t="s">
        <v>243</v>
      </c>
      <c r="F8841" s="1524"/>
      <c r="G8841" s="360" t="s">
        <v>845</v>
      </c>
      <c r="H8841" s="577">
        <v>1.0999999999999999E-2</v>
      </c>
      <c r="K8841" t="s">
        <v>5491</v>
      </c>
      <c r="L8841" t="s">
        <v>694</v>
      </c>
      <c r="P8841" t="s">
        <v>5497</v>
      </c>
      <c r="V8841">
        <v>47</v>
      </c>
    </row>
    <row r="8842" spans="1:22" customFormat="1" ht="15" x14ac:dyDescent="0.25">
      <c r="A8842" t="s">
        <v>275</v>
      </c>
      <c r="E8842" s="1524" t="s">
        <v>175</v>
      </c>
      <c r="F8842" s="1524"/>
      <c r="G8842" s="360" t="s">
        <v>845</v>
      </c>
      <c r="H8842" s="577">
        <v>7.6E-3</v>
      </c>
      <c r="K8842" t="s">
        <v>5491</v>
      </c>
      <c r="L8842" t="s">
        <v>694</v>
      </c>
      <c r="P8842" t="s">
        <v>5498</v>
      </c>
      <c r="V8842">
        <v>74</v>
      </c>
    </row>
    <row r="8843" spans="1:22" customFormat="1" ht="15" x14ac:dyDescent="0.25">
      <c r="A8843" t="s">
        <v>275</v>
      </c>
      <c r="E8843" s="1533" t="s">
        <v>967</v>
      </c>
      <c r="F8843" s="1524"/>
      <c r="G8843" s="360"/>
      <c r="H8843" s="360"/>
      <c r="K8843" t="s">
        <v>4015</v>
      </c>
      <c r="V8843">
        <v>48</v>
      </c>
    </row>
    <row r="8844" spans="1:22" customFormat="1" ht="15" x14ac:dyDescent="0.25">
      <c r="A8844" t="s">
        <v>275</v>
      </c>
      <c r="E8844" s="1524" t="s">
        <v>844</v>
      </c>
      <c r="F8844" s="1524"/>
      <c r="G8844" s="360" t="s">
        <v>845</v>
      </c>
      <c r="H8844" s="605">
        <v>4.1000000000000003E-3</v>
      </c>
      <c r="K8844" t="s">
        <v>5491</v>
      </c>
      <c r="L8844" t="s">
        <v>968</v>
      </c>
      <c r="P8844" t="s">
        <v>5499</v>
      </c>
      <c r="V8844">
        <v>55</v>
      </c>
    </row>
    <row r="8845" spans="1:22" customFormat="1" ht="15" x14ac:dyDescent="0.25">
      <c r="A8845" t="s">
        <v>275</v>
      </c>
      <c r="E8845" s="1524" t="s">
        <v>846</v>
      </c>
      <c r="F8845" s="1524"/>
      <c r="G8845" s="360" t="s">
        <v>845</v>
      </c>
      <c r="H8845" s="605">
        <v>4.0000000000000002E-4</v>
      </c>
      <c r="K8845" t="s">
        <v>5491</v>
      </c>
      <c r="L8845" t="s">
        <v>968</v>
      </c>
      <c r="P8845" t="s">
        <v>5499</v>
      </c>
      <c r="V8845">
        <v>65</v>
      </c>
    </row>
    <row r="8846" spans="1:22" customFormat="1" ht="15" x14ac:dyDescent="0.25">
      <c r="A8846" t="s">
        <v>275</v>
      </c>
      <c r="E8846" s="1524" t="s">
        <v>847</v>
      </c>
      <c r="F8846" s="1524"/>
      <c r="G8846" s="360" t="s">
        <v>845</v>
      </c>
      <c r="H8846" s="605">
        <v>1.5E-3</v>
      </c>
      <c r="K8846" t="s">
        <v>5491</v>
      </c>
      <c r="L8846" t="s">
        <v>968</v>
      </c>
      <c r="P8846" t="s">
        <v>5500</v>
      </c>
      <c r="V8846">
        <v>57</v>
      </c>
    </row>
    <row r="8847" spans="1:22" customFormat="1" ht="15" x14ac:dyDescent="0.25">
      <c r="A8847" t="s">
        <v>275</v>
      </c>
      <c r="E8847" s="1524" t="s">
        <v>848</v>
      </c>
      <c r="F8847" s="1524"/>
      <c r="G8847" s="360" t="s">
        <v>777</v>
      </c>
      <c r="H8847" s="604">
        <v>0.25</v>
      </c>
      <c r="K8847" t="s">
        <v>5491</v>
      </c>
      <c r="L8847" t="s">
        <v>968</v>
      </c>
      <c r="P8847" t="s">
        <v>5501</v>
      </c>
      <c r="V8847">
        <v>63</v>
      </c>
    </row>
    <row r="8848" spans="1:22" customFormat="1" x14ac:dyDescent="0.25">
      <c r="A8848" t="s">
        <v>275</v>
      </c>
      <c r="E8848" s="1538" t="s">
        <v>207</v>
      </c>
      <c r="F8848" s="1571"/>
      <c r="G8848" s="1571"/>
      <c r="H8848" s="1571"/>
      <c r="K8848" t="s">
        <v>4208</v>
      </c>
      <c r="V8848">
        <v>31</v>
      </c>
    </row>
    <row r="8849" spans="1:22" customFormat="1" ht="15" x14ac:dyDescent="0.25">
      <c r="A8849" t="s">
        <v>275</v>
      </c>
      <c r="E8849" s="1496" t="s">
        <v>5502</v>
      </c>
      <c r="F8849" s="1496"/>
      <c r="G8849" s="1496"/>
      <c r="H8849" s="1496"/>
      <c r="K8849" t="s">
        <v>4208</v>
      </c>
      <c r="V8849">
        <v>282</v>
      </c>
    </row>
    <row r="8850" spans="1:22" customFormat="1" ht="15" x14ac:dyDescent="0.25">
      <c r="A8850" t="s">
        <v>275</v>
      </c>
      <c r="E8850" s="1533" t="s">
        <v>950</v>
      </c>
      <c r="F8850" s="1496"/>
      <c r="G8850" s="1496"/>
      <c r="H8850" s="1496"/>
      <c r="K8850" t="s">
        <v>4022</v>
      </c>
      <c r="V8850">
        <v>11</v>
      </c>
    </row>
    <row r="8851" spans="1:22" customFormat="1" ht="15" x14ac:dyDescent="0.25">
      <c r="A8851" t="s">
        <v>275</v>
      </c>
      <c r="E8851" s="1496" t="s">
        <v>5503</v>
      </c>
      <c r="F8851" s="1496"/>
      <c r="G8851" s="1496"/>
      <c r="H8851" s="1496"/>
      <c r="K8851" t="s">
        <v>4208</v>
      </c>
      <c r="V8851">
        <v>279</v>
      </c>
    </row>
    <row r="8852" spans="1:22" customFormat="1" ht="15" x14ac:dyDescent="0.25">
      <c r="A8852" t="s">
        <v>275</v>
      </c>
      <c r="E8852" s="1496" t="s">
        <v>952</v>
      </c>
      <c r="F8852" s="1496"/>
      <c r="G8852" s="1496"/>
      <c r="H8852" s="1496"/>
      <c r="K8852" t="s">
        <v>4208</v>
      </c>
      <c r="V8852">
        <v>411</v>
      </c>
    </row>
    <row r="8853" spans="1:22" customFormat="1" ht="15" x14ac:dyDescent="0.25">
      <c r="A8853" t="s">
        <v>275</v>
      </c>
      <c r="E8853" s="1496" t="s">
        <v>1103</v>
      </c>
      <c r="F8853" s="1496"/>
      <c r="G8853" s="1496"/>
      <c r="H8853" s="1496"/>
      <c r="K8853" t="s">
        <v>4208</v>
      </c>
      <c r="V8853">
        <v>211</v>
      </c>
    </row>
    <row r="8854" spans="1:22" customFormat="1" ht="15" x14ac:dyDescent="0.25">
      <c r="A8854" t="s">
        <v>275</v>
      </c>
      <c r="E8854" s="1496" t="s">
        <v>3762</v>
      </c>
      <c r="F8854" s="1496"/>
      <c r="G8854" s="1496"/>
      <c r="H8854" s="1496"/>
      <c r="K8854" t="s">
        <v>4208</v>
      </c>
      <c r="V8854">
        <v>247</v>
      </c>
    </row>
    <row r="8855" spans="1:22" customFormat="1" ht="15" x14ac:dyDescent="0.25">
      <c r="A8855" t="s">
        <v>275</v>
      </c>
      <c r="E8855" s="1533" t="s">
        <v>956</v>
      </c>
      <c r="F8855" s="1496"/>
      <c r="G8855" s="1496"/>
      <c r="H8855" s="1496"/>
      <c r="K8855" t="s">
        <v>4023</v>
      </c>
      <c r="V8855">
        <v>46</v>
      </c>
    </row>
    <row r="8856" spans="1:22" customFormat="1" ht="15" x14ac:dyDescent="0.25">
      <c r="A8856" t="s">
        <v>275</v>
      </c>
      <c r="E8856" s="1524" t="s">
        <v>3773</v>
      </c>
      <c r="F8856" s="1524"/>
      <c r="G8856" s="360" t="s">
        <v>777</v>
      </c>
      <c r="H8856" s="576">
        <v>5</v>
      </c>
      <c r="K8856" t="s">
        <v>4208</v>
      </c>
      <c r="L8856" t="s">
        <v>690</v>
      </c>
      <c r="P8856" t="s">
        <v>4211</v>
      </c>
      <c r="V8856">
        <v>14</v>
      </c>
    </row>
    <row r="8857" spans="1:22" customFormat="1" ht="18.75" x14ac:dyDescent="0.3">
      <c r="A8857" t="s">
        <v>275</v>
      </c>
      <c r="E8857" s="842" t="s">
        <v>3825</v>
      </c>
      <c r="F8857" s="639"/>
      <c r="G8857" s="639"/>
      <c r="H8857" s="640"/>
      <c r="K8857" t="s">
        <v>5504</v>
      </c>
      <c r="V8857">
        <v>10</v>
      </c>
    </row>
    <row r="8858" spans="1:22" customFormat="1" ht="15" x14ac:dyDescent="0.25">
      <c r="A8858" t="s">
        <v>275</v>
      </c>
      <c r="E8858" s="1524" t="s">
        <v>1078</v>
      </c>
      <c r="F8858" s="1524"/>
      <c r="G8858" s="360" t="s">
        <v>3775</v>
      </c>
      <c r="H8858" s="605">
        <v>-0.6</v>
      </c>
      <c r="V8858">
        <v>68</v>
      </c>
    </row>
    <row r="8859" spans="1:22" customFormat="1" ht="15" x14ac:dyDescent="0.25">
      <c r="A8859" t="s">
        <v>275</v>
      </c>
      <c r="E8859" s="1524" t="s">
        <v>1079</v>
      </c>
      <c r="F8859" s="1524"/>
      <c r="G8859" s="360" t="s">
        <v>1118</v>
      </c>
      <c r="H8859" s="604">
        <v>-1</v>
      </c>
      <c r="V8859">
        <v>87</v>
      </c>
    </row>
    <row r="8860" spans="1:22" customFormat="1" ht="36" x14ac:dyDescent="0.3">
      <c r="A8860" t="s">
        <v>275</v>
      </c>
      <c r="E8860" s="842" t="s">
        <v>3828</v>
      </c>
      <c r="F8860" s="639"/>
      <c r="G8860" s="639"/>
      <c r="H8860" s="640"/>
      <c r="K8860" t="s">
        <v>5505</v>
      </c>
      <c r="V8860">
        <v>24</v>
      </c>
    </row>
    <row r="8861" spans="1:22" customFormat="1" ht="15" x14ac:dyDescent="0.25">
      <c r="A8861" t="s">
        <v>275</v>
      </c>
      <c r="E8861" s="1496" t="s">
        <v>951</v>
      </c>
      <c r="F8861" s="1496"/>
      <c r="G8861" s="1496"/>
      <c r="H8861" s="1496"/>
      <c r="V8861">
        <v>280</v>
      </c>
    </row>
    <row r="8862" spans="1:22" customFormat="1" ht="15" x14ac:dyDescent="0.25">
      <c r="A8862" t="s">
        <v>275</v>
      </c>
      <c r="E8862" s="1496" t="s">
        <v>1081</v>
      </c>
      <c r="F8862" s="1496"/>
      <c r="G8862" s="1496"/>
      <c r="H8862" s="1496"/>
      <c r="V8862">
        <v>353</v>
      </c>
    </row>
    <row r="8863" spans="1:22" customFormat="1" ht="15" x14ac:dyDescent="0.25">
      <c r="A8863" t="s">
        <v>275</v>
      </c>
      <c r="E8863" s="1496" t="s">
        <v>3762</v>
      </c>
      <c r="F8863" s="1496"/>
      <c r="G8863" s="1496"/>
      <c r="H8863" s="1496"/>
      <c r="V8863">
        <v>247</v>
      </c>
    </row>
    <row r="8864" spans="1:22" customFormat="1" ht="15" x14ac:dyDescent="0.25">
      <c r="A8864" t="s">
        <v>275</v>
      </c>
      <c r="E8864" s="844" t="s">
        <v>5506</v>
      </c>
      <c r="F8864" s="276"/>
      <c r="G8864" s="276"/>
      <c r="H8864" s="641"/>
      <c r="K8864" t="s">
        <v>5507</v>
      </c>
      <c r="V8864">
        <v>23</v>
      </c>
    </row>
    <row r="8865" spans="1:22" customFormat="1" ht="15" x14ac:dyDescent="0.25">
      <c r="A8865" t="s">
        <v>275</v>
      </c>
      <c r="E8865" s="1525" t="s">
        <v>4056</v>
      </c>
      <c r="F8865" s="1525"/>
      <c r="G8865" s="360" t="s">
        <v>777</v>
      </c>
      <c r="H8865" s="604">
        <v>15</v>
      </c>
      <c r="V8865">
        <v>15</v>
      </c>
    </row>
    <row r="8866" spans="1:22" customFormat="1" ht="15" x14ac:dyDescent="0.25">
      <c r="A8866" t="s">
        <v>275</v>
      </c>
      <c r="E8866" s="1525" t="s">
        <v>3914</v>
      </c>
      <c r="F8866" s="1525"/>
      <c r="G8866" s="360" t="s">
        <v>777</v>
      </c>
      <c r="H8866" s="604">
        <v>30</v>
      </c>
      <c r="V8866">
        <v>19</v>
      </c>
    </row>
    <row r="8867" spans="1:22" customFormat="1" ht="15" x14ac:dyDescent="0.25">
      <c r="A8867" t="s">
        <v>275</v>
      </c>
      <c r="E8867" s="1525" t="s">
        <v>3837</v>
      </c>
      <c r="F8867" s="1525"/>
      <c r="G8867" s="360" t="s">
        <v>777</v>
      </c>
      <c r="H8867" s="604">
        <v>30</v>
      </c>
      <c r="V8867">
        <v>89</v>
      </c>
    </row>
    <row r="8868" spans="1:22" customFormat="1" ht="15" x14ac:dyDescent="0.25">
      <c r="A8868" t="s">
        <v>275</v>
      </c>
      <c r="E8868" s="1525" t="s">
        <v>3836</v>
      </c>
      <c r="F8868" s="1525"/>
      <c r="G8868" s="360" t="s">
        <v>777</v>
      </c>
      <c r="H8868" s="604">
        <v>15</v>
      </c>
      <c r="V8868">
        <v>35</v>
      </c>
    </row>
    <row r="8869" spans="1:22" customFormat="1" ht="15" x14ac:dyDescent="0.25">
      <c r="A8869" t="s">
        <v>275</v>
      </c>
      <c r="E8869" s="1525" t="s">
        <v>5508</v>
      </c>
      <c r="F8869" s="1525"/>
      <c r="G8869" s="360" t="s">
        <v>777</v>
      </c>
      <c r="H8869" s="604">
        <v>15</v>
      </c>
      <c r="V8869">
        <v>26</v>
      </c>
    </row>
    <row r="8870" spans="1:22" customFormat="1" ht="15" x14ac:dyDescent="0.25">
      <c r="A8870" t="s">
        <v>275</v>
      </c>
      <c r="E8870" s="844" t="s">
        <v>5509</v>
      </c>
      <c r="F8870" s="276"/>
      <c r="G8870" s="276"/>
      <c r="H8870" s="641"/>
      <c r="K8870" t="s">
        <v>5510</v>
      </c>
      <c r="V8870">
        <v>22</v>
      </c>
    </row>
    <row r="8871" spans="1:22" customFormat="1" ht="15" x14ac:dyDescent="0.25">
      <c r="A8871" t="s">
        <v>275</v>
      </c>
      <c r="E8871" s="1525" t="s">
        <v>4700</v>
      </c>
      <c r="F8871" s="1525"/>
      <c r="G8871" s="360"/>
      <c r="H8871" s="616"/>
      <c r="V8871">
        <v>24</v>
      </c>
    </row>
    <row r="8872" spans="1:22" customFormat="1" ht="15" x14ac:dyDescent="0.25">
      <c r="A8872" t="s">
        <v>275</v>
      </c>
      <c r="E8872" s="1525" t="s">
        <v>4701</v>
      </c>
      <c r="F8872" s="1525"/>
      <c r="G8872" s="360" t="s">
        <v>1118</v>
      </c>
      <c r="H8872" s="604">
        <v>1.5</v>
      </c>
      <c r="V8872">
        <v>74</v>
      </c>
    </row>
    <row r="8873" spans="1:22" customFormat="1" ht="15" x14ac:dyDescent="0.25">
      <c r="A8873" t="s">
        <v>275</v>
      </c>
      <c r="E8873" s="1525" t="s">
        <v>3842</v>
      </c>
      <c r="F8873" s="1525"/>
      <c r="G8873" s="360" t="s">
        <v>777</v>
      </c>
      <c r="H8873" s="604">
        <v>35</v>
      </c>
      <c r="V8873">
        <v>44</v>
      </c>
    </row>
    <row r="8874" spans="1:22" customFormat="1" ht="15" x14ac:dyDescent="0.25">
      <c r="A8874" t="s">
        <v>275</v>
      </c>
      <c r="E8874" s="1525" t="s">
        <v>3843</v>
      </c>
      <c r="F8874" s="1525"/>
      <c r="G8874" s="360" t="s">
        <v>777</v>
      </c>
      <c r="H8874" s="604">
        <v>185</v>
      </c>
      <c r="V8874">
        <v>43</v>
      </c>
    </row>
    <row r="8875" spans="1:22" customFormat="1" ht="15" x14ac:dyDescent="0.25">
      <c r="A8875" t="s">
        <v>275</v>
      </c>
      <c r="E8875" s="1525" t="s">
        <v>3844</v>
      </c>
      <c r="F8875" s="1525"/>
      <c r="G8875" s="360" t="s">
        <v>777</v>
      </c>
      <c r="H8875" s="604">
        <v>185</v>
      </c>
      <c r="V8875">
        <v>43</v>
      </c>
    </row>
    <row r="8876" spans="1:22" customFormat="1" ht="15" x14ac:dyDescent="0.25">
      <c r="A8876" t="s">
        <v>275</v>
      </c>
      <c r="E8876" s="1525" t="s">
        <v>3845</v>
      </c>
      <c r="F8876" s="1525"/>
      <c r="G8876" s="360" t="s">
        <v>777</v>
      </c>
      <c r="H8876" s="604">
        <v>415</v>
      </c>
      <c r="V8876">
        <v>42</v>
      </c>
    </row>
    <row r="8877" spans="1:22" customFormat="1" ht="15" x14ac:dyDescent="0.25">
      <c r="A8877" t="s">
        <v>275</v>
      </c>
      <c r="E8877" s="844" t="s">
        <v>5511</v>
      </c>
      <c r="F8877" s="276"/>
      <c r="G8877" s="276"/>
      <c r="H8877" s="641"/>
      <c r="V8877">
        <v>5</v>
      </c>
    </row>
    <row r="8878" spans="1:22" customFormat="1" ht="15" x14ac:dyDescent="0.25">
      <c r="A8878" t="s">
        <v>275</v>
      </c>
      <c r="E8878" s="1525" t="s">
        <v>5512</v>
      </c>
      <c r="F8878" s="1525"/>
      <c r="G8878" s="360" t="s">
        <v>777</v>
      </c>
      <c r="H8878" s="604">
        <v>5.5</v>
      </c>
      <c r="V8878">
        <v>26</v>
      </c>
    </row>
    <row r="8879" spans="1:22" customFormat="1" ht="15" x14ac:dyDescent="0.25">
      <c r="A8879" t="s">
        <v>275</v>
      </c>
      <c r="E8879" s="1525" t="s">
        <v>3848</v>
      </c>
      <c r="F8879" s="1525"/>
      <c r="G8879" s="360" t="s">
        <v>777</v>
      </c>
      <c r="H8879" s="604">
        <v>500</v>
      </c>
      <c r="V8879">
        <v>64</v>
      </c>
    </row>
    <row r="8880" spans="1:22" customFormat="1" ht="15" x14ac:dyDescent="0.25">
      <c r="A8880" t="s">
        <v>275</v>
      </c>
      <c r="E8880" s="1525" t="s">
        <v>4808</v>
      </c>
      <c r="F8880" s="1525"/>
      <c r="G8880" s="360" t="s">
        <v>777</v>
      </c>
      <c r="H8880" s="604">
        <v>300</v>
      </c>
      <c r="V8880">
        <v>67</v>
      </c>
    </row>
    <row r="8881" spans="1:22" customFormat="1" ht="15" x14ac:dyDescent="0.25">
      <c r="A8881" t="s">
        <v>275</v>
      </c>
      <c r="E8881" s="1525" t="s">
        <v>3847</v>
      </c>
      <c r="F8881" s="1525"/>
      <c r="G8881" s="360" t="s">
        <v>777</v>
      </c>
      <c r="H8881" s="604">
        <v>165</v>
      </c>
      <c r="V8881">
        <v>34</v>
      </c>
    </row>
    <row r="8882" spans="1:22" customFormat="1" ht="15" x14ac:dyDescent="0.25">
      <c r="A8882" t="s">
        <v>275</v>
      </c>
      <c r="E8882" s="1525" t="s">
        <v>4560</v>
      </c>
      <c r="F8882" s="1525"/>
      <c r="G8882" s="360" t="s">
        <v>777</v>
      </c>
      <c r="H8882" s="604">
        <v>39.14</v>
      </c>
      <c r="V8882">
        <v>104</v>
      </c>
    </row>
    <row r="8883" spans="1:22" customFormat="1" ht="36" x14ac:dyDescent="0.3">
      <c r="A8883" t="s">
        <v>275</v>
      </c>
      <c r="E8883" s="842" t="s">
        <v>3851</v>
      </c>
      <c r="F8883" s="639"/>
      <c r="G8883" s="639"/>
      <c r="H8883" s="640"/>
      <c r="K8883" t="s">
        <v>5513</v>
      </c>
      <c r="V8883">
        <v>38</v>
      </c>
    </row>
    <row r="8884" spans="1:22" customFormat="1" ht="15" x14ac:dyDescent="0.25">
      <c r="A8884" t="s">
        <v>275</v>
      </c>
      <c r="E8884" s="1496" t="s">
        <v>951</v>
      </c>
      <c r="F8884" s="1496"/>
      <c r="G8884" s="1496"/>
      <c r="H8884" s="1496"/>
      <c r="V8884">
        <v>280</v>
      </c>
    </row>
    <row r="8885" spans="1:22" customFormat="1" ht="15" x14ac:dyDescent="0.25">
      <c r="A8885" t="s">
        <v>275</v>
      </c>
      <c r="E8885" s="1496" t="s">
        <v>952</v>
      </c>
      <c r="F8885" s="1496"/>
      <c r="G8885" s="1496"/>
      <c r="H8885" s="1496"/>
      <c r="V8885">
        <v>411</v>
      </c>
    </row>
    <row r="8886" spans="1:22" customFormat="1" ht="15" x14ac:dyDescent="0.25">
      <c r="A8886" t="s">
        <v>275</v>
      </c>
      <c r="E8886" s="1496" t="s">
        <v>1103</v>
      </c>
      <c r="F8886" s="1496"/>
      <c r="G8886" s="1496"/>
      <c r="H8886" s="1496"/>
      <c r="V8886">
        <v>211</v>
      </c>
    </row>
    <row r="8887" spans="1:22" customFormat="1" ht="15" x14ac:dyDescent="0.25">
      <c r="A8887" t="s">
        <v>275</v>
      </c>
      <c r="E8887" s="1496" t="s">
        <v>3762</v>
      </c>
      <c r="F8887" s="1496"/>
      <c r="G8887" s="1496"/>
      <c r="H8887" s="1496"/>
      <c r="V8887">
        <v>247</v>
      </c>
    </row>
    <row r="8888" spans="1:22" customFormat="1" ht="15" x14ac:dyDescent="0.25">
      <c r="A8888" t="s">
        <v>275</v>
      </c>
      <c r="E8888" s="1496" t="s">
        <v>1104</v>
      </c>
      <c r="F8888" s="1496"/>
      <c r="G8888" s="1496"/>
      <c r="H8888" s="1496"/>
      <c r="V8888">
        <v>142</v>
      </c>
    </row>
    <row r="8889" spans="1:22" customFormat="1" ht="15" x14ac:dyDescent="0.25">
      <c r="A8889" t="s">
        <v>275</v>
      </c>
      <c r="E8889" s="1524" t="s">
        <v>849</v>
      </c>
      <c r="F8889" s="1524"/>
      <c r="G8889" s="615" t="s">
        <v>777</v>
      </c>
      <c r="H8889" s="604">
        <v>121.23</v>
      </c>
      <c r="V8889">
        <v>106</v>
      </c>
    </row>
    <row r="8890" spans="1:22" customFormat="1" ht="15" x14ac:dyDescent="0.25">
      <c r="A8890" t="s">
        <v>275</v>
      </c>
      <c r="E8890" s="1524" t="s">
        <v>4471</v>
      </c>
      <c r="F8890" s="1524"/>
      <c r="G8890" s="615" t="s">
        <v>777</v>
      </c>
      <c r="H8890" s="604">
        <v>48.5</v>
      </c>
      <c r="V8890">
        <v>34</v>
      </c>
    </row>
    <row r="8891" spans="1:22" customFormat="1" ht="15" x14ac:dyDescent="0.25">
      <c r="A8891" t="s">
        <v>275</v>
      </c>
      <c r="E8891" s="1524" t="s">
        <v>4472</v>
      </c>
      <c r="F8891" s="1524"/>
      <c r="G8891" s="615" t="s">
        <v>852</v>
      </c>
      <c r="H8891" s="604">
        <v>1.2</v>
      </c>
      <c r="V8891">
        <v>51</v>
      </c>
    </row>
    <row r="8892" spans="1:22" customFormat="1" ht="15" x14ac:dyDescent="0.25">
      <c r="A8892" t="s">
        <v>275</v>
      </c>
      <c r="E8892" s="1524" t="s">
        <v>853</v>
      </c>
      <c r="F8892" s="1524"/>
      <c r="G8892" s="615" t="s">
        <v>852</v>
      </c>
      <c r="H8892" s="604">
        <v>0.71</v>
      </c>
      <c r="V8892">
        <v>75</v>
      </c>
    </row>
    <row r="8893" spans="1:22" customFormat="1" ht="15" x14ac:dyDescent="0.25">
      <c r="A8893" t="s">
        <v>275</v>
      </c>
      <c r="E8893" s="1524" t="s">
        <v>854</v>
      </c>
      <c r="F8893" s="1524"/>
      <c r="G8893" s="615" t="s">
        <v>852</v>
      </c>
      <c r="H8893" s="652">
        <v>-0.71</v>
      </c>
      <c r="V8893">
        <v>72</v>
      </c>
    </row>
    <row r="8894" spans="1:22" customFormat="1" ht="15" x14ac:dyDescent="0.25">
      <c r="A8894" t="s">
        <v>275</v>
      </c>
      <c r="E8894" s="1524" t="s">
        <v>855</v>
      </c>
      <c r="F8894" s="1524"/>
      <c r="G8894" s="615"/>
      <c r="H8894" s="616"/>
      <c r="V8894">
        <v>34</v>
      </c>
    </row>
    <row r="8895" spans="1:22" customFormat="1" ht="15" x14ac:dyDescent="0.25">
      <c r="A8895" t="s">
        <v>275</v>
      </c>
      <c r="E8895" s="1557" t="s">
        <v>1106</v>
      </c>
      <c r="F8895" s="1557"/>
      <c r="G8895" s="615" t="s">
        <v>777</v>
      </c>
      <c r="H8895" s="604">
        <v>0.61</v>
      </c>
      <c r="V8895">
        <v>57</v>
      </c>
    </row>
    <row r="8896" spans="1:22" customFormat="1" ht="15" x14ac:dyDescent="0.25">
      <c r="A8896" t="s">
        <v>275</v>
      </c>
      <c r="E8896" s="1557" t="s">
        <v>1107</v>
      </c>
      <c r="F8896" s="1557"/>
      <c r="G8896" s="615" t="s">
        <v>777</v>
      </c>
      <c r="H8896" s="604">
        <v>1.2</v>
      </c>
      <c r="V8896">
        <v>60</v>
      </c>
    </row>
    <row r="8897" spans="1:22" customFormat="1" ht="15" x14ac:dyDescent="0.25">
      <c r="A8897" t="s">
        <v>275</v>
      </c>
      <c r="E8897" s="1524" t="s">
        <v>1108</v>
      </c>
      <c r="F8897" s="1524"/>
      <c r="G8897" s="615"/>
      <c r="H8897" s="616"/>
      <c r="V8897">
        <v>91</v>
      </c>
    </row>
    <row r="8898" spans="1:22" customFormat="1" ht="15" x14ac:dyDescent="0.25">
      <c r="A8898" t="s">
        <v>275</v>
      </c>
      <c r="E8898" s="1524" t="s">
        <v>1109</v>
      </c>
      <c r="F8898" s="1524"/>
      <c r="G8898" s="615"/>
      <c r="H8898" s="616"/>
      <c r="V8898">
        <v>96</v>
      </c>
    </row>
    <row r="8899" spans="1:22" customFormat="1" ht="15" x14ac:dyDescent="0.25">
      <c r="A8899" t="s">
        <v>275</v>
      </c>
      <c r="E8899" s="1524" t="s">
        <v>856</v>
      </c>
      <c r="F8899" s="1524"/>
      <c r="G8899" s="615"/>
      <c r="H8899" s="616"/>
      <c r="V8899">
        <v>77</v>
      </c>
    </row>
    <row r="8900" spans="1:22" customFormat="1" ht="15" x14ac:dyDescent="0.25">
      <c r="A8900" t="s">
        <v>275</v>
      </c>
      <c r="E8900" s="1557" t="s">
        <v>1111</v>
      </c>
      <c r="F8900" s="1557"/>
      <c r="G8900" s="615" t="s">
        <v>777</v>
      </c>
      <c r="H8900" s="616" t="s">
        <v>857</v>
      </c>
      <c r="V8900">
        <v>18</v>
      </c>
    </row>
    <row r="8901" spans="1:22" customFormat="1" ht="15" x14ac:dyDescent="0.25">
      <c r="A8901" t="s">
        <v>275</v>
      </c>
      <c r="E8901" s="1557" t="s">
        <v>1112</v>
      </c>
      <c r="F8901" s="1557"/>
      <c r="G8901" s="615" t="s">
        <v>777</v>
      </c>
      <c r="H8901" s="604">
        <v>4.8499999999999996</v>
      </c>
      <c r="V8901">
        <v>69</v>
      </c>
    </row>
    <row r="8902" spans="1:22" customFormat="1" ht="15" x14ac:dyDescent="0.25">
      <c r="A8902" t="s">
        <v>275</v>
      </c>
      <c r="E8902" s="1524" t="s">
        <v>858</v>
      </c>
      <c r="F8902" s="1524"/>
      <c r="G8902" s="615" t="s">
        <v>777</v>
      </c>
      <c r="H8902" s="604">
        <v>2.42</v>
      </c>
      <c r="V8902">
        <v>199</v>
      </c>
    </row>
    <row r="8903" spans="1:22" customFormat="1" ht="18.75" x14ac:dyDescent="0.3">
      <c r="A8903" t="s">
        <v>275</v>
      </c>
      <c r="E8903" s="842" t="s">
        <v>3853</v>
      </c>
      <c r="F8903" s="639"/>
      <c r="G8903" s="639"/>
      <c r="H8903" s="640"/>
      <c r="K8903" t="s">
        <v>5514</v>
      </c>
      <c r="V8903">
        <v>12</v>
      </c>
    </row>
    <row r="8904" spans="1:22" customFormat="1" ht="15" x14ac:dyDescent="0.25">
      <c r="A8904" t="s">
        <v>275</v>
      </c>
      <c r="E8904" s="1524" t="s">
        <v>1114</v>
      </c>
      <c r="F8904" s="1524"/>
      <c r="G8904" s="1524"/>
      <c r="H8904" s="1524"/>
      <c r="V8904">
        <v>203</v>
      </c>
    </row>
    <row r="8905" spans="1:22" customFormat="1" ht="15" x14ac:dyDescent="0.25">
      <c r="A8905" t="s">
        <v>275</v>
      </c>
      <c r="E8905" s="1524" t="s">
        <v>1115</v>
      </c>
      <c r="F8905" s="1524"/>
      <c r="G8905" s="360"/>
      <c r="H8905" s="616">
        <v>1.0287999999999999</v>
      </c>
      <c r="V8905">
        <v>57</v>
      </c>
    </row>
    <row r="8906" spans="1:22" customFormat="1" ht="15" x14ac:dyDescent="0.25">
      <c r="A8906" t="s">
        <v>275</v>
      </c>
      <c r="E8906" s="1524" t="s">
        <v>4072</v>
      </c>
      <c r="F8906" s="1524"/>
      <c r="G8906" s="360"/>
      <c r="H8906" s="616">
        <v>1.0119</v>
      </c>
      <c r="V8906">
        <v>57</v>
      </c>
    </row>
    <row r="8907" spans="1:22" customFormat="1" ht="15" x14ac:dyDescent="0.25">
      <c r="A8907" t="s">
        <v>275</v>
      </c>
      <c r="E8907" s="1524" t="s">
        <v>1117</v>
      </c>
      <c r="F8907" s="1524"/>
      <c r="G8907" s="360"/>
      <c r="H8907" s="616">
        <v>1.0185</v>
      </c>
      <c r="V8907">
        <v>55</v>
      </c>
    </row>
    <row r="8908" spans="1:22" customFormat="1" ht="15" x14ac:dyDescent="0.25">
      <c r="A8908" t="s">
        <v>275</v>
      </c>
      <c r="E8908" s="1524" t="s">
        <v>4073</v>
      </c>
      <c r="F8908" s="1524"/>
      <c r="G8908" s="360"/>
      <c r="H8908" s="616">
        <v>1.0016</v>
      </c>
      <c r="J8908" t="s">
        <v>5515</v>
      </c>
      <c r="V8908">
        <v>55</v>
      </c>
    </row>
    <row r="8909" spans="1:22" customFormat="1" ht="23.25" x14ac:dyDescent="0.25">
      <c r="A8909" t="s">
        <v>287</v>
      </c>
      <c r="B8909" t="s">
        <v>6436</v>
      </c>
      <c r="C8909" t="s">
        <v>3755</v>
      </c>
      <c r="E8909" s="1550" t="s">
        <v>287</v>
      </c>
      <c r="F8909" s="1550"/>
      <c r="G8909" s="1550"/>
      <c r="H8909" s="1550"/>
      <c r="I8909" t="s">
        <v>94</v>
      </c>
      <c r="J8909" t="s">
        <v>6437</v>
      </c>
      <c r="K8909" t="s">
        <v>287</v>
      </c>
      <c r="M8909">
        <v>7</v>
      </c>
      <c r="V8909">
        <v>36</v>
      </c>
    </row>
    <row r="8910" spans="1:22" customFormat="1" ht="23.25" x14ac:dyDescent="0.25">
      <c r="A8910" t="s">
        <v>287</v>
      </c>
      <c r="B8910" t="s">
        <v>6436</v>
      </c>
      <c r="C8910" t="s">
        <v>3757</v>
      </c>
      <c r="E8910" s="1550" t="s">
        <v>5516</v>
      </c>
      <c r="F8910" s="1550"/>
      <c r="G8910" s="1550"/>
      <c r="H8910" s="1550"/>
      <c r="V8910">
        <v>18</v>
      </c>
    </row>
    <row r="8911" spans="1:22" customFormat="1" x14ac:dyDescent="0.25">
      <c r="A8911" t="s">
        <v>287</v>
      </c>
      <c r="B8911" t="s">
        <v>6436</v>
      </c>
      <c r="C8911" t="s">
        <v>3758</v>
      </c>
      <c r="E8911" s="1551" t="s">
        <v>944</v>
      </c>
      <c r="F8911" s="1551"/>
      <c r="G8911" s="1551"/>
      <c r="H8911" s="1551"/>
      <c r="V8911">
        <v>27</v>
      </c>
    </row>
    <row r="8912" spans="1:22" customFormat="1" ht="15.75" x14ac:dyDescent="0.25">
      <c r="A8912" t="s">
        <v>287</v>
      </c>
      <c r="B8912" t="s">
        <v>6436</v>
      </c>
      <c r="C8912" t="s">
        <v>3759</v>
      </c>
      <c r="E8912" s="1543" t="s">
        <v>6847</v>
      </c>
      <c r="F8912" s="1543"/>
      <c r="G8912" s="1543"/>
      <c r="H8912" s="1543"/>
      <c r="S8912">
        <v>45778</v>
      </c>
      <c r="V8912">
        <v>45</v>
      </c>
    </row>
    <row r="8913" spans="1:22" customFormat="1" ht="15" x14ac:dyDescent="0.25">
      <c r="A8913" t="s">
        <v>287</v>
      </c>
      <c r="B8913" t="s">
        <v>6436</v>
      </c>
      <c r="E8913" s="1544" t="s">
        <v>945</v>
      </c>
      <c r="F8913" s="1544"/>
      <c r="G8913" s="1544"/>
      <c r="H8913" s="1544"/>
      <c r="V8913">
        <v>52</v>
      </c>
    </row>
    <row r="8914" spans="1:22" customFormat="1" ht="15" x14ac:dyDescent="0.25">
      <c r="A8914" t="s">
        <v>287</v>
      </c>
      <c r="B8914" t="s">
        <v>6436</v>
      </c>
      <c r="E8914" s="1544" t="s">
        <v>946</v>
      </c>
      <c r="F8914" s="1544"/>
      <c r="G8914" s="1544"/>
      <c r="H8914" s="1544"/>
      <c r="V8914">
        <v>53</v>
      </c>
    </row>
    <row r="8915" spans="1:22" customFormat="1" ht="15" x14ac:dyDescent="0.25">
      <c r="A8915" t="s">
        <v>287</v>
      </c>
      <c r="B8915" t="s">
        <v>6436</v>
      </c>
      <c r="E8915" s="1513" t="s">
        <v>6883</v>
      </c>
      <c r="F8915" s="1513"/>
      <c r="G8915" s="1513"/>
      <c r="H8915" s="1513"/>
      <c r="K8915" t="s">
        <v>6883</v>
      </c>
      <c r="V8915">
        <v>12</v>
      </c>
    </row>
    <row r="8916" spans="1:22" customFormat="1" x14ac:dyDescent="0.25">
      <c r="A8916" t="s">
        <v>287</v>
      </c>
      <c r="B8916" t="s">
        <v>6436</v>
      </c>
      <c r="E8916" s="1499" t="s">
        <v>170</v>
      </c>
      <c r="F8916" s="1530"/>
      <c r="G8916" s="1530"/>
      <c r="H8916" s="1530"/>
      <c r="K8916" t="s">
        <v>947</v>
      </c>
      <c r="V8916">
        <v>34</v>
      </c>
    </row>
    <row r="8917" spans="1:22" customFormat="1" ht="15" x14ac:dyDescent="0.25">
      <c r="A8917" t="s">
        <v>287</v>
      </c>
      <c r="B8917" t="s">
        <v>6436</v>
      </c>
      <c r="E8917" s="1516" t="s">
        <v>5517</v>
      </c>
      <c r="F8917" s="1516"/>
      <c r="G8917" s="1516"/>
      <c r="H8917" s="1516"/>
      <c r="K8917" t="s">
        <v>947</v>
      </c>
      <c r="V8917">
        <v>396</v>
      </c>
    </row>
    <row r="8918" spans="1:22" customFormat="1" ht="15" x14ac:dyDescent="0.25">
      <c r="A8918" t="s">
        <v>287</v>
      </c>
      <c r="B8918" t="s">
        <v>6436</v>
      </c>
      <c r="E8918" s="1553" t="s">
        <v>950</v>
      </c>
      <c r="F8918" s="1530"/>
      <c r="G8918" s="1530"/>
      <c r="H8918" s="1530"/>
      <c r="K8918" t="s">
        <v>949</v>
      </c>
      <c r="V8918">
        <v>11</v>
      </c>
    </row>
    <row r="8919" spans="1:22" customFormat="1" ht="15" x14ac:dyDescent="0.25">
      <c r="A8919" t="s">
        <v>287</v>
      </c>
      <c r="B8919" t="s">
        <v>6436</v>
      </c>
      <c r="E8919" s="1516" t="s">
        <v>5518</v>
      </c>
      <c r="F8919" s="1516"/>
      <c r="G8919" s="1516"/>
      <c r="H8919" s="1516"/>
      <c r="K8919" t="s">
        <v>947</v>
      </c>
      <c r="V8919">
        <v>250</v>
      </c>
    </row>
    <row r="8920" spans="1:22" customFormat="1" ht="15" x14ac:dyDescent="0.25">
      <c r="A8920" t="s">
        <v>287</v>
      </c>
      <c r="B8920" t="s">
        <v>6436</v>
      </c>
      <c r="E8920" s="1516" t="s">
        <v>5519</v>
      </c>
      <c r="F8920" s="1516"/>
      <c r="G8920" s="1516"/>
      <c r="H8920" s="1516"/>
      <c r="K8920" t="s">
        <v>947</v>
      </c>
      <c r="V8920">
        <v>381</v>
      </c>
    </row>
    <row r="8921" spans="1:22" customFormat="1" ht="15" x14ac:dyDescent="0.25">
      <c r="A8921" t="s">
        <v>287</v>
      </c>
      <c r="B8921" t="s">
        <v>6436</v>
      </c>
      <c r="E8921" s="1516" t="s">
        <v>3761</v>
      </c>
      <c r="F8921" s="1516"/>
      <c r="G8921" s="1516"/>
      <c r="H8921" s="1516"/>
      <c r="K8921" t="s">
        <v>947</v>
      </c>
      <c r="V8921">
        <v>387</v>
      </c>
    </row>
    <row r="8922" spans="1:22" customFormat="1" ht="15" x14ac:dyDescent="0.25">
      <c r="A8922" t="s">
        <v>287</v>
      </c>
      <c r="B8922" t="s">
        <v>6436</v>
      </c>
      <c r="E8922" s="1516" t="s">
        <v>5520</v>
      </c>
      <c r="F8922" s="1516"/>
      <c r="G8922" s="1516"/>
      <c r="H8922" s="1516"/>
      <c r="K8922" t="s">
        <v>947</v>
      </c>
      <c r="V8922">
        <v>231</v>
      </c>
    </row>
    <row r="8923" spans="1:22" customFormat="1" ht="15" x14ac:dyDescent="0.25">
      <c r="A8923" t="s">
        <v>287</v>
      </c>
      <c r="B8923" t="s">
        <v>6436</v>
      </c>
      <c r="E8923" s="1553" t="s">
        <v>956</v>
      </c>
      <c r="F8923" s="1530"/>
      <c r="G8923" s="1530"/>
      <c r="H8923" s="1530"/>
      <c r="K8923" t="s">
        <v>955</v>
      </c>
      <c r="V8923">
        <v>46</v>
      </c>
    </row>
    <row r="8924" spans="1:22" customFormat="1" ht="15" x14ac:dyDescent="0.25">
      <c r="A8924" t="s">
        <v>287</v>
      </c>
      <c r="B8924" t="s">
        <v>6436</v>
      </c>
      <c r="E8924" s="1507" t="s">
        <v>3773</v>
      </c>
      <c r="F8924" s="1507"/>
      <c r="G8924" s="584" t="s">
        <v>777</v>
      </c>
      <c r="H8924" s="576">
        <v>44.66</v>
      </c>
      <c r="K8924" t="s">
        <v>947</v>
      </c>
      <c r="L8924" t="s">
        <v>690</v>
      </c>
      <c r="P8924" t="s">
        <v>957</v>
      </c>
      <c r="V8924">
        <v>14</v>
      </c>
    </row>
    <row r="8925" spans="1:22" customFormat="1" ht="15" x14ac:dyDescent="0.25">
      <c r="A8925" t="s">
        <v>287</v>
      </c>
      <c r="B8925" t="s">
        <v>6436</v>
      </c>
      <c r="E8925" s="1507" t="s">
        <v>960</v>
      </c>
      <c r="F8925" s="1507"/>
      <c r="G8925" s="584" t="s">
        <v>777</v>
      </c>
      <c r="H8925" s="576">
        <v>0.42</v>
      </c>
      <c r="K8925" t="s">
        <v>947</v>
      </c>
      <c r="L8925" t="s">
        <v>692</v>
      </c>
      <c r="P8925" t="s">
        <v>959</v>
      </c>
      <c r="V8925">
        <v>64</v>
      </c>
    </row>
    <row r="8926" spans="1:22" customFormat="1" ht="15" x14ac:dyDescent="0.25">
      <c r="A8926" t="s">
        <v>287</v>
      </c>
      <c r="B8926" t="s">
        <v>6436</v>
      </c>
      <c r="E8926" s="1507" t="s">
        <v>910</v>
      </c>
      <c r="F8926" s="1507"/>
      <c r="G8926" s="584" t="s">
        <v>845</v>
      </c>
      <c r="H8926" s="577">
        <v>6.7000000000000002E-3</v>
      </c>
      <c r="K8926" t="s">
        <v>947</v>
      </c>
      <c r="L8926" t="s">
        <v>692</v>
      </c>
      <c r="P8926" t="s">
        <v>961</v>
      </c>
      <c r="V8926">
        <v>24</v>
      </c>
    </row>
    <row r="8927" spans="1:22" customFormat="1" ht="15" x14ac:dyDescent="0.25">
      <c r="A8927" t="s">
        <v>287</v>
      </c>
      <c r="B8927" t="s">
        <v>6436</v>
      </c>
      <c r="E8927" s="1507" t="s">
        <v>5521</v>
      </c>
      <c r="F8927" s="1507"/>
      <c r="G8927" s="584" t="s">
        <v>845</v>
      </c>
      <c r="H8927" s="577">
        <v>1.4E-3</v>
      </c>
      <c r="K8927" t="s">
        <v>947</v>
      </c>
      <c r="L8927" t="s">
        <v>692</v>
      </c>
      <c r="P8927" t="s">
        <v>963</v>
      </c>
      <c r="T8927">
        <v>46142</v>
      </c>
      <c r="V8927">
        <v>96</v>
      </c>
    </row>
    <row r="8928" spans="1:22" customFormat="1" ht="15" x14ac:dyDescent="0.25">
      <c r="A8928" t="s">
        <v>287</v>
      </c>
      <c r="B8928" t="s">
        <v>6436</v>
      </c>
      <c r="E8928" s="1507" t="s">
        <v>6850</v>
      </c>
      <c r="F8928" s="1507"/>
      <c r="G8928" s="584" t="s">
        <v>845</v>
      </c>
      <c r="H8928" s="577">
        <v>2.2000000000000001E-3</v>
      </c>
      <c r="K8928" t="s">
        <v>947</v>
      </c>
      <c r="L8928" t="s">
        <v>692</v>
      </c>
      <c r="P8928" t="s">
        <v>963</v>
      </c>
      <c r="T8928">
        <v>46142</v>
      </c>
      <c r="V8928">
        <v>96</v>
      </c>
    </row>
    <row r="8929" spans="1:22" customFormat="1" ht="15" x14ac:dyDescent="0.25">
      <c r="A8929" t="s">
        <v>287</v>
      </c>
      <c r="B8929" t="s">
        <v>6436</v>
      </c>
      <c r="E8929" s="1507" t="s">
        <v>6884</v>
      </c>
      <c r="F8929" s="1507"/>
      <c r="G8929" s="584" t="s">
        <v>845</v>
      </c>
      <c r="H8929" s="577">
        <v>5.9999999999999995E-4</v>
      </c>
      <c r="K8929" t="s">
        <v>947</v>
      </c>
      <c r="L8929" t="s">
        <v>690</v>
      </c>
      <c r="P8929" t="s">
        <v>5523</v>
      </c>
      <c r="T8929">
        <v>46142</v>
      </c>
      <c r="V8929">
        <v>132</v>
      </c>
    </row>
    <row r="8930" spans="1:22" customFormat="1" ht="15" x14ac:dyDescent="0.25">
      <c r="A8930" t="s">
        <v>287</v>
      </c>
      <c r="B8930" t="s">
        <v>6436</v>
      </c>
      <c r="E8930" s="1507" t="s">
        <v>243</v>
      </c>
      <c r="F8930" s="1507"/>
      <c r="G8930" s="584" t="s">
        <v>845</v>
      </c>
      <c r="H8930" s="577">
        <v>8.3999999999999995E-3</v>
      </c>
      <c r="K8930" t="s">
        <v>947</v>
      </c>
      <c r="L8930" t="s">
        <v>694</v>
      </c>
      <c r="P8930" t="s">
        <v>964</v>
      </c>
      <c r="V8930">
        <v>47</v>
      </c>
    </row>
    <row r="8931" spans="1:22" customFormat="1" ht="15" x14ac:dyDescent="0.25">
      <c r="A8931" t="s">
        <v>287</v>
      </c>
      <c r="B8931" t="s">
        <v>6436</v>
      </c>
      <c r="E8931" s="1507" t="s">
        <v>175</v>
      </c>
      <c r="F8931" s="1507"/>
      <c r="G8931" s="584" t="s">
        <v>845</v>
      </c>
      <c r="H8931" s="577">
        <v>5.5999999999999999E-3</v>
      </c>
      <c r="K8931" t="s">
        <v>947</v>
      </c>
      <c r="L8931" t="s">
        <v>694</v>
      </c>
      <c r="P8931" t="s">
        <v>965</v>
      </c>
      <c r="V8931">
        <v>74</v>
      </c>
    </row>
    <row r="8932" spans="1:22" customFormat="1" ht="15" x14ac:dyDescent="0.25">
      <c r="A8932" t="s">
        <v>287</v>
      </c>
      <c r="B8932" t="s">
        <v>6436</v>
      </c>
      <c r="E8932" s="1515" t="s">
        <v>967</v>
      </c>
      <c r="F8932" s="1507"/>
      <c r="G8932" s="584"/>
      <c r="H8932" s="584"/>
      <c r="K8932" t="s">
        <v>966</v>
      </c>
      <c r="V8932">
        <v>48</v>
      </c>
    </row>
    <row r="8933" spans="1:22" customFormat="1" ht="15" x14ac:dyDescent="0.25">
      <c r="A8933" t="s">
        <v>287</v>
      </c>
      <c r="B8933" t="s">
        <v>6436</v>
      </c>
      <c r="E8933" s="1507" t="s">
        <v>844</v>
      </c>
      <c r="F8933" s="1507"/>
      <c r="G8933" s="584" t="s">
        <v>845</v>
      </c>
      <c r="H8933" s="577">
        <v>4.1000000000000003E-3</v>
      </c>
      <c r="K8933" t="s">
        <v>947</v>
      </c>
      <c r="L8933" t="s">
        <v>968</v>
      </c>
      <c r="P8933" t="s">
        <v>969</v>
      </c>
      <c r="V8933">
        <v>55</v>
      </c>
    </row>
    <row r="8934" spans="1:22" customFormat="1" ht="15" x14ac:dyDescent="0.25">
      <c r="A8934" t="s">
        <v>287</v>
      </c>
      <c r="B8934" t="s">
        <v>6436</v>
      </c>
      <c r="E8934" s="1507" t="s">
        <v>846</v>
      </c>
      <c r="F8934" s="1507"/>
      <c r="G8934" s="584" t="s">
        <v>845</v>
      </c>
      <c r="H8934" s="577">
        <v>4.0000000000000002E-4</v>
      </c>
      <c r="K8934" t="s">
        <v>947</v>
      </c>
      <c r="L8934" t="s">
        <v>968</v>
      </c>
      <c r="P8934" t="s">
        <v>969</v>
      </c>
      <c r="V8934">
        <v>65</v>
      </c>
    </row>
    <row r="8935" spans="1:22" customFormat="1" ht="15" x14ac:dyDescent="0.25">
      <c r="A8935" t="s">
        <v>287</v>
      </c>
      <c r="B8935" t="s">
        <v>6436</v>
      </c>
      <c r="E8935" s="1507" t="s">
        <v>847</v>
      </c>
      <c r="F8935" s="1507"/>
      <c r="G8935" s="584" t="s">
        <v>845</v>
      </c>
      <c r="H8935" s="577">
        <v>1.5E-3</v>
      </c>
      <c r="K8935" t="s">
        <v>947</v>
      </c>
      <c r="L8935" t="s">
        <v>968</v>
      </c>
      <c r="P8935" t="s">
        <v>970</v>
      </c>
      <c r="V8935">
        <v>57</v>
      </c>
    </row>
    <row r="8936" spans="1:22" customFormat="1" ht="15" x14ac:dyDescent="0.25">
      <c r="A8936" t="s">
        <v>287</v>
      </c>
      <c r="B8936" t="s">
        <v>6436</v>
      </c>
      <c r="E8936" s="1507" t="s">
        <v>848</v>
      </c>
      <c r="F8936" s="1507"/>
      <c r="G8936" s="584" t="s">
        <v>777</v>
      </c>
      <c r="H8936" s="576">
        <v>0.25</v>
      </c>
      <c r="K8936" t="s">
        <v>947</v>
      </c>
      <c r="L8936" t="s">
        <v>968</v>
      </c>
      <c r="P8936" t="s">
        <v>971</v>
      </c>
      <c r="V8936">
        <v>63</v>
      </c>
    </row>
    <row r="8937" spans="1:22" customFormat="1" ht="15" x14ac:dyDescent="0.25">
      <c r="A8937" t="s">
        <v>287</v>
      </c>
      <c r="B8937" t="s">
        <v>6436</v>
      </c>
      <c r="E8937" s="1513" t="s">
        <v>6883</v>
      </c>
      <c r="F8937" s="1513"/>
      <c r="G8937" s="1513"/>
      <c r="H8937" s="1513"/>
      <c r="K8937" t="s">
        <v>6883</v>
      </c>
      <c r="V8937">
        <v>12</v>
      </c>
    </row>
    <row r="8938" spans="1:22" customFormat="1" x14ac:dyDescent="0.25">
      <c r="A8938" t="s">
        <v>287</v>
      </c>
      <c r="B8938" t="s">
        <v>6436</v>
      </c>
      <c r="E8938" s="1499" t="s">
        <v>174</v>
      </c>
      <c r="F8938" s="1500"/>
      <c r="G8938" s="1500"/>
      <c r="H8938" s="1500"/>
      <c r="K8938" t="s">
        <v>972</v>
      </c>
      <c r="V8938">
        <v>54</v>
      </c>
    </row>
    <row r="8939" spans="1:22" customFormat="1" ht="15" x14ac:dyDescent="0.25">
      <c r="A8939" t="s">
        <v>287</v>
      </c>
      <c r="B8939" t="s">
        <v>6436</v>
      </c>
      <c r="E8939" s="1516" t="s">
        <v>5524</v>
      </c>
      <c r="F8939" s="1516"/>
      <c r="G8939" s="1516"/>
      <c r="H8939" s="1516"/>
      <c r="K8939" t="s">
        <v>972</v>
      </c>
      <c r="V8939">
        <v>265</v>
      </c>
    </row>
    <row r="8940" spans="1:22" customFormat="1" ht="15" x14ac:dyDescent="0.25">
      <c r="A8940" t="s">
        <v>287</v>
      </c>
      <c r="B8940" t="s">
        <v>6436</v>
      </c>
      <c r="E8940" s="1553" t="s">
        <v>950</v>
      </c>
      <c r="F8940" s="1530"/>
      <c r="G8940" s="1530"/>
      <c r="H8940" s="1530"/>
      <c r="K8940" t="s">
        <v>974</v>
      </c>
      <c r="V8940">
        <v>11</v>
      </c>
    </row>
    <row r="8941" spans="1:22" customFormat="1" ht="15" x14ac:dyDescent="0.25">
      <c r="A8941" t="s">
        <v>287</v>
      </c>
      <c r="B8941" t="s">
        <v>6436</v>
      </c>
      <c r="E8941" s="1516" t="s">
        <v>5518</v>
      </c>
      <c r="F8941" s="1516"/>
      <c r="G8941" s="1516"/>
      <c r="H8941" s="1516"/>
      <c r="K8941" t="s">
        <v>972</v>
      </c>
      <c r="V8941">
        <v>250</v>
      </c>
    </row>
    <row r="8942" spans="1:22" customFormat="1" ht="15" x14ac:dyDescent="0.25">
      <c r="A8942" t="s">
        <v>287</v>
      </c>
      <c r="B8942" t="s">
        <v>6436</v>
      </c>
      <c r="E8942" s="1516" t="s">
        <v>5519</v>
      </c>
      <c r="F8942" s="1516"/>
      <c r="G8942" s="1516"/>
      <c r="H8942" s="1516"/>
      <c r="K8942" t="s">
        <v>972</v>
      </c>
      <c r="V8942">
        <v>381</v>
      </c>
    </row>
    <row r="8943" spans="1:22" customFormat="1" ht="15" x14ac:dyDescent="0.25">
      <c r="A8943" t="s">
        <v>287</v>
      </c>
      <c r="B8943" t="s">
        <v>6436</v>
      </c>
      <c r="E8943" s="1516" t="s">
        <v>3761</v>
      </c>
      <c r="F8943" s="1516"/>
      <c r="G8943" s="1516"/>
      <c r="H8943" s="1516"/>
      <c r="K8943" t="s">
        <v>972</v>
      </c>
      <c r="V8943">
        <v>387</v>
      </c>
    </row>
    <row r="8944" spans="1:22" customFormat="1" ht="15" x14ac:dyDescent="0.25">
      <c r="A8944" t="s">
        <v>287</v>
      </c>
      <c r="B8944" t="s">
        <v>6436</v>
      </c>
      <c r="E8944" s="1516" t="s">
        <v>5520</v>
      </c>
      <c r="F8944" s="1516"/>
      <c r="G8944" s="1516"/>
      <c r="H8944" s="1516"/>
      <c r="K8944" t="s">
        <v>972</v>
      </c>
      <c r="V8944">
        <v>231</v>
      </c>
    </row>
    <row r="8945" spans="1:22" customFormat="1" ht="15" x14ac:dyDescent="0.25">
      <c r="A8945" t="s">
        <v>287</v>
      </c>
      <c r="B8945" t="s">
        <v>6436</v>
      </c>
      <c r="E8945" s="1553" t="s">
        <v>956</v>
      </c>
      <c r="F8945" s="1530"/>
      <c r="G8945" s="1530"/>
      <c r="H8945" s="1530"/>
      <c r="K8945" t="s">
        <v>975</v>
      </c>
      <c r="V8945">
        <v>46</v>
      </c>
    </row>
    <row r="8946" spans="1:22" customFormat="1" ht="15" x14ac:dyDescent="0.25">
      <c r="A8946" t="s">
        <v>287</v>
      </c>
      <c r="B8946" t="s">
        <v>6436</v>
      </c>
      <c r="E8946" s="1507" t="s">
        <v>3773</v>
      </c>
      <c r="F8946" s="1507"/>
      <c r="G8946" s="584" t="s">
        <v>777</v>
      </c>
      <c r="H8946" s="576">
        <v>36.51</v>
      </c>
      <c r="K8946" t="s">
        <v>972</v>
      </c>
      <c r="L8946" t="s">
        <v>690</v>
      </c>
      <c r="P8946" t="s">
        <v>976</v>
      </c>
      <c r="V8946">
        <v>14</v>
      </c>
    </row>
    <row r="8947" spans="1:22" customFormat="1" ht="15" x14ac:dyDescent="0.25">
      <c r="A8947" t="s">
        <v>287</v>
      </c>
      <c r="B8947" t="s">
        <v>6436</v>
      </c>
      <c r="E8947" s="1507" t="s">
        <v>960</v>
      </c>
      <c r="F8947" s="1507"/>
      <c r="G8947" s="584" t="s">
        <v>777</v>
      </c>
      <c r="H8947" s="576">
        <v>0.42</v>
      </c>
      <c r="K8947" t="s">
        <v>972</v>
      </c>
      <c r="L8947" t="s">
        <v>692</v>
      </c>
      <c r="P8947" t="s">
        <v>977</v>
      </c>
      <c r="V8947">
        <v>64</v>
      </c>
    </row>
    <row r="8948" spans="1:22" customFormat="1" ht="15" x14ac:dyDescent="0.25">
      <c r="A8948" t="s">
        <v>287</v>
      </c>
      <c r="B8948" t="s">
        <v>6436</v>
      </c>
      <c r="E8948" s="1507" t="s">
        <v>3688</v>
      </c>
      <c r="F8948" s="1507"/>
      <c r="G8948" s="584" t="s">
        <v>845</v>
      </c>
      <c r="H8948" s="577">
        <v>3.0099999999999998E-2</v>
      </c>
      <c r="K8948" t="s">
        <v>972</v>
      </c>
      <c r="L8948" t="s">
        <v>690</v>
      </c>
      <c r="P8948" t="s">
        <v>978</v>
      </c>
      <c r="V8948">
        <v>28</v>
      </c>
    </row>
    <row r="8949" spans="1:22" customFormat="1" ht="15" x14ac:dyDescent="0.25">
      <c r="A8949" t="s">
        <v>287</v>
      </c>
      <c r="B8949" t="s">
        <v>6436</v>
      </c>
      <c r="E8949" s="1507" t="s">
        <v>910</v>
      </c>
      <c r="F8949" s="1507"/>
      <c r="G8949" s="584" t="s">
        <v>845</v>
      </c>
      <c r="H8949" s="577">
        <v>6.0000000000000001E-3</v>
      </c>
      <c r="K8949" t="s">
        <v>972</v>
      </c>
      <c r="L8949" t="s">
        <v>692</v>
      </c>
      <c r="P8949" t="s">
        <v>980</v>
      </c>
      <c r="V8949">
        <v>24</v>
      </c>
    </row>
    <row r="8950" spans="1:22" customFormat="1" ht="15" x14ac:dyDescent="0.25">
      <c r="A8950" t="s">
        <v>287</v>
      </c>
      <c r="B8950" t="s">
        <v>6436</v>
      </c>
      <c r="E8950" s="1507" t="s">
        <v>5521</v>
      </c>
      <c r="F8950" s="1507"/>
      <c r="G8950" s="584" t="s">
        <v>845</v>
      </c>
      <c r="H8950" s="577">
        <v>1.5E-3</v>
      </c>
      <c r="K8950" t="s">
        <v>972</v>
      </c>
      <c r="L8950" t="s">
        <v>692</v>
      </c>
      <c r="P8950" t="s">
        <v>982</v>
      </c>
      <c r="T8950">
        <v>46142</v>
      </c>
      <c r="V8950">
        <v>96</v>
      </c>
    </row>
    <row r="8951" spans="1:22" customFormat="1" ht="15" x14ac:dyDescent="0.25">
      <c r="A8951" t="s">
        <v>287</v>
      </c>
      <c r="B8951" t="s">
        <v>6436</v>
      </c>
      <c r="E8951" s="1507" t="s">
        <v>6885</v>
      </c>
      <c r="F8951" s="1507"/>
      <c r="G8951" s="584" t="s">
        <v>845</v>
      </c>
      <c r="H8951" s="577">
        <v>2.2000000000000001E-3</v>
      </c>
      <c r="K8951" t="s">
        <v>972</v>
      </c>
      <c r="L8951" t="s">
        <v>692</v>
      </c>
      <c r="P8951" t="s">
        <v>982</v>
      </c>
      <c r="T8951">
        <v>46142</v>
      </c>
      <c r="V8951">
        <v>95</v>
      </c>
    </row>
    <row r="8952" spans="1:22" customFormat="1" ht="15" x14ac:dyDescent="0.25">
      <c r="A8952" t="s">
        <v>287</v>
      </c>
      <c r="B8952" t="s">
        <v>6436</v>
      </c>
      <c r="E8952" s="1507" t="s">
        <v>6884</v>
      </c>
      <c r="F8952" s="1507"/>
      <c r="G8952" s="584" t="s">
        <v>845</v>
      </c>
      <c r="H8952" s="577">
        <v>1.5E-3</v>
      </c>
      <c r="K8952" t="s">
        <v>972</v>
      </c>
      <c r="L8952" t="s">
        <v>690</v>
      </c>
      <c r="P8952" t="s">
        <v>3931</v>
      </c>
      <c r="T8952">
        <v>46142</v>
      </c>
      <c r="V8952">
        <v>132</v>
      </c>
    </row>
    <row r="8953" spans="1:22" customFormat="1" ht="15" x14ac:dyDescent="0.25">
      <c r="A8953" t="s">
        <v>287</v>
      </c>
      <c r="B8953" t="s">
        <v>6436</v>
      </c>
      <c r="E8953" s="1507" t="s">
        <v>243</v>
      </c>
      <c r="F8953" s="1507"/>
      <c r="G8953" s="584" t="s">
        <v>845</v>
      </c>
      <c r="H8953" s="577">
        <v>7.7000000000000002E-3</v>
      </c>
      <c r="K8953" t="s">
        <v>972</v>
      </c>
      <c r="L8953" t="s">
        <v>694</v>
      </c>
      <c r="P8953" t="s">
        <v>983</v>
      </c>
      <c r="V8953">
        <v>47</v>
      </c>
    </row>
    <row r="8954" spans="1:22" customFormat="1" ht="15" x14ac:dyDescent="0.25">
      <c r="A8954" t="s">
        <v>287</v>
      </c>
      <c r="B8954" t="s">
        <v>6436</v>
      </c>
      <c r="E8954" s="1507" t="s">
        <v>175</v>
      </c>
      <c r="F8954" s="1507"/>
      <c r="G8954" s="584" t="s">
        <v>845</v>
      </c>
      <c r="H8954" s="577">
        <v>5.1000000000000004E-3</v>
      </c>
      <c r="K8954" t="s">
        <v>972</v>
      </c>
      <c r="L8954" t="s">
        <v>694</v>
      </c>
      <c r="P8954" t="s">
        <v>984</v>
      </c>
      <c r="V8954">
        <v>74</v>
      </c>
    </row>
    <row r="8955" spans="1:22" customFormat="1" ht="15" x14ac:dyDescent="0.25">
      <c r="A8955" t="s">
        <v>287</v>
      </c>
      <c r="B8955" t="s">
        <v>6436</v>
      </c>
      <c r="E8955" s="1515" t="s">
        <v>967</v>
      </c>
      <c r="F8955" s="1507"/>
      <c r="G8955" s="584"/>
      <c r="H8955" s="584"/>
      <c r="K8955" t="s">
        <v>985</v>
      </c>
      <c r="V8955">
        <v>48</v>
      </c>
    </row>
    <row r="8956" spans="1:22" customFormat="1" ht="15" x14ac:dyDescent="0.25">
      <c r="A8956" t="s">
        <v>287</v>
      </c>
      <c r="B8956" t="s">
        <v>6436</v>
      </c>
      <c r="E8956" s="1507" t="s">
        <v>844</v>
      </c>
      <c r="F8956" s="1507"/>
      <c r="G8956" s="584" t="s">
        <v>845</v>
      </c>
      <c r="H8956" s="577">
        <v>4.1000000000000003E-3</v>
      </c>
      <c r="K8956" t="s">
        <v>972</v>
      </c>
      <c r="L8956" t="s">
        <v>968</v>
      </c>
      <c r="P8956" t="s">
        <v>986</v>
      </c>
      <c r="V8956">
        <v>55</v>
      </c>
    </row>
    <row r="8957" spans="1:22" customFormat="1" ht="15" x14ac:dyDescent="0.25">
      <c r="A8957" t="s">
        <v>287</v>
      </c>
      <c r="B8957" t="s">
        <v>6436</v>
      </c>
      <c r="E8957" s="1507" t="s">
        <v>846</v>
      </c>
      <c r="F8957" s="1507"/>
      <c r="G8957" s="584" t="s">
        <v>845</v>
      </c>
      <c r="H8957" s="577">
        <v>4.0000000000000002E-4</v>
      </c>
      <c r="K8957" t="s">
        <v>972</v>
      </c>
      <c r="L8957" t="s">
        <v>968</v>
      </c>
      <c r="P8957" t="s">
        <v>986</v>
      </c>
      <c r="V8957">
        <v>65</v>
      </c>
    </row>
    <row r="8958" spans="1:22" customFormat="1" ht="15" x14ac:dyDescent="0.25">
      <c r="A8958" t="s">
        <v>287</v>
      </c>
      <c r="B8958" t="s">
        <v>6436</v>
      </c>
      <c r="E8958" s="1507" t="s">
        <v>847</v>
      </c>
      <c r="F8958" s="1507"/>
      <c r="G8958" s="584" t="s">
        <v>845</v>
      </c>
      <c r="H8958" s="577">
        <v>1.5E-3</v>
      </c>
      <c r="K8958" t="s">
        <v>972</v>
      </c>
      <c r="L8958" t="s">
        <v>968</v>
      </c>
      <c r="P8958" t="s">
        <v>987</v>
      </c>
      <c r="V8958">
        <v>57</v>
      </c>
    </row>
    <row r="8959" spans="1:22" customFormat="1" ht="15" x14ac:dyDescent="0.25">
      <c r="A8959" t="s">
        <v>287</v>
      </c>
      <c r="B8959" t="s">
        <v>6436</v>
      </c>
      <c r="E8959" s="1507" t="s">
        <v>848</v>
      </c>
      <c r="F8959" s="1507"/>
      <c r="G8959" s="584" t="s">
        <v>777</v>
      </c>
      <c r="H8959" s="576">
        <v>0.25</v>
      </c>
      <c r="K8959" t="s">
        <v>972</v>
      </c>
      <c r="L8959" t="s">
        <v>968</v>
      </c>
      <c r="P8959" t="s">
        <v>988</v>
      </c>
      <c r="V8959">
        <v>63</v>
      </c>
    </row>
    <row r="8960" spans="1:22" customFormat="1" ht="15" x14ac:dyDescent="0.25">
      <c r="A8960" t="s">
        <v>287</v>
      </c>
      <c r="B8960" t="s">
        <v>6436</v>
      </c>
      <c r="E8960" s="1513" t="s">
        <v>6883</v>
      </c>
      <c r="F8960" s="1513"/>
      <c r="G8960" s="1513"/>
      <c r="H8960" s="1513"/>
      <c r="K8960" t="s">
        <v>6883</v>
      </c>
      <c r="V8960">
        <v>12</v>
      </c>
    </row>
    <row r="8961" spans="1:22" customFormat="1" x14ac:dyDescent="0.25">
      <c r="A8961" t="s">
        <v>287</v>
      </c>
      <c r="B8961" t="s">
        <v>6436</v>
      </c>
      <c r="E8961" s="1499" t="s">
        <v>3767</v>
      </c>
      <c r="F8961" s="1500"/>
      <c r="G8961" s="1500"/>
      <c r="H8961" s="1500"/>
      <c r="K8961" t="s">
        <v>3768</v>
      </c>
      <c r="V8961">
        <v>53</v>
      </c>
    </row>
    <row r="8962" spans="1:22" customFormat="1" ht="15" x14ac:dyDescent="0.25">
      <c r="A8962" t="s">
        <v>287</v>
      </c>
      <c r="B8962" t="s">
        <v>6436</v>
      </c>
      <c r="E8962" s="1516" t="s">
        <v>5525</v>
      </c>
      <c r="F8962" s="1516"/>
      <c r="G8962" s="1516"/>
      <c r="H8962" s="1516"/>
      <c r="K8962" t="s">
        <v>3768</v>
      </c>
      <c r="V8962">
        <v>247</v>
      </c>
    </row>
    <row r="8963" spans="1:22" customFormat="1" ht="15" x14ac:dyDescent="0.25">
      <c r="A8963" t="s">
        <v>287</v>
      </c>
      <c r="B8963" t="s">
        <v>6436</v>
      </c>
      <c r="E8963" s="1553" t="s">
        <v>950</v>
      </c>
      <c r="F8963" s="1530"/>
      <c r="G8963" s="1530"/>
      <c r="H8963" s="1530"/>
      <c r="K8963" t="s">
        <v>992</v>
      </c>
      <c r="V8963">
        <v>11</v>
      </c>
    </row>
    <row r="8964" spans="1:22" customFormat="1" ht="15" x14ac:dyDescent="0.25">
      <c r="A8964" t="s">
        <v>287</v>
      </c>
      <c r="B8964" t="s">
        <v>6436</v>
      </c>
      <c r="E8964" s="1516" t="s">
        <v>5518</v>
      </c>
      <c r="F8964" s="1516"/>
      <c r="G8964" s="1516"/>
      <c r="H8964" s="1516"/>
      <c r="K8964" t="s">
        <v>3768</v>
      </c>
      <c r="V8964">
        <v>250</v>
      </c>
    </row>
    <row r="8965" spans="1:22" customFormat="1" ht="15" x14ac:dyDescent="0.25">
      <c r="A8965" t="s">
        <v>287</v>
      </c>
      <c r="B8965" t="s">
        <v>6436</v>
      </c>
      <c r="E8965" s="1516" t="s">
        <v>5519</v>
      </c>
      <c r="F8965" s="1516"/>
      <c r="G8965" s="1516"/>
      <c r="H8965" s="1516"/>
      <c r="K8965" t="s">
        <v>3768</v>
      </c>
      <c r="V8965">
        <v>381</v>
      </c>
    </row>
    <row r="8966" spans="1:22" customFormat="1" ht="15" x14ac:dyDescent="0.25">
      <c r="A8966" t="s">
        <v>287</v>
      </c>
      <c r="B8966" t="s">
        <v>6436</v>
      </c>
      <c r="E8966" s="1516" t="s">
        <v>3761</v>
      </c>
      <c r="F8966" s="1516"/>
      <c r="G8966" s="1516"/>
      <c r="H8966" s="1516"/>
      <c r="K8966" t="s">
        <v>3768</v>
      </c>
      <c r="V8966">
        <v>387</v>
      </c>
    </row>
    <row r="8967" spans="1:22" customFormat="1" ht="15" x14ac:dyDescent="0.25">
      <c r="A8967" t="s">
        <v>287</v>
      </c>
      <c r="B8967" t="s">
        <v>6436</v>
      </c>
      <c r="E8967" s="1516" t="s">
        <v>3771</v>
      </c>
      <c r="F8967" s="1516"/>
      <c r="G8967" s="1516"/>
      <c r="H8967" s="1516"/>
      <c r="K8967" t="s">
        <v>3768</v>
      </c>
      <c r="V8967">
        <v>677</v>
      </c>
    </row>
    <row r="8968" spans="1:22" customFormat="1" ht="15" x14ac:dyDescent="0.25">
      <c r="A8968" t="s">
        <v>287</v>
      </c>
      <c r="B8968" t="s">
        <v>6436</v>
      </c>
      <c r="E8968" s="1516" t="s">
        <v>3772</v>
      </c>
      <c r="F8968" s="1516"/>
      <c r="G8968" s="1516"/>
      <c r="H8968" s="1516"/>
      <c r="K8968" t="s">
        <v>3768</v>
      </c>
      <c r="V8968">
        <v>693</v>
      </c>
    </row>
    <row r="8969" spans="1:22" customFormat="1" ht="15" x14ac:dyDescent="0.25">
      <c r="A8969" t="s">
        <v>287</v>
      </c>
      <c r="B8969" t="s">
        <v>6436</v>
      </c>
      <c r="E8969" s="1516" t="s">
        <v>5520</v>
      </c>
      <c r="F8969" s="1516"/>
      <c r="G8969" s="1516"/>
      <c r="H8969" s="1516"/>
      <c r="K8969" t="s">
        <v>3768</v>
      </c>
      <c r="V8969">
        <v>231</v>
      </c>
    </row>
    <row r="8970" spans="1:22" customFormat="1" ht="15" x14ac:dyDescent="0.25">
      <c r="A8970" t="s">
        <v>287</v>
      </c>
      <c r="B8970" t="s">
        <v>6436</v>
      </c>
      <c r="E8970" s="1553" t="s">
        <v>956</v>
      </c>
      <c r="F8970" s="1530"/>
      <c r="G8970" s="1530"/>
      <c r="H8970" s="1530"/>
      <c r="K8970" t="s">
        <v>995</v>
      </c>
      <c r="V8970">
        <v>46</v>
      </c>
    </row>
    <row r="8971" spans="1:22" customFormat="1" ht="15" x14ac:dyDescent="0.25">
      <c r="A8971" t="s">
        <v>287</v>
      </c>
      <c r="B8971" t="s">
        <v>6436</v>
      </c>
      <c r="E8971" s="1507" t="s">
        <v>3773</v>
      </c>
      <c r="F8971" s="1507"/>
      <c r="G8971" s="584" t="s">
        <v>777</v>
      </c>
      <c r="H8971" s="576">
        <v>226.49</v>
      </c>
      <c r="K8971" t="s">
        <v>3768</v>
      </c>
      <c r="L8971" t="s">
        <v>690</v>
      </c>
      <c r="P8971" t="s">
        <v>3774</v>
      </c>
      <c r="V8971">
        <v>14</v>
      </c>
    </row>
    <row r="8972" spans="1:22" customFormat="1" ht="15" x14ac:dyDescent="0.25">
      <c r="A8972" t="s">
        <v>287</v>
      </c>
      <c r="B8972" t="s">
        <v>6436</v>
      </c>
      <c r="E8972" s="1507" t="s">
        <v>3688</v>
      </c>
      <c r="F8972" s="1507"/>
      <c r="G8972" s="584" t="s">
        <v>3775</v>
      </c>
      <c r="H8972" s="577">
        <v>5.3512000000000004</v>
      </c>
      <c r="K8972" t="s">
        <v>3768</v>
      </c>
      <c r="L8972" t="s">
        <v>690</v>
      </c>
      <c r="P8972" t="s">
        <v>3776</v>
      </c>
      <c r="V8972">
        <v>28</v>
      </c>
    </row>
    <row r="8973" spans="1:22" customFormat="1" ht="15" x14ac:dyDescent="0.25">
      <c r="A8973" t="s">
        <v>287</v>
      </c>
      <c r="B8973" t="s">
        <v>6436</v>
      </c>
      <c r="E8973" s="1507" t="s">
        <v>910</v>
      </c>
      <c r="F8973" s="1507"/>
      <c r="G8973" s="584" t="s">
        <v>3775</v>
      </c>
      <c r="H8973" s="577">
        <v>2.3267000000000002</v>
      </c>
      <c r="K8973" t="s">
        <v>3768</v>
      </c>
      <c r="L8973" t="s">
        <v>692</v>
      </c>
      <c r="P8973" t="s">
        <v>3777</v>
      </c>
      <c r="V8973">
        <v>24</v>
      </c>
    </row>
    <row r="8974" spans="1:22" customFormat="1" ht="15" x14ac:dyDescent="0.25">
      <c r="A8974" t="s">
        <v>287</v>
      </c>
      <c r="B8974" t="s">
        <v>6436</v>
      </c>
      <c r="E8974" s="1507" t="s">
        <v>5521</v>
      </c>
      <c r="F8974" s="1507"/>
      <c r="G8974" s="584" t="s">
        <v>3775</v>
      </c>
      <c r="H8974" s="577">
        <v>0.62280000000000002</v>
      </c>
      <c r="K8974" t="s">
        <v>3768</v>
      </c>
      <c r="L8974" t="s">
        <v>692</v>
      </c>
      <c r="P8974" t="s">
        <v>3779</v>
      </c>
      <c r="T8974">
        <v>46142</v>
      </c>
      <c r="V8974">
        <v>96</v>
      </c>
    </row>
    <row r="8975" spans="1:22" customFormat="1" ht="15" x14ac:dyDescent="0.25">
      <c r="A8975" t="s">
        <v>287</v>
      </c>
      <c r="B8975" t="s">
        <v>6436</v>
      </c>
      <c r="E8975" s="1507" t="s">
        <v>6885</v>
      </c>
      <c r="F8975" s="1507"/>
      <c r="G8975" s="584" t="s">
        <v>3775</v>
      </c>
      <c r="H8975" s="577">
        <v>0.82389999999999997</v>
      </c>
      <c r="K8975" t="s">
        <v>3768</v>
      </c>
      <c r="L8975" t="s">
        <v>692</v>
      </c>
      <c r="P8975" t="s">
        <v>3779</v>
      </c>
      <c r="T8975">
        <v>46142</v>
      </c>
      <c r="V8975">
        <v>95</v>
      </c>
    </row>
    <row r="8976" spans="1:22" customFormat="1" ht="15" x14ac:dyDescent="0.25">
      <c r="A8976" t="s">
        <v>287</v>
      </c>
      <c r="B8976" t="s">
        <v>6436</v>
      </c>
      <c r="E8976" s="1507" t="s">
        <v>6884</v>
      </c>
      <c r="F8976" s="1507"/>
      <c r="G8976" s="584" t="s">
        <v>3775</v>
      </c>
      <c r="H8976" s="577">
        <v>0.2591</v>
      </c>
      <c r="K8976" t="s">
        <v>3768</v>
      </c>
      <c r="L8976" t="s">
        <v>690</v>
      </c>
      <c r="P8976" t="s">
        <v>4233</v>
      </c>
      <c r="T8976">
        <v>46142</v>
      </c>
      <c r="V8976">
        <v>132</v>
      </c>
    </row>
    <row r="8977" spans="1:22" customFormat="1" ht="15" x14ac:dyDescent="0.25">
      <c r="A8977" t="s">
        <v>287</v>
      </c>
      <c r="B8977" t="s">
        <v>6436</v>
      </c>
      <c r="E8977" s="1507" t="s">
        <v>243</v>
      </c>
      <c r="F8977" s="1507"/>
      <c r="G8977" s="584" t="s">
        <v>3775</v>
      </c>
      <c r="H8977" s="577">
        <v>3.1402999999999999</v>
      </c>
      <c r="K8977" t="s">
        <v>3768</v>
      </c>
      <c r="L8977" t="s">
        <v>694</v>
      </c>
      <c r="P8977" t="s">
        <v>3780</v>
      </c>
      <c r="V8977">
        <v>47</v>
      </c>
    </row>
    <row r="8978" spans="1:22" customFormat="1" ht="15" x14ac:dyDescent="0.25">
      <c r="A8978" t="s">
        <v>287</v>
      </c>
      <c r="B8978" t="s">
        <v>6436</v>
      </c>
      <c r="E8978" s="1507" t="s">
        <v>175</v>
      </c>
      <c r="F8978" s="1507"/>
      <c r="G8978" s="584" t="s">
        <v>3775</v>
      </c>
      <c r="H8978" s="577">
        <v>1.9535</v>
      </c>
      <c r="K8978" t="s">
        <v>3768</v>
      </c>
      <c r="L8978" t="s">
        <v>694</v>
      </c>
      <c r="P8978" t="s">
        <v>3781</v>
      </c>
      <c r="V8978">
        <v>74</v>
      </c>
    </row>
    <row r="8979" spans="1:22" customFormat="1" ht="15" x14ac:dyDescent="0.25">
      <c r="A8979" t="s">
        <v>287</v>
      </c>
      <c r="B8979" t="s">
        <v>6436</v>
      </c>
      <c r="E8979" s="1507" t="s">
        <v>251</v>
      </c>
      <c r="F8979" s="1507"/>
      <c r="G8979" s="584" t="s">
        <v>3775</v>
      </c>
      <c r="H8979" s="577">
        <v>3.5301999999999998</v>
      </c>
      <c r="K8979" t="s">
        <v>3768</v>
      </c>
      <c r="L8979" t="s">
        <v>694</v>
      </c>
      <c r="P8979" t="s">
        <v>3780</v>
      </c>
      <c r="V8979">
        <v>66</v>
      </c>
    </row>
    <row r="8980" spans="1:22" customFormat="1" ht="15" x14ac:dyDescent="0.25">
      <c r="A8980" t="s">
        <v>287</v>
      </c>
      <c r="B8980" t="s">
        <v>6436</v>
      </c>
      <c r="E8980" s="1507" t="s">
        <v>185</v>
      </c>
      <c r="F8980" s="1507"/>
      <c r="G8980" s="584" t="s">
        <v>3775</v>
      </c>
      <c r="H8980" s="577">
        <v>2.7061999999999999</v>
      </c>
      <c r="K8980" t="s">
        <v>3768</v>
      </c>
      <c r="L8980" t="s">
        <v>694</v>
      </c>
      <c r="P8980" t="s">
        <v>3781</v>
      </c>
      <c r="V8980">
        <v>93</v>
      </c>
    </row>
    <row r="8981" spans="1:22" customFormat="1" ht="15" x14ac:dyDescent="0.25">
      <c r="A8981" t="s">
        <v>287</v>
      </c>
      <c r="B8981" t="s">
        <v>6436</v>
      </c>
      <c r="E8981" s="1515" t="s">
        <v>967</v>
      </c>
      <c r="F8981" s="1507"/>
      <c r="G8981" s="584"/>
      <c r="H8981" s="584"/>
      <c r="K8981" t="s">
        <v>1003</v>
      </c>
      <c r="V8981">
        <v>48</v>
      </c>
    </row>
    <row r="8982" spans="1:22" customFormat="1" ht="15" x14ac:dyDescent="0.25">
      <c r="A8982" t="s">
        <v>287</v>
      </c>
      <c r="B8982" t="s">
        <v>6436</v>
      </c>
      <c r="E8982" s="1507" t="s">
        <v>844</v>
      </c>
      <c r="F8982" s="1507"/>
      <c r="G8982" s="584" t="s">
        <v>845</v>
      </c>
      <c r="H8982" s="577">
        <v>4.1000000000000003E-3</v>
      </c>
      <c r="K8982" t="s">
        <v>3768</v>
      </c>
      <c r="L8982" t="s">
        <v>968</v>
      </c>
      <c r="P8982" t="s">
        <v>3782</v>
      </c>
      <c r="V8982">
        <v>55</v>
      </c>
    </row>
    <row r="8983" spans="1:22" customFormat="1" ht="15" x14ac:dyDescent="0.25">
      <c r="A8983" t="s">
        <v>287</v>
      </c>
      <c r="B8983" t="s">
        <v>6436</v>
      </c>
      <c r="E8983" s="1507" t="s">
        <v>846</v>
      </c>
      <c r="F8983" s="1507"/>
      <c r="G8983" s="584" t="s">
        <v>845</v>
      </c>
      <c r="H8983" s="577">
        <v>4.0000000000000002E-4</v>
      </c>
      <c r="K8983" t="s">
        <v>3768</v>
      </c>
      <c r="L8983" t="s">
        <v>968</v>
      </c>
      <c r="P8983" t="s">
        <v>3782</v>
      </c>
      <c r="V8983">
        <v>65</v>
      </c>
    </row>
    <row r="8984" spans="1:22" customFormat="1" ht="15" x14ac:dyDescent="0.25">
      <c r="A8984" t="s">
        <v>287</v>
      </c>
      <c r="B8984" t="s">
        <v>6436</v>
      </c>
      <c r="E8984" s="1507" t="s">
        <v>847</v>
      </c>
      <c r="F8984" s="1507"/>
      <c r="G8984" s="584" t="s">
        <v>845</v>
      </c>
      <c r="H8984" s="577">
        <v>1.5E-3</v>
      </c>
      <c r="K8984" t="s">
        <v>3768</v>
      </c>
      <c r="L8984" t="s">
        <v>968</v>
      </c>
      <c r="P8984" t="s">
        <v>3783</v>
      </c>
      <c r="V8984">
        <v>57</v>
      </c>
    </row>
    <row r="8985" spans="1:22" customFormat="1" ht="15" x14ac:dyDescent="0.25">
      <c r="A8985" t="s">
        <v>287</v>
      </c>
      <c r="B8985" t="s">
        <v>6436</v>
      </c>
      <c r="E8985" s="1507" t="s">
        <v>848</v>
      </c>
      <c r="F8985" s="1507"/>
      <c r="G8985" s="584" t="s">
        <v>777</v>
      </c>
      <c r="H8985" s="576">
        <v>0.25</v>
      </c>
      <c r="K8985" t="s">
        <v>3768</v>
      </c>
      <c r="L8985" t="s">
        <v>968</v>
      </c>
      <c r="P8985" t="s">
        <v>3784</v>
      </c>
      <c r="V8985">
        <v>63</v>
      </c>
    </row>
    <row r="8986" spans="1:22" customFormat="1" ht="15" x14ac:dyDescent="0.25">
      <c r="A8986" t="s">
        <v>287</v>
      </c>
      <c r="B8986" t="s">
        <v>6436</v>
      </c>
      <c r="E8986" s="1513" t="s">
        <v>6883</v>
      </c>
      <c r="F8986" s="1513"/>
      <c r="G8986" s="1513"/>
      <c r="H8986" s="1513"/>
      <c r="K8986" t="s">
        <v>6883</v>
      </c>
      <c r="V8986">
        <v>12</v>
      </c>
    </row>
    <row r="8987" spans="1:22" customFormat="1" x14ac:dyDescent="0.25">
      <c r="A8987" t="s">
        <v>287</v>
      </c>
      <c r="B8987" t="s">
        <v>6436</v>
      </c>
      <c r="E8987" s="1499" t="s">
        <v>194</v>
      </c>
      <c r="F8987" s="1500"/>
      <c r="G8987" s="1500"/>
      <c r="H8987" s="1500"/>
      <c r="K8987" t="s">
        <v>3785</v>
      </c>
      <c r="V8987">
        <v>47</v>
      </c>
    </row>
    <row r="8988" spans="1:22" customFormat="1" ht="15" x14ac:dyDescent="0.25">
      <c r="A8988" t="s">
        <v>287</v>
      </c>
      <c r="B8988" t="s">
        <v>6436</v>
      </c>
      <c r="E8988" s="1516" t="s">
        <v>5526</v>
      </c>
      <c r="F8988" s="1516"/>
      <c r="G8988" s="1516"/>
      <c r="H8988" s="1516"/>
      <c r="K8988" t="s">
        <v>3785</v>
      </c>
      <c r="V8988">
        <v>556</v>
      </c>
    </row>
    <row r="8989" spans="1:22" customFormat="1" ht="15" x14ac:dyDescent="0.25">
      <c r="A8989" t="s">
        <v>287</v>
      </c>
      <c r="B8989" t="s">
        <v>6436</v>
      </c>
      <c r="E8989" s="1553" t="s">
        <v>950</v>
      </c>
      <c r="F8989" s="1530"/>
      <c r="G8989" s="1530"/>
      <c r="H8989" s="1530"/>
      <c r="K8989" t="s">
        <v>1010</v>
      </c>
      <c r="V8989">
        <v>11</v>
      </c>
    </row>
    <row r="8990" spans="1:22" customFormat="1" ht="15" x14ac:dyDescent="0.25">
      <c r="A8990" t="s">
        <v>287</v>
      </c>
      <c r="B8990" t="s">
        <v>6436</v>
      </c>
      <c r="E8990" s="1516" t="s">
        <v>5518</v>
      </c>
      <c r="F8990" s="1516"/>
      <c r="G8990" s="1516"/>
      <c r="H8990" s="1516"/>
      <c r="K8990" t="s">
        <v>3785</v>
      </c>
      <c r="V8990">
        <v>250</v>
      </c>
    </row>
    <row r="8991" spans="1:22" customFormat="1" ht="15" x14ac:dyDescent="0.25">
      <c r="A8991" t="s">
        <v>287</v>
      </c>
      <c r="B8991" t="s">
        <v>6436</v>
      </c>
      <c r="E8991" s="1516" t="s">
        <v>5519</v>
      </c>
      <c r="F8991" s="1516"/>
      <c r="G8991" s="1516"/>
      <c r="H8991" s="1516"/>
      <c r="K8991" t="s">
        <v>3785</v>
      </c>
      <c r="V8991">
        <v>381</v>
      </c>
    </row>
    <row r="8992" spans="1:22" customFormat="1" ht="15" x14ac:dyDescent="0.25">
      <c r="A8992" t="s">
        <v>287</v>
      </c>
      <c r="B8992" t="s">
        <v>6436</v>
      </c>
      <c r="E8992" s="1516" t="s">
        <v>3761</v>
      </c>
      <c r="F8992" s="1516"/>
      <c r="G8992" s="1516"/>
      <c r="H8992" s="1516"/>
      <c r="K8992" t="s">
        <v>3785</v>
      </c>
      <c r="V8992">
        <v>387</v>
      </c>
    </row>
    <row r="8993" spans="1:22" customFormat="1" ht="15" x14ac:dyDescent="0.25">
      <c r="A8993" t="s">
        <v>287</v>
      </c>
      <c r="B8993" t="s">
        <v>6436</v>
      </c>
      <c r="E8993" s="1516" t="s">
        <v>5520</v>
      </c>
      <c r="F8993" s="1516"/>
      <c r="G8993" s="1516"/>
      <c r="H8993" s="1516"/>
      <c r="K8993" t="s">
        <v>3785</v>
      </c>
      <c r="V8993">
        <v>231</v>
      </c>
    </row>
    <row r="8994" spans="1:22" customFormat="1" ht="15" x14ac:dyDescent="0.25">
      <c r="A8994" t="s">
        <v>287</v>
      </c>
      <c r="B8994" t="s">
        <v>6436</v>
      </c>
      <c r="E8994" s="1553" t="s">
        <v>956</v>
      </c>
      <c r="F8994" s="1530"/>
      <c r="G8994" s="1530"/>
      <c r="H8994" s="1530"/>
      <c r="K8994" t="s">
        <v>1011</v>
      </c>
      <c r="V8994">
        <v>46</v>
      </c>
    </row>
    <row r="8995" spans="1:22" customFormat="1" ht="15" x14ac:dyDescent="0.25">
      <c r="A8995" t="s">
        <v>287</v>
      </c>
      <c r="B8995" t="s">
        <v>6436</v>
      </c>
      <c r="E8995" s="1507" t="s">
        <v>3874</v>
      </c>
      <c r="F8995" s="1507"/>
      <c r="G8995" s="584" t="s">
        <v>777</v>
      </c>
      <c r="H8995" s="576">
        <v>17.78</v>
      </c>
      <c r="K8995" t="s">
        <v>3785</v>
      </c>
      <c r="L8995" t="s">
        <v>690</v>
      </c>
      <c r="P8995" t="s">
        <v>3788</v>
      </c>
      <c r="V8995">
        <v>31</v>
      </c>
    </row>
    <row r="8996" spans="1:22" customFormat="1" ht="15" x14ac:dyDescent="0.25">
      <c r="A8996" t="s">
        <v>287</v>
      </c>
      <c r="B8996" t="s">
        <v>6436</v>
      </c>
      <c r="E8996" s="1507" t="s">
        <v>3688</v>
      </c>
      <c r="F8996" s="1507"/>
      <c r="G8996" s="584" t="s">
        <v>845</v>
      </c>
      <c r="H8996" s="577">
        <v>2.2599999999999999E-2</v>
      </c>
      <c r="K8996" t="s">
        <v>3785</v>
      </c>
      <c r="L8996" t="s">
        <v>690</v>
      </c>
      <c r="P8996" t="s">
        <v>3789</v>
      </c>
      <c r="V8996">
        <v>28</v>
      </c>
    </row>
    <row r="8997" spans="1:22" customFormat="1" ht="15" x14ac:dyDescent="0.25">
      <c r="A8997" t="s">
        <v>287</v>
      </c>
      <c r="B8997" t="s">
        <v>6436</v>
      </c>
      <c r="E8997" s="1507" t="s">
        <v>910</v>
      </c>
      <c r="F8997" s="1507"/>
      <c r="G8997" s="584" t="s">
        <v>845</v>
      </c>
      <c r="H8997" s="577">
        <v>6.0000000000000001E-3</v>
      </c>
      <c r="K8997" t="s">
        <v>3785</v>
      </c>
      <c r="L8997" t="s">
        <v>692</v>
      </c>
      <c r="P8997" t="s">
        <v>3790</v>
      </c>
      <c r="V8997">
        <v>24</v>
      </c>
    </row>
    <row r="8998" spans="1:22" customFormat="1" ht="15" x14ac:dyDescent="0.25">
      <c r="A8998" t="s">
        <v>287</v>
      </c>
      <c r="B8998" t="s">
        <v>6436</v>
      </c>
      <c r="E8998" s="1507" t="s">
        <v>5521</v>
      </c>
      <c r="F8998" s="1507"/>
      <c r="G8998" s="584" t="s">
        <v>845</v>
      </c>
      <c r="H8998" s="577">
        <v>1.6000000000000001E-3</v>
      </c>
      <c r="K8998" t="s">
        <v>3785</v>
      </c>
      <c r="L8998" t="s">
        <v>692</v>
      </c>
      <c r="P8998" t="s">
        <v>3792</v>
      </c>
      <c r="T8998">
        <v>46142</v>
      </c>
      <c r="V8998">
        <v>96</v>
      </c>
    </row>
    <row r="8999" spans="1:22" customFormat="1" ht="15" x14ac:dyDescent="0.25">
      <c r="A8999" t="s">
        <v>287</v>
      </c>
      <c r="B8999" t="s">
        <v>6436</v>
      </c>
      <c r="E8999" s="1507" t="s">
        <v>6850</v>
      </c>
      <c r="F8999" s="1507"/>
      <c r="G8999" s="584" t="s">
        <v>845</v>
      </c>
      <c r="H8999" s="577">
        <v>2.3999999999999998E-3</v>
      </c>
      <c r="K8999" t="s">
        <v>3785</v>
      </c>
      <c r="L8999" t="s">
        <v>692</v>
      </c>
      <c r="P8999" t="s">
        <v>3792</v>
      </c>
      <c r="T8999">
        <v>46142</v>
      </c>
      <c r="V8999">
        <v>96</v>
      </c>
    </row>
    <row r="9000" spans="1:22" customFormat="1" ht="15" x14ac:dyDescent="0.25">
      <c r="A9000" t="s">
        <v>287</v>
      </c>
      <c r="B9000" t="s">
        <v>6436</v>
      </c>
      <c r="E9000" s="1507" t="s">
        <v>6884</v>
      </c>
      <c r="F9000" s="1507"/>
      <c r="G9000" s="584" t="s">
        <v>845</v>
      </c>
      <c r="H9000" s="577">
        <v>-5.9999999999999995E-4</v>
      </c>
      <c r="K9000" t="s">
        <v>3785</v>
      </c>
      <c r="L9000" t="s">
        <v>690</v>
      </c>
      <c r="P9000" t="s">
        <v>4446</v>
      </c>
      <c r="T9000">
        <v>46142</v>
      </c>
      <c r="V9000">
        <v>132</v>
      </c>
    </row>
    <row r="9001" spans="1:22" customFormat="1" ht="15" x14ac:dyDescent="0.25">
      <c r="A9001" t="s">
        <v>287</v>
      </c>
      <c r="B9001" t="s">
        <v>6436</v>
      </c>
      <c r="E9001" s="1507" t="s">
        <v>243</v>
      </c>
      <c r="F9001" s="1507"/>
      <c r="G9001" s="584" t="s">
        <v>845</v>
      </c>
      <c r="H9001" s="577">
        <v>7.7000000000000002E-3</v>
      </c>
      <c r="K9001" t="s">
        <v>3785</v>
      </c>
      <c r="L9001" t="s">
        <v>694</v>
      </c>
      <c r="P9001" t="s">
        <v>3793</v>
      </c>
      <c r="V9001">
        <v>47</v>
      </c>
    </row>
    <row r="9002" spans="1:22" customFormat="1" ht="15" x14ac:dyDescent="0.25">
      <c r="A9002" t="s">
        <v>287</v>
      </c>
      <c r="B9002" t="s">
        <v>6436</v>
      </c>
      <c r="E9002" s="1507" t="s">
        <v>175</v>
      </c>
      <c r="F9002" s="1507"/>
      <c r="G9002" s="584" t="s">
        <v>845</v>
      </c>
      <c r="H9002" s="577">
        <v>5.1000000000000004E-3</v>
      </c>
      <c r="K9002" t="s">
        <v>3785</v>
      </c>
      <c r="L9002" t="s">
        <v>694</v>
      </c>
      <c r="P9002" t="s">
        <v>3794</v>
      </c>
      <c r="V9002">
        <v>74</v>
      </c>
    </row>
    <row r="9003" spans="1:22" customFormat="1" ht="15" x14ac:dyDescent="0.25">
      <c r="A9003" t="s">
        <v>287</v>
      </c>
      <c r="B9003" t="s">
        <v>6436</v>
      </c>
      <c r="E9003" s="1515" t="s">
        <v>967</v>
      </c>
      <c r="F9003" s="1507"/>
      <c r="G9003" s="584"/>
      <c r="H9003" s="584"/>
      <c r="K9003" t="s">
        <v>1019</v>
      </c>
      <c r="V9003">
        <v>48</v>
      </c>
    </row>
    <row r="9004" spans="1:22" customFormat="1" ht="15" x14ac:dyDescent="0.25">
      <c r="A9004" t="s">
        <v>287</v>
      </c>
      <c r="B9004" t="s">
        <v>6436</v>
      </c>
      <c r="E9004" s="1507" t="s">
        <v>844</v>
      </c>
      <c r="F9004" s="1507"/>
      <c r="G9004" s="584" t="s">
        <v>845</v>
      </c>
      <c r="H9004" s="577">
        <v>4.1000000000000003E-3</v>
      </c>
      <c r="K9004" t="s">
        <v>3785</v>
      </c>
      <c r="L9004" t="s">
        <v>968</v>
      </c>
      <c r="P9004" t="s">
        <v>3795</v>
      </c>
      <c r="V9004">
        <v>55</v>
      </c>
    </row>
    <row r="9005" spans="1:22" customFormat="1" ht="15" x14ac:dyDescent="0.25">
      <c r="A9005" t="s">
        <v>287</v>
      </c>
      <c r="B9005" t="s">
        <v>6436</v>
      </c>
      <c r="E9005" s="1507" t="s">
        <v>846</v>
      </c>
      <c r="F9005" s="1507"/>
      <c r="G9005" s="584" t="s">
        <v>845</v>
      </c>
      <c r="H9005" s="577">
        <v>4.0000000000000002E-4</v>
      </c>
      <c r="K9005" t="s">
        <v>3785</v>
      </c>
      <c r="L9005" t="s">
        <v>968</v>
      </c>
      <c r="P9005" t="s">
        <v>3795</v>
      </c>
      <c r="V9005">
        <v>65</v>
      </c>
    </row>
    <row r="9006" spans="1:22" customFormat="1" ht="15" x14ac:dyDescent="0.25">
      <c r="A9006" t="s">
        <v>287</v>
      </c>
      <c r="B9006" t="s">
        <v>6436</v>
      </c>
      <c r="E9006" s="1507" t="s">
        <v>847</v>
      </c>
      <c r="F9006" s="1507"/>
      <c r="G9006" s="584" t="s">
        <v>845</v>
      </c>
      <c r="H9006" s="577">
        <v>1.5E-3</v>
      </c>
      <c r="K9006" t="s">
        <v>3785</v>
      </c>
      <c r="L9006" t="s">
        <v>968</v>
      </c>
      <c r="P9006" t="s">
        <v>3796</v>
      </c>
      <c r="V9006">
        <v>57</v>
      </c>
    </row>
    <row r="9007" spans="1:22" customFormat="1" ht="15" x14ac:dyDescent="0.25">
      <c r="A9007" t="s">
        <v>287</v>
      </c>
      <c r="B9007" t="s">
        <v>6436</v>
      </c>
      <c r="E9007" s="1507" t="s">
        <v>848</v>
      </c>
      <c r="F9007" s="1507"/>
      <c r="G9007" s="584" t="s">
        <v>777</v>
      </c>
      <c r="H9007" s="576">
        <v>0.25</v>
      </c>
      <c r="K9007" t="s">
        <v>3785</v>
      </c>
      <c r="L9007" t="s">
        <v>968</v>
      </c>
      <c r="P9007" t="s">
        <v>3797</v>
      </c>
      <c r="V9007">
        <v>63</v>
      </c>
    </row>
    <row r="9008" spans="1:22" customFormat="1" ht="15" x14ac:dyDescent="0.25">
      <c r="A9008" t="s">
        <v>287</v>
      </c>
      <c r="B9008" t="s">
        <v>6436</v>
      </c>
      <c r="E9008" s="1513" t="s">
        <v>6883</v>
      </c>
      <c r="F9008" s="1513"/>
      <c r="G9008" s="1513"/>
      <c r="H9008" s="1513"/>
      <c r="K9008" t="s">
        <v>6883</v>
      </c>
      <c r="V9008">
        <v>12</v>
      </c>
    </row>
    <row r="9009" spans="1:22" customFormat="1" x14ac:dyDescent="0.25">
      <c r="A9009" t="s">
        <v>287</v>
      </c>
      <c r="B9009" t="s">
        <v>6436</v>
      </c>
      <c r="E9009" s="1499" t="s">
        <v>198</v>
      </c>
      <c r="F9009" s="1500"/>
      <c r="G9009" s="1500"/>
      <c r="H9009" s="1500"/>
      <c r="K9009" t="s">
        <v>3798</v>
      </c>
      <c r="V9009">
        <v>40</v>
      </c>
    </row>
    <row r="9010" spans="1:22" customFormat="1" ht="15" x14ac:dyDescent="0.25">
      <c r="A9010" t="s">
        <v>287</v>
      </c>
      <c r="B9010" t="s">
        <v>6436</v>
      </c>
      <c r="E9010" s="1516" t="s">
        <v>5527</v>
      </c>
      <c r="F9010" s="1516"/>
      <c r="G9010" s="1516"/>
      <c r="H9010" s="1516"/>
      <c r="K9010" t="s">
        <v>3798</v>
      </c>
      <c r="V9010">
        <v>325</v>
      </c>
    </row>
    <row r="9011" spans="1:22" customFormat="1" ht="15" x14ac:dyDescent="0.25">
      <c r="A9011" t="s">
        <v>287</v>
      </c>
      <c r="B9011" t="s">
        <v>6436</v>
      </c>
      <c r="E9011" s="1553" t="s">
        <v>950</v>
      </c>
      <c r="F9011" s="1530"/>
      <c r="G9011" s="1530"/>
      <c r="H9011" s="1530"/>
      <c r="K9011" t="s">
        <v>1025</v>
      </c>
      <c r="V9011">
        <v>11</v>
      </c>
    </row>
    <row r="9012" spans="1:22" customFormat="1" ht="15" x14ac:dyDescent="0.25">
      <c r="A9012" t="s">
        <v>287</v>
      </c>
      <c r="B9012" t="s">
        <v>6436</v>
      </c>
      <c r="E9012" s="1516" t="s">
        <v>5518</v>
      </c>
      <c r="F9012" s="1516"/>
      <c r="G9012" s="1516"/>
      <c r="H9012" s="1516"/>
      <c r="K9012" t="s">
        <v>3798</v>
      </c>
      <c r="V9012">
        <v>250</v>
      </c>
    </row>
    <row r="9013" spans="1:22" customFormat="1" ht="15" x14ac:dyDescent="0.25">
      <c r="A9013" t="s">
        <v>287</v>
      </c>
      <c r="B9013" t="s">
        <v>6436</v>
      </c>
      <c r="E9013" s="1516" t="s">
        <v>5519</v>
      </c>
      <c r="F9013" s="1516"/>
      <c r="G9013" s="1516"/>
      <c r="H9013" s="1516"/>
      <c r="K9013" t="s">
        <v>3798</v>
      </c>
      <c r="V9013">
        <v>381</v>
      </c>
    </row>
    <row r="9014" spans="1:22" customFormat="1" ht="15" x14ac:dyDescent="0.25">
      <c r="A9014" t="s">
        <v>287</v>
      </c>
      <c r="B9014" t="s">
        <v>6436</v>
      </c>
      <c r="E9014" s="1516" t="s">
        <v>3761</v>
      </c>
      <c r="F9014" s="1516"/>
      <c r="G9014" s="1516"/>
      <c r="H9014" s="1516"/>
      <c r="K9014" t="s">
        <v>3798</v>
      </c>
      <c r="V9014">
        <v>387</v>
      </c>
    </row>
    <row r="9015" spans="1:22" customFormat="1" ht="15" x14ac:dyDescent="0.25">
      <c r="A9015" t="s">
        <v>287</v>
      </c>
      <c r="B9015" t="s">
        <v>6436</v>
      </c>
      <c r="E9015" s="1516" t="s">
        <v>5520</v>
      </c>
      <c r="F9015" s="1516"/>
      <c r="G9015" s="1516"/>
      <c r="H9015" s="1516"/>
      <c r="K9015" t="s">
        <v>3798</v>
      </c>
      <c r="V9015">
        <v>231</v>
      </c>
    </row>
    <row r="9016" spans="1:22" customFormat="1" ht="15" x14ac:dyDescent="0.25">
      <c r="A9016" t="s">
        <v>287</v>
      </c>
      <c r="B9016" t="s">
        <v>6436</v>
      </c>
      <c r="E9016" s="1553" t="s">
        <v>956</v>
      </c>
      <c r="F9016" s="1530"/>
      <c r="G9016" s="1530"/>
      <c r="H9016" s="1530"/>
      <c r="K9016" t="s">
        <v>1026</v>
      </c>
      <c r="V9016">
        <v>46</v>
      </c>
    </row>
    <row r="9017" spans="1:22" customFormat="1" ht="15" x14ac:dyDescent="0.25">
      <c r="A9017" t="s">
        <v>287</v>
      </c>
      <c r="B9017" t="s">
        <v>6436</v>
      </c>
      <c r="E9017" s="1507" t="s">
        <v>3874</v>
      </c>
      <c r="F9017" s="1507"/>
      <c r="G9017" s="584" t="s">
        <v>777</v>
      </c>
      <c r="H9017" s="576">
        <v>3.9</v>
      </c>
      <c r="K9017" t="s">
        <v>3798</v>
      </c>
      <c r="L9017" t="s">
        <v>690</v>
      </c>
      <c r="P9017" t="s">
        <v>3801</v>
      </c>
      <c r="V9017">
        <v>31</v>
      </c>
    </row>
    <row r="9018" spans="1:22" customFormat="1" ht="15" x14ac:dyDescent="0.25">
      <c r="A9018" t="s">
        <v>287</v>
      </c>
      <c r="B9018" t="s">
        <v>6436</v>
      </c>
      <c r="E9018" s="1507" t="s">
        <v>3688</v>
      </c>
      <c r="F9018" s="1507"/>
      <c r="G9018" s="584" t="s">
        <v>3775</v>
      </c>
      <c r="H9018" s="577">
        <v>31.4984</v>
      </c>
      <c r="K9018" t="s">
        <v>3798</v>
      </c>
      <c r="L9018" t="s">
        <v>690</v>
      </c>
      <c r="P9018" t="s">
        <v>3802</v>
      </c>
      <c r="V9018">
        <v>28</v>
      </c>
    </row>
    <row r="9019" spans="1:22" customFormat="1" ht="15" x14ac:dyDescent="0.25">
      <c r="A9019" t="s">
        <v>287</v>
      </c>
      <c r="B9019" t="s">
        <v>6436</v>
      </c>
      <c r="E9019" s="1507" t="s">
        <v>910</v>
      </c>
      <c r="F9019" s="1507"/>
      <c r="G9019" s="584" t="s">
        <v>3775</v>
      </c>
      <c r="H9019" s="577">
        <v>1.8361000000000001</v>
      </c>
      <c r="K9019" t="s">
        <v>3798</v>
      </c>
      <c r="L9019" t="s">
        <v>692</v>
      </c>
      <c r="P9019" t="s">
        <v>3803</v>
      </c>
      <c r="V9019">
        <v>24</v>
      </c>
    </row>
    <row r="9020" spans="1:22" customFormat="1" ht="15" x14ac:dyDescent="0.25">
      <c r="A9020" t="s">
        <v>287</v>
      </c>
      <c r="B9020" t="s">
        <v>6436</v>
      </c>
      <c r="E9020" s="1507" t="s">
        <v>5521</v>
      </c>
      <c r="F9020" s="1507"/>
      <c r="G9020" s="584" t="s">
        <v>3775</v>
      </c>
      <c r="H9020" s="577">
        <v>0.57609999999999995</v>
      </c>
      <c r="K9020" t="s">
        <v>3798</v>
      </c>
      <c r="L9020" t="s">
        <v>692</v>
      </c>
      <c r="P9020" t="s">
        <v>3805</v>
      </c>
      <c r="T9020">
        <v>46142</v>
      </c>
      <c r="V9020">
        <v>96</v>
      </c>
    </row>
    <row r="9021" spans="1:22" customFormat="1" ht="15" x14ac:dyDescent="0.25">
      <c r="A9021" t="s">
        <v>287</v>
      </c>
      <c r="B9021" t="s">
        <v>6436</v>
      </c>
      <c r="E9021" s="1507" t="s">
        <v>6886</v>
      </c>
      <c r="F9021" s="1507"/>
      <c r="G9021" s="584" t="s">
        <v>3775</v>
      </c>
      <c r="H9021" s="577">
        <v>0.81730000000000003</v>
      </c>
      <c r="K9021" t="s">
        <v>3798</v>
      </c>
      <c r="L9021" t="s">
        <v>692</v>
      </c>
      <c r="P9021" t="s">
        <v>3805</v>
      </c>
      <c r="T9021">
        <v>46142</v>
      </c>
      <c r="V9021">
        <v>95</v>
      </c>
    </row>
    <row r="9022" spans="1:22" customFormat="1" ht="15" x14ac:dyDescent="0.25">
      <c r="A9022" t="s">
        <v>287</v>
      </c>
      <c r="B9022" t="s">
        <v>6436</v>
      </c>
      <c r="E9022" s="1507" t="s">
        <v>6884</v>
      </c>
      <c r="F9022" s="1507"/>
      <c r="G9022" s="584" t="s">
        <v>3775</v>
      </c>
      <c r="H9022" s="577">
        <v>-0.57410000000000005</v>
      </c>
      <c r="K9022" t="s">
        <v>3798</v>
      </c>
      <c r="L9022" t="s">
        <v>690</v>
      </c>
      <c r="P9022" t="s">
        <v>5528</v>
      </c>
      <c r="T9022">
        <v>46142</v>
      </c>
      <c r="V9022">
        <v>132</v>
      </c>
    </row>
    <row r="9023" spans="1:22" customFormat="1" ht="15" x14ac:dyDescent="0.25">
      <c r="A9023" t="s">
        <v>287</v>
      </c>
      <c r="B9023" t="s">
        <v>6436</v>
      </c>
      <c r="E9023" s="1507" t="s">
        <v>243</v>
      </c>
      <c r="F9023" s="1507"/>
      <c r="G9023" s="584" t="s">
        <v>3775</v>
      </c>
      <c r="H9023" s="577">
        <v>2.3851</v>
      </c>
      <c r="K9023" t="s">
        <v>3798</v>
      </c>
      <c r="L9023" t="s">
        <v>694</v>
      </c>
      <c r="P9023" t="s">
        <v>3806</v>
      </c>
      <c r="V9023">
        <v>47</v>
      </c>
    </row>
    <row r="9024" spans="1:22" customFormat="1" ht="15" x14ac:dyDescent="0.25">
      <c r="A9024" t="s">
        <v>287</v>
      </c>
      <c r="B9024" t="s">
        <v>6436</v>
      </c>
      <c r="E9024" s="1507" t="s">
        <v>175</v>
      </c>
      <c r="F9024" s="1507"/>
      <c r="G9024" s="584" t="s">
        <v>3775</v>
      </c>
      <c r="H9024" s="577">
        <v>1.5513999999999999</v>
      </c>
      <c r="K9024" t="s">
        <v>3798</v>
      </c>
      <c r="L9024" t="s">
        <v>694</v>
      </c>
      <c r="P9024" t="s">
        <v>3807</v>
      </c>
      <c r="V9024">
        <v>74</v>
      </c>
    </row>
    <row r="9025" spans="1:22" customFormat="1" ht="15" x14ac:dyDescent="0.25">
      <c r="A9025" t="s">
        <v>287</v>
      </c>
      <c r="B9025" t="s">
        <v>6436</v>
      </c>
      <c r="E9025" s="1515" t="s">
        <v>967</v>
      </c>
      <c r="F9025" s="1507"/>
      <c r="G9025" s="584"/>
      <c r="H9025" s="584"/>
      <c r="K9025" t="s">
        <v>1035</v>
      </c>
      <c r="V9025">
        <v>48</v>
      </c>
    </row>
    <row r="9026" spans="1:22" customFormat="1" ht="15" x14ac:dyDescent="0.25">
      <c r="A9026" t="s">
        <v>287</v>
      </c>
      <c r="B9026" t="s">
        <v>6436</v>
      </c>
      <c r="E9026" s="1507" t="s">
        <v>844</v>
      </c>
      <c r="F9026" s="1507"/>
      <c r="G9026" s="584" t="s">
        <v>845</v>
      </c>
      <c r="H9026" s="577">
        <v>4.1000000000000003E-3</v>
      </c>
      <c r="K9026" t="s">
        <v>3798</v>
      </c>
      <c r="L9026" t="s">
        <v>968</v>
      </c>
      <c r="P9026" t="s">
        <v>3808</v>
      </c>
      <c r="V9026">
        <v>55</v>
      </c>
    </row>
    <row r="9027" spans="1:22" customFormat="1" ht="15" x14ac:dyDescent="0.25">
      <c r="A9027" t="s">
        <v>287</v>
      </c>
      <c r="B9027" t="s">
        <v>6436</v>
      </c>
      <c r="E9027" s="1507" t="s">
        <v>846</v>
      </c>
      <c r="F9027" s="1507"/>
      <c r="G9027" s="584" t="s">
        <v>845</v>
      </c>
      <c r="H9027" s="577">
        <v>4.0000000000000002E-4</v>
      </c>
      <c r="K9027" t="s">
        <v>3798</v>
      </c>
      <c r="L9027" t="s">
        <v>968</v>
      </c>
      <c r="P9027" t="s">
        <v>3808</v>
      </c>
      <c r="V9027">
        <v>65</v>
      </c>
    </row>
    <row r="9028" spans="1:22" customFormat="1" ht="15" x14ac:dyDescent="0.25">
      <c r="A9028" t="s">
        <v>287</v>
      </c>
      <c r="B9028" t="s">
        <v>6436</v>
      </c>
      <c r="E9028" s="1507" t="s">
        <v>847</v>
      </c>
      <c r="F9028" s="1507"/>
      <c r="G9028" s="584" t="s">
        <v>845</v>
      </c>
      <c r="H9028" s="577">
        <v>1.5E-3</v>
      </c>
      <c r="K9028" t="s">
        <v>3798</v>
      </c>
      <c r="L9028" t="s">
        <v>968</v>
      </c>
      <c r="P9028" t="s">
        <v>3809</v>
      </c>
      <c r="V9028">
        <v>57</v>
      </c>
    </row>
    <row r="9029" spans="1:22" customFormat="1" ht="15" x14ac:dyDescent="0.25">
      <c r="A9029" t="s">
        <v>287</v>
      </c>
      <c r="B9029" t="s">
        <v>6436</v>
      </c>
      <c r="E9029" s="1507" t="s">
        <v>848</v>
      </c>
      <c r="F9029" s="1507"/>
      <c r="G9029" s="584" t="s">
        <v>777</v>
      </c>
      <c r="H9029" s="576">
        <v>0.25</v>
      </c>
      <c r="K9029" t="s">
        <v>3798</v>
      </c>
      <c r="L9029" t="s">
        <v>968</v>
      </c>
      <c r="P9029" t="s">
        <v>3810</v>
      </c>
      <c r="V9029">
        <v>63</v>
      </c>
    </row>
    <row r="9030" spans="1:22" customFormat="1" ht="15" x14ac:dyDescent="0.25">
      <c r="A9030" t="s">
        <v>287</v>
      </c>
      <c r="B9030" t="s">
        <v>6436</v>
      </c>
      <c r="E9030" s="1513" t="s">
        <v>6883</v>
      </c>
      <c r="F9030" s="1513"/>
      <c r="G9030" s="1513"/>
      <c r="H9030" s="1513"/>
      <c r="K9030" t="s">
        <v>6883</v>
      </c>
      <c r="V9030">
        <v>12</v>
      </c>
    </row>
    <row r="9031" spans="1:22" customFormat="1" x14ac:dyDescent="0.25">
      <c r="A9031" t="s">
        <v>287</v>
      </c>
      <c r="B9031" t="s">
        <v>6436</v>
      </c>
      <c r="E9031" s="1499" t="s">
        <v>202</v>
      </c>
      <c r="F9031" s="1500"/>
      <c r="G9031" s="1500"/>
      <c r="H9031" s="1500"/>
      <c r="K9031" t="s">
        <v>3811</v>
      </c>
      <c r="V9031">
        <v>38</v>
      </c>
    </row>
    <row r="9032" spans="1:22" customFormat="1" ht="15" x14ac:dyDescent="0.25">
      <c r="A9032" t="s">
        <v>287</v>
      </c>
      <c r="B9032" t="s">
        <v>6436</v>
      </c>
      <c r="E9032" s="1516" t="s">
        <v>5529</v>
      </c>
      <c r="F9032" s="1516"/>
      <c r="G9032" s="1516"/>
      <c r="H9032" s="1516"/>
      <c r="K9032" t="s">
        <v>3811</v>
      </c>
      <c r="V9032">
        <v>470</v>
      </c>
    </row>
    <row r="9033" spans="1:22" customFormat="1" ht="15" x14ac:dyDescent="0.25">
      <c r="A9033" t="s">
        <v>287</v>
      </c>
      <c r="B9033" t="s">
        <v>6436</v>
      </c>
      <c r="E9033" s="1553" t="s">
        <v>950</v>
      </c>
      <c r="F9033" s="1530"/>
      <c r="G9033" s="1530"/>
      <c r="H9033" s="1530"/>
      <c r="K9033" t="s">
        <v>1041</v>
      </c>
      <c r="V9033">
        <v>11</v>
      </c>
    </row>
    <row r="9034" spans="1:22" customFormat="1" ht="15" x14ac:dyDescent="0.25">
      <c r="A9034" t="s">
        <v>287</v>
      </c>
      <c r="B9034" t="s">
        <v>6436</v>
      </c>
      <c r="E9034" s="1516" t="s">
        <v>5518</v>
      </c>
      <c r="F9034" s="1516"/>
      <c r="G9034" s="1516"/>
      <c r="H9034" s="1516"/>
      <c r="K9034" t="s">
        <v>3811</v>
      </c>
      <c r="V9034">
        <v>250</v>
      </c>
    </row>
    <row r="9035" spans="1:22" customFormat="1" ht="15" x14ac:dyDescent="0.25">
      <c r="A9035" t="s">
        <v>287</v>
      </c>
      <c r="B9035" t="s">
        <v>6436</v>
      </c>
      <c r="E9035" s="1516" t="s">
        <v>5519</v>
      </c>
      <c r="F9035" s="1516"/>
      <c r="G9035" s="1516"/>
      <c r="H9035" s="1516"/>
      <c r="K9035" t="s">
        <v>3811</v>
      </c>
      <c r="V9035">
        <v>381</v>
      </c>
    </row>
    <row r="9036" spans="1:22" customFormat="1" ht="15" x14ac:dyDescent="0.25">
      <c r="A9036" t="s">
        <v>287</v>
      </c>
      <c r="B9036" t="s">
        <v>6436</v>
      </c>
      <c r="E9036" s="1516" t="s">
        <v>3761</v>
      </c>
      <c r="F9036" s="1516"/>
      <c r="G9036" s="1516"/>
      <c r="H9036" s="1516"/>
      <c r="K9036" t="s">
        <v>3811</v>
      </c>
      <c r="V9036">
        <v>387</v>
      </c>
    </row>
    <row r="9037" spans="1:22" customFormat="1" ht="15" x14ac:dyDescent="0.25">
      <c r="A9037" t="s">
        <v>287</v>
      </c>
      <c r="B9037" t="s">
        <v>6436</v>
      </c>
      <c r="E9037" s="1516" t="s">
        <v>5520</v>
      </c>
      <c r="F9037" s="1516"/>
      <c r="G9037" s="1516"/>
      <c r="H9037" s="1516"/>
      <c r="K9037" t="s">
        <v>3811</v>
      </c>
      <c r="V9037">
        <v>231</v>
      </c>
    </row>
    <row r="9038" spans="1:22" customFormat="1" ht="15" x14ac:dyDescent="0.25">
      <c r="A9038" t="s">
        <v>287</v>
      </c>
      <c r="B9038" t="s">
        <v>6436</v>
      </c>
      <c r="E9038" s="1553" t="s">
        <v>956</v>
      </c>
      <c r="F9038" s="1530"/>
      <c r="G9038" s="1530"/>
      <c r="H9038" s="1530"/>
      <c r="K9038" t="s">
        <v>1042</v>
      </c>
      <c r="V9038">
        <v>46</v>
      </c>
    </row>
    <row r="9039" spans="1:22" customFormat="1" ht="15" x14ac:dyDescent="0.25">
      <c r="A9039" t="s">
        <v>287</v>
      </c>
      <c r="B9039" t="s">
        <v>6436</v>
      </c>
      <c r="E9039" s="1507" t="s">
        <v>3874</v>
      </c>
      <c r="F9039" s="1507"/>
      <c r="G9039" s="584" t="s">
        <v>777</v>
      </c>
      <c r="H9039" s="576">
        <v>1.47</v>
      </c>
      <c r="K9039" t="s">
        <v>3811</v>
      </c>
      <c r="L9039" t="s">
        <v>690</v>
      </c>
      <c r="P9039" t="s">
        <v>3813</v>
      </c>
      <c r="V9039">
        <v>31</v>
      </c>
    </row>
    <row r="9040" spans="1:22" customFormat="1" ht="15" x14ac:dyDescent="0.25">
      <c r="A9040" t="s">
        <v>287</v>
      </c>
      <c r="B9040" t="s">
        <v>6436</v>
      </c>
      <c r="E9040" s="1507" t="s">
        <v>3688</v>
      </c>
      <c r="F9040" s="1507"/>
      <c r="G9040" s="584" t="s">
        <v>3775</v>
      </c>
      <c r="H9040" s="577">
        <v>18.382899999999999</v>
      </c>
      <c r="K9040" t="s">
        <v>3811</v>
      </c>
      <c r="L9040" t="s">
        <v>690</v>
      </c>
      <c r="P9040" t="s">
        <v>3814</v>
      </c>
      <c r="V9040">
        <v>28</v>
      </c>
    </row>
    <row r="9041" spans="1:22" customFormat="1" ht="15" x14ac:dyDescent="0.25">
      <c r="A9041" t="s">
        <v>287</v>
      </c>
      <c r="B9041" t="s">
        <v>6436</v>
      </c>
      <c r="E9041" s="1507" t="s">
        <v>910</v>
      </c>
      <c r="F9041" s="1507"/>
      <c r="G9041" s="584" t="s">
        <v>3775</v>
      </c>
      <c r="H9041" s="577">
        <v>1.7986</v>
      </c>
      <c r="K9041" t="s">
        <v>3811</v>
      </c>
      <c r="L9041" t="s">
        <v>692</v>
      </c>
      <c r="P9041" t="s">
        <v>3815</v>
      </c>
      <c r="V9041">
        <v>24</v>
      </c>
    </row>
    <row r="9042" spans="1:22" customFormat="1" ht="15" x14ac:dyDescent="0.25">
      <c r="A9042" t="s">
        <v>287</v>
      </c>
      <c r="B9042" t="s">
        <v>6436</v>
      </c>
      <c r="E9042" s="1507" t="s">
        <v>5521</v>
      </c>
      <c r="F9042" s="1507"/>
      <c r="G9042" s="584" t="s">
        <v>3775</v>
      </c>
      <c r="H9042" s="577">
        <v>0.50249999999999995</v>
      </c>
      <c r="K9042" t="s">
        <v>3811</v>
      </c>
      <c r="L9042" t="s">
        <v>692</v>
      </c>
      <c r="P9042" t="s">
        <v>3817</v>
      </c>
      <c r="T9042">
        <v>46142</v>
      </c>
      <c r="V9042">
        <v>96</v>
      </c>
    </row>
    <row r="9043" spans="1:22" customFormat="1" ht="15" x14ac:dyDescent="0.25">
      <c r="A9043" t="s">
        <v>287</v>
      </c>
      <c r="B9043" t="s">
        <v>6436</v>
      </c>
      <c r="E9043" s="1507" t="s">
        <v>6850</v>
      </c>
      <c r="F9043" s="1507"/>
      <c r="G9043" s="584" t="s">
        <v>3775</v>
      </c>
      <c r="H9043" s="577">
        <v>0.86140000000000005</v>
      </c>
      <c r="K9043" t="s">
        <v>3811</v>
      </c>
      <c r="L9043" t="s">
        <v>692</v>
      </c>
      <c r="P9043" t="s">
        <v>3817</v>
      </c>
      <c r="T9043">
        <v>46142</v>
      </c>
      <c r="V9043">
        <v>96</v>
      </c>
    </row>
    <row r="9044" spans="1:22" customFormat="1" ht="15" x14ac:dyDescent="0.25">
      <c r="A9044" t="s">
        <v>287</v>
      </c>
      <c r="B9044" t="s">
        <v>6436</v>
      </c>
      <c r="E9044" s="1507" t="s">
        <v>6884</v>
      </c>
      <c r="F9044" s="1507"/>
      <c r="G9044" s="584" t="s">
        <v>3775</v>
      </c>
      <c r="H9044" s="577">
        <v>33.700000000000003</v>
      </c>
      <c r="K9044" t="s">
        <v>3811</v>
      </c>
      <c r="L9044" t="s">
        <v>690</v>
      </c>
      <c r="P9044" t="s">
        <v>4799</v>
      </c>
      <c r="T9044">
        <v>46142</v>
      </c>
      <c r="V9044">
        <v>132</v>
      </c>
    </row>
    <row r="9045" spans="1:22" customFormat="1" ht="15" x14ac:dyDescent="0.25">
      <c r="A9045" t="s">
        <v>287</v>
      </c>
      <c r="B9045" t="s">
        <v>6436</v>
      </c>
      <c r="E9045" s="1507" t="s">
        <v>243</v>
      </c>
      <c r="F9045" s="1507"/>
      <c r="G9045" s="584" t="s">
        <v>3775</v>
      </c>
      <c r="H9045" s="577">
        <v>2.3734999999999999</v>
      </c>
      <c r="K9045" t="s">
        <v>3811</v>
      </c>
      <c r="L9045" t="s">
        <v>694</v>
      </c>
      <c r="P9045" t="s">
        <v>3818</v>
      </c>
      <c r="V9045">
        <v>47</v>
      </c>
    </row>
    <row r="9046" spans="1:22" customFormat="1" ht="15" x14ac:dyDescent="0.25">
      <c r="A9046" t="s">
        <v>287</v>
      </c>
      <c r="B9046" t="s">
        <v>6436</v>
      </c>
      <c r="E9046" s="1507" t="s">
        <v>175</v>
      </c>
      <c r="F9046" s="1507"/>
      <c r="G9046" s="584" t="s">
        <v>3775</v>
      </c>
      <c r="H9046" s="577">
        <v>1.5196000000000001</v>
      </c>
      <c r="K9046" t="s">
        <v>3811</v>
      </c>
      <c r="L9046" t="s">
        <v>694</v>
      </c>
      <c r="P9046" t="s">
        <v>3819</v>
      </c>
      <c r="V9046">
        <v>74</v>
      </c>
    </row>
    <row r="9047" spans="1:22" customFormat="1" ht="15" x14ac:dyDescent="0.25">
      <c r="A9047" t="s">
        <v>287</v>
      </c>
      <c r="B9047" t="s">
        <v>6436</v>
      </c>
      <c r="E9047" s="1515" t="s">
        <v>967</v>
      </c>
      <c r="F9047" s="1507"/>
      <c r="G9047" s="584"/>
      <c r="H9047" s="584"/>
      <c r="K9047" t="s">
        <v>1049</v>
      </c>
      <c r="V9047">
        <v>48</v>
      </c>
    </row>
    <row r="9048" spans="1:22" customFormat="1" ht="15" x14ac:dyDescent="0.25">
      <c r="A9048" t="s">
        <v>287</v>
      </c>
      <c r="B9048" t="s">
        <v>6436</v>
      </c>
      <c r="E9048" s="1507" t="s">
        <v>844</v>
      </c>
      <c r="F9048" s="1507"/>
      <c r="G9048" s="584" t="s">
        <v>845</v>
      </c>
      <c r="H9048" s="577">
        <v>4.1000000000000003E-3</v>
      </c>
      <c r="K9048" t="s">
        <v>3811</v>
      </c>
      <c r="L9048" t="s">
        <v>968</v>
      </c>
      <c r="P9048" t="s">
        <v>3820</v>
      </c>
      <c r="V9048">
        <v>55</v>
      </c>
    </row>
    <row r="9049" spans="1:22" customFormat="1" ht="15" x14ac:dyDescent="0.25">
      <c r="A9049" t="s">
        <v>287</v>
      </c>
      <c r="B9049" t="s">
        <v>6436</v>
      </c>
      <c r="E9049" s="1507" t="s">
        <v>846</v>
      </c>
      <c r="F9049" s="1507"/>
      <c r="G9049" s="584" t="s">
        <v>845</v>
      </c>
      <c r="H9049" s="577">
        <v>4.0000000000000002E-4</v>
      </c>
      <c r="K9049" t="s">
        <v>3811</v>
      </c>
      <c r="L9049" t="s">
        <v>968</v>
      </c>
      <c r="P9049" t="s">
        <v>3820</v>
      </c>
      <c r="V9049">
        <v>65</v>
      </c>
    </row>
    <row r="9050" spans="1:22" customFormat="1" ht="15" x14ac:dyDescent="0.25">
      <c r="A9050" t="s">
        <v>287</v>
      </c>
      <c r="B9050" t="s">
        <v>6436</v>
      </c>
      <c r="E9050" s="1507" t="s">
        <v>847</v>
      </c>
      <c r="F9050" s="1507"/>
      <c r="G9050" s="584" t="s">
        <v>845</v>
      </c>
      <c r="H9050" s="577">
        <v>1.5E-3</v>
      </c>
      <c r="K9050" t="s">
        <v>3811</v>
      </c>
      <c r="L9050" t="s">
        <v>968</v>
      </c>
      <c r="P9050" t="s">
        <v>3821</v>
      </c>
      <c r="V9050">
        <v>57</v>
      </c>
    </row>
    <row r="9051" spans="1:22" customFormat="1" ht="15" x14ac:dyDescent="0.25">
      <c r="A9051" t="s">
        <v>287</v>
      </c>
      <c r="B9051" t="s">
        <v>6436</v>
      </c>
      <c r="E9051" s="1507" t="s">
        <v>848</v>
      </c>
      <c r="F9051" s="1507"/>
      <c r="G9051" s="584" t="s">
        <v>777</v>
      </c>
      <c r="H9051" s="576">
        <v>0.25</v>
      </c>
      <c r="K9051" t="s">
        <v>3811</v>
      </c>
      <c r="L9051" t="s">
        <v>968</v>
      </c>
      <c r="P9051" t="s">
        <v>3822</v>
      </c>
      <c r="V9051">
        <v>63</v>
      </c>
    </row>
    <row r="9052" spans="1:22" customFormat="1" ht="15" x14ac:dyDescent="0.25">
      <c r="A9052" t="s">
        <v>287</v>
      </c>
      <c r="B9052" t="s">
        <v>6436</v>
      </c>
      <c r="E9052" s="1513" t="s">
        <v>6883</v>
      </c>
      <c r="F9052" s="1513"/>
      <c r="G9052" s="1513"/>
      <c r="H9052" s="1513"/>
      <c r="K9052" t="s">
        <v>6883</v>
      </c>
      <c r="V9052">
        <v>12</v>
      </c>
    </row>
    <row r="9053" spans="1:22" customFormat="1" x14ac:dyDescent="0.25">
      <c r="A9053" t="s">
        <v>287</v>
      </c>
      <c r="B9053" t="s">
        <v>6436</v>
      </c>
      <c r="E9053" s="1499" t="s">
        <v>207</v>
      </c>
      <c r="F9053" s="1500"/>
      <c r="G9053" s="1500"/>
      <c r="H9053" s="1500"/>
      <c r="K9053" t="s">
        <v>3823</v>
      </c>
      <c r="V9053">
        <v>31</v>
      </c>
    </row>
    <row r="9054" spans="1:22" customFormat="1" ht="15" x14ac:dyDescent="0.25">
      <c r="A9054" t="s">
        <v>287</v>
      </c>
      <c r="B9054" t="s">
        <v>6436</v>
      </c>
      <c r="E9054" s="1516" t="s">
        <v>5530</v>
      </c>
      <c r="F9054" s="1516"/>
      <c r="G9054" s="1516"/>
      <c r="H9054" s="1516"/>
      <c r="K9054" t="s">
        <v>3823</v>
      </c>
      <c r="V9054">
        <v>270</v>
      </c>
    </row>
    <row r="9055" spans="1:22" customFormat="1" ht="15" x14ac:dyDescent="0.25">
      <c r="A9055" t="s">
        <v>287</v>
      </c>
      <c r="B9055" t="s">
        <v>6436</v>
      </c>
      <c r="E9055" s="1553" t="s">
        <v>950</v>
      </c>
      <c r="F9055" s="1530"/>
      <c r="G9055" s="1530"/>
      <c r="H9055" s="1530"/>
      <c r="K9055" t="s">
        <v>1055</v>
      </c>
      <c r="V9055">
        <v>11</v>
      </c>
    </row>
    <row r="9056" spans="1:22" customFormat="1" ht="15" x14ac:dyDescent="0.25">
      <c r="A9056" t="s">
        <v>287</v>
      </c>
      <c r="B9056" t="s">
        <v>6436</v>
      </c>
      <c r="E9056" s="1516" t="s">
        <v>5518</v>
      </c>
      <c r="F9056" s="1516"/>
      <c r="G9056" s="1516"/>
      <c r="H9056" s="1516"/>
      <c r="K9056" t="s">
        <v>3823</v>
      </c>
      <c r="V9056">
        <v>250</v>
      </c>
    </row>
    <row r="9057" spans="1:22" customFormat="1" ht="15" x14ac:dyDescent="0.25">
      <c r="A9057" t="s">
        <v>287</v>
      </c>
      <c r="B9057" t="s">
        <v>6436</v>
      </c>
      <c r="E9057" s="1516" t="s">
        <v>5519</v>
      </c>
      <c r="F9057" s="1516"/>
      <c r="G9057" s="1516"/>
      <c r="H9057" s="1516"/>
      <c r="K9057" t="s">
        <v>3823</v>
      </c>
      <c r="V9057">
        <v>381</v>
      </c>
    </row>
    <row r="9058" spans="1:22" customFormat="1" ht="15" x14ac:dyDescent="0.25">
      <c r="A9058" t="s">
        <v>287</v>
      </c>
      <c r="B9058" t="s">
        <v>6436</v>
      </c>
      <c r="E9058" s="1516" t="s">
        <v>5305</v>
      </c>
      <c r="F9058" s="1516"/>
      <c r="G9058" s="1516"/>
      <c r="H9058" s="1516"/>
      <c r="K9058" t="s">
        <v>3823</v>
      </c>
      <c r="V9058">
        <v>212</v>
      </c>
    </row>
    <row r="9059" spans="1:22" customFormat="1" ht="15" x14ac:dyDescent="0.25">
      <c r="A9059" t="s">
        <v>287</v>
      </c>
      <c r="B9059" t="s">
        <v>6436</v>
      </c>
      <c r="E9059" s="1516" t="s">
        <v>5520</v>
      </c>
      <c r="F9059" s="1516"/>
      <c r="G9059" s="1516"/>
      <c r="H9059" s="1516"/>
      <c r="K9059" t="s">
        <v>3823</v>
      </c>
      <c r="V9059">
        <v>231</v>
      </c>
    </row>
    <row r="9060" spans="1:22" customFormat="1" ht="15" x14ac:dyDescent="0.25">
      <c r="A9060" t="s">
        <v>287</v>
      </c>
      <c r="B9060" t="s">
        <v>6436</v>
      </c>
      <c r="E9060" s="1553" t="s">
        <v>956</v>
      </c>
      <c r="F9060" s="1530"/>
      <c r="G9060" s="1530"/>
      <c r="H9060" s="1530"/>
      <c r="K9060" t="s">
        <v>1056</v>
      </c>
      <c r="V9060">
        <v>46</v>
      </c>
    </row>
    <row r="9061" spans="1:22" customFormat="1" ht="15" x14ac:dyDescent="0.25">
      <c r="A9061" t="s">
        <v>287</v>
      </c>
      <c r="B9061" t="s">
        <v>6436</v>
      </c>
      <c r="E9061" s="1507" t="s">
        <v>3773</v>
      </c>
      <c r="F9061" s="1507"/>
      <c r="G9061" s="584" t="s">
        <v>777</v>
      </c>
      <c r="H9061" s="576">
        <v>5</v>
      </c>
      <c r="K9061" t="s">
        <v>3823</v>
      </c>
      <c r="L9061" t="s">
        <v>690</v>
      </c>
      <c r="P9061" t="s">
        <v>3824</v>
      </c>
      <c r="V9061">
        <v>14</v>
      </c>
    </row>
    <row r="9062" spans="1:22" customFormat="1" ht="15" x14ac:dyDescent="0.25">
      <c r="A9062" t="s">
        <v>287</v>
      </c>
      <c r="B9062" t="s">
        <v>6436</v>
      </c>
      <c r="E9062" s="1513" t="s">
        <v>6883</v>
      </c>
      <c r="F9062" s="1513"/>
      <c r="G9062" s="1513"/>
      <c r="H9062" s="1513"/>
      <c r="K9062" t="s">
        <v>6883</v>
      </c>
      <c r="V9062">
        <v>12</v>
      </c>
    </row>
    <row r="9063" spans="1:22" customFormat="1" x14ac:dyDescent="0.25">
      <c r="A9063" t="s">
        <v>287</v>
      </c>
      <c r="B9063" t="s">
        <v>6436</v>
      </c>
      <c r="E9063" s="833" t="s">
        <v>3825</v>
      </c>
      <c r="F9063" s="1"/>
      <c r="G9063" s="838"/>
      <c r="H9063" s="838"/>
      <c r="K9063" t="s">
        <v>5531</v>
      </c>
      <c r="V9063">
        <v>10</v>
      </c>
    </row>
    <row r="9064" spans="1:22" customFormat="1" ht="15" x14ac:dyDescent="0.25">
      <c r="A9064" t="s">
        <v>287</v>
      </c>
      <c r="B9064" t="s">
        <v>6436</v>
      </c>
      <c r="E9064" s="1507" t="s">
        <v>1078</v>
      </c>
      <c r="F9064" s="1507"/>
      <c r="G9064" s="584" t="s">
        <v>3775</v>
      </c>
      <c r="H9064" s="577">
        <v>-0.6</v>
      </c>
      <c r="V9064">
        <v>68</v>
      </c>
    </row>
    <row r="9065" spans="1:22" customFormat="1" ht="15" x14ac:dyDescent="0.25">
      <c r="A9065" t="s">
        <v>287</v>
      </c>
      <c r="B9065" t="s">
        <v>6436</v>
      </c>
      <c r="E9065" s="1507" t="s">
        <v>1079</v>
      </c>
      <c r="F9065" s="1507"/>
      <c r="G9065" s="584" t="s">
        <v>1118</v>
      </c>
      <c r="H9065" s="576">
        <v>-1</v>
      </c>
      <c r="V9065">
        <v>87</v>
      </c>
    </row>
    <row r="9066" spans="1:22" customFormat="1" x14ac:dyDescent="0.25">
      <c r="A9066" t="s">
        <v>287</v>
      </c>
      <c r="B9066" t="s">
        <v>6436</v>
      </c>
      <c r="E9066" s="833" t="s">
        <v>3828</v>
      </c>
      <c r="F9066" s="1"/>
      <c r="G9066" s="838"/>
      <c r="H9066" s="838"/>
      <c r="K9066" t="s">
        <v>5532</v>
      </c>
      <c r="V9066">
        <v>24</v>
      </c>
    </row>
    <row r="9067" spans="1:22" customFormat="1" ht="15" x14ac:dyDescent="0.25">
      <c r="A9067" t="s">
        <v>287</v>
      </c>
      <c r="B9067" t="s">
        <v>6436</v>
      </c>
      <c r="E9067" s="1516" t="s">
        <v>5334</v>
      </c>
      <c r="F9067" s="1516"/>
      <c r="G9067" s="1516"/>
      <c r="H9067" s="1516"/>
      <c r="V9067">
        <v>250</v>
      </c>
    </row>
    <row r="9068" spans="1:22" customFormat="1" ht="15" x14ac:dyDescent="0.25">
      <c r="A9068" t="s">
        <v>287</v>
      </c>
      <c r="B9068" t="s">
        <v>6436</v>
      </c>
      <c r="E9068" s="1516" t="s">
        <v>5533</v>
      </c>
      <c r="F9068" s="1516"/>
      <c r="G9068" s="1516"/>
      <c r="H9068" s="1516"/>
      <c r="V9068">
        <v>325</v>
      </c>
    </row>
    <row r="9069" spans="1:22" customFormat="1" ht="15" x14ac:dyDescent="0.25">
      <c r="A9069" t="s">
        <v>287</v>
      </c>
      <c r="B9069" t="s">
        <v>6436</v>
      </c>
      <c r="E9069" s="1516" t="s">
        <v>5534</v>
      </c>
      <c r="F9069" s="1516"/>
      <c r="G9069" s="1516"/>
      <c r="H9069" s="1516"/>
      <c r="V9069">
        <v>232</v>
      </c>
    </row>
    <row r="9070" spans="1:22" customFormat="1" ht="15" x14ac:dyDescent="0.25">
      <c r="A9070" t="s">
        <v>287</v>
      </c>
      <c r="B9070" t="s">
        <v>6436</v>
      </c>
      <c r="E9070" s="847" t="s">
        <v>3830</v>
      </c>
      <c r="F9070" s="1"/>
      <c r="G9070" s="838"/>
      <c r="H9070" s="838"/>
      <c r="K9070" t="s">
        <v>5535</v>
      </c>
      <c r="V9070">
        <v>23</v>
      </c>
    </row>
    <row r="9071" spans="1:22" customFormat="1" ht="15" x14ac:dyDescent="0.25">
      <c r="A9071" t="s">
        <v>287</v>
      </c>
      <c r="B9071" t="s">
        <v>6436</v>
      </c>
      <c r="E9071" s="1517" t="s">
        <v>3832</v>
      </c>
      <c r="F9071" s="1517"/>
      <c r="G9071" s="584" t="s">
        <v>777</v>
      </c>
      <c r="H9071" s="576">
        <v>15</v>
      </c>
      <c r="V9071">
        <v>19</v>
      </c>
    </row>
    <row r="9072" spans="1:22" customFormat="1" ht="15" x14ac:dyDescent="0.25">
      <c r="A9072" t="s">
        <v>287</v>
      </c>
      <c r="B9072" t="s">
        <v>6436</v>
      </c>
      <c r="E9072" s="1517" t="s">
        <v>4058</v>
      </c>
      <c r="F9072" s="1517"/>
      <c r="G9072" s="584" t="s">
        <v>777</v>
      </c>
      <c r="H9072" s="576">
        <v>15</v>
      </c>
      <c r="V9072">
        <v>15</v>
      </c>
    </row>
    <row r="9073" spans="1:22" customFormat="1" ht="15" x14ac:dyDescent="0.25">
      <c r="A9073" t="s">
        <v>287</v>
      </c>
      <c r="B9073" t="s">
        <v>6436</v>
      </c>
      <c r="E9073" s="1517" t="s">
        <v>3836</v>
      </c>
      <c r="F9073" s="1517"/>
      <c r="G9073" s="584" t="s">
        <v>777</v>
      </c>
      <c r="H9073" s="576">
        <v>15</v>
      </c>
      <c r="V9073">
        <v>35</v>
      </c>
    </row>
    <row r="9074" spans="1:22" customFormat="1" ht="15" x14ac:dyDescent="0.25">
      <c r="A9074" t="s">
        <v>287</v>
      </c>
      <c r="B9074" t="s">
        <v>6436</v>
      </c>
      <c r="E9074" s="1517" t="s">
        <v>3837</v>
      </c>
      <c r="F9074" s="1517"/>
      <c r="G9074" s="584" t="s">
        <v>777</v>
      </c>
      <c r="H9074" s="576">
        <v>30</v>
      </c>
      <c r="V9074">
        <v>89</v>
      </c>
    </row>
    <row r="9075" spans="1:22" customFormat="1" ht="15" x14ac:dyDescent="0.25">
      <c r="A9075" t="s">
        <v>287</v>
      </c>
      <c r="B9075" t="s">
        <v>6436</v>
      </c>
      <c r="E9075" s="1517" t="s">
        <v>3914</v>
      </c>
      <c r="F9075" s="1517"/>
      <c r="G9075" s="584" t="s">
        <v>777</v>
      </c>
      <c r="H9075" s="576">
        <v>30</v>
      </c>
      <c r="V9075">
        <v>19</v>
      </c>
    </row>
    <row r="9076" spans="1:22" customFormat="1" ht="15" x14ac:dyDescent="0.25">
      <c r="A9076" t="s">
        <v>287</v>
      </c>
      <c r="B9076" t="s">
        <v>6436</v>
      </c>
      <c r="E9076" s="1517" t="s">
        <v>3838</v>
      </c>
      <c r="F9076" s="1517"/>
      <c r="G9076" s="584" t="s">
        <v>777</v>
      </c>
      <c r="H9076" s="576">
        <v>30</v>
      </c>
      <c r="V9076">
        <v>74</v>
      </c>
    </row>
    <row r="9077" spans="1:22" customFormat="1" ht="15" x14ac:dyDescent="0.25">
      <c r="A9077" t="s">
        <v>287</v>
      </c>
      <c r="B9077" t="s">
        <v>6436</v>
      </c>
      <c r="E9077" s="847" t="s">
        <v>4062</v>
      </c>
      <c r="F9077" s="1"/>
      <c r="G9077" s="838"/>
      <c r="H9077" s="838"/>
      <c r="K9077" t="s">
        <v>5536</v>
      </c>
      <c r="V9077">
        <v>22</v>
      </c>
    </row>
    <row r="9078" spans="1:22" customFormat="1" ht="15" x14ac:dyDescent="0.25">
      <c r="A9078" t="s">
        <v>287</v>
      </c>
      <c r="B9078" t="s">
        <v>6436</v>
      </c>
      <c r="E9078" s="1517" t="s">
        <v>5537</v>
      </c>
      <c r="F9078" s="1517"/>
      <c r="G9078" s="585" t="s">
        <v>1118</v>
      </c>
      <c r="H9078" s="905">
        <v>1.5</v>
      </c>
      <c r="V9078">
        <v>100</v>
      </c>
    </row>
    <row r="9079" spans="1:22" customFormat="1" ht="15" x14ac:dyDescent="0.25">
      <c r="A9079" t="s">
        <v>287</v>
      </c>
      <c r="B9079" t="s">
        <v>6436</v>
      </c>
      <c r="E9079" s="1684" t="s">
        <v>3842</v>
      </c>
      <c r="F9079" s="1684"/>
      <c r="G9079" s="585" t="s">
        <v>777</v>
      </c>
      <c r="H9079" s="905">
        <v>65</v>
      </c>
      <c r="V9079">
        <v>44</v>
      </c>
    </row>
    <row r="9080" spans="1:22" customFormat="1" ht="15" x14ac:dyDescent="0.25">
      <c r="A9080" t="s">
        <v>287</v>
      </c>
      <c r="B9080" t="s">
        <v>6436</v>
      </c>
      <c r="E9080" s="1684" t="s">
        <v>3844</v>
      </c>
      <c r="F9080" s="1684"/>
      <c r="G9080" s="585" t="s">
        <v>777</v>
      </c>
      <c r="H9080" s="905">
        <v>185</v>
      </c>
      <c r="V9080">
        <v>43</v>
      </c>
    </row>
    <row r="9081" spans="1:22" customFormat="1" ht="15" x14ac:dyDescent="0.25">
      <c r="A9081" t="s">
        <v>287</v>
      </c>
      <c r="B9081" t="s">
        <v>6436</v>
      </c>
      <c r="E9081" s="886" t="s">
        <v>4807</v>
      </c>
      <c r="F9081" s="1"/>
      <c r="G9081" s="838"/>
      <c r="H9081" s="838"/>
      <c r="V9081">
        <v>6</v>
      </c>
    </row>
    <row r="9082" spans="1:22" customFormat="1" ht="15" x14ac:dyDescent="0.25">
      <c r="A9082" t="s">
        <v>287</v>
      </c>
      <c r="B9082" t="s">
        <v>6436</v>
      </c>
      <c r="E9082" s="1684" t="s">
        <v>3848</v>
      </c>
      <c r="F9082" s="1684"/>
      <c r="G9082" s="585" t="s">
        <v>777</v>
      </c>
      <c r="H9082" s="905">
        <v>500</v>
      </c>
      <c r="V9082">
        <v>64</v>
      </c>
    </row>
    <row r="9083" spans="1:22" customFormat="1" ht="15" x14ac:dyDescent="0.25">
      <c r="A9083" t="s">
        <v>287</v>
      </c>
      <c r="B9083" t="s">
        <v>6436</v>
      </c>
      <c r="E9083" s="1684" t="s">
        <v>4808</v>
      </c>
      <c r="F9083" s="1684"/>
      <c r="G9083" s="585" t="s">
        <v>777</v>
      </c>
      <c r="H9083" s="905">
        <v>300</v>
      </c>
      <c r="V9083">
        <v>67</v>
      </c>
    </row>
    <row r="9084" spans="1:22" customFormat="1" ht="15" x14ac:dyDescent="0.25">
      <c r="A9084" t="s">
        <v>287</v>
      </c>
      <c r="B9084" t="s">
        <v>6436</v>
      </c>
      <c r="E9084" s="1517" t="s">
        <v>5023</v>
      </c>
      <c r="F9084" s="1517"/>
      <c r="G9084" s="585" t="s">
        <v>777</v>
      </c>
      <c r="H9084" s="977">
        <v>39.14</v>
      </c>
      <c r="V9084">
        <v>104</v>
      </c>
    </row>
    <row r="9085" spans="1:22" customFormat="1" ht="15" x14ac:dyDescent="0.25">
      <c r="A9085" t="s">
        <v>287</v>
      </c>
      <c r="B9085" t="s">
        <v>6436</v>
      </c>
      <c r="E9085" s="1513" t="s">
        <v>6883</v>
      </c>
      <c r="F9085" s="1513"/>
      <c r="G9085" s="1513"/>
      <c r="H9085" s="1513"/>
      <c r="K9085" t="s">
        <v>6883</v>
      </c>
      <c r="V9085">
        <v>12</v>
      </c>
    </row>
    <row r="9086" spans="1:22" customFormat="1" x14ac:dyDescent="0.25">
      <c r="A9086" t="s">
        <v>287</v>
      </c>
      <c r="B9086" t="s">
        <v>6436</v>
      </c>
      <c r="E9086" s="833" t="s">
        <v>3851</v>
      </c>
      <c r="F9086" s="1"/>
      <c r="G9086" s="838"/>
      <c r="H9086" s="838"/>
      <c r="K9086" t="s">
        <v>5538</v>
      </c>
      <c r="V9086">
        <v>38</v>
      </c>
    </row>
    <row r="9087" spans="1:22" customFormat="1" ht="15" x14ac:dyDescent="0.25">
      <c r="A9087" t="s">
        <v>287</v>
      </c>
      <c r="B9087" t="s">
        <v>6436</v>
      </c>
      <c r="E9087" s="1516" t="s">
        <v>5539</v>
      </c>
      <c r="F9087" s="1516"/>
      <c r="G9087" s="1516"/>
      <c r="H9087" s="1516"/>
      <c r="V9087">
        <v>251</v>
      </c>
    </row>
    <row r="9088" spans="1:22" customFormat="1" ht="15" x14ac:dyDescent="0.25">
      <c r="A9088" t="s">
        <v>287</v>
      </c>
      <c r="B9088" t="s">
        <v>6436</v>
      </c>
      <c r="E9088" s="1516" t="s">
        <v>5540</v>
      </c>
      <c r="F9088" s="1516"/>
      <c r="G9088" s="1516"/>
      <c r="H9088" s="1516"/>
      <c r="V9088">
        <v>384</v>
      </c>
    </row>
    <row r="9089" spans="1:22" customFormat="1" ht="15" x14ac:dyDescent="0.25">
      <c r="A9089" t="s">
        <v>287</v>
      </c>
      <c r="B9089" t="s">
        <v>6436</v>
      </c>
      <c r="E9089" s="1516" t="s">
        <v>1103</v>
      </c>
      <c r="F9089" s="1516"/>
      <c r="G9089" s="1516"/>
      <c r="H9089" s="1516"/>
      <c r="V9089">
        <v>211</v>
      </c>
    </row>
    <row r="9090" spans="1:22" customFormat="1" ht="15" x14ac:dyDescent="0.25">
      <c r="A9090" t="s">
        <v>287</v>
      </c>
      <c r="B9090" t="s">
        <v>6436</v>
      </c>
      <c r="E9090" s="1516" t="s">
        <v>5541</v>
      </c>
      <c r="F9090" s="1516"/>
      <c r="G9090" s="1516"/>
      <c r="H9090" s="1516"/>
      <c r="V9090">
        <v>233</v>
      </c>
    </row>
    <row r="9091" spans="1:22" customFormat="1" ht="15" x14ac:dyDescent="0.25">
      <c r="A9091" t="s">
        <v>287</v>
      </c>
      <c r="B9091" t="s">
        <v>6436</v>
      </c>
      <c r="E9091" s="1516" t="s">
        <v>1104</v>
      </c>
      <c r="F9091" s="1516"/>
      <c r="G9091" s="1516"/>
      <c r="H9091" s="1516"/>
      <c r="V9091">
        <v>142</v>
      </c>
    </row>
    <row r="9092" spans="1:22" customFormat="1" ht="15" x14ac:dyDescent="0.25">
      <c r="A9092" t="s">
        <v>287</v>
      </c>
      <c r="B9092" t="s">
        <v>6436</v>
      </c>
      <c r="E9092" s="1507" t="s">
        <v>849</v>
      </c>
      <c r="F9092" s="1507"/>
      <c r="G9092" s="585" t="s">
        <v>777</v>
      </c>
      <c r="H9092" s="349">
        <v>121.23</v>
      </c>
      <c r="V9092">
        <v>106</v>
      </c>
    </row>
    <row r="9093" spans="1:22" customFormat="1" ht="15" x14ac:dyDescent="0.25">
      <c r="A9093" t="s">
        <v>287</v>
      </c>
      <c r="B9093" t="s">
        <v>6436</v>
      </c>
      <c r="E9093" s="1507" t="s">
        <v>850</v>
      </c>
      <c r="F9093" s="1507"/>
      <c r="G9093" s="585" t="s">
        <v>777</v>
      </c>
      <c r="H9093" s="349">
        <v>48.5</v>
      </c>
      <c r="V9093">
        <v>34</v>
      </c>
    </row>
    <row r="9094" spans="1:22" customFormat="1" ht="15" x14ac:dyDescent="0.25">
      <c r="A9094" t="s">
        <v>287</v>
      </c>
      <c r="B9094" t="s">
        <v>6436</v>
      </c>
      <c r="E9094" s="1507" t="s">
        <v>851</v>
      </c>
      <c r="F9094" s="1507"/>
      <c r="G9094" s="585" t="s">
        <v>852</v>
      </c>
      <c r="H9094" s="349">
        <v>1.2</v>
      </c>
      <c r="V9094">
        <v>51</v>
      </c>
    </row>
    <row r="9095" spans="1:22" customFormat="1" ht="15" x14ac:dyDescent="0.25">
      <c r="A9095" t="s">
        <v>287</v>
      </c>
      <c r="B9095" t="s">
        <v>6436</v>
      </c>
      <c r="E9095" s="1507" t="s">
        <v>853</v>
      </c>
      <c r="F9095" s="1507"/>
      <c r="G9095" s="585" t="s">
        <v>852</v>
      </c>
      <c r="H9095" s="349">
        <v>0.71</v>
      </c>
      <c r="V9095">
        <v>75</v>
      </c>
    </row>
    <row r="9096" spans="1:22" customFormat="1" ht="15" x14ac:dyDescent="0.25">
      <c r="A9096" t="s">
        <v>287</v>
      </c>
      <c r="B9096" t="s">
        <v>6436</v>
      </c>
      <c r="E9096" s="1507" t="s">
        <v>854</v>
      </c>
      <c r="F9096" s="1507"/>
      <c r="G9096" s="585" t="s">
        <v>852</v>
      </c>
      <c r="H9096" s="349">
        <v>-0.71</v>
      </c>
      <c r="V9096">
        <v>72</v>
      </c>
    </row>
    <row r="9097" spans="1:22" customFormat="1" ht="15" x14ac:dyDescent="0.25">
      <c r="A9097" t="s">
        <v>287</v>
      </c>
      <c r="B9097" t="s">
        <v>6436</v>
      </c>
      <c r="E9097" s="1507" t="s">
        <v>1105</v>
      </c>
      <c r="F9097" s="1507"/>
      <c r="G9097" s="585"/>
      <c r="H9097" s="651"/>
      <c r="V9097">
        <v>35</v>
      </c>
    </row>
    <row r="9098" spans="1:22" customFormat="1" ht="15" x14ac:dyDescent="0.25">
      <c r="A9098" t="s">
        <v>287</v>
      </c>
      <c r="B9098" t="s">
        <v>6436</v>
      </c>
      <c r="E9098" s="1511" t="s">
        <v>1106</v>
      </c>
      <c r="F9098" s="1511"/>
      <c r="G9098" s="585" t="s">
        <v>777</v>
      </c>
      <c r="H9098" s="349">
        <v>0.61</v>
      </c>
      <c r="V9098">
        <v>57</v>
      </c>
    </row>
    <row r="9099" spans="1:22" customFormat="1" ht="15" x14ac:dyDescent="0.25">
      <c r="A9099" t="s">
        <v>287</v>
      </c>
      <c r="B9099" t="s">
        <v>6436</v>
      </c>
      <c r="E9099" s="1511" t="s">
        <v>1107</v>
      </c>
      <c r="F9099" s="1511"/>
      <c r="G9099" s="585" t="s">
        <v>777</v>
      </c>
      <c r="H9099" s="349">
        <v>1.2</v>
      </c>
      <c r="V9099">
        <v>60</v>
      </c>
    </row>
    <row r="9100" spans="1:22" customFormat="1" ht="15" x14ac:dyDescent="0.25">
      <c r="A9100" t="s">
        <v>287</v>
      </c>
      <c r="B9100" t="s">
        <v>6436</v>
      </c>
      <c r="E9100" s="1507" t="s">
        <v>1108</v>
      </c>
      <c r="F9100" s="1507"/>
      <c r="G9100" s="585"/>
      <c r="H9100" s="651"/>
      <c r="V9100">
        <v>91</v>
      </c>
    </row>
    <row r="9101" spans="1:22" customFormat="1" ht="15" x14ac:dyDescent="0.25">
      <c r="A9101" t="s">
        <v>287</v>
      </c>
      <c r="B9101" t="s">
        <v>6436</v>
      </c>
      <c r="E9101" s="1507" t="s">
        <v>1109</v>
      </c>
      <c r="F9101" s="1507"/>
      <c r="G9101" s="585"/>
      <c r="H9101" s="651"/>
      <c r="V9101">
        <v>96</v>
      </c>
    </row>
    <row r="9102" spans="1:22" customFormat="1" ht="15" x14ac:dyDescent="0.25">
      <c r="A9102" t="s">
        <v>287</v>
      </c>
      <c r="B9102" t="s">
        <v>6436</v>
      </c>
      <c r="E9102" s="1507" t="s">
        <v>1110</v>
      </c>
      <c r="F9102" s="1507"/>
      <c r="G9102" s="585"/>
      <c r="H9102" s="651"/>
      <c r="V9102">
        <v>78</v>
      </c>
    </row>
    <row r="9103" spans="1:22" customFormat="1" ht="15" x14ac:dyDescent="0.25">
      <c r="A9103" t="s">
        <v>287</v>
      </c>
      <c r="B9103" t="s">
        <v>6436</v>
      </c>
      <c r="E9103" s="1511" t="s">
        <v>1111</v>
      </c>
      <c r="F9103" s="1511"/>
      <c r="G9103" s="585" t="s">
        <v>777</v>
      </c>
      <c r="H9103" s="651" t="s">
        <v>857</v>
      </c>
      <c r="V9103">
        <v>18</v>
      </c>
    </row>
    <row r="9104" spans="1:22" customFormat="1" ht="15" x14ac:dyDescent="0.25">
      <c r="A9104" t="s">
        <v>287</v>
      </c>
      <c r="B9104" t="s">
        <v>6436</v>
      </c>
      <c r="E9104" s="1511" t="s">
        <v>1112</v>
      </c>
      <c r="F9104" s="1511"/>
      <c r="G9104" s="585" t="s">
        <v>777</v>
      </c>
      <c r="H9104" s="349">
        <v>4.8499999999999996</v>
      </c>
      <c r="V9104">
        <v>69</v>
      </c>
    </row>
    <row r="9105" spans="1:22" customFormat="1" ht="15" x14ac:dyDescent="0.25">
      <c r="A9105" t="s">
        <v>287</v>
      </c>
      <c r="B9105" t="s">
        <v>6436</v>
      </c>
      <c r="E9105" s="1507" t="s">
        <v>858</v>
      </c>
      <c r="F9105" s="1507"/>
      <c r="G9105" s="585" t="s">
        <v>777</v>
      </c>
      <c r="H9105" s="349">
        <v>2.42</v>
      </c>
      <c r="V9105">
        <v>199</v>
      </c>
    </row>
    <row r="9106" spans="1:22" customFormat="1" x14ac:dyDescent="0.25">
      <c r="A9106" t="s">
        <v>287</v>
      </c>
      <c r="B9106" t="s">
        <v>6436</v>
      </c>
      <c r="E9106" s="833" t="s">
        <v>3853</v>
      </c>
      <c r="F9106" s="1"/>
      <c r="G9106" s="838"/>
      <c r="H9106" s="838"/>
      <c r="K9106" t="s">
        <v>5542</v>
      </c>
      <c r="V9106">
        <v>12</v>
      </c>
    </row>
    <row r="9107" spans="1:22" customFormat="1" ht="15" x14ac:dyDescent="0.25">
      <c r="A9107" t="s">
        <v>287</v>
      </c>
      <c r="B9107" t="s">
        <v>6436</v>
      </c>
      <c r="E9107" s="1507" t="s">
        <v>1114</v>
      </c>
      <c r="F9107" s="1507"/>
      <c r="G9107" s="1507"/>
      <c r="H9107" s="1507"/>
      <c r="V9107">
        <v>203</v>
      </c>
    </row>
    <row r="9108" spans="1:22" customFormat="1" ht="15" x14ac:dyDescent="0.25">
      <c r="A9108" t="s">
        <v>287</v>
      </c>
      <c r="B9108" t="s">
        <v>6436</v>
      </c>
      <c r="E9108" s="1507" t="s">
        <v>1115</v>
      </c>
      <c r="F9108" s="1507"/>
      <c r="G9108" s="584"/>
      <c r="H9108" s="650">
        <v>1.0672999999999999</v>
      </c>
      <c r="V9108">
        <v>57</v>
      </c>
    </row>
    <row r="9109" spans="1:22" customFormat="1" ht="15" x14ac:dyDescent="0.25">
      <c r="A9109" t="s">
        <v>287</v>
      </c>
      <c r="B9109" t="s">
        <v>6436</v>
      </c>
      <c r="E9109" s="1507" t="s">
        <v>1117</v>
      </c>
      <c r="F9109" s="1507"/>
      <c r="G9109" s="584"/>
      <c r="H9109" s="650">
        <v>1.0567</v>
      </c>
      <c r="J9109" t="s">
        <v>6438</v>
      </c>
      <c r="V9109">
        <v>55</v>
      </c>
    </row>
    <row r="9110" spans="1:22" customFormat="1" ht="23.25" x14ac:dyDescent="0.25">
      <c r="A9110" t="s">
        <v>287</v>
      </c>
      <c r="B9110" t="s">
        <v>6439</v>
      </c>
      <c r="C9110" t="s">
        <v>3755</v>
      </c>
      <c r="E9110" s="1550" t="s">
        <v>287</v>
      </c>
      <c r="F9110" s="1540"/>
      <c r="G9110" s="1540"/>
      <c r="H9110" s="1540"/>
      <c r="I9110" t="s">
        <v>94</v>
      </c>
      <c r="J9110" t="s">
        <v>6440</v>
      </c>
      <c r="K9110" t="s">
        <v>287</v>
      </c>
      <c r="M9110">
        <v>8</v>
      </c>
      <c r="V9110">
        <v>36</v>
      </c>
    </row>
    <row r="9111" spans="1:22" customFormat="1" ht="23.25" x14ac:dyDescent="0.25">
      <c r="A9111" t="s">
        <v>287</v>
      </c>
      <c r="B9111" t="s">
        <v>6439</v>
      </c>
      <c r="C9111" t="s">
        <v>3757</v>
      </c>
      <c r="E9111" s="1550" t="s">
        <v>5543</v>
      </c>
      <c r="F9111" s="1550"/>
      <c r="G9111" s="1550"/>
      <c r="H9111" s="1550"/>
      <c r="V9111">
        <v>19</v>
      </c>
    </row>
    <row r="9112" spans="1:22" customFormat="1" x14ac:dyDescent="0.25">
      <c r="A9112" t="s">
        <v>287</v>
      </c>
      <c r="B9112" t="s">
        <v>6439</v>
      </c>
      <c r="C9112" t="s">
        <v>3758</v>
      </c>
      <c r="E9112" s="1551" t="s">
        <v>944</v>
      </c>
      <c r="F9112" s="1542"/>
      <c r="G9112" s="1542"/>
      <c r="H9112" s="1542"/>
      <c r="V9112">
        <v>27</v>
      </c>
    </row>
    <row r="9113" spans="1:22" customFormat="1" ht="15.75" x14ac:dyDescent="0.25">
      <c r="A9113" t="s">
        <v>287</v>
      </c>
      <c r="B9113" t="s">
        <v>6439</v>
      </c>
      <c r="C9113" t="s">
        <v>3759</v>
      </c>
      <c r="E9113" s="1543" t="s">
        <v>6847</v>
      </c>
      <c r="F9113" s="1669"/>
      <c r="G9113" s="1669"/>
      <c r="H9113" s="1669"/>
      <c r="S9113">
        <v>45778</v>
      </c>
      <c r="V9113">
        <v>45</v>
      </c>
    </row>
    <row r="9114" spans="1:22" customFormat="1" ht="15" x14ac:dyDescent="0.25">
      <c r="A9114" t="s">
        <v>287</v>
      </c>
      <c r="B9114" t="s">
        <v>6439</v>
      </c>
      <c r="E9114" s="1544" t="s">
        <v>945</v>
      </c>
      <c r="F9114" s="1630"/>
      <c r="G9114" s="1630"/>
      <c r="H9114" s="1630"/>
      <c r="V9114">
        <v>52</v>
      </c>
    </row>
    <row r="9115" spans="1:22" customFormat="1" ht="15" x14ac:dyDescent="0.25">
      <c r="A9115" t="s">
        <v>287</v>
      </c>
      <c r="B9115" t="s">
        <v>6439</v>
      </c>
      <c r="E9115" s="1544" t="s">
        <v>946</v>
      </c>
      <c r="F9115" s="1630"/>
      <c r="G9115" s="1630"/>
      <c r="H9115" s="1630"/>
      <c r="V9115">
        <v>53</v>
      </c>
    </row>
    <row r="9116" spans="1:22" customFormat="1" ht="15" x14ac:dyDescent="0.25">
      <c r="A9116" t="s">
        <v>287</v>
      </c>
      <c r="B9116" t="s">
        <v>6439</v>
      </c>
      <c r="E9116" s="1513" t="s">
        <v>6883</v>
      </c>
      <c r="F9116" s="1513"/>
      <c r="G9116" s="1513"/>
      <c r="H9116" s="1513"/>
      <c r="K9116" t="s">
        <v>6883</v>
      </c>
      <c r="V9116">
        <v>12</v>
      </c>
    </row>
    <row r="9117" spans="1:22" customFormat="1" ht="15" x14ac:dyDescent="0.25">
      <c r="A9117" t="s">
        <v>287</v>
      </c>
      <c r="B9117" t="s">
        <v>6439</v>
      </c>
      <c r="E9117" s="1492" t="s">
        <v>170</v>
      </c>
      <c r="F9117" s="1516"/>
      <c r="G9117" s="1516"/>
      <c r="H9117" s="1516"/>
      <c r="K9117" t="s">
        <v>947</v>
      </c>
      <c r="V9117">
        <v>34</v>
      </c>
    </row>
    <row r="9118" spans="1:22" customFormat="1" ht="15" x14ac:dyDescent="0.25">
      <c r="A9118" t="s">
        <v>287</v>
      </c>
      <c r="B9118" t="s">
        <v>6439</v>
      </c>
      <c r="E9118" s="1516" t="s">
        <v>5544</v>
      </c>
      <c r="F9118" s="1516"/>
      <c r="G9118" s="1516"/>
      <c r="H9118" s="1516"/>
      <c r="K9118" t="s">
        <v>947</v>
      </c>
      <c r="V9118">
        <v>648</v>
      </c>
    </row>
    <row r="9119" spans="1:22" customFormat="1" ht="15" x14ac:dyDescent="0.25">
      <c r="A9119" t="s">
        <v>287</v>
      </c>
      <c r="B9119" t="s">
        <v>6439</v>
      </c>
      <c r="E9119" s="1515" t="s">
        <v>950</v>
      </c>
      <c r="F9119" s="1516"/>
      <c r="G9119" s="1516"/>
      <c r="H9119" s="1516"/>
      <c r="K9119" t="s">
        <v>949</v>
      </c>
      <c r="V9119">
        <v>11</v>
      </c>
    </row>
    <row r="9120" spans="1:22" customFormat="1" ht="15" x14ac:dyDescent="0.25">
      <c r="A9120" t="s">
        <v>287</v>
      </c>
      <c r="B9120" t="s">
        <v>6439</v>
      </c>
      <c r="E9120" s="1516" t="s">
        <v>951</v>
      </c>
      <c r="F9120" s="1516"/>
      <c r="G9120" s="1516"/>
      <c r="H9120" s="1516"/>
      <c r="K9120" t="s">
        <v>947</v>
      </c>
      <c r="V9120">
        <v>280</v>
      </c>
    </row>
    <row r="9121" spans="1:22" customFormat="1" ht="15" x14ac:dyDescent="0.25">
      <c r="A9121" t="s">
        <v>287</v>
      </c>
      <c r="B9121" t="s">
        <v>6439</v>
      </c>
      <c r="E9121" s="1516" t="s">
        <v>952</v>
      </c>
      <c r="F9121" s="1516"/>
      <c r="G9121" s="1516"/>
      <c r="H9121" s="1516"/>
      <c r="K9121" t="s">
        <v>947</v>
      </c>
      <c r="V9121">
        <v>411</v>
      </c>
    </row>
    <row r="9122" spans="1:22" customFormat="1" ht="15" x14ac:dyDescent="0.25">
      <c r="A9122" t="s">
        <v>287</v>
      </c>
      <c r="B9122" t="s">
        <v>6439</v>
      </c>
      <c r="E9122" s="1516" t="s">
        <v>953</v>
      </c>
      <c r="F9122" s="1516"/>
      <c r="G9122" s="1516"/>
      <c r="H9122" s="1516"/>
      <c r="K9122" t="s">
        <v>947</v>
      </c>
      <c r="V9122">
        <v>386</v>
      </c>
    </row>
    <row r="9123" spans="1:22" customFormat="1" ht="15" x14ac:dyDescent="0.25">
      <c r="A9123" t="s">
        <v>287</v>
      </c>
      <c r="B9123" t="s">
        <v>6439</v>
      </c>
      <c r="E9123" s="1516" t="s">
        <v>5520</v>
      </c>
      <c r="F9123" s="1516"/>
      <c r="G9123" s="1516"/>
      <c r="H9123" s="1516"/>
      <c r="K9123" t="s">
        <v>947</v>
      </c>
      <c r="V9123">
        <v>231</v>
      </c>
    </row>
    <row r="9124" spans="1:22" customFormat="1" ht="15" x14ac:dyDescent="0.25">
      <c r="A9124" t="s">
        <v>287</v>
      </c>
      <c r="B9124" t="s">
        <v>6439</v>
      </c>
      <c r="E9124" s="1515" t="s">
        <v>956</v>
      </c>
      <c r="F9124" s="1516"/>
      <c r="G9124" s="1516"/>
      <c r="H9124" s="1516"/>
      <c r="K9124" t="s">
        <v>955</v>
      </c>
      <c r="V9124">
        <v>46</v>
      </c>
    </row>
    <row r="9125" spans="1:22" customFormat="1" ht="15" x14ac:dyDescent="0.25">
      <c r="A9125" t="s">
        <v>287</v>
      </c>
      <c r="B9125" t="s">
        <v>6439</v>
      </c>
      <c r="E9125" s="1507" t="s">
        <v>3773</v>
      </c>
      <c r="F9125" s="1507"/>
      <c r="G9125" s="584" t="s">
        <v>777</v>
      </c>
      <c r="H9125" s="576">
        <v>37.520000000000003</v>
      </c>
      <c r="K9125" t="s">
        <v>947</v>
      </c>
      <c r="L9125" t="s">
        <v>690</v>
      </c>
      <c r="P9125" t="s">
        <v>957</v>
      </c>
      <c r="V9125">
        <v>14</v>
      </c>
    </row>
    <row r="9126" spans="1:22" customFormat="1" ht="15" x14ac:dyDescent="0.25">
      <c r="A9126" t="s">
        <v>287</v>
      </c>
      <c r="B9126" t="s">
        <v>6439</v>
      </c>
      <c r="E9126" s="1507" t="s">
        <v>960</v>
      </c>
      <c r="F9126" s="1507"/>
      <c r="G9126" s="584" t="s">
        <v>777</v>
      </c>
      <c r="H9126" s="576">
        <v>0.42</v>
      </c>
      <c r="K9126" t="s">
        <v>947</v>
      </c>
      <c r="L9126" t="s">
        <v>692</v>
      </c>
      <c r="P9126" t="s">
        <v>959</v>
      </c>
      <c r="V9126">
        <v>64</v>
      </c>
    </row>
    <row r="9127" spans="1:22" customFormat="1" ht="15" x14ac:dyDescent="0.25">
      <c r="A9127" t="s">
        <v>287</v>
      </c>
      <c r="B9127" t="s">
        <v>6439</v>
      </c>
      <c r="E9127" s="1507" t="s">
        <v>910</v>
      </c>
      <c r="F9127" s="1507"/>
      <c r="G9127" s="584" t="s">
        <v>845</v>
      </c>
      <c r="H9127" s="577">
        <v>1E-4</v>
      </c>
      <c r="K9127" t="s">
        <v>947</v>
      </c>
      <c r="L9127" t="s">
        <v>692</v>
      </c>
      <c r="P9127" t="s">
        <v>961</v>
      </c>
      <c r="V9127">
        <v>24</v>
      </c>
    </row>
    <row r="9128" spans="1:22" customFormat="1" ht="15" x14ac:dyDescent="0.25">
      <c r="A9128" t="s">
        <v>287</v>
      </c>
      <c r="B9128" t="s">
        <v>6439</v>
      </c>
      <c r="E9128" s="1507" t="s">
        <v>5521</v>
      </c>
      <c r="F9128" s="1507"/>
      <c r="G9128" s="584" t="s">
        <v>845</v>
      </c>
      <c r="H9128" s="577">
        <v>1.6999999999999999E-3</v>
      </c>
      <c r="K9128" t="s">
        <v>947</v>
      </c>
      <c r="L9128" t="s">
        <v>692</v>
      </c>
      <c r="P9128" t="s">
        <v>963</v>
      </c>
      <c r="T9128">
        <v>46142</v>
      </c>
      <c r="V9128">
        <v>96</v>
      </c>
    </row>
    <row r="9129" spans="1:22" customFormat="1" ht="15" x14ac:dyDescent="0.25">
      <c r="A9129" t="s">
        <v>287</v>
      </c>
      <c r="B9129" t="s">
        <v>6439</v>
      </c>
      <c r="E9129" s="1507" t="s">
        <v>243</v>
      </c>
      <c r="F9129" s="1507"/>
      <c r="G9129" s="584" t="s">
        <v>845</v>
      </c>
      <c r="H9129" s="432">
        <v>1.2200000000000001E-2</v>
      </c>
      <c r="K9129" t="s">
        <v>947</v>
      </c>
      <c r="L9129" t="s">
        <v>694</v>
      </c>
      <c r="P9129" t="s">
        <v>964</v>
      </c>
      <c r="V9129">
        <v>47</v>
      </c>
    </row>
    <row r="9130" spans="1:22" customFormat="1" ht="15" x14ac:dyDescent="0.25">
      <c r="A9130" t="s">
        <v>287</v>
      </c>
      <c r="B9130" t="s">
        <v>6439</v>
      </c>
      <c r="E9130" s="1507" t="s">
        <v>175</v>
      </c>
      <c r="F9130" s="1507"/>
      <c r="G9130" s="584" t="s">
        <v>845</v>
      </c>
      <c r="H9130" s="577">
        <v>9.1000000000000004E-3</v>
      </c>
      <c r="K9130" t="s">
        <v>947</v>
      </c>
      <c r="L9130" t="s">
        <v>694</v>
      </c>
      <c r="P9130" t="s">
        <v>965</v>
      </c>
      <c r="V9130">
        <v>74</v>
      </c>
    </row>
    <row r="9131" spans="1:22" customFormat="1" ht="15" x14ac:dyDescent="0.25">
      <c r="A9131" t="s">
        <v>287</v>
      </c>
      <c r="B9131" t="s">
        <v>6439</v>
      </c>
      <c r="E9131" s="1515" t="s">
        <v>967</v>
      </c>
      <c r="F9131" s="1507"/>
      <c r="G9131" s="1507"/>
      <c r="H9131" s="1507"/>
      <c r="K9131" t="s">
        <v>966</v>
      </c>
      <c r="V9131">
        <v>48</v>
      </c>
    </row>
    <row r="9132" spans="1:22" customFormat="1" ht="15" x14ac:dyDescent="0.25">
      <c r="A9132" t="s">
        <v>287</v>
      </c>
      <c r="B9132" t="s">
        <v>6439</v>
      </c>
      <c r="E9132" s="1507" t="s">
        <v>844</v>
      </c>
      <c r="F9132" s="1507"/>
      <c r="G9132" s="584" t="s">
        <v>845</v>
      </c>
      <c r="H9132" s="577">
        <v>4.1000000000000003E-3</v>
      </c>
      <c r="K9132" t="s">
        <v>947</v>
      </c>
      <c r="L9132" t="s">
        <v>968</v>
      </c>
      <c r="P9132" t="s">
        <v>969</v>
      </c>
      <c r="V9132">
        <v>55</v>
      </c>
    </row>
    <row r="9133" spans="1:22" customFormat="1" ht="15" x14ac:dyDescent="0.25">
      <c r="A9133" t="s">
        <v>287</v>
      </c>
      <c r="B9133" t="s">
        <v>6439</v>
      </c>
      <c r="E9133" s="1507" t="s">
        <v>846</v>
      </c>
      <c r="F9133" s="1507"/>
      <c r="G9133" s="584" t="s">
        <v>845</v>
      </c>
      <c r="H9133" s="577">
        <v>4.0000000000000002E-4</v>
      </c>
      <c r="K9133" t="s">
        <v>947</v>
      </c>
      <c r="L9133" t="s">
        <v>968</v>
      </c>
      <c r="P9133" t="s">
        <v>969</v>
      </c>
      <c r="V9133">
        <v>65</v>
      </c>
    </row>
    <row r="9134" spans="1:22" customFormat="1" ht="15" x14ac:dyDescent="0.25">
      <c r="A9134" t="s">
        <v>287</v>
      </c>
      <c r="B9134" t="s">
        <v>6439</v>
      </c>
      <c r="E9134" s="1507" t="s">
        <v>847</v>
      </c>
      <c r="F9134" s="1507"/>
      <c r="G9134" s="584" t="s">
        <v>845</v>
      </c>
      <c r="H9134" s="577">
        <v>1.5E-3</v>
      </c>
      <c r="K9134" t="s">
        <v>947</v>
      </c>
      <c r="L9134" t="s">
        <v>968</v>
      </c>
      <c r="P9134" t="s">
        <v>970</v>
      </c>
      <c r="V9134">
        <v>57</v>
      </c>
    </row>
    <row r="9135" spans="1:22" customFormat="1" ht="15" x14ac:dyDescent="0.25">
      <c r="A9135" t="s">
        <v>287</v>
      </c>
      <c r="B9135" t="s">
        <v>6439</v>
      </c>
      <c r="E9135" s="1507" t="s">
        <v>848</v>
      </c>
      <c r="F9135" s="1507"/>
      <c r="G9135" s="584" t="s">
        <v>777</v>
      </c>
      <c r="H9135" s="576">
        <v>0.25</v>
      </c>
      <c r="K9135" t="s">
        <v>947</v>
      </c>
      <c r="L9135" t="s">
        <v>968</v>
      </c>
      <c r="P9135" t="s">
        <v>971</v>
      </c>
      <c r="V9135">
        <v>63</v>
      </c>
    </row>
    <row r="9136" spans="1:22" customFormat="1" ht="15" x14ac:dyDescent="0.25">
      <c r="A9136" t="s">
        <v>287</v>
      </c>
      <c r="B9136" t="s">
        <v>6439</v>
      </c>
      <c r="E9136" s="1513" t="s">
        <v>6883</v>
      </c>
      <c r="F9136" s="1513"/>
      <c r="G9136" s="1513"/>
      <c r="H9136" s="1513"/>
      <c r="K9136" t="s">
        <v>6883</v>
      </c>
      <c r="V9136">
        <v>12</v>
      </c>
    </row>
    <row r="9137" spans="1:22" customFormat="1" x14ac:dyDescent="0.25">
      <c r="A9137" t="s">
        <v>287</v>
      </c>
      <c r="B9137" t="s">
        <v>6439</v>
      </c>
      <c r="E9137" s="1492" t="s">
        <v>174</v>
      </c>
      <c r="F9137" s="1493"/>
      <c r="G9137" s="1493"/>
      <c r="H9137" s="1493"/>
      <c r="K9137" t="s">
        <v>972</v>
      </c>
      <c r="V9137">
        <v>54</v>
      </c>
    </row>
    <row r="9138" spans="1:22" customFormat="1" ht="15" x14ac:dyDescent="0.25">
      <c r="A9138" t="s">
        <v>287</v>
      </c>
      <c r="B9138" t="s">
        <v>6439</v>
      </c>
      <c r="E9138" s="1516" t="s">
        <v>5545</v>
      </c>
      <c r="F9138" s="1516"/>
      <c r="G9138" s="1516"/>
      <c r="H9138" s="1516"/>
      <c r="K9138" t="s">
        <v>972</v>
      </c>
      <c r="V9138">
        <v>329</v>
      </c>
    </row>
    <row r="9139" spans="1:22" customFormat="1" ht="15" x14ac:dyDescent="0.25">
      <c r="A9139" t="s">
        <v>287</v>
      </c>
      <c r="B9139" t="s">
        <v>6439</v>
      </c>
      <c r="E9139" s="1515" t="s">
        <v>950</v>
      </c>
      <c r="F9139" s="1516"/>
      <c r="G9139" s="1516"/>
      <c r="H9139" s="1516"/>
      <c r="K9139" t="s">
        <v>974</v>
      </c>
      <c r="V9139">
        <v>11</v>
      </c>
    </row>
    <row r="9140" spans="1:22" customFormat="1" ht="15" x14ac:dyDescent="0.25">
      <c r="A9140" t="s">
        <v>287</v>
      </c>
      <c r="B9140" t="s">
        <v>6439</v>
      </c>
      <c r="E9140" s="1516" t="s">
        <v>951</v>
      </c>
      <c r="F9140" s="1516"/>
      <c r="G9140" s="1516"/>
      <c r="H9140" s="1516"/>
      <c r="K9140" t="s">
        <v>972</v>
      </c>
      <c r="V9140">
        <v>280</v>
      </c>
    </row>
    <row r="9141" spans="1:22" customFormat="1" ht="15" x14ac:dyDescent="0.25">
      <c r="A9141" t="s">
        <v>287</v>
      </c>
      <c r="B9141" t="s">
        <v>6439</v>
      </c>
      <c r="E9141" s="1516" t="s">
        <v>952</v>
      </c>
      <c r="F9141" s="1516"/>
      <c r="G9141" s="1516"/>
      <c r="H9141" s="1516"/>
      <c r="K9141" t="s">
        <v>972</v>
      </c>
      <c r="V9141">
        <v>411</v>
      </c>
    </row>
    <row r="9142" spans="1:22" customFormat="1" ht="15" x14ac:dyDescent="0.25">
      <c r="A9142" t="s">
        <v>287</v>
      </c>
      <c r="B9142" t="s">
        <v>6439</v>
      </c>
      <c r="E9142" s="1516" t="s">
        <v>953</v>
      </c>
      <c r="F9142" s="1516"/>
      <c r="G9142" s="1516"/>
      <c r="H9142" s="1516"/>
      <c r="K9142" t="s">
        <v>972</v>
      </c>
      <c r="V9142">
        <v>386</v>
      </c>
    </row>
    <row r="9143" spans="1:22" customFormat="1" ht="15" x14ac:dyDescent="0.25">
      <c r="A9143" t="s">
        <v>287</v>
      </c>
      <c r="B9143" t="s">
        <v>6439</v>
      </c>
      <c r="E9143" s="1516" t="s">
        <v>954</v>
      </c>
      <c r="F9143" s="1516"/>
      <c r="G9143" s="1516"/>
      <c r="H9143" s="1516"/>
      <c r="K9143" t="s">
        <v>972</v>
      </c>
      <c r="V9143">
        <v>246</v>
      </c>
    </row>
    <row r="9144" spans="1:22" customFormat="1" ht="15" x14ac:dyDescent="0.25">
      <c r="A9144" t="s">
        <v>287</v>
      </c>
      <c r="B9144" t="s">
        <v>6439</v>
      </c>
      <c r="E9144" s="1515" t="s">
        <v>956</v>
      </c>
      <c r="F9144" s="1516"/>
      <c r="G9144" s="1516"/>
      <c r="H9144" s="1516"/>
      <c r="K9144" t="s">
        <v>975</v>
      </c>
      <c r="V9144">
        <v>46</v>
      </c>
    </row>
    <row r="9145" spans="1:22" customFormat="1" ht="15" x14ac:dyDescent="0.25">
      <c r="A9145" t="s">
        <v>287</v>
      </c>
      <c r="B9145" t="s">
        <v>6439</v>
      </c>
      <c r="E9145" s="1507" t="s">
        <v>3773</v>
      </c>
      <c r="F9145" s="1507"/>
      <c r="G9145" s="584" t="s">
        <v>777</v>
      </c>
      <c r="H9145" s="576">
        <v>30.87</v>
      </c>
      <c r="K9145" t="s">
        <v>972</v>
      </c>
      <c r="L9145" t="s">
        <v>690</v>
      </c>
      <c r="P9145" t="s">
        <v>976</v>
      </c>
      <c r="V9145">
        <v>14</v>
      </c>
    </row>
    <row r="9146" spans="1:22" customFormat="1" ht="15" x14ac:dyDescent="0.25">
      <c r="A9146" t="s">
        <v>287</v>
      </c>
      <c r="B9146" t="s">
        <v>6439</v>
      </c>
      <c r="E9146" s="1507" t="s">
        <v>960</v>
      </c>
      <c r="F9146" s="1507"/>
      <c r="G9146" s="584" t="s">
        <v>777</v>
      </c>
      <c r="H9146" s="576">
        <v>0.42</v>
      </c>
      <c r="K9146" t="s">
        <v>972</v>
      </c>
      <c r="L9146" t="s">
        <v>692</v>
      </c>
      <c r="P9146" t="s">
        <v>977</v>
      </c>
      <c r="V9146">
        <v>64</v>
      </c>
    </row>
    <row r="9147" spans="1:22" customFormat="1" ht="15" x14ac:dyDescent="0.25">
      <c r="A9147" t="s">
        <v>287</v>
      </c>
      <c r="B9147" t="s">
        <v>6439</v>
      </c>
      <c r="E9147" s="1507" t="s">
        <v>3688</v>
      </c>
      <c r="F9147" s="1507"/>
      <c r="G9147" s="584" t="s">
        <v>845</v>
      </c>
      <c r="H9147" s="577">
        <v>2.3699999999999999E-2</v>
      </c>
      <c r="K9147" t="s">
        <v>972</v>
      </c>
      <c r="L9147" t="s">
        <v>690</v>
      </c>
      <c r="P9147" t="s">
        <v>978</v>
      </c>
      <c r="V9147">
        <v>28</v>
      </c>
    </row>
    <row r="9148" spans="1:22" customFormat="1" ht="15" x14ac:dyDescent="0.25">
      <c r="A9148" t="s">
        <v>287</v>
      </c>
      <c r="B9148" t="s">
        <v>6439</v>
      </c>
      <c r="E9148" s="1507" t="s">
        <v>910</v>
      </c>
      <c r="F9148" s="1507"/>
      <c r="G9148" s="584" t="s">
        <v>845</v>
      </c>
      <c r="H9148" s="577">
        <v>1E-4</v>
      </c>
      <c r="K9148" t="s">
        <v>972</v>
      </c>
      <c r="L9148" t="s">
        <v>692</v>
      </c>
      <c r="P9148" t="s">
        <v>980</v>
      </c>
      <c r="V9148">
        <v>24</v>
      </c>
    </row>
    <row r="9149" spans="1:22" customFormat="1" ht="15" x14ac:dyDescent="0.25">
      <c r="A9149" t="s">
        <v>287</v>
      </c>
      <c r="B9149" t="s">
        <v>6439</v>
      </c>
      <c r="E9149" s="1507" t="s">
        <v>5521</v>
      </c>
      <c r="F9149" s="1507"/>
      <c r="G9149" s="584" t="s">
        <v>845</v>
      </c>
      <c r="H9149" s="577">
        <v>1.8E-3</v>
      </c>
      <c r="K9149" t="s">
        <v>972</v>
      </c>
      <c r="L9149" t="s">
        <v>692</v>
      </c>
      <c r="P9149" t="s">
        <v>982</v>
      </c>
      <c r="T9149">
        <v>46142</v>
      </c>
      <c r="V9149">
        <v>96</v>
      </c>
    </row>
    <row r="9150" spans="1:22" customFormat="1" ht="15" x14ac:dyDescent="0.25">
      <c r="A9150" t="s">
        <v>287</v>
      </c>
      <c r="B9150" t="s">
        <v>6439</v>
      </c>
      <c r="E9150" s="1507" t="s">
        <v>243</v>
      </c>
      <c r="F9150" s="1507"/>
      <c r="G9150" s="584" t="s">
        <v>845</v>
      </c>
      <c r="H9150" s="577">
        <v>1.14E-2</v>
      </c>
      <c r="K9150" t="s">
        <v>972</v>
      </c>
      <c r="L9150" t="s">
        <v>694</v>
      </c>
      <c r="P9150" t="s">
        <v>983</v>
      </c>
      <c r="V9150">
        <v>47</v>
      </c>
    </row>
    <row r="9151" spans="1:22" customFormat="1" ht="15" x14ac:dyDescent="0.25">
      <c r="A9151" t="s">
        <v>287</v>
      </c>
      <c r="B9151" t="s">
        <v>6439</v>
      </c>
      <c r="E9151" s="1507" t="s">
        <v>175</v>
      </c>
      <c r="F9151" s="1507"/>
      <c r="G9151" s="584" t="s">
        <v>845</v>
      </c>
      <c r="H9151" s="577">
        <v>8.2000000000000007E-3</v>
      </c>
      <c r="K9151" t="s">
        <v>972</v>
      </c>
      <c r="L9151" t="s">
        <v>694</v>
      </c>
      <c r="P9151" t="s">
        <v>984</v>
      </c>
      <c r="V9151">
        <v>74</v>
      </c>
    </row>
    <row r="9152" spans="1:22" customFormat="1" ht="15" x14ac:dyDescent="0.25">
      <c r="A9152" t="s">
        <v>287</v>
      </c>
      <c r="B9152" t="s">
        <v>6439</v>
      </c>
      <c r="E9152" s="1515" t="s">
        <v>967</v>
      </c>
      <c r="F9152" s="1507"/>
      <c r="G9152" s="1507"/>
      <c r="H9152" s="1507"/>
      <c r="K9152" t="s">
        <v>985</v>
      </c>
      <c r="V9152">
        <v>48</v>
      </c>
    </row>
    <row r="9153" spans="1:22" customFormat="1" ht="15" x14ac:dyDescent="0.25">
      <c r="A9153" t="s">
        <v>287</v>
      </c>
      <c r="B9153" t="s">
        <v>6439</v>
      </c>
      <c r="E9153" s="1507" t="s">
        <v>844</v>
      </c>
      <c r="F9153" s="1507"/>
      <c r="G9153" s="584" t="s">
        <v>845</v>
      </c>
      <c r="H9153" s="577">
        <v>4.1000000000000003E-3</v>
      </c>
      <c r="K9153" t="s">
        <v>972</v>
      </c>
      <c r="L9153" t="s">
        <v>968</v>
      </c>
      <c r="P9153" t="s">
        <v>986</v>
      </c>
      <c r="V9153">
        <v>55</v>
      </c>
    </row>
    <row r="9154" spans="1:22" customFormat="1" ht="15" x14ac:dyDescent="0.25">
      <c r="A9154" t="s">
        <v>287</v>
      </c>
      <c r="B9154" t="s">
        <v>6439</v>
      </c>
      <c r="E9154" s="1507" t="s">
        <v>846</v>
      </c>
      <c r="F9154" s="1507"/>
      <c r="G9154" s="584" t="s">
        <v>845</v>
      </c>
      <c r="H9154" s="577">
        <v>4.0000000000000002E-4</v>
      </c>
      <c r="K9154" t="s">
        <v>972</v>
      </c>
      <c r="L9154" t="s">
        <v>968</v>
      </c>
      <c r="P9154" t="s">
        <v>986</v>
      </c>
      <c r="V9154">
        <v>65</v>
      </c>
    </row>
    <row r="9155" spans="1:22" customFormat="1" ht="15" x14ac:dyDescent="0.25">
      <c r="A9155" t="s">
        <v>287</v>
      </c>
      <c r="B9155" t="s">
        <v>6439</v>
      </c>
      <c r="E9155" s="1507" t="s">
        <v>847</v>
      </c>
      <c r="F9155" s="1507"/>
      <c r="G9155" s="584" t="s">
        <v>845</v>
      </c>
      <c r="H9155" s="577">
        <v>1.5E-3</v>
      </c>
      <c r="K9155" t="s">
        <v>972</v>
      </c>
      <c r="L9155" t="s">
        <v>968</v>
      </c>
      <c r="P9155" t="s">
        <v>987</v>
      </c>
      <c r="V9155">
        <v>57</v>
      </c>
    </row>
    <row r="9156" spans="1:22" customFormat="1" ht="15" x14ac:dyDescent="0.25">
      <c r="A9156" t="s">
        <v>287</v>
      </c>
      <c r="B9156" t="s">
        <v>6439</v>
      </c>
      <c r="E9156" s="1507" t="s">
        <v>848</v>
      </c>
      <c r="F9156" s="1507"/>
      <c r="G9156" s="584" t="s">
        <v>777</v>
      </c>
      <c r="H9156" s="576">
        <v>0.25</v>
      </c>
      <c r="K9156" t="s">
        <v>972</v>
      </c>
      <c r="L9156" t="s">
        <v>968</v>
      </c>
      <c r="P9156" t="s">
        <v>988</v>
      </c>
      <c r="V9156">
        <v>63</v>
      </c>
    </row>
    <row r="9157" spans="1:22" customFormat="1" ht="15" x14ac:dyDescent="0.25">
      <c r="A9157" t="s">
        <v>287</v>
      </c>
      <c r="B9157" t="s">
        <v>6439</v>
      </c>
      <c r="E9157" s="1513" t="s">
        <v>6883</v>
      </c>
      <c r="F9157" s="1513"/>
      <c r="G9157" s="1513"/>
      <c r="H9157" s="1513"/>
      <c r="K9157" t="s">
        <v>6883</v>
      </c>
      <c r="V9157">
        <v>12</v>
      </c>
    </row>
    <row r="9158" spans="1:22" customFormat="1" x14ac:dyDescent="0.25">
      <c r="A9158" t="s">
        <v>287</v>
      </c>
      <c r="B9158" t="s">
        <v>6439</v>
      </c>
      <c r="E9158" s="1492" t="s">
        <v>4738</v>
      </c>
      <c r="F9158" s="1493"/>
      <c r="G9158" s="1493"/>
      <c r="H9158" s="1493"/>
      <c r="K9158" t="s">
        <v>4989</v>
      </c>
      <c r="V9158">
        <v>53</v>
      </c>
    </row>
    <row r="9159" spans="1:22" customFormat="1" ht="15" x14ac:dyDescent="0.25">
      <c r="A9159" t="s">
        <v>287</v>
      </c>
      <c r="B9159" t="s">
        <v>6439</v>
      </c>
      <c r="E9159" s="1516" t="s">
        <v>5546</v>
      </c>
      <c r="F9159" s="1516"/>
      <c r="G9159" s="1516"/>
      <c r="H9159" s="1516"/>
      <c r="K9159" t="s">
        <v>4989</v>
      </c>
      <c r="V9159">
        <v>354</v>
      </c>
    </row>
    <row r="9160" spans="1:22" customFormat="1" ht="15" x14ac:dyDescent="0.25">
      <c r="A9160" t="s">
        <v>287</v>
      </c>
      <c r="B9160" t="s">
        <v>6439</v>
      </c>
      <c r="E9160" s="1515" t="s">
        <v>950</v>
      </c>
      <c r="F9160" s="1516"/>
      <c r="G9160" s="1516"/>
      <c r="H9160" s="1516"/>
      <c r="K9160" t="s">
        <v>992</v>
      </c>
      <c r="V9160">
        <v>11</v>
      </c>
    </row>
    <row r="9161" spans="1:22" customFormat="1" ht="15" x14ac:dyDescent="0.25">
      <c r="A9161" t="s">
        <v>287</v>
      </c>
      <c r="B9161" t="s">
        <v>6439</v>
      </c>
      <c r="E9161" s="1516" t="s">
        <v>951</v>
      </c>
      <c r="F9161" s="1516"/>
      <c r="G9161" s="1516"/>
      <c r="H9161" s="1516"/>
      <c r="K9161" t="s">
        <v>4989</v>
      </c>
      <c r="V9161">
        <v>280</v>
      </c>
    </row>
    <row r="9162" spans="1:22" customFormat="1" ht="15" x14ac:dyDescent="0.25">
      <c r="A9162" t="s">
        <v>287</v>
      </c>
      <c r="B9162" t="s">
        <v>6439</v>
      </c>
      <c r="E9162" s="1516" t="s">
        <v>952</v>
      </c>
      <c r="F9162" s="1516"/>
      <c r="G9162" s="1516"/>
      <c r="H9162" s="1516"/>
      <c r="K9162" t="s">
        <v>4989</v>
      </c>
      <c r="V9162">
        <v>411</v>
      </c>
    </row>
    <row r="9163" spans="1:22" customFormat="1" ht="15" x14ac:dyDescent="0.25">
      <c r="A9163" t="s">
        <v>287</v>
      </c>
      <c r="B9163" t="s">
        <v>6439</v>
      </c>
      <c r="E9163" s="1516" t="s">
        <v>953</v>
      </c>
      <c r="F9163" s="1516"/>
      <c r="G9163" s="1516"/>
      <c r="H9163" s="1516"/>
      <c r="K9163" t="s">
        <v>4989</v>
      </c>
      <c r="V9163">
        <v>386</v>
      </c>
    </row>
    <row r="9164" spans="1:22" customFormat="1" ht="15" x14ac:dyDescent="0.25">
      <c r="A9164" t="s">
        <v>287</v>
      </c>
      <c r="B9164" t="s">
        <v>6439</v>
      </c>
      <c r="E9164" s="1516" t="s">
        <v>993</v>
      </c>
      <c r="F9164" s="1516"/>
      <c r="G9164" s="1516"/>
      <c r="H9164" s="1516"/>
      <c r="K9164" t="s">
        <v>4989</v>
      </c>
      <c r="V9164">
        <v>680</v>
      </c>
    </row>
    <row r="9165" spans="1:22" customFormat="1" ht="15" x14ac:dyDescent="0.25">
      <c r="A9165" t="s">
        <v>287</v>
      </c>
      <c r="B9165" t="s">
        <v>6439</v>
      </c>
      <c r="E9165" s="1516" t="s">
        <v>5547</v>
      </c>
      <c r="F9165" s="1516"/>
      <c r="G9165" s="1516"/>
      <c r="H9165" s="1516"/>
      <c r="K9165" t="s">
        <v>4989</v>
      </c>
      <c r="V9165">
        <v>724</v>
      </c>
    </row>
    <row r="9166" spans="1:22" customFormat="1" ht="15" x14ac:dyDescent="0.25">
      <c r="A9166" t="s">
        <v>287</v>
      </c>
      <c r="B9166" t="s">
        <v>6439</v>
      </c>
      <c r="E9166" s="1516" t="s">
        <v>954</v>
      </c>
      <c r="F9166" s="1516"/>
      <c r="G9166" s="1516"/>
      <c r="H9166" s="1516"/>
      <c r="K9166" t="s">
        <v>4989</v>
      </c>
      <c r="V9166">
        <v>246</v>
      </c>
    </row>
    <row r="9167" spans="1:22" customFormat="1" ht="15" x14ac:dyDescent="0.25">
      <c r="A9167" t="s">
        <v>287</v>
      </c>
      <c r="B9167" t="s">
        <v>6439</v>
      </c>
      <c r="E9167" s="1515" t="s">
        <v>956</v>
      </c>
      <c r="F9167" s="1516"/>
      <c r="G9167" s="1516"/>
      <c r="H9167" s="1516"/>
      <c r="K9167" t="s">
        <v>995</v>
      </c>
      <c r="V9167">
        <v>46</v>
      </c>
    </row>
    <row r="9168" spans="1:22" customFormat="1" ht="15" x14ac:dyDescent="0.25">
      <c r="A9168" t="s">
        <v>287</v>
      </c>
      <c r="B9168" t="s">
        <v>6439</v>
      </c>
      <c r="E9168" s="1507" t="s">
        <v>3773</v>
      </c>
      <c r="F9168" s="1507"/>
      <c r="G9168" s="584" t="s">
        <v>777</v>
      </c>
      <c r="H9168" s="576">
        <v>397.66</v>
      </c>
      <c r="K9168" t="s">
        <v>4989</v>
      </c>
      <c r="L9168" t="s">
        <v>690</v>
      </c>
      <c r="P9168" t="s">
        <v>4990</v>
      </c>
      <c r="V9168">
        <v>14</v>
      </c>
    </row>
    <row r="9169" spans="1:22" customFormat="1" ht="15" x14ac:dyDescent="0.25">
      <c r="A9169" t="s">
        <v>287</v>
      </c>
      <c r="B9169" t="s">
        <v>6439</v>
      </c>
      <c r="E9169" s="1507" t="s">
        <v>3688</v>
      </c>
      <c r="F9169" s="1507"/>
      <c r="G9169" s="584" t="s">
        <v>3775</v>
      </c>
      <c r="H9169" s="577">
        <v>3.3</v>
      </c>
      <c r="K9169" t="s">
        <v>4989</v>
      </c>
      <c r="L9169" t="s">
        <v>690</v>
      </c>
      <c r="P9169" t="s">
        <v>4991</v>
      </c>
      <c r="V9169">
        <v>28</v>
      </c>
    </row>
    <row r="9170" spans="1:22" customFormat="1" ht="15" x14ac:dyDescent="0.25">
      <c r="A9170" t="s">
        <v>287</v>
      </c>
      <c r="B9170" t="s">
        <v>6439</v>
      </c>
      <c r="E9170" s="1507" t="s">
        <v>910</v>
      </c>
      <c r="F9170" s="1507"/>
      <c r="G9170" s="584" t="s">
        <v>3775</v>
      </c>
      <c r="H9170" s="577">
        <v>5.3600000000000002E-2</v>
      </c>
      <c r="K9170" t="s">
        <v>4989</v>
      </c>
      <c r="L9170" t="s">
        <v>692</v>
      </c>
      <c r="P9170" t="s">
        <v>4992</v>
      </c>
      <c r="V9170">
        <v>24</v>
      </c>
    </row>
    <row r="9171" spans="1:22" customFormat="1" ht="15" x14ac:dyDescent="0.25">
      <c r="A9171" t="s">
        <v>287</v>
      </c>
      <c r="B9171" t="s">
        <v>6439</v>
      </c>
      <c r="E9171" s="1507" t="s">
        <v>5521</v>
      </c>
      <c r="F9171" s="1507"/>
      <c r="G9171" s="584" t="s">
        <v>3775</v>
      </c>
      <c r="H9171" s="577">
        <v>0.6734</v>
      </c>
      <c r="K9171" t="s">
        <v>4989</v>
      </c>
      <c r="L9171" t="s">
        <v>692</v>
      </c>
      <c r="P9171" t="s">
        <v>4993</v>
      </c>
      <c r="T9171">
        <v>46142</v>
      </c>
      <c r="V9171">
        <v>96</v>
      </c>
    </row>
    <row r="9172" spans="1:22" customFormat="1" ht="15" x14ac:dyDescent="0.25">
      <c r="A9172" t="s">
        <v>287</v>
      </c>
      <c r="B9172" t="s">
        <v>6439</v>
      </c>
      <c r="E9172" s="1507" t="s">
        <v>243</v>
      </c>
      <c r="F9172" s="1507"/>
      <c r="G9172" s="584" t="s">
        <v>3775</v>
      </c>
      <c r="H9172" s="577">
        <v>4.5640000000000001</v>
      </c>
      <c r="K9172" t="s">
        <v>4989</v>
      </c>
      <c r="L9172" t="s">
        <v>694</v>
      </c>
      <c r="P9172" t="s">
        <v>4994</v>
      </c>
      <c r="V9172">
        <v>47</v>
      </c>
    </row>
    <row r="9173" spans="1:22" customFormat="1" ht="15" x14ac:dyDescent="0.25">
      <c r="A9173" t="s">
        <v>287</v>
      </c>
      <c r="B9173" t="s">
        <v>6439</v>
      </c>
      <c r="E9173" s="1507" t="s">
        <v>175</v>
      </c>
      <c r="F9173" s="1507"/>
      <c r="G9173" s="584" t="s">
        <v>3775</v>
      </c>
      <c r="H9173" s="577">
        <v>3.2294</v>
      </c>
      <c r="K9173" t="s">
        <v>4989</v>
      </c>
      <c r="L9173" t="s">
        <v>694</v>
      </c>
      <c r="P9173" t="s">
        <v>4995</v>
      </c>
      <c r="V9173">
        <v>74</v>
      </c>
    </row>
    <row r="9174" spans="1:22" customFormat="1" ht="15" x14ac:dyDescent="0.25">
      <c r="A9174" t="s">
        <v>287</v>
      </c>
      <c r="B9174" t="s">
        <v>6439</v>
      </c>
      <c r="E9174" s="1515" t="s">
        <v>967</v>
      </c>
      <c r="F9174" s="1507"/>
      <c r="G9174" s="1507"/>
      <c r="H9174" s="1507"/>
      <c r="K9174" t="s">
        <v>1003</v>
      </c>
      <c r="V9174">
        <v>48</v>
      </c>
    </row>
    <row r="9175" spans="1:22" customFormat="1" ht="15" x14ac:dyDescent="0.25">
      <c r="A9175" t="s">
        <v>287</v>
      </c>
      <c r="B9175" t="s">
        <v>6439</v>
      </c>
      <c r="E9175" s="1507" t="s">
        <v>844</v>
      </c>
      <c r="F9175" s="1507"/>
      <c r="G9175" s="584" t="s">
        <v>845</v>
      </c>
      <c r="H9175" s="577">
        <v>4.1000000000000003E-3</v>
      </c>
      <c r="K9175" t="s">
        <v>4989</v>
      </c>
      <c r="L9175" t="s">
        <v>968</v>
      </c>
      <c r="P9175" t="s">
        <v>4996</v>
      </c>
      <c r="V9175">
        <v>55</v>
      </c>
    </row>
    <row r="9176" spans="1:22" customFormat="1" ht="15" x14ac:dyDescent="0.25">
      <c r="A9176" t="s">
        <v>287</v>
      </c>
      <c r="B9176" t="s">
        <v>6439</v>
      </c>
      <c r="E9176" s="1507" t="s">
        <v>846</v>
      </c>
      <c r="F9176" s="1507"/>
      <c r="G9176" s="584" t="s">
        <v>845</v>
      </c>
      <c r="H9176" s="577">
        <v>4.0000000000000002E-4</v>
      </c>
      <c r="K9176" t="s">
        <v>4989</v>
      </c>
      <c r="L9176" t="s">
        <v>968</v>
      </c>
      <c r="P9176" t="s">
        <v>4996</v>
      </c>
      <c r="V9176">
        <v>65</v>
      </c>
    </row>
    <row r="9177" spans="1:22" customFormat="1" ht="15" x14ac:dyDescent="0.25">
      <c r="A9177" t="s">
        <v>287</v>
      </c>
      <c r="B9177" t="s">
        <v>6439</v>
      </c>
      <c r="E9177" s="1507" t="s">
        <v>847</v>
      </c>
      <c r="F9177" s="1507"/>
      <c r="G9177" s="584" t="s">
        <v>845</v>
      </c>
      <c r="H9177" s="577">
        <v>1.5E-3</v>
      </c>
      <c r="K9177" t="s">
        <v>4989</v>
      </c>
      <c r="L9177" t="s">
        <v>968</v>
      </c>
      <c r="P9177" t="s">
        <v>4997</v>
      </c>
      <c r="V9177">
        <v>57</v>
      </c>
    </row>
    <row r="9178" spans="1:22" customFormat="1" ht="15" x14ac:dyDescent="0.25">
      <c r="A9178" t="s">
        <v>287</v>
      </c>
      <c r="B9178" t="s">
        <v>6439</v>
      </c>
      <c r="E9178" s="1507" t="s">
        <v>848</v>
      </c>
      <c r="F9178" s="1507"/>
      <c r="G9178" s="584" t="s">
        <v>777</v>
      </c>
      <c r="H9178" s="576">
        <v>0.25</v>
      </c>
      <c r="K9178" t="s">
        <v>4989</v>
      </c>
      <c r="L9178" t="s">
        <v>968</v>
      </c>
      <c r="P9178" t="s">
        <v>4998</v>
      </c>
      <c r="V9178">
        <v>63</v>
      </c>
    </row>
    <row r="9179" spans="1:22" customFormat="1" ht="15" x14ac:dyDescent="0.25">
      <c r="A9179" t="s">
        <v>287</v>
      </c>
      <c r="B9179" t="s">
        <v>6439</v>
      </c>
      <c r="E9179" s="1513" t="s">
        <v>6883</v>
      </c>
      <c r="F9179" s="1513"/>
      <c r="G9179" s="1513"/>
      <c r="H9179" s="1513"/>
      <c r="K9179" t="s">
        <v>6883</v>
      </c>
      <c r="V9179">
        <v>12</v>
      </c>
    </row>
    <row r="9180" spans="1:22" customFormat="1" ht="15" x14ac:dyDescent="0.25">
      <c r="A9180" t="s">
        <v>287</v>
      </c>
      <c r="B9180" t="s">
        <v>6439</v>
      </c>
      <c r="E9180" s="1492" t="s">
        <v>5548</v>
      </c>
      <c r="F9180" s="1516"/>
      <c r="G9180" s="1516"/>
      <c r="H9180" s="1516"/>
      <c r="K9180" t="s">
        <v>6441</v>
      </c>
      <c r="V9180">
        <v>60</v>
      </c>
    </row>
    <row r="9181" spans="1:22" customFormat="1" ht="15" x14ac:dyDescent="0.25">
      <c r="A9181" t="s">
        <v>287</v>
      </c>
      <c r="B9181" t="s">
        <v>6439</v>
      </c>
      <c r="E9181" s="1516" t="s">
        <v>5549</v>
      </c>
      <c r="F9181" s="1516"/>
      <c r="G9181" s="1516"/>
      <c r="H9181" s="1516"/>
      <c r="K9181" t="s">
        <v>6441</v>
      </c>
      <c r="V9181">
        <v>333</v>
      </c>
    </row>
    <row r="9182" spans="1:22" customFormat="1" ht="15" x14ac:dyDescent="0.25">
      <c r="A9182" t="s">
        <v>287</v>
      </c>
      <c r="B9182" t="s">
        <v>6439</v>
      </c>
      <c r="E9182" s="1515" t="s">
        <v>950</v>
      </c>
      <c r="F9182" s="1516"/>
      <c r="G9182" s="1516"/>
      <c r="H9182" s="1516"/>
      <c r="K9182" t="s">
        <v>1010</v>
      </c>
      <c r="V9182">
        <v>11</v>
      </c>
    </row>
    <row r="9183" spans="1:22" customFormat="1" ht="15" x14ac:dyDescent="0.25">
      <c r="A9183" t="s">
        <v>287</v>
      </c>
      <c r="B9183" t="s">
        <v>6439</v>
      </c>
      <c r="E9183" s="1516" t="s">
        <v>951</v>
      </c>
      <c r="F9183" s="1516"/>
      <c r="G9183" s="1516"/>
      <c r="H9183" s="1516"/>
      <c r="K9183" t="s">
        <v>6441</v>
      </c>
      <c r="V9183">
        <v>280</v>
      </c>
    </row>
    <row r="9184" spans="1:22" customFormat="1" ht="15" x14ac:dyDescent="0.25">
      <c r="A9184" t="s">
        <v>287</v>
      </c>
      <c r="B9184" t="s">
        <v>6439</v>
      </c>
      <c r="E9184" s="1516" t="s">
        <v>952</v>
      </c>
      <c r="F9184" s="1516"/>
      <c r="G9184" s="1516"/>
      <c r="H9184" s="1516"/>
      <c r="K9184" t="s">
        <v>6441</v>
      </c>
      <c r="V9184">
        <v>411</v>
      </c>
    </row>
    <row r="9185" spans="1:22" customFormat="1" ht="15" x14ac:dyDescent="0.25">
      <c r="A9185" t="s">
        <v>287</v>
      </c>
      <c r="B9185" t="s">
        <v>6439</v>
      </c>
      <c r="E9185" s="1516" t="s">
        <v>953</v>
      </c>
      <c r="F9185" s="1516"/>
      <c r="G9185" s="1516"/>
      <c r="H9185" s="1516"/>
      <c r="K9185" t="s">
        <v>6441</v>
      </c>
      <c r="V9185">
        <v>386</v>
      </c>
    </row>
    <row r="9186" spans="1:22" customFormat="1" ht="15" x14ac:dyDescent="0.25">
      <c r="A9186" t="s">
        <v>287</v>
      </c>
      <c r="B9186" t="s">
        <v>6439</v>
      </c>
      <c r="E9186" s="1516" t="s">
        <v>993</v>
      </c>
      <c r="F9186" s="1516"/>
      <c r="G9186" s="1516"/>
      <c r="H9186" s="1516"/>
      <c r="K9186" t="s">
        <v>6441</v>
      </c>
      <c r="V9186">
        <v>680</v>
      </c>
    </row>
    <row r="9187" spans="1:22" customFormat="1" ht="15" x14ac:dyDescent="0.25">
      <c r="A9187" t="s">
        <v>287</v>
      </c>
      <c r="B9187" t="s">
        <v>6439</v>
      </c>
      <c r="E9187" s="1516" t="s">
        <v>5547</v>
      </c>
      <c r="F9187" s="1516"/>
      <c r="G9187" s="1516"/>
      <c r="H9187" s="1516"/>
      <c r="K9187" t="s">
        <v>6441</v>
      </c>
      <c r="V9187">
        <v>724</v>
      </c>
    </row>
    <row r="9188" spans="1:22" customFormat="1" ht="15" x14ac:dyDescent="0.25">
      <c r="A9188" t="s">
        <v>287</v>
      </c>
      <c r="B9188" t="s">
        <v>6439</v>
      </c>
      <c r="E9188" s="1516" t="s">
        <v>954</v>
      </c>
      <c r="F9188" s="1516"/>
      <c r="G9188" s="1516"/>
      <c r="H9188" s="1516"/>
      <c r="K9188" t="s">
        <v>6441</v>
      </c>
      <c r="V9188">
        <v>246</v>
      </c>
    </row>
    <row r="9189" spans="1:22" customFormat="1" ht="15" x14ac:dyDescent="0.25">
      <c r="A9189" t="s">
        <v>287</v>
      </c>
      <c r="B9189" t="s">
        <v>6439</v>
      </c>
      <c r="E9189" s="1515" t="s">
        <v>956</v>
      </c>
      <c r="F9189" s="1516"/>
      <c r="G9189" s="1516"/>
      <c r="H9189" s="1516"/>
      <c r="K9189" t="s">
        <v>1011</v>
      </c>
      <c r="V9189">
        <v>46</v>
      </c>
    </row>
    <row r="9190" spans="1:22" customFormat="1" ht="15" x14ac:dyDescent="0.25">
      <c r="A9190" t="s">
        <v>287</v>
      </c>
      <c r="B9190" t="s">
        <v>6439</v>
      </c>
      <c r="E9190" s="1507" t="s">
        <v>3773</v>
      </c>
      <c r="F9190" s="1507"/>
      <c r="G9190" s="584" t="s">
        <v>777</v>
      </c>
      <c r="H9190" s="576">
        <v>8310.58</v>
      </c>
      <c r="K9190" t="s">
        <v>6441</v>
      </c>
      <c r="L9190" t="s">
        <v>690</v>
      </c>
      <c r="P9190" t="s">
        <v>6442</v>
      </c>
      <c r="V9190">
        <v>14</v>
      </c>
    </row>
    <row r="9191" spans="1:22" customFormat="1" ht="15" x14ac:dyDescent="0.25">
      <c r="A9191" t="s">
        <v>287</v>
      </c>
      <c r="B9191" t="s">
        <v>6439</v>
      </c>
      <c r="E9191" s="1507" t="s">
        <v>3688</v>
      </c>
      <c r="F9191" s="1507"/>
      <c r="G9191" s="584" t="s">
        <v>3775</v>
      </c>
      <c r="H9191" s="577">
        <v>1.4769000000000001</v>
      </c>
      <c r="K9191" t="s">
        <v>6441</v>
      </c>
      <c r="L9191" t="s">
        <v>690</v>
      </c>
      <c r="P9191" t="s">
        <v>6443</v>
      </c>
      <c r="V9191">
        <v>28</v>
      </c>
    </row>
    <row r="9192" spans="1:22" customFormat="1" ht="15" x14ac:dyDescent="0.25">
      <c r="A9192" t="s">
        <v>287</v>
      </c>
      <c r="B9192" t="s">
        <v>6439</v>
      </c>
      <c r="E9192" s="1507" t="s">
        <v>910</v>
      </c>
      <c r="F9192" s="1507"/>
      <c r="G9192" s="584" t="s">
        <v>3775</v>
      </c>
      <c r="H9192" s="577">
        <v>5.9200000000000003E-2</v>
      </c>
      <c r="K9192" t="s">
        <v>6441</v>
      </c>
      <c r="L9192" t="s">
        <v>692</v>
      </c>
      <c r="P9192" t="s">
        <v>6444</v>
      </c>
      <c r="V9192">
        <v>24</v>
      </c>
    </row>
    <row r="9193" spans="1:22" customFormat="1" ht="15" x14ac:dyDescent="0.25">
      <c r="A9193" t="s">
        <v>287</v>
      </c>
      <c r="B9193" t="s">
        <v>6439</v>
      </c>
      <c r="E9193" s="1507" t="s">
        <v>5521</v>
      </c>
      <c r="F9193" s="1507"/>
      <c r="G9193" s="584" t="s">
        <v>3775</v>
      </c>
      <c r="H9193" s="577">
        <v>0.92959999999999998</v>
      </c>
      <c r="K9193" t="s">
        <v>6441</v>
      </c>
      <c r="L9193" t="s">
        <v>692</v>
      </c>
      <c r="P9193" t="s">
        <v>6445</v>
      </c>
      <c r="T9193">
        <v>46142</v>
      </c>
      <c r="V9193">
        <v>96</v>
      </c>
    </row>
    <row r="9194" spans="1:22" customFormat="1" ht="15" x14ac:dyDescent="0.25">
      <c r="A9194" t="s">
        <v>287</v>
      </c>
      <c r="B9194" t="s">
        <v>6439</v>
      </c>
      <c r="E9194" s="1507" t="s">
        <v>251</v>
      </c>
      <c r="F9194" s="1507"/>
      <c r="G9194" s="584" t="s">
        <v>3775</v>
      </c>
      <c r="H9194" s="577">
        <v>4.8411999999999997</v>
      </c>
      <c r="K9194" t="s">
        <v>6441</v>
      </c>
      <c r="L9194" t="s">
        <v>694</v>
      </c>
      <c r="P9194" t="s">
        <v>6446</v>
      </c>
      <c r="V9194">
        <v>66</v>
      </c>
    </row>
    <row r="9195" spans="1:22" customFormat="1" ht="15" x14ac:dyDescent="0.25">
      <c r="A9195" t="s">
        <v>287</v>
      </c>
      <c r="B9195" t="s">
        <v>6439</v>
      </c>
      <c r="E9195" s="1507" t="s">
        <v>185</v>
      </c>
      <c r="F9195" s="1507"/>
      <c r="G9195" s="584" t="s">
        <v>3775</v>
      </c>
      <c r="H9195" s="577">
        <v>3.5688</v>
      </c>
      <c r="K9195" t="s">
        <v>6441</v>
      </c>
      <c r="L9195" t="s">
        <v>694</v>
      </c>
      <c r="P9195" t="s">
        <v>6447</v>
      </c>
      <c r="V9195">
        <v>93</v>
      </c>
    </row>
    <row r="9196" spans="1:22" customFormat="1" ht="15" x14ac:dyDescent="0.25">
      <c r="A9196" t="s">
        <v>287</v>
      </c>
      <c r="B9196" t="s">
        <v>6439</v>
      </c>
      <c r="E9196" s="1515" t="s">
        <v>967</v>
      </c>
      <c r="F9196" s="1507"/>
      <c r="G9196" s="1507"/>
      <c r="H9196" s="1507"/>
      <c r="K9196" t="s">
        <v>1019</v>
      </c>
      <c r="V9196">
        <v>48</v>
      </c>
    </row>
    <row r="9197" spans="1:22" customFormat="1" ht="15" x14ac:dyDescent="0.25">
      <c r="A9197" t="s">
        <v>287</v>
      </c>
      <c r="B9197" t="s">
        <v>6439</v>
      </c>
      <c r="E9197" s="1507" t="s">
        <v>844</v>
      </c>
      <c r="F9197" s="1507"/>
      <c r="G9197" s="584" t="s">
        <v>845</v>
      </c>
      <c r="H9197" s="577">
        <v>4.1000000000000003E-3</v>
      </c>
      <c r="K9197" t="s">
        <v>6441</v>
      </c>
      <c r="L9197" t="s">
        <v>968</v>
      </c>
      <c r="P9197" t="s">
        <v>6448</v>
      </c>
      <c r="V9197">
        <v>55</v>
      </c>
    </row>
    <row r="9198" spans="1:22" customFormat="1" ht="15" x14ac:dyDescent="0.25">
      <c r="A9198" t="s">
        <v>287</v>
      </c>
      <c r="B9198" t="s">
        <v>6439</v>
      </c>
      <c r="E9198" s="1507" t="s">
        <v>846</v>
      </c>
      <c r="F9198" s="1507"/>
      <c r="G9198" s="584" t="s">
        <v>845</v>
      </c>
      <c r="H9198" s="577">
        <v>4.0000000000000002E-4</v>
      </c>
      <c r="K9198" t="s">
        <v>6441</v>
      </c>
      <c r="L9198" t="s">
        <v>968</v>
      </c>
      <c r="P9198" t="s">
        <v>6448</v>
      </c>
      <c r="V9198">
        <v>65</v>
      </c>
    </row>
    <row r="9199" spans="1:22" customFormat="1" ht="15" x14ac:dyDescent="0.25">
      <c r="A9199" t="s">
        <v>287</v>
      </c>
      <c r="B9199" t="s">
        <v>6439</v>
      </c>
      <c r="E9199" s="1507" t="s">
        <v>847</v>
      </c>
      <c r="F9199" s="1507"/>
      <c r="G9199" s="584" t="s">
        <v>845</v>
      </c>
      <c r="H9199" s="577">
        <v>1.5E-3</v>
      </c>
      <c r="K9199" t="s">
        <v>6441</v>
      </c>
      <c r="L9199" t="s">
        <v>968</v>
      </c>
      <c r="P9199" t="s">
        <v>6449</v>
      </c>
      <c r="V9199">
        <v>57</v>
      </c>
    </row>
    <row r="9200" spans="1:22" customFormat="1" ht="15" x14ac:dyDescent="0.25">
      <c r="A9200" t="s">
        <v>287</v>
      </c>
      <c r="B9200" t="s">
        <v>6439</v>
      </c>
      <c r="E9200" s="1507" t="s">
        <v>848</v>
      </c>
      <c r="F9200" s="1507"/>
      <c r="G9200" s="584" t="s">
        <v>777</v>
      </c>
      <c r="H9200" s="576">
        <v>0.25</v>
      </c>
      <c r="K9200" t="s">
        <v>6441</v>
      </c>
      <c r="L9200" t="s">
        <v>968</v>
      </c>
      <c r="P9200" t="s">
        <v>6450</v>
      </c>
      <c r="V9200">
        <v>63</v>
      </c>
    </row>
    <row r="9201" spans="1:22" customFormat="1" ht="15" x14ac:dyDescent="0.25">
      <c r="A9201" t="s">
        <v>287</v>
      </c>
      <c r="B9201" t="s">
        <v>6439</v>
      </c>
      <c r="E9201" s="1513" t="s">
        <v>6883</v>
      </c>
      <c r="F9201" s="1513"/>
      <c r="G9201" s="1513"/>
      <c r="H9201" s="1513"/>
      <c r="K9201" t="s">
        <v>6883</v>
      </c>
      <c r="V9201">
        <v>12</v>
      </c>
    </row>
    <row r="9202" spans="1:22" customFormat="1" x14ac:dyDescent="0.25">
      <c r="A9202" t="s">
        <v>287</v>
      </c>
      <c r="B9202" t="s">
        <v>6439</v>
      </c>
      <c r="E9202" s="1492" t="s">
        <v>194</v>
      </c>
      <c r="F9202" s="1493"/>
      <c r="G9202" s="1493"/>
      <c r="H9202" s="1493"/>
      <c r="K9202" t="s">
        <v>1023</v>
      </c>
      <c r="V9202">
        <v>47</v>
      </c>
    </row>
    <row r="9203" spans="1:22" customFormat="1" ht="15" x14ac:dyDescent="0.25">
      <c r="A9203" t="s">
        <v>287</v>
      </c>
      <c r="B9203" t="s">
        <v>6439</v>
      </c>
      <c r="E9203" s="1516" t="s">
        <v>5550</v>
      </c>
      <c r="F9203" s="1516"/>
      <c r="G9203" s="1516"/>
      <c r="H9203" s="1516"/>
      <c r="K9203" t="s">
        <v>1023</v>
      </c>
      <c r="V9203">
        <v>617</v>
      </c>
    </row>
    <row r="9204" spans="1:22" customFormat="1" ht="15" x14ac:dyDescent="0.25">
      <c r="A9204" t="s">
        <v>287</v>
      </c>
      <c r="B9204" t="s">
        <v>6439</v>
      </c>
      <c r="E9204" s="1515" t="s">
        <v>950</v>
      </c>
      <c r="F9204" s="1516"/>
      <c r="G9204" s="1516"/>
      <c r="H9204" s="1516"/>
      <c r="K9204" t="s">
        <v>1025</v>
      </c>
      <c r="V9204">
        <v>11</v>
      </c>
    </row>
    <row r="9205" spans="1:22" customFormat="1" ht="15" x14ac:dyDescent="0.25">
      <c r="A9205" t="s">
        <v>287</v>
      </c>
      <c r="B9205" t="s">
        <v>6439</v>
      </c>
      <c r="E9205" s="1516" t="s">
        <v>951</v>
      </c>
      <c r="F9205" s="1516"/>
      <c r="G9205" s="1516"/>
      <c r="H9205" s="1516"/>
      <c r="K9205" t="s">
        <v>1023</v>
      </c>
      <c r="V9205">
        <v>280</v>
      </c>
    </row>
    <row r="9206" spans="1:22" customFormat="1" ht="15" x14ac:dyDescent="0.25">
      <c r="A9206" t="s">
        <v>287</v>
      </c>
      <c r="B9206" t="s">
        <v>6439</v>
      </c>
      <c r="E9206" s="1516" t="s">
        <v>952</v>
      </c>
      <c r="F9206" s="1516"/>
      <c r="G9206" s="1516"/>
      <c r="H9206" s="1516"/>
      <c r="K9206" t="s">
        <v>1023</v>
      </c>
      <c r="V9206">
        <v>411</v>
      </c>
    </row>
    <row r="9207" spans="1:22" customFormat="1" ht="15" x14ac:dyDescent="0.25">
      <c r="A9207" t="s">
        <v>287</v>
      </c>
      <c r="B9207" t="s">
        <v>6439</v>
      </c>
      <c r="E9207" s="1516" t="s">
        <v>953</v>
      </c>
      <c r="F9207" s="1516"/>
      <c r="G9207" s="1516"/>
      <c r="H9207" s="1516"/>
      <c r="K9207" t="s">
        <v>1023</v>
      </c>
      <c r="V9207">
        <v>386</v>
      </c>
    </row>
    <row r="9208" spans="1:22" customFormat="1" ht="15" x14ac:dyDescent="0.25">
      <c r="A9208" t="s">
        <v>287</v>
      </c>
      <c r="B9208" t="s">
        <v>6439</v>
      </c>
      <c r="E9208" s="1516" t="s">
        <v>954</v>
      </c>
      <c r="F9208" s="1516"/>
      <c r="G9208" s="1516"/>
      <c r="H9208" s="1516"/>
      <c r="K9208" t="s">
        <v>1023</v>
      </c>
      <c r="V9208">
        <v>246</v>
      </c>
    </row>
    <row r="9209" spans="1:22" customFormat="1" ht="15" x14ac:dyDescent="0.25">
      <c r="A9209" t="s">
        <v>287</v>
      </c>
      <c r="B9209" t="s">
        <v>6439</v>
      </c>
      <c r="E9209" s="1515" t="s">
        <v>956</v>
      </c>
      <c r="F9209" s="1516"/>
      <c r="G9209" s="1516"/>
      <c r="H9209" s="1516"/>
      <c r="K9209" t="s">
        <v>1026</v>
      </c>
      <c r="V9209">
        <v>46</v>
      </c>
    </row>
    <row r="9210" spans="1:22" customFormat="1" ht="15" x14ac:dyDescent="0.25">
      <c r="A9210" t="s">
        <v>287</v>
      </c>
      <c r="B9210" t="s">
        <v>6439</v>
      </c>
      <c r="E9210" s="1507" t="s">
        <v>3874</v>
      </c>
      <c r="F9210" s="1507"/>
      <c r="G9210" s="584" t="s">
        <v>777</v>
      </c>
      <c r="H9210" s="576">
        <v>6.83</v>
      </c>
      <c r="K9210" t="s">
        <v>1023</v>
      </c>
      <c r="L9210" t="s">
        <v>690</v>
      </c>
      <c r="P9210" t="s">
        <v>1027</v>
      </c>
      <c r="V9210">
        <v>31</v>
      </c>
    </row>
    <row r="9211" spans="1:22" customFormat="1" ht="15" x14ac:dyDescent="0.25">
      <c r="A9211" t="s">
        <v>287</v>
      </c>
      <c r="B9211" t="s">
        <v>6439</v>
      </c>
      <c r="E9211" s="1507" t="s">
        <v>3688</v>
      </c>
      <c r="F9211" s="1507"/>
      <c r="G9211" s="584" t="s">
        <v>845</v>
      </c>
      <c r="H9211" s="577">
        <v>1.5699999999999999E-2</v>
      </c>
      <c r="K9211" t="s">
        <v>1023</v>
      </c>
      <c r="L9211" t="s">
        <v>690</v>
      </c>
      <c r="P9211" t="s">
        <v>1029</v>
      </c>
      <c r="V9211">
        <v>28</v>
      </c>
    </row>
    <row r="9212" spans="1:22" customFormat="1" ht="15" x14ac:dyDescent="0.25">
      <c r="A9212" t="s">
        <v>287</v>
      </c>
      <c r="B9212" t="s">
        <v>6439</v>
      </c>
      <c r="E9212" s="1507" t="s">
        <v>910</v>
      </c>
      <c r="F9212" s="1507"/>
      <c r="G9212" s="584" t="s">
        <v>845</v>
      </c>
      <c r="H9212" s="577">
        <v>1E-4</v>
      </c>
      <c r="K9212" t="s">
        <v>1023</v>
      </c>
      <c r="L9212" t="s">
        <v>692</v>
      </c>
      <c r="P9212" t="s">
        <v>1030</v>
      </c>
      <c r="V9212">
        <v>24</v>
      </c>
    </row>
    <row r="9213" spans="1:22" customFormat="1" ht="15" x14ac:dyDescent="0.25">
      <c r="A9213" t="s">
        <v>287</v>
      </c>
      <c r="B9213" t="s">
        <v>6439</v>
      </c>
      <c r="E9213" s="1507" t="s">
        <v>5521</v>
      </c>
      <c r="F9213" s="1507"/>
      <c r="G9213" s="584" t="s">
        <v>845</v>
      </c>
      <c r="H9213" s="577">
        <v>1.8E-3</v>
      </c>
      <c r="K9213" t="s">
        <v>1023</v>
      </c>
      <c r="L9213" t="s">
        <v>692</v>
      </c>
      <c r="P9213" t="s">
        <v>1032</v>
      </c>
      <c r="T9213">
        <v>46142</v>
      </c>
      <c r="V9213">
        <v>96</v>
      </c>
    </row>
    <row r="9214" spans="1:22" customFormat="1" ht="15" x14ac:dyDescent="0.25">
      <c r="A9214" t="s">
        <v>287</v>
      </c>
      <c r="B9214" t="s">
        <v>6439</v>
      </c>
      <c r="E9214" s="1507" t="s">
        <v>243</v>
      </c>
      <c r="F9214" s="1507"/>
      <c r="G9214" s="584" t="s">
        <v>845</v>
      </c>
      <c r="H9214" s="577">
        <v>1.14E-2</v>
      </c>
      <c r="K9214" t="s">
        <v>1023</v>
      </c>
      <c r="L9214" t="s">
        <v>694</v>
      </c>
      <c r="P9214" t="s">
        <v>1033</v>
      </c>
      <c r="V9214">
        <v>47</v>
      </c>
    </row>
    <row r="9215" spans="1:22" customFormat="1" ht="15" x14ac:dyDescent="0.25">
      <c r="A9215" t="s">
        <v>287</v>
      </c>
      <c r="B9215" t="s">
        <v>6439</v>
      </c>
      <c r="E9215" s="1507" t="s">
        <v>175</v>
      </c>
      <c r="F9215" s="1507"/>
      <c r="G9215" s="584" t="s">
        <v>845</v>
      </c>
      <c r="H9215" s="577">
        <v>8.2000000000000007E-3</v>
      </c>
      <c r="K9215" t="s">
        <v>1023</v>
      </c>
      <c r="L9215" t="s">
        <v>694</v>
      </c>
      <c r="P9215" t="s">
        <v>1034</v>
      </c>
      <c r="V9215">
        <v>74</v>
      </c>
    </row>
    <row r="9216" spans="1:22" customFormat="1" ht="15" x14ac:dyDescent="0.25">
      <c r="A9216" t="s">
        <v>287</v>
      </c>
      <c r="B9216" t="s">
        <v>6439</v>
      </c>
      <c r="E9216" s="1515" t="s">
        <v>967</v>
      </c>
      <c r="F9216" s="1507"/>
      <c r="G9216" s="1507"/>
      <c r="H9216" s="1507"/>
      <c r="K9216" t="s">
        <v>1035</v>
      </c>
      <c r="V9216">
        <v>48</v>
      </c>
    </row>
    <row r="9217" spans="1:22" customFormat="1" ht="15" x14ac:dyDescent="0.25">
      <c r="A9217" t="s">
        <v>287</v>
      </c>
      <c r="B9217" t="s">
        <v>6439</v>
      </c>
      <c r="E9217" s="1507" t="s">
        <v>844</v>
      </c>
      <c r="F9217" s="1507"/>
      <c r="G9217" s="584" t="s">
        <v>845</v>
      </c>
      <c r="H9217" s="577">
        <v>4.1000000000000003E-3</v>
      </c>
      <c r="K9217" t="s">
        <v>1023</v>
      </c>
      <c r="L9217" t="s">
        <v>968</v>
      </c>
      <c r="P9217" t="s">
        <v>1036</v>
      </c>
      <c r="V9217">
        <v>55</v>
      </c>
    </row>
    <row r="9218" spans="1:22" customFormat="1" ht="15" x14ac:dyDescent="0.25">
      <c r="A9218" t="s">
        <v>287</v>
      </c>
      <c r="B9218" t="s">
        <v>6439</v>
      </c>
      <c r="E9218" s="1507" t="s">
        <v>846</v>
      </c>
      <c r="F9218" s="1507"/>
      <c r="G9218" s="584" t="s">
        <v>845</v>
      </c>
      <c r="H9218" s="577">
        <v>4.0000000000000002E-4</v>
      </c>
      <c r="K9218" t="s">
        <v>1023</v>
      </c>
      <c r="L9218" t="s">
        <v>968</v>
      </c>
      <c r="P9218" t="s">
        <v>1036</v>
      </c>
      <c r="V9218">
        <v>65</v>
      </c>
    </row>
    <row r="9219" spans="1:22" customFormat="1" ht="15" x14ac:dyDescent="0.25">
      <c r="A9219" t="s">
        <v>287</v>
      </c>
      <c r="B9219" t="s">
        <v>6439</v>
      </c>
      <c r="E9219" s="1507" t="s">
        <v>847</v>
      </c>
      <c r="F9219" s="1507"/>
      <c r="G9219" s="584" t="s">
        <v>845</v>
      </c>
      <c r="H9219" s="577">
        <v>1.5E-3</v>
      </c>
      <c r="K9219" t="s">
        <v>1023</v>
      </c>
      <c r="L9219" t="s">
        <v>968</v>
      </c>
      <c r="P9219" t="s">
        <v>1037</v>
      </c>
      <c r="V9219">
        <v>57</v>
      </c>
    </row>
    <row r="9220" spans="1:22" customFormat="1" ht="15" x14ac:dyDescent="0.25">
      <c r="A9220" t="s">
        <v>287</v>
      </c>
      <c r="B9220" t="s">
        <v>6439</v>
      </c>
      <c r="E9220" s="1507" t="s">
        <v>848</v>
      </c>
      <c r="F9220" s="1507"/>
      <c r="G9220" s="584" t="s">
        <v>777</v>
      </c>
      <c r="H9220" s="576">
        <v>0.25</v>
      </c>
      <c r="K9220" t="s">
        <v>1023</v>
      </c>
      <c r="L9220" t="s">
        <v>968</v>
      </c>
      <c r="P9220" t="s">
        <v>1038</v>
      </c>
      <c r="V9220">
        <v>63</v>
      </c>
    </row>
    <row r="9221" spans="1:22" customFormat="1" ht="15" x14ac:dyDescent="0.25">
      <c r="A9221" t="s">
        <v>287</v>
      </c>
      <c r="B9221" t="s">
        <v>6439</v>
      </c>
      <c r="E9221" s="1513" t="s">
        <v>6883</v>
      </c>
      <c r="F9221" s="1513"/>
      <c r="G9221" s="1513"/>
      <c r="H9221" s="1513"/>
      <c r="K9221" t="s">
        <v>6883</v>
      </c>
      <c r="V9221">
        <v>12</v>
      </c>
    </row>
    <row r="9222" spans="1:22" customFormat="1" x14ac:dyDescent="0.25">
      <c r="A9222" t="s">
        <v>287</v>
      </c>
      <c r="B9222" t="s">
        <v>6439</v>
      </c>
      <c r="E9222" s="1492" t="s">
        <v>198</v>
      </c>
      <c r="F9222" s="1493"/>
      <c r="G9222" s="1493"/>
      <c r="H9222" s="1493"/>
      <c r="K9222" t="s">
        <v>1039</v>
      </c>
      <c r="V9222">
        <v>40</v>
      </c>
    </row>
    <row r="9223" spans="1:22" customFormat="1" ht="15" x14ac:dyDescent="0.25">
      <c r="A9223" t="s">
        <v>287</v>
      </c>
      <c r="B9223" t="s">
        <v>6439</v>
      </c>
      <c r="E9223" s="1516" t="s">
        <v>4693</v>
      </c>
      <c r="F9223" s="1516"/>
      <c r="G9223" s="1516"/>
      <c r="H9223" s="1516"/>
      <c r="K9223" t="s">
        <v>1039</v>
      </c>
      <c r="V9223">
        <v>253</v>
      </c>
    </row>
    <row r="9224" spans="1:22" customFormat="1" ht="15" x14ac:dyDescent="0.25">
      <c r="A9224" t="s">
        <v>287</v>
      </c>
      <c r="B9224" t="s">
        <v>6439</v>
      </c>
      <c r="E9224" s="1515" t="s">
        <v>950</v>
      </c>
      <c r="F9224" s="1516"/>
      <c r="G9224" s="1516"/>
      <c r="H9224" s="1516"/>
      <c r="K9224" t="s">
        <v>1041</v>
      </c>
      <c r="V9224">
        <v>11</v>
      </c>
    </row>
    <row r="9225" spans="1:22" customFormat="1" ht="15" x14ac:dyDescent="0.25">
      <c r="A9225" t="s">
        <v>287</v>
      </c>
      <c r="B9225" t="s">
        <v>6439</v>
      </c>
      <c r="E9225" s="1516" t="s">
        <v>951</v>
      </c>
      <c r="F9225" s="1516"/>
      <c r="G9225" s="1516"/>
      <c r="H9225" s="1516"/>
      <c r="K9225" t="s">
        <v>1039</v>
      </c>
      <c r="V9225">
        <v>280</v>
      </c>
    </row>
    <row r="9226" spans="1:22" customFormat="1" ht="15" x14ac:dyDescent="0.25">
      <c r="A9226" t="s">
        <v>287</v>
      </c>
      <c r="B9226" t="s">
        <v>6439</v>
      </c>
      <c r="E9226" s="1516" t="s">
        <v>952</v>
      </c>
      <c r="F9226" s="1516"/>
      <c r="G9226" s="1516"/>
      <c r="H9226" s="1516"/>
      <c r="K9226" t="s">
        <v>1039</v>
      </c>
      <c r="V9226">
        <v>411</v>
      </c>
    </row>
    <row r="9227" spans="1:22" customFormat="1" ht="15" x14ac:dyDescent="0.25">
      <c r="A9227" t="s">
        <v>287</v>
      </c>
      <c r="B9227" t="s">
        <v>6439</v>
      </c>
      <c r="E9227" s="1516" t="s">
        <v>953</v>
      </c>
      <c r="F9227" s="1516"/>
      <c r="G9227" s="1516"/>
      <c r="H9227" s="1516"/>
      <c r="K9227" t="s">
        <v>1039</v>
      </c>
      <c r="V9227">
        <v>386</v>
      </c>
    </row>
    <row r="9228" spans="1:22" customFormat="1" ht="15" x14ac:dyDescent="0.25">
      <c r="A9228" t="s">
        <v>287</v>
      </c>
      <c r="B9228" t="s">
        <v>6439</v>
      </c>
      <c r="E9228" s="1516" t="s">
        <v>954</v>
      </c>
      <c r="F9228" s="1516"/>
      <c r="G9228" s="1516"/>
      <c r="H9228" s="1516"/>
      <c r="K9228" t="s">
        <v>1039</v>
      </c>
      <c r="V9228">
        <v>246</v>
      </c>
    </row>
    <row r="9229" spans="1:22" customFormat="1" ht="15" x14ac:dyDescent="0.25">
      <c r="A9229" t="s">
        <v>287</v>
      </c>
      <c r="B9229" t="s">
        <v>6439</v>
      </c>
      <c r="E9229" s="1515" t="s">
        <v>956</v>
      </c>
      <c r="F9229" s="1516"/>
      <c r="G9229" s="1516"/>
      <c r="H9229" s="1516"/>
      <c r="K9229" t="s">
        <v>1042</v>
      </c>
      <c r="V9229">
        <v>46</v>
      </c>
    </row>
    <row r="9230" spans="1:22" customFormat="1" ht="15" x14ac:dyDescent="0.25">
      <c r="A9230" t="s">
        <v>287</v>
      </c>
      <c r="B9230" t="s">
        <v>6439</v>
      </c>
      <c r="E9230" s="1507" t="s">
        <v>3874</v>
      </c>
      <c r="F9230" s="1507"/>
      <c r="G9230" s="584" t="s">
        <v>777</v>
      </c>
      <c r="H9230" s="576">
        <v>6.28</v>
      </c>
      <c r="K9230" t="s">
        <v>1039</v>
      </c>
      <c r="L9230" t="s">
        <v>690</v>
      </c>
      <c r="P9230" t="s">
        <v>1043</v>
      </c>
      <c r="V9230">
        <v>31</v>
      </c>
    </row>
    <row r="9231" spans="1:22" customFormat="1" ht="15" x14ac:dyDescent="0.25">
      <c r="A9231" t="s">
        <v>287</v>
      </c>
      <c r="B9231" t="s">
        <v>6439</v>
      </c>
      <c r="E9231" s="1507" t="s">
        <v>3688</v>
      </c>
      <c r="F9231" s="1507"/>
      <c r="G9231" s="584" t="s">
        <v>3775</v>
      </c>
      <c r="H9231" s="577">
        <v>21.952100000000002</v>
      </c>
      <c r="K9231" t="s">
        <v>1039</v>
      </c>
      <c r="L9231" t="s">
        <v>690</v>
      </c>
      <c r="P9231" t="s">
        <v>1044</v>
      </c>
      <c r="V9231">
        <v>28</v>
      </c>
    </row>
    <row r="9232" spans="1:22" customFormat="1" ht="15" x14ac:dyDescent="0.25">
      <c r="A9232" t="s">
        <v>287</v>
      </c>
      <c r="B9232" t="s">
        <v>6439</v>
      </c>
      <c r="E9232" s="1507" t="s">
        <v>910</v>
      </c>
      <c r="F9232" s="1507"/>
      <c r="G9232" s="584" t="s">
        <v>3775</v>
      </c>
      <c r="H9232" s="577">
        <v>4.1399999999999999E-2</v>
      </c>
      <c r="K9232" t="s">
        <v>1039</v>
      </c>
      <c r="L9232" t="s">
        <v>692</v>
      </c>
      <c r="P9232" t="s">
        <v>1045</v>
      </c>
      <c r="V9232">
        <v>24</v>
      </c>
    </row>
    <row r="9233" spans="1:22" customFormat="1" ht="15" x14ac:dyDescent="0.25">
      <c r="A9233" t="s">
        <v>287</v>
      </c>
      <c r="B9233" t="s">
        <v>6439</v>
      </c>
      <c r="E9233" s="1507" t="s">
        <v>5521</v>
      </c>
      <c r="F9233" s="1507"/>
      <c r="G9233" s="584" t="s">
        <v>3775</v>
      </c>
      <c r="H9233" s="577">
        <v>0.7127</v>
      </c>
      <c r="K9233" t="s">
        <v>1039</v>
      </c>
      <c r="L9233" t="s">
        <v>692</v>
      </c>
      <c r="P9233" t="s">
        <v>1046</v>
      </c>
      <c r="T9233">
        <v>46142</v>
      </c>
      <c r="V9233">
        <v>96</v>
      </c>
    </row>
    <row r="9234" spans="1:22" customFormat="1" ht="15" x14ac:dyDescent="0.25">
      <c r="A9234" t="s">
        <v>287</v>
      </c>
      <c r="B9234" t="s">
        <v>6439</v>
      </c>
      <c r="E9234" s="1507" t="s">
        <v>243</v>
      </c>
      <c r="F9234" s="1507"/>
      <c r="G9234" s="584" t="s">
        <v>3775</v>
      </c>
      <c r="H9234" s="577">
        <v>3.4590000000000001</v>
      </c>
      <c r="K9234" t="s">
        <v>1039</v>
      </c>
      <c r="L9234" t="s">
        <v>694</v>
      </c>
      <c r="P9234" t="s">
        <v>1047</v>
      </c>
      <c r="V9234">
        <v>47</v>
      </c>
    </row>
    <row r="9235" spans="1:22" customFormat="1" ht="15" x14ac:dyDescent="0.25">
      <c r="A9235" t="s">
        <v>287</v>
      </c>
      <c r="B9235" t="s">
        <v>6439</v>
      </c>
      <c r="E9235" s="1507" t="s">
        <v>175</v>
      </c>
      <c r="F9235" s="1507"/>
      <c r="G9235" s="584" t="s">
        <v>3775</v>
      </c>
      <c r="H9235" s="577">
        <v>2.5484</v>
      </c>
      <c r="K9235" t="s">
        <v>1039</v>
      </c>
      <c r="L9235" t="s">
        <v>694</v>
      </c>
      <c r="P9235" t="s">
        <v>1048</v>
      </c>
      <c r="V9235">
        <v>74</v>
      </c>
    </row>
    <row r="9236" spans="1:22" customFormat="1" ht="15" x14ac:dyDescent="0.25">
      <c r="A9236" t="s">
        <v>287</v>
      </c>
      <c r="B9236" t="s">
        <v>6439</v>
      </c>
      <c r="E9236" s="1515" t="s">
        <v>967</v>
      </c>
      <c r="F9236" s="1507"/>
      <c r="G9236" s="1507"/>
      <c r="H9236" s="1507"/>
      <c r="K9236" t="s">
        <v>1049</v>
      </c>
      <c r="V9236">
        <v>48</v>
      </c>
    </row>
    <row r="9237" spans="1:22" customFormat="1" ht="15" x14ac:dyDescent="0.25">
      <c r="A9237" t="s">
        <v>287</v>
      </c>
      <c r="B9237" t="s">
        <v>6439</v>
      </c>
      <c r="E9237" s="1507" t="s">
        <v>844</v>
      </c>
      <c r="F9237" s="1507"/>
      <c r="G9237" s="584" t="s">
        <v>845</v>
      </c>
      <c r="H9237" s="577">
        <v>4.1000000000000003E-3</v>
      </c>
      <c r="K9237" t="s">
        <v>1039</v>
      </c>
      <c r="L9237" t="s">
        <v>968</v>
      </c>
      <c r="P9237" t="s">
        <v>1050</v>
      </c>
      <c r="V9237">
        <v>55</v>
      </c>
    </row>
    <row r="9238" spans="1:22" customFormat="1" ht="15" x14ac:dyDescent="0.25">
      <c r="A9238" t="s">
        <v>287</v>
      </c>
      <c r="B9238" t="s">
        <v>6439</v>
      </c>
      <c r="E9238" s="1507" t="s">
        <v>846</v>
      </c>
      <c r="F9238" s="1507"/>
      <c r="G9238" s="584" t="s">
        <v>845</v>
      </c>
      <c r="H9238" s="577">
        <v>4.0000000000000002E-4</v>
      </c>
      <c r="K9238" t="s">
        <v>1039</v>
      </c>
      <c r="L9238" t="s">
        <v>968</v>
      </c>
      <c r="P9238" t="s">
        <v>1050</v>
      </c>
      <c r="V9238">
        <v>65</v>
      </c>
    </row>
    <row r="9239" spans="1:22" customFormat="1" ht="15" x14ac:dyDescent="0.25">
      <c r="A9239" t="s">
        <v>287</v>
      </c>
      <c r="B9239" t="s">
        <v>6439</v>
      </c>
      <c r="E9239" s="1507" t="s">
        <v>847</v>
      </c>
      <c r="F9239" s="1507"/>
      <c r="G9239" s="584" t="s">
        <v>845</v>
      </c>
      <c r="H9239" s="577">
        <v>1.5E-3</v>
      </c>
      <c r="K9239" t="s">
        <v>1039</v>
      </c>
      <c r="L9239" t="s">
        <v>968</v>
      </c>
      <c r="P9239" t="s">
        <v>1051</v>
      </c>
      <c r="V9239">
        <v>57</v>
      </c>
    </row>
    <row r="9240" spans="1:22" customFormat="1" ht="15" x14ac:dyDescent="0.25">
      <c r="A9240" t="s">
        <v>287</v>
      </c>
      <c r="B9240" t="s">
        <v>6439</v>
      </c>
      <c r="E9240" s="1507" t="s">
        <v>848</v>
      </c>
      <c r="F9240" s="1507"/>
      <c r="G9240" s="584" t="s">
        <v>777</v>
      </c>
      <c r="H9240" s="576">
        <v>0.25</v>
      </c>
      <c r="K9240" t="s">
        <v>1039</v>
      </c>
      <c r="L9240" t="s">
        <v>968</v>
      </c>
      <c r="P9240" t="s">
        <v>1052</v>
      </c>
      <c r="V9240">
        <v>63</v>
      </c>
    </row>
    <row r="9241" spans="1:22" customFormat="1" ht="15" x14ac:dyDescent="0.25">
      <c r="A9241" t="s">
        <v>287</v>
      </c>
      <c r="B9241" t="s">
        <v>6439</v>
      </c>
      <c r="E9241" s="1513" t="s">
        <v>6883</v>
      </c>
      <c r="F9241" s="1513"/>
      <c r="G9241" s="1513"/>
      <c r="H9241" s="1513"/>
      <c r="K9241" t="s">
        <v>6883</v>
      </c>
      <c r="V9241">
        <v>12</v>
      </c>
    </row>
    <row r="9242" spans="1:22" customFormat="1" x14ac:dyDescent="0.25">
      <c r="A9242" t="s">
        <v>287</v>
      </c>
      <c r="B9242" t="s">
        <v>6439</v>
      </c>
      <c r="E9242" s="1492" t="s">
        <v>202</v>
      </c>
      <c r="F9242" s="1493"/>
      <c r="G9242" s="1493"/>
      <c r="H9242" s="1493"/>
      <c r="K9242" t="s">
        <v>1053</v>
      </c>
      <c r="V9242">
        <v>38</v>
      </c>
    </row>
    <row r="9243" spans="1:22" customFormat="1" ht="15" x14ac:dyDescent="0.25">
      <c r="A9243" t="s">
        <v>287</v>
      </c>
      <c r="B9243" t="s">
        <v>6439</v>
      </c>
      <c r="E9243" s="1516" t="s">
        <v>5553</v>
      </c>
      <c r="F9243" s="1516"/>
      <c r="G9243" s="1516"/>
      <c r="H9243" s="1516"/>
      <c r="K9243" t="s">
        <v>1053</v>
      </c>
      <c r="V9243">
        <v>411</v>
      </c>
    </row>
    <row r="9244" spans="1:22" customFormat="1" ht="15" x14ac:dyDescent="0.25">
      <c r="A9244" t="s">
        <v>287</v>
      </c>
      <c r="B9244" t="s">
        <v>6439</v>
      </c>
      <c r="E9244" s="1515" t="s">
        <v>950</v>
      </c>
      <c r="F9244" s="1516"/>
      <c r="G9244" s="1516"/>
      <c r="H9244" s="1516"/>
      <c r="K9244" t="s">
        <v>1055</v>
      </c>
      <c r="V9244">
        <v>11</v>
      </c>
    </row>
    <row r="9245" spans="1:22" customFormat="1" ht="15" x14ac:dyDescent="0.25">
      <c r="A9245" t="s">
        <v>287</v>
      </c>
      <c r="B9245" t="s">
        <v>6439</v>
      </c>
      <c r="E9245" s="1516" t="s">
        <v>951</v>
      </c>
      <c r="F9245" s="1516"/>
      <c r="G9245" s="1516"/>
      <c r="H9245" s="1516"/>
      <c r="K9245" t="s">
        <v>1053</v>
      </c>
      <c r="V9245">
        <v>280</v>
      </c>
    </row>
    <row r="9246" spans="1:22" customFormat="1" ht="15" x14ac:dyDescent="0.25">
      <c r="A9246" t="s">
        <v>287</v>
      </c>
      <c r="B9246" t="s">
        <v>6439</v>
      </c>
      <c r="E9246" s="1516" t="s">
        <v>952</v>
      </c>
      <c r="F9246" s="1516"/>
      <c r="G9246" s="1516"/>
      <c r="H9246" s="1516"/>
      <c r="K9246" t="s">
        <v>1053</v>
      </c>
      <c r="V9246">
        <v>411</v>
      </c>
    </row>
    <row r="9247" spans="1:22" customFormat="1" ht="15" x14ac:dyDescent="0.25">
      <c r="A9247" t="s">
        <v>287</v>
      </c>
      <c r="B9247" t="s">
        <v>6439</v>
      </c>
      <c r="E9247" s="1516" t="s">
        <v>953</v>
      </c>
      <c r="F9247" s="1516"/>
      <c r="G9247" s="1516"/>
      <c r="H9247" s="1516"/>
      <c r="K9247" t="s">
        <v>1053</v>
      </c>
      <c r="V9247">
        <v>386</v>
      </c>
    </row>
    <row r="9248" spans="1:22" customFormat="1" ht="15" x14ac:dyDescent="0.25">
      <c r="A9248" t="s">
        <v>287</v>
      </c>
      <c r="B9248" t="s">
        <v>6439</v>
      </c>
      <c r="E9248" s="1516" t="s">
        <v>954</v>
      </c>
      <c r="F9248" s="1516"/>
      <c r="G9248" s="1516"/>
      <c r="H9248" s="1516"/>
      <c r="K9248" t="s">
        <v>1053</v>
      </c>
      <c r="V9248">
        <v>246</v>
      </c>
    </row>
    <row r="9249" spans="1:22" customFormat="1" ht="15" x14ac:dyDescent="0.25">
      <c r="A9249" t="s">
        <v>287</v>
      </c>
      <c r="B9249" t="s">
        <v>6439</v>
      </c>
      <c r="E9249" s="1515" t="s">
        <v>956</v>
      </c>
      <c r="F9249" s="1516"/>
      <c r="G9249" s="1516"/>
      <c r="H9249" s="1516"/>
      <c r="K9249" t="s">
        <v>1056</v>
      </c>
      <c r="V9249">
        <v>46</v>
      </c>
    </row>
    <row r="9250" spans="1:22" customFormat="1" ht="15" x14ac:dyDescent="0.25">
      <c r="A9250" t="s">
        <v>287</v>
      </c>
      <c r="B9250" t="s">
        <v>6439</v>
      </c>
      <c r="E9250" s="1507" t="s">
        <v>3874</v>
      </c>
      <c r="F9250" s="1507"/>
      <c r="G9250" s="584" t="s">
        <v>777</v>
      </c>
      <c r="H9250" s="576">
        <v>1.62</v>
      </c>
      <c r="K9250" t="s">
        <v>1053</v>
      </c>
      <c r="L9250" t="s">
        <v>690</v>
      </c>
      <c r="P9250" t="s">
        <v>1057</v>
      </c>
      <c r="V9250">
        <v>31</v>
      </c>
    </row>
    <row r="9251" spans="1:22" customFormat="1" ht="15" x14ac:dyDescent="0.25">
      <c r="A9251" t="s">
        <v>287</v>
      </c>
      <c r="B9251" t="s">
        <v>6439</v>
      </c>
      <c r="E9251" s="1507" t="s">
        <v>3688</v>
      </c>
      <c r="F9251" s="1507"/>
      <c r="G9251" s="584" t="s">
        <v>3775</v>
      </c>
      <c r="H9251" s="577">
        <v>8.7064000000000004</v>
      </c>
      <c r="K9251" t="s">
        <v>1053</v>
      </c>
      <c r="L9251" t="s">
        <v>690</v>
      </c>
      <c r="P9251" t="s">
        <v>1059</v>
      </c>
      <c r="V9251">
        <v>28</v>
      </c>
    </row>
    <row r="9252" spans="1:22" customFormat="1" ht="15" x14ac:dyDescent="0.25">
      <c r="A9252" t="s">
        <v>287</v>
      </c>
      <c r="B9252" t="s">
        <v>6439</v>
      </c>
      <c r="E9252" s="1507" t="s">
        <v>910</v>
      </c>
      <c r="F9252" s="1507"/>
      <c r="G9252" s="584" t="s">
        <v>3775</v>
      </c>
      <c r="H9252" s="577">
        <v>4.2299999999999997E-2</v>
      </c>
      <c r="K9252" t="s">
        <v>1053</v>
      </c>
      <c r="L9252" t="s">
        <v>692</v>
      </c>
      <c r="P9252" t="s">
        <v>1060</v>
      </c>
      <c r="V9252">
        <v>24</v>
      </c>
    </row>
    <row r="9253" spans="1:22" customFormat="1" ht="15" x14ac:dyDescent="0.25">
      <c r="A9253" t="s">
        <v>287</v>
      </c>
      <c r="B9253" t="s">
        <v>6439</v>
      </c>
      <c r="E9253" s="1507" t="s">
        <v>5521</v>
      </c>
      <c r="F9253" s="1507"/>
      <c r="G9253" s="584" t="s">
        <v>3775</v>
      </c>
      <c r="H9253" s="577">
        <v>0.64759999999999995</v>
      </c>
      <c r="K9253" t="s">
        <v>1053</v>
      </c>
      <c r="L9253" t="s">
        <v>692</v>
      </c>
      <c r="P9253" t="s">
        <v>1062</v>
      </c>
      <c r="T9253">
        <v>46142</v>
      </c>
      <c r="V9253">
        <v>96</v>
      </c>
    </row>
    <row r="9254" spans="1:22" customFormat="1" ht="15" x14ac:dyDescent="0.25">
      <c r="A9254" t="s">
        <v>287</v>
      </c>
      <c r="B9254" t="s">
        <v>6439</v>
      </c>
      <c r="E9254" s="1507" t="s">
        <v>243</v>
      </c>
      <c r="F9254" s="1507"/>
      <c r="G9254" s="584" t="s">
        <v>3775</v>
      </c>
      <c r="H9254" s="577">
        <v>3.4422000000000001</v>
      </c>
      <c r="K9254" t="s">
        <v>1053</v>
      </c>
      <c r="L9254" t="s">
        <v>694</v>
      </c>
      <c r="P9254" t="s">
        <v>1063</v>
      </c>
      <c r="V9254">
        <v>47</v>
      </c>
    </row>
    <row r="9255" spans="1:22" customFormat="1" ht="15" x14ac:dyDescent="0.25">
      <c r="A9255" t="s">
        <v>287</v>
      </c>
      <c r="B9255" t="s">
        <v>6439</v>
      </c>
      <c r="E9255" s="1507" t="s">
        <v>175</v>
      </c>
      <c r="F9255" s="1507"/>
      <c r="G9255" s="584" t="s">
        <v>3775</v>
      </c>
      <c r="H9255" s="577">
        <v>2.4962</v>
      </c>
      <c r="K9255" t="s">
        <v>1053</v>
      </c>
      <c r="L9255" t="s">
        <v>694</v>
      </c>
      <c r="P9255" t="s">
        <v>1064</v>
      </c>
      <c r="V9255">
        <v>74</v>
      </c>
    </row>
    <row r="9256" spans="1:22" customFormat="1" ht="15" x14ac:dyDescent="0.25">
      <c r="A9256" t="s">
        <v>287</v>
      </c>
      <c r="B9256" t="s">
        <v>6439</v>
      </c>
      <c r="E9256" s="1515" t="s">
        <v>967</v>
      </c>
      <c r="F9256" s="1507"/>
      <c r="G9256" s="1507"/>
      <c r="H9256" s="1507"/>
      <c r="K9256" t="s">
        <v>1065</v>
      </c>
      <c r="V9256">
        <v>48</v>
      </c>
    </row>
    <row r="9257" spans="1:22" customFormat="1" ht="15" x14ac:dyDescent="0.25">
      <c r="A9257" t="s">
        <v>287</v>
      </c>
      <c r="B9257" t="s">
        <v>6439</v>
      </c>
      <c r="E9257" s="1507" t="s">
        <v>844</v>
      </c>
      <c r="F9257" s="1507"/>
      <c r="G9257" s="584" t="s">
        <v>845</v>
      </c>
      <c r="H9257" s="577">
        <v>4.1000000000000003E-3</v>
      </c>
      <c r="K9257" t="s">
        <v>1053</v>
      </c>
      <c r="L9257" t="s">
        <v>968</v>
      </c>
      <c r="P9257" t="s">
        <v>1066</v>
      </c>
      <c r="V9257">
        <v>55</v>
      </c>
    </row>
    <row r="9258" spans="1:22" customFormat="1" ht="15" x14ac:dyDescent="0.25">
      <c r="A9258" t="s">
        <v>287</v>
      </c>
      <c r="B9258" t="s">
        <v>6439</v>
      </c>
      <c r="E9258" s="1507" t="s">
        <v>846</v>
      </c>
      <c r="F9258" s="1507"/>
      <c r="G9258" s="584" t="s">
        <v>845</v>
      </c>
      <c r="H9258" s="577">
        <v>4.0000000000000002E-4</v>
      </c>
      <c r="K9258" t="s">
        <v>1053</v>
      </c>
      <c r="L9258" t="s">
        <v>968</v>
      </c>
      <c r="P9258" t="s">
        <v>1066</v>
      </c>
      <c r="V9258">
        <v>65</v>
      </c>
    </row>
    <row r="9259" spans="1:22" customFormat="1" ht="15" x14ac:dyDescent="0.25">
      <c r="A9259" t="s">
        <v>287</v>
      </c>
      <c r="B9259" t="s">
        <v>6439</v>
      </c>
      <c r="E9259" s="1507" t="s">
        <v>847</v>
      </c>
      <c r="F9259" s="1507"/>
      <c r="G9259" s="584" t="s">
        <v>845</v>
      </c>
      <c r="H9259" s="577">
        <v>1.5E-3</v>
      </c>
      <c r="K9259" t="s">
        <v>1053</v>
      </c>
      <c r="L9259" t="s">
        <v>968</v>
      </c>
      <c r="P9259" t="s">
        <v>1067</v>
      </c>
      <c r="V9259">
        <v>57</v>
      </c>
    </row>
    <row r="9260" spans="1:22" customFormat="1" ht="15" x14ac:dyDescent="0.25">
      <c r="A9260" t="s">
        <v>287</v>
      </c>
      <c r="B9260" t="s">
        <v>6439</v>
      </c>
      <c r="E9260" s="1507" t="s">
        <v>848</v>
      </c>
      <c r="F9260" s="1507"/>
      <c r="G9260" s="584" t="s">
        <v>777</v>
      </c>
      <c r="H9260" s="576">
        <v>0.25</v>
      </c>
      <c r="K9260" t="s">
        <v>1053</v>
      </c>
      <c r="L9260" t="s">
        <v>968</v>
      </c>
      <c r="P9260" t="s">
        <v>1068</v>
      </c>
      <c r="V9260">
        <v>63</v>
      </c>
    </row>
    <row r="9261" spans="1:22" customFormat="1" ht="15" x14ac:dyDescent="0.25">
      <c r="A9261" t="s">
        <v>287</v>
      </c>
      <c r="B9261" t="s">
        <v>6439</v>
      </c>
      <c r="E9261" s="1513" t="s">
        <v>6883</v>
      </c>
      <c r="F9261" s="1513"/>
      <c r="G9261" s="1513"/>
      <c r="H9261" s="1513"/>
      <c r="K9261" t="s">
        <v>6883</v>
      </c>
      <c r="V9261">
        <v>12</v>
      </c>
    </row>
    <row r="9262" spans="1:22" customFormat="1" x14ac:dyDescent="0.25">
      <c r="A9262" t="s">
        <v>287</v>
      </c>
      <c r="B9262" t="s">
        <v>6439</v>
      </c>
      <c r="E9262" s="1492" t="s">
        <v>207</v>
      </c>
      <c r="F9262" s="1493"/>
      <c r="G9262" s="1493"/>
      <c r="H9262" s="1493"/>
      <c r="K9262" t="s">
        <v>1069</v>
      </c>
      <c r="V9262">
        <v>31</v>
      </c>
    </row>
    <row r="9263" spans="1:22" customFormat="1" ht="15" x14ac:dyDescent="0.25">
      <c r="A9263" t="s">
        <v>287</v>
      </c>
      <c r="B9263" t="s">
        <v>6439</v>
      </c>
      <c r="E9263" s="1516" t="s">
        <v>4620</v>
      </c>
      <c r="F9263" s="1516"/>
      <c r="G9263" s="1516"/>
      <c r="H9263" s="1516"/>
      <c r="K9263" t="s">
        <v>1069</v>
      </c>
      <c r="V9263">
        <v>285</v>
      </c>
    </row>
    <row r="9264" spans="1:22" customFormat="1" ht="15" x14ac:dyDescent="0.25">
      <c r="A9264" t="s">
        <v>287</v>
      </c>
      <c r="B9264" t="s">
        <v>6439</v>
      </c>
      <c r="E9264" s="1515" t="s">
        <v>950</v>
      </c>
      <c r="F9264" s="1516"/>
      <c r="G9264" s="1516"/>
      <c r="H9264" s="1516"/>
      <c r="K9264" t="s">
        <v>1071</v>
      </c>
      <c r="V9264">
        <v>11</v>
      </c>
    </row>
    <row r="9265" spans="1:22" customFormat="1" ht="15" x14ac:dyDescent="0.25">
      <c r="A9265" t="s">
        <v>287</v>
      </c>
      <c r="B9265" t="s">
        <v>6439</v>
      </c>
      <c r="E9265" s="1516" t="s">
        <v>951</v>
      </c>
      <c r="F9265" s="1516"/>
      <c r="G9265" s="1516"/>
      <c r="H9265" s="1516"/>
      <c r="K9265" t="s">
        <v>1069</v>
      </c>
      <c r="V9265">
        <v>280</v>
      </c>
    </row>
    <row r="9266" spans="1:22" customFormat="1" ht="15" x14ac:dyDescent="0.25">
      <c r="A9266" t="s">
        <v>287</v>
      </c>
      <c r="B9266" t="s">
        <v>6439</v>
      </c>
      <c r="E9266" s="1516" t="s">
        <v>952</v>
      </c>
      <c r="F9266" s="1516"/>
      <c r="G9266" s="1516"/>
      <c r="H9266" s="1516"/>
      <c r="K9266" t="s">
        <v>1069</v>
      </c>
      <c r="V9266">
        <v>411</v>
      </c>
    </row>
    <row r="9267" spans="1:22" customFormat="1" ht="15" x14ac:dyDescent="0.25">
      <c r="A9267" t="s">
        <v>287</v>
      </c>
      <c r="B9267" t="s">
        <v>6439</v>
      </c>
      <c r="E9267" s="1516" t="s">
        <v>1103</v>
      </c>
      <c r="F9267" s="1516"/>
      <c r="G9267" s="1516"/>
      <c r="H9267" s="1516"/>
      <c r="K9267" t="s">
        <v>1069</v>
      </c>
      <c r="V9267">
        <v>211</v>
      </c>
    </row>
    <row r="9268" spans="1:22" customFormat="1" ht="15" x14ac:dyDescent="0.25">
      <c r="A9268" t="s">
        <v>287</v>
      </c>
      <c r="B9268" t="s">
        <v>6439</v>
      </c>
      <c r="E9268" s="1516" t="s">
        <v>954</v>
      </c>
      <c r="F9268" s="1516"/>
      <c r="G9268" s="1516"/>
      <c r="H9268" s="1516"/>
      <c r="K9268" t="s">
        <v>1069</v>
      </c>
      <c r="V9268">
        <v>246</v>
      </c>
    </row>
    <row r="9269" spans="1:22" customFormat="1" ht="15" x14ac:dyDescent="0.25">
      <c r="A9269" t="s">
        <v>287</v>
      </c>
      <c r="B9269" t="s">
        <v>6439</v>
      </c>
      <c r="E9269" s="1515" t="s">
        <v>956</v>
      </c>
      <c r="F9269" s="1516"/>
      <c r="G9269" s="1516"/>
      <c r="H9269" s="1516"/>
      <c r="K9269" t="s">
        <v>1075</v>
      </c>
      <c r="V9269">
        <v>46</v>
      </c>
    </row>
    <row r="9270" spans="1:22" customFormat="1" ht="15" x14ac:dyDescent="0.25">
      <c r="A9270" t="s">
        <v>287</v>
      </c>
      <c r="B9270" t="s">
        <v>6439</v>
      </c>
      <c r="E9270" s="1507" t="s">
        <v>3773</v>
      </c>
      <c r="F9270" s="1507"/>
      <c r="G9270" s="584" t="s">
        <v>777</v>
      </c>
      <c r="H9270" s="576">
        <v>5</v>
      </c>
      <c r="K9270" t="s">
        <v>1069</v>
      </c>
      <c r="L9270" t="s">
        <v>690</v>
      </c>
      <c r="P9270" t="s">
        <v>1076</v>
      </c>
      <c r="V9270">
        <v>14</v>
      </c>
    </row>
    <row r="9271" spans="1:22" customFormat="1" ht="15" x14ac:dyDescent="0.25">
      <c r="A9271" t="s">
        <v>287</v>
      </c>
      <c r="B9271" t="s">
        <v>6439</v>
      </c>
      <c r="E9271" s="1513" t="s">
        <v>6883</v>
      </c>
      <c r="F9271" s="1513"/>
      <c r="G9271" s="1513"/>
      <c r="H9271" s="1513"/>
      <c r="K9271" t="s">
        <v>6883</v>
      </c>
      <c r="V9271">
        <v>12</v>
      </c>
    </row>
    <row r="9272" spans="1:22" customFormat="1" ht="18.75" x14ac:dyDescent="0.25">
      <c r="A9272" t="s">
        <v>287</v>
      </c>
      <c r="B9272" t="s">
        <v>6439</v>
      </c>
      <c r="E9272" s="1492" t="s">
        <v>3825</v>
      </c>
      <c r="F9272" s="1528"/>
      <c r="G9272" s="1528"/>
      <c r="H9272" s="1528"/>
      <c r="K9272" t="s">
        <v>5531</v>
      </c>
      <c r="V9272">
        <v>10</v>
      </c>
    </row>
    <row r="9273" spans="1:22" customFormat="1" ht="15" x14ac:dyDescent="0.25">
      <c r="A9273" t="s">
        <v>287</v>
      </c>
      <c r="B9273" t="s">
        <v>6439</v>
      </c>
      <c r="E9273" s="1507" t="s">
        <v>1078</v>
      </c>
      <c r="F9273" s="1507"/>
      <c r="G9273" s="584" t="s">
        <v>3775</v>
      </c>
      <c r="H9273" s="577">
        <v>-0.6</v>
      </c>
      <c r="V9273">
        <v>68</v>
      </c>
    </row>
    <row r="9274" spans="1:22" customFormat="1" ht="15" x14ac:dyDescent="0.25">
      <c r="A9274" t="s">
        <v>287</v>
      </c>
      <c r="B9274" t="s">
        <v>6439</v>
      </c>
      <c r="E9274" s="1507" t="s">
        <v>1079</v>
      </c>
      <c r="F9274" s="1507"/>
      <c r="G9274" s="584" t="s">
        <v>1118</v>
      </c>
      <c r="H9274" s="576">
        <v>-1</v>
      </c>
      <c r="V9274">
        <v>87</v>
      </c>
    </row>
    <row r="9275" spans="1:22" customFormat="1" ht="18.75" x14ac:dyDescent="0.25">
      <c r="A9275" t="s">
        <v>287</v>
      </c>
      <c r="B9275" t="s">
        <v>6439</v>
      </c>
      <c r="E9275" s="1492" t="s">
        <v>3828</v>
      </c>
      <c r="F9275" s="1528"/>
      <c r="G9275" s="1528"/>
      <c r="H9275" s="1528"/>
      <c r="K9275" t="s">
        <v>5532</v>
      </c>
      <c r="V9275">
        <v>24</v>
      </c>
    </row>
    <row r="9276" spans="1:22" customFormat="1" ht="15" x14ac:dyDescent="0.25">
      <c r="A9276" t="s">
        <v>287</v>
      </c>
      <c r="B9276" t="s">
        <v>6439</v>
      </c>
      <c r="E9276" s="1549" t="s">
        <v>950</v>
      </c>
      <c r="F9276" s="1516"/>
      <c r="G9276" s="1516"/>
      <c r="H9276" s="1516"/>
      <c r="V9276">
        <v>11</v>
      </c>
    </row>
    <row r="9277" spans="1:22" customFormat="1" ht="15" x14ac:dyDescent="0.25">
      <c r="A9277" t="s">
        <v>287</v>
      </c>
      <c r="B9277" t="s">
        <v>6439</v>
      </c>
      <c r="E9277" s="1516" t="s">
        <v>951</v>
      </c>
      <c r="F9277" s="1516"/>
      <c r="G9277" s="1516"/>
      <c r="H9277" s="1516"/>
      <c r="V9277">
        <v>280</v>
      </c>
    </row>
    <row r="9278" spans="1:22" customFormat="1" ht="15" x14ac:dyDescent="0.25">
      <c r="A9278" t="s">
        <v>287</v>
      </c>
      <c r="B9278" t="s">
        <v>6439</v>
      </c>
      <c r="E9278" s="1516" t="s">
        <v>1081</v>
      </c>
      <c r="F9278" s="1516"/>
      <c r="G9278" s="1516"/>
      <c r="H9278" s="1516"/>
      <c r="V9278">
        <v>353</v>
      </c>
    </row>
    <row r="9279" spans="1:22" customFormat="1" ht="15" x14ac:dyDescent="0.25">
      <c r="A9279" t="s">
        <v>287</v>
      </c>
      <c r="B9279" t="s">
        <v>6439</v>
      </c>
      <c r="E9279" s="1516" t="s">
        <v>954</v>
      </c>
      <c r="F9279" s="1516"/>
      <c r="G9279" s="1516"/>
      <c r="H9279" s="1516"/>
      <c r="V9279">
        <v>246</v>
      </c>
    </row>
    <row r="9280" spans="1:22" customFormat="1" ht="15" x14ac:dyDescent="0.25">
      <c r="A9280" t="s">
        <v>287</v>
      </c>
      <c r="B9280" t="s">
        <v>6439</v>
      </c>
      <c r="E9280" s="1515" t="s">
        <v>3830</v>
      </c>
      <c r="F9280" s="1510"/>
      <c r="G9280" s="1510"/>
      <c r="H9280" s="1510"/>
      <c r="K9280" t="s">
        <v>5535</v>
      </c>
      <c r="V9280">
        <v>23</v>
      </c>
    </row>
    <row r="9281" spans="1:22" customFormat="1" ht="15" x14ac:dyDescent="0.25">
      <c r="A9281" t="s">
        <v>287</v>
      </c>
      <c r="B9281" t="s">
        <v>6439</v>
      </c>
      <c r="E9281" s="1517" t="s">
        <v>4802</v>
      </c>
      <c r="F9281" s="1517"/>
      <c r="G9281" s="584" t="s">
        <v>777</v>
      </c>
      <c r="H9281" s="576">
        <v>15</v>
      </c>
      <c r="V9281">
        <v>35</v>
      </c>
    </row>
    <row r="9282" spans="1:22" customFormat="1" ht="15" x14ac:dyDescent="0.25">
      <c r="A9282" t="s">
        <v>287</v>
      </c>
      <c r="B9282" t="s">
        <v>6439</v>
      </c>
      <c r="E9282" s="1517" t="s">
        <v>4059</v>
      </c>
      <c r="F9282" s="1517"/>
      <c r="G9282" s="584" t="s">
        <v>777</v>
      </c>
      <c r="H9282" s="576">
        <v>15</v>
      </c>
      <c r="V9282">
        <v>19</v>
      </c>
    </row>
    <row r="9283" spans="1:22" customFormat="1" ht="15" x14ac:dyDescent="0.25">
      <c r="A9283" t="s">
        <v>287</v>
      </c>
      <c r="B9283" t="s">
        <v>6439</v>
      </c>
      <c r="E9283" s="1517" t="s">
        <v>3837</v>
      </c>
      <c r="F9283" s="1517"/>
      <c r="G9283" s="584" t="s">
        <v>777</v>
      </c>
      <c r="H9283" s="576">
        <v>30</v>
      </c>
      <c r="V9283">
        <v>89</v>
      </c>
    </row>
    <row r="9284" spans="1:22" customFormat="1" ht="15" x14ac:dyDescent="0.25">
      <c r="A9284" t="s">
        <v>287</v>
      </c>
      <c r="B9284" t="s">
        <v>6439</v>
      </c>
      <c r="E9284" s="1517" t="s">
        <v>3914</v>
      </c>
      <c r="F9284" s="1517"/>
      <c r="G9284" s="584" t="s">
        <v>777</v>
      </c>
      <c r="H9284" s="576">
        <v>30</v>
      </c>
      <c r="V9284">
        <v>19</v>
      </c>
    </row>
    <row r="9285" spans="1:22" customFormat="1" ht="15" x14ac:dyDescent="0.25">
      <c r="A9285" t="s">
        <v>287</v>
      </c>
      <c r="B9285" t="s">
        <v>6439</v>
      </c>
      <c r="E9285" s="1517" t="s">
        <v>3838</v>
      </c>
      <c r="F9285" s="1517"/>
      <c r="G9285" s="584" t="s">
        <v>777</v>
      </c>
      <c r="H9285" s="576">
        <v>30</v>
      </c>
      <c r="V9285">
        <v>74</v>
      </c>
    </row>
    <row r="9286" spans="1:22" customFormat="1" ht="15" x14ac:dyDescent="0.25">
      <c r="A9286" t="s">
        <v>287</v>
      </c>
      <c r="B9286" t="s">
        <v>6439</v>
      </c>
      <c r="E9286" s="1515" t="s">
        <v>4665</v>
      </c>
      <c r="F9286" s="1510"/>
      <c r="G9286" s="1510"/>
      <c r="H9286" s="1510"/>
      <c r="V9286">
        <v>23</v>
      </c>
    </row>
    <row r="9287" spans="1:22" customFormat="1" ht="15" x14ac:dyDescent="0.25">
      <c r="A9287" t="s">
        <v>287</v>
      </c>
      <c r="B9287" t="s">
        <v>6439</v>
      </c>
      <c r="E9287" s="1517" t="s">
        <v>4064</v>
      </c>
      <c r="F9287" s="1517"/>
      <c r="G9287" s="584" t="s">
        <v>1118</v>
      </c>
      <c r="H9287" s="576">
        <v>1.5</v>
      </c>
      <c r="V9287">
        <v>99</v>
      </c>
    </row>
    <row r="9288" spans="1:22" customFormat="1" ht="15" x14ac:dyDescent="0.25">
      <c r="A9288" t="s">
        <v>287</v>
      </c>
      <c r="B9288" t="s">
        <v>6439</v>
      </c>
      <c r="E9288" s="1517" t="s">
        <v>3842</v>
      </c>
      <c r="F9288" s="1517"/>
      <c r="G9288" s="584" t="s">
        <v>777</v>
      </c>
      <c r="H9288" s="576">
        <v>65</v>
      </c>
      <c r="V9288">
        <v>44</v>
      </c>
    </row>
    <row r="9289" spans="1:22" customFormat="1" ht="15" x14ac:dyDescent="0.25">
      <c r="A9289" t="s">
        <v>287</v>
      </c>
      <c r="B9289" t="s">
        <v>6439</v>
      </c>
      <c r="E9289" s="1517" t="s">
        <v>3843</v>
      </c>
      <c r="F9289" s="1517"/>
      <c r="G9289" s="584" t="s">
        <v>777</v>
      </c>
      <c r="H9289" s="576">
        <v>165</v>
      </c>
      <c r="V9289">
        <v>43</v>
      </c>
    </row>
    <row r="9290" spans="1:22" customFormat="1" ht="15" x14ac:dyDescent="0.25">
      <c r="A9290" t="s">
        <v>287</v>
      </c>
      <c r="B9290" t="s">
        <v>6439</v>
      </c>
      <c r="E9290" s="1515" t="s">
        <v>3846</v>
      </c>
      <c r="F9290" s="1510"/>
      <c r="G9290" s="1510"/>
      <c r="H9290" s="1510"/>
      <c r="V9290">
        <v>5</v>
      </c>
    </row>
    <row r="9291" spans="1:22" customFormat="1" ht="15" x14ac:dyDescent="0.25">
      <c r="A9291" t="s">
        <v>287</v>
      </c>
      <c r="B9291" t="s">
        <v>6439</v>
      </c>
      <c r="E9291" s="1517" t="s">
        <v>4217</v>
      </c>
      <c r="F9291" s="1517"/>
      <c r="G9291" s="584" t="s">
        <v>777</v>
      </c>
      <c r="H9291" s="576">
        <v>30</v>
      </c>
      <c r="V9291">
        <v>39</v>
      </c>
    </row>
    <row r="9292" spans="1:22" customFormat="1" ht="15" x14ac:dyDescent="0.25">
      <c r="A9292" t="s">
        <v>287</v>
      </c>
      <c r="B9292" t="s">
        <v>6439</v>
      </c>
      <c r="E9292" s="1517" t="s">
        <v>4627</v>
      </c>
      <c r="F9292" s="1517"/>
      <c r="G9292" s="584" t="s">
        <v>777</v>
      </c>
      <c r="H9292" s="576">
        <v>39.14</v>
      </c>
      <c r="V9292">
        <v>105</v>
      </c>
    </row>
    <row r="9293" spans="1:22" customFormat="1" ht="15" x14ac:dyDescent="0.25">
      <c r="A9293" t="s">
        <v>287</v>
      </c>
      <c r="B9293" t="s">
        <v>6439</v>
      </c>
      <c r="E9293" s="1513" t="s">
        <v>6883</v>
      </c>
      <c r="F9293" s="1513"/>
      <c r="G9293" s="1513"/>
      <c r="H9293" s="1513"/>
      <c r="K9293" t="s">
        <v>6883</v>
      </c>
      <c r="V9293">
        <v>12</v>
      </c>
    </row>
    <row r="9294" spans="1:22" customFormat="1" ht="18.75" x14ac:dyDescent="0.25">
      <c r="A9294" t="s">
        <v>287</v>
      </c>
      <c r="B9294" t="s">
        <v>6439</v>
      </c>
      <c r="E9294" s="1492" t="s">
        <v>3851</v>
      </c>
      <c r="F9294" s="1528"/>
      <c r="G9294" s="1528"/>
      <c r="H9294" s="1528"/>
      <c r="K9294" t="s">
        <v>5538</v>
      </c>
      <c r="V9294">
        <v>38</v>
      </c>
    </row>
    <row r="9295" spans="1:22" customFormat="1" ht="15" x14ac:dyDescent="0.25">
      <c r="A9295" t="s">
        <v>287</v>
      </c>
      <c r="B9295" t="s">
        <v>6439</v>
      </c>
      <c r="E9295" s="1549" t="s">
        <v>950</v>
      </c>
      <c r="F9295" s="1516"/>
      <c r="G9295" s="1516"/>
      <c r="H9295" s="1516"/>
      <c r="K9295" t="s">
        <v>1071</v>
      </c>
      <c r="V9295">
        <v>11</v>
      </c>
    </row>
    <row r="9296" spans="1:22" customFormat="1" ht="15" x14ac:dyDescent="0.25">
      <c r="A9296" t="s">
        <v>287</v>
      </c>
      <c r="B9296" t="s">
        <v>6439</v>
      </c>
      <c r="E9296" s="1516" t="s">
        <v>951</v>
      </c>
      <c r="F9296" s="1516"/>
      <c r="G9296" s="1516"/>
      <c r="H9296" s="1516"/>
      <c r="V9296">
        <v>280</v>
      </c>
    </row>
    <row r="9297" spans="1:22" customFormat="1" ht="15" x14ac:dyDescent="0.25">
      <c r="A9297" t="s">
        <v>287</v>
      </c>
      <c r="B9297" t="s">
        <v>6439</v>
      </c>
      <c r="E9297" s="1516" t="s">
        <v>952</v>
      </c>
      <c r="F9297" s="1516"/>
      <c r="G9297" s="1516"/>
      <c r="H9297" s="1516"/>
      <c r="V9297">
        <v>411</v>
      </c>
    </row>
    <row r="9298" spans="1:22" customFormat="1" ht="15" x14ac:dyDescent="0.25">
      <c r="A9298" t="s">
        <v>287</v>
      </c>
      <c r="B9298" t="s">
        <v>6439</v>
      </c>
      <c r="E9298" s="1516" t="s">
        <v>1103</v>
      </c>
      <c r="F9298" s="1516"/>
      <c r="G9298" s="1516"/>
      <c r="H9298" s="1516"/>
      <c r="V9298">
        <v>211</v>
      </c>
    </row>
    <row r="9299" spans="1:22" customFormat="1" ht="15" x14ac:dyDescent="0.25">
      <c r="A9299" t="s">
        <v>287</v>
      </c>
      <c r="B9299" t="s">
        <v>6439</v>
      </c>
      <c r="E9299" s="1516" t="s">
        <v>954</v>
      </c>
      <c r="F9299" s="1516"/>
      <c r="G9299" s="1516"/>
      <c r="H9299" s="1516"/>
      <c r="V9299">
        <v>246</v>
      </c>
    </row>
    <row r="9300" spans="1:22" customFormat="1" ht="15" x14ac:dyDescent="0.25">
      <c r="A9300" t="s">
        <v>287</v>
      </c>
      <c r="B9300" t="s">
        <v>6439</v>
      </c>
      <c r="E9300" s="1507" t="s">
        <v>1104</v>
      </c>
      <c r="F9300" s="1507"/>
      <c r="G9300" s="1573"/>
      <c r="H9300" s="1573"/>
      <c r="V9300">
        <v>142</v>
      </c>
    </row>
    <row r="9301" spans="1:22" customFormat="1" ht="15" x14ac:dyDescent="0.25">
      <c r="A9301" t="s">
        <v>287</v>
      </c>
      <c r="B9301" t="s">
        <v>6439</v>
      </c>
      <c r="E9301" s="1507" t="s">
        <v>849</v>
      </c>
      <c r="F9301" s="1507"/>
      <c r="G9301" s="481" t="s">
        <v>777</v>
      </c>
      <c r="H9301" s="349">
        <v>121.23</v>
      </c>
      <c r="V9301">
        <v>106</v>
      </c>
    </row>
    <row r="9302" spans="1:22" customFormat="1" ht="15" x14ac:dyDescent="0.25">
      <c r="A9302" t="s">
        <v>287</v>
      </c>
      <c r="B9302" t="s">
        <v>6439</v>
      </c>
      <c r="E9302" s="1507" t="s">
        <v>4471</v>
      </c>
      <c r="F9302" s="1507"/>
      <c r="G9302" s="481" t="s">
        <v>777</v>
      </c>
      <c r="H9302" s="349">
        <v>48.5</v>
      </c>
      <c r="V9302">
        <v>34</v>
      </c>
    </row>
    <row r="9303" spans="1:22" customFormat="1" ht="15" x14ac:dyDescent="0.25">
      <c r="A9303" t="s">
        <v>287</v>
      </c>
      <c r="B9303" t="s">
        <v>6439</v>
      </c>
      <c r="E9303" s="1507" t="s">
        <v>4472</v>
      </c>
      <c r="F9303" s="1507"/>
      <c r="G9303" s="481" t="s">
        <v>777</v>
      </c>
      <c r="H9303" s="349">
        <v>1.2</v>
      </c>
      <c r="V9303">
        <v>51</v>
      </c>
    </row>
    <row r="9304" spans="1:22" customFormat="1" ht="15" x14ac:dyDescent="0.25">
      <c r="A9304" t="s">
        <v>287</v>
      </c>
      <c r="B9304" t="s">
        <v>6439</v>
      </c>
      <c r="E9304" s="1507" t="s">
        <v>853</v>
      </c>
      <c r="F9304" s="1507"/>
      <c r="G9304" s="481" t="s">
        <v>777</v>
      </c>
      <c r="H9304" s="349">
        <v>0.71</v>
      </c>
      <c r="V9304">
        <v>75</v>
      </c>
    </row>
    <row r="9305" spans="1:22" customFormat="1" ht="15" x14ac:dyDescent="0.25">
      <c r="A9305" t="s">
        <v>287</v>
      </c>
      <c r="B9305" t="s">
        <v>6439</v>
      </c>
      <c r="E9305" s="1507" t="s">
        <v>854</v>
      </c>
      <c r="F9305" s="1507"/>
      <c r="G9305" s="481" t="s">
        <v>777</v>
      </c>
      <c r="H9305" s="349">
        <v>-0.71</v>
      </c>
      <c r="V9305">
        <v>72</v>
      </c>
    </row>
    <row r="9306" spans="1:22" customFormat="1" ht="15" x14ac:dyDescent="0.25">
      <c r="A9306" t="s">
        <v>287</v>
      </c>
      <c r="B9306" t="s">
        <v>6439</v>
      </c>
      <c r="E9306" s="1511" t="s">
        <v>855</v>
      </c>
      <c r="F9306" s="1511"/>
      <c r="G9306" s="1598"/>
      <c r="H9306" s="1598"/>
      <c r="V9306">
        <v>34</v>
      </c>
    </row>
    <row r="9307" spans="1:22" customFormat="1" ht="15" x14ac:dyDescent="0.25">
      <c r="A9307" t="s">
        <v>287</v>
      </c>
      <c r="B9307" t="s">
        <v>6439</v>
      </c>
      <c r="E9307" s="1511" t="s">
        <v>5554</v>
      </c>
      <c r="F9307" s="1511"/>
      <c r="G9307" s="481" t="s">
        <v>777</v>
      </c>
      <c r="H9307" s="349">
        <v>0.61</v>
      </c>
      <c r="V9307">
        <v>58</v>
      </c>
    </row>
    <row r="9308" spans="1:22" customFormat="1" ht="15" x14ac:dyDescent="0.25">
      <c r="A9308" t="s">
        <v>287</v>
      </c>
      <c r="B9308" t="s">
        <v>6439</v>
      </c>
      <c r="E9308" s="1507" t="s">
        <v>5555</v>
      </c>
      <c r="F9308" s="1507"/>
      <c r="G9308" s="481" t="s">
        <v>777</v>
      </c>
      <c r="H9308" s="349">
        <v>1.2</v>
      </c>
      <c r="V9308">
        <v>79</v>
      </c>
    </row>
    <row r="9309" spans="1:22" customFormat="1" ht="15" x14ac:dyDescent="0.25">
      <c r="A9309" t="s">
        <v>287</v>
      </c>
      <c r="B9309" t="s">
        <v>6439</v>
      </c>
      <c r="E9309" s="1507" t="s">
        <v>1108</v>
      </c>
      <c r="F9309" s="1507"/>
      <c r="G9309" s="1510"/>
      <c r="H9309" s="1510"/>
      <c r="V9309">
        <v>91</v>
      </c>
    </row>
    <row r="9310" spans="1:22" customFormat="1" ht="15" x14ac:dyDescent="0.25">
      <c r="A9310" t="s">
        <v>287</v>
      </c>
      <c r="B9310" t="s">
        <v>6439</v>
      </c>
      <c r="E9310" s="1507" t="s">
        <v>1109</v>
      </c>
      <c r="F9310" s="1507"/>
      <c r="G9310" s="1510"/>
      <c r="H9310" s="1510"/>
      <c r="V9310">
        <v>96</v>
      </c>
    </row>
    <row r="9311" spans="1:22" customFormat="1" ht="15" x14ac:dyDescent="0.25">
      <c r="A9311" t="s">
        <v>287</v>
      </c>
      <c r="B9311" t="s">
        <v>6439</v>
      </c>
      <c r="E9311" s="1511" t="s">
        <v>856</v>
      </c>
      <c r="F9311" s="1511"/>
      <c r="G9311" s="1565"/>
      <c r="H9311" s="1565"/>
      <c r="V9311">
        <v>77</v>
      </c>
    </row>
    <row r="9312" spans="1:22" customFormat="1" ht="15" x14ac:dyDescent="0.25">
      <c r="A9312" t="s">
        <v>287</v>
      </c>
      <c r="B9312" t="s">
        <v>6439</v>
      </c>
      <c r="E9312" s="1511" t="s">
        <v>1111</v>
      </c>
      <c r="F9312" s="1511"/>
      <c r="G9312" s="481" t="s">
        <v>777</v>
      </c>
      <c r="H9312" s="651" t="s">
        <v>857</v>
      </c>
      <c r="V9312">
        <v>18</v>
      </c>
    </row>
    <row r="9313" spans="1:22" customFormat="1" ht="15" x14ac:dyDescent="0.25">
      <c r="A9313" t="s">
        <v>287</v>
      </c>
      <c r="B9313" t="s">
        <v>6439</v>
      </c>
      <c r="E9313" s="1507" t="s">
        <v>5167</v>
      </c>
      <c r="F9313" s="1510"/>
      <c r="G9313" s="481" t="s">
        <v>777</v>
      </c>
      <c r="H9313" s="349">
        <v>4.8499999999999996</v>
      </c>
      <c r="V9313">
        <v>87</v>
      </c>
    </row>
    <row r="9314" spans="1:22" customFormat="1" ht="15" x14ac:dyDescent="0.25">
      <c r="A9314" t="s">
        <v>287</v>
      </c>
      <c r="B9314" t="s">
        <v>6439</v>
      </c>
      <c r="E9314" s="1507" t="s">
        <v>858</v>
      </c>
      <c r="F9314" s="1507"/>
      <c r="G9314" s="481" t="s">
        <v>777</v>
      </c>
      <c r="H9314" s="349">
        <v>2.42</v>
      </c>
      <c r="V9314">
        <v>199</v>
      </c>
    </row>
    <row r="9315" spans="1:22" customFormat="1" ht="18.75" x14ac:dyDescent="0.25">
      <c r="A9315" t="s">
        <v>287</v>
      </c>
      <c r="B9315" t="s">
        <v>6439</v>
      </c>
      <c r="E9315" s="1492" t="s">
        <v>3853</v>
      </c>
      <c r="F9315" s="1528"/>
      <c r="G9315" s="1528"/>
      <c r="H9315" s="1528"/>
      <c r="K9315" t="s">
        <v>5542</v>
      </c>
      <c r="V9315">
        <v>12</v>
      </c>
    </row>
    <row r="9316" spans="1:22" customFormat="1" ht="15" x14ac:dyDescent="0.25">
      <c r="A9316" t="s">
        <v>287</v>
      </c>
      <c r="B9316" t="s">
        <v>6439</v>
      </c>
      <c r="E9316" s="1507" t="s">
        <v>1114</v>
      </c>
      <c r="F9316" s="1507"/>
      <c r="G9316" s="1507"/>
      <c r="H9316" s="1507"/>
      <c r="V9316">
        <v>203</v>
      </c>
    </row>
    <row r="9317" spans="1:22" customFormat="1" ht="15" x14ac:dyDescent="0.25">
      <c r="A9317" t="s">
        <v>287</v>
      </c>
      <c r="B9317" t="s">
        <v>6439</v>
      </c>
      <c r="E9317" s="1507" t="s">
        <v>1115</v>
      </c>
      <c r="F9317" s="1507"/>
      <c r="G9317" s="584"/>
      <c r="H9317" s="650">
        <v>1.0388999999999999</v>
      </c>
      <c r="V9317">
        <v>57</v>
      </c>
    </row>
    <row r="9318" spans="1:22" customFormat="1" ht="15" x14ac:dyDescent="0.25">
      <c r="A9318" t="s">
        <v>287</v>
      </c>
      <c r="B9318" t="s">
        <v>6439</v>
      </c>
      <c r="E9318" s="1507" t="s">
        <v>1117</v>
      </c>
      <c r="F9318" s="1507"/>
      <c r="G9318" s="584"/>
      <c r="H9318" s="650">
        <v>1.0285</v>
      </c>
      <c r="J9318" t="s">
        <v>6451</v>
      </c>
      <c r="V9318">
        <v>55</v>
      </c>
    </row>
    <row r="9319" spans="1:22" customFormat="1" ht="23.25" x14ac:dyDescent="0.25">
      <c r="A9319" t="s">
        <v>289</v>
      </c>
      <c r="C9319" t="s">
        <v>3755</v>
      </c>
      <c r="E9319" s="1550" t="s">
        <v>289</v>
      </c>
      <c r="F9319" s="1540"/>
      <c r="G9319" s="1540"/>
      <c r="H9319" s="1540"/>
      <c r="I9319" t="s">
        <v>94</v>
      </c>
      <c r="J9319" t="s">
        <v>5556</v>
      </c>
      <c r="K9319" t="s">
        <v>289</v>
      </c>
      <c r="M9319">
        <v>6</v>
      </c>
      <c r="V9319">
        <v>27</v>
      </c>
    </row>
    <row r="9320" spans="1:22" customFormat="1" x14ac:dyDescent="0.25">
      <c r="A9320" t="s">
        <v>289</v>
      </c>
      <c r="C9320" t="s">
        <v>3757</v>
      </c>
      <c r="E9320" s="1551" t="s">
        <v>944</v>
      </c>
      <c r="F9320" s="1542"/>
      <c r="G9320" s="1542"/>
      <c r="H9320" s="1542"/>
      <c r="V9320">
        <v>27</v>
      </c>
    </row>
    <row r="9321" spans="1:22" customFormat="1" ht="15.75" x14ac:dyDescent="0.25">
      <c r="A9321" t="s">
        <v>289</v>
      </c>
      <c r="C9321" t="s">
        <v>3758</v>
      </c>
      <c r="E9321" s="1543" t="s">
        <v>6847</v>
      </c>
      <c r="F9321" s="1669"/>
      <c r="G9321" s="1669"/>
      <c r="H9321" s="1669"/>
      <c r="S9321">
        <v>45778</v>
      </c>
      <c r="V9321">
        <v>45</v>
      </c>
    </row>
    <row r="9322" spans="1:22" customFormat="1" ht="15" x14ac:dyDescent="0.25">
      <c r="A9322" t="s">
        <v>289</v>
      </c>
      <c r="C9322" t="s">
        <v>3759</v>
      </c>
      <c r="E9322" s="1544" t="s">
        <v>945</v>
      </c>
      <c r="F9322" s="1630"/>
      <c r="G9322" s="1630"/>
      <c r="H9322" s="1630"/>
      <c r="V9322">
        <v>52</v>
      </c>
    </row>
    <row r="9323" spans="1:22" customFormat="1" ht="15" x14ac:dyDescent="0.25">
      <c r="A9323" t="s">
        <v>289</v>
      </c>
      <c r="E9323" s="1544" t="s">
        <v>946</v>
      </c>
      <c r="F9323" s="1630"/>
      <c r="G9323" s="1630"/>
      <c r="H9323" s="1630"/>
      <c r="V9323">
        <v>53</v>
      </c>
    </row>
    <row r="9324" spans="1:22" customFormat="1" ht="15" x14ac:dyDescent="0.25">
      <c r="A9324" t="s">
        <v>289</v>
      </c>
      <c r="E9324" s="1492" t="s">
        <v>170</v>
      </c>
      <c r="F9324" s="1516"/>
      <c r="G9324" s="1516"/>
      <c r="H9324" s="1516"/>
      <c r="K9324" t="s">
        <v>947</v>
      </c>
      <c r="V9324">
        <v>34</v>
      </c>
    </row>
    <row r="9325" spans="1:22" customFormat="1" ht="15" x14ac:dyDescent="0.25">
      <c r="A9325" t="s">
        <v>289</v>
      </c>
      <c r="E9325" s="1516" t="s">
        <v>5331</v>
      </c>
      <c r="F9325" s="1516"/>
      <c r="G9325" s="1516"/>
      <c r="H9325" s="1516"/>
      <c r="K9325" t="s">
        <v>947</v>
      </c>
      <c r="V9325">
        <v>618</v>
      </c>
    </row>
    <row r="9326" spans="1:22" customFormat="1" ht="15" x14ac:dyDescent="0.25">
      <c r="A9326" t="s">
        <v>289</v>
      </c>
      <c r="E9326" s="1516" t="s">
        <v>745</v>
      </c>
      <c r="F9326" s="1516"/>
      <c r="G9326" s="1516"/>
      <c r="H9326" s="1516"/>
      <c r="K9326" t="s">
        <v>947</v>
      </c>
      <c r="V9326">
        <v>1</v>
      </c>
    </row>
    <row r="9327" spans="1:22" customFormat="1" ht="15" x14ac:dyDescent="0.25">
      <c r="A9327" t="s">
        <v>289</v>
      </c>
      <c r="E9327" s="1515" t="s">
        <v>950</v>
      </c>
      <c r="F9327" s="1516"/>
      <c r="G9327" s="1516"/>
      <c r="H9327" s="1516"/>
      <c r="K9327" t="s">
        <v>949</v>
      </c>
      <c r="V9327">
        <v>11</v>
      </c>
    </row>
    <row r="9328" spans="1:22" customFormat="1" ht="15" x14ac:dyDescent="0.25">
      <c r="A9328" t="s">
        <v>289</v>
      </c>
      <c r="E9328" s="1516" t="s">
        <v>951</v>
      </c>
      <c r="F9328" s="1516"/>
      <c r="G9328" s="1516"/>
      <c r="H9328" s="1516"/>
      <c r="K9328" t="s">
        <v>947</v>
      </c>
      <c r="V9328">
        <v>280</v>
      </c>
    </row>
    <row r="9329" spans="1:22" customFormat="1" ht="15" x14ac:dyDescent="0.25">
      <c r="A9329" t="s">
        <v>289</v>
      </c>
      <c r="E9329" s="1516" t="s">
        <v>952</v>
      </c>
      <c r="F9329" s="1516"/>
      <c r="G9329" s="1516"/>
      <c r="H9329" s="1516"/>
      <c r="K9329" t="s">
        <v>947</v>
      </c>
      <c r="V9329">
        <v>411</v>
      </c>
    </row>
    <row r="9330" spans="1:22" customFormat="1" ht="15" x14ac:dyDescent="0.25">
      <c r="A9330" t="s">
        <v>289</v>
      </c>
      <c r="E9330" s="1516" t="s">
        <v>953</v>
      </c>
      <c r="F9330" s="1516"/>
      <c r="G9330" s="1516"/>
      <c r="H9330" s="1516"/>
      <c r="K9330" t="s">
        <v>947</v>
      </c>
      <c r="V9330">
        <v>386</v>
      </c>
    </row>
    <row r="9331" spans="1:22" customFormat="1" ht="15" x14ac:dyDescent="0.25">
      <c r="A9331" t="s">
        <v>289</v>
      </c>
      <c r="E9331" s="1516" t="s">
        <v>954</v>
      </c>
      <c r="F9331" s="1516"/>
      <c r="G9331" s="1516"/>
      <c r="H9331" s="1516"/>
      <c r="K9331" t="s">
        <v>947</v>
      </c>
      <c r="V9331">
        <v>246</v>
      </c>
    </row>
    <row r="9332" spans="1:22" customFormat="1" ht="15" x14ac:dyDescent="0.25">
      <c r="A9332" t="s">
        <v>289</v>
      </c>
      <c r="E9332" s="1596" t="s">
        <v>956</v>
      </c>
      <c r="F9332" s="1572"/>
      <c r="G9332" s="1572"/>
      <c r="H9332" s="1572"/>
      <c r="K9332" t="s">
        <v>955</v>
      </c>
      <c r="V9332">
        <v>46</v>
      </c>
    </row>
    <row r="9333" spans="1:22" customFormat="1" ht="15" x14ac:dyDescent="0.25">
      <c r="A9333" t="s">
        <v>289</v>
      </c>
      <c r="E9333" s="1561" t="s">
        <v>3773</v>
      </c>
      <c r="F9333" s="1561"/>
      <c r="G9333" s="584" t="s">
        <v>777</v>
      </c>
      <c r="H9333" s="576">
        <v>54.22</v>
      </c>
      <c r="K9333" t="s">
        <v>947</v>
      </c>
      <c r="L9333" t="s">
        <v>690</v>
      </c>
      <c r="P9333" t="s">
        <v>957</v>
      </c>
      <c r="V9333">
        <v>14</v>
      </c>
    </row>
    <row r="9334" spans="1:22" customFormat="1" ht="15" x14ac:dyDescent="0.25">
      <c r="A9334" t="s">
        <v>289</v>
      </c>
      <c r="E9334" s="1561" t="s">
        <v>6887</v>
      </c>
      <c r="F9334" s="1561"/>
      <c r="G9334" s="584" t="s">
        <v>777</v>
      </c>
      <c r="H9334" s="576">
        <v>-4.0599999999999996</v>
      </c>
      <c r="K9334" t="s">
        <v>947</v>
      </c>
      <c r="L9334" t="s">
        <v>690</v>
      </c>
      <c r="P9334" t="s">
        <v>5372</v>
      </c>
      <c r="T9334">
        <v>46142</v>
      </c>
      <c r="V9334">
        <v>79</v>
      </c>
    </row>
    <row r="9335" spans="1:22" customFormat="1" ht="15" x14ac:dyDescent="0.25">
      <c r="A9335" t="s">
        <v>289</v>
      </c>
      <c r="E9335" s="1561" t="s">
        <v>960</v>
      </c>
      <c r="F9335" s="1561"/>
      <c r="G9335" s="584" t="s">
        <v>777</v>
      </c>
      <c r="H9335" s="576">
        <v>0.42</v>
      </c>
      <c r="K9335" t="s">
        <v>947</v>
      </c>
      <c r="L9335" t="s">
        <v>692</v>
      </c>
      <c r="P9335" t="s">
        <v>959</v>
      </c>
      <c r="V9335">
        <v>64</v>
      </c>
    </row>
    <row r="9336" spans="1:22" customFormat="1" ht="15" x14ac:dyDescent="0.25">
      <c r="A9336" t="s">
        <v>289</v>
      </c>
      <c r="E9336" s="1561" t="s">
        <v>910</v>
      </c>
      <c r="F9336" s="1561"/>
      <c r="G9336" s="584" t="s">
        <v>845</v>
      </c>
      <c r="H9336" s="577">
        <v>2.0999999999999999E-3</v>
      </c>
      <c r="K9336" t="s">
        <v>947</v>
      </c>
      <c r="L9336" t="s">
        <v>692</v>
      </c>
      <c r="P9336" t="s">
        <v>961</v>
      </c>
      <c r="V9336">
        <v>24</v>
      </c>
    </row>
    <row r="9337" spans="1:22" customFormat="1" ht="15" x14ac:dyDescent="0.25">
      <c r="A9337" t="s">
        <v>289</v>
      </c>
      <c r="E9337" s="1561" t="s">
        <v>5522</v>
      </c>
      <c r="F9337" s="1561"/>
      <c r="G9337" s="584" t="s">
        <v>845</v>
      </c>
      <c r="H9337" s="577">
        <v>-4.0000000000000002E-4</v>
      </c>
      <c r="K9337" t="s">
        <v>947</v>
      </c>
      <c r="L9337" t="s">
        <v>692</v>
      </c>
      <c r="P9337" t="s">
        <v>963</v>
      </c>
      <c r="T9337">
        <v>46142</v>
      </c>
      <c r="V9337">
        <v>89</v>
      </c>
    </row>
    <row r="9338" spans="1:22" customFormat="1" ht="15" x14ac:dyDescent="0.25">
      <c r="A9338" t="s">
        <v>289</v>
      </c>
      <c r="E9338" s="1561" t="s">
        <v>6888</v>
      </c>
      <c r="F9338" s="1561"/>
      <c r="G9338" s="584" t="s">
        <v>845</v>
      </c>
      <c r="H9338" s="577">
        <v>1E-4</v>
      </c>
      <c r="K9338" t="s">
        <v>947</v>
      </c>
      <c r="L9338" t="s">
        <v>692</v>
      </c>
      <c r="P9338" t="s">
        <v>3764</v>
      </c>
      <c r="T9338">
        <v>46142</v>
      </c>
      <c r="V9338">
        <v>132</v>
      </c>
    </row>
    <row r="9339" spans="1:22" customFormat="1" ht="15" x14ac:dyDescent="0.25">
      <c r="A9339" t="s">
        <v>289</v>
      </c>
      <c r="E9339" s="1561" t="s">
        <v>6889</v>
      </c>
      <c r="F9339" s="1561"/>
      <c r="G9339" s="584" t="s">
        <v>845</v>
      </c>
      <c r="H9339" s="577">
        <v>3.0000000000000001E-3</v>
      </c>
      <c r="K9339" t="s">
        <v>947</v>
      </c>
      <c r="L9339" t="s">
        <v>692</v>
      </c>
      <c r="P9339" t="s">
        <v>963</v>
      </c>
      <c r="T9339">
        <v>46142</v>
      </c>
      <c r="V9339">
        <v>143</v>
      </c>
    </row>
    <row r="9340" spans="1:22" customFormat="1" ht="15" x14ac:dyDescent="0.25">
      <c r="A9340" t="s">
        <v>289</v>
      </c>
      <c r="E9340" s="1561" t="s">
        <v>6890</v>
      </c>
      <c r="F9340" s="1561"/>
      <c r="G9340" s="584" t="s">
        <v>845</v>
      </c>
      <c r="H9340" s="577">
        <v>6.9999999999999999E-4</v>
      </c>
      <c r="K9340" t="s">
        <v>947</v>
      </c>
      <c r="L9340" t="s">
        <v>690</v>
      </c>
      <c r="P9340" t="s">
        <v>6891</v>
      </c>
      <c r="T9340">
        <v>46142</v>
      </c>
      <c r="V9340">
        <v>54</v>
      </c>
    </row>
    <row r="9341" spans="1:22" customFormat="1" ht="15" x14ac:dyDescent="0.25">
      <c r="A9341" t="s">
        <v>289</v>
      </c>
      <c r="E9341" s="1561" t="s">
        <v>243</v>
      </c>
      <c r="F9341" s="1561"/>
      <c r="G9341" s="584" t="s">
        <v>845</v>
      </c>
      <c r="H9341" s="577">
        <v>1.35E-2</v>
      </c>
      <c r="K9341" t="s">
        <v>947</v>
      </c>
      <c r="L9341" t="s">
        <v>694</v>
      </c>
      <c r="P9341" t="s">
        <v>964</v>
      </c>
      <c r="V9341">
        <v>47</v>
      </c>
    </row>
    <row r="9342" spans="1:22" customFormat="1" ht="15" x14ac:dyDescent="0.25">
      <c r="A9342" t="s">
        <v>289</v>
      </c>
      <c r="E9342" s="1561" t="s">
        <v>175</v>
      </c>
      <c r="F9342" s="1561"/>
      <c r="G9342" s="584" t="s">
        <v>845</v>
      </c>
      <c r="H9342" s="577">
        <v>5.1000000000000004E-3</v>
      </c>
      <c r="K9342" t="s">
        <v>947</v>
      </c>
      <c r="L9342" t="s">
        <v>694</v>
      </c>
      <c r="P9342" t="s">
        <v>965</v>
      </c>
      <c r="V9342">
        <v>74</v>
      </c>
    </row>
    <row r="9343" spans="1:22" customFormat="1" ht="15" x14ac:dyDescent="0.25">
      <c r="A9343" t="s">
        <v>289</v>
      </c>
      <c r="E9343" s="1596" t="s">
        <v>967</v>
      </c>
      <c r="F9343" s="1649"/>
      <c r="G9343" s="584"/>
      <c r="H9343" s="584"/>
      <c r="K9343" t="s">
        <v>966</v>
      </c>
      <c r="V9343">
        <v>48</v>
      </c>
    </row>
    <row r="9344" spans="1:22" customFormat="1" ht="15" x14ac:dyDescent="0.25">
      <c r="A9344" t="s">
        <v>289</v>
      </c>
      <c r="E9344" s="1561" t="s">
        <v>844</v>
      </c>
      <c r="F9344" s="1561"/>
      <c r="G9344" s="584" t="s">
        <v>845</v>
      </c>
      <c r="H9344" s="577">
        <v>4.1000000000000003E-3</v>
      </c>
      <c r="K9344" t="s">
        <v>947</v>
      </c>
      <c r="L9344" t="s">
        <v>968</v>
      </c>
      <c r="P9344" t="s">
        <v>969</v>
      </c>
      <c r="V9344">
        <v>55</v>
      </c>
    </row>
    <row r="9345" spans="1:22" customFormat="1" ht="15" x14ac:dyDescent="0.25">
      <c r="A9345" t="s">
        <v>289</v>
      </c>
      <c r="E9345" s="1561" t="s">
        <v>846</v>
      </c>
      <c r="F9345" s="1561"/>
      <c r="G9345" s="584" t="s">
        <v>845</v>
      </c>
      <c r="H9345" s="577">
        <v>4.0000000000000002E-4</v>
      </c>
      <c r="K9345" t="s">
        <v>947</v>
      </c>
      <c r="L9345" t="s">
        <v>968</v>
      </c>
      <c r="P9345" t="s">
        <v>969</v>
      </c>
      <c r="V9345">
        <v>65</v>
      </c>
    </row>
    <row r="9346" spans="1:22" customFormat="1" ht="15" x14ac:dyDescent="0.25">
      <c r="A9346" t="s">
        <v>289</v>
      </c>
      <c r="E9346" s="1561" t="s">
        <v>847</v>
      </c>
      <c r="F9346" s="1561"/>
      <c r="G9346" s="584" t="s">
        <v>845</v>
      </c>
      <c r="H9346" s="577">
        <v>1.4E-3</v>
      </c>
      <c r="K9346" t="s">
        <v>947</v>
      </c>
      <c r="L9346" t="s">
        <v>968</v>
      </c>
      <c r="P9346" t="s">
        <v>970</v>
      </c>
      <c r="V9346">
        <v>57</v>
      </c>
    </row>
    <row r="9347" spans="1:22" customFormat="1" ht="15" x14ac:dyDescent="0.25">
      <c r="A9347" t="s">
        <v>289</v>
      </c>
      <c r="E9347" s="1561" t="s">
        <v>848</v>
      </c>
      <c r="F9347" s="1561"/>
      <c r="G9347" s="584" t="s">
        <v>777</v>
      </c>
      <c r="H9347" s="576">
        <v>0.25</v>
      </c>
      <c r="K9347" t="s">
        <v>947</v>
      </c>
      <c r="L9347" t="s">
        <v>968</v>
      </c>
      <c r="P9347" t="s">
        <v>971</v>
      </c>
      <c r="V9347">
        <v>63</v>
      </c>
    </row>
    <row r="9348" spans="1:22" customFormat="1" x14ac:dyDescent="0.25">
      <c r="A9348" t="s">
        <v>289</v>
      </c>
      <c r="E9348" s="1492" t="s">
        <v>174</v>
      </c>
      <c r="F9348" s="1493"/>
      <c r="G9348" s="1493"/>
      <c r="H9348" s="1493"/>
      <c r="K9348" t="s">
        <v>972</v>
      </c>
      <c r="V9348">
        <v>54</v>
      </c>
    </row>
    <row r="9349" spans="1:22" customFormat="1" ht="15" x14ac:dyDescent="0.25">
      <c r="A9349" t="s">
        <v>289</v>
      </c>
      <c r="E9349" s="1516" t="s">
        <v>4605</v>
      </c>
      <c r="F9349" s="1516"/>
      <c r="G9349" s="1516"/>
      <c r="H9349" s="1516"/>
      <c r="K9349" t="s">
        <v>972</v>
      </c>
      <c r="V9349">
        <v>331</v>
      </c>
    </row>
    <row r="9350" spans="1:22" customFormat="1" ht="15" x14ac:dyDescent="0.25">
      <c r="A9350" t="s">
        <v>289</v>
      </c>
      <c r="E9350" s="1515" t="s">
        <v>950</v>
      </c>
      <c r="F9350" s="1516"/>
      <c r="G9350" s="1516"/>
      <c r="H9350" s="1516"/>
      <c r="K9350" t="s">
        <v>974</v>
      </c>
      <c r="V9350">
        <v>11</v>
      </c>
    </row>
    <row r="9351" spans="1:22" customFormat="1" ht="15" x14ac:dyDescent="0.25">
      <c r="A9351" t="s">
        <v>289</v>
      </c>
      <c r="E9351" s="1516" t="s">
        <v>951</v>
      </c>
      <c r="F9351" s="1516"/>
      <c r="G9351" s="1516"/>
      <c r="H9351" s="1516"/>
      <c r="K9351" t="s">
        <v>972</v>
      </c>
      <c r="V9351">
        <v>280</v>
      </c>
    </row>
    <row r="9352" spans="1:22" customFormat="1" ht="15" x14ac:dyDescent="0.25">
      <c r="A9352" t="s">
        <v>289</v>
      </c>
      <c r="E9352" s="1516" t="s">
        <v>952</v>
      </c>
      <c r="F9352" s="1516"/>
      <c r="G9352" s="1516"/>
      <c r="H9352" s="1516"/>
      <c r="K9352" t="s">
        <v>972</v>
      </c>
      <c r="V9352">
        <v>411</v>
      </c>
    </row>
    <row r="9353" spans="1:22" customFormat="1" ht="15" x14ac:dyDescent="0.25">
      <c r="A9353" t="s">
        <v>289</v>
      </c>
      <c r="E9353" s="1516" t="s">
        <v>953</v>
      </c>
      <c r="F9353" s="1516"/>
      <c r="G9353" s="1516"/>
      <c r="H9353" s="1516"/>
      <c r="K9353" t="s">
        <v>972</v>
      </c>
      <c r="V9353">
        <v>386</v>
      </c>
    </row>
    <row r="9354" spans="1:22" customFormat="1" ht="15" x14ac:dyDescent="0.25">
      <c r="A9354" t="s">
        <v>289</v>
      </c>
      <c r="E9354" s="1516" t="s">
        <v>954</v>
      </c>
      <c r="F9354" s="1516"/>
      <c r="G9354" s="1516"/>
      <c r="H9354" s="1516"/>
      <c r="K9354" t="s">
        <v>972</v>
      </c>
      <c r="V9354">
        <v>246</v>
      </c>
    </row>
    <row r="9355" spans="1:22" customFormat="1" ht="15" x14ac:dyDescent="0.25">
      <c r="A9355" t="s">
        <v>289</v>
      </c>
      <c r="E9355" s="1596" t="s">
        <v>956</v>
      </c>
      <c r="F9355" s="1572"/>
      <c r="G9355" s="1572"/>
      <c r="H9355" s="1572"/>
      <c r="K9355" t="s">
        <v>975</v>
      </c>
      <c r="V9355">
        <v>46</v>
      </c>
    </row>
    <row r="9356" spans="1:22" customFormat="1" ht="15" x14ac:dyDescent="0.25">
      <c r="A9356" t="s">
        <v>289</v>
      </c>
      <c r="E9356" s="1561" t="s">
        <v>3773</v>
      </c>
      <c r="F9356" s="1561"/>
      <c r="G9356" s="584" t="s">
        <v>777</v>
      </c>
      <c r="H9356" s="576">
        <v>41.23</v>
      </c>
      <c r="K9356" t="s">
        <v>972</v>
      </c>
      <c r="L9356" t="s">
        <v>690</v>
      </c>
      <c r="P9356" t="s">
        <v>976</v>
      </c>
      <c r="V9356">
        <v>14</v>
      </c>
    </row>
    <row r="9357" spans="1:22" customFormat="1" ht="15" x14ac:dyDescent="0.25">
      <c r="A9357" t="s">
        <v>289</v>
      </c>
      <c r="E9357" s="1561" t="s">
        <v>960</v>
      </c>
      <c r="F9357" s="1561"/>
      <c r="G9357" s="584" t="s">
        <v>777</v>
      </c>
      <c r="H9357" s="576">
        <v>0.42</v>
      </c>
      <c r="K9357" t="s">
        <v>972</v>
      </c>
      <c r="L9357" t="s">
        <v>692</v>
      </c>
      <c r="P9357" t="s">
        <v>977</v>
      </c>
      <c r="V9357">
        <v>64</v>
      </c>
    </row>
    <row r="9358" spans="1:22" customFormat="1" ht="15" x14ac:dyDescent="0.25">
      <c r="A9358" t="s">
        <v>289</v>
      </c>
      <c r="E9358" s="1561" t="s">
        <v>3688</v>
      </c>
      <c r="F9358" s="1561"/>
      <c r="G9358" s="584" t="s">
        <v>845</v>
      </c>
      <c r="H9358" s="577">
        <v>2.3E-2</v>
      </c>
      <c r="K9358" t="s">
        <v>972</v>
      </c>
      <c r="L9358" t="s">
        <v>690</v>
      </c>
      <c r="P9358" t="s">
        <v>978</v>
      </c>
      <c r="V9358">
        <v>28</v>
      </c>
    </row>
    <row r="9359" spans="1:22" customFormat="1" ht="15" x14ac:dyDescent="0.25">
      <c r="A9359" t="s">
        <v>289</v>
      </c>
      <c r="E9359" s="1561" t="s">
        <v>910</v>
      </c>
      <c r="F9359" s="1561"/>
      <c r="G9359" s="584" t="s">
        <v>845</v>
      </c>
      <c r="H9359" s="577">
        <v>2E-3</v>
      </c>
      <c r="K9359" t="s">
        <v>972</v>
      </c>
      <c r="L9359" t="s">
        <v>692</v>
      </c>
      <c r="P9359" t="s">
        <v>980</v>
      </c>
      <c r="V9359">
        <v>24</v>
      </c>
    </row>
    <row r="9360" spans="1:22" customFormat="1" ht="15" x14ac:dyDescent="0.25">
      <c r="A9360" t="s">
        <v>289</v>
      </c>
      <c r="E9360" s="1561" t="s">
        <v>5522</v>
      </c>
      <c r="F9360" s="1561"/>
      <c r="G9360" s="584" t="s">
        <v>845</v>
      </c>
      <c r="H9360" s="577">
        <v>-2.0000000000000001E-4</v>
      </c>
      <c r="K9360" t="s">
        <v>972</v>
      </c>
      <c r="L9360" t="s">
        <v>692</v>
      </c>
      <c r="P9360" t="s">
        <v>982</v>
      </c>
      <c r="T9360">
        <v>46142</v>
      </c>
      <c r="V9360">
        <v>89</v>
      </c>
    </row>
    <row r="9361" spans="1:22" customFormat="1" ht="15" x14ac:dyDescent="0.25">
      <c r="A9361" t="s">
        <v>289</v>
      </c>
      <c r="E9361" s="1561" t="s">
        <v>6888</v>
      </c>
      <c r="F9361" s="1561"/>
      <c r="G9361" s="584" t="s">
        <v>845</v>
      </c>
      <c r="H9361" s="577">
        <v>1E-4</v>
      </c>
      <c r="K9361" t="s">
        <v>972</v>
      </c>
      <c r="L9361" t="s">
        <v>692</v>
      </c>
      <c r="P9361" t="s">
        <v>3766</v>
      </c>
      <c r="T9361">
        <v>46142</v>
      </c>
      <c r="V9361">
        <v>132</v>
      </c>
    </row>
    <row r="9362" spans="1:22" customFormat="1" ht="15" x14ac:dyDescent="0.25">
      <c r="A9362" t="s">
        <v>289</v>
      </c>
      <c r="E9362" s="1561" t="s">
        <v>6889</v>
      </c>
      <c r="F9362" s="1561"/>
      <c r="G9362" s="584" t="s">
        <v>845</v>
      </c>
      <c r="H9362" s="577">
        <v>3.0000000000000001E-3</v>
      </c>
      <c r="K9362" t="s">
        <v>972</v>
      </c>
      <c r="L9362" t="s">
        <v>692</v>
      </c>
      <c r="P9362" t="s">
        <v>982</v>
      </c>
      <c r="T9362">
        <v>46142</v>
      </c>
      <c r="V9362">
        <v>143</v>
      </c>
    </row>
    <row r="9363" spans="1:22" customFormat="1" ht="15" x14ac:dyDescent="0.25">
      <c r="A9363" t="s">
        <v>289</v>
      </c>
      <c r="E9363" s="1561" t="s">
        <v>6887</v>
      </c>
      <c r="F9363" s="1561"/>
      <c r="G9363" s="584" t="s">
        <v>845</v>
      </c>
      <c r="H9363" s="577">
        <v>-2.5999999999999999E-3</v>
      </c>
      <c r="K9363" t="s">
        <v>972</v>
      </c>
      <c r="L9363" t="s">
        <v>690</v>
      </c>
      <c r="P9363" t="s">
        <v>6892</v>
      </c>
      <c r="T9363">
        <v>46142</v>
      </c>
      <c r="V9363">
        <v>79</v>
      </c>
    </row>
    <row r="9364" spans="1:22" customFormat="1" ht="15" x14ac:dyDescent="0.25">
      <c r="A9364" t="s">
        <v>289</v>
      </c>
      <c r="E9364" s="1561" t="s">
        <v>6890</v>
      </c>
      <c r="F9364" s="1561"/>
      <c r="G9364" s="584" t="s">
        <v>845</v>
      </c>
      <c r="H9364" s="577">
        <v>6.7000000000000002E-3</v>
      </c>
      <c r="K9364" t="s">
        <v>972</v>
      </c>
      <c r="L9364" t="s">
        <v>690</v>
      </c>
      <c r="P9364" t="s">
        <v>6893</v>
      </c>
      <c r="T9364">
        <v>46142</v>
      </c>
      <c r="V9364">
        <v>54</v>
      </c>
    </row>
    <row r="9365" spans="1:22" customFormat="1" ht="15" x14ac:dyDescent="0.25">
      <c r="A9365" t="s">
        <v>289</v>
      </c>
      <c r="E9365" s="1561" t="s">
        <v>243</v>
      </c>
      <c r="F9365" s="1561"/>
      <c r="G9365" s="584" t="s">
        <v>845</v>
      </c>
      <c r="H9365" s="577">
        <v>1.2800000000000001E-2</v>
      </c>
      <c r="K9365" t="s">
        <v>972</v>
      </c>
      <c r="L9365" t="s">
        <v>694</v>
      </c>
      <c r="P9365" t="s">
        <v>983</v>
      </c>
      <c r="V9365">
        <v>47</v>
      </c>
    </row>
    <row r="9366" spans="1:22" customFormat="1" ht="15" x14ac:dyDescent="0.25">
      <c r="A9366" t="s">
        <v>289</v>
      </c>
      <c r="E9366" s="1561" t="s">
        <v>175</v>
      </c>
      <c r="F9366" s="1561"/>
      <c r="G9366" s="584" t="s">
        <v>845</v>
      </c>
      <c r="H9366" s="577">
        <v>4.7999999999999996E-3</v>
      </c>
      <c r="K9366" t="s">
        <v>972</v>
      </c>
      <c r="L9366" t="s">
        <v>694</v>
      </c>
      <c r="P9366" t="s">
        <v>984</v>
      </c>
      <c r="V9366">
        <v>74</v>
      </c>
    </row>
    <row r="9367" spans="1:22" customFormat="1" ht="15" x14ac:dyDescent="0.25">
      <c r="A9367" t="s">
        <v>289</v>
      </c>
      <c r="E9367" s="1596" t="s">
        <v>967</v>
      </c>
      <c r="F9367" s="1561"/>
      <c r="G9367" s="584"/>
      <c r="H9367" s="584"/>
      <c r="K9367" t="s">
        <v>985</v>
      </c>
      <c r="V9367">
        <v>48</v>
      </c>
    </row>
    <row r="9368" spans="1:22" customFormat="1" ht="15" x14ac:dyDescent="0.25">
      <c r="A9368" t="s">
        <v>289</v>
      </c>
      <c r="E9368" s="1561" t="s">
        <v>844</v>
      </c>
      <c r="F9368" s="1561"/>
      <c r="G9368" s="584" t="s">
        <v>845</v>
      </c>
      <c r="H9368" s="577">
        <v>4.1000000000000003E-3</v>
      </c>
      <c r="K9368" t="s">
        <v>972</v>
      </c>
      <c r="L9368" t="s">
        <v>968</v>
      </c>
      <c r="P9368" t="s">
        <v>986</v>
      </c>
      <c r="V9368">
        <v>55</v>
      </c>
    </row>
    <row r="9369" spans="1:22" customFormat="1" ht="15" x14ac:dyDescent="0.25">
      <c r="A9369" t="s">
        <v>289</v>
      </c>
      <c r="E9369" s="1561" t="s">
        <v>846</v>
      </c>
      <c r="F9369" s="1561"/>
      <c r="G9369" s="584" t="s">
        <v>845</v>
      </c>
      <c r="H9369" s="577">
        <v>4.0000000000000002E-4</v>
      </c>
      <c r="K9369" t="s">
        <v>972</v>
      </c>
      <c r="L9369" t="s">
        <v>968</v>
      </c>
      <c r="P9369" t="s">
        <v>986</v>
      </c>
      <c r="V9369">
        <v>65</v>
      </c>
    </row>
    <row r="9370" spans="1:22" customFormat="1" ht="15" x14ac:dyDescent="0.25">
      <c r="A9370" t="s">
        <v>289</v>
      </c>
      <c r="E9370" s="1561" t="s">
        <v>847</v>
      </c>
      <c r="F9370" s="1561"/>
      <c r="G9370" s="584" t="s">
        <v>845</v>
      </c>
      <c r="H9370" s="577">
        <v>1.4E-3</v>
      </c>
      <c r="K9370" t="s">
        <v>972</v>
      </c>
      <c r="L9370" t="s">
        <v>968</v>
      </c>
      <c r="P9370" t="s">
        <v>987</v>
      </c>
      <c r="V9370">
        <v>57</v>
      </c>
    </row>
    <row r="9371" spans="1:22" customFormat="1" ht="15" x14ac:dyDescent="0.25">
      <c r="A9371" t="s">
        <v>289</v>
      </c>
      <c r="E9371" s="1561" t="s">
        <v>848</v>
      </c>
      <c r="F9371" s="1561"/>
      <c r="G9371" s="584" t="s">
        <v>777</v>
      </c>
      <c r="H9371" s="576">
        <v>0.25</v>
      </c>
      <c r="K9371" t="s">
        <v>972</v>
      </c>
      <c r="L9371" t="s">
        <v>968</v>
      </c>
      <c r="P9371" t="s">
        <v>988</v>
      </c>
      <c r="V9371">
        <v>63</v>
      </c>
    </row>
    <row r="9372" spans="1:22" customFormat="1" x14ac:dyDescent="0.25">
      <c r="A9372" t="s">
        <v>289</v>
      </c>
      <c r="E9372" s="1492" t="s">
        <v>3767</v>
      </c>
      <c r="F9372" s="1493"/>
      <c r="G9372" s="1493"/>
      <c r="H9372" s="1493"/>
      <c r="K9372" t="s">
        <v>3768</v>
      </c>
      <c r="V9372">
        <v>53</v>
      </c>
    </row>
    <row r="9373" spans="1:22" customFormat="1" ht="15" x14ac:dyDescent="0.25">
      <c r="A9373" t="s">
        <v>289</v>
      </c>
      <c r="E9373" s="1516" t="s">
        <v>5332</v>
      </c>
      <c r="F9373" s="1516"/>
      <c r="G9373" s="1516"/>
      <c r="H9373" s="1516"/>
      <c r="K9373" t="s">
        <v>3768</v>
      </c>
      <c r="V9373">
        <v>356</v>
      </c>
    </row>
    <row r="9374" spans="1:22" customFormat="1" ht="15" x14ac:dyDescent="0.25">
      <c r="A9374" t="s">
        <v>289</v>
      </c>
      <c r="E9374" s="1515" t="s">
        <v>950</v>
      </c>
      <c r="F9374" s="1516"/>
      <c r="G9374" s="1516"/>
      <c r="H9374" s="1516"/>
      <c r="K9374" t="s">
        <v>992</v>
      </c>
      <c r="V9374">
        <v>11</v>
      </c>
    </row>
    <row r="9375" spans="1:22" customFormat="1" ht="15" x14ac:dyDescent="0.25">
      <c r="A9375" t="s">
        <v>289</v>
      </c>
      <c r="E9375" s="1516" t="s">
        <v>951</v>
      </c>
      <c r="F9375" s="1516"/>
      <c r="G9375" s="1516"/>
      <c r="H9375" s="1516"/>
      <c r="K9375" t="s">
        <v>3768</v>
      </c>
      <c r="V9375">
        <v>280</v>
      </c>
    </row>
    <row r="9376" spans="1:22" customFormat="1" ht="15" x14ac:dyDescent="0.25">
      <c r="A9376" t="s">
        <v>289</v>
      </c>
      <c r="E9376" s="1516" t="s">
        <v>952</v>
      </c>
      <c r="F9376" s="1516"/>
      <c r="G9376" s="1516"/>
      <c r="H9376" s="1516"/>
      <c r="K9376" t="s">
        <v>3768</v>
      </c>
      <c r="V9376">
        <v>411</v>
      </c>
    </row>
    <row r="9377" spans="1:22" customFormat="1" ht="15" x14ac:dyDescent="0.25">
      <c r="A9377" t="s">
        <v>289</v>
      </c>
      <c r="E9377" s="1516" t="s">
        <v>953</v>
      </c>
      <c r="F9377" s="1516"/>
      <c r="G9377" s="1516"/>
      <c r="H9377" s="1516"/>
      <c r="K9377" t="s">
        <v>3768</v>
      </c>
      <c r="V9377">
        <v>386</v>
      </c>
    </row>
    <row r="9378" spans="1:22" customFormat="1" ht="15" x14ac:dyDescent="0.25">
      <c r="A9378" t="s">
        <v>289</v>
      </c>
      <c r="E9378" s="1516" t="s">
        <v>3771</v>
      </c>
      <c r="F9378" s="1516"/>
      <c r="G9378" s="1516"/>
      <c r="H9378" s="1516"/>
      <c r="K9378" t="s">
        <v>3768</v>
      </c>
      <c r="V9378">
        <v>677</v>
      </c>
    </row>
    <row r="9379" spans="1:22" customFormat="1" ht="15" x14ac:dyDescent="0.25">
      <c r="A9379" t="s">
        <v>289</v>
      </c>
      <c r="E9379" s="1516" t="s">
        <v>3772</v>
      </c>
      <c r="F9379" s="1516"/>
      <c r="G9379" s="1516"/>
      <c r="H9379" s="1516"/>
      <c r="K9379" t="s">
        <v>3768</v>
      </c>
      <c r="V9379">
        <v>693</v>
      </c>
    </row>
    <row r="9380" spans="1:22" customFormat="1" ht="15" x14ac:dyDescent="0.25">
      <c r="A9380" t="s">
        <v>289</v>
      </c>
      <c r="E9380" s="1516" t="s">
        <v>954</v>
      </c>
      <c r="F9380" s="1516"/>
      <c r="G9380" s="1516"/>
      <c r="H9380" s="1516"/>
      <c r="K9380" t="s">
        <v>3768</v>
      </c>
      <c r="V9380">
        <v>246</v>
      </c>
    </row>
    <row r="9381" spans="1:22" customFormat="1" ht="15" x14ac:dyDescent="0.25">
      <c r="A9381" t="s">
        <v>289</v>
      </c>
      <c r="E9381" s="1596" t="s">
        <v>956</v>
      </c>
      <c r="F9381" s="1572"/>
      <c r="G9381" s="1572"/>
      <c r="H9381" s="1572"/>
      <c r="K9381" t="s">
        <v>995</v>
      </c>
      <c r="V9381">
        <v>46</v>
      </c>
    </row>
    <row r="9382" spans="1:22" customFormat="1" ht="15" x14ac:dyDescent="0.25">
      <c r="A9382" t="s">
        <v>289</v>
      </c>
      <c r="E9382" s="1561" t="s">
        <v>3773</v>
      </c>
      <c r="F9382" s="1561"/>
      <c r="G9382" s="584" t="s">
        <v>777</v>
      </c>
      <c r="H9382" s="576">
        <v>230.33</v>
      </c>
      <c r="K9382" t="s">
        <v>3768</v>
      </c>
      <c r="L9382" t="s">
        <v>690</v>
      </c>
      <c r="P9382" t="s">
        <v>3774</v>
      </c>
      <c r="V9382">
        <v>14</v>
      </c>
    </row>
    <row r="9383" spans="1:22" customFormat="1" ht="15" x14ac:dyDescent="0.25">
      <c r="A9383" t="s">
        <v>289</v>
      </c>
      <c r="E9383" s="1561" t="s">
        <v>6894</v>
      </c>
      <c r="F9383" s="1561"/>
      <c r="G9383" s="584" t="s">
        <v>777</v>
      </c>
      <c r="H9383" s="576">
        <v>-35.549999999999997</v>
      </c>
      <c r="K9383" t="s">
        <v>3768</v>
      </c>
      <c r="L9383" t="s">
        <v>690</v>
      </c>
      <c r="P9383" t="s">
        <v>6895</v>
      </c>
      <c r="T9383">
        <v>46142</v>
      </c>
      <c r="V9383">
        <v>72</v>
      </c>
    </row>
    <row r="9384" spans="1:22" customFormat="1" ht="15" x14ac:dyDescent="0.25">
      <c r="A9384" t="s">
        <v>289</v>
      </c>
      <c r="E9384" s="1561" t="s">
        <v>3688</v>
      </c>
      <c r="F9384" s="1561"/>
      <c r="G9384" s="584" t="s">
        <v>3775</v>
      </c>
      <c r="H9384" s="577">
        <v>2.5499000000000001</v>
      </c>
      <c r="K9384" t="s">
        <v>3768</v>
      </c>
      <c r="L9384" t="s">
        <v>690</v>
      </c>
      <c r="P9384" t="s">
        <v>3776</v>
      </c>
      <c r="V9384">
        <v>28</v>
      </c>
    </row>
    <row r="9385" spans="1:22" customFormat="1" ht="15" x14ac:dyDescent="0.25">
      <c r="A9385" t="s">
        <v>289</v>
      </c>
      <c r="E9385" s="1561" t="s">
        <v>910</v>
      </c>
      <c r="F9385" s="1561"/>
      <c r="G9385" s="584" t="s">
        <v>3775</v>
      </c>
      <c r="H9385" s="577">
        <v>0.75129999999999997</v>
      </c>
      <c r="K9385" t="s">
        <v>3768</v>
      </c>
      <c r="L9385" t="s">
        <v>692</v>
      </c>
      <c r="P9385" t="s">
        <v>3777</v>
      </c>
      <c r="V9385">
        <v>24</v>
      </c>
    </row>
    <row r="9386" spans="1:22" customFormat="1" ht="15" x14ac:dyDescent="0.25">
      <c r="A9386" t="s">
        <v>289</v>
      </c>
      <c r="E9386" s="1561" t="s">
        <v>5522</v>
      </c>
      <c r="F9386" s="1561"/>
      <c r="G9386" s="584" t="s">
        <v>3775</v>
      </c>
      <c r="H9386" s="577">
        <v>-4.3999999999999997E-2</v>
      </c>
      <c r="K9386" t="s">
        <v>3768</v>
      </c>
      <c r="L9386" t="s">
        <v>692</v>
      </c>
      <c r="P9386" t="s">
        <v>3779</v>
      </c>
      <c r="T9386">
        <v>46142</v>
      </c>
      <c r="V9386">
        <v>89</v>
      </c>
    </row>
    <row r="9387" spans="1:22" customFormat="1" ht="15" x14ac:dyDescent="0.25">
      <c r="A9387" t="s">
        <v>289</v>
      </c>
      <c r="E9387" s="1561" t="s">
        <v>6888</v>
      </c>
      <c r="F9387" s="1561"/>
      <c r="G9387" s="584" t="s">
        <v>3775</v>
      </c>
      <c r="H9387" s="577">
        <v>4.1599999999999998E-2</v>
      </c>
      <c r="K9387" t="s">
        <v>3768</v>
      </c>
      <c r="L9387" t="s">
        <v>692</v>
      </c>
      <c r="P9387" t="s">
        <v>3778</v>
      </c>
      <c r="T9387">
        <v>46142</v>
      </c>
      <c r="V9387">
        <v>132</v>
      </c>
    </row>
    <row r="9388" spans="1:22" customFormat="1" ht="15" x14ac:dyDescent="0.25">
      <c r="A9388" t="s">
        <v>289</v>
      </c>
      <c r="E9388" s="1561" t="s">
        <v>6889</v>
      </c>
      <c r="F9388" s="1561"/>
      <c r="G9388" s="584" t="s">
        <v>845</v>
      </c>
      <c r="H9388" s="577">
        <v>3.0000000000000001E-3</v>
      </c>
      <c r="K9388" t="s">
        <v>3768</v>
      </c>
      <c r="L9388" t="s">
        <v>692</v>
      </c>
      <c r="P9388" t="s">
        <v>3779</v>
      </c>
      <c r="T9388">
        <v>46142</v>
      </c>
      <c r="V9388">
        <v>143</v>
      </c>
    </row>
    <row r="9389" spans="1:22" customFormat="1" ht="15" x14ac:dyDescent="0.25">
      <c r="A9389" t="s">
        <v>289</v>
      </c>
      <c r="E9389" s="1561" t="s">
        <v>6887</v>
      </c>
      <c r="F9389" s="1561"/>
      <c r="G9389" s="584" t="s">
        <v>3775</v>
      </c>
      <c r="H9389" s="577">
        <v>0.14249999999999999</v>
      </c>
      <c r="K9389" t="s">
        <v>3768</v>
      </c>
      <c r="L9389" t="s">
        <v>690</v>
      </c>
      <c r="P9389" t="s">
        <v>6896</v>
      </c>
      <c r="T9389">
        <v>46142</v>
      </c>
      <c r="V9389">
        <v>79</v>
      </c>
    </row>
    <row r="9390" spans="1:22" customFormat="1" ht="15" x14ac:dyDescent="0.25">
      <c r="A9390" t="s">
        <v>289</v>
      </c>
      <c r="E9390" s="1561" t="s">
        <v>6890</v>
      </c>
      <c r="F9390" s="1561"/>
      <c r="G9390" s="584" t="s">
        <v>3775</v>
      </c>
      <c r="H9390" s="577">
        <v>2.5999999999999999E-2</v>
      </c>
      <c r="K9390" t="s">
        <v>3768</v>
      </c>
      <c r="L9390" t="s">
        <v>690</v>
      </c>
      <c r="P9390" t="s">
        <v>6897</v>
      </c>
      <c r="T9390">
        <v>46142</v>
      </c>
      <c r="V9390">
        <v>54</v>
      </c>
    </row>
    <row r="9391" spans="1:22" customFormat="1" ht="15" x14ac:dyDescent="0.25">
      <c r="A9391" t="s">
        <v>289</v>
      </c>
      <c r="E9391" s="1561" t="s">
        <v>6898</v>
      </c>
      <c r="F9391" s="1561"/>
      <c r="G9391" s="584" t="s">
        <v>3775</v>
      </c>
      <c r="H9391" s="577">
        <v>-0.33400000000000002</v>
      </c>
      <c r="K9391" t="s">
        <v>3768</v>
      </c>
      <c r="L9391" t="s">
        <v>690</v>
      </c>
      <c r="P9391" t="s">
        <v>6899</v>
      </c>
      <c r="T9391">
        <v>46142</v>
      </c>
      <c r="V9391">
        <v>74</v>
      </c>
    </row>
    <row r="9392" spans="1:22" customFormat="1" ht="15" x14ac:dyDescent="0.25">
      <c r="A9392" t="s">
        <v>289</v>
      </c>
      <c r="E9392" s="1561" t="s">
        <v>243</v>
      </c>
      <c r="F9392" s="1561"/>
      <c r="G9392" s="584" t="s">
        <v>3775</v>
      </c>
      <c r="H9392" s="577">
        <v>5.1161000000000003</v>
      </c>
      <c r="K9392" t="s">
        <v>3768</v>
      </c>
      <c r="L9392" t="s">
        <v>694</v>
      </c>
      <c r="P9392" t="s">
        <v>3780</v>
      </c>
      <c r="V9392">
        <v>47</v>
      </c>
    </row>
    <row r="9393" spans="1:22" customFormat="1" ht="15" x14ac:dyDescent="0.25">
      <c r="A9393" t="s">
        <v>289</v>
      </c>
      <c r="E9393" s="1561" t="s">
        <v>4121</v>
      </c>
      <c r="F9393" s="1561"/>
      <c r="G9393" s="584" t="s">
        <v>3775</v>
      </c>
      <c r="H9393" s="577">
        <v>1.9016999999999999</v>
      </c>
      <c r="K9393" t="s">
        <v>3768</v>
      </c>
      <c r="L9393" t="s">
        <v>694</v>
      </c>
      <c r="P9393" t="s">
        <v>3781</v>
      </c>
      <c r="V9393">
        <v>75</v>
      </c>
    </row>
    <row r="9394" spans="1:22" customFormat="1" ht="15" x14ac:dyDescent="0.25">
      <c r="A9394" t="s">
        <v>289</v>
      </c>
      <c r="E9394" s="1596" t="s">
        <v>967</v>
      </c>
      <c r="F9394" s="1561"/>
      <c r="G9394" s="584"/>
      <c r="H9394" s="584"/>
      <c r="K9394" t="s">
        <v>1003</v>
      </c>
      <c r="V9394">
        <v>48</v>
      </c>
    </row>
    <row r="9395" spans="1:22" customFormat="1" ht="15" x14ac:dyDescent="0.25">
      <c r="A9395" t="s">
        <v>289</v>
      </c>
      <c r="E9395" s="1561" t="s">
        <v>844</v>
      </c>
      <c r="F9395" s="1561"/>
      <c r="G9395" s="584" t="s">
        <v>845</v>
      </c>
      <c r="H9395" s="577">
        <v>4.1000000000000003E-3</v>
      </c>
      <c r="K9395" t="s">
        <v>3768</v>
      </c>
      <c r="L9395" t="s">
        <v>968</v>
      </c>
      <c r="P9395" t="s">
        <v>3782</v>
      </c>
      <c r="V9395">
        <v>55</v>
      </c>
    </row>
    <row r="9396" spans="1:22" customFormat="1" ht="15" x14ac:dyDescent="0.25">
      <c r="A9396" t="s">
        <v>289</v>
      </c>
      <c r="E9396" s="1561" t="s">
        <v>846</v>
      </c>
      <c r="F9396" s="1561"/>
      <c r="G9396" s="584" t="s">
        <v>845</v>
      </c>
      <c r="H9396" s="577">
        <v>4.0000000000000002E-4</v>
      </c>
      <c r="K9396" t="s">
        <v>3768</v>
      </c>
      <c r="L9396" t="s">
        <v>968</v>
      </c>
      <c r="P9396" t="s">
        <v>3782</v>
      </c>
      <c r="V9396">
        <v>65</v>
      </c>
    </row>
    <row r="9397" spans="1:22" customFormat="1" ht="15" x14ac:dyDescent="0.25">
      <c r="A9397" t="s">
        <v>289</v>
      </c>
      <c r="E9397" s="1561" t="s">
        <v>847</v>
      </c>
      <c r="F9397" s="1561"/>
      <c r="G9397" s="584" t="s">
        <v>845</v>
      </c>
      <c r="H9397" s="577">
        <v>1.4E-3</v>
      </c>
      <c r="K9397" t="s">
        <v>3768</v>
      </c>
      <c r="L9397" t="s">
        <v>968</v>
      </c>
      <c r="P9397" t="s">
        <v>3783</v>
      </c>
      <c r="V9397">
        <v>57</v>
      </c>
    </row>
    <row r="9398" spans="1:22" customFormat="1" ht="15" x14ac:dyDescent="0.25">
      <c r="A9398" t="s">
        <v>289</v>
      </c>
      <c r="E9398" s="1561" t="s">
        <v>848</v>
      </c>
      <c r="F9398" s="1561"/>
      <c r="G9398" s="584" t="s">
        <v>777</v>
      </c>
      <c r="H9398" s="576">
        <v>0.25</v>
      </c>
      <c r="K9398" t="s">
        <v>3768</v>
      </c>
      <c r="L9398" t="s">
        <v>968</v>
      </c>
      <c r="P9398" t="s">
        <v>3784</v>
      </c>
      <c r="V9398">
        <v>63</v>
      </c>
    </row>
    <row r="9399" spans="1:22" customFormat="1" x14ac:dyDescent="0.25">
      <c r="A9399" t="s">
        <v>289</v>
      </c>
      <c r="E9399" s="1492" t="s">
        <v>194</v>
      </c>
      <c r="F9399" s="1493"/>
      <c r="G9399" s="1493"/>
      <c r="H9399" s="1493"/>
      <c r="K9399" t="s">
        <v>3785</v>
      </c>
      <c r="V9399">
        <v>47</v>
      </c>
    </row>
    <row r="9400" spans="1:22" customFormat="1" ht="15" x14ac:dyDescent="0.25">
      <c r="A9400" t="s">
        <v>289</v>
      </c>
      <c r="E9400" s="1516" t="s">
        <v>5557</v>
      </c>
      <c r="F9400" s="1516"/>
      <c r="G9400" s="1516"/>
      <c r="H9400" s="1516"/>
      <c r="K9400" t="s">
        <v>3785</v>
      </c>
      <c r="V9400">
        <v>619</v>
      </c>
    </row>
    <row r="9401" spans="1:22" customFormat="1" ht="15" x14ac:dyDescent="0.25">
      <c r="A9401" t="s">
        <v>289</v>
      </c>
      <c r="E9401" s="1515" t="s">
        <v>950</v>
      </c>
      <c r="F9401" s="1516"/>
      <c r="G9401" s="1516"/>
      <c r="H9401" s="1516"/>
      <c r="K9401" t="s">
        <v>1010</v>
      </c>
      <c r="V9401">
        <v>11</v>
      </c>
    </row>
    <row r="9402" spans="1:22" customFormat="1" ht="15" x14ac:dyDescent="0.25">
      <c r="A9402" t="s">
        <v>289</v>
      </c>
      <c r="E9402" s="1516" t="s">
        <v>951</v>
      </c>
      <c r="F9402" s="1516"/>
      <c r="G9402" s="1516"/>
      <c r="H9402" s="1516"/>
      <c r="K9402" t="s">
        <v>3785</v>
      </c>
      <c r="V9402">
        <v>280</v>
      </c>
    </row>
    <row r="9403" spans="1:22" customFormat="1" ht="15" x14ac:dyDescent="0.25">
      <c r="A9403" t="s">
        <v>289</v>
      </c>
      <c r="E9403" s="1516" t="s">
        <v>952</v>
      </c>
      <c r="F9403" s="1516"/>
      <c r="G9403" s="1516"/>
      <c r="H9403" s="1516"/>
      <c r="K9403" t="s">
        <v>3785</v>
      </c>
      <c r="V9403">
        <v>411</v>
      </c>
    </row>
    <row r="9404" spans="1:22" customFormat="1" ht="15" x14ac:dyDescent="0.25">
      <c r="A9404" t="s">
        <v>289</v>
      </c>
      <c r="E9404" s="1516" t="s">
        <v>953</v>
      </c>
      <c r="F9404" s="1516"/>
      <c r="G9404" s="1516"/>
      <c r="H9404" s="1516"/>
      <c r="K9404" t="s">
        <v>3785</v>
      </c>
      <c r="V9404">
        <v>386</v>
      </c>
    </row>
    <row r="9405" spans="1:22" customFormat="1" ht="15" x14ac:dyDescent="0.25">
      <c r="A9405" t="s">
        <v>289</v>
      </c>
      <c r="E9405" s="1516" t="s">
        <v>954</v>
      </c>
      <c r="F9405" s="1516"/>
      <c r="G9405" s="1516"/>
      <c r="H9405" s="1516"/>
      <c r="K9405" t="s">
        <v>3785</v>
      </c>
      <c r="V9405">
        <v>246</v>
      </c>
    </row>
    <row r="9406" spans="1:22" customFormat="1" ht="15" x14ac:dyDescent="0.25">
      <c r="A9406" t="s">
        <v>289</v>
      </c>
      <c r="E9406" s="1596" t="s">
        <v>956</v>
      </c>
      <c r="F9406" s="1572"/>
      <c r="G9406" s="1572"/>
      <c r="H9406" s="1572"/>
      <c r="K9406" t="s">
        <v>1011</v>
      </c>
      <c r="V9406">
        <v>46</v>
      </c>
    </row>
    <row r="9407" spans="1:22" customFormat="1" ht="15" x14ac:dyDescent="0.25">
      <c r="A9407" t="s">
        <v>289</v>
      </c>
      <c r="E9407" s="1561" t="s">
        <v>3874</v>
      </c>
      <c r="F9407" s="1561"/>
      <c r="G9407" s="584" t="s">
        <v>777</v>
      </c>
      <c r="H9407" s="576">
        <v>23.94</v>
      </c>
      <c r="K9407" t="s">
        <v>3785</v>
      </c>
      <c r="L9407" t="s">
        <v>690</v>
      </c>
      <c r="P9407" t="s">
        <v>3788</v>
      </c>
      <c r="V9407">
        <v>31</v>
      </c>
    </row>
    <row r="9408" spans="1:22" customFormat="1" ht="15" x14ac:dyDescent="0.25">
      <c r="A9408" t="s">
        <v>289</v>
      </c>
      <c r="E9408" s="1561" t="s">
        <v>3688</v>
      </c>
      <c r="F9408" s="1561"/>
      <c r="G9408" s="584" t="s">
        <v>845</v>
      </c>
      <c r="H9408" s="577">
        <v>2.6200000000000001E-2</v>
      </c>
      <c r="K9408" t="s">
        <v>3785</v>
      </c>
      <c r="L9408" t="s">
        <v>690</v>
      </c>
      <c r="P9408" t="s">
        <v>3789</v>
      </c>
      <c r="V9408">
        <v>28</v>
      </c>
    </row>
    <row r="9409" spans="1:22" customFormat="1" ht="15" x14ac:dyDescent="0.25">
      <c r="A9409" t="s">
        <v>289</v>
      </c>
      <c r="E9409" s="1561" t="s">
        <v>910</v>
      </c>
      <c r="F9409" s="1561"/>
      <c r="G9409" s="584" t="s">
        <v>845</v>
      </c>
      <c r="H9409" s="577">
        <v>2E-3</v>
      </c>
      <c r="K9409" t="s">
        <v>3785</v>
      </c>
      <c r="L9409" t="s">
        <v>692</v>
      </c>
      <c r="P9409" t="s">
        <v>3790</v>
      </c>
      <c r="V9409">
        <v>24</v>
      </c>
    </row>
    <row r="9410" spans="1:22" customFormat="1" ht="15" x14ac:dyDescent="0.25">
      <c r="A9410" t="s">
        <v>289</v>
      </c>
      <c r="E9410" s="1561" t="s">
        <v>6888</v>
      </c>
      <c r="F9410" s="1561"/>
      <c r="G9410" s="584" t="s">
        <v>845</v>
      </c>
      <c r="H9410" s="577">
        <v>1E-4</v>
      </c>
      <c r="K9410" t="s">
        <v>3785</v>
      </c>
      <c r="L9410" t="s">
        <v>692</v>
      </c>
      <c r="P9410" t="s">
        <v>3791</v>
      </c>
      <c r="T9410">
        <v>46142</v>
      </c>
      <c r="V9410">
        <v>132</v>
      </c>
    </row>
    <row r="9411" spans="1:22" customFormat="1" ht="15" x14ac:dyDescent="0.25">
      <c r="A9411" t="s">
        <v>289</v>
      </c>
      <c r="E9411" s="1561" t="s">
        <v>6889</v>
      </c>
      <c r="F9411" s="1561"/>
      <c r="G9411" s="584" t="s">
        <v>845</v>
      </c>
      <c r="H9411" s="577">
        <v>3.0000000000000001E-3</v>
      </c>
      <c r="K9411" t="s">
        <v>3785</v>
      </c>
      <c r="L9411" t="s">
        <v>692</v>
      </c>
      <c r="P9411" t="s">
        <v>3792</v>
      </c>
      <c r="T9411">
        <v>46142</v>
      </c>
      <c r="V9411">
        <v>143</v>
      </c>
    </row>
    <row r="9412" spans="1:22" customFormat="1" ht="15" x14ac:dyDescent="0.25">
      <c r="A9412" t="s">
        <v>289</v>
      </c>
      <c r="E9412" s="1561" t="s">
        <v>6887</v>
      </c>
      <c r="F9412" s="1561"/>
      <c r="G9412" s="584" t="s">
        <v>845</v>
      </c>
      <c r="H9412" s="577">
        <v>-4.4999999999999997E-3</v>
      </c>
      <c r="K9412" t="s">
        <v>3785</v>
      </c>
      <c r="L9412" t="s">
        <v>690</v>
      </c>
      <c r="P9412" t="s">
        <v>6900</v>
      </c>
      <c r="T9412">
        <v>46142</v>
      </c>
      <c r="V9412">
        <v>79</v>
      </c>
    </row>
    <row r="9413" spans="1:22" customFormat="1" ht="15" x14ac:dyDescent="0.25">
      <c r="A9413" t="s">
        <v>289</v>
      </c>
      <c r="E9413" s="1561" t="s">
        <v>6890</v>
      </c>
      <c r="F9413" s="1561"/>
      <c r="G9413" s="584" t="s">
        <v>845</v>
      </c>
      <c r="H9413" s="577">
        <v>-5.0000000000000001E-4</v>
      </c>
      <c r="K9413" t="s">
        <v>3785</v>
      </c>
      <c r="L9413" t="s">
        <v>690</v>
      </c>
      <c r="P9413" t="s">
        <v>6901</v>
      </c>
      <c r="T9413">
        <v>46142</v>
      </c>
      <c r="V9413">
        <v>54</v>
      </c>
    </row>
    <row r="9414" spans="1:22" customFormat="1" ht="15" x14ac:dyDescent="0.25">
      <c r="A9414" t="s">
        <v>289</v>
      </c>
      <c r="E9414" s="1561" t="s">
        <v>243</v>
      </c>
      <c r="F9414" s="1561"/>
      <c r="G9414" s="584" t="s">
        <v>845</v>
      </c>
      <c r="H9414" s="577">
        <v>1.2800000000000001E-2</v>
      </c>
      <c r="K9414" t="s">
        <v>3785</v>
      </c>
      <c r="L9414" t="s">
        <v>694</v>
      </c>
      <c r="P9414" t="s">
        <v>3793</v>
      </c>
      <c r="V9414">
        <v>47</v>
      </c>
    </row>
    <row r="9415" spans="1:22" customFormat="1" ht="15" x14ac:dyDescent="0.25">
      <c r="A9415" t="s">
        <v>289</v>
      </c>
      <c r="E9415" s="1561" t="s">
        <v>175</v>
      </c>
      <c r="F9415" s="1561"/>
      <c r="G9415" s="584" t="s">
        <v>845</v>
      </c>
      <c r="H9415" s="577">
        <v>4.7999999999999996E-3</v>
      </c>
      <c r="K9415" t="s">
        <v>3785</v>
      </c>
      <c r="L9415" t="s">
        <v>694</v>
      </c>
      <c r="P9415" t="s">
        <v>3794</v>
      </c>
      <c r="V9415">
        <v>74</v>
      </c>
    </row>
    <row r="9416" spans="1:22" customFormat="1" ht="15" x14ac:dyDescent="0.25">
      <c r="A9416" t="s">
        <v>289</v>
      </c>
      <c r="E9416" s="1596" t="s">
        <v>967</v>
      </c>
      <c r="F9416" s="1561"/>
      <c r="G9416" s="584"/>
      <c r="H9416" s="584"/>
      <c r="K9416" t="s">
        <v>1019</v>
      </c>
      <c r="V9416">
        <v>48</v>
      </c>
    </row>
    <row r="9417" spans="1:22" customFormat="1" ht="15" x14ac:dyDescent="0.25">
      <c r="A9417" t="s">
        <v>289</v>
      </c>
      <c r="E9417" s="1561" t="s">
        <v>844</v>
      </c>
      <c r="F9417" s="1561"/>
      <c r="G9417" s="584" t="s">
        <v>845</v>
      </c>
      <c r="H9417" s="577">
        <v>4.1000000000000003E-3</v>
      </c>
      <c r="K9417" t="s">
        <v>3785</v>
      </c>
      <c r="L9417" t="s">
        <v>968</v>
      </c>
      <c r="P9417" t="s">
        <v>3795</v>
      </c>
      <c r="V9417">
        <v>55</v>
      </c>
    </row>
    <row r="9418" spans="1:22" customFormat="1" ht="15" x14ac:dyDescent="0.25">
      <c r="A9418" t="s">
        <v>289</v>
      </c>
      <c r="E9418" s="1561" t="s">
        <v>846</v>
      </c>
      <c r="F9418" s="1561"/>
      <c r="G9418" s="584" t="s">
        <v>845</v>
      </c>
      <c r="H9418" s="577">
        <v>4.0000000000000002E-4</v>
      </c>
      <c r="K9418" t="s">
        <v>3785</v>
      </c>
      <c r="L9418" t="s">
        <v>968</v>
      </c>
      <c r="P9418" t="s">
        <v>3795</v>
      </c>
      <c r="V9418">
        <v>65</v>
      </c>
    </row>
    <row r="9419" spans="1:22" customFormat="1" ht="15" x14ac:dyDescent="0.25">
      <c r="A9419" t="s">
        <v>289</v>
      </c>
      <c r="E9419" s="1561" t="s">
        <v>847</v>
      </c>
      <c r="F9419" s="1561"/>
      <c r="G9419" s="584" t="s">
        <v>845</v>
      </c>
      <c r="H9419" s="577">
        <v>1.4E-3</v>
      </c>
      <c r="K9419" t="s">
        <v>3785</v>
      </c>
      <c r="L9419" t="s">
        <v>968</v>
      </c>
      <c r="P9419" t="s">
        <v>3796</v>
      </c>
      <c r="V9419">
        <v>57</v>
      </c>
    </row>
    <row r="9420" spans="1:22" customFormat="1" ht="15" x14ac:dyDescent="0.25">
      <c r="A9420" t="s">
        <v>289</v>
      </c>
      <c r="E9420" s="1561" t="s">
        <v>848</v>
      </c>
      <c r="F9420" s="1561"/>
      <c r="G9420" s="584" t="s">
        <v>777</v>
      </c>
      <c r="H9420" s="576">
        <v>0.25</v>
      </c>
      <c r="K9420" t="s">
        <v>3785</v>
      </c>
      <c r="L9420" t="s">
        <v>968</v>
      </c>
      <c r="P9420" t="s">
        <v>3797</v>
      </c>
      <c r="V9420">
        <v>63</v>
      </c>
    </row>
    <row r="9421" spans="1:22" customFormat="1" x14ac:dyDescent="0.25">
      <c r="A9421" t="s">
        <v>289</v>
      </c>
      <c r="E9421" s="1492" t="s">
        <v>202</v>
      </c>
      <c r="F9421" s="1493"/>
      <c r="G9421" s="1493"/>
      <c r="H9421" s="1493"/>
      <c r="K9421" t="s">
        <v>4447</v>
      </c>
      <c r="V9421">
        <v>38</v>
      </c>
    </row>
    <row r="9422" spans="1:22" customFormat="1" ht="15" x14ac:dyDescent="0.25">
      <c r="A9422" t="s">
        <v>289</v>
      </c>
      <c r="E9422" s="1516" t="s">
        <v>5000</v>
      </c>
      <c r="F9422" s="1516"/>
      <c r="G9422" s="1516"/>
      <c r="H9422" s="1516"/>
      <c r="K9422" t="s">
        <v>4447</v>
      </c>
      <c r="V9422">
        <v>551</v>
      </c>
    </row>
    <row r="9423" spans="1:22" customFormat="1" ht="15" x14ac:dyDescent="0.25">
      <c r="A9423" t="s">
        <v>289</v>
      </c>
      <c r="E9423" s="1515" t="s">
        <v>950</v>
      </c>
      <c r="F9423" s="1516"/>
      <c r="G9423" s="1516"/>
      <c r="H9423" s="1516"/>
      <c r="K9423" t="s">
        <v>1025</v>
      </c>
      <c r="V9423">
        <v>11</v>
      </c>
    </row>
    <row r="9424" spans="1:22" customFormat="1" ht="15" x14ac:dyDescent="0.25">
      <c r="A9424" t="s">
        <v>289</v>
      </c>
      <c r="E9424" s="1516" t="s">
        <v>951</v>
      </c>
      <c r="F9424" s="1516"/>
      <c r="G9424" s="1516"/>
      <c r="H9424" s="1516"/>
      <c r="K9424" t="s">
        <v>4447</v>
      </c>
      <c r="V9424">
        <v>280</v>
      </c>
    </row>
    <row r="9425" spans="1:22" customFormat="1" ht="15" x14ac:dyDescent="0.25">
      <c r="A9425" t="s">
        <v>289</v>
      </c>
      <c r="E9425" s="1516" t="s">
        <v>952</v>
      </c>
      <c r="F9425" s="1516"/>
      <c r="G9425" s="1516"/>
      <c r="H9425" s="1516"/>
      <c r="K9425" t="s">
        <v>4447</v>
      </c>
      <c r="V9425">
        <v>411</v>
      </c>
    </row>
    <row r="9426" spans="1:22" customFormat="1" ht="15" x14ac:dyDescent="0.25">
      <c r="A9426" t="s">
        <v>289</v>
      </c>
      <c r="E9426" s="1516" t="s">
        <v>953</v>
      </c>
      <c r="F9426" s="1516"/>
      <c r="G9426" s="1516"/>
      <c r="H9426" s="1516"/>
      <c r="K9426" t="s">
        <v>4447</v>
      </c>
      <c r="V9426">
        <v>386</v>
      </c>
    </row>
    <row r="9427" spans="1:22" customFormat="1" ht="15" x14ac:dyDescent="0.25">
      <c r="A9427" t="s">
        <v>289</v>
      </c>
      <c r="E9427" s="1516" t="s">
        <v>954</v>
      </c>
      <c r="F9427" s="1516"/>
      <c r="G9427" s="1516"/>
      <c r="H9427" s="1516"/>
      <c r="K9427" t="s">
        <v>4447</v>
      </c>
      <c r="V9427">
        <v>246</v>
      </c>
    </row>
    <row r="9428" spans="1:22" customFormat="1" ht="15" x14ac:dyDescent="0.25">
      <c r="A9428" t="s">
        <v>289</v>
      </c>
      <c r="E9428" s="1596" t="s">
        <v>956</v>
      </c>
      <c r="F9428" s="1572"/>
      <c r="G9428" s="1572"/>
      <c r="H9428" s="1572"/>
      <c r="K9428" t="s">
        <v>1026</v>
      </c>
      <c r="V9428">
        <v>46</v>
      </c>
    </row>
    <row r="9429" spans="1:22" customFormat="1" ht="15" x14ac:dyDescent="0.25">
      <c r="A9429" t="s">
        <v>289</v>
      </c>
      <c r="E9429" s="1561" t="s">
        <v>3874</v>
      </c>
      <c r="F9429" s="1561"/>
      <c r="G9429" s="584" t="s">
        <v>777</v>
      </c>
      <c r="H9429" s="576">
        <v>11.47</v>
      </c>
      <c r="K9429" t="s">
        <v>4447</v>
      </c>
      <c r="L9429" t="s">
        <v>690</v>
      </c>
      <c r="P9429" t="s">
        <v>4450</v>
      </c>
      <c r="V9429">
        <v>31</v>
      </c>
    </row>
    <row r="9430" spans="1:22" customFormat="1" ht="15" x14ac:dyDescent="0.25">
      <c r="A9430" t="s">
        <v>289</v>
      </c>
      <c r="E9430" s="1561" t="s">
        <v>3688</v>
      </c>
      <c r="F9430" s="1561"/>
      <c r="G9430" s="584" t="s">
        <v>3775</v>
      </c>
      <c r="H9430" s="577">
        <v>13.4925</v>
      </c>
      <c r="K9430" t="s">
        <v>4447</v>
      </c>
      <c r="L9430" t="s">
        <v>690</v>
      </c>
      <c r="P9430" t="s">
        <v>4451</v>
      </c>
      <c r="V9430">
        <v>28</v>
      </c>
    </row>
    <row r="9431" spans="1:22" customFormat="1" ht="15" x14ac:dyDescent="0.25">
      <c r="A9431" t="s">
        <v>289</v>
      </c>
      <c r="E9431" s="1561" t="s">
        <v>910</v>
      </c>
      <c r="F9431" s="1561"/>
      <c r="G9431" s="584" t="s">
        <v>3775</v>
      </c>
      <c r="H9431" s="577">
        <v>0.58069999999999999</v>
      </c>
      <c r="K9431" t="s">
        <v>4447</v>
      </c>
      <c r="L9431" t="s">
        <v>692</v>
      </c>
      <c r="P9431" t="s">
        <v>4484</v>
      </c>
      <c r="V9431">
        <v>24</v>
      </c>
    </row>
    <row r="9432" spans="1:22" customFormat="1" ht="15" x14ac:dyDescent="0.25">
      <c r="A9432" t="s">
        <v>289</v>
      </c>
      <c r="E9432" s="1561" t="s">
        <v>5522</v>
      </c>
      <c r="F9432" s="1561"/>
      <c r="G9432" s="584" t="s">
        <v>3775</v>
      </c>
      <c r="H9432" s="577">
        <v>-3.1300000000000001E-2</v>
      </c>
      <c r="K9432" t="s">
        <v>4447</v>
      </c>
      <c r="L9432" t="s">
        <v>692</v>
      </c>
      <c r="P9432" t="s">
        <v>4453</v>
      </c>
      <c r="T9432">
        <v>46142</v>
      </c>
      <c r="V9432">
        <v>89</v>
      </c>
    </row>
    <row r="9433" spans="1:22" customFormat="1" ht="15" x14ac:dyDescent="0.25">
      <c r="A9433" t="s">
        <v>289</v>
      </c>
      <c r="E9433" s="1561" t="s">
        <v>6888</v>
      </c>
      <c r="F9433" s="1561"/>
      <c r="G9433" s="584" t="s">
        <v>3775</v>
      </c>
      <c r="H9433" s="577">
        <v>3.9699999999999999E-2</v>
      </c>
      <c r="K9433" t="s">
        <v>4447</v>
      </c>
      <c r="L9433" t="s">
        <v>692</v>
      </c>
      <c r="P9433" t="s">
        <v>4455</v>
      </c>
      <c r="T9433">
        <v>46142</v>
      </c>
      <c r="V9433">
        <v>132</v>
      </c>
    </row>
    <row r="9434" spans="1:22" customFormat="1" ht="15" x14ac:dyDescent="0.25">
      <c r="A9434" t="s">
        <v>289</v>
      </c>
      <c r="E9434" s="1561" t="s">
        <v>6889</v>
      </c>
      <c r="F9434" s="1561"/>
      <c r="G9434" s="584" t="s">
        <v>845</v>
      </c>
      <c r="H9434" s="577">
        <v>3.0000000000000001E-3</v>
      </c>
      <c r="K9434" t="s">
        <v>4447</v>
      </c>
      <c r="L9434" t="s">
        <v>692</v>
      </c>
      <c r="P9434" t="s">
        <v>4453</v>
      </c>
      <c r="T9434">
        <v>46142</v>
      </c>
      <c r="V9434">
        <v>143</v>
      </c>
    </row>
    <row r="9435" spans="1:22" customFormat="1" ht="15" x14ac:dyDescent="0.25">
      <c r="A9435" t="s">
        <v>289</v>
      </c>
      <c r="E9435" s="1561" t="s">
        <v>6887</v>
      </c>
      <c r="F9435" s="1561"/>
      <c r="G9435" s="584" t="s">
        <v>3775</v>
      </c>
      <c r="H9435" s="577">
        <v>-16.4117</v>
      </c>
      <c r="K9435" t="s">
        <v>4447</v>
      </c>
      <c r="L9435" t="s">
        <v>690</v>
      </c>
      <c r="P9435" t="s">
        <v>6902</v>
      </c>
      <c r="T9435">
        <v>46142</v>
      </c>
      <c r="V9435">
        <v>79</v>
      </c>
    </row>
    <row r="9436" spans="1:22" customFormat="1" ht="15" x14ac:dyDescent="0.25">
      <c r="A9436" t="s">
        <v>289</v>
      </c>
      <c r="E9436" s="1561" t="s">
        <v>6890</v>
      </c>
      <c r="F9436" s="1561"/>
      <c r="G9436" s="584" t="s">
        <v>3775</v>
      </c>
      <c r="H9436" s="577">
        <v>-0.30080000000000001</v>
      </c>
      <c r="K9436" t="s">
        <v>4447</v>
      </c>
      <c r="L9436" t="s">
        <v>690</v>
      </c>
      <c r="P9436" t="s">
        <v>6903</v>
      </c>
      <c r="T9436">
        <v>46142</v>
      </c>
      <c r="V9436">
        <v>54</v>
      </c>
    </row>
    <row r="9437" spans="1:22" customFormat="1" ht="15" x14ac:dyDescent="0.25">
      <c r="A9437" t="s">
        <v>289</v>
      </c>
      <c r="E9437" s="1561" t="s">
        <v>243</v>
      </c>
      <c r="F9437" s="1561"/>
      <c r="G9437" s="584" t="s">
        <v>3775</v>
      </c>
      <c r="H9437" s="577">
        <v>3.8586999999999998</v>
      </c>
      <c r="K9437" t="s">
        <v>4447</v>
      </c>
      <c r="L9437" t="s">
        <v>694</v>
      </c>
      <c r="P9437" t="s">
        <v>4456</v>
      </c>
      <c r="V9437">
        <v>47</v>
      </c>
    </row>
    <row r="9438" spans="1:22" customFormat="1" ht="15" x14ac:dyDescent="0.25">
      <c r="A9438" t="s">
        <v>289</v>
      </c>
      <c r="E9438" s="1561" t="s">
        <v>175</v>
      </c>
      <c r="F9438" s="1561"/>
      <c r="G9438" s="584" t="s">
        <v>3775</v>
      </c>
      <c r="H9438" s="577">
        <v>1.4698</v>
      </c>
      <c r="K9438" t="s">
        <v>4447</v>
      </c>
      <c r="L9438" t="s">
        <v>694</v>
      </c>
      <c r="P9438" t="s">
        <v>4485</v>
      </c>
      <c r="V9438">
        <v>74</v>
      </c>
    </row>
    <row r="9439" spans="1:22" customFormat="1" ht="15" x14ac:dyDescent="0.25">
      <c r="A9439" t="s">
        <v>289</v>
      </c>
      <c r="E9439" s="1596" t="s">
        <v>967</v>
      </c>
      <c r="F9439" s="1561"/>
      <c r="G9439" s="584"/>
      <c r="H9439" s="584"/>
      <c r="K9439" t="s">
        <v>1035</v>
      </c>
      <c r="V9439">
        <v>48</v>
      </c>
    </row>
    <row r="9440" spans="1:22" customFormat="1" ht="15" x14ac:dyDescent="0.25">
      <c r="A9440" t="s">
        <v>289</v>
      </c>
      <c r="E9440" s="1561" t="s">
        <v>844</v>
      </c>
      <c r="F9440" s="1561"/>
      <c r="G9440" s="584" t="s">
        <v>845</v>
      </c>
      <c r="H9440" s="577">
        <v>4.1000000000000003E-3</v>
      </c>
      <c r="K9440" t="s">
        <v>4447</v>
      </c>
      <c r="L9440" t="s">
        <v>968</v>
      </c>
      <c r="P9440" t="s">
        <v>4458</v>
      </c>
      <c r="V9440">
        <v>55</v>
      </c>
    </row>
    <row r="9441" spans="1:22" customFormat="1" ht="15" x14ac:dyDescent="0.25">
      <c r="A9441" t="s">
        <v>289</v>
      </c>
      <c r="E9441" s="1561" t="s">
        <v>846</v>
      </c>
      <c r="F9441" s="1561"/>
      <c r="G9441" s="584" t="s">
        <v>845</v>
      </c>
      <c r="H9441" s="577">
        <v>4.0000000000000002E-4</v>
      </c>
      <c r="K9441" t="s">
        <v>4447</v>
      </c>
      <c r="L9441" t="s">
        <v>968</v>
      </c>
      <c r="P9441" t="s">
        <v>4458</v>
      </c>
      <c r="V9441">
        <v>65</v>
      </c>
    </row>
    <row r="9442" spans="1:22" customFormat="1" ht="15" x14ac:dyDescent="0.25">
      <c r="A9442" t="s">
        <v>289</v>
      </c>
      <c r="E9442" s="1561" t="s">
        <v>847</v>
      </c>
      <c r="F9442" s="1561"/>
      <c r="G9442" s="584" t="s">
        <v>845</v>
      </c>
      <c r="H9442" s="577">
        <v>1.4E-3</v>
      </c>
      <c r="K9442" t="s">
        <v>4447</v>
      </c>
      <c r="L9442" t="s">
        <v>968</v>
      </c>
      <c r="P9442" t="s">
        <v>4459</v>
      </c>
      <c r="V9442">
        <v>57</v>
      </c>
    </row>
    <row r="9443" spans="1:22" customFormat="1" ht="15" x14ac:dyDescent="0.25">
      <c r="A9443" t="s">
        <v>289</v>
      </c>
      <c r="E9443" s="1561" t="s">
        <v>848</v>
      </c>
      <c r="F9443" s="1561"/>
      <c r="G9443" s="584" t="s">
        <v>777</v>
      </c>
      <c r="H9443" s="576">
        <v>0.25</v>
      </c>
      <c r="K9443" t="s">
        <v>4447</v>
      </c>
      <c r="L9443" t="s">
        <v>968</v>
      </c>
      <c r="P9443" t="s">
        <v>4460</v>
      </c>
      <c r="V9443">
        <v>63</v>
      </c>
    </row>
    <row r="9444" spans="1:22" customFormat="1" x14ac:dyDescent="0.25">
      <c r="A9444" t="s">
        <v>289</v>
      </c>
      <c r="E9444" s="1492" t="s">
        <v>207</v>
      </c>
      <c r="F9444" s="1493"/>
      <c r="G9444" s="1493"/>
      <c r="H9444" s="1493"/>
      <c r="K9444" t="s">
        <v>4461</v>
      </c>
      <c r="V9444">
        <v>31</v>
      </c>
    </row>
    <row r="9445" spans="1:22" customFormat="1" ht="15" x14ac:dyDescent="0.25">
      <c r="A9445" t="s">
        <v>289</v>
      </c>
      <c r="E9445" s="1516" t="s">
        <v>4620</v>
      </c>
      <c r="F9445" s="1516"/>
      <c r="G9445" s="1516"/>
      <c r="H9445" s="1516"/>
      <c r="K9445" t="s">
        <v>4461</v>
      </c>
      <c r="V9445">
        <v>285</v>
      </c>
    </row>
    <row r="9446" spans="1:22" customFormat="1" ht="15" x14ac:dyDescent="0.25">
      <c r="A9446" t="s">
        <v>289</v>
      </c>
      <c r="E9446" s="1515" t="s">
        <v>950</v>
      </c>
      <c r="F9446" s="1516"/>
      <c r="G9446" s="1516"/>
      <c r="H9446" s="1516"/>
      <c r="K9446" t="s">
        <v>1041</v>
      </c>
      <c r="V9446">
        <v>11</v>
      </c>
    </row>
    <row r="9447" spans="1:22" customFormat="1" ht="15" x14ac:dyDescent="0.25">
      <c r="A9447" t="s">
        <v>289</v>
      </c>
      <c r="E9447" s="1516" t="s">
        <v>951</v>
      </c>
      <c r="F9447" s="1516"/>
      <c r="G9447" s="1516"/>
      <c r="H9447" s="1516"/>
      <c r="K9447" t="s">
        <v>4461</v>
      </c>
      <c r="V9447">
        <v>280</v>
      </c>
    </row>
    <row r="9448" spans="1:22" customFormat="1" ht="15" x14ac:dyDescent="0.25">
      <c r="A9448" t="s">
        <v>289</v>
      </c>
      <c r="E9448" s="1516" t="s">
        <v>952</v>
      </c>
      <c r="F9448" s="1516"/>
      <c r="G9448" s="1516"/>
      <c r="H9448" s="1516"/>
      <c r="K9448" t="s">
        <v>4461</v>
      </c>
      <c r="V9448">
        <v>411</v>
      </c>
    </row>
    <row r="9449" spans="1:22" customFormat="1" ht="15" x14ac:dyDescent="0.25">
      <c r="A9449" t="s">
        <v>289</v>
      </c>
      <c r="E9449" s="1516" t="s">
        <v>1103</v>
      </c>
      <c r="F9449" s="1516"/>
      <c r="G9449" s="1516"/>
      <c r="H9449" s="1516"/>
      <c r="K9449" t="s">
        <v>4461</v>
      </c>
      <c r="V9449">
        <v>211</v>
      </c>
    </row>
    <row r="9450" spans="1:22" customFormat="1" ht="15" x14ac:dyDescent="0.25">
      <c r="A9450" t="s">
        <v>289</v>
      </c>
      <c r="E9450" s="1516" t="s">
        <v>954</v>
      </c>
      <c r="F9450" s="1516"/>
      <c r="G9450" s="1516"/>
      <c r="H9450" s="1516"/>
      <c r="K9450" t="s">
        <v>4461</v>
      </c>
      <c r="V9450">
        <v>246</v>
      </c>
    </row>
    <row r="9451" spans="1:22" customFormat="1" ht="15" x14ac:dyDescent="0.25">
      <c r="A9451" t="s">
        <v>289</v>
      </c>
      <c r="E9451" s="1596" t="s">
        <v>956</v>
      </c>
      <c r="F9451" s="1572"/>
      <c r="G9451" s="1572"/>
      <c r="H9451" s="1572"/>
      <c r="K9451" t="s">
        <v>1042</v>
      </c>
      <c r="V9451">
        <v>46</v>
      </c>
    </row>
    <row r="9452" spans="1:22" customFormat="1" ht="15" x14ac:dyDescent="0.25">
      <c r="A9452" t="s">
        <v>289</v>
      </c>
      <c r="E9452" s="1561" t="s">
        <v>3773</v>
      </c>
      <c r="F9452" s="1561"/>
      <c r="G9452" s="584" t="s">
        <v>777</v>
      </c>
      <c r="H9452" s="576">
        <v>5</v>
      </c>
      <c r="K9452" t="s">
        <v>4461</v>
      </c>
      <c r="L9452" t="s">
        <v>690</v>
      </c>
      <c r="P9452" t="s">
        <v>4462</v>
      </c>
      <c r="V9452">
        <v>14</v>
      </c>
    </row>
    <row r="9453" spans="1:22" customFormat="1" x14ac:dyDescent="0.25">
      <c r="A9453" t="s">
        <v>289</v>
      </c>
      <c r="E9453" s="1647" t="s">
        <v>3825</v>
      </c>
      <c r="F9453" s="1647"/>
      <c r="G9453" s="861"/>
      <c r="H9453" s="777"/>
      <c r="K9453" t="s">
        <v>5558</v>
      </c>
      <c r="V9453">
        <v>10</v>
      </c>
    </row>
    <row r="9454" spans="1:22" customFormat="1" ht="15" x14ac:dyDescent="0.25">
      <c r="A9454" t="s">
        <v>289</v>
      </c>
      <c r="E9454" s="1561" t="s">
        <v>1078</v>
      </c>
      <c r="F9454" s="1561"/>
      <c r="G9454" s="584" t="s">
        <v>3775</v>
      </c>
      <c r="H9454" s="608">
        <v>-0.6</v>
      </c>
      <c r="V9454">
        <v>68</v>
      </c>
    </row>
    <row r="9455" spans="1:22" customFormat="1" ht="15" x14ac:dyDescent="0.25">
      <c r="A9455" t="s">
        <v>289</v>
      </c>
      <c r="E9455" s="1561" t="s">
        <v>1079</v>
      </c>
      <c r="F9455" s="1561"/>
      <c r="G9455" s="584" t="s">
        <v>1118</v>
      </c>
      <c r="H9455" s="663">
        <v>-1</v>
      </c>
      <c r="V9455">
        <v>87</v>
      </c>
    </row>
    <row r="9456" spans="1:22" customFormat="1" x14ac:dyDescent="0.25">
      <c r="A9456" t="s">
        <v>289</v>
      </c>
      <c r="E9456" s="1647" t="s">
        <v>3828</v>
      </c>
      <c r="F9456" s="1648"/>
      <c r="G9456" s="778"/>
      <c r="H9456" s="779"/>
      <c r="K9456" t="s">
        <v>5559</v>
      </c>
      <c r="V9456">
        <v>24</v>
      </c>
    </row>
    <row r="9457" spans="1:22" customFormat="1" ht="15" x14ac:dyDescent="0.25">
      <c r="A9457" t="s">
        <v>289</v>
      </c>
      <c r="E9457" s="1549" t="s">
        <v>950</v>
      </c>
      <c r="F9457" s="1516"/>
      <c r="G9457" s="1516"/>
      <c r="H9457" s="1516"/>
      <c r="V9457">
        <v>11</v>
      </c>
    </row>
    <row r="9458" spans="1:22" customFormat="1" ht="15" x14ac:dyDescent="0.25">
      <c r="A9458" t="s">
        <v>289</v>
      </c>
      <c r="E9458" s="1516" t="s">
        <v>951</v>
      </c>
      <c r="F9458" s="1516"/>
      <c r="G9458" s="1516"/>
      <c r="H9458" s="1516"/>
      <c r="V9458">
        <v>280</v>
      </c>
    </row>
    <row r="9459" spans="1:22" customFormat="1" ht="15" x14ac:dyDescent="0.25">
      <c r="A9459" t="s">
        <v>289</v>
      </c>
      <c r="E9459" s="1516" t="s">
        <v>1081</v>
      </c>
      <c r="F9459" s="1516"/>
      <c r="G9459" s="1516"/>
      <c r="H9459" s="1516"/>
      <c r="V9459">
        <v>353</v>
      </c>
    </row>
    <row r="9460" spans="1:22" customFormat="1" ht="15" x14ac:dyDescent="0.25">
      <c r="A9460" t="s">
        <v>289</v>
      </c>
      <c r="E9460" s="1516" t="s">
        <v>954</v>
      </c>
      <c r="F9460" s="1516"/>
      <c r="G9460" s="1516"/>
      <c r="H9460" s="1516"/>
      <c r="V9460">
        <v>246</v>
      </c>
    </row>
    <row r="9461" spans="1:22" customFormat="1" ht="15" x14ac:dyDescent="0.25">
      <c r="A9461" t="s">
        <v>289</v>
      </c>
      <c r="E9461" s="839" t="s">
        <v>3830</v>
      </c>
      <c r="F9461" s="1"/>
      <c r="G9461" s="1"/>
      <c r="H9461" s="649"/>
      <c r="K9461" t="s">
        <v>5560</v>
      </c>
      <c r="V9461">
        <v>23</v>
      </c>
    </row>
    <row r="9462" spans="1:22" customFormat="1" ht="15" x14ac:dyDescent="0.25">
      <c r="A9462" t="s">
        <v>289</v>
      </c>
      <c r="E9462" s="1569" t="s">
        <v>3832</v>
      </c>
      <c r="F9462" s="1569"/>
      <c r="G9462" s="584" t="s">
        <v>777</v>
      </c>
      <c r="H9462" s="576">
        <v>15</v>
      </c>
      <c r="V9462">
        <v>19</v>
      </c>
    </row>
    <row r="9463" spans="1:22" customFormat="1" ht="15" x14ac:dyDescent="0.25">
      <c r="A9463" t="s">
        <v>289</v>
      </c>
      <c r="E9463" s="1569" t="s">
        <v>3836</v>
      </c>
      <c r="F9463" s="1569"/>
      <c r="G9463" s="584" t="s">
        <v>777</v>
      </c>
      <c r="H9463" s="576">
        <v>15</v>
      </c>
      <c r="V9463">
        <v>35</v>
      </c>
    </row>
    <row r="9464" spans="1:22" customFormat="1" ht="15" x14ac:dyDescent="0.25">
      <c r="A9464" t="s">
        <v>289</v>
      </c>
      <c r="E9464" s="1569" t="s">
        <v>3833</v>
      </c>
      <c r="F9464" s="1569"/>
      <c r="G9464" s="584" t="s">
        <v>777</v>
      </c>
      <c r="H9464" s="576">
        <v>15</v>
      </c>
      <c r="V9464">
        <v>20</v>
      </c>
    </row>
    <row r="9465" spans="1:22" customFormat="1" ht="15" x14ac:dyDescent="0.25">
      <c r="A9465" t="s">
        <v>289</v>
      </c>
      <c r="E9465" s="1569" t="s">
        <v>4058</v>
      </c>
      <c r="F9465" s="1569"/>
      <c r="G9465" s="584" t="s">
        <v>777</v>
      </c>
      <c r="H9465" s="576">
        <v>15</v>
      </c>
      <c r="V9465">
        <v>15</v>
      </c>
    </row>
    <row r="9466" spans="1:22" customFormat="1" ht="15" x14ac:dyDescent="0.25">
      <c r="A9466" t="s">
        <v>289</v>
      </c>
      <c r="E9466" s="1569" t="s">
        <v>4055</v>
      </c>
      <c r="F9466" s="1569"/>
      <c r="G9466" s="584" t="s">
        <v>777</v>
      </c>
      <c r="H9466" s="576">
        <v>15</v>
      </c>
      <c r="V9466">
        <v>37</v>
      </c>
    </row>
    <row r="9467" spans="1:22" customFormat="1" ht="15" x14ac:dyDescent="0.25">
      <c r="A9467" t="s">
        <v>289</v>
      </c>
      <c r="E9467" s="1569" t="s">
        <v>3837</v>
      </c>
      <c r="F9467" s="1569"/>
      <c r="G9467" s="584" t="s">
        <v>777</v>
      </c>
      <c r="H9467" s="576">
        <v>30</v>
      </c>
      <c r="V9467">
        <v>89</v>
      </c>
    </row>
    <row r="9468" spans="1:22" customFormat="1" ht="15" x14ac:dyDescent="0.25">
      <c r="A9468" t="s">
        <v>289</v>
      </c>
      <c r="E9468" s="1569" t="s">
        <v>3838</v>
      </c>
      <c r="F9468" s="1569"/>
      <c r="G9468" s="584" t="s">
        <v>777</v>
      </c>
      <c r="H9468" s="576">
        <v>30</v>
      </c>
      <c r="V9468">
        <v>74</v>
      </c>
    </row>
    <row r="9469" spans="1:22" customFormat="1" ht="15" x14ac:dyDescent="0.25">
      <c r="A9469" t="s">
        <v>289</v>
      </c>
      <c r="E9469" s="1569" t="s">
        <v>3842</v>
      </c>
      <c r="F9469" s="1569"/>
      <c r="G9469" s="584" t="s">
        <v>777</v>
      </c>
      <c r="H9469" s="576">
        <v>65</v>
      </c>
      <c r="V9469">
        <v>44</v>
      </c>
    </row>
    <row r="9470" spans="1:22" customFormat="1" ht="15" x14ac:dyDescent="0.25">
      <c r="A9470" t="s">
        <v>289</v>
      </c>
      <c r="E9470" s="1569" t="s">
        <v>3843</v>
      </c>
      <c r="F9470" s="1569"/>
      <c r="G9470" s="584" t="s">
        <v>777</v>
      </c>
      <c r="H9470" s="576">
        <v>185</v>
      </c>
      <c r="V9470">
        <v>43</v>
      </c>
    </row>
    <row r="9471" spans="1:22" customFormat="1" ht="15" x14ac:dyDescent="0.25">
      <c r="A9471" t="s">
        <v>289</v>
      </c>
      <c r="E9471" s="859" t="s">
        <v>4062</v>
      </c>
      <c r="F9471" s="1"/>
      <c r="G9471" s="1"/>
      <c r="H9471" s="649"/>
      <c r="K9471" t="s">
        <v>5561</v>
      </c>
      <c r="V9471">
        <v>22</v>
      </c>
    </row>
    <row r="9472" spans="1:22" customFormat="1" ht="15" x14ac:dyDescent="0.25">
      <c r="A9472" t="s">
        <v>289</v>
      </c>
      <c r="E9472" s="1569" t="s">
        <v>4700</v>
      </c>
      <c r="F9472" s="1569"/>
      <c r="G9472" s="584"/>
      <c r="H9472" s="650"/>
      <c r="V9472">
        <v>24</v>
      </c>
    </row>
    <row r="9473" spans="1:22" customFormat="1" ht="15" x14ac:dyDescent="0.25">
      <c r="A9473" t="s">
        <v>289</v>
      </c>
      <c r="E9473" s="1569" t="s">
        <v>4982</v>
      </c>
      <c r="F9473" s="1569"/>
      <c r="G9473" s="584" t="s">
        <v>1118</v>
      </c>
      <c r="H9473" s="576">
        <v>1.5</v>
      </c>
      <c r="V9473">
        <v>79</v>
      </c>
    </row>
    <row r="9474" spans="1:22" customFormat="1" ht="15" x14ac:dyDescent="0.25">
      <c r="A9474" t="s">
        <v>289</v>
      </c>
      <c r="E9474" s="1569" t="s">
        <v>3842</v>
      </c>
      <c r="F9474" s="1569"/>
      <c r="G9474" s="584" t="s">
        <v>777</v>
      </c>
      <c r="H9474" s="576">
        <v>65</v>
      </c>
      <c r="V9474">
        <v>44</v>
      </c>
    </row>
    <row r="9475" spans="1:22" customFormat="1" ht="15" x14ac:dyDescent="0.25">
      <c r="A9475" t="s">
        <v>289</v>
      </c>
      <c r="E9475" s="1569" t="s">
        <v>3843</v>
      </c>
      <c r="F9475" s="1569"/>
      <c r="G9475" s="584" t="s">
        <v>777</v>
      </c>
      <c r="H9475" s="576">
        <v>185</v>
      </c>
      <c r="V9475">
        <v>43</v>
      </c>
    </row>
    <row r="9476" spans="1:22" customFormat="1" ht="15" x14ac:dyDescent="0.25">
      <c r="A9476" t="s">
        <v>289</v>
      </c>
      <c r="E9476" s="839" t="s">
        <v>3846</v>
      </c>
      <c r="F9476" s="1"/>
      <c r="G9476" s="1"/>
      <c r="H9476" s="649"/>
      <c r="V9476">
        <v>5</v>
      </c>
    </row>
    <row r="9477" spans="1:22" customFormat="1" ht="15" x14ac:dyDescent="0.25">
      <c r="A9477" t="s">
        <v>289</v>
      </c>
      <c r="E9477" s="1569" t="s">
        <v>5562</v>
      </c>
      <c r="F9477" s="1569"/>
      <c r="G9477" s="584" t="s">
        <v>777</v>
      </c>
      <c r="H9477" s="576">
        <v>39.14</v>
      </c>
      <c r="V9477">
        <v>110</v>
      </c>
    </row>
    <row r="9478" spans="1:22" customFormat="1" ht="18.75" x14ac:dyDescent="0.3">
      <c r="A9478" t="s">
        <v>289</v>
      </c>
      <c r="E9478" s="1647" t="s">
        <v>3851</v>
      </c>
      <c r="F9478" s="1648"/>
      <c r="G9478" s="381"/>
      <c r="H9478" s="382"/>
      <c r="K9478" t="s">
        <v>5563</v>
      </c>
      <c r="V9478">
        <v>38</v>
      </c>
    </row>
    <row r="9479" spans="1:22" customFormat="1" ht="15" x14ac:dyDescent="0.25">
      <c r="A9479" t="s">
        <v>289</v>
      </c>
      <c r="E9479" s="1549" t="s">
        <v>950</v>
      </c>
      <c r="F9479" s="1516"/>
      <c r="G9479" s="1516"/>
      <c r="H9479" s="1516"/>
      <c r="K9479" t="s">
        <v>1041</v>
      </c>
      <c r="V9479">
        <v>11</v>
      </c>
    </row>
    <row r="9480" spans="1:22" customFormat="1" ht="15" x14ac:dyDescent="0.25">
      <c r="A9480" t="s">
        <v>289</v>
      </c>
      <c r="E9480" s="1516" t="s">
        <v>951</v>
      </c>
      <c r="F9480" s="1516"/>
      <c r="G9480" s="1516"/>
      <c r="H9480" s="1516"/>
      <c r="V9480">
        <v>280</v>
      </c>
    </row>
    <row r="9481" spans="1:22" customFormat="1" ht="15" x14ac:dyDescent="0.25">
      <c r="A9481" t="s">
        <v>289</v>
      </c>
      <c r="E9481" s="1516" t="s">
        <v>952</v>
      </c>
      <c r="F9481" s="1516"/>
      <c r="G9481" s="1516"/>
      <c r="H9481" s="1516"/>
      <c r="V9481">
        <v>411</v>
      </c>
    </row>
    <row r="9482" spans="1:22" customFormat="1" ht="15" x14ac:dyDescent="0.25">
      <c r="A9482" t="s">
        <v>289</v>
      </c>
      <c r="E9482" s="1516" t="s">
        <v>1103</v>
      </c>
      <c r="F9482" s="1516"/>
      <c r="G9482" s="1516"/>
      <c r="H9482" s="1516"/>
      <c r="V9482">
        <v>211</v>
      </c>
    </row>
    <row r="9483" spans="1:22" customFormat="1" ht="15" x14ac:dyDescent="0.25">
      <c r="A9483" t="s">
        <v>289</v>
      </c>
      <c r="E9483" s="1516" t="s">
        <v>954</v>
      </c>
      <c r="F9483" s="1516"/>
      <c r="G9483" s="1516"/>
      <c r="H9483" s="1516"/>
      <c r="V9483">
        <v>246</v>
      </c>
    </row>
    <row r="9484" spans="1:22" customFormat="1" ht="15" x14ac:dyDescent="0.25">
      <c r="A9484" t="s">
        <v>289</v>
      </c>
      <c r="E9484" s="1561" t="s">
        <v>1104</v>
      </c>
      <c r="F9484" s="1561"/>
      <c r="G9484" s="1572"/>
      <c r="H9484" s="1572"/>
      <c r="V9484">
        <v>142</v>
      </c>
    </row>
    <row r="9485" spans="1:22" customFormat="1" ht="15" x14ac:dyDescent="0.25">
      <c r="A9485" t="s">
        <v>289</v>
      </c>
      <c r="E9485" s="1561" t="s">
        <v>849</v>
      </c>
      <c r="F9485" s="1561"/>
      <c r="G9485" s="585" t="s">
        <v>777</v>
      </c>
      <c r="H9485" s="349">
        <v>121.23</v>
      </c>
      <c r="V9485">
        <v>106</v>
      </c>
    </row>
    <row r="9486" spans="1:22" customFormat="1" ht="15" x14ac:dyDescent="0.25">
      <c r="A9486" t="s">
        <v>289</v>
      </c>
      <c r="E9486" s="1561" t="s">
        <v>850</v>
      </c>
      <c r="F9486" s="1561"/>
      <c r="G9486" s="585" t="s">
        <v>777</v>
      </c>
      <c r="H9486" s="349">
        <v>48.5</v>
      </c>
      <c r="V9486">
        <v>34</v>
      </c>
    </row>
    <row r="9487" spans="1:22" customFormat="1" ht="15" x14ac:dyDescent="0.25">
      <c r="A9487" t="s">
        <v>289</v>
      </c>
      <c r="E9487" s="1561" t="s">
        <v>851</v>
      </c>
      <c r="F9487" s="1561"/>
      <c r="G9487" s="585" t="s">
        <v>852</v>
      </c>
      <c r="H9487" s="349">
        <v>1.2</v>
      </c>
      <c r="V9487">
        <v>51</v>
      </c>
    </row>
    <row r="9488" spans="1:22" customFormat="1" ht="15" x14ac:dyDescent="0.25">
      <c r="A9488" t="s">
        <v>289</v>
      </c>
      <c r="E9488" s="1561" t="s">
        <v>853</v>
      </c>
      <c r="F9488" s="1561"/>
      <c r="G9488" s="585" t="s">
        <v>852</v>
      </c>
      <c r="H9488" s="349">
        <v>0.71</v>
      </c>
      <c r="V9488">
        <v>75</v>
      </c>
    </row>
    <row r="9489" spans="1:22" customFormat="1" ht="15" x14ac:dyDescent="0.25">
      <c r="A9489" t="s">
        <v>289</v>
      </c>
      <c r="E9489" s="1561" t="s">
        <v>854</v>
      </c>
      <c r="F9489" s="1561"/>
      <c r="G9489" s="585" t="s">
        <v>852</v>
      </c>
      <c r="H9489" s="349">
        <v>-0.71</v>
      </c>
      <c r="V9489">
        <v>72</v>
      </c>
    </row>
    <row r="9490" spans="1:22" customFormat="1" ht="15" x14ac:dyDescent="0.25">
      <c r="A9490" t="s">
        <v>289</v>
      </c>
      <c r="E9490" s="1574" t="s">
        <v>855</v>
      </c>
      <c r="F9490" s="1574"/>
      <c r="G9490" s="585"/>
      <c r="H9490" s="651"/>
      <c r="V9490">
        <v>34</v>
      </c>
    </row>
    <row r="9491" spans="1:22" customFormat="1" ht="15" x14ac:dyDescent="0.25">
      <c r="A9491" t="s">
        <v>289</v>
      </c>
      <c r="E9491" s="1574" t="s">
        <v>1106</v>
      </c>
      <c r="F9491" s="1574"/>
      <c r="G9491" s="585" t="s">
        <v>777</v>
      </c>
      <c r="H9491" s="349">
        <v>0.61</v>
      </c>
      <c r="V9491">
        <v>57</v>
      </c>
    </row>
    <row r="9492" spans="1:22" customFormat="1" ht="15" x14ac:dyDescent="0.25">
      <c r="A9492" t="s">
        <v>289</v>
      </c>
      <c r="E9492" s="1574" t="s">
        <v>1107</v>
      </c>
      <c r="F9492" s="1574"/>
      <c r="G9492" s="585" t="s">
        <v>777</v>
      </c>
      <c r="H9492" s="349">
        <v>1.2</v>
      </c>
      <c r="V9492">
        <v>60</v>
      </c>
    </row>
    <row r="9493" spans="1:22" customFormat="1" ht="15" x14ac:dyDescent="0.25">
      <c r="A9493" t="s">
        <v>289</v>
      </c>
      <c r="E9493" s="1561" t="s">
        <v>1108</v>
      </c>
      <c r="F9493" s="1561"/>
      <c r="G9493" s="585"/>
      <c r="H9493" s="651"/>
      <c r="V9493">
        <v>91</v>
      </c>
    </row>
    <row r="9494" spans="1:22" customFormat="1" ht="15" x14ac:dyDescent="0.25">
      <c r="A9494" t="s">
        <v>289</v>
      </c>
      <c r="E9494" s="1561" t="s">
        <v>1109</v>
      </c>
      <c r="F9494" s="1561"/>
      <c r="G9494" s="585"/>
      <c r="H9494" s="651"/>
      <c r="V9494">
        <v>96</v>
      </c>
    </row>
    <row r="9495" spans="1:22" customFormat="1" ht="15" x14ac:dyDescent="0.25">
      <c r="A9495" t="s">
        <v>289</v>
      </c>
      <c r="E9495" s="1574" t="s">
        <v>856</v>
      </c>
      <c r="F9495" s="1574"/>
      <c r="G9495" s="585"/>
      <c r="H9495" s="651"/>
      <c r="V9495">
        <v>77</v>
      </c>
    </row>
    <row r="9496" spans="1:22" customFormat="1" ht="15" x14ac:dyDescent="0.25">
      <c r="A9496" t="s">
        <v>289</v>
      </c>
      <c r="E9496" s="1574" t="s">
        <v>1111</v>
      </c>
      <c r="F9496" s="1574"/>
      <c r="G9496" s="585" t="s">
        <v>777</v>
      </c>
      <c r="H9496" s="651" t="s">
        <v>857</v>
      </c>
      <c r="V9496">
        <v>18</v>
      </c>
    </row>
    <row r="9497" spans="1:22" customFormat="1" ht="15" x14ac:dyDescent="0.25">
      <c r="A9497" t="s">
        <v>289</v>
      </c>
      <c r="E9497" s="1511" t="s">
        <v>1112</v>
      </c>
      <c r="F9497" s="1511"/>
      <c r="G9497" s="585" t="s">
        <v>777</v>
      </c>
      <c r="H9497" s="349">
        <v>4.8499999999999996</v>
      </c>
      <c r="V9497">
        <v>69</v>
      </c>
    </row>
    <row r="9498" spans="1:22" customFormat="1" ht="15" x14ac:dyDescent="0.25">
      <c r="A9498" t="s">
        <v>289</v>
      </c>
      <c r="E9498" s="1507" t="s">
        <v>858</v>
      </c>
      <c r="F9498" s="1507"/>
      <c r="G9498" s="268" t="s">
        <v>777</v>
      </c>
      <c r="H9498" s="576">
        <v>2.42</v>
      </c>
      <c r="V9498">
        <v>199</v>
      </c>
    </row>
    <row r="9499" spans="1:22" customFormat="1" ht="18.75" x14ac:dyDescent="0.25">
      <c r="A9499" t="s">
        <v>289</v>
      </c>
      <c r="E9499" s="840" t="s">
        <v>3853</v>
      </c>
      <c r="F9499" s="476"/>
      <c r="G9499" s="476"/>
      <c r="H9499" s="475"/>
      <c r="K9499" t="s">
        <v>5564</v>
      </c>
      <c r="V9499">
        <v>12</v>
      </c>
    </row>
    <row r="9500" spans="1:22" customFormat="1" ht="15" x14ac:dyDescent="0.25">
      <c r="A9500" t="s">
        <v>289</v>
      </c>
      <c r="E9500" s="1507" t="s">
        <v>1114</v>
      </c>
      <c r="F9500" s="1507"/>
      <c r="G9500" s="1507"/>
      <c r="H9500" s="1507"/>
      <c r="V9500">
        <v>203</v>
      </c>
    </row>
    <row r="9501" spans="1:22" customFormat="1" ht="15" x14ac:dyDescent="0.25">
      <c r="A9501" t="s">
        <v>289</v>
      </c>
      <c r="E9501" s="1561" t="s">
        <v>1115</v>
      </c>
      <c r="F9501" s="1561"/>
      <c r="G9501" s="584"/>
      <c r="H9501" s="650">
        <v>1.0563</v>
      </c>
      <c r="V9501">
        <v>57</v>
      </c>
    </row>
    <row r="9502" spans="1:22" customFormat="1" ht="15" x14ac:dyDescent="0.25">
      <c r="A9502" t="s">
        <v>289</v>
      </c>
      <c r="E9502" s="1561" t="s">
        <v>1117</v>
      </c>
      <c r="F9502" s="1561"/>
      <c r="G9502" s="584"/>
      <c r="H9502" s="650">
        <v>1.0457000000000001</v>
      </c>
      <c r="J9502" t="s">
        <v>5565</v>
      </c>
      <c r="V9502">
        <v>55</v>
      </c>
    </row>
    <row r="9503" spans="1:22" customFormat="1" ht="23.25" x14ac:dyDescent="0.25">
      <c r="A9503" t="s">
        <v>293</v>
      </c>
      <c r="C9503" t="s">
        <v>3755</v>
      </c>
      <c r="E9503" s="1576" t="s">
        <v>293</v>
      </c>
      <c r="F9503" s="1576"/>
      <c r="G9503" s="1576"/>
      <c r="H9503" s="1576"/>
      <c r="I9503" t="s">
        <v>94</v>
      </c>
      <c r="J9503" t="s">
        <v>5566</v>
      </c>
      <c r="K9503" t="s">
        <v>293</v>
      </c>
      <c r="M9503">
        <v>7</v>
      </c>
      <c r="V9503">
        <v>25</v>
      </c>
    </row>
    <row r="9504" spans="1:22" customFormat="1" x14ac:dyDescent="0.25">
      <c r="A9504" t="s">
        <v>293</v>
      </c>
      <c r="C9504" t="s">
        <v>3757</v>
      </c>
      <c r="E9504" s="1577" t="s">
        <v>944</v>
      </c>
      <c r="F9504" s="1577"/>
      <c r="G9504" s="1577"/>
      <c r="H9504" s="1577"/>
      <c r="V9504">
        <v>27</v>
      </c>
    </row>
    <row r="9505" spans="1:22" customFormat="1" ht="15.75" x14ac:dyDescent="0.25">
      <c r="A9505" t="s">
        <v>293</v>
      </c>
      <c r="C9505" t="s">
        <v>3758</v>
      </c>
      <c r="E9505" s="1543" t="s">
        <v>6847</v>
      </c>
      <c r="F9505" s="1543"/>
      <c r="G9505" s="1543"/>
      <c r="H9505" s="1543"/>
      <c r="S9505">
        <v>45778</v>
      </c>
      <c r="V9505">
        <v>45</v>
      </c>
    </row>
    <row r="9506" spans="1:22" customFormat="1" ht="15" x14ac:dyDescent="0.25">
      <c r="A9506" t="s">
        <v>293</v>
      </c>
      <c r="C9506" t="s">
        <v>3759</v>
      </c>
      <c r="E9506" s="1575" t="s">
        <v>945</v>
      </c>
      <c r="F9506" s="1575"/>
      <c r="G9506" s="1575"/>
      <c r="H9506" s="1575"/>
      <c r="V9506">
        <v>52</v>
      </c>
    </row>
    <row r="9507" spans="1:22" customFormat="1" ht="15" x14ac:dyDescent="0.25">
      <c r="A9507" t="s">
        <v>293</v>
      </c>
      <c r="E9507" s="1575" t="s">
        <v>946</v>
      </c>
      <c r="F9507" s="1575"/>
      <c r="G9507" s="1575"/>
      <c r="H9507" s="1575"/>
      <c r="V9507">
        <v>53</v>
      </c>
    </row>
    <row r="9508" spans="1:22" customFormat="1" ht="15" x14ac:dyDescent="0.25">
      <c r="A9508" t="s">
        <v>293</v>
      </c>
      <c r="E9508" s="1534" t="s">
        <v>6904</v>
      </c>
      <c r="F9508" s="1534"/>
      <c r="G9508" s="1534"/>
      <c r="H9508" s="1534"/>
      <c r="K9508" t="s">
        <v>6904</v>
      </c>
      <c r="V9508">
        <v>12</v>
      </c>
    </row>
    <row r="9509" spans="1:22" customFormat="1" ht="15" x14ac:dyDescent="0.25">
      <c r="A9509" t="s">
        <v>293</v>
      </c>
      <c r="E9509" s="1538" t="s">
        <v>170</v>
      </c>
      <c r="F9509" s="1496"/>
      <c r="G9509" s="1496"/>
      <c r="H9509" s="1496"/>
      <c r="K9509" t="s">
        <v>947</v>
      </c>
      <c r="V9509">
        <v>34</v>
      </c>
    </row>
    <row r="9510" spans="1:22" customFormat="1" ht="15" x14ac:dyDescent="0.25">
      <c r="A9510" t="s">
        <v>293</v>
      </c>
      <c r="E9510" s="1496" t="s">
        <v>5567</v>
      </c>
      <c r="F9510" s="1496"/>
      <c r="G9510" s="1496"/>
      <c r="H9510" s="1496"/>
      <c r="K9510" t="s">
        <v>947</v>
      </c>
      <c r="V9510">
        <v>417</v>
      </c>
    </row>
    <row r="9511" spans="1:22" customFormat="1" ht="15" x14ac:dyDescent="0.25">
      <c r="A9511" t="s">
        <v>293</v>
      </c>
      <c r="E9511" s="1533" t="s">
        <v>950</v>
      </c>
      <c r="F9511" s="1496"/>
      <c r="G9511" s="1496"/>
      <c r="H9511" s="1496"/>
      <c r="K9511" t="s">
        <v>949</v>
      </c>
      <c r="V9511">
        <v>11</v>
      </c>
    </row>
    <row r="9512" spans="1:22" customFormat="1" ht="15" x14ac:dyDescent="0.25">
      <c r="A9512" t="s">
        <v>293</v>
      </c>
      <c r="E9512" s="1496" t="s">
        <v>951</v>
      </c>
      <c r="F9512" s="1496"/>
      <c r="G9512" s="1496"/>
      <c r="H9512" s="1496"/>
      <c r="K9512" t="s">
        <v>947</v>
      </c>
      <c r="V9512">
        <v>280</v>
      </c>
    </row>
    <row r="9513" spans="1:22" customFormat="1" ht="15" x14ac:dyDescent="0.25">
      <c r="A9513" t="s">
        <v>293</v>
      </c>
      <c r="E9513" s="1496" t="s">
        <v>952</v>
      </c>
      <c r="F9513" s="1496"/>
      <c r="G9513" s="1496"/>
      <c r="H9513" s="1496"/>
      <c r="K9513" t="s">
        <v>947</v>
      </c>
      <c r="V9513">
        <v>411</v>
      </c>
    </row>
    <row r="9514" spans="1:22" customFormat="1" ht="15" x14ac:dyDescent="0.25">
      <c r="A9514" t="s">
        <v>293</v>
      </c>
      <c r="E9514" s="1496" t="s">
        <v>3761</v>
      </c>
      <c r="F9514" s="1496"/>
      <c r="G9514" s="1496"/>
      <c r="H9514" s="1496"/>
      <c r="K9514" t="s">
        <v>947</v>
      </c>
      <c r="V9514">
        <v>387</v>
      </c>
    </row>
    <row r="9515" spans="1:22" customFormat="1" ht="15" x14ac:dyDescent="0.25">
      <c r="A9515" t="s">
        <v>293</v>
      </c>
      <c r="E9515" s="1496" t="s">
        <v>3762</v>
      </c>
      <c r="F9515" s="1496"/>
      <c r="G9515" s="1496"/>
      <c r="H9515" s="1496"/>
      <c r="K9515" t="s">
        <v>947</v>
      </c>
      <c r="V9515">
        <v>247</v>
      </c>
    </row>
    <row r="9516" spans="1:22" customFormat="1" ht="15" x14ac:dyDescent="0.25">
      <c r="A9516" t="s">
        <v>293</v>
      </c>
      <c r="E9516" s="1533" t="s">
        <v>956</v>
      </c>
      <c r="F9516" s="1496"/>
      <c r="G9516" s="1496"/>
      <c r="H9516" s="1496"/>
      <c r="K9516" t="s">
        <v>955</v>
      </c>
      <c r="V9516">
        <v>46</v>
      </c>
    </row>
    <row r="9517" spans="1:22" customFormat="1" ht="15" x14ac:dyDescent="0.25">
      <c r="A9517" t="s">
        <v>293</v>
      </c>
      <c r="E9517" s="1524" t="s">
        <v>3773</v>
      </c>
      <c r="F9517" s="1524"/>
      <c r="G9517" s="360" t="s">
        <v>777</v>
      </c>
      <c r="H9517" s="953">
        <v>33.29</v>
      </c>
      <c r="K9517" t="s">
        <v>947</v>
      </c>
      <c r="L9517" t="s">
        <v>690</v>
      </c>
      <c r="P9517" t="s">
        <v>957</v>
      </c>
      <c r="V9517">
        <v>14</v>
      </c>
    </row>
    <row r="9518" spans="1:22" customFormat="1" ht="15" x14ac:dyDescent="0.25">
      <c r="A9518" t="s">
        <v>293</v>
      </c>
      <c r="E9518" s="1524" t="s">
        <v>960</v>
      </c>
      <c r="F9518" s="1524"/>
      <c r="G9518" s="360" t="s">
        <v>777</v>
      </c>
      <c r="H9518" s="604">
        <v>0.42</v>
      </c>
      <c r="K9518" t="s">
        <v>947</v>
      </c>
      <c r="L9518" t="s">
        <v>692</v>
      </c>
      <c r="P9518" t="s">
        <v>959</v>
      </c>
      <c r="V9518">
        <v>64</v>
      </c>
    </row>
    <row r="9519" spans="1:22" customFormat="1" ht="15" x14ac:dyDescent="0.25">
      <c r="A9519" t="s">
        <v>293</v>
      </c>
      <c r="E9519" s="1524" t="s">
        <v>6905</v>
      </c>
      <c r="F9519" s="1468"/>
      <c r="G9519" s="360" t="s">
        <v>777</v>
      </c>
      <c r="H9519" s="604">
        <v>-0.16</v>
      </c>
      <c r="K9519" t="s">
        <v>947</v>
      </c>
      <c r="L9519" t="s">
        <v>690</v>
      </c>
      <c r="P9519" t="s">
        <v>4787</v>
      </c>
      <c r="T9519">
        <v>46142</v>
      </c>
      <c r="V9519">
        <v>80</v>
      </c>
    </row>
    <row r="9520" spans="1:22" customFormat="1" ht="15" x14ac:dyDescent="0.25">
      <c r="A9520" t="s">
        <v>293</v>
      </c>
      <c r="E9520" s="1524" t="s">
        <v>910</v>
      </c>
      <c r="F9520" s="1524"/>
      <c r="G9520" s="360" t="s">
        <v>845</v>
      </c>
      <c r="H9520" s="605">
        <v>3.3999999999999998E-3</v>
      </c>
      <c r="K9520" t="s">
        <v>947</v>
      </c>
      <c r="L9520" t="s">
        <v>692</v>
      </c>
      <c r="P9520" t="s">
        <v>961</v>
      </c>
      <c r="V9520">
        <v>24</v>
      </c>
    </row>
    <row r="9521" spans="1:22" customFormat="1" ht="15" x14ac:dyDescent="0.25">
      <c r="A9521" t="s">
        <v>293</v>
      </c>
      <c r="E9521" s="1524" t="s">
        <v>243</v>
      </c>
      <c r="F9521" s="1524"/>
      <c r="G9521" s="360" t="s">
        <v>845</v>
      </c>
      <c r="H9521" s="432">
        <v>1.0800000000000001E-2</v>
      </c>
      <c r="K9521" t="s">
        <v>947</v>
      </c>
      <c r="L9521" t="s">
        <v>694</v>
      </c>
      <c r="P9521" t="s">
        <v>964</v>
      </c>
      <c r="V9521">
        <v>47</v>
      </c>
    </row>
    <row r="9522" spans="1:22" customFormat="1" ht="15" x14ac:dyDescent="0.25">
      <c r="A9522" t="s">
        <v>293</v>
      </c>
      <c r="E9522" s="1524" t="s">
        <v>175</v>
      </c>
      <c r="F9522" s="1524"/>
      <c r="G9522" s="360" t="s">
        <v>845</v>
      </c>
      <c r="H9522" s="432">
        <v>7.1999999999999998E-3</v>
      </c>
      <c r="K9522" t="s">
        <v>947</v>
      </c>
      <c r="L9522" t="s">
        <v>694</v>
      </c>
      <c r="P9522" t="s">
        <v>965</v>
      </c>
      <c r="V9522">
        <v>74</v>
      </c>
    </row>
    <row r="9523" spans="1:22" customFormat="1" ht="15" x14ac:dyDescent="0.25">
      <c r="A9523" t="s">
        <v>293</v>
      </c>
      <c r="E9523" s="1533" t="s">
        <v>967</v>
      </c>
      <c r="F9523" s="1524"/>
      <c r="G9523" s="360"/>
      <c r="H9523" s="360"/>
      <c r="K9523" t="s">
        <v>966</v>
      </c>
      <c r="V9523">
        <v>48</v>
      </c>
    </row>
    <row r="9524" spans="1:22" customFormat="1" ht="15" x14ac:dyDescent="0.25">
      <c r="A9524" t="s">
        <v>293</v>
      </c>
      <c r="E9524" s="1524" t="s">
        <v>844</v>
      </c>
      <c r="F9524" s="1524"/>
      <c r="G9524" s="360" t="s">
        <v>845</v>
      </c>
      <c r="H9524" s="605">
        <v>4.1000000000000003E-3</v>
      </c>
      <c r="K9524" t="s">
        <v>947</v>
      </c>
      <c r="L9524" t="s">
        <v>968</v>
      </c>
      <c r="P9524" t="s">
        <v>969</v>
      </c>
      <c r="V9524">
        <v>55</v>
      </c>
    </row>
    <row r="9525" spans="1:22" customFormat="1" ht="15" x14ac:dyDescent="0.25">
      <c r="A9525" t="s">
        <v>293</v>
      </c>
      <c r="E9525" s="1524" t="s">
        <v>846</v>
      </c>
      <c r="F9525" s="1524"/>
      <c r="G9525" s="360" t="s">
        <v>845</v>
      </c>
      <c r="H9525" s="605">
        <v>4.0000000000000002E-4</v>
      </c>
      <c r="K9525" t="s">
        <v>947</v>
      </c>
      <c r="L9525" t="s">
        <v>968</v>
      </c>
      <c r="P9525" t="s">
        <v>969</v>
      </c>
      <c r="V9525">
        <v>65</v>
      </c>
    </row>
    <row r="9526" spans="1:22" customFormat="1" ht="15" x14ac:dyDescent="0.25">
      <c r="A9526" t="s">
        <v>293</v>
      </c>
      <c r="E9526" s="1524" t="s">
        <v>847</v>
      </c>
      <c r="F9526" s="1524"/>
      <c r="G9526" s="360" t="s">
        <v>845</v>
      </c>
      <c r="H9526" s="605">
        <v>1.5E-3</v>
      </c>
      <c r="K9526" t="s">
        <v>947</v>
      </c>
      <c r="L9526" t="s">
        <v>968</v>
      </c>
      <c r="P9526" t="s">
        <v>970</v>
      </c>
      <c r="V9526">
        <v>57</v>
      </c>
    </row>
    <row r="9527" spans="1:22" customFormat="1" ht="15" x14ac:dyDescent="0.25">
      <c r="A9527" t="s">
        <v>293</v>
      </c>
      <c r="E9527" s="1524" t="s">
        <v>848</v>
      </c>
      <c r="F9527" s="1524"/>
      <c r="G9527" s="360" t="s">
        <v>777</v>
      </c>
      <c r="H9527" s="604">
        <v>0.25</v>
      </c>
      <c r="K9527" t="s">
        <v>947</v>
      </c>
      <c r="L9527" t="s">
        <v>968</v>
      </c>
      <c r="P9527" t="s">
        <v>971</v>
      </c>
      <c r="V9527">
        <v>63</v>
      </c>
    </row>
    <row r="9528" spans="1:22" customFormat="1" x14ac:dyDescent="0.25">
      <c r="A9528" t="s">
        <v>293</v>
      </c>
      <c r="E9528" s="1538" t="s">
        <v>174</v>
      </c>
      <c r="F9528" s="1571"/>
      <c r="G9528" s="1571"/>
      <c r="H9528" s="1571"/>
      <c r="K9528" t="s">
        <v>972</v>
      </c>
      <c r="V9528">
        <v>54</v>
      </c>
    </row>
    <row r="9529" spans="1:22" customFormat="1" ht="15" x14ac:dyDescent="0.25">
      <c r="A9529" t="s">
        <v>293</v>
      </c>
      <c r="E9529" s="1496" t="s">
        <v>5569</v>
      </c>
      <c r="F9529" s="1496"/>
      <c r="G9529" s="1496"/>
      <c r="H9529" s="1496"/>
      <c r="K9529" t="s">
        <v>972</v>
      </c>
      <c r="V9529">
        <v>318</v>
      </c>
    </row>
    <row r="9530" spans="1:22" customFormat="1" ht="15" x14ac:dyDescent="0.25">
      <c r="A9530" t="s">
        <v>293</v>
      </c>
      <c r="E9530" s="1533" t="s">
        <v>950</v>
      </c>
      <c r="F9530" s="1496"/>
      <c r="G9530" s="1496"/>
      <c r="H9530" s="1496"/>
      <c r="K9530" t="s">
        <v>974</v>
      </c>
      <c r="V9530">
        <v>11</v>
      </c>
    </row>
    <row r="9531" spans="1:22" customFormat="1" ht="15" x14ac:dyDescent="0.25">
      <c r="A9531" t="s">
        <v>293</v>
      </c>
      <c r="E9531" s="1496" t="s">
        <v>951</v>
      </c>
      <c r="F9531" s="1496"/>
      <c r="G9531" s="1496"/>
      <c r="H9531" s="1496"/>
      <c r="K9531" t="s">
        <v>972</v>
      </c>
      <c r="V9531">
        <v>280</v>
      </c>
    </row>
    <row r="9532" spans="1:22" customFormat="1" ht="15" x14ac:dyDescent="0.25">
      <c r="A9532" t="s">
        <v>293</v>
      </c>
      <c r="E9532" s="1496" t="s">
        <v>952</v>
      </c>
      <c r="F9532" s="1496"/>
      <c r="G9532" s="1496"/>
      <c r="H9532" s="1496"/>
      <c r="K9532" t="s">
        <v>972</v>
      </c>
      <c r="V9532">
        <v>411</v>
      </c>
    </row>
    <row r="9533" spans="1:22" customFormat="1" ht="15" x14ac:dyDescent="0.25">
      <c r="A9533" t="s">
        <v>293</v>
      </c>
      <c r="E9533" s="1496" t="s">
        <v>3761</v>
      </c>
      <c r="F9533" s="1496"/>
      <c r="G9533" s="1496"/>
      <c r="H9533" s="1496"/>
      <c r="K9533" t="s">
        <v>972</v>
      </c>
      <c r="V9533">
        <v>387</v>
      </c>
    </row>
    <row r="9534" spans="1:22" customFormat="1" ht="15" x14ac:dyDescent="0.25">
      <c r="A9534" t="s">
        <v>293</v>
      </c>
      <c r="E9534" s="1496" t="s">
        <v>3762</v>
      </c>
      <c r="F9534" s="1496"/>
      <c r="G9534" s="1496"/>
      <c r="H9534" s="1496"/>
      <c r="K9534" t="s">
        <v>972</v>
      </c>
      <c r="V9534">
        <v>247</v>
      </c>
    </row>
    <row r="9535" spans="1:22" customFormat="1" ht="15" x14ac:dyDescent="0.25">
      <c r="A9535" t="s">
        <v>293</v>
      </c>
      <c r="E9535" s="1533" t="s">
        <v>956</v>
      </c>
      <c r="F9535" s="1496"/>
      <c r="G9535" s="1496"/>
      <c r="H9535" s="1496"/>
      <c r="K9535" t="s">
        <v>975</v>
      </c>
      <c r="V9535">
        <v>46</v>
      </c>
    </row>
    <row r="9536" spans="1:22" customFormat="1" ht="15" x14ac:dyDescent="0.25">
      <c r="A9536" t="s">
        <v>293</v>
      </c>
      <c r="E9536" s="1524" t="s">
        <v>3773</v>
      </c>
      <c r="F9536" s="1524"/>
      <c r="G9536" s="360" t="s">
        <v>777</v>
      </c>
      <c r="H9536" s="953">
        <v>37.97</v>
      </c>
      <c r="K9536" t="s">
        <v>972</v>
      </c>
      <c r="L9536" t="s">
        <v>690</v>
      </c>
      <c r="P9536" t="s">
        <v>976</v>
      </c>
      <c r="V9536">
        <v>14</v>
      </c>
    </row>
    <row r="9537" spans="1:22" customFormat="1" ht="15" x14ac:dyDescent="0.25">
      <c r="A9537" t="s">
        <v>293</v>
      </c>
      <c r="E9537" s="1524" t="s">
        <v>960</v>
      </c>
      <c r="F9537" s="1524"/>
      <c r="G9537" s="360" t="s">
        <v>777</v>
      </c>
      <c r="H9537" s="604">
        <v>0.42</v>
      </c>
      <c r="K9537" t="s">
        <v>972</v>
      </c>
      <c r="L9537" t="s">
        <v>692</v>
      </c>
      <c r="P9537" t="s">
        <v>977</v>
      </c>
      <c r="V9537">
        <v>64</v>
      </c>
    </row>
    <row r="9538" spans="1:22" customFormat="1" ht="15" x14ac:dyDescent="0.25">
      <c r="A9538" t="s">
        <v>293</v>
      </c>
      <c r="E9538" s="1524" t="s">
        <v>3688</v>
      </c>
      <c r="F9538" s="1524"/>
      <c r="G9538" s="360" t="s">
        <v>845</v>
      </c>
      <c r="H9538" s="432">
        <v>1.3899999999999999E-2</v>
      </c>
      <c r="K9538" t="s">
        <v>972</v>
      </c>
      <c r="L9538" t="s">
        <v>690</v>
      </c>
      <c r="P9538" t="s">
        <v>978</v>
      </c>
      <c r="V9538">
        <v>28</v>
      </c>
    </row>
    <row r="9539" spans="1:22" customFormat="1" ht="15" x14ac:dyDescent="0.25">
      <c r="A9539" t="s">
        <v>293</v>
      </c>
      <c r="E9539" s="1524" t="s">
        <v>910</v>
      </c>
      <c r="F9539" s="1524"/>
      <c r="G9539" s="360" t="s">
        <v>845</v>
      </c>
      <c r="H9539" s="605">
        <v>3.0999999999999999E-3</v>
      </c>
      <c r="K9539" t="s">
        <v>972</v>
      </c>
      <c r="L9539" t="s">
        <v>692</v>
      </c>
      <c r="P9539" t="s">
        <v>980</v>
      </c>
      <c r="V9539">
        <v>24</v>
      </c>
    </row>
    <row r="9540" spans="1:22" customFormat="1" ht="15" x14ac:dyDescent="0.25">
      <c r="A9540" t="s">
        <v>293</v>
      </c>
      <c r="E9540" s="1524" t="s">
        <v>6905</v>
      </c>
      <c r="F9540" s="1468"/>
      <c r="G9540" s="360" t="s">
        <v>845</v>
      </c>
      <c r="H9540" s="605">
        <v>-1E-4</v>
      </c>
      <c r="K9540" t="s">
        <v>972</v>
      </c>
      <c r="L9540" t="s">
        <v>690</v>
      </c>
      <c r="P9540" t="s">
        <v>4791</v>
      </c>
      <c r="T9540">
        <v>46142</v>
      </c>
      <c r="V9540">
        <v>80</v>
      </c>
    </row>
    <row r="9541" spans="1:22" customFormat="1" ht="15" x14ac:dyDescent="0.25">
      <c r="A9541" t="s">
        <v>293</v>
      </c>
      <c r="E9541" s="1524" t="s">
        <v>243</v>
      </c>
      <c r="F9541" s="1524"/>
      <c r="G9541" s="360" t="s">
        <v>845</v>
      </c>
      <c r="H9541" s="432">
        <v>0.01</v>
      </c>
      <c r="K9541" t="s">
        <v>972</v>
      </c>
      <c r="L9541" t="s">
        <v>694</v>
      </c>
      <c r="P9541" t="s">
        <v>983</v>
      </c>
      <c r="V9541">
        <v>47</v>
      </c>
    </row>
    <row r="9542" spans="1:22" customFormat="1" ht="15" x14ac:dyDescent="0.25">
      <c r="A9542" t="s">
        <v>293</v>
      </c>
      <c r="E9542" s="1524" t="s">
        <v>175</v>
      </c>
      <c r="F9542" s="1524"/>
      <c r="G9542" s="360" t="s">
        <v>845</v>
      </c>
      <c r="H9542" s="432">
        <v>6.4999999999999997E-3</v>
      </c>
      <c r="K9542" t="s">
        <v>972</v>
      </c>
      <c r="L9542" t="s">
        <v>694</v>
      </c>
      <c r="P9542" t="s">
        <v>984</v>
      </c>
      <c r="V9542">
        <v>74</v>
      </c>
    </row>
    <row r="9543" spans="1:22" customFormat="1" ht="15" x14ac:dyDescent="0.25">
      <c r="A9543" t="s">
        <v>293</v>
      </c>
      <c r="E9543" s="1533" t="s">
        <v>967</v>
      </c>
      <c r="F9543" s="1524"/>
      <c r="G9543" s="360"/>
      <c r="H9543" s="360"/>
      <c r="K9543" t="s">
        <v>985</v>
      </c>
      <c r="V9543">
        <v>48</v>
      </c>
    </row>
    <row r="9544" spans="1:22" customFormat="1" ht="15" x14ac:dyDescent="0.25">
      <c r="A9544" t="s">
        <v>293</v>
      </c>
      <c r="E9544" s="1524" t="s">
        <v>844</v>
      </c>
      <c r="F9544" s="1524"/>
      <c r="G9544" s="360" t="s">
        <v>845</v>
      </c>
      <c r="H9544" s="605">
        <v>4.1000000000000003E-3</v>
      </c>
      <c r="K9544" t="s">
        <v>972</v>
      </c>
      <c r="L9544" t="s">
        <v>968</v>
      </c>
      <c r="P9544" t="s">
        <v>986</v>
      </c>
      <c r="V9544">
        <v>55</v>
      </c>
    </row>
    <row r="9545" spans="1:22" customFormat="1" ht="15" x14ac:dyDescent="0.25">
      <c r="A9545" t="s">
        <v>293</v>
      </c>
      <c r="E9545" s="1524" t="s">
        <v>846</v>
      </c>
      <c r="F9545" s="1524"/>
      <c r="G9545" s="360" t="s">
        <v>845</v>
      </c>
      <c r="H9545" s="605">
        <v>4.0000000000000002E-4</v>
      </c>
      <c r="K9545" t="s">
        <v>972</v>
      </c>
      <c r="L9545" t="s">
        <v>968</v>
      </c>
      <c r="P9545" t="s">
        <v>986</v>
      </c>
      <c r="V9545">
        <v>65</v>
      </c>
    </row>
    <row r="9546" spans="1:22" customFormat="1" ht="15" x14ac:dyDescent="0.25">
      <c r="A9546" t="s">
        <v>293</v>
      </c>
      <c r="E9546" s="1524" t="s">
        <v>847</v>
      </c>
      <c r="F9546" s="1524"/>
      <c r="G9546" s="360" t="s">
        <v>845</v>
      </c>
      <c r="H9546" s="605">
        <v>1.5E-3</v>
      </c>
      <c r="K9546" t="s">
        <v>972</v>
      </c>
      <c r="L9546" t="s">
        <v>968</v>
      </c>
      <c r="P9546" t="s">
        <v>987</v>
      </c>
      <c r="V9546">
        <v>57</v>
      </c>
    </row>
    <row r="9547" spans="1:22" customFormat="1" ht="15" x14ac:dyDescent="0.25">
      <c r="A9547" t="s">
        <v>293</v>
      </c>
      <c r="E9547" s="1524" t="s">
        <v>848</v>
      </c>
      <c r="F9547" s="1524"/>
      <c r="G9547" s="360" t="s">
        <v>777</v>
      </c>
      <c r="H9547" s="604">
        <v>0.25</v>
      </c>
      <c r="K9547" t="s">
        <v>972</v>
      </c>
      <c r="L9547" t="s">
        <v>968</v>
      </c>
      <c r="P9547" t="s">
        <v>988</v>
      </c>
      <c r="V9547">
        <v>63</v>
      </c>
    </row>
    <row r="9548" spans="1:22" customFormat="1" x14ac:dyDescent="0.25">
      <c r="A9548" t="s">
        <v>293</v>
      </c>
      <c r="E9548" s="1538" t="s">
        <v>3767</v>
      </c>
      <c r="F9548" s="1571"/>
      <c r="G9548" s="1571"/>
      <c r="H9548" s="1571"/>
      <c r="K9548" t="s">
        <v>3768</v>
      </c>
      <c r="V9548">
        <v>53</v>
      </c>
    </row>
    <row r="9549" spans="1:22" customFormat="1" ht="15" x14ac:dyDescent="0.25">
      <c r="A9549" t="s">
        <v>293</v>
      </c>
      <c r="E9549" s="1496" t="s">
        <v>5570</v>
      </c>
      <c r="F9549" s="1496"/>
      <c r="G9549" s="1496"/>
      <c r="H9549" s="1496"/>
      <c r="K9549" t="s">
        <v>3768</v>
      </c>
      <c r="V9549">
        <v>355</v>
      </c>
    </row>
    <row r="9550" spans="1:22" customFormat="1" ht="15" x14ac:dyDescent="0.25">
      <c r="A9550" t="s">
        <v>293</v>
      </c>
      <c r="E9550" s="1533" t="s">
        <v>950</v>
      </c>
      <c r="F9550" s="1496"/>
      <c r="G9550" s="1496"/>
      <c r="H9550" s="1496"/>
      <c r="K9550" t="s">
        <v>992</v>
      </c>
      <c r="V9550">
        <v>11</v>
      </c>
    </row>
    <row r="9551" spans="1:22" customFormat="1" ht="15" x14ac:dyDescent="0.25">
      <c r="A9551" t="s">
        <v>293</v>
      </c>
      <c r="E9551" s="1496" t="s">
        <v>951</v>
      </c>
      <c r="F9551" s="1496"/>
      <c r="G9551" s="1496"/>
      <c r="H9551" s="1496"/>
      <c r="K9551" t="s">
        <v>3768</v>
      </c>
      <c r="V9551">
        <v>280</v>
      </c>
    </row>
    <row r="9552" spans="1:22" customFormat="1" ht="15" x14ac:dyDescent="0.25">
      <c r="A9552" t="s">
        <v>293</v>
      </c>
      <c r="E9552" s="1496" t="s">
        <v>952</v>
      </c>
      <c r="F9552" s="1496"/>
      <c r="G9552" s="1496"/>
      <c r="H9552" s="1496"/>
      <c r="K9552" t="s">
        <v>3768</v>
      </c>
      <c r="V9552">
        <v>411</v>
      </c>
    </row>
    <row r="9553" spans="1:22" customFormat="1" ht="15" x14ac:dyDescent="0.25">
      <c r="A9553" t="s">
        <v>293</v>
      </c>
      <c r="E9553" s="1496" t="s">
        <v>3761</v>
      </c>
      <c r="F9553" s="1496"/>
      <c r="G9553" s="1496"/>
      <c r="H9553" s="1496"/>
      <c r="K9553" t="s">
        <v>3768</v>
      </c>
      <c r="V9553">
        <v>387</v>
      </c>
    </row>
    <row r="9554" spans="1:22" customFormat="1" ht="15" x14ac:dyDescent="0.25">
      <c r="A9554" t="s">
        <v>293</v>
      </c>
      <c r="E9554" s="1496" t="s">
        <v>5571</v>
      </c>
      <c r="F9554" s="1496"/>
      <c r="G9554" s="1496"/>
      <c r="H9554" s="1496"/>
      <c r="K9554" t="s">
        <v>3768</v>
      </c>
      <c r="V9554">
        <v>678</v>
      </c>
    </row>
    <row r="9555" spans="1:22" customFormat="1" ht="15" x14ac:dyDescent="0.25">
      <c r="A9555" t="s">
        <v>293</v>
      </c>
      <c r="E9555" s="1496" t="s">
        <v>5572</v>
      </c>
      <c r="F9555" s="1496"/>
      <c r="G9555" s="1496"/>
      <c r="H9555" s="1496"/>
      <c r="K9555" t="s">
        <v>3768</v>
      </c>
      <c r="V9555">
        <v>725</v>
      </c>
    </row>
    <row r="9556" spans="1:22" customFormat="1" ht="15" x14ac:dyDescent="0.25">
      <c r="A9556" t="s">
        <v>293</v>
      </c>
      <c r="E9556" s="1496" t="s">
        <v>3762</v>
      </c>
      <c r="F9556" s="1496"/>
      <c r="G9556" s="1496"/>
      <c r="H9556" s="1496"/>
      <c r="K9556" t="s">
        <v>3768</v>
      </c>
      <c r="V9556">
        <v>247</v>
      </c>
    </row>
    <row r="9557" spans="1:22" customFormat="1" ht="15" x14ac:dyDescent="0.25">
      <c r="A9557" t="s">
        <v>293</v>
      </c>
      <c r="E9557" s="1533" t="s">
        <v>956</v>
      </c>
      <c r="F9557" s="1496"/>
      <c r="G9557" s="1496"/>
      <c r="H9557" s="1496"/>
      <c r="K9557" t="s">
        <v>995</v>
      </c>
      <c r="V9557">
        <v>46</v>
      </c>
    </row>
    <row r="9558" spans="1:22" customFormat="1" ht="15" x14ac:dyDescent="0.25">
      <c r="A9558" t="s">
        <v>293</v>
      </c>
      <c r="E9558" s="1524" t="s">
        <v>3773</v>
      </c>
      <c r="F9558" s="1524"/>
      <c r="G9558" s="360" t="s">
        <v>777</v>
      </c>
      <c r="H9558" s="953">
        <v>194.59</v>
      </c>
      <c r="K9558" t="s">
        <v>3768</v>
      </c>
      <c r="L9558" t="s">
        <v>690</v>
      </c>
      <c r="P9558" t="s">
        <v>3774</v>
      </c>
      <c r="V9558">
        <v>14</v>
      </c>
    </row>
    <row r="9559" spans="1:22" customFormat="1" ht="15" x14ac:dyDescent="0.25">
      <c r="A9559" t="s">
        <v>293</v>
      </c>
      <c r="E9559" s="1524" t="s">
        <v>3688</v>
      </c>
      <c r="F9559" s="1524"/>
      <c r="G9559" s="360" t="s">
        <v>3775</v>
      </c>
      <c r="H9559" s="432">
        <v>2.9830000000000001</v>
      </c>
      <c r="K9559" t="s">
        <v>3768</v>
      </c>
      <c r="L9559" t="s">
        <v>690</v>
      </c>
      <c r="P9559" t="s">
        <v>3776</v>
      </c>
      <c r="V9559">
        <v>28</v>
      </c>
    </row>
    <row r="9560" spans="1:22" customFormat="1" ht="15" x14ac:dyDescent="0.25">
      <c r="A9560" t="s">
        <v>293</v>
      </c>
      <c r="E9560" s="1524" t="s">
        <v>910</v>
      </c>
      <c r="F9560" s="1524"/>
      <c r="G9560" s="360" t="s">
        <v>3775</v>
      </c>
      <c r="H9560" s="605">
        <v>1.2248000000000001</v>
      </c>
      <c r="K9560" t="s">
        <v>3768</v>
      </c>
      <c r="L9560" t="s">
        <v>692</v>
      </c>
      <c r="P9560" t="s">
        <v>3777</v>
      </c>
      <c r="V9560">
        <v>24</v>
      </c>
    </row>
    <row r="9561" spans="1:22" customFormat="1" ht="15" x14ac:dyDescent="0.25">
      <c r="A9561" t="s">
        <v>293</v>
      </c>
      <c r="E9561" s="1524" t="s">
        <v>6905</v>
      </c>
      <c r="F9561" s="1468"/>
      <c r="G9561" s="360" t="s">
        <v>3775</v>
      </c>
      <c r="H9561" s="605">
        <v>-1.8800000000000001E-2</v>
      </c>
      <c r="K9561" t="s">
        <v>3768</v>
      </c>
      <c r="L9561" t="s">
        <v>690</v>
      </c>
      <c r="P9561" t="s">
        <v>4794</v>
      </c>
      <c r="T9561">
        <v>46142</v>
      </c>
      <c r="V9561">
        <v>80</v>
      </c>
    </row>
    <row r="9562" spans="1:22" customFormat="1" ht="15" x14ac:dyDescent="0.25">
      <c r="A9562" t="s">
        <v>293</v>
      </c>
      <c r="E9562" s="1524" t="s">
        <v>243</v>
      </c>
      <c r="F9562" s="1524"/>
      <c r="G9562" s="360" t="s">
        <v>3775</v>
      </c>
      <c r="H9562" s="432">
        <v>4.1094999999999997</v>
      </c>
      <c r="K9562" t="s">
        <v>3768</v>
      </c>
      <c r="L9562" t="s">
        <v>694</v>
      </c>
      <c r="P9562" t="s">
        <v>3780</v>
      </c>
      <c r="V9562">
        <v>47</v>
      </c>
    </row>
    <row r="9563" spans="1:22" customFormat="1" ht="15" x14ac:dyDescent="0.25">
      <c r="A9563" t="s">
        <v>293</v>
      </c>
      <c r="E9563" s="1524" t="s">
        <v>175</v>
      </c>
      <c r="F9563" s="1524"/>
      <c r="G9563" s="360" t="s">
        <v>3775</v>
      </c>
      <c r="H9563" s="432">
        <v>2.6671999999999998</v>
      </c>
      <c r="K9563" t="s">
        <v>3768</v>
      </c>
      <c r="L9563" t="s">
        <v>694</v>
      </c>
      <c r="P9563" t="s">
        <v>3781</v>
      </c>
      <c r="V9563">
        <v>74</v>
      </c>
    </row>
    <row r="9564" spans="1:22" customFormat="1" ht="15" x14ac:dyDescent="0.25">
      <c r="A9564" t="s">
        <v>293</v>
      </c>
      <c r="E9564" s="1533" t="s">
        <v>967</v>
      </c>
      <c r="F9564" s="1524"/>
      <c r="G9564" s="360"/>
      <c r="H9564" s="360"/>
      <c r="K9564" t="s">
        <v>1003</v>
      </c>
      <c r="V9564">
        <v>48</v>
      </c>
    </row>
    <row r="9565" spans="1:22" customFormat="1" ht="15" x14ac:dyDescent="0.25">
      <c r="A9565" t="s">
        <v>293</v>
      </c>
      <c r="E9565" s="1524" t="s">
        <v>844</v>
      </c>
      <c r="F9565" s="1524"/>
      <c r="G9565" s="360" t="s">
        <v>845</v>
      </c>
      <c r="H9565" s="605">
        <v>4.1000000000000003E-3</v>
      </c>
      <c r="K9565" t="s">
        <v>3768</v>
      </c>
      <c r="L9565" t="s">
        <v>968</v>
      </c>
      <c r="P9565" t="s">
        <v>3782</v>
      </c>
      <c r="V9565">
        <v>55</v>
      </c>
    </row>
    <row r="9566" spans="1:22" customFormat="1" ht="15" x14ac:dyDescent="0.25">
      <c r="A9566" t="s">
        <v>293</v>
      </c>
      <c r="E9566" s="1524" t="s">
        <v>846</v>
      </c>
      <c r="F9566" s="1524"/>
      <c r="G9566" s="360" t="s">
        <v>845</v>
      </c>
      <c r="H9566" s="605">
        <v>4.0000000000000002E-4</v>
      </c>
      <c r="K9566" t="s">
        <v>3768</v>
      </c>
      <c r="L9566" t="s">
        <v>968</v>
      </c>
      <c r="P9566" t="s">
        <v>3782</v>
      </c>
      <c r="V9566">
        <v>65</v>
      </c>
    </row>
    <row r="9567" spans="1:22" customFormat="1" ht="15" x14ac:dyDescent="0.25">
      <c r="A9567" t="s">
        <v>293</v>
      </c>
      <c r="E9567" s="1524" t="s">
        <v>847</v>
      </c>
      <c r="F9567" s="1524"/>
      <c r="G9567" s="360" t="s">
        <v>845</v>
      </c>
      <c r="H9567" s="605">
        <v>1.5E-3</v>
      </c>
      <c r="K9567" t="s">
        <v>3768</v>
      </c>
      <c r="L9567" t="s">
        <v>968</v>
      </c>
      <c r="P9567" t="s">
        <v>3783</v>
      </c>
      <c r="V9567">
        <v>57</v>
      </c>
    </row>
    <row r="9568" spans="1:22" customFormat="1" ht="15" x14ac:dyDescent="0.25">
      <c r="A9568" t="s">
        <v>293</v>
      </c>
      <c r="E9568" s="1524" t="s">
        <v>848</v>
      </c>
      <c r="F9568" s="1524"/>
      <c r="G9568" s="360" t="s">
        <v>777</v>
      </c>
      <c r="H9568" s="604">
        <v>0.25</v>
      </c>
      <c r="K9568" t="s">
        <v>3768</v>
      </c>
      <c r="L9568" t="s">
        <v>968</v>
      </c>
      <c r="P9568" t="s">
        <v>3784</v>
      </c>
      <c r="V9568">
        <v>63</v>
      </c>
    </row>
    <row r="9569" spans="1:22" customFormat="1" x14ac:dyDescent="0.25">
      <c r="A9569" t="s">
        <v>293</v>
      </c>
      <c r="E9569" s="1538" t="s">
        <v>198</v>
      </c>
      <c r="F9569" s="1571"/>
      <c r="G9569" s="1571"/>
      <c r="H9569" s="1571"/>
      <c r="K9569" t="s">
        <v>4607</v>
      </c>
      <c r="V9569">
        <v>40</v>
      </c>
    </row>
    <row r="9570" spans="1:22" customFormat="1" ht="15" x14ac:dyDescent="0.25">
      <c r="A9570" t="s">
        <v>293</v>
      </c>
      <c r="E9570" s="1496" t="s">
        <v>4693</v>
      </c>
      <c r="F9570" s="1496"/>
      <c r="G9570" s="1496"/>
      <c r="H9570" s="1496"/>
      <c r="K9570" t="s">
        <v>4607</v>
      </c>
      <c r="V9570">
        <v>253</v>
      </c>
    </row>
    <row r="9571" spans="1:22" customFormat="1" ht="15" x14ac:dyDescent="0.25">
      <c r="A9571" t="s">
        <v>293</v>
      </c>
      <c r="E9571" s="1533" t="s">
        <v>950</v>
      </c>
      <c r="F9571" s="1496"/>
      <c r="G9571" s="1496"/>
      <c r="H9571" s="1496"/>
      <c r="K9571" t="s">
        <v>1010</v>
      </c>
      <c r="V9571">
        <v>11</v>
      </c>
    </row>
    <row r="9572" spans="1:22" customFormat="1" ht="15" x14ac:dyDescent="0.25">
      <c r="A9572" t="s">
        <v>293</v>
      </c>
      <c r="E9572" s="1496" t="s">
        <v>951</v>
      </c>
      <c r="F9572" s="1496"/>
      <c r="G9572" s="1496"/>
      <c r="H9572" s="1496"/>
      <c r="K9572" t="s">
        <v>4607</v>
      </c>
      <c r="V9572">
        <v>280</v>
      </c>
    </row>
    <row r="9573" spans="1:22" customFormat="1" ht="15" x14ac:dyDescent="0.25">
      <c r="A9573" t="s">
        <v>293</v>
      </c>
      <c r="E9573" s="1496" t="s">
        <v>952</v>
      </c>
      <c r="F9573" s="1496"/>
      <c r="G9573" s="1496"/>
      <c r="H9573" s="1496"/>
      <c r="K9573" t="s">
        <v>4607</v>
      </c>
      <c r="V9573">
        <v>411</v>
      </c>
    </row>
    <row r="9574" spans="1:22" customFormat="1" ht="15" x14ac:dyDescent="0.25">
      <c r="A9574" t="s">
        <v>293</v>
      </c>
      <c r="E9574" s="1496" t="s">
        <v>3761</v>
      </c>
      <c r="F9574" s="1496"/>
      <c r="G9574" s="1496"/>
      <c r="H9574" s="1496"/>
      <c r="K9574" t="s">
        <v>4607</v>
      </c>
      <c r="V9574">
        <v>387</v>
      </c>
    </row>
    <row r="9575" spans="1:22" customFormat="1" ht="15" x14ac:dyDescent="0.25">
      <c r="A9575" t="s">
        <v>293</v>
      </c>
      <c r="E9575" s="1496" t="s">
        <v>3762</v>
      </c>
      <c r="F9575" s="1496"/>
      <c r="G9575" s="1496"/>
      <c r="H9575" s="1496"/>
      <c r="K9575" t="s">
        <v>4607</v>
      </c>
      <c r="V9575">
        <v>247</v>
      </c>
    </row>
    <row r="9576" spans="1:22" customFormat="1" ht="15" x14ac:dyDescent="0.25">
      <c r="A9576" t="s">
        <v>293</v>
      </c>
      <c r="E9576" s="1533" t="s">
        <v>956</v>
      </c>
      <c r="F9576" s="1496"/>
      <c r="G9576" s="1496"/>
      <c r="H9576" s="1496"/>
      <c r="K9576" t="s">
        <v>1011</v>
      </c>
      <c r="V9576">
        <v>46</v>
      </c>
    </row>
    <row r="9577" spans="1:22" customFormat="1" ht="15" x14ac:dyDescent="0.25">
      <c r="A9577" t="s">
        <v>293</v>
      </c>
      <c r="E9577" s="1524" t="s">
        <v>3874</v>
      </c>
      <c r="F9577" s="1524"/>
      <c r="G9577" s="360" t="s">
        <v>777</v>
      </c>
      <c r="H9577" s="953">
        <v>4.7699999999999996</v>
      </c>
      <c r="K9577" t="s">
        <v>4607</v>
      </c>
      <c r="L9577" t="s">
        <v>690</v>
      </c>
      <c r="P9577" t="s">
        <v>4609</v>
      </c>
      <c r="V9577">
        <v>31</v>
      </c>
    </row>
    <row r="9578" spans="1:22" customFormat="1" ht="15" x14ac:dyDescent="0.25">
      <c r="A9578" t="s">
        <v>293</v>
      </c>
      <c r="E9578" s="1524" t="s">
        <v>3688</v>
      </c>
      <c r="F9578" s="1524"/>
      <c r="G9578" s="360" t="s">
        <v>3775</v>
      </c>
      <c r="H9578" s="432">
        <v>18.666</v>
      </c>
      <c r="K9578" t="s">
        <v>4607</v>
      </c>
      <c r="L9578" t="s">
        <v>690</v>
      </c>
      <c r="P9578" t="s">
        <v>4610</v>
      </c>
      <c r="V9578">
        <v>28</v>
      </c>
    </row>
    <row r="9579" spans="1:22" customFormat="1" ht="15" x14ac:dyDescent="0.25">
      <c r="A9579" t="s">
        <v>293</v>
      </c>
      <c r="E9579" s="1524" t="s">
        <v>910</v>
      </c>
      <c r="F9579" s="1524"/>
      <c r="G9579" s="360" t="s">
        <v>3775</v>
      </c>
      <c r="H9579" s="605">
        <v>0.96689999999999998</v>
      </c>
      <c r="K9579" t="s">
        <v>4607</v>
      </c>
      <c r="L9579" t="s">
        <v>692</v>
      </c>
      <c r="P9579" t="s">
        <v>5573</v>
      </c>
      <c r="V9579">
        <v>24</v>
      </c>
    </row>
    <row r="9580" spans="1:22" customFormat="1" ht="15" x14ac:dyDescent="0.25">
      <c r="A9580" t="s">
        <v>293</v>
      </c>
      <c r="E9580" s="1524" t="s">
        <v>5574</v>
      </c>
      <c r="F9580" s="1507"/>
      <c r="G9580" s="360" t="s">
        <v>3775</v>
      </c>
      <c r="H9580" s="605">
        <v>2.6032000000000002</v>
      </c>
      <c r="K9580" t="s">
        <v>4607</v>
      </c>
      <c r="L9580" t="s">
        <v>690</v>
      </c>
      <c r="P9580" t="s">
        <v>4612</v>
      </c>
      <c r="V9580">
        <v>104</v>
      </c>
    </row>
    <row r="9581" spans="1:22" customFormat="1" ht="15" x14ac:dyDescent="0.25">
      <c r="A9581" t="s">
        <v>293</v>
      </c>
      <c r="E9581" s="1524" t="s">
        <v>6905</v>
      </c>
      <c r="F9581" s="1468"/>
      <c r="G9581" s="360" t="s">
        <v>3775</v>
      </c>
      <c r="H9581" s="605">
        <v>-0.23599999999999999</v>
      </c>
      <c r="K9581" t="s">
        <v>4607</v>
      </c>
      <c r="L9581" t="s">
        <v>690</v>
      </c>
      <c r="P9581" t="s">
        <v>6906</v>
      </c>
      <c r="T9581">
        <v>46142</v>
      </c>
      <c r="V9581">
        <v>80</v>
      </c>
    </row>
    <row r="9582" spans="1:22" customFormat="1" ht="15" x14ac:dyDescent="0.25">
      <c r="A9582" t="s">
        <v>293</v>
      </c>
      <c r="E9582" s="1524" t="s">
        <v>243</v>
      </c>
      <c r="F9582" s="1524"/>
      <c r="G9582" s="360" t="s">
        <v>3775</v>
      </c>
      <c r="H9582" s="432">
        <v>3.1145</v>
      </c>
      <c r="K9582" t="s">
        <v>4607</v>
      </c>
      <c r="L9582" t="s">
        <v>694</v>
      </c>
      <c r="P9582" t="s">
        <v>4614</v>
      </c>
      <c r="V9582">
        <v>47</v>
      </c>
    </row>
    <row r="9583" spans="1:22" customFormat="1" ht="15" x14ac:dyDescent="0.25">
      <c r="A9583" t="s">
        <v>293</v>
      </c>
      <c r="E9583" s="1524" t="s">
        <v>175</v>
      </c>
      <c r="F9583" s="1524"/>
      <c r="G9583" s="360" t="s">
        <v>3775</v>
      </c>
      <c r="H9583" s="432">
        <v>2.1057000000000001</v>
      </c>
      <c r="K9583" t="s">
        <v>4607</v>
      </c>
      <c r="L9583" t="s">
        <v>694</v>
      </c>
      <c r="P9583" t="s">
        <v>4615</v>
      </c>
      <c r="V9583">
        <v>74</v>
      </c>
    </row>
    <row r="9584" spans="1:22" customFormat="1" ht="15" x14ac:dyDescent="0.25">
      <c r="A9584" t="s">
        <v>293</v>
      </c>
      <c r="E9584" s="1533" t="s">
        <v>967</v>
      </c>
      <c r="F9584" s="1524"/>
      <c r="G9584" s="360"/>
      <c r="H9584" s="360"/>
      <c r="K9584" t="s">
        <v>1019</v>
      </c>
      <c r="V9584">
        <v>48</v>
      </c>
    </row>
    <row r="9585" spans="1:22" customFormat="1" ht="15" x14ac:dyDescent="0.25">
      <c r="A9585" t="s">
        <v>293</v>
      </c>
      <c r="E9585" s="1524" t="s">
        <v>844</v>
      </c>
      <c r="F9585" s="1524"/>
      <c r="G9585" s="360" t="s">
        <v>845</v>
      </c>
      <c r="H9585" s="605">
        <v>4.1000000000000003E-3</v>
      </c>
      <c r="K9585" t="s">
        <v>4607</v>
      </c>
      <c r="L9585" t="s">
        <v>968</v>
      </c>
      <c r="P9585" t="s">
        <v>4616</v>
      </c>
      <c r="V9585">
        <v>55</v>
      </c>
    </row>
    <row r="9586" spans="1:22" customFormat="1" ht="15" x14ac:dyDescent="0.25">
      <c r="A9586" t="s">
        <v>293</v>
      </c>
      <c r="E9586" s="1524" t="s">
        <v>846</v>
      </c>
      <c r="F9586" s="1524"/>
      <c r="G9586" s="360" t="s">
        <v>845</v>
      </c>
      <c r="H9586" s="605">
        <v>4.0000000000000002E-4</v>
      </c>
      <c r="K9586" t="s">
        <v>4607</v>
      </c>
      <c r="L9586" t="s">
        <v>968</v>
      </c>
      <c r="P9586" t="s">
        <v>4616</v>
      </c>
      <c r="V9586">
        <v>65</v>
      </c>
    </row>
    <row r="9587" spans="1:22" customFormat="1" ht="15" x14ac:dyDescent="0.25">
      <c r="A9587" t="s">
        <v>293</v>
      </c>
      <c r="E9587" s="1524" t="s">
        <v>847</v>
      </c>
      <c r="F9587" s="1524"/>
      <c r="G9587" s="360" t="s">
        <v>845</v>
      </c>
      <c r="H9587" s="605">
        <v>1.5E-3</v>
      </c>
      <c r="K9587" t="s">
        <v>4607</v>
      </c>
      <c r="L9587" t="s">
        <v>968</v>
      </c>
      <c r="P9587" t="s">
        <v>4617</v>
      </c>
      <c r="V9587">
        <v>57</v>
      </c>
    </row>
    <row r="9588" spans="1:22" customFormat="1" ht="15" x14ac:dyDescent="0.25">
      <c r="A9588" t="s">
        <v>293</v>
      </c>
      <c r="E9588" s="1524" t="s">
        <v>848</v>
      </c>
      <c r="F9588" s="1524"/>
      <c r="G9588" s="360" t="s">
        <v>777</v>
      </c>
      <c r="H9588" s="604">
        <v>0.25</v>
      </c>
      <c r="K9588" t="s">
        <v>4607</v>
      </c>
      <c r="L9588" t="s">
        <v>968</v>
      </c>
      <c r="P9588" t="s">
        <v>4618</v>
      </c>
      <c r="V9588">
        <v>63</v>
      </c>
    </row>
    <row r="9589" spans="1:22" customFormat="1" x14ac:dyDescent="0.25">
      <c r="A9589" t="s">
        <v>293</v>
      </c>
      <c r="E9589" s="1538" t="s">
        <v>202</v>
      </c>
      <c r="F9589" s="1571"/>
      <c r="G9589" s="1571"/>
      <c r="H9589" s="1571"/>
      <c r="K9589" t="s">
        <v>4447</v>
      </c>
      <c r="V9589">
        <v>38</v>
      </c>
    </row>
    <row r="9590" spans="1:22" customFormat="1" ht="15" x14ac:dyDescent="0.25">
      <c r="A9590" t="s">
        <v>293</v>
      </c>
      <c r="E9590" s="1496" t="s">
        <v>5575</v>
      </c>
      <c r="F9590" s="1496"/>
      <c r="G9590" s="1496"/>
      <c r="H9590" s="1496"/>
      <c r="K9590" t="s">
        <v>4447</v>
      </c>
      <c r="V9590">
        <v>525</v>
      </c>
    </row>
    <row r="9591" spans="1:22" customFormat="1" ht="15" x14ac:dyDescent="0.25">
      <c r="A9591" t="s">
        <v>293</v>
      </c>
      <c r="E9591" s="1533" t="s">
        <v>950</v>
      </c>
      <c r="F9591" s="1496"/>
      <c r="G9591" s="1496"/>
      <c r="H9591" s="1496"/>
      <c r="K9591" t="s">
        <v>1025</v>
      </c>
      <c r="V9591">
        <v>11</v>
      </c>
    </row>
    <row r="9592" spans="1:22" customFormat="1" ht="15" x14ac:dyDescent="0.25">
      <c r="A9592" t="s">
        <v>293</v>
      </c>
      <c r="E9592" s="1496" t="s">
        <v>951</v>
      </c>
      <c r="F9592" s="1496"/>
      <c r="G9592" s="1496"/>
      <c r="H9592" s="1496"/>
      <c r="K9592" t="s">
        <v>4447</v>
      </c>
      <c r="V9592">
        <v>280</v>
      </c>
    </row>
    <row r="9593" spans="1:22" customFormat="1" ht="15" x14ac:dyDescent="0.25">
      <c r="A9593" t="s">
        <v>293</v>
      </c>
      <c r="E9593" s="1496" t="s">
        <v>952</v>
      </c>
      <c r="F9593" s="1496"/>
      <c r="G9593" s="1496"/>
      <c r="H9593" s="1496"/>
      <c r="K9593" t="s">
        <v>4447</v>
      </c>
      <c r="V9593">
        <v>411</v>
      </c>
    </row>
    <row r="9594" spans="1:22" customFormat="1" ht="15" x14ac:dyDescent="0.25">
      <c r="A9594" t="s">
        <v>293</v>
      </c>
      <c r="E9594" s="1496" t="s">
        <v>3761</v>
      </c>
      <c r="F9594" s="1496"/>
      <c r="G9594" s="1496"/>
      <c r="H9594" s="1496"/>
      <c r="K9594" t="s">
        <v>4447</v>
      </c>
      <c r="V9594">
        <v>387</v>
      </c>
    </row>
    <row r="9595" spans="1:22" customFormat="1" ht="15" x14ac:dyDescent="0.25">
      <c r="A9595" t="s">
        <v>293</v>
      </c>
      <c r="E9595" s="1496" t="s">
        <v>3762</v>
      </c>
      <c r="F9595" s="1496"/>
      <c r="G9595" s="1496"/>
      <c r="H9595" s="1496"/>
      <c r="K9595" t="s">
        <v>4447</v>
      </c>
      <c r="V9595">
        <v>247</v>
      </c>
    </row>
    <row r="9596" spans="1:22" customFormat="1" ht="15" x14ac:dyDescent="0.25">
      <c r="A9596" t="s">
        <v>293</v>
      </c>
      <c r="E9596" s="1533" t="s">
        <v>956</v>
      </c>
      <c r="F9596" s="1496"/>
      <c r="G9596" s="1496"/>
      <c r="H9596" s="1496"/>
      <c r="K9596" t="s">
        <v>1026</v>
      </c>
      <c r="V9596">
        <v>46</v>
      </c>
    </row>
    <row r="9597" spans="1:22" customFormat="1" ht="15" x14ac:dyDescent="0.25">
      <c r="A9597" t="s">
        <v>293</v>
      </c>
      <c r="E9597" s="1524" t="s">
        <v>3874</v>
      </c>
      <c r="F9597" s="1524"/>
      <c r="G9597" s="360" t="s">
        <v>777</v>
      </c>
      <c r="H9597" s="953">
        <v>1.9</v>
      </c>
      <c r="K9597" t="s">
        <v>4447</v>
      </c>
      <c r="L9597" t="s">
        <v>690</v>
      </c>
      <c r="P9597" t="s">
        <v>4450</v>
      </c>
      <c r="V9597">
        <v>31</v>
      </c>
    </row>
    <row r="9598" spans="1:22" customFormat="1" ht="15" x14ac:dyDescent="0.25">
      <c r="A9598" t="s">
        <v>293</v>
      </c>
      <c r="E9598" s="1524" t="s">
        <v>3688</v>
      </c>
      <c r="F9598" s="1524"/>
      <c r="G9598" s="360" t="s">
        <v>3775</v>
      </c>
      <c r="H9598" s="432">
        <v>10.5061</v>
      </c>
      <c r="K9598" t="s">
        <v>4447</v>
      </c>
      <c r="L9598" t="s">
        <v>690</v>
      </c>
      <c r="P9598" t="s">
        <v>4451</v>
      </c>
      <c r="V9598">
        <v>28</v>
      </c>
    </row>
    <row r="9599" spans="1:22" customFormat="1" ht="15" x14ac:dyDescent="0.25">
      <c r="A9599" t="s">
        <v>293</v>
      </c>
      <c r="E9599" s="1524" t="s">
        <v>910</v>
      </c>
      <c r="F9599" s="1524"/>
      <c r="G9599" s="360" t="s">
        <v>3775</v>
      </c>
      <c r="H9599" s="605">
        <v>0.94679999999999997</v>
      </c>
      <c r="K9599" t="s">
        <v>4447</v>
      </c>
      <c r="L9599" t="s">
        <v>692</v>
      </c>
      <c r="P9599" t="s">
        <v>4484</v>
      </c>
      <c r="V9599">
        <v>24</v>
      </c>
    </row>
    <row r="9600" spans="1:22" customFormat="1" ht="15" x14ac:dyDescent="0.25">
      <c r="A9600" t="s">
        <v>293</v>
      </c>
      <c r="E9600" s="1524" t="s">
        <v>6905</v>
      </c>
      <c r="F9600" s="1468"/>
      <c r="G9600" s="360" t="s">
        <v>3775</v>
      </c>
      <c r="H9600" s="605">
        <v>-0.19089999999999999</v>
      </c>
      <c r="K9600" t="s">
        <v>4447</v>
      </c>
      <c r="L9600" t="s">
        <v>690</v>
      </c>
      <c r="P9600" t="s">
        <v>4820</v>
      </c>
      <c r="T9600">
        <v>46142</v>
      </c>
      <c r="V9600">
        <v>80</v>
      </c>
    </row>
    <row r="9601" spans="1:22" customFormat="1" ht="15" x14ac:dyDescent="0.25">
      <c r="A9601" t="s">
        <v>293</v>
      </c>
      <c r="E9601" s="1524" t="s">
        <v>243</v>
      </c>
      <c r="F9601" s="1524"/>
      <c r="G9601" s="360" t="s">
        <v>3775</v>
      </c>
      <c r="H9601" s="432">
        <v>3.0992000000000002</v>
      </c>
      <c r="K9601" t="s">
        <v>4447</v>
      </c>
      <c r="L9601" t="s">
        <v>694</v>
      </c>
      <c r="P9601" t="s">
        <v>4456</v>
      </c>
      <c r="V9601">
        <v>47</v>
      </c>
    </row>
    <row r="9602" spans="1:22" customFormat="1" ht="15" x14ac:dyDescent="0.25">
      <c r="A9602" t="s">
        <v>293</v>
      </c>
      <c r="E9602" s="1524" t="s">
        <v>175</v>
      </c>
      <c r="F9602" s="1524"/>
      <c r="G9602" s="360" t="s">
        <v>3775</v>
      </c>
      <c r="H9602" s="432">
        <v>2.0619000000000001</v>
      </c>
      <c r="K9602" t="s">
        <v>4447</v>
      </c>
      <c r="L9602" t="s">
        <v>694</v>
      </c>
      <c r="P9602" t="s">
        <v>4485</v>
      </c>
      <c r="V9602">
        <v>74</v>
      </c>
    </row>
    <row r="9603" spans="1:22" customFormat="1" ht="15" x14ac:dyDescent="0.25">
      <c r="A9603" t="s">
        <v>293</v>
      </c>
      <c r="E9603" s="1533" t="s">
        <v>967</v>
      </c>
      <c r="F9603" s="1524"/>
      <c r="G9603" s="360"/>
      <c r="H9603" s="360"/>
      <c r="K9603" t="s">
        <v>1035</v>
      </c>
      <c r="V9603">
        <v>48</v>
      </c>
    </row>
    <row r="9604" spans="1:22" customFormat="1" ht="15" x14ac:dyDescent="0.25">
      <c r="A9604" t="s">
        <v>293</v>
      </c>
      <c r="E9604" s="1524" t="s">
        <v>844</v>
      </c>
      <c r="F9604" s="1524"/>
      <c r="G9604" s="360" t="s">
        <v>845</v>
      </c>
      <c r="H9604" s="605">
        <v>4.1000000000000003E-3</v>
      </c>
      <c r="K9604" t="s">
        <v>4447</v>
      </c>
      <c r="L9604" t="s">
        <v>968</v>
      </c>
      <c r="P9604" t="s">
        <v>4458</v>
      </c>
      <c r="V9604">
        <v>55</v>
      </c>
    </row>
    <row r="9605" spans="1:22" customFormat="1" ht="15" x14ac:dyDescent="0.25">
      <c r="A9605" t="s">
        <v>293</v>
      </c>
      <c r="E9605" s="1524" t="s">
        <v>846</v>
      </c>
      <c r="F9605" s="1524"/>
      <c r="G9605" s="360" t="s">
        <v>845</v>
      </c>
      <c r="H9605" s="605">
        <v>4.0000000000000002E-4</v>
      </c>
      <c r="K9605" t="s">
        <v>4447</v>
      </c>
      <c r="L9605" t="s">
        <v>968</v>
      </c>
      <c r="P9605" t="s">
        <v>4458</v>
      </c>
      <c r="V9605">
        <v>65</v>
      </c>
    </row>
    <row r="9606" spans="1:22" customFormat="1" ht="15" x14ac:dyDescent="0.25">
      <c r="A9606" t="s">
        <v>293</v>
      </c>
      <c r="E9606" s="1524" t="s">
        <v>847</v>
      </c>
      <c r="F9606" s="1524"/>
      <c r="G9606" s="360" t="s">
        <v>845</v>
      </c>
      <c r="H9606" s="605">
        <v>1.5E-3</v>
      </c>
      <c r="K9606" t="s">
        <v>4447</v>
      </c>
      <c r="L9606" t="s">
        <v>968</v>
      </c>
      <c r="P9606" t="s">
        <v>4459</v>
      </c>
      <c r="V9606">
        <v>57</v>
      </c>
    </row>
    <row r="9607" spans="1:22" customFormat="1" ht="15" x14ac:dyDescent="0.25">
      <c r="A9607" t="s">
        <v>293</v>
      </c>
      <c r="E9607" s="1524" t="s">
        <v>848</v>
      </c>
      <c r="F9607" s="1524"/>
      <c r="G9607" s="360" t="s">
        <v>777</v>
      </c>
      <c r="H9607" s="604">
        <v>0.25</v>
      </c>
      <c r="K9607" t="s">
        <v>4447</v>
      </c>
      <c r="L9607" t="s">
        <v>968</v>
      </c>
      <c r="P9607" t="s">
        <v>4460</v>
      </c>
      <c r="V9607">
        <v>63</v>
      </c>
    </row>
    <row r="9608" spans="1:22" customFormat="1" x14ac:dyDescent="0.25">
      <c r="A9608" t="s">
        <v>293</v>
      </c>
      <c r="E9608" s="1538" t="s">
        <v>194</v>
      </c>
      <c r="F9608" s="1571"/>
      <c r="G9608" s="1571"/>
      <c r="H9608" s="1571"/>
      <c r="K9608" t="s">
        <v>3872</v>
      </c>
      <c r="V9608">
        <v>47</v>
      </c>
    </row>
    <row r="9609" spans="1:22" customFormat="1" ht="15" x14ac:dyDescent="0.25">
      <c r="A9609" t="s">
        <v>293</v>
      </c>
      <c r="E9609" s="1496" t="s">
        <v>5576</v>
      </c>
      <c r="F9609" s="1496"/>
      <c r="G9609" s="1496"/>
      <c r="H9609" s="1496"/>
      <c r="K9609" t="s">
        <v>3872</v>
      </c>
      <c r="V9609">
        <v>720</v>
      </c>
    </row>
    <row r="9610" spans="1:22" customFormat="1" ht="15" x14ac:dyDescent="0.25">
      <c r="A9610" t="s">
        <v>293</v>
      </c>
      <c r="E9610" s="1533" t="s">
        <v>950</v>
      </c>
      <c r="F9610" s="1496"/>
      <c r="G9610" s="1496"/>
      <c r="H9610" s="1496"/>
      <c r="K9610" t="s">
        <v>1041</v>
      </c>
      <c r="V9610">
        <v>11</v>
      </c>
    </row>
    <row r="9611" spans="1:22" customFormat="1" ht="15" x14ac:dyDescent="0.25">
      <c r="A9611" t="s">
        <v>293</v>
      </c>
      <c r="E9611" s="1496" t="s">
        <v>951</v>
      </c>
      <c r="F9611" s="1496"/>
      <c r="G9611" s="1496"/>
      <c r="H9611" s="1496"/>
      <c r="K9611" t="s">
        <v>3872</v>
      </c>
      <c r="V9611">
        <v>280</v>
      </c>
    </row>
    <row r="9612" spans="1:22" customFormat="1" ht="15" x14ac:dyDescent="0.25">
      <c r="A9612" t="s">
        <v>293</v>
      </c>
      <c r="E9612" s="1496" t="s">
        <v>952</v>
      </c>
      <c r="F9612" s="1496"/>
      <c r="G9612" s="1496"/>
      <c r="H9612" s="1496"/>
      <c r="K9612" t="s">
        <v>3872</v>
      </c>
      <c r="V9612">
        <v>411</v>
      </c>
    </row>
    <row r="9613" spans="1:22" customFormat="1" ht="15" x14ac:dyDescent="0.25">
      <c r="A9613" t="s">
        <v>293</v>
      </c>
      <c r="E9613" s="1496" t="s">
        <v>3761</v>
      </c>
      <c r="F9613" s="1496"/>
      <c r="G9613" s="1496"/>
      <c r="H9613" s="1496"/>
      <c r="K9613" t="s">
        <v>3872</v>
      </c>
      <c r="V9613">
        <v>387</v>
      </c>
    </row>
    <row r="9614" spans="1:22" customFormat="1" ht="15" x14ac:dyDescent="0.25">
      <c r="A9614" t="s">
        <v>293</v>
      </c>
      <c r="E9614" s="1496" t="s">
        <v>3762</v>
      </c>
      <c r="F9614" s="1496"/>
      <c r="G9614" s="1496"/>
      <c r="H9614" s="1496"/>
      <c r="K9614" t="s">
        <v>3872</v>
      </c>
      <c r="V9614">
        <v>247</v>
      </c>
    </row>
    <row r="9615" spans="1:22" customFormat="1" ht="15" x14ac:dyDescent="0.25">
      <c r="A9615" t="s">
        <v>293</v>
      </c>
      <c r="E9615" s="1533" t="s">
        <v>956</v>
      </c>
      <c r="F9615" s="1496"/>
      <c r="G9615" s="1496"/>
      <c r="H9615" s="1496"/>
      <c r="K9615" t="s">
        <v>1042</v>
      </c>
      <c r="V9615">
        <v>46</v>
      </c>
    </row>
    <row r="9616" spans="1:22" customFormat="1" ht="15" x14ac:dyDescent="0.25">
      <c r="A9616" t="s">
        <v>293</v>
      </c>
      <c r="E9616" s="1524" t="s">
        <v>3874</v>
      </c>
      <c r="F9616" s="1524"/>
      <c r="G9616" s="360" t="s">
        <v>777</v>
      </c>
      <c r="H9616" s="953">
        <v>7.99</v>
      </c>
      <c r="K9616" t="s">
        <v>3872</v>
      </c>
      <c r="L9616" t="s">
        <v>690</v>
      </c>
      <c r="P9616" t="s">
        <v>3875</v>
      </c>
      <c r="V9616">
        <v>31</v>
      </c>
    </row>
    <row r="9617" spans="1:22" customFormat="1" ht="15" x14ac:dyDescent="0.25">
      <c r="A9617" t="s">
        <v>293</v>
      </c>
      <c r="E9617" s="1524" t="s">
        <v>3688</v>
      </c>
      <c r="F9617" s="1524"/>
      <c r="G9617" s="360" t="s">
        <v>845</v>
      </c>
      <c r="H9617" s="432">
        <v>1.11E-2</v>
      </c>
      <c r="K9617" t="s">
        <v>3872</v>
      </c>
      <c r="L9617" t="s">
        <v>690</v>
      </c>
      <c r="P9617" t="s">
        <v>3876</v>
      </c>
      <c r="V9617">
        <v>28</v>
      </c>
    </row>
    <row r="9618" spans="1:22" customFormat="1" ht="15" x14ac:dyDescent="0.25">
      <c r="A9618" t="s">
        <v>293</v>
      </c>
      <c r="E9618" s="1524" t="s">
        <v>910</v>
      </c>
      <c r="F9618" s="1524"/>
      <c r="G9618" s="360" t="s">
        <v>845</v>
      </c>
      <c r="H9618" s="605">
        <v>3.0999999999999999E-3</v>
      </c>
      <c r="K9618" t="s">
        <v>3872</v>
      </c>
      <c r="L9618" t="s">
        <v>692</v>
      </c>
      <c r="P9618" t="s">
        <v>3986</v>
      </c>
      <c r="V9618">
        <v>24</v>
      </c>
    </row>
    <row r="9619" spans="1:22" customFormat="1" ht="15" x14ac:dyDescent="0.25">
      <c r="A9619" t="s">
        <v>293</v>
      </c>
      <c r="E9619" s="1524" t="s">
        <v>6905</v>
      </c>
      <c r="F9619" s="1468"/>
      <c r="G9619" s="360" t="s">
        <v>845</v>
      </c>
      <c r="H9619" s="605">
        <v>-2.0000000000000001E-4</v>
      </c>
      <c r="K9619" t="s">
        <v>3872</v>
      </c>
      <c r="L9619" t="s">
        <v>690</v>
      </c>
      <c r="P9619" t="s">
        <v>6907</v>
      </c>
      <c r="T9619">
        <v>46142</v>
      </c>
      <c r="V9619">
        <v>80</v>
      </c>
    </row>
    <row r="9620" spans="1:22" customFormat="1" ht="15" x14ac:dyDescent="0.25">
      <c r="A9620" t="s">
        <v>293</v>
      </c>
      <c r="E9620" s="1524" t="s">
        <v>243</v>
      </c>
      <c r="F9620" s="1524"/>
      <c r="G9620" s="360" t="s">
        <v>845</v>
      </c>
      <c r="H9620" s="432">
        <v>0.01</v>
      </c>
      <c r="K9620" t="s">
        <v>3872</v>
      </c>
      <c r="L9620" t="s">
        <v>694</v>
      </c>
      <c r="P9620" t="s">
        <v>3877</v>
      </c>
      <c r="V9620">
        <v>47</v>
      </c>
    </row>
    <row r="9621" spans="1:22" customFormat="1" ht="15" x14ac:dyDescent="0.25">
      <c r="A9621" t="s">
        <v>293</v>
      </c>
      <c r="E9621" s="1524" t="s">
        <v>175</v>
      </c>
      <c r="F9621" s="1524"/>
      <c r="G9621" s="360" t="s">
        <v>845</v>
      </c>
      <c r="H9621" s="432">
        <v>6.4999999999999997E-3</v>
      </c>
      <c r="K9621" t="s">
        <v>3872</v>
      </c>
      <c r="L9621" t="s">
        <v>694</v>
      </c>
      <c r="P9621" t="s">
        <v>3878</v>
      </c>
      <c r="V9621">
        <v>74</v>
      </c>
    </row>
    <row r="9622" spans="1:22" customFormat="1" ht="15" x14ac:dyDescent="0.25">
      <c r="A9622" t="s">
        <v>293</v>
      </c>
      <c r="E9622" s="1533" t="s">
        <v>967</v>
      </c>
      <c r="F9622" s="1524"/>
      <c r="G9622" s="360"/>
      <c r="H9622" s="360"/>
      <c r="K9622" t="s">
        <v>1049</v>
      </c>
      <c r="V9622">
        <v>48</v>
      </c>
    </row>
    <row r="9623" spans="1:22" customFormat="1" ht="15" x14ac:dyDescent="0.25">
      <c r="A9623" t="s">
        <v>293</v>
      </c>
      <c r="E9623" s="1524" t="s">
        <v>844</v>
      </c>
      <c r="F9623" s="1524"/>
      <c r="G9623" s="360" t="s">
        <v>845</v>
      </c>
      <c r="H9623" s="605">
        <v>4.1000000000000003E-3</v>
      </c>
      <c r="K9623" t="s">
        <v>3872</v>
      </c>
      <c r="L9623" t="s">
        <v>968</v>
      </c>
      <c r="P9623" t="s">
        <v>3879</v>
      </c>
      <c r="V9623">
        <v>55</v>
      </c>
    </row>
    <row r="9624" spans="1:22" customFormat="1" ht="15" x14ac:dyDescent="0.25">
      <c r="A9624" t="s">
        <v>293</v>
      </c>
      <c r="E9624" s="1524" t="s">
        <v>846</v>
      </c>
      <c r="F9624" s="1524"/>
      <c r="G9624" s="360" t="s">
        <v>845</v>
      </c>
      <c r="H9624" s="605">
        <v>4.0000000000000002E-4</v>
      </c>
      <c r="K9624" t="s">
        <v>3872</v>
      </c>
      <c r="L9624" t="s">
        <v>968</v>
      </c>
      <c r="P9624" t="s">
        <v>3879</v>
      </c>
      <c r="V9624">
        <v>65</v>
      </c>
    </row>
    <row r="9625" spans="1:22" customFormat="1" ht="15" x14ac:dyDescent="0.25">
      <c r="A9625" t="s">
        <v>293</v>
      </c>
      <c r="E9625" s="1524" t="s">
        <v>847</v>
      </c>
      <c r="F9625" s="1524"/>
      <c r="G9625" s="360" t="s">
        <v>845</v>
      </c>
      <c r="H9625" s="605">
        <v>1.5E-3</v>
      </c>
      <c r="K9625" t="s">
        <v>3872</v>
      </c>
      <c r="L9625" t="s">
        <v>968</v>
      </c>
      <c r="P9625" t="s">
        <v>3880</v>
      </c>
      <c r="V9625">
        <v>57</v>
      </c>
    </row>
    <row r="9626" spans="1:22" customFormat="1" ht="15" x14ac:dyDescent="0.25">
      <c r="A9626" t="s">
        <v>293</v>
      </c>
      <c r="E9626" s="1524" t="s">
        <v>848</v>
      </c>
      <c r="F9626" s="1524"/>
      <c r="G9626" s="360" t="s">
        <v>777</v>
      </c>
      <c r="H9626" s="604">
        <v>0.25</v>
      </c>
      <c r="K9626" t="s">
        <v>3872</v>
      </c>
      <c r="L9626" t="s">
        <v>968</v>
      </c>
      <c r="P9626" t="s">
        <v>3881</v>
      </c>
      <c r="V9626">
        <v>63</v>
      </c>
    </row>
    <row r="9627" spans="1:22" customFormat="1" x14ac:dyDescent="0.25">
      <c r="A9627" t="s">
        <v>293</v>
      </c>
      <c r="E9627" s="1538" t="s">
        <v>207</v>
      </c>
      <c r="F9627" s="1571"/>
      <c r="G9627" s="1571"/>
      <c r="H9627" s="1571"/>
      <c r="K9627" t="s">
        <v>3823</v>
      </c>
      <c r="V9627">
        <v>31</v>
      </c>
    </row>
    <row r="9628" spans="1:22" customFormat="1" ht="15" x14ac:dyDescent="0.25">
      <c r="A9628" t="s">
        <v>293</v>
      </c>
      <c r="E9628" s="1496" t="s">
        <v>5577</v>
      </c>
      <c r="F9628" s="1496"/>
      <c r="G9628" s="1496"/>
      <c r="H9628" s="1496"/>
      <c r="K9628" t="s">
        <v>3823</v>
      </c>
      <c r="V9628">
        <v>287</v>
      </c>
    </row>
    <row r="9629" spans="1:22" customFormat="1" ht="15" x14ac:dyDescent="0.25">
      <c r="A9629" t="s">
        <v>293</v>
      </c>
      <c r="E9629" s="1533" t="s">
        <v>950</v>
      </c>
      <c r="F9629" s="1496"/>
      <c r="G9629" s="1496"/>
      <c r="H9629" s="1496"/>
      <c r="K9629" t="s">
        <v>1055</v>
      </c>
      <c r="V9629">
        <v>11</v>
      </c>
    </row>
    <row r="9630" spans="1:22" customFormat="1" ht="15" x14ac:dyDescent="0.25">
      <c r="A9630" t="s">
        <v>293</v>
      </c>
      <c r="E9630" s="1496" t="s">
        <v>951</v>
      </c>
      <c r="F9630" s="1496"/>
      <c r="G9630" s="1496"/>
      <c r="H9630" s="1496"/>
      <c r="K9630" t="s">
        <v>3823</v>
      </c>
      <c r="V9630">
        <v>280</v>
      </c>
    </row>
    <row r="9631" spans="1:22" customFormat="1" ht="15" x14ac:dyDescent="0.25">
      <c r="A9631" t="s">
        <v>293</v>
      </c>
      <c r="E9631" s="1496" t="s">
        <v>952</v>
      </c>
      <c r="F9631" s="1496"/>
      <c r="G9631" s="1496"/>
      <c r="H9631" s="1496"/>
      <c r="K9631" t="s">
        <v>3823</v>
      </c>
      <c r="V9631">
        <v>411</v>
      </c>
    </row>
    <row r="9632" spans="1:22" customFormat="1" ht="15" x14ac:dyDescent="0.25">
      <c r="A9632" t="s">
        <v>293</v>
      </c>
      <c r="E9632" s="1496" t="s">
        <v>1103</v>
      </c>
      <c r="F9632" s="1496"/>
      <c r="G9632" s="1496"/>
      <c r="H9632" s="1496"/>
      <c r="K9632" t="s">
        <v>3823</v>
      </c>
      <c r="V9632">
        <v>211</v>
      </c>
    </row>
    <row r="9633" spans="1:22" customFormat="1" ht="15" x14ac:dyDescent="0.25">
      <c r="A9633" t="s">
        <v>293</v>
      </c>
      <c r="E9633" s="1496" t="s">
        <v>3762</v>
      </c>
      <c r="F9633" s="1496"/>
      <c r="G9633" s="1496"/>
      <c r="H9633" s="1496"/>
      <c r="K9633" t="s">
        <v>3823</v>
      </c>
      <c r="V9633">
        <v>247</v>
      </c>
    </row>
    <row r="9634" spans="1:22" customFormat="1" ht="15" x14ac:dyDescent="0.25">
      <c r="A9634" t="s">
        <v>293</v>
      </c>
      <c r="E9634" s="1533" t="s">
        <v>956</v>
      </c>
      <c r="F9634" s="1496"/>
      <c r="G9634" s="1496"/>
      <c r="H9634" s="1496"/>
      <c r="K9634" t="s">
        <v>1056</v>
      </c>
      <c r="V9634">
        <v>46</v>
      </c>
    </row>
    <row r="9635" spans="1:22" customFormat="1" ht="15" x14ac:dyDescent="0.25">
      <c r="A9635" t="s">
        <v>293</v>
      </c>
      <c r="E9635" s="1524" t="s">
        <v>3773</v>
      </c>
      <c r="F9635" s="1524"/>
      <c r="G9635" s="360" t="s">
        <v>777</v>
      </c>
      <c r="H9635" s="953">
        <v>26.5</v>
      </c>
      <c r="K9635" t="s">
        <v>3823</v>
      </c>
      <c r="L9635" t="s">
        <v>690</v>
      </c>
      <c r="P9635" t="s">
        <v>3824</v>
      </c>
      <c r="V9635">
        <v>14</v>
      </c>
    </row>
    <row r="9636" spans="1:22" customFormat="1" ht="18.75" x14ac:dyDescent="0.3">
      <c r="A9636" t="s">
        <v>293</v>
      </c>
      <c r="E9636" s="842" t="s">
        <v>3825</v>
      </c>
      <c r="F9636" s="639"/>
      <c r="G9636" s="639"/>
      <c r="H9636" s="640"/>
      <c r="K9636" t="s">
        <v>5578</v>
      </c>
      <c r="V9636">
        <v>10</v>
      </c>
    </row>
    <row r="9637" spans="1:22" customFormat="1" ht="15" x14ac:dyDescent="0.25">
      <c r="A9637" t="s">
        <v>293</v>
      </c>
      <c r="E9637" s="1524" t="s">
        <v>1078</v>
      </c>
      <c r="F9637" s="1524"/>
      <c r="G9637" s="360" t="s">
        <v>3775</v>
      </c>
      <c r="H9637" s="605">
        <v>-0.6</v>
      </c>
      <c r="V9637">
        <v>68</v>
      </c>
    </row>
    <row r="9638" spans="1:22" customFormat="1" ht="15" x14ac:dyDescent="0.25">
      <c r="A9638" t="s">
        <v>293</v>
      </c>
      <c r="E9638" s="1524" t="s">
        <v>1079</v>
      </c>
      <c r="F9638" s="1524"/>
      <c r="G9638" s="360" t="s">
        <v>1118</v>
      </c>
      <c r="H9638" s="604">
        <v>-1</v>
      </c>
      <c r="V9638">
        <v>87</v>
      </c>
    </row>
    <row r="9639" spans="1:22" customFormat="1" ht="36" x14ac:dyDescent="0.3">
      <c r="A9639" t="s">
        <v>293</v>
      </c>
      <c r="E9639" s="842" t="s">
        <v>3828</v>
      </c>
      <c r="F9639" s="639"/>
      <c r="G9639" s="639"/>
      <c r="H9639" s="640"/>
      <c r="K9639" t="s">
        <v>5579</v>
      </c>
      <c r="V9639">
        <v>24</v>
      </c>
    </row>
    <row r="9640" spans="1:22" customFormat="1" ht="15" x14ac:dyDescent="0.25">
      <c r="A9640" t="s">
        <v>293</v>
      </c>
      <c r="E9640" s="1496" t="s">
        <v>951</v>
      </c>
      <c r="F9640" s="1496"/>
      <c r="G9640" s="1496"/>
      <c r="H9640" s="1496"/>
      <c r="V9640">
        <v>280</v>
      </c>
    </row>
    <row r="9641" spans="1:22" customFormat="1" ht="15" x14ac:dyDescent="0.25">
      <c r="A9641" t="s">
        <v>293</v>
      </c>
      <c r="E9641" s="1496" t="s">
        <v>1081</v>
      </c>
      <c r="F9641" s="1496"/>
      <c r="G9641" s="1496"/>
      <c r="H9641" s="1496"/>
      <c r="V9641">
        <v>353</v>
      </c>
    </row>
    <row r="9642" spans="1:22" customFormat="1" ht="15" x14ac:dyDescent="0.25">
      <c r="A9642" t="s">
        <v>293</v>
      </c>
      <c r="E9642" s="1496" t="s">
        <v>3762</v>
      </c>
      <c r="F9642" s="1496"/>
      <c r="G9642" s="1496"/>
      <c r="H9642" s="1496"/>
      <c r="V9642">
        <v>247</v>
      </c>
    </row>
    <row r="9643" spans="1:22" customFormat="1" ht="15" x14ac:dyDescent="0.25">
      <c r="A9643" t="s">
        <v>293</v>
      </c>
      <c r="E9643" s="844" t="s">
        <v>3830</v>
      </c>
      <c r="F9643" s="276"/>
      <c r="G9643" s="276"/>
      <c r="H9643" s="641"/>
      <c r="K9643" t="s">
        <v>5580</v>
      </c>
      <c r="V9643">
        <v>23</v>
      </c>
    </row>
    <row r="9644" spans="1:22" customFormat="1" ht="15" x14ac:dyDescent="0.25">
      <c r="A9644" t="s">
        <v>293</v>
      </c>
      <c r="E9644" s="1525" t="s">
        <v>3832</v>
      </c>
      <c r="F9644" s="1525"/>
      <c r="G9644" s="360" t="s">
        <v>777</v>
      </c>
      <c r="H9644" s="604">
        <v>15</v>
      </c>
      <c r="V9644">
        <v>19</v>
      </c>
    </row>
    <row r="9645" spans="1:22" customFormat="1" ht="15" x14ac:dyDescent="0.25">
      <c r="A9645" t="s">
        <v>293</v>
      </c>
      <c r="E9645" s="1525" t="s">
        <v>4054</v>
      </c>
      <c r="F9645" s="1525"/>
      <c r="G9645" s="360" t="s">
        <v>777</v>
      </c>
      <c r="H9645" s="604">
        <v>15</v>
      </c>
      <c r="V9645">
        <v>26</v>
      </c>
    </row>
    <row r="9646" spans="1:22" customFormat="1" ht="15" x14ac:dyDescent="0.25">
      <c r="A9646" t="s">
        <v>293</v>
      </c>
      <c r="E9646" s="1525" t="s">
        <v>4419</v>
      </c>
      <c r="F9646" s="1525"/>
      <c r="G9646" s="360" t="s">
        <v>777</v>
      </c>
      <c r="H9646" s="604">
        <v>15</v>
      </c>
      <c r="V9646">
        <v>19</v>
      </c>
    </row>
    <row r="9647" spans="1:22" customFormat="1" ht="15" x14ac:dyDescent="0.25">
      <c r="A9647" t="s">
        <v>293</v>
      </c>
      <c r="E9647" s="1525" t="s">
        <v>4058</v>
      </c>
      <c r="F9647" s="1525"/>
      <c r="G9647" s="360" t="s">
        <v>777</v>
      </c>
      <c r="H9647" s="604">
        <v>15</v>
      </c>
      <c r="V9647">
        <v>15</v>
      </c>
    </row>
    <row r="9648" spans="1:22" customFormat="1" ht="15" x14ac:dyDescent="0.25">
      <c r="A9648" t="s">
        <v>293</v>
      </c>
      <c r="E9648" s="1525" t="s">
        <v>3835</v>
      </c>
      <c r="F9648" s="1525"/>
      <c r="G9648" s="360" t="s">
        <v>777</v>
      </c>
      <c r="H9648" s="604">
        <v>15</v>
      </c>
      <c r="V9648">
        <v>56</v>
      </c>
    </row>
    <row r="9649" spans="1:22" customFormat="1" ht="15" x14ac:dyDescent="0.25">
      <c r="A9649" t="s">
        <v>293</v>
      </c>
      <c r="E9649" s="1525" t="s">
        <v>3836</v>
      </c>
      <c r="F9649" s="1525"/>
      <c r="G9649" s="360" t="s">
        <v>777</v>
      </c>
      <c r="H9649" s="604">
        <v>15</v>
      </c>
      <c r="V9649">
        <v>35</v>
      </c>
    </row>
    <row r="9650" spans="1:22" customFormat="1" ht="15" x14ac:dyDescent="0.25">
      <c r="A9650" t="s">
        <v>293</v>
      </c>
      <c r="E9650" s="1525" t="s">
        <v>4420</v>
      </c>
      <c r="F9650" s="1525"/>
      <c r="G9650" s="360" t="s">
        <v>777</v>
      </c>
      <c r="H9650" s="604">
        <v>15</v>
      </c>
      <c r="V9650">
        <v>24</v>
      </c>
    </row>
    <row r="9651" spans="1:22" customFormat="1" ht="15" x14ac:dyDescent="0.25">
      <c r="A9651" t="s">
        <v>293</v>
      </c>
      <c r="E9651" s="1525" t="s">
        <v>3837</v>
      </c>
      <c r="F9651" s="1525"/>
      <c r="G9651" s="360" t="s">
        <v>777</v>
      </c>
      <c r="H9651" s="604">
        <v>30</v>
      </c>
      <c r="V9651">
        <v>89</v>
      </c>
    </row>
    <row r="9652" spans="1:22" customFormat="1" ht="15" x14ac:dyDescent="0.25">
      <c r="A9652" t="s">
        <v>293</v>
      </c>
      <c r="E9652" s="1525" t="s">
        <v>3838</v>
      </c>
      <c r="F9652" s="1525"/>
      <c r="G9652" s="360" t="s">
        <v>777</v>
      </c>
      <c r="H9652" s="604">
        <v>30</v>
      </c>
      <c r="V9652">
        <v>74</v>
      </c>
    </row>
    <row r="9653" spans="1:22" customFormat="1" ht="15" x14ac:dyDescent="0.25">
      <c r="A9653" t="s">
        <v>293</v>
      </c>
      <c r="E9653" s="1525" t="s">
        <v>3914</v>
      </c>
      <c r="F9653" s="1525"/>
      <c r="G9653" s="360" t="s">
        <v>777</v>
      </c>
      <c r="H9653" s="604">
        <v>30</v>
      </c>
      <c r="V9653">
        <v>19</v>
      </c>
    </row>
    <row r="9654" spans="1:22" customFormat="1" ht="15" x14ac:dyDescent="0.25">
      <c r="A9654" t="s">
        <v>293</v>
      </c>
      <c r="E9654" s="844" t="s">
        <v>4062</v>
      </c>
      <c r="F9654" s="276"/>
      <c r="G9654" s="276"/>
      <c r="H9654" s="641"/>
      <c r="K9654" t="s">
        <v>5581</v>
      </c>
      <c r="V9654">
        <v>22</v>
      </c>
    </row>
    <row r="9655" spans="1:22" customFormat="1" ht="15" x14ac:dyDescent="0.25">
      <c r="A9655" t="s">
        <v>293</v>
      </c>
      <c r="E9655" s="1525" t="s">
        <v>4700</v>
      </c>
      <c r="F9655" s="1525"/>
      <c r="G9655" s="360"/>
      <c r="H9655" s="616"/>
      <c r="V9655">
        <v>24</v>
      </c>
    </row>
    <row r="9656" spans="1:22" customFormat="1" ht="15" x14ac:dyDescent="0.25">
      <c r="A9656" t="s">
        <v>293</v>
      </c>
      <c r="E9656" s="1525" t="s">
        <v>4701</v>
      </c>
      <c r="F9656" s="1525"/>
      <c r="G9656" s="360" t="s">
        <v>1118</v>
      </c>
      <c r="H9656" s="604">
        <v>1.5</v>
      </c>
      <c r="V9656">
        <v>74</v>
      </c>
    </row>
    <row r="9657" spans="1:22" customFormat="1" ht="15" x14ac:dyDescent="0.25">
      <c r="A9657" t="s">
        <v>293</v>
      </c>
      <c r="E9657" s="1525" t="s">
        <v>3842</v>
      </c>
      <c r="F9657" s="1525"/>
      <c r="G9657" s="360" t="s">
        <v>777</v>
      </c>
      <c r="H9657" s="604">
        <v>65</v>
      </c>
      <c r="V9657">
        <v>44</v>
      </c>
    </row>
    <row r="9658" spans="1:22" customFormat="1" ht="15" x14ac:dyDescent="0.25">
      <c r="A9658" t="s">
        <v>293</v>
      </c>
      <c r="E9658" s="1525" t="s">
        <v>3843</v>
      </c>
      <c r="F9658" s="1525"/>
      <c r="G9658" s="360" t="s">
        <v>777</v>
      </c>
      <c r="H9658" s="604">
        <v>185</v>
      </c>
      <c r="V9658">
        <v>43</v>
      </c>
    </row>
    <row r="9659" spans="1:22" customFormat="1" ht="15" x14ac:dyDescent="0.25">
      <c r="A9659" t="s">
        <v>293</v>
      </c>
      <c r="E9659" s="1525" t="s">
        <v>3844</v>
      </c>
      <c r="F9659" s="1525"/>
      <c r="G9659" s="360" t="s">
        <v>777</v>
      </c>
      <c r="H9659" s="604">
        <v>185</v>
      </c>
      <c r="V9659">
        <v>43</v>
      </c>
    </row>
    <row r="9660" spans="1:22" customFormat="1" ht="15" x14ac:dyDescent="0.25">
      <c r="A9660" t="s">
        <v>293</v>
      </c>
      <c r="E9660" s="1525" t="s">
        <v>3845</v>
      </c>
      <c r="F9660" s="1525"/>
      <c r="G9660" s="360" t="s">
        <v>777</v>
      </c>
      <c r="H9660" s="604">
        <v>415</v>
      </c>
      <c r="V9660">
        <v>42</v>
      </c>
    </row>
    <row r="9661" spans="1:22" customFormat="1" ht="15" x14ac:dyDescent="0.25">
      <c r="A9661" t="s">
        <v>293</v>
      </c>
      <c r="E9661" s="844" t="s">
        <v>3846</v>
      </c>
      <c r="F9661" s="654"/>
      <c r="G9661" s="615"/>
      <c r="H9661" s="616"/>
      <c r="V9661">
        <v>5</v>
      </c>
    </row>
    <row r="9662" spans="1:22" customFormat="1" ht="15" x14ac:dyDescent="0.25">
      <c r="A9662" t="s">
        <v>293</v>
      </c>
      <c r="E9662" s="1525" t="s">
        <v>3848</v>
      </c>
      <c r="F9662" s="1525"/>
      <c r="G9662" s="360" t="s">
        <v>777</v>
      </c>
      <c r="H9662" s="604">
        <v>500</v>
      </c>
      <c r="V9662">
        <v>64</v>
      </c>
    </row>
    <row r="9663" spans="1:22" customFormat="1" ht="15" x14ac:dyDescent="0.25">
      <c r="A9663" t="s">
        <v>293</v>
      </c>
      <c r="E9663" s="1525" t="s">
        <v>4808</v>
      </c>
      <c r="F9663" s="1525"/>
      <c r="G9663" s="360" t="s">
        <v>777</v>
      </c>
      <c r="H9663" s="604">
        <v>300</v>
      </c>
      <c r="V9663">
        <v>67</v>
      </c>
    </row>
    <row r="9664" spans="1:22" customFormat="1" ht="15" x14ac:dyDescent="0.25">
      <c r="A9664" t="s">
        <v>293</v>
      </c>
      <c r="E9664" s="1525" t="s">
        <v>3849</v>
      </c>
      <c r="F9664" s="1525"/>
      <c r="G9664" s="360" t="s">
        <v>777</v>
      </c>
      <c r="H9664" s="604">
        <v>1000</v>
      </c>
      <c r="V9664">
        <v>66</v>
      </c>
    </row>
    <row r="9665" spans="1:22" customFormat="1" ht="15" x14ac:dyDescent="0.25">
      <c r="A9665" t="s">
        <v>293</v>
      </c>
      <c r="E9665" s="1525" t="s">
        <v>5582</v>
      </c>
      <c r="F9665" s="1525"/>
      <c r="G9665" s="360" t="s">
        <v>777</v>
      </c>
      <c r="H9665" s="604">
        <v>39.14</v>
      </c>
      <c r="V9665">
        <v>112</v>
      </c>
    </row>
    <row r="9666" spans="1:22" customFormat="1" ht="18.75" x14ac:dyDescent="0.3">
      <c r="A9666" t="s">
        <v>293</v>
      </c>
      <c r="E9666" s="1538" t="s">
        <v>3851</v>
      </c>
      <c r="F9666" s="1538"/>
      <c r="G9666" s="639"/>
      <c r="H9666" s="640"/>
      <c r="K9666" t="s">
        <v>5583</v>
      </c>
      <c r="V9666">
        <v>38</v>
      </c>
    </row>
    <row r="9667" spans="1:22" customFormat="1" ht="15" x14ac:dyDescent="0.25">
      <c r="A9667" t="s">
        <v>293</v>
      </c>
      <c r="E9667" s="1496" t="s">
        <v>951</v>
      </c>
      <c r="F9667" s="1496"/>
      <c r="G9667" s="1496"/>
      <c r="H9667" s="1496"/>
      <c r="V9667">
        <v>280</v>
      </c>
    </row>
    <row r="9668" spans="1:22" customFormat="1" ht="15" x14ac:dyDescent="0.25">
      <c r="A9668" t="s">
        <v>293</v>
      </c>
      <c r="E9668" s="1496" t="s">
        <v>952</v>
      </c>
      <c r="F9668" s="1496"/>
      <c r="G9668" s="1496"/>
      <c r="H9668" s="1496"/>
      <c r="V9668">
        <v>411</v>
      </c>
    </row>
    <row r="9669" spans="1:22" customFormat="1" ht="15" x14ac:dyDescent="0.25">
      <c r="A9669" t="s">
        <v>293</v>
      </c>
      <c r="E9669" s="1496" t="s">
        <v>1103</v>
      </c>
      <c r="F9669" s="1496"/>
      <c r="G9669" s="1496"/>
      <c r="H9669" s="1496"/>
      <c r="V9669">
        <v>211</v>
      </c>
    </row>
    <row r="9670" spans="1:22" customFormat="1" ht="15" x14ac:dyDescent="0.25">
      <c r="A9670" t="s">
        <v>293</v>
      </c>
      <c r="E9670" s="1496" t="s">
        <v>3762</v>
      </c>
      <c r="F9670" s="1496"/>
      <c r="G9670" s="1496"/>
      <c r="H9670" s="1496"/>
      <c r="V9670">
        <v>247</v>
      </c>
    </row>
    <row r="9671" spans="1:22" customFormat="1" ht="15" x14ac:dyDescent="0.25">
      <c r="A9671" t="s">
        <v>293</v>
      </c>
      <c r="E9671" s="1496" t="s">
        <v>1104</v>
      </c>
      <c r="F9671" s="1496"/>
      <c r="G9671" s="1496"/>
      <c r="H9671" s="1496"/>
      <c r="V9671">
        <v>142</v>
      </c>
    </row>
    <row r="9672" spans="1:22" customFormat="1" ht="15" x14ac:dyDescent="0.25">
      <c r="A9672" t="s">
        <v>293</v>
      </c>
      <c r="E9672" s="1524" t="s">
        <v>849</v>
      </c>
      <c r="F9672" s="1524"/>
      <c r="G9672" s="615" t="s">
        <v>777</v>
      </c>
      <c r="H9672" s="604">
        <v>121.23</v>
      </c>
      <c r="V9672">
        <v>106</v>
      </c>
    </row>
    <row r="9673" spans="1:22" customFormat="1" ht="15" x14ac:dyDescent="0.25">
      <c r="A9673" t="s">
        <v>293</v>
      </c>
      <c r="E9673" s="1524" t="s">
        <v>850</v>
      </c>
      <c r="F9673" s="1524"/>
      <c r="G9673" s="615" t="s">
        <v>777</v>
      </c>
      <c r="H9673" s="604">
        <v>48.5</v>
      </c>
      <c r="V9673">
        <v>34</v>
      </c>
    </row>
    <row r="9674" spans="1:22" customFormat="1" ht="15" x14ac:dyDescent="0.25">
      <c r="A9674" t="s">
        <v>293</v>
      </c>
      <c r="E9674" s="1524" t="s">
        <v>851</v>
      </c>
      <c r="F9674" s="1524"/>
      <c r="G9674" s="615" t="s">
        <v>852</v>
      </c>
      <c r="H9674" s="604">
        <v>1.2</v>
      </c>
      <c r="V9674">
        <v>51</v>
      </c>
    </row>
    <row r="9675" spans="1:22" customFormat="1" ht="15" x14ac:dyDescent="0.25">
      <c r="A9675" t="s">
        <v>293</v>
      </c>
      <c r="E9675" s="1524" t="s">
        <v>853</v>
      </c>
      <c r="F9675" s="1524"/>
      <c r="G9675" s="615" t="s">
        <v>852</v>
      </c>
      <c r="H9675" s="604">
        <v>0.71</v>
      </c>
      <c r="V9675">
        <v>75</v>
      </c>
    </row>
    <row r="9676" spans="1:22" customFormat="1" ht="15" x14ac:dyDescent="0.25">
      <c r="A9676" t="s">
        <v>293</v>
      </c>
      <c r="E9676" s="1524" t="s">
        <v>854</v>
      </c>
      <c r="F9676" s="1524"/>
      <c r="G9676" s="615" t="s">
        <v>852</v>
      </c>
      <c r="H9676" s="604">
        <v>-0.71</v>
      </c>
      <c r="V9676">
        <v>72</v>
      </c>
    </row>
    <row r="9677" spans="1:22" customFormat="1" ht="15" x14ac:dyDescent="0.25">
      <c r="A9677" t="s">
        <v>293</v>
      </c>
      <c r="E9677" s="1524" t="s">
        <v>855</v>
      </c>
      <c r="F9677" s="1524"/>
      <c r="G9677" s="615"/>
      <c r="H9677" s="616"/>
      <c r="V9677">
        <v>34</v>
      </c>
    </row>
    <row r="9678" spans="1:22" customFormat="1" ht="15" x14ac:dyDescent="0.25">
      <c r="A9678" t="s">
        <v>293</v>
      </c>
      <c r="E9678" s="1557" t="s">
        <v>1106</v>
      </c>
      <c r="F9678" s="1557"/>
      <c r="G9678" s="615" t="s">
        <v>777</v>
      </c>
      <c r="H9678" s="604">
        <v>0.61</v>
      </c>
      <c r="V9678">
        <v>57</v>
      </c>
    </row>
    <row r="9679" spans="1:22" customFormat="1" ht="15" x14ac:dyDescent="0.25">
      <c r="A9679" t="s">
        <v>293</v>
      </c>
      <c r="E9679" s="1557" t="s">
        <v>1107</v>
      </c>
      <c r="F9679" s="1557"/>
      <c r="G9679" s="615" t="s">
        <v>777</v>
      </c>
      <c r="H9679" s="604">
        <v>1.2</v>
      </c>
      <c r="V9679">
        <v>60</v>
      </c>
    </row>
    <row r="9680" spans="1:22" customFormat="1" ht="15" x14ac:dyDescent="0.25">
      <c r="A9680" t="s">
        <v>293</v>
      </c>
      <c r="E9680" s="1524" t="s">
        <v>1108</v>
      </c>
      <c r="F9680" s="1524"/>
      <c r="G9680" s="615"/>
      <c r="H9680" s="616"/>
      <c r="V9680">
        <v>91</v>
      </c>
    </row>
    <row r="9681" spans="1:22" customFormat="1" ht="15" x14ac:dyDescent="0.25">
      <c r="A9681" t="s">
        <v>293</v>
      </c>
      <c r="E9681" s="1524" t="s">
        <v>1109</v>
      </c>
      <c r="F9681" s="1524"/>
      <c r="G9681" s="615"/>
      <c r="H9681" s="616"/>
      <c r="V9681">
        <v>96</v>
      </c>
    </row>
    <row r="9682" spans="1:22" customFormat="1" ht="15" x14ac:dyDescent="0.25">
      <c r="A9682" t="s">
        <v>293</v>
      </c>
      <c r="E9682" s="1524" t="s">
        <v>856</v>
      </c>
      <c r="F9682" s="1524"/>
      <c r="G9682" s="615"/>
      <c r="H9682" s="616"/>
      <c r="V9682">
        <v>77</v>
      </c>
    </row>
    <row r="9683" spans="1:22" customFormat="1" ht="15" x14ac:dyDescent="0.25">
      <c r="A9683" t="s">
        <v>293</v>
      </c>
      <c r="E9683" s="1557" t="s">
        <v>1111</v>
      </c>
      <c r="F9683" s="1557"/>
      <c r="G9683" s="615" t="s">
        <v>777</v>
      </c>
      <c r="H9683" s="616" t="s">
        <v>857</v>
      </c>
      <c r="V9683">
        <v>18</v>
      </c>
    </row>
    <row r="9684" spans="1:22" customFormat="1" ht="15" x14ac:dyDescent="0.25">
      <c r="A9684" t="s">
        <v>293</v>
      </c>
      <c r="E9684" s="1557" t="s">
        <v>1112</v>
      </c>
      <c r="F9684" s="1557"/>
      <c r="G9684" s="615" t="s">
        <v>777</v>
      </c>
      <c r="H9684" s="604">
        <v>4.8499999999999996</v>
      </c>
      <c r="V9684">
        <v>69</v>
      </c>
    </row>
    <row r="9685" spans="1:22" customFormat="1" ht="15" x14ac:dyDescent="0.25">
      <c r="A9685" t="s">
        <v>293</v>
      </c>
      <c r="E9685" s="1524" t="s">
        <v>858</v>
      </c>
      <c r="F9685" s="1524"/>
      <c r="G9685" s="615" t="s">
        <v>777</v>
      </c>
      <c r="H9685" s="604">
        <v>2.42</v>
      </c>
      <c r="V9685">
        <v>199</v>
      </c>
    </row>
    <row r="9686" spans="1:22" customFormat="1" ht="18.75" x14ac:dyDescent="0.3">
      <c r="A9686" t="s">
        <v>293</v>
      </c>
      <c r="E9686" s="842" t="s">
        <v>3853</v>
      </c>
      <c r="F9686" s="639"/>
      <c r="G9686" s="639"/>
      <c r="H9686" s="640"/>
      <c r="K9686" t="s">
        <v>5584</v>
      </c>
      <c r="V9686">
        <v>12</v>
      </c>
    </row>
    <row r="9687" spans="1:22" customFormat="1" ht="15" x14ac:dyDescent="0.25">
      <c r="A9687" t="s">
        <v>293</v>
      </c>
      <c r="E9687" s="1524" t="s">
        <v>1114</v>
      </c>
      <c r="F9687" s="1524"/>
      <c r="G9687" s="1524"/>
      <c r="H9687" s="1524"/>
      <c r="V9687">
        <v>203</v>
      </c>
    </row>
    <row r="9688" spans="1:22" customFormat="1" ht="15" x14ac:dyDescent="0.25">
      <c r="A9688" t="s">
        <v>293</v>
      </c>
      <c r="E9688" s="1524" t="s">
        <v>1115</v>
      </c>
      <c r="F9688" s="1524"/>
      <c r="G9688" s="360"/>
      <c r="H9688" s="616">
        <v>1.0490999999999999</v>
      </c>
      <c r="V9688">
        <v>57</v>
      </c>
    </row>
    <row r="9689" spans="1:22" customFormat="1" ht="15" x14ac:dyDescent="0.25">
      <c r="A9689" t="s">
        <v>293</v>
      </c>
      <c r="E9689" s="1524" t="s">
        <v>1117</v>
      </c>
      <c r="F9689" s="1524"/>
      <c r="G9689" s="360"/>
      <c r="H9689" s="616">
        <v>1.0386</v>
      </c>
      <c r="J9689" t="s">
        <v>5585</v>
      </c>
      <c r="V9689">
        <v>55</v>
      </c>
    </row>
    <row r="9690" spans="1:22" customFormat="1" ht="23.25" x14ac:dyDescent="0.25">
      <c r="A9690" t="s">
        <v>299</v>
      </c>
      <c r="C9690" t="s">
        <v>3755</v>
      </c>
      <c r="E9690" s="1576" t="s">
        <v>299</v>
      </c>
      <c r="F9690" s="1576"/>
      <c r="G9690" s="1576"/>
      <c r="H9690" s="1576"/>
      <c r="I9690" t="s">
        <v>94</v>
      </c>
      <c r="J9690" t="s">
        <v>5600</v>
      </c>
      <c r="K9690" t="s">
        <v>299</v>
      </c>
      <c r="M9690">
        <v>7</v>
      </c>
      <c r="V9690">
        <v>21</v>
      </c>
    </row>
    <row r="9691" spans="1:22" customFormat="1" x14ac:dyDescent="0.25">
      <c r="A9691" t="s">
        <v>299</v>
      </c>
      <c r="C9691" t="s">
        <v>3757</v>
      </c>
      <c r="E9691" s="1577" t="s">
        <v>944</v>
      </c>
      <c r="F9691" s="1577"/>
      <c r="G9691" s="1577"/>
      <c r="H9691" s="1577"/>
      <c r="V9691">
        <v>27</v>
      </c>
    </row>
    <row r="9692" spans="1:22" customFormat="1" ht="15.75" x14ac:dyDescent="0.25">
      <c r="A9692" t="s">
        <v>299</v>
      </c>
      <c r="C9692" t="s">
        <v>3758</v>
      </c>
      <c r="E9692" s="1755" t="s">
        <v>6847</v>
      </c>
      <c r="F9692" s="1585"/>
      <c r="G9692" s="1585"/>
      <c r="H9692" s="1585"/>
      <c r="S9692">
        <v>45778</v>
      </c>
      <c r="V9692">
        <v>45</v>
      </c>
    </row>
    <row r="9693" spans="1:22" customFormat="1" ht="15" x14ac:dyDescent="0.25">
      <c r="A9693" t="s">
        <v>299</v>
      </c>
      <c r="C9693" t="s">
        <v>3759</v>
      </c>
      <c r="E9693" s="1575" t="s">
        <v>945</v>
      </c>
      <c r="F9693" s="1575"/>
      <c r="G9693" s="1575"/>
      <c r="H9693" s="1575"/>
      <c r="V9693">
        <v>52</v>
      </c>
    </row>
    <row r="9694" spans="1:22" customFormat="1" ht="15" x14ac:dyDescent="0.25">
      <c r="A9694" t="s">
        <v>299</v>
      </c>
      <c r="E9694" s="1575" t="s">
        <v>946</v>
      </c>
      <c r="F9694" s="1575"/>
      <c r="G9694" s="1575"/>
      <c r="H9694" s="1575"/>
      <c r="V9694">
        <v>53</v>
      </c>
    </row>
    <row r="9695" spans="1:22" customFormat="1" ht="15" x14ac:dyDescent="0.25">
      <c r="A9695" t="s">
        <v>299</v>
      </c>
      <c r="E9695" s="1534" t="s">
        <v>6908</v>
      </c>
      <c r="F9695" s="1534"/>
      <c r="G9695" s="1534"/>
      <c r="H9695" s="1534"/>
      <c r="K9695" t="s">
        <v>6908</v>
      </c>
      <c r="V9695">
        <v>12</v>
      </c>
    </row>
    <row r="9696" spans="1:22" customFormat="1" ht="15" x14ac:dyDescent="0.25">
      <c r="A9696" t="s">
        <v>299</v>
      </c>
      <c r="E9696" s="1538" t="s">
        <v>170</v>
      </c>
      <c r="F9696" s="1496"/>
      <c r="G9696" s="1496"/>
      <c r="H9696" s="1496"/>
      <c r="K9696" t="s">
        <v>947</v>
      </c>
      <c r="V9696">
        <v>34</v>
      </c>
    </row>
    <row r="9697" spans="1:22" customFormat="1" ht="15" x14ac:dyDescent="0.25">
      <c r="A9697" t="s">
        <v>299</v>
      </c>
      <c r="E9697" s="1496" t="s">
        <v>5601</v>
      </c>
      <c r="F9697" s="1496"/>
      <c r="G9697" s="1496"/>
      <c r="H9697" s="1496"/>
      <c r="K9697" t="s">
        <v>947</v>
      </c>
      <c r="V9697">
        <v>463</v>
      </c>
    </row>
    <row r="9698" spans="1:22" customFormat="1" ht="15" x14ac:dyDescent="0.25">
      <c r="A9698" t="s">
        <v>299</v>
      </c>
      <c r="E9698" s="1533" t="s">
        <v>950</v>
      </c>
      <c r="F9698" s="1496"/>
      <c r="G9698" s="1496"/>
      <c r="H9698" s="1496"/>
      <c r="K9698" t="s">
        <v>949</v>
      </c>
      <c r="V9698">
        <v>11</v>
      </c>
    </row>
    <row r="9699" spans="1:22" customFormat="1" ht="15" x14ac:dyDescent="0.25">
      <c r="A9699" t="s">
        <v>299</v>
      </c>
      <c r="E9699" s="1496" t="s">
        <v>951</v>
      </c>
      <c r="F9699" s="1496"/>
      <c r="G9699" s="1496"/>
      <c r="H9699" s="1496"/>
      <c r="K9699" t="s">
        <v>947</v>
      </c>
      <c r="V9699">
        <v>280</v>
      </c>
    </row>
    <row r="9700" spans="1:22" customFormat="1" ht="15" x14ac:dyDescent="0.25">
      <c r="A9700" t="s">
        <v>299</v>
      </c>
      <c r="E9700" s="1496" t="s">
        <v>952</v>
      </c>
      <c r="F9700" s="1496"/>
      <c r="G9700" s="1496"/>
      <c r="H9700" s="1496"/>
      <c r="K9700" t="s">
        <v>947</v>
      </c>
      <c r="V9700">
        <v>411</v>
      </c>
    </row>
    <row r="9701" spans="1:22" customFormat="1" ht="15" x14ac:dyDescent="0.25">
      <c r="A9701" t="s">
        <v>299</v>
      </c>
      <c r="E9701" s="1496" t="s">
        <v>3761</v>
      </c>
      <c r="F9701" s="1496"/>
      <c r="G9701" s="1496"/>
      <c r="H9701" s="1496"/>
      <c r="K9701" t="s">
        <v>947</v>
      </c>
      <c r="V9701">
        <v>387</v>
      </c>
    </row>
    <row r="9702" spans="1:22" customFormat="1" ht="15" x14ac:dyDescent="0.25">
      <c r="A9702" t="s">
        <v>299</v>
      </c>
      <c r="E9702" s="1496" t="s">
        <v>3762</v>
      </c>
      <c r="F9702" s="1496"/>
      <c r="G9702" s="1496"/>
      <c r="H9702" s="1496"/>
      <c r="K9702" t="s">
        <v>947</v>
      </c>
      <c r="V9702">
        <v>247</v>
      </c>
    </row>
    <row r="9703" spans="1:22" customFormat="1" ht="15" x14ac:dyDescent="0.25">
      <c r="A9703" t="s">
        <v>299</v>
      </c>
      <c r="E9703" s="1533" t="s">
        <v>956</v>
      </c>
      <c r="F9703" s="1496"/>
      <c r="G9703" s="1496"/>
      <c r="H9703" s="1496"/>
      <c r="K9703" t="s">
        <v>955</v>
      </c>
      <c r="V9703">
        <v>46</v>
      </c>
    </row>
    <row r="9704" spans="1:22" customFormat="1" ht="15" x14ac:dyDescent="0.25">
      <c r="A9704" t="s">
        <v>299</v>
      </c>
      <c r="E9704" s="1524" t="s">
        <v>3773</v>
      </c>
      <c r="F9704" s="1524"/>
      <c r="G9704" s="360" t="s">
        <v>777</v>
      </c>
      <c r="H9704" s="576">
        <v>41.4</v>
      </c>
      <c r="K9704" t="s">
        <v>947</v>
      </c>
      <c r="L9704" t="s">
        <v>690</v>
      </c>
      <c r="P9704" t="s">
        <v>957</v>
      </c>
      <c r="V9704">
        <v>14</v>
      </c>
    </row>
    <row r="9705" spans="1:22" customFormat="1" ht="15" x14ac:dyDescent="0.25">
      <c r="A9705" t="s">
        <v>299</v>
      </c>
      <c r="E9705" s="1524" t="s">
        <v>6909</v>
      </c>
      <c r="F9705" s="1507"/>
      <c r="G9705" s="360" t="s">
        <v>777</v>
      </c>
      <c r="H9705" s="576">
        <v>3.46</v>
      </c>
      <c r="K9705" t="s">
        <v>947</v>
      </c>
      <c r="L9705" t="s">
        <v>690</v>
      </c>
      <c r="P9705" t="s">
        <v>4081</v>
      </c>
      <c r="T9705">
        <v>46142</v>
      </c>
      <c r="V9705">
        <v>78</v>
      </c>
    </row>
    <row r="9706" spans="1:22" customFormat="1" ht="15" x14ac:dyDescent="0.25">
      <c r="A9706" t="s">
        <v>299</v>
      </c>
      <c r="E9706" s="1756" t="s">
        <v>960</v>
      </c>
      <c r="F9706" s="1524"/>
      <c r="G9706" s="360" t="s">
        <v>777</v>
      </c>
      <c r="H9706" s="604">
        <v>0.42</v>
      </c>
      <c r="K9706" t="s">
        <v>947</v>
      </c>
      <c r="L9706" t="s">
        <v>692</v>
      </c>
      <c r="P9706" t="s">
        <v>959</v>
      </c>
      <c r="V9706">
        <v>64</v>
      </c>
    </row>
    <row r="9707" spans="1:22" customFormat="1" ht="15" x14ac:dyDescent="0.25">
      <c r="A9707" t="s">
        <v>299</v>
      </c>
      <c r="E9707" s="1524" t="s">
        <v>243</v>
      </c>
      <c r="F9707" s="1524"/>
      <c r="G9707" s="360" t="s">
        <v>845</v>
      </c>
      <c r="H9707" s="577">
        <v>1.03E-2</v>
      </c>
      <c r="K9707" t="s">
        <v>947</v>
      </c>
      <c r="L9707" t="s">
        <v>694</v>
      </c>
      <c r="P9707" t="s">
        <v>964</v>
      </c>
      <c r="V9707">
        <v>47</v>
      </c>
    </row>
    <row r="9708" spans="1:22" customFormat="1" ht="15" x14ac:dyDescent="0.25">
      <c r="A9708" t="s">
        <v>299</v>
      </c>
      <c r="E9708" s="1533" t="s">
        <v>967</v>
      </c>
      <c r="F9708" s="1524"/>
      <c r="G9708" s="360"/>
      <c r="H9708" s="360"/>
      <c r="K9708" t="s">
        <v>966</v>
      </c>
      <c r="V9708">
        <v>48</v>
      </c>
    </row>
    <row r="9709" spans="1:22" customFormat="1" ht="22.5" x14ac:dyDescent="0.25">
      <c r="A9709" t="s">
        <v>299</v>
      </c>
      <c r="E9709" s="943" t="s">
        <v>6910</v>
      </c>
      <c r="F9709" s="943"/>
      <c r="G9709" s="1578" t="s">
        <v>845</v>
      </c>
      <c r="H9709" s="1580">
        <v>-4.0000000000000002E-4</v>
      </c>
      <c r="K9709" t="s">
        <v>947</v>
      </c>
      <c r="L9709" t="s">
        <v>692</v>
      </c>
      <c r="P9709" t="s">
        <v>6911</v>
      </c>
      <c r="V9709">
        <v>83</v>
      </c>
    </row>
    <row r="9710" spans="1:22" customFormat="1" ht="15" x14ac:dyDescent="0.25">
      <c r="A9710" t="s">
        <v>299</v>
      </c>
      <c r="E9710" s="943" t="s">
        <v>6912</v>
      </c>
      <c r="F9710" s="943"/>
      <c r="G9710" s="1579"/>
      <c r="H9710" s="1581"/>
      <c r="K9710" t="s">
        <v>947</v>
      </c>
      <c r="V9710">
        <v>44</v>
      </c>
    </row>
    <row r="9711" spans="1:22" customFormat="1" ht="15" x14ac:dyDescent="0.25">
      <c r="A9711" t="s">
        <v>299</v>
      </c>
      <c r="E9711" s="1524" t="s">
        <v>844</v>
      </c>
      <c r="F9711" s="1524"/>
      <c r="G9711" s="360" t="s">
        <v>845</v>
      </c>
      <c r="H9711" s="605">
        <v>4.1000000000000003E-3</v>
      </c>
      <c r="K9711" t="s">
        <v>947</v>
      </c>
      <c r="L9711" t="s">
        <v>968</v>
      </c>
      <c r="P9711" t="s">
        <v>969</v>
      </c>
      <c r="V9711">
        <v>55</v>
      </c>
    </row>
    <row r="9712" spans="1:22" customFormat="1" ht="15" x14ac:dyDescent="0.25">
      <c r="A9712" t="s">
        <v>299</v>
      </c>
      <c r="E9712" s="1524" t="s">
        <v>846</v>
      </c>
      <c r="F9712" s="1524"/>
      <c r="G9712" s="360" t="s">
        <v>845</v>
      </c>
      <c r="H9712" s="605">
        <v>4.0000000000000002E-4</v>
      </c>
      <c r="K9712" t="s">
        <v>947</v>
      </c>
      <c r="L9712" t="s">
        <v>968</v>
      </c>
      <c r="P9712" t="s">
        <v>969</v>
      </c>
      <c r="V9712">
        <v>65</v>
      </c>
    </row>
    <row r="9713" spans="1:22" customFormat="1" ht="15" x14ac:dyDescent="0.25">
      <c r="A9713" t="s">
        <v>299</v>
      </c>
      <c r="E9713" s="1524" t="s">
        <v>847</v>
      </c>
      <c r="F9713" s="1524"/>
      <c r="G9713" s="360" t="s">
        <v>845</v>
      </c>
      <c r="H9713" s="605">
        <v>1.5E-3</v>
      </c>
      <c r="K9713" t="s">
        <v>947</v>
      </c>
      <c r="L9713" t="s">
        <v>968</v>
      </c>
      <c r="P9713" t="s">
        <v>970</v>
      </c>
      <c r="V9713">
        <v>57</v>
      </c>
    </row>
    <row r="9714" spans="1:22" customFormat="1" ht="15" x14ac:dyDescent="0.25">
      <c r="A9714" t="s">
        <v>299</v>
      </c>
      <c r="E9714" s="1524" t="s">
        <v>848</v>
      </c>
      <c r="F9714" s="1524"/>
      <c r="G9714" s="360" t="s">
        <v>777</v>
      </c>
      <c r="H9714" s="604">
        <v>0.25</v>
      </c>
      <c r="K9714" t="s">
        <v>947</v>
      </c>
      <c r="L9714" t="s">
        <v>968</v>
      </c>
      <c r="P9714" t="s">
        <v>971</v>
      </c>
      <c r="V9714">
        <v>63</v>
      </c>
    </row>
    <row r="9715" spans="1:22" customFormat="1" x14ac:dyDescent="0.25">
      <c r="A9715" t="s">
        <v>299</v>
      </c>
      <c r="E9715" s="1538" t="s">
        <v>174</v>
      </c>
      <c r="F9715" s="1571"/>
      <c r="G9715" s="1571"/>
      <c r="H9715" s="1571"/>
      <c r="K9715" t="s">
        <v>972</v>
      </c>
      <c r="V9715">
        <v>54</v>
      </c>
    </row>
    <row r="9716" spans="1:22" customFormat="1" ht="15" x14ac:dyDescent="0.25">
      <c r="A9716" t="s">
        <v>299</v>
      </c>
      <c r="E9716" s="1496" t="s">
        <v>5603</v>
      </c>
      <c r="F9716" s="1496"/>
      <c r="G9716" s="1496"/>
      <c r="H9716" s="1496"/>
      <c r="K9716" t="s">
        <v>972</v>
      </c>
      <c r="V9716">
        <v>334</v>
      </c>
    </row>
    <row r="9717" spans="1:22" customFormat="1" ht="15" x14ac:dyDescent="0.25">
      <c r="A9717" t="s">
        <v>299</v>
      </c>
      <c r="E9717" s="1533" t="s">
        <v>950</v>
      </c>
      <c r="F9717" s="1496"/>
      <c r="G9717" s="1496"/>
      <c r="H9717" s="1496"/>
      <c r="K9717" t="s">
        <v>974</v>
      </c>
      <c r="V9717">
        <v>11</v>
      </c>
    </row>
    <row r="9718" spans="1:22" customFormat="1" ht="15" x14ac:dyDescent="0.25">
      <c r="A9718" t="s">
        <v>299</v>
      </c>
      <c r="E9718" s="1496" t="s">
        <v>951</v>
      </c>
      <c r="F9718" s="1496"/>
      <c r="G9718" s="1496"/>
      <c r="H9718" s="1496"/>
      <c r="K9718" t="s">
        <v>972</v>
      </c>
      <c r="V9718">
        <v>280</v>
      </c>
    </row>
    <row r="9719" spans="1:22" customFormat="1" ht="15" x14ac:dyDescent="0.25">
      <c r="A9719" t="s">
        <v>299</v>
      </c>
      <c r="E9719" s="1496" t="s">
        <v>952</v>
      </c>
      <c r="F9719" s="1496"/>
      <c r="G9719" s="1496"/>
      <c r="H9719" s="1496"/>
      <c r="K9719" t="s">
        <v>972</v>
      </c>
      <c r="V9719">
        <v>411</v>
      </c>
    </row>
    <row r="9720" spans="1:22" customFormat="1" ht="15" x14ac:dyDescent="0.25">
      <c r="A9720" t="s">
        <v>299</v>
      </c>
      <c r="E9720" s="1496" t="s">
        <v>3761</v>
      </c>
      <c r="F9720" s="1496"/>
      <c r="G9720" s="1496"/>
      <c r="H9720" s="1496"/>
      <c r="K9720" t="s">
        <v>972</v>
      </c>
      <c r="V9720">
        <v>387</v>
      </c>
    </row>
    <row r="9721" spans="1:22" customFormat="1" ht="15" x14ac:dyDescent="0.25">
      <c r="A9721" t="s">
        <v>299</v>
      </c>
      <c r="E9721" s="1496" t="s">
        <v>3762</v>
      </c>
      <c r="F9721" s="1496"/>
      <c r="G9721" s="1496"/>
      <c r="H9721" s="1496"/>
      <c r="K9721" t="s">
        <v>972</v>
      </c>
      <c r="V9721">
        <v>247</v>
      </c>
    </row>
    <row r="9722" spans="1:22" customFormat="1" ht="15" x14ac:dyDescent="0.25">
      <c r="A9722" t="s">
        <v>299</v>
      </c>
      <c r="E9722" s="1533" t="s">
        <v>956</v>
      </c>
      <c r="F9722" s="1496"/>
      <c r="G9722" s="1496"/>
      <c r="H9722" s="1496"/>
      <c r="K9722" t="s">
        <v>975</v>
      </c>
      <c r="V9722">
        <v>46</v>
      </c>
    </row>
    <row r="9723" spans="1:22" customFormat="1" ht="15" x14ac:dyDescent="0.25">
      <c r="A9723" t="s">
        <v>299</v>
      </c>
      <c r="E9723" s="1524" t="s">
        <v>3773</v>
      </c>
      <c r="F9723" s="1524"/>
      <c r="G9723" s="360" t="s">
        <v>777</v>
      </c>
      <c r="H9723" s="576">
        <v>24.09</v>
      </c>
      <c r="K9723" t="s">
        <v>972</v>
      </c>
      <c r="L9723" t="s">
        <v>690</v>
      </c>
      <c r="P9723" t="s">
        <v>976</v>
      </c>
      <c r="V9723">
        <v>14</v>
      </c>
    </row>
    <row r="9724" spans="1:22" customFormat="1" ht="15" x14ac:dyDescent="0.25">
      <c r="A9724" t="s">
        <v>299</v>
      </c>
      <c r="E9724" s="1524" t="s">
        <v>6909</v>
      </c>
      <c r="F9724" s="1507"/>
      <c r="G9724" s="360" t="s">
        <v>777</v>
      </c>
      <c r="H9724" s="576">
        <v>2.0099999999999998</v>
      </c>
      <c r="K9724" t="s">
        <v>972</v>
      </c>
      <c r="L9724" t="s">
        <v>690</v>
      </c>
      <c r="P9724" t="s">
        <v>6913</v>
      </c>
      <c r="T9724">
        <v>46142</v>
      </c>
      <c r="V9724">
        <v>78</v>
      </c>
    </row>
    <row r="9725" spans="1:22" customFormat="1" ht="15" x14ac:dyDescent="0.25">
      <c r="A9725" t="s">
        <v>299</v>
      </c>
      <c r="E9725" s="1756" t="s">
        <v>960</v>
      </c>
      <c r="F9725" s="1524"/>
      <c r="G9725" s="360" t="s">
        <v>777</v>
      </c>
      <c r="H9725" s="604">
        <v>0.42</v>
      </c>
      <c r="K9725" t="s">
        <v>972</v>
      </c>
      <c r="L9725" t="s">
        <v>692</v>
      </c>
      <c r="P9725" t="s">
        <v>977</v>
      </c>
      <c r="V9725">
        <v>64</v>
      </c>
    </row>
    <row r="9726" spans="1:22" customFormat="1" ht="15" x14ac:dyDescent="0.25">
      <c r="A9726" t="s">
        <v>299</v>
      </c>
      <c r="E9726" s="1524" t="s">
        <v>3688</v>
      </c>
      <c r="F9726" s="1524"/>
      <c r="G9726" s="360" t="s">
        <v>845</v>
      </c>
      <c r="H9726" s="577">
        <v>3.44E-2</v>
      </c>
      <c r="K9726" t="s">
        <v>972</v>
      </c>
      <c r="L9726" t="s">
        <v>690</v>
      </c>
      <c r="P9726" t="s">
        <v>978</v>
      </c>
      <c r="V9726">
        <v>28</v>
      </c>
    </row>
    <row r="9727" spans="1:22" customFormat="1" ht="15" x14ac:dyDescent="0.25">
      <c r="A9727" t="s">
        <v>299</v>
      </c>
      <c r="E9727" s="1524" t="s">
        <v>6909</v>
      </c>
      <c r="F9727" s="1507"/>
      <c r="G9727" s="360" t="s">
        <v>845</v>
      </c>
      <c r="H9727" s="577">
        <v>2.8999999999999998E-3</v>
      </c>
      <c r="K9727" t="s">
        <v>972</v>
      </c>
      <c r="L9727" t="s">
        <v>690</v>
      </c>
      <c r="P9727" t="s">
        <v>6914</v>
      </c>
      <c r="T9727">
        <v>46142</v>
      </c>
      <c r="V9727">
        <v>78</v>
      </c>
    </row>
    <row r="9728" spans="1:22" customFormat="1" ht="15" x14ac:dyDescent="0.25">
      <c r="A9728" t="s">
        <v>299</v>
      </c>
      <c r="E9728" s="1524" t="s">
        <v>243</v>
      </c>
      <c r="F9728" s="1524"/>
      <c r="G9728" s="360" t="s">
        <v>845</v>
      </c>
      <c r="H9728" s="577">
        <v>9.7000000000000003E-3</v>
      </c>
      <c r="K9728" t="s">
        <v>972</v>
      </c>
      <c r="L9728" t="s">
        <v>694</v>
      </c>
      <c r="P9728" t="s">
        <v>983</v>
      </c>
      <c r="V9728">
        <v>47</v>
      </c>
    </row>
    <row r="9729" spans="1:22" customFormat="1" ht="15" x14ac:dyDescent="0.25">
      <c r="A9729" t="s">
        <v>299</v>
      </c>
      <c r="E9729" s="1533" t="s">
        <v>967</v>
      </c>
      <c r="F9729" s="1524"/>
      <c r="G9729" s="360"/>
      <c r="H9729" s="360"/>
      <c r="K9729" t="s">
        <v>985</v>
      </c>
      <c r="V9729">
        <v>48</v>
      </c>
    </row>
    <row r="9730" spans="1:22" customFormat="1" ht="22.5" x14ac:dyDescent="0.25">
      <c r="A9730" t="s">
        <v>299</v>
      </c>
      <c r="E9730" s="943" t="s">
        <v>6910</v>
      </c>
      <c r="F9730" s="943"/>
      <c r="G9730" s="1578" t="s">
        <v>845</v>
      </c>
      <c r="H9730" s="1580">
        <v>-4.0000000000000002E-4</v>
      </c>
      <c r="K9730" t="s">
        <v>972</v>
      </c>
      <c r="L9730" t="s">
        <v>692</v>
      </c>
      <c r="P9730" t="s">
        <v>6915</v>
      </c>
      <c r="V9730">
        <v>83</v>
      </c>
    </row>
    <row r="9731" spans="1:22" customFormat="1" ht="15" x14ac:dyDescent="0.25">
      <c r="A9731" t="s">
        <v>299</v>
      </c>
      <c r="E9731" s="943" t="s">
        <v>6912</v>
      </c>
      <c r="F9731" s="943"/>
      <c r="G9731" s="1579"/>
      <c r="H9731" s="1581"/>
      <c r="K9731" t="s">
        <v>972</v>
      </c>
      <c r="V9731">
        <v>44</v>
      </c>
    </row>
    <row r="9732" spans="1:22" customFormat="1" ht="15" x14ac:dyDescent="0.25">
      <c r="A9732" t="s">
        <v>299</v>
      </c>
      <c r="E9732" s="1524" t="s">
        <v>844</v>
      </c>
      <c r="F9732" s="1524"/>
      <c r="G9732" s="360" t="s">
        <v>845</v>
      </c>
      <c r="H9732" s="605">
        <v>4.1000000000000003E-3</v>
      </c>
      <c r="K9732" t="s">
        <v>972</v>
      </c>
      <c r="L9732" t="s">
        <v>968</v>
      </c>
      <c r="P9732" t="s">
        <v>986</v>
      </c>
      <c r="V9732">
        <v>55</v>
      </c>
    </row>
    <row r="9733" spans="1:22" customFormat="1" ht="15" x14ac:dyDescent="0.25">
      <c r="A9733" t="s">
        <v>299</v>
      </c>
      <c r="E9733" s="1524" t="s">
        <v>846</v>
      </c>
      <c r="F9733" s="1524"/>
      <c r="G9733" s="360" t="s">
        <v>845</v>
      </c>
      <c r="H9733" s="605">
        <v>4.0000000000000002E-4</v>
      </c>
      <c r="K9733" t="s">
        <v>972</v>
      </c>
      <c r="L9733" t="s">
        <v>968</v>
      </c>
      <c r="P9733" t="s">
        <v>986</v>
      </c>
      <c r="V9733">
        <v>65</v>
      </c>
    </row>
    <row r="9734" spans="1:22" customFormat="1" ht="15" x14ac:dyDescent="0.25">
      <c r="A9734" t="s">
        <v>299</v>
      </c>
      <c r="E9734" s="1524" t="s">
        <v>847</v>
      </c>
      <c r="F9734" s="1524"/>
      <c r="G9734" s="360" t="s">
        <v>845</v>
      </c>
      <c r="H9734" s="605">
        <v>1.5E-3</v>
      </c>
      <c r="K9734" t="s">
        <v>972</v>
      </c>
      <c r="L9734" t="s">
        <v>968</v>
      </c>
      <c r="P9734" t="s">
        <v>987</v>
      </c>
      <c r="V9734">
        <v>57</v>
      </c>
    </row>
    <row r="9735" spans="1:22" customFormat="1" ht="15" x14ac:dyDescent="0.25">
      <c r="A9735" t="s">
        <v>299</v>
      </c>
      <c r="E9735" s="1524" t="s">
        <v>848</v>
      </c>
      <c r="F9735" s="1524"/>
      <c r="G9735" s="360" t="s">
        <v>777</v>
      </c>
      <c r="H9735" s="604">
        <v>0.25</v>
      </c>
      <c r="K9735" t="s">
        <v>972</v>
      </c>
      <c r="L9735" t="s">
        <v>968</v>
      </c>
      <c r="P9735" t="s">
        <v>988</v>
      </c>
      <c r="V9735">
        <v>63</v>
      </c>
    </row>
    <row r="9736" spans="1:22" customFormat="1" x14ac:dyDescent="0.25">
      <c r="A9736" t="s">
        <v>299</v>
      </c>
      <c r="E9736" s="1538" t="s">
        <v>3767</v>
      </c>
      <c r="F9736" s="1571"/>
      <c r="G9736" s="1571"/>
      <c r="H9736" s="1571"/>
      <c r="K9736" t="s">
        <v>3768</v>
      </c>
      <c r="V9736">
        <v>53</v>
      </c>
    </row>
    <row r="9737" spans="1:22" customFormat="1" ht="15" x14ac:dyDescent="0.25">
      <c r="A9737" t="s">
        <v>299</v>
      </c>
      <c r="E9737" s="1496" t="s">
        <v>5604</v>
      </c>
      <c r="F9737" s="1496"/>
      <c r="G9737" s="1496"/>
      <c r="H9737" s="1496"/>
      <c r="K9737" t="s">
        <v>3768</v>
      </c>
      <c r="V9737">
        <v>409</v>
      </c>
    </row>
    <row r="9738" spans="1:22" customFormat="1" ht="15" x14ac:dyDescent="0.25">
      <c r="A9738" t="s">
        <v>299</v>
      </c>
      <c r="E9738" s="1533" t="s">
        <v>950</v>
      </c>
      <c r="F9738" s="1496"/>
      <c r="G9738" s="1496"/>
      <c r="H9738" s="1496"/>
      <c r="K9738" t="s">
        <v>992</v>
      </c>
      <c r="V9738">
        <v>11</v>
      </c>
    </row>
    <row r="9739" spans="1:22" customFormat="1" ht="15" x14ac:dyDescent="0.25">
      <c r="A9739" t="s">
        <v>299</v>
      </c>
      <c r="E9739" s="1496" t="s">
        <v>951</v>
      </c>
      <c r="F9739" s="1496"/>
      <c r="G9739" s="1496"/>
      <c r="H9739" s="1496"/>
      <c r="K9739" t="s">
        <v>3768</v>
      </c>
      <c r="V9739">
        <v>280</v>
      </c>
    </row>
    <row r="9740" spans="1:22" customFormat="1" ht="15" x14ac:dyDescent="0.25">
      <c r="A9740" t="s">
        <v>299</v>
      </c>
      <c r="E9740" s="1496" t="s">
        <v>952</v>
      </c>
      <c r="F9740" s="1496"/>
      <c r="G9740" s="1496"/>
      <c r="H9740" s="1496"/>
      <c r="K9740" t="s">
        <v>3768</v>
      </c>
      <c r="V9740">
        <v>411</v>
      </c>
    </row>
    <row r="9741" spans="1:22" customFormat="1" ht="15" x14ac:dyDescent="0.25">
      <c r="A9741" t="s">
        <v>299</v>
      </c>
      <c r="E9741" s="1496" t="s">
        <v>3761</v>
      </c>
      <c r="F9741" s="1496"/>
      <c r="G9741" s="1496"/>
      <c r="H9741" s="1496"/>
      <c r="K9741" t="s">
        <v>3768</v>
      </c>
      <c r="V9741">
        <v>387</v>
      </c>
    </row>
    <row r="9742" spans="1:22" customFormat="1" ht="15" x14ac:dyDescent="0.25">
      <c r="A9742" t="s">
        <v>299</v>
      </c>
      <c r="E9742" s="1496" t="s">
        <v>3771</v>
      </c>
      <c r="F9742" s="1496"/>
      <c r="G9742" s="1496"/>
      <c r="H9742" s="1496"/>
      <c r="K9742" t="s">
        <v>3768</v>
      </c>
      <c r="V9742">
        <v>677</v>
      </c>
    </row>
    <row r="9743" spans="1:22" customFormat="1" ht="15" x14ac:dyDescent="0.25">
      <c r="A9743" t="s">
        <v>299</v>
      </c>
      <c r="E9743" s="1496" t="s">
        <v>3772</v>
      </c>
      <c r="F9743" s="1496"/>
      <c r="G9743" s="1496"/>
      <c r="H9743" s="1496"/>
      <c r="K9743" t="s">
        <v>3768</v>
      </c>
      <c r="V9743">
        <v>693</v>
      </c>
    </row>
    <row r="9744" spans="1:22" customFormat="1" ht="15" x14ac:dyDescent="0.25">
      <c r="A9744" t="s">
        <v>299</v>
      </c>
      <c r="E9744" s="1496" t="s">
        <v>3762</v>
      </c>
      <c r="F9744" s="1496"/>
      <c r="G9744" s="1496"/>
      <c r="H9744" s="1496"/>
      <c r="K9744" t="s">
        <v>3768</v>
      </c>
      <c r="V9744">
        <v>247</v>
      </c>
    </row>
    <row r="9745" spans="1:22" customFormat="1" ht="15" x14ac:dyDescent="0.25">
      <c r="A9745" t="s">
        <v>299</v>
      </c>
      <c r="E9745" s="1533" t="s">
        <v>956</v>
      </c>
      <c r="F9745" s="1496"/>
      <c r="G9745" s="1496"/>
      <c r="H9745" s="1496"/>
      <c r="K9745" t="s">
        <v>995</v>
      </c>
      <c r="V9745">
        <v>46</v>
      </c>
    </row>
    <row r="9746" spans="1:22" customFormat="1" ht="15" x14ac:dyDescent="0.25">
      <c r="A9746" t="s">
        <v>299</v>
      </c>
      <c r="E9746" s="1524" t="s">
        <v>3773</v>
      </c>
      <c r="F9746" s="1524"/>
      <c r="G9746" s="360" t="s">
        <v>777</v>
      </c>
      <c r="H9746" s="576">
        <v>133.07</v>
      </c>
      <c r="K9746" t="s">
        <v>3768</v>
      </c>
      <c r="L9746" t="s">
        <v>690</v>
      </c>
      <c r="P9746" t="s">
        <v>3774</v>
      </c>
      <c r="V9746">
        <v>14</v>
      </c>
    </row>
    <row r="9747" spans="1:22" customFormat="1" ht="15" x14ac:dyDescent="0.25">
      <c r="A9747" t="s">
        <v>299</v>
      </c>
      <c r="E9747" s="1524" t="s">
        <v>6909</v>
      </c>
      <c r="F9747" s="1507"/>
      <c r="G9747" s="360" t="s">
        <v>777</v>
      </c>
      <c r="H9747" s="576">
        <v>11.11</v>
      </c>
      <c r="K9747" t="s">
        <v>3768</v>
      </c>
      <c r="L9747" t="s">
        <v>690</v>
      </c>
      <c r="P9747" t="s">
        <v>6916</v>
      </c>
      <c r="T9747">
        <v>46142</v>
      </c>
      <c r="V9747">
        <v>78</v>
      </c>
    </row>
    <row r="9748" spans="1:22" customFormat="1" ht="15" x14ac:dyDescent="0.25">
      <c r="A9748" t="s">
        <v>299</v>
      </c>
      <c r="E9748" s="1524" t="s">
        <v>3688</v>
      </c>
      <c r="F9748" s="1524"/>
      <c r="G9748" s="360" t="s">
        <v>3775</v>
      </c>
      <c r="H9748" s="577">
        <v>9.0206999999999997</v>
      </c>
      <c r="K9748" t="s">
        <v>3768</v>
      </c>
      <c r="L9748" t="s">
        <v>690</v>
      </c>
      <c r="P9748" t="s">
        <v>3776</v>
      </c>
      <c r="V9748">
        <v>28</v>
      </c>
    </row>
    <row r="9749" spans="1:22" customFormat="1" ht="15" x14ac:dyDescent="0.25">
      <c r="A9749" t="s">
        <v>299</v>
      </c>
      <c r="E9749" s="1524" t="s">
        <v>6909</v>
      </c>
      <c r="F9749" s="1507"/>
      <c r="G9749" s="360" t="s">
        <v>3775</v>
      </c>
      <c r="H9749" s="577">
        <v>0.74239999999999995</v>
      </c>
      <c r="K9749" t="s">
        <v>3768</v>
      </c>
      <c r="L9749" t="s">
        <v>690</v>
      </c>
      <c r="P9749" t="s">
        <v>6917</v>
      </c>
      <c r="T9749">
        <v>46142</v>
      </c>
      <c r="V9749">
        <v>78</v>
      </c>
    </row>
    <row r="9750" spans="1:22" customFormat="1" ht="15" x14ac:dyDescent="0.25">
      <c r="A9750" t="s">
        <v>299</v>
      </c>
      <c r="E9750" s="1524" t="s">
        <v>243</v>
      </c>
      <c r="F9750" s="1524"/>
      <c r="G9750" s="360" t="s">
        <v>3775</v>
      </c>
      <c r="H9750" s="577">
        <v>3.8685</v>
      </c>
      <c r="K9750" t="s">
        <v>3768</v>
      </c>
      <c r="L9750" t="s">
        <v>694</v>
      </c>
      <c r="P9750" t="s">
        <v>3780</v>
      </c>
      <c r="V9750">
        <v>47</v>
      </c>
    </row>
    <row r="9751" spans="1:22" customFormat="1" ht="15" x14ac:dyDescent="0.25">
      <c r="A9751" t="s">
        <v>299</v>
      </c>
      <c r="E9751" s="1524" t="s">
        <v>251</v>
      </c>
      <c r="F9751" s="1524"/>
      <c r="G9751" s="360" t="s">
        <v>3775</v>
      </c>
      <c r="H9751" s="577">
        <v>4.8653000000000004</v>
      </c>
      <c r="K9751" t="s">
        <v>3768</v>
      </c>
      <c r="L9751" t="s">
        <v>694</v>
      </c>
      <c r="P9751" t="s">
        <v>3780</v>
      </c>
      <c r="V9751">
        <v>66</v>
      </c>
    </row>
    <row r="9752" spans="1:22" customFormat="1" ht="15" x14ac:dyDescent="0.25">
      <c r="A9752" t="s">
        <v>299</v>
      </c>
      <c r="E9752" s="1533" t="s">
        <v>967</v>
      </c>
      <c r="F9752" s="1524"/>
      <c r="G9752" s="360"/>
      <c r="H9752" s="360"/>
      <c r="K9752" t="s">
        <v>1003</v>
      </c>
      <c r="V9752">
        <v>48</v>
      </c>
    </row>
    <row r="9753" spans="1:22" customFormat="1" ht="22.5" x14ac:dyDescent="0.25">
      <c r="A9753" t="s">
        <v>299</v>
      </c>
      <c r="E9753" s="943" t="s">
        <v>6918</v>
      </c>
      <c r="F9753" s="943"/>
      <c r="G9753" s="1578" t="s">
        <v>845</v>
      </c>
      <c r="H9753" s="1580">
        <v>-4.0000000000000002E-4</v>
      </c>
      <c r="K9753" t="s">
        <v>3768</v>
      </c>
      <c r="L9753" t="s">
        <v>692</v>
      </c>
      <c r="P9753" t="s">
        <v>6919</v>
      </c>
      <c r="V9753">
        <v>82</v>
      </c>
    </row>
    <row r="9754" spans="1:22" customFormat="1" ht="15" x14ac:dyDescent="0.25">
      <c r="A9754" t="s">
        <v>299</v>
      </c>
      <c r="E9754" s="943" t="s">
        <v>6912</v>
      </c>
      <c r="F9754" s="943"/>
      <c r="G9754" s="1579"/>
      <c r="H9754" s="1581"/>
      <c r="K9754" t="s">
        <v>3768</v>
      </c>
      <c r="V9754">
        <v>44</v>
      </c>
    </row>
    <row r="9755" spans="1:22" customFormat="1" ht="15" x14ac:dyDescent="0.25">
      <c r="A9755" t="s">
        <v>299</v>
      </c>
      <c r="E9755" s="1524" t="s">
        <v>844</v>
      </c>
      <c r="F9755" s="1524"/>
      <c r="G9755" s="360" t="s">
        <v>845</v>
      </c>
      <c r="H9755" s="605">
        <v>4.1000000000000003E-3</v>
      </c>
      <c r="K9755" t="s">
        <v>3768</v>
      </c>
      <c r="L9755" t="s">
        <v>968</v>
      </c>
      <c r="P9755" t="s">
        <v>3782</v>
      </c>
      <c r="V9755">
        <v>55</v>
      </c>
    </row>
    <row r="9756" spans="1:22" customFormat="1" ht="15" x14ac:dyDescent="0.25">
      <c r="A9756" t="s">
        <v>299</v>
      </c>
      <c r="E9756" s="1524" t="s">
        <v>846</v>
      </c>
      <c r="F9756" s="1524"/>
      <c r="G9756" s="360" t="s">
        <v>845</v>
      </c>
      <c r="H9756" s="605">
        <v>4.0000000000000002E-4</v>
      </c>
      <c r="K9756" t="s">
        <v>3768</v>
      </c>
      <c r="L9756" t="s">
        <v>968</v>
      </c>
      <c r="P9756" t="s">
        <v>3782</v>
      </c>
      <c r="V9756">
        <v>65</v>
      </c>
    </row>
    <row r="9757" spans="1:22" customFormat="1" ht="15" x14ac:dyDescent="0.25">
      <c r="A9757" t="s">
        <v>299</v>
      </c>
      <c r="E9757" s="1524" t="s">
        <v>847</v>
      </c>
      <c r="F9757" s="1524"/>
      <c r="G9757" s="360" t="s">
        <v>845</v>
      </c>
      <c r="H9757" s="605">
        <v>1.5E-3</v>
      </c>
      <c r="K9757" t="s">
        <v>3768</v>
      </c>
      <c r="L9757" t="s">
        <v>968</v>
      </c>
      <c r="P9757" t="s">
        <v>3783</v>
      </c>
      <c r="V9757">
        <v>57</v>
      </c>
    </row>
    <row r="9758" spans="1:22" customFormat="1" ht="15" x14ac:dyDescent="0.25">
      <c r="A9758" t="s">
        <v>299</v>
      </c>
      <c r="E9758" s="1524" t="s">
        <v>848</v>
      </c>
      <c r="F9758" s="1524"/>
      <c r="G9758" s="360" t="s">
        <v>777</v>
      </c>
      <c r="H9758" s="604">
        <v>0.25</v>
      </c>
      <c r="K9758" t="s">
        <v>3768</v>
      </c>
      <c r="L9758" t="s">
        <v>968</v>
      </c>
      <c r="P9758" t="s">
        <v>3784</v>
      </c>
      <c r="V9758">
        <v>63</v>
      </c>
    </row>
    <row r="9759" spans="1:22" customFormat="1" x14ac:dyDescent="0.25">
      <c r="A9759" t="s">
        <v>299</v>
      </c>
      <c r="E9759" s="1538" t="s">
        <v>194</v>
      </c>
      <c r="F9759" s="1571"/>
      <c r="G9759" s="1571"/>
      <c r="H9759" s="1571"/>
      <c r="K9759" t="s">
        <v>3785</v>
      </c>
      <c r="V9759">
        <v>47</v>
      </c>
    </row>
    <row r="9760" spans="1:22" customFormat="1" ht="15" x14ac:dyDescent="0.25">
      <c r="A9760" t="s">
        <v>299</v>
      </c>
      <c r="E9760" s="1496" t="s">
        <v>5605</v>
      </c>
      <c r="F9760" s="1496"/>
      <c r="G9760" s="1496"/>
      <c r="H9760" s="1496"/>
      <c r="K9760" t="s">
        <v>3785</v>
      </c>
      <c r="V9760">
        <v>624</v>
      </c>
    </row>
    <row r="9761" spans="1:22" customFormat="1" ht="15" x14ac:dyDescent="0.25">
      <c r="A9761" t="s">
        <v>299</v>
      </c>
      <c r="E9761" s="1533" t="s">
        <v>950</v>
      </c>
      <c r="F9761" s="1496"/>
      <c r="G9761" s="1496"/>
      <c r="H9761" s="1496"/>
      <c r="K9761" t="s">
        <v>1010</v>
      </c>
      <c r="V9761">
        <v>11</v>
      </c>
    </row>
    <row r="9762" spans="1:22" customFormat="1" ht="15" x14ac:dyDescent="0.25">
      <c r="A9762" t="s">
        <v>299</v>
      </c>
      <c r="E9762" s="1496" t="s">
        <v>951</v>
      </c>
      <c r="F9762" s="1496"/>
      <c r="G9762" s="1496"/>
      <c r="H9762" s="1496"/>
      <c r="K9762" t="s">
        <v>3785</v>
      </c>
      <c r="V9762">
        <v>280</v>
      </c>
    </row>
    <row r="9763" spans="1:22" customFormat="1" ht="15" x14ac:dyDescent="0.25">
      <c r="A9763" t="s">
        <v>299</v>
      </c>
      <c r="E9763" s="1496" t="s">
        <v>952</v>
      </c>
      <c r="F9763" s="1496"/>
      <c r="G9763" s="1496"/>
      <c r="H9763" s="1496"/>
      <c r="K9763" t="s">
        <v>3785</v>
      </c>
      <c r="V9763">
        <v>411</v>
      </c>
    </row>
    <row r="9764" spans="1:22" customFormat="1" ht="15" x14ac:dyDescent="0.25">
      <c r="A9764" t="s">
        <v>299</v>
      </c>
      <c r="E9764" s="1496" t="s">
        <v>3761</v>
      </c>
      <c r="F9764" s="1496"/>
      <c r="G9764" s="1496"/>
      <c r="H9764" s="1496"/>
      <c r="K9764" t="s">
        <v>3785</v>
      </c>
      <c r="V9764">
        <v>387</v>
      </c>
    </row>
    <row r="9765" spans="1:22" customFormat="1" ht="15" x14ac:dyDescent="0.25">
      <c r="A9765" t="s">
        <v>299</v>
      </c>
      <c r="E9765" s="1496" t="s">
        <v>3762</v>
      </c>
      <c r="F9765" s="1496"/>
      <c r="G9765" s="1496"/>
      <c r="H9765" s="1496"/>
      <c r="K9765" t="s">
        <v>3785</v>
      </c>
      <c r="V9765">
        <v>247</v>
      </c>
    </row>
    <row r="9766" spans="1:22" customFormat="1" ht="15" x14ac:dyDescent="0.25">
      <c r="A9766" t="s">
        <v>299</v>
      </c>
      <c r="E9766" s="1533" t="s">
        <v>956</v>
      </c>
      <c r="F9766" s="1496"/>
      <c r="G9766" s="1496"/>
      <c r="H9766" s="1496"/>
      <c r="K9766" t="s">
        <v>1011</v>
      </c>
      <c r="V9766">
        <v>46</v>
      </c>
    </row>
    <row r="9767" spans="1:22" customFormat="1" ht="15" x14ac:dyDescent="0.25">
      <c r="A9767" t="s">
        <v>299</v>
      </c>
      <c r="E9767" s="1524" t="s">
        <v>3773</v>
      </c>
      <c r="F9767" s="1524"/>
      <c r="G9767" s="360" t="s">
        <v>777</v>
      </c>
      <c r="H9767" s="576">
        <v>14.76</v>
      </c>
      <c r="K9767" t="s">
        <v>3785</v>
      </c>
      <c r="L9767" t="s">
        <v>690</v>
      </c>
      <c r="P9767" t="s">
        <v>3788</v>
      </c>
      <c r="V9767">
        <v>14</v>
      </c>
    </row>
    <row r="9768" spans="1:22" customFormat="1" ht="15" x14ac:dyDescent="0.25">
      <c r="A9768" t="s">
        <v>299</v>
      </c>
      <c r="E9768" s="1524" t="s">
        <v>6909</v>
      </c>
      <c r="F9768" s="1507"/>
      <c r="G9768" s="360" t="s">
        <v>777</v>
      </c>
      <c r="H9768" s="576">
        <v>1.23</v>
      </c>
      <c r="K9768" t="s">
        <v>3785</v>
      </c>
      <c r="L9768" t="s">
        <v>690</v>
      </c>
      <c r="P9768" t="s">
        <v>6920</v>
      </c>
      <c r="T9768">
        <v>46142</v>
      </c>
      <c r="V9768">
        <v>78</v>
      </c>
    </row>
    <row r="9769" spans="1:22" customFormat="1" ht="15" x14ac:dyDescent="0.25">
      <c r="A9769" t="s">
        <v>299</v>
      </c>
      <c r="E9769" s="1524" t="s">
        <v>3688</v>
      </c>
      <c r="F9769" s="1524"/>
      <c r="G9769" s="360" t="s">
        <v>845</v>
      </c>
      <c r="H9769" s="577">
        <v>5.1299999999999998E-2</v>
      </c>
      <c r="K9769" t="s">
        <v>3785</v>
      </c>
      <c r="L9769" t="s">
        <v>690</v>
      </c>
      <c r="P9769" t="s">
        <v>3789</v>
      </c>
      <c r="V9769">
        <v>28</v>
      </c>
    </row>
    <row r="9770" spans="1:22" customFormat="1" ht="15" x14ac:dyDescent="0.25">
      <c r="A9770" t="s">
        <v>299</v>
      </c>
      <c r="E9770" s="1524" t="s">
        <v>6909</v>
      </c>
      <c r="F9770" s="1507"/>
      <c r="G9770" s="360" t="s">
        <v>845</v>
      </c>
      <c r="H9770" s="577">
        <v>4.3E-3</v>
      </c>
      <c r="K9770" t="s">
        <v>3785</v>
      </c>
      <c r="L9770" t="s">
        <v>690</v>
      </c>
      <c r="P9770" t="s">
        <v>6921</v>
      </c>
      <c r="T9770">
        <v>46142</v>
      </c>
      <c r="V9770">
        <v>78</v>
      </c>
    </row>
    <row r="9771" spans="1:22" customFormat="1" ht="15" x14ac:dyDescent="0.25">
      <c r="A9771" t="s">
        <v>299</v>
      </c>
      <c r="E9771" s="1524" t="s">
        <v>243</v>
      </c>
      <c r="F9771" s="1524"/>
      <c r="G9771" s="360" t="s">
        <v>845</v>
      </c>
      <c r="H9771" s="577">
        <v>9.7000000000000003E-3</v>
      </c>
      <c r="K9771" t="s">
        <v>3785</v>
      </c>
      <c r="L9771" t="s">
        <v>694</v>
      </c>
      <c r="P9771" t="s">
        <v>3793</v>
      </c>
      <c r="V9771">
        <v>47</v>
      </c>
    </row>
    <row r="9772" spans="1:22" customFormat="1" ht="15" x14ac:dyDescent="0.25">
      <c r="A9772" t="s">
        <v>299</v>
      </c>
      <c r="E9772" s="1533" t="s">
        <v>967</v>
      </c>
      <c r="F9772" s="1524"/>
      <c r="G9772" s="360"/>
      <c r="H9772" s="360"/>
      <c r="K9772" t="s">
        <v>1019</v>
      </c>
      <c r="V9772">
        <v>48</v>
      </c>
    </row>
    <row r="9773" spans="1:22" customFormat="1" ht="22.5" x14ac:dyDescent="0.25">
      <c r="A9773" t="s">
        <v>299</v>
      </c>
      <c r="E9773" s="943" t="s">
        <v>6910</v>
      </c>
      <c r="F9773" s="943"/>
      <c r="G9773" s="1578" t="s">
        <v>845</v>
      </c>
      <c r="H9773" s="1580">
        <v>-4.0000000000000002E-4</v>
      </c>
      <c r="K9773" t="s">
        <v>3785</v>
      </c>
      <c r="L9773" t="s">
        <v>692</v>
      </c>
      <c r="P9773" t="s">
        <v>6922</v>
      </c>
      <c r="V9773">
        <v>83</v>
      </c>
    </row>
    <row r="9774" spans="1:22" customFormat="1" ht="15" x14ac:dyDescent="0.25">
      <c r="A9774" t="s">
        <v>299</v>
      </c>
      <c r="E9774" s="943" t="s">
        <v>6912</v>
      </c>
      <c r="F9774" s="943"/>
      <c r="G9774" s="1579"/>
      <c r="H9774" s="1581"/>
      <c r="K9774" t="s">
        <v>3785</v>
      </c>
      <c r="V9774">
        <v>44</v>
      </c>
    </row>
    <row r="9775" spans="1:22" customFormat="1" ht="15" x14ac:dyDescent="0.25">
      <c r="A9775" t="s">
        <v>299</v>
      </c>
      <c r="E9775" s="1524" t="s">
        <v>844</v>
      </c>
      <c r="F9775" s="1524"/>
      <c r="G9775" s="360" t="s">
        <v>845</v>
      </c>
      <c r="H9775" s="605">
        <v>4.1000000000000003E-3</v>
      </c>
      <c r="K9775" t="s">
        <v>3785</v>
      </c>
      <c r="L9775" t="s">
        <v>968</v>
      </c>
      <c r="P9775" t="s">
        <v>3795</v>
      </c>
      <c r="V9775">
        <v>55</v>
      </c>
    </row>
    <row r="9776" spans="1:22" customFormat="1" ht="15" x14ac:dyDescent="0.25">
      <c r="A9776" t="s">
        <v>299</v>
      </c>
      <c r="E9776" s="1524" t="s">
        <v>846</v>
      </c>
      <c r="F9776" s="1524"/>
      <c r="G9776" s="360" t="s">
        <v>845</v>
      </c>
      <c r="H9776" s="605">
        <v>4.0000000000000002E-4</v>
      </c>
      <c r="K9776" t="s">
        <v>3785</v>
      </c>
      <c r="L9776" t="s">
        <v>968</v>
      </c>
      <c r="P9776" t="s">
        <v>3795</v>
      </c>
      <c r="V9776">
        <v>65</v>
      </c>
    </row>
    <row r="9777" spans="1:22" customFormat="1" ht="15" x14ac:dyDescent="0.25">
      <c r="A9777" t="s">
        <v>299</v>
      </c>
      <c r="E9777" s="1524" t="s">
        <v>847</v>
      </c>
      <c r="F9777" s="1524"/>
      <c r="G9777" s="360" t="s">
        <v>845</v>
      </c>
      <c r="H9777" s="605">
        <v>1.5E-3</v>
      </c>
      <c r="K9777" t="s">
        <v>3785</v>
      </c>
      <c r="L9777" t="s">
        <v>968</v>
      </c>
      <c r="P9777" t="s">
        <v>3796</v>
      </c>
      <c r="V9777">
        <v>57</v>
      </c>
    </row>
    <row r="9778" spans="1:22" customFormat="1" ht="15" x14ac:dyDescent="0.25">
      <c r="A9778" t="s">
        <v>299</v>
      </c>
      <c r="E9778" s="1524" t="s">
        <v>848</v>
      </c>
      <c r="F9778" s="1524"/>
      <c r="G9778" s="360" t="s">
        <v>777</v>
      </c>
      <c r="H9778" s="604">
        <v>0.25</v>
      </c>
      <c r="K9778" t="s">
        <v>3785</v>
      </c>
      <c r="L9778" t="s">
        <v>968</v>
      </c>
      <c r="P9778" t="s">
        <v>3797</v>
      </c>
      <c r="V9778">
        <v>63</v>
      </c>
    </row>
    <row r="9779" spans="1:22" customFormat="1" x14ac:dyDescent="0.25">
      <c r="A9779" t="s">
        <v>299</v>
      </c>
      <c r="E9779" s="1538" t="s">
        <v>198</v>
      </c>
      <c r="F9779" s="1571"/>
      <c r="G9779" s="1571"/>
      <c r="H9779" s="1571"/>
      <c r="K9779" t="s">
        <v>3798</v>
      </c>
      <c r="V9779">
        <v>40</v>
      </c>
    </row>
    <row r="9780" spans="1:22" customFormat="1" ht="15" x14ac:dyDescent="0.25">
      <c r="A9780" t="s">
        <v>299</v>
      </c>
      <c r="E9780" s="1496" t="s">
        <v>5606</v>
      </c>
      <c r="F9780" s="1496"/>
      <c r="G9780" s="1496"/>
      <c r="H9780" s="1496"/>
      <c r="K9780" t="s">
        <v>3798</v>
      </c>
      <c r="V9780">
        <v>391</v>
      </c>
    </row>
    <row r="9781" spans="1:22" customFormat="1" ht="15" x14ac:dyDescent="0.25">
      <c r="A9781" t="s">
        <v>299</v>
      </c>
      <c r="E9781" s="1533" t="s">
        <v>950</v>
      </c>
      <c r="F9781" s="1496"/>
      <c r="G9781" s="1496"/>
      <c r="H9781" s="1496"/>
      <c r="K9781" t="s">
        <v>1025</v>
      </c>
      <c r="V9781">
        <v>11</v>
      </c>
    </row>
    <row r="9782" spans="1:22" customFormat="1" ht="15" x14ac:dyDescent="0.25">
      <c r="A9782" t="s">
        <v>299</v>
      </c>
      <c r="E9782" s="1496" t="s">
        <v>951</v>
      </c>
      <c r="F9782" s="1496"/>
      <c r="G9782" s="1496"/>
      <c r="H9782" s="1496"/>
      <c r="K9782" t="s">
        <v>3798</v>
      </c>
      <c r="V9782">
        <v>280</v>
      </c>
    </row>
    <row r="9783" spans="1:22" customFormat="1" ht="15" x14ac:dyDescent="0.25">
      <c r="A9783" t="s">
        <v>299</v>
      </c>
      <c r="E9783" s="1496" t="s">
        <v>952</v>
      </c>
      <c r="F9783" s="1496"/>
      <c r="G9783" s="1496"/>
      <c r="H9783" s="1496"/>
      <c r="K9783" t="s">
        <v>3798</v>
      </c>
      <c r="V9783">
        <v>411</v>
      </c>
    </row>
    <row r="9784" spans="1:22" customFormat="1" ht="15" x14ac:dyDescent="0.25">
      <c r="A9784" t="s">
        <v>299</v>
      </c>
      <c r="E9784" s="1496" t="s">
        <v>3761</v>
      </c>
      <c r="F9784" s="1496"/>
      <c r="G9784" s="1496"/>
      <c r="H9784" s="1496"/>
      <c r="K9784" t="s">
        <v>3798</v>
      </c>
      <c r="V9784">
        <v>387</v>
      </c>
    </row>
    <row r="9785" spans="1:22" customFormat="1" ht="15" x14ac:dyDescent="0.25">
      <c r="A9785" t="s">
        <v>299</v>
      </c>
      <c r="E9785" s="1496" t="s">
        <v>3762</v>
      </c>
      <c r="F9785" s="1496"/>
      <c r="G9785" s="1496"/>
      <c r="H9785" s="1496"/>
      <c r="K9785" t="s">
        <v>3798</v>
      </c>
      <c r="V9785">
        <v>247</v>
      </c>
    </row>
    <row r="9786" spans="1:22" customFormat="1" ht="15" x14ac:dyDescent="0.25">
      <c r="A9786" t="s">
        <v>299</v>
      </c>
      <c r="E9786" s="1533" t="s">
        <v>956</v>
      </c>
      <c r="F9786" s="1496"/>
      <c r="G9786" s="1496"/>
      <c r="H9786" s="1496"/>
      <c r="K9786" t="s">
        <v>1026</v>
      </c>
      <c r="V9786">
        <v>46</v>
      </c>
    </row>
    <row r="9787" spans="1:22" customFormat="1" ht="15" x14ac:dyDescent="0.25">
      <c r="A9787" t="s">
        <v>299</v>
      </c>
      <c r="E9787" s="1524" t="s">
        <v>3874</v>
      </c>
      <c r="F9787" s="1524"/>
      <c r="G9787" s="360" t="s">
        <v>777</v>
      </c>
      <c r="H9787" s="576">
        <v>4.7</v>
      </c>
      <c r="K9787" t="s">
        <v>3798</v>
      </c>
      <c r="L9787" t="s">
        <v>690</v>
      </c>
      <c r="P9787" t="s">
        <v>3801</v>
      </c>
      <c r="V9787">
        <v>31</v>
      </c>
    </row>
    <row r="9788" spans="1:22" customFormat="1" ht="15" x14ac:dyDescent="0.25">
      <c r="A9788" t="s">
        <v>299</v>
      </c>
      <c r="E9788" s="1524" t="s">
        <v>6909</v>
      </c>
      <c r="F9788" s="1507"/>
      <c r="G9788" s="360" t="s">
        <v>777</v>
      </c>
      <c r="H9788" s="576">
        <v>0.39</v>
      </c>
      <c r="K9788" t="s">
        <v>3798</v>
      </c>
      <c r="L9788" t="s">
        <v>690</v>
      </c>
      <c r="P9788" t="s">
        <v>6923</v>
      </c>
      <c r="T9788">
        <v>46142</v>
      </c>
      <c r="V9788">
        <v>78</v>
      </c>
    </row>
    <row r="9789" spans="1:22" customFormat="1" ht="15" x14ac:dyDescent="0.25">
      <c r="A9789" t="s">
        <v>299</v>
      </c>
      <c r="E9789" s="1524" t="s">
        <v>3688</v>
      </c>
      <c r="F9789" s="1524"/>
      <c r="G9789" s="360" t="s">
        <v>3775</v>
      </c>
      <c r="H9789" s="577">
        <v>43.838799999999999</v>
      </c>
      <c r="K9789" t="s">
        <v>3798</v>
      </c>
      <c r="L9789" t="s">
        <v>690</v>
      </c>
      <c r="P9789" t="s">
        <v>3802</v>
      </c>
      <c r="V9789">
        <v>28</v>
      </c>
    </row>
    <row r="9790" spans="1:22" customFormat="1" ht="15" x14ac:dyDescent="0.25">
      <c r="A9790" t="s">
        <v>299</v>
      </c>
      <c r="E9790" s="1524" t="s">
        <v>6909</v>
      </c>
      <c r="F9790" s="1507"/>
      <c r="G9790" s="360" t="s">
        <v>3775</v>
      </c>
      <c r="H9790" s="577">
        <v>3.6591999999999998</v>
      </c>
      <c r="K9790" t="s">
        <v>3798</v>
      </c>
      <c r="L9790" t="s">
        <v>690</v>
      </c>
      <c r="P9790" t="s">
        <v>6924</v>
      </c>
      <c r="T9790">
        <v>46142</v>
      </c>
      <c r="V9790">
        <v>78</v>
      </c>
    </row>
    <row r="9791" spans="1:22" customFormat="1" ht="15" x14ac:dyDescent="0.25">
      <c r="A9791" t="s">
        <v>299</v>
      </c>
      <c r="E9791" s="1524" t="s">
        <v>243</v>
      </c>
      <c r="F9791" s="1524"/>
      <c r="G9791" s="360" t="s">
        <v>3775</v>
      </c>
      <c r="H9791" s="577">
        <v>2.9323999999999999</v>
      </c>
      <c r="K9791" t="s">
        <v>3798</v>
      </c>
      <c r="L9791" t="s">
        <v>694</v>
      </c>
      <c r="P9791" t="s">
        <v>3806</v>
      </c>
      <c r="V9791">
        <v>47</v>
      </c>
    </row>
    <row r="9792" spans="1:22" customFormat="1" ht="15" x14ac:dyDescent="0.25">
      <c r="A9792" t="s">
        <v>299</v>
      </c>
      <c r="E9792" s="1533" t="s">
        <v>967</v>
      </c>
      <c r="F9792" s="1524"/>
      <c r="G9792" s="360"/>
      <c r="H9792" s="360"/>
      <c r="K9792" t="s">
        <v>1035</v>
      </c>
      <c r="V9792">
        <v>48</v>
      </c>
    </row>
    <row r="9793" spans="1:22" customFormat="1" ht="22.5" x14ac:dyDescent="0.25">
      <c r="A9793" t="s">
        <v>299</v>
      </c>
      <c r="E9793" s="943" t="s">
        <v>6910</v>
      </c>
      <c r="F9793" s="943"/>
      <c r="G9793" s="1578" t="s">
        <v>845</v>
      </c>
      <c r="H9793" s="1580">
        <v>-4.0000000000000002E-4</v>
      </c>
      <c r="K9793" t="s">
        <v>3798</v>
      </c>
      <c r="L9793" t="s">
        <v>692</v>
      </c>
      <c r="P9793" t="s">
        <v>6925</v>
      </c>
      <c r="V9793">
        <v>83</v>
      </c>
    </row>
    <row r="9794" spans="1:22" customFormat="1" ht="15" x14ac:dyDescent="0.25">
      <c r="A9794" t="s">
        <v>299</v>
      </c>
      <c r="E9794" s="943" t="s">
        <v>6912</v>
      </c>
      <c r="F9794" s="943"/>
      <c r="G9794" s="1579"/>
      <c r="H9794" s="1581"/>
      <c r="K9794" t="s">
        <v>3798</v>
      </c>
      <c r="V9794">
        <v>44</v>
      </c>
    </row>
    <row r="9795" spans="1:22" customFormat="1" ht="15" x14ac:dyDescent="0.25">
      <c r="A9795" t="s">
        <v>299</v>
      </c>
      <c r="E9795" s="1524" t="s">
        <v>844</v>
      </c>
      <c r="F9795" s="1524"/>
      <c r="G9795" s="360" t="s">
        <v>845</v>
      </c>
      <c r="H9795" s="605">
        <v>4.1000000000000003E-3</v>
      </c>
      <c r="K9795" t="s">
        <v>3798</v>
      </c>
      <c r="L9795" t="s">
        <v>968</v>
      </c>
      <c r="P9795" t="s">
        <v>3808</v>
      </c>
      <c r="V9795">
        <v>55</v>
      </c>
    </row>
    <row r="9796" spans="1:22" customFormat="1" ht="15" x14ac:dyDescent="0.25">
      <c r="A9796" t="s">
        <v>299</v>
      </c>
      <c r="E9796" s="1524" t="s">
        <v>846</v>
      </c>
      <c r="F9796" s="1524"/>
      <c r="G9796" s="360" t="s">
        <v>845</v>
      </c>
      <c r="H9796" s="605">
        <v>4.0000000000000002E-4</v>
      </c>
      <c r="K9796" t="s">
        <v>3798</v>
      </c>
      <c r="L9796" t="s">
        <v>968</v>
      </c>
      <c r="P9796" t="s">
        <v>3808</v>
      </c>
      <c r="V9796">
        <v>65</v>
      </c>
    </row>
    <row r="9797" spans="1:22" customFormat="1" ht="15" x14ac:dyDescent="0.25">
      <c r="A9797" t="s">
        <v>299</v>
      </c>
      <c r="E9797" s="1524" t="s">
        <v>847</v>
      </c>
      <c r="F9797" s="1524"/>
      <c r="G9797" s="360" t="s">
        <v>845</v>
      </c>
      <c r="H9797" s="605">
        <v>1.5E-3</v>
      </c>
      <c r="K9797" t="s">
        <v>3798</v>
      </c>
      <c r="L9797" t="s">
        <v>968</v>
      </c>
      <c r="P9797" t="s">
        <v>3809</v>
      </c>
      <c r="V9797">
        <v>57</v>
      </c>
    </row>
    <row r="9798" spans="1:22" customFormat="1" ht="15" x14ac:dyDescent="0.25">
      <c r="A9798" t="s">
        <v>299</v>
      </c>
      <c r="E9798" s="1524" t="s">
        <v>848</v>
      </c>
      <c r="F9798" s="1524"/>
      <c r="G9798" s="360" t="s">
        <v>777</v>
      </c>
      <c r="H9798" s="604">
        <v>0.25</v>
      </c>
      <c r="K9798" t="s">
        <v>3798</v>
      </c>
      <c r="L9798" t="s">
        <v>968</v>
      </c>
      <c r="P9798" t="s">
        <v>3810</v>
      </c>
      <c r="V9798">
        <v>63</v>
      </c>
    </row>
    <row r="9799" spans="1:22" customFormat="1" x14ac:dyDescent="0.25">
      <c r="A9799" t="s">
        <v>299</v>
      </c>
      <c r="E9799" s="1538" t="s">
        <v>202</v>
      </c>
      <c r="F9799" s="1571"/>
      <c r="G9799" s="1571"/>
      <c r="H9799" s="1571"/>
      <c r="K9799" t="s">
        <v>3811</v>
      </c>
      <c r="V9799">
        <v>38</v>
      </c>
    </row>
    <row r="9800" spans="1:22" customFormat="1" ht="15" x14ac:dyDescent="0.25">
      <c r="A9800" t="s">
        <v>299</v>
      </c>
      <c r="E9800" s="1496" t="s">
        <v>5607</v>
      </c>
      <c r="F9800" s="1496"/>
      <c r="G9800" s="1496"/>
      <c r="H9800" s="1496"/>
      <c r="K9800" t="s">
        <v>3811</v>
      </c>
      <c r="V9800">
        <v>555</v>
      </c>
    </row>
    <row r="9801" spans="1:22" customFormat="1" ht="15" x14ac:dyDescent="0.25">
      <c r="A9801" t="s">
        <v>299</v>
      </c>
      <c r="E9801" s="1533" t="s">
        <v>950</v>
      </c>
      <c r="F9801" s="1496"/>
      <c r="G9801" s="1496"/>
      <c r="H9801" s="1496"/>
      <c r="K9801" t="s">
        <v>1041</v>
      </c>
      <c r="V9801">
        <v>11</v>
      </c>
    </row>
    <row r="9802" spans="1:22" customFormat="1" ht="15" x14ac:dyDescent="0.25">
      <c r="A9802" t="s">
        <v>299</v>
      </c>
      <c r="E9802" s="1496" t="s">
        <v>951</v>
      </c>
      <c r="F9802" s="1496"/>
      <c r="G9802" s="1496"/>
      <c r="H9802" s="1496"/>
      <c r="K9802" t="s">
        <v>3811</v>
      </c>
      <c r="V9802">
        <v>280</v>
      </c>
    </row>
    <row r="9803" spans="1:22" customFormat="1" ht="15" x14ac:dyDescent="0.25">
      <c r="A9803" t="s">
        <v>299</v>
      </c>
      <c r="E9803" s="1496" t="s">
        <v>952</v>
      </c>
      <c r="F9803" s="1496"/>
      <c r="G9803" s="1496"/>
      <c r="H9803" s="1496"/>
      <c r="K9803" t="s">
        <v>3811</v>
      </c>
      <c r="V9803">
        <v>411</v>
      </c>
    </row>
    <row r="9804" spans="1:22" customFormat="1" ht="15" x14ac:dyDescent="0.25">
      <c r="A9804" t="s">
        <v>299</v>
      </c>
      <c r="E9804" s="1496" t="s">
        <v>3761</v>
      </c>
      <c r="F9804" s="1496"/>
      <c r="G9804" s="1496"/>
      <c r="H9804" s="1496"/>
      <c r="K9804" t="s">
        <v>3811</v>
      </c>
      <c r="V9804">
        <v>387</v>
      </c>
    </row>
    <row r="9805" spans="1:22" customFormat="1" ht="15" x14ac:dyDescent="0.25">
      <c r="A9805" t="s">
        <v>299</v>
      </c>
      <c r="E9805" s="1496" t="s">
        <v>3762</v>
      </c>
      <c r="F9805" s="1496"/>
      <c r="G9805" s="1496"/>
      <c r="H9805" s="1496"/>
      <c r="K9805" t="s">
        <v>3811</v>
      </c>
      <c r="V9805">
        <v>247</v>
      </c>
    </row>
    <row r="9806" spans="1:22" customFormat="1" ht="15" x14ac:dyDescent="0.25">
      <c r="A9806" t="s">
        <v>299</v>
      </c>
      <c r="E9806" s="1533" t="s">
        <v>956</v>
      </c>
      <c r="F9806" s="1496"/>
      <c r="G9806" s="1496"/>
      <c r="H9806" s="1496"/>
      <c r="K9806" t="s">
        <v>1042</v>
      </c>
      <c r="V9806">
        <v>46</v>
      </c>
    </row>
    <row r="9807" spans="1:22" customFormat="1" ht="15" x14ac:dyDescent="0.25">
      <c r="A9807" t="s">
        <v>299</v>
      </c>
      <c r="E9807" s="1524" t="s">
        <v>3874</v>
      </c>
      <c r="F9807" s="1524"/>
      <c r="G9807" s="360" t="s">
        <v>777</v>
      </c>
      <c r="H9807" s="576">
        <v>1.81</v>
      </c>
      <c r="K9807" t="s">
        <v>3811</v>
      </c>
      <c r="L9807" t="s">
        <v>690</v>
      </c>
      <c r="P9807" t="s">
        <v>3813</v>
      </c>
      <c r="V9807">
        <v>31</v>
      </c>
    </row>
    <row r="9808" spans="1:22" customFormat="1" ht="15" x14ac:dyDescent="0.25">
      <c r="A9808" t="s">
        <v>299</v>
      </c>
      <c r="E9808" s="1524" t="s">
        <v>6909</v>
      </c>
      <c r="F9808" s="1507"/>
      <c r="G9808" s="360" t="s">
        <v>777</v>
      </c>
      <c r="H9808" s="576">
        <v>0.15</v>
      </c>
      <c r="K9808" t="s">
        <v>3811</v>
      </c>
      <c r="L9808" t="s">
        <v>690</v>
      </c>
      <c r="P9808" t="s">
        <v>6926</v>
      </c>
      <c r="T9808">
        <v>46142</v>
      </c>
      <c r="V9808">
        <v>78</v>
      </c>
    </row>
    <row r="9809" spans="1:22" customFormat="1" ht="15" x14ac:dyDescent="0.25">
      <c r="A9809" t="s">
        <v>299</v>
      </c>
      <c r="E9809" s="1524" t="s">
        <v>3688</v>
      </c>
      <c r="F9809" s="1524"/>
      <c r="G9809" s="360" t="s">
        <v>3775</v>
      </c>
      <c r="H9809" s="577">
        <v>11.8072</v>
      </c>
      <c r="K9809" t="s">
        <v>3811</v>
      </c>
      <c r="L9809" t="s">
        <v>690</v>
      </c>
      <c r="P9809" t="s">
        <v>3814</v>
      </c>
      <c r="V9809">
        <v>28</v>
      </c>
    </row>
    <row r="9810" spans="1:22" customFormat="1" ht="15" x14ac:dyDescent="0.25">
      <c r="A9810" t="s">
        <v>299</v>
      </c>
      <c r="E9810" s="1524" t="s">
        <v>6909</v>
      </c>
      <c r="F9810" s="1507"/>
      <c r="G9810" s="360" t="s">
        <v>3775</v>
      </c>
      <c r="H9810" s="577">
        <v>0.98550000000000004</v>
      </c>
      <c r="K9810" t="s">
        <v>3811</v>
      </c>
      <c r="L9810" t="s">
        <v>690</v>
      </c>
      <c r="P9810" t="s">
        <v>6927</v>
      </c>
      <c r="T9810">
        <v>46142</v>
      </c>
      <c r="V9810">
        <v>78</v>
      </c>
    </row>
    <row r="9811" spans="1:22" customFormat="1" ht="15" x14ac:dyDescent="0.25">
      <c r="A9811" t="s">
        <v>299</v>
      </c>
      <c r="E9811" s="1524" t="s">
        <v>243</v>
      </c>
      <c r="F9811" s="1524"/>
      <c r="G9811" s="360" t="s">
        <v>3775</v>
      </c>
      <c r="H9811" s="577">
        <v>2.9178999999999999</v>
      </c>
      <c r="K9811" t="s">
        <v>3811</v>
      </c>
      <c r="L9811" t="s">
        <v>694</v>
      </c>
      <c r="P9811" t="s">
        <v>3818</v>
      </c>
      <c r="V9811">
        <v>47</v>
      </c>
    </row>
    <row r="9812" spans="1:22" customFormat="1" ht="15" x14ac:dyDescent="0.25">
      <c r="A9812" t="s">
        <v>299</v>
      </c>
      <c r="E9812" s="1533" t="s">
        <v>967</v>
      </c>
      <c r="F9812" s="1524"/>
      <c r="G9812" s="360"/>
      <c r="H9812" s="360"/>
      <c r="K9812" t="s">
        <v>1049</v>
      </c>
      <c r="V9812">
        <v>48</v>
      </c>
    </row>
    <row r="9813" spans="1:22" customFormat="1" ht="22.5" x14ac:dyDescent="0.25">
      <c r="A9813" t="s">
        <v>299</v>
      </c>
      <c r="E9813" s="943" t="s">
        <v>6910</v>
      </c>
      <c r="F9813" s="943"/>
      <c r="G9813" s="1578" t="s">
        <v>845</v>
      </c>
      <c r="H9813" s="1580">
        <v>-4.0000000000000002E-4</v>
      </c>
      <c r="K9813" t="s">
        <v>3811</v>
      </c>
      <c r="L9813" t="s">
        <v>692</v>
      </c>
      <c r="P9813" t="s">
        <v>6928</v>
      </c>
      <c r="V9813">
        <v>83</v>
      </c>
    </row>
    <row r="9814" spans="1:22" customFormat="1" ht="15" x14ac:dyDescent="0.25">
      <c r="A9814" t="s">
        <v>299</v>
      </c>
      <c r="E9814" s="943" t="s">
        <v>6912</v>
      </c>
      <c r="F9814" s="943"/>
      <c r="G9814" s="1579"/>
      <c r="H9814" s="1581"/>
      <c r="K9814" t="s">
        <v>3811</v>
      </c>
      <c r="V9814">
        <v>44</v>
      </c>
    </row>
    <row r="9815" spans="1:22" customFormat="1" ht="15" x14ac:dyDescent="0.25">
      <c r="A9815" t="s">
        <v>299</v>
      </c>
      <c r="E9815" s="1524" t="s">
        <v>844</v>
      </c>
      <c r="F9815" s="1524"/>
      <c r="G9815" s="360" t="s">
        <v>845</v>
      </c>
      <c r="H9815" s="605">
        <v>4.1000000000000003E-3</v>
      </c>
      <c r="K9815" t="s">
        <v>3811</v>
      </c>
      <c r="L9815" t="s">
        <v>968</v>
      </c>
      <c r="P9815" t="s">
        <v>3820</v>
      </c>
      <c r="V9815">
        <v>55</v>
      </c>
    </row>
    <row r="9816" spans="1:22" customFormat="1" ht="15" x14ac:dyDescent="0.25">
      <c r="A9816" t="s">
        <v>299</v>
      </c>
      <c r="E9816" s="1524" t="s">
        <v>846</v>
      </c>
      <c r="F9816" s="1524"/>
      <c r="G9816" s="360" t="s">
        <v>845</v>
      </c>
      <c r="H9816" s="605">
        <v>4.0000000000000002E-4</v>
      </c>
      <c r="K9816" t="s">
        <v>3811</v>
      </c>
      <c r="L9816" t="s">
        <v>968</v>
      </c>
      <c r="P9816" t="s">
        <v>3820</v>
      </c>
      <c r="V9816">
        <v>65</v>
      </c>
    </row>
    <row r="9817" spans="1:22" customFormat="1" ht="15" x14ac:dyDescent="0.25">
      <c r="A9817" t="s">
        <v>299</v>
      </c>
      <c r="E9817" s="1524" t="s">
        <v>847</v>
      </c>
      <c r="F9817" s="1524"/>
      <c r="G9817" s="360" t="s">
        <v>845</v>
      </c>
      <c r="H9817" s="605">
        <v>1.5E-3</v>
      </c>
      <c r="K9817" t="s">
        <v>3811</v>
      </c>
      <c r="L9817" t="s">
        <v>968</v>
      </c>
      <c r="P9817" t="s">
        <v>3821</v>
      </c>
      <c r="V9817">
        <v>57</v>
      </c>
    </row>
    <row r="9818" spans="1:22" customFormat="1" ht="15" x14ac:dyDescent="0.25">
      <c r="A9818" t="s">
        <v>299</v>
      </c>
      <c r="E9818" s="1524" t="s">
        <v>848</v>
      </c>
      <c r="F9818" s="1524"/>
      <c r="G9818" s="360" t="s">
        <v>777</v>
      </c>
      <c r="H9818" s="604">
        <v>0.25</v>
      </c>
      <c r="K9818" t="s">
        <v>3811</v>
      </c>
      <c r="L9818" t="s">
        <v>968</v>
      </c>
      <c r="P9818" t="s">
        <v>3822</v>
      </c>
      <c r="V9818">
        <v>63</v>
      </c>
    </row>
    <row r="9819" spans="1:22" customFormat="1" x14ac:dyDescent="0.25">
      <c r="A9819" t="s">
        <v>299</v>
      </c>
      <c r="E9819" s="1538" t="s">
        <v>207</v>
      </c>
      <c r="F9819" s="1571"/>
      <c r="G9819" s="1571"/>
      <c r="H9819" s="1571"/>
      <c r="K9819" t="s">
        <v>3823</v>
      </c>
      <c r="V9819">
        <v>31</v>
      </c>
    </row>
    <row r="9820" spans="1:22" customFormat="1" ht="15" x14ac:dyDescent="0.25">
      <c r="A9820" t="s">
        <v>299</v>
      </c>
      <c r="E9820" s="1496" t="s">
        <v>5256</v>
      </c>
      <c r="F9820" s="1496"/>
      <c r="G9820" s="1496"/>
      <c r="H9820" s="1496"/>
      <c r="K9820" t="s">
        <v>3823</v>
      </c>
      <c r="V9820">
        <v>286</v>
      </c>
    </row>
    <row r="9821" spans="1:22" customFormat="1" ht="15" x14ac:dyDescent="0.25">
      <c r="A9821" t="s">
        <v>299</v>
      </c>
      <c r="E9821" s="1533" t="s">
        <v>950</v>
      </c>
      <c r="F9821" s="1496"/>
      <c r="G9821" s="1496"/>
      <c r="H9821" s="1496"/>
      <c r="K9821" t="s">
        <v>1055</v>
      </c>
      <c r="V9821">
        <v>11</v>
      </c>
    </row>
    <row r="9822" spans="1:22" customFormat="1" ht="15" x14ac:dyDescent="0.25">
      <c r="A9822" t="s">
        <v>299</v>
      </c>
      <c r="E9822" s="1496" t="s">
        <v>951</v>
      </c>
      <c r="F9822" s="1496"/>
      <c r="G9822" s="1496"/>
      <c r="H9822" s="1496"/>
      <c r="K9822" t="s">
        <v>3823</v>
      </c>
      <c r="V9822">
        <v>280</v>
      </c>
    </row>
    <row r="9823" spans="1:22" customFormat="1" ht="15" x14ac:dyDescent="0.25">
      <c r="A9823" t="s">
        <v>299</v>
      </c>
      <c r="E9823" s="1496" t="s">
        <v>952</v>
      </c>
      <c r="F9823" s="1496"/>
      <c r="G9823" s="1496"/>
      <c r="H9823" s="1496"/>
      <c r="K9823" t="s">
        <v>3823</v>
      </c>
      <c r="V9823">
        <v>411</v>
      </c>
    </row>
    <row r="9824" spans="1:22" customFormat="1" ht="15" x14ac:dyDescent="0.25">
      <c r="A9824" t="s">
        <v>299</v>
      </c>
      <c r="E9824" s="1496" t="s">
        <v>1103</v>
      </c>
      <c r="F9824" s="1496"/>
      <c r="G9824" s="1496"/>
      <c r="H9824" s="1496"/>
      <c r="K9824" t="s">
        <v>3823</v>
      </c>
      <c r="V9824">
        <v>211</v>
      </c>
    </row>
    <row r="9825" spans="1:22" customFormat="1" ht="15" x14ac:dyDescent="0.25">
      <c r="A9825" t="s">
        <v>299</v>
      </c>
      <c r="E9825" s="1496" t="s">
        <v>3762</v>
      </c>
      <c r="F9825" s="1496"/>
      <c r="G9825" s="1496"/>
      <c r="H9825" s="1496"/>
      <c r="K9825" t="s">
        <v>3823</v>
      </c>
      <c r="V9825">
        <v>247</v>
      </c>
    </row>
    <row r="9826" spans="1:22" customFormat="1" ht="15" x14ac:dyDescent="0.25">
      <c r="A9826" t="s">
        <v>299</v>
      </c>
      <c r="E9826" s="1533" t="s">
        <v>956</v>
      </c>
      <c r="F9826" s="1496"/>
      <c r="G9826" s="1496"/>
      <c r="H9826" s="1496"/>
      <c r="K9826" t="s">
        <v>1056</v>
      </c>
      <c r="V9826">
        <v>46</v>
      </c>
    </row>
    <row r="9827" spans="1:22" customFormat="1" ht="15" x14ac:dyDescent="0.25">
      <c r="A9827" t="s">
        <v>299</v>
      </c>
      <c r="E9827" s="1524" t="s">
        <v>3773</v>
      </c>
      <c r="F9827" s="1524"/>
      <c r="G9827" s="360" t="s">
        <v>777</v>
      </c>
      <c r="H9827" s="576">
        <v>5</v>
      </c>
      <c r="K9827" t="s">
        <v>3823</v>
      </c>
      <c r="L9827" t="s">
        <v>690</v>
      </c>
      <c r="P9827" t="s">
        <v>3824</v>
      </c>
      <c r="V9827">
        <v>14</v>
      </c>
    </row>
    <row r="9828" spans="1:22" customFormat="1" ht="18.75" x14ac:dyDescent="0.3">
      <c r="A9828" t="s">
        <v>299</v>
      </c>
      <c r="E9828" s="842" t="s">
        <v>3825</v>
      </c>
      <c r="F9828" s="639"/>
      <c r="G9828" s="906"/>
      <c r="H9828" s="640"/>
      <c r="K9828" t="s">
        <v>5608</v>
      </c>
      <c r="V9828">
        <v>10</v>
      </c>
    </row>
    <row r="9829" spans="1:22" customFormat="1" ht="15" x14ac:dyDescent="0.25">
      <c r="A9829" t="s">
        <v>299</v>
      </c>
      <c r="E9829" s="1524" t="s">
        <v>1078</v>
      </c>
      <c r="F9829" s="1524"/>
      <c r="G9829" s="360" t="s">
        <v>3775</v>
      </c>
      <c r="H9829" s="605">
        <v>-0.6</v>
      </c>
      <c r="V9829">
        <v>68</v>
      </c>
    </row>
    <row r="9830" spans="1:22" customFormat="1" ht="15" x14ac:dyDescent="0.25">
      <c r="A9830" t="s">
        <v>299</v>
      </c>
      <c r="E9830" s="1524" t="s">
        <v>3827</v>
      </c>
      <c r="F9830" s="1524"/>
      <c r="G9830" s="360" t="s">
        <v>1118</v>
      </c>
      <c r="H9830" s="604">
        <v>-1</v>
      </c>
      <c r="V9830">
        <v>89</v>
      </c>
    </row>
    <row r="9831" spans="1:22" customFormat="1" ht="36" x14ac:dyDescent="0.3">
      <c r="A9831" t="s">
        <v>299</v>
      </c>
      <c r="E9831" s="842" t="s">
        <v>3828</v>
      </c>
      <c r="F9831" s="639"/>
      <c r="G9831" s="906"/>
      <c r="H9831" s="640"/>
      <c r="K9831" t="s">
        <v>5609</v>
      </c>
      <c r="V9831">
        <v>24</v>
      </c>
    </row>
    <row r="9832" spans="1:22" customFormat="1" ht="15" x14ac:dyDescent="0.25">
      <c r="A9832" t="s">
        <v>299</v>
      </c>
      <c r="E9832" s="1496" t="s">
        <v>951</v>
      </c>
      <c r="F9832" s="1496"/>
      <c r="G9832" s="1496"/>
      <c r="H9832" s="1496"/>
      <c r="V9832">
        <v>280</v>
      </c>
    </row>
    <row r="9833" spans="1:22" customFormat="1" ht="15" x14ac:dyDescent="0.25">
      <c r="A9833" t="s">
        <v>299</v>
      </c>
      <c r="E9833" s="1496" t="s">
        <v>1081</v>
      </c>
      <c r="F9833" s="1496"/>
      <c r="G9833" s="1496"/>
      <c r="H9833" s="1496"/>
      <c r="V9833">
        <v>353</v>
      </c>
    </row>
    <row r="9834" spans="1:22" customFormat="1" ht="15" x14ac:dyDescent="0.25">
      <c r="A9834" t="s">
        <v>299</v>
      </c>
      <c r="E9834" s="1496" t="s">
        <v>3762</v>
      </c>
      <c r="F9834" s="1496"/>
      <c r="G9834" s="1496"/>
      <c r="H9834" s="1496"/>
      <c r="V9834">
        <v>247</v>
      </c>
    </row>
    <row r="9835" spans="1:22" customFormat="1" ht="15" x14ac:dyDescent="0.25">
      <c r="A9835" t="s">
        <v>299</v>
      </c>
      <c r="E9835" s="844" t="s">
        <v>3830</v>
      </c>
      <c r="F9835" s="276"/>
      <c r="G9835" s="907"/>
      <c r="H9835" s="641"/>
      <c r="K9835" t="s">
        <v>5610</v>
      </c>
      <c r="V9835">
        <v>23</v>
      </c>
    </row>
    <row r="9836" spans="1:22" customFormat="1" ht="15" x14ac:dyDescent="0.25">
      <c r="A9836" t="s">
        <v>299</v>
      </c>
      <c r="E9836" s="1525" t="s">
        <v>3837</v>
      </c>
      <c r="F9836" s="1525"/>
      <c r="G9836" s="360" t="s">
        <v>777</v>
      </c>
      <c r="H9836" s="604">
        <v>30</v>
      </c>
      <c r="V9836">
        <v>89</v>
      </c>
    </row>
    <row r="9837" spans="1:22" customFormat="1" ht="15" x14ac:dyDescent="0.25">
      <c r="A9837" t="s">
        <v>299</v>
      </c>
      <c r="E9837" s="1525" t="s">
        <v>3836</v>
      </c>
      <c r="F9837" s="1525"/>
      <c r="G9837" s="360" t="s">
        <v>777</v>
      </c>
      <c r="H9837" s="604">
        <v>15</v>
      </c>
      <c r="V9837">
        <v>35</v>
      </c>
    </row>
    <row r="9838" spans="1:22" customFormat="1" ht="15" x14ac:dyDescent="0.25">
      <c r="A9838" t="s">
        <v>299</v>
      </c>
      <c r="E9838" s="1525" t="s">
        <v>4059</v>
      </c>
      <c r="F9838" s="1525"/>
      <c r="G9838" s="360" t="s">
        <v>777</v>
      </c>
      <c r="H9838" s="604">
        <v>15</v>
      </c>
      <c r="V9838">
        <v>19</v>
      </c>
    </row>
    <row r="9839" spans="1:22" customFormat="1" ht="15" x14ac:dyDescent="0.25">
      <c r="A9839" t="s">
        <v>299</v>
      </c>
      <c r="E9839" s="1525" t="s">
        <v>3838</v>
      </c>
      <c r="F9839" s="1525"/>
      <c r="G9839" s="360" t="s">
        <v>777</v>
      </c>
      <c r="H9839" s="604">
        <v>30</v>
      </c>
      <c r="V9839">
        <v>74</v>
      </c>
    </row>
    <row r="9840" spans="1:22" customFormat="1" ht="15" x14ac:dyDescent="0.25">
      <c r="A9840" t="s">
        <v>299</v>
      </c>
      <c r="E9840" s="844" t="s">
        <v>4062</v>
      </c>
      <c r="F9840" s="276"/>
      <c r="G9840" s="907"/>
      <c r="H9840" s="641"/>
      <c r="K9840" t="s">
        <v>5611</v>
      </c>
      <c r="V9840">
        <v>22</v>
      </c>
    </row>
    <row r="9841" spans="1:22" customFormat="1" ht="15" x14ac:dyDescent="0.25">
      <c r="A9841" t="s">
        <v>299</v>
      </c>
      <c r="E9841" s="1525" t="s">
        <v>3841</v>
      </c>
      <c r="F9841" s="1525"/>
      <c r="G9841" s="360" t="s">
        <v>1118</v>
      </c>
      <c r="H9841" s="604">
        <v>1.5</v>
      </c>
      <c r="V9841">
        <v>100</v>
      </c>
    </row>
    <row r="9842" spans="1:22" customFormat="1" ht="15" x14ac:dyDescent="0.25">
      <c r="A9842" t="s">
        <v>299</v>
      </c>
      <c r="E9842" s="1525" t="s">
        <v>4803</v>
      </c>
      <c r="F9842" s="1525"/>
      <c r="G9842" s="360" t="s">
        <v>777</v>
      </c>
      <c r="H9842" s="604">
        <v>65</v>
      </c>
      <c r="V9842">
        <v>53</v>
      </c>
    </row>
    <row r="9843" spans="1:22" customFormat="1" ht="15" x14ac:dyDescent="0.25">
      <c r="A9843" t="s">
        <v>299</v>
      </c>
      <c r="E9843" s="1525" t="s">
        <v>5612</v>
      </c>
      <c r="F9843" s="1525"/>
      <c r="G9843" s="360" t="s">
        <v>777</v>
      </c>
      <c r="H9843" s="604">
        <v>185</v>
      </c>
      <c r="V9843">
        <v>44</v>
      </c>
    </row>
    <row r="9844" spans="1:22" customFormat="1" ht="15" x14ac:dyDescent="0.25">
      <c r="A9844" t="s">
        <v>299</v>
      </c>
      <c r="E9844" s="1525" t="s">
        <v>4805</v>
      </c>
      <c r="F9844" s="1525"/>
      <c r="G9844" s="360" t="s">
        <v>777</v>
      </c>
      <c r="H9844" s="604">
        <v>185</v>
      </c>
      <c r="V9844">
        <v>52</v>
      </c>
    </row>
    <row r="9845" spans="1:22" customFormat="1" ht="15" x14ac:dyDescent="0.25">
      <c r="A9845" t="s">
        <v>299</v>
      </c>
      <c r="E9845" s="1525" t="s">
        <v>5613</v>
      </c>
      <c r="F9845" s="1525"/>
      <c r="G9845" s="360" t="s">
        <v>777</v>
      </c>
      <c r="H9845" s="604">
        <v>415</v>
      </c>
      <c r="V9845">
        <v>43</v>
      </c>
    </row>
    <row r="9846" spans="1:22" customFormat="1" ht="15" x14ac:dyDescent="0.25">
      <c r="A9846" t="s">
        <v>299</v>
      </c>
      <c r="E9846" s="844" t="s">
        <v>3846</v>
      </c>
      <c r="F9846" s="276"/>
      <c r="G9846" s="907"/>
      <c r="H9846" s="641"/>
      <c r="V9846">
        <v>5</v>
      </c>
    </row>
    <row r="9847" spans="1:22" customFormat="1" ht="15" x14ac:dyDescent="0.25">
      <c r="A9847" t="s">
        <v>299</v>
      </c>
      <c r="E9847" s="1525" t="s">
        <v>3914</v>
      </c>
      <c r="F9847" s="1525"/>
      <c r="G9847" s="360" t="s">
        <v>777</v>
      </c>
      <c r="H9847" s="604">
        <v>30</v>
      </c>
      <c r="V9847">
        <v>19</v>
      </c>
    </row>
    <row r="9848" spans="1:22" customFormat="1" ht="15" x14ac:dyDescent="0.25">
      <c r="A9848" t="s">
        <v>299</v>
      </c>
      <c r="E9848" s="1525" t="s">
        <v>5308</v>
      </c>
      <c r="F9848" s="1525"/>
      <c r="G9848" s="360"/>
      <c r="H9848" s="616" t="s">
        <v>5614</v>
      </c>
      <c r="V9848">
        <v>39</v>
      </c>
    </row>
    <row r="9849" spans="1:22" customFormat="1" ht="15" x14ac:dyDescent="0.25">
      <c r="A9849" t="s">
        <v>299</v>
      </c>
      <c r="E9849" s="1525" t="s">
        <v>3847</v>
      </c>
      <c r="F9849" s="1525"/>
      <c r="G9849" s="360"/>
      <c r="H9849" s="616" t="s">
        <v>5614</v>
      </c>
      <c r="V9849">
        <v>34</v>
      </c>
    </row>
    <row r="9850" spans="1:22" customFormat="1" ht="15" x14ac:dyDescent="0.25">
      <c r="A9850" t="s">
        <v>299</v>
      </c>
      <c r="E9850" s="1525" t="s">
        <v>3848</v>
      </c>
      <c r="F9850" s="1525"/>
      <c r="G9850" s="360"/>
      <c r="H9850" s="616" t="s">
        <v>5614</v>
      </c>
      <c r="V9850">
        <v>64</v>
      </c>
    </row>
    <row r="9851" spans="1:22" customFormat="1" ht="15" x14ac:dyDescent="0.25">
      <c r="A9851" t="s">
        <v>299</v>
      </c>
      <c r="E9851" s="1525" t="s">
        <v>4808</v>
      </c>
      <c r="F9851" s="1525"/>
      <c r="G9851" s="360"/>
      <c r="H9851" s="616" t="s">
        <v>5614</v>
      </c>
      <c r="V9851">
        <v>67</v>
      </c>
    </row>
    <row r="9852" spans="1:22" customFormat="1" ht="15" x14ac:dyDescent="0.25">
      <c r="A9852" t="s">
        <v>299</v>
      </c>
      <c r="E9852" s="1525" t="s">
        <v>3849</v>
      </c>
      <c r="F9852" s="1525"/>
      <c r="G9852" s="360"/>
      <c r="H9852" s="616" t="s">
        <v>5614</v>
      </c>
      <c r="V9852">
        <v>66</v>
      </c>
    </row>
    <row r="9853" spans="1:22" customFormat="1" ht="15" x14ac:dyDescent="0.25">
      <c r="A9853" t="s">
        <v>299</v>
      </c>
      <c r="E9853" s="1757" t="s">
        <v>5023</v>
      </c>
      <c r="F9853" s="1525"/>
      <c r="G9853" s="360" t="s">
        <v>777</v>
      </c>
      <c r="H9853" s="604">
        <v>39.14</v>
      </c>
      <c r="V9853">
        <v>104</v>
      </c>
    </row>
    <row r="9854" spans="1:22" customFormat="1" ht="15" x14ac:dyDescent="0.25">
      <c r="A9854" t="s">
        <v>299</v>
      </c>
      <c r="E9854" s="1525" t="s">
        <v>5615</v>
      </c>
      <c r="F9854" s="1525"/>
      <c r="G9854" s="360"/>
      <c r="H9854" s="616" t="s">
        <v>5614</v>
      </c>
      <c r="V9854">
        <v>48</v>
      </c>
    </row>
    <row r="9855" spans="1:22" customFormat="1" ht="15" x14ac:dyDescent="0.25">
      <c r="A9855" t="s">
        <v>299</v>
      </c>
      <c r="E9855" s="1525" t="s">
        <v>5616</v>
      </c>
      <c r="F9855" s="1525"/>
      <c r="G9855" s="360"/>
      <c r="H9855" s="616" t="s">
        <v>5614</v>
      </c>
      <c r="V9855">
        <v>39</v>
      </c>
    </row>
    <row r="9856" spans="1:22" customFormat="1" ht="15" x14ac:dyDescent="0.25">
      <c r="A9856" t="s">
        <v>299</v>
      </c>
      <c r="E9856" s="1525" t="s">
        <v>5617</v>
      </c>
      <c r="F9856" s="1525"/>
      <c r="G9856" s="360"/>
      <c r="H9856" s="616" t="s">
        <v>5614</v>
      </c>
      <c r="V9856">
        <v>36</v>
      </c>
    </row>
    <row r="9857" spans="1:22" customFormat="1" ht="36" x14ac:dyDescent="0.3">
      <c r="A9857" t="s">
        <v>299</v>
      </c>
      <c r="E9857" s="842" t="s">
        <v>3851</v>
      </c>
      <c r="F9857" s="639"/>
      <c r="G9857" s="906"/>
      <c r="H9857" s="640"/>
      <c r="K9857" t="s">
        <v>5618</v>
      </c>
      <c r="V9857">
        <v>38</v>
      </c>
    </row>
    <row r="9858" spans="1:22" customFormat="1" ht="15" x14ac:dyDescent="0.25">
      <c r="A9858" t="s">
        <v>299</v>
      </c>
      <c r="E9858" s="1496" t="s">
        <v>951</v>
      </c>
      <c r="F9858" s="1496"/>
      <c r="G9858" s="1496"/>
      <c r="H9858" s="1496"/>
      <c r="V9858">
        <v>280</v>
      </c>
    </row>
    <row r="9859" spans="1:22" customFormat="1" ht="15" x14ac:dyDescent="0.25">
      <c r="A9859" t="s">
        <v>299</v>
      </c>
      <c r="E9859" s="1496" t="s">
        <v>952</v>
      </c>
      <c r="F9859" s="1496"/>
      <c r="G9859" s="1496"/>
      <c r="H9859" s="1496"/>
      <c r="V9859">
        <v>411</v>
      </c>
    </row>
    <row r="9860" spans="1:22" customFormat="1" ht="15" x14ac:dyDescent="0.25">
      <c r="A9860" t="s">
        <v>299</v>
      </c>
      <c r="E9860" s="1496" t="s">
        <v>1103</v>
      </c>
      <c r="F9860" s="1496"/>
      <c r="G9860" s="1496"/>
      <c r="H9860" s="1496"/>
      <c r="V9860">
        <v>211</v>
      </c>
    </row>
    <row r="9861" spans="1:22" customFormat="1" ht="15" x14ac:dyDescent="0.25">
      <c r="A9861" t="s">
        <v>299</v>
      </c>
      <c r="E9861" s="1496" t="s">
        <v>3762</v>
      </c>
      <c r="F9861" s="1496"/>
      <c r="G9861" s="1496"/>
      <c r="H9861" s="1496"/>
      <c r="V9861">
        <v>247</v>
      </c>
    </row>
    <row r="9862" spans="1:22" customFormat="1" ht="15" x14ac:dyDescent="0.25">
      <c r="A9862" t="s">
        <v>299</v>
      </c>
      <c r="E9862" s="1496" t="s">
        <v>1104</v>
      </c>
      <c r="F9862" s="1496"/>
      <c r="G9862" s="1496"/>
      <c r="H9862" s="1496"/>
      <c r="V9862">
        <v>142</v>
      </c>
    </row>
    <row r="9863" spans="1:22" customFormat="1" ht="15" x14ac:dyDescent="0.25">
      <c r="A9863" t="s">
        <v>299</v>
      </c>
      <c r="E9863" s="1524" t="s">
        <v>849</v>
      </c>
      <c r="F9863" s="1524"/>
      <c r="G9863" s="908" t="s">
        <v>777</v>
      </c>
      <c r="H9863" s="604">
        <v>121.23</v>
      </c>
      <c r="V9863">
        <v>106</v>
      </c>
    </row>
    <row r="9864" spans="1:22" customFormat="1" ht="15" x14ac:dyDescent="0.25">
      <c r="A9864" t="s">
        <v>299</v>
      </c>
      <c r="E9864" s="1524" t="s">
        <v>850</v>
      </c>
      <c r="F9864" s="1524"/>
      <c r="G9864" s="908" t="s">
        <v>777</v>
      </c>
      <c r="H9864" s="604">
        <v>48.5</v>
      </c>
      <c r="V9864">
        <v>34</v>
      </c>
    </row>
    <row r="9865" spans="1:22" customFormat="1" ht="15" x14ac:dyDescent="0.25">
      <c r="A9865" t="s">
        <v>299</v>
      </c>
      <c r="E9865" s="1524" t="s">
        <v>851</v>
      </c>
      <c r="F9865" s="1524"/>
      <c r="G9865" s="908" t="s">
        <v>852</v>
      </c>
      <c r="H9865" s="604">
        <v>1.2</v>
      </c>
      <c r="V9865">
        <v>51</v>
      </c>
    </row>
    <row r="9866" spans="1:22" customFormat="1" ht="15" x14ac:dyDescent="0.25">
      <c r="A9866" t="s">
        <v>299</v>
      </c>
      <c r="E9866" s="1524" t="s">
        <v>853</v>
      </c>
      <c r="F9866" s="1524"/>
      <c r="G9866" s="908" t="s">
        <v>852</v>
      </c>
      <c r="H9866" s="604">
        <v>0.71</v>
      </c>
      <c r="V9866">
        <v>75</v>
      </c>
    </row>
    <row r="9867" spans="1:22" customFormat="1" ht="15" x14ac:dyDescent="0.25">
      <c r="A9867" t="s">
        <v>299</v>
      </c>
      <c r="E9867" s="1524" t="s">
        <v>854</v>
      </c>
      <c r="F9867" s="1524"/>
      <c r="G9867" s="908" t="s">
        <v>852</v>
      </c>
      <c r="H9867" s="604">
        <v>-0.71</v>
      </c>
      <c r="V9867">
        <v>72</v>
      </c>
    </row>
    <row r="9868" spans="1:22" customFormat="1" ht="15" x14ac:dyDescent="0.25">
      <c r="A9868" t="s">
        <v>299</v>
      </c>
      <c r="E9868" s="1524" t="s">
        <v>855</v>
      </c>
      <c r="F9868" s="1524"/>
      <c r="G9868" s="908"/>
      <c r="H9868" s="616"/>
      <c r="V9868">
        <v>34</v>
      </c>
    </row>
    <row r="9869" spans="1:22" customFormat="1" ht="15" x14ac:dyDescent="0.25">
      <c r="A9869" t="s">
        <v>299</v>
      </c>
      <c r="E9869" s="1557" t="s">
        <v>1106</v>
      </c>
      <c r="F9869" s="1557"/>
      <c r="G9869" s="908" t="s">
        <v>777</v>
      </c>
      <c r="H9869" s="604">
        <v>0.61</v>
      </c>
      <c r="V9869">
        <v>57</v>
      </c>
    </row>
    <row r="9870" spans="1:22" customFormat="1" ht="15" x14ac:dyDescent="0.25">
      <c r="A9870" t="s">
        <v>299</v>
      </c>
      <c r="E9870" s="1557" t="s">
        <v>1107</v>
      </c>
      <c r="F9870" s="1557"/>
      <c r="G9870" s="908" t="s">
        <v>777</v>
      </c>
      <c r="H9870" s="604">
        <v>1.2</v>
      </c>
      <c r="V9870">
        <v>60</v>
      </c>
    </row>
    <row r="9871" spans="1:22" customFormat="1" ht="15" x14ac:dyDescent="0.25">
      <c r="A9871" t="s">
        <v>299</v>
      </c>
      <c r="E9871" s="1524" t="s">
        <v>1108</v>
      </c>
      <c r="F9871" s="1524"/>
      <c r="G9871" s="908"/>
      <c r="H9871" s="616"/>
      <c r="V9871">
        <v>91</v>
      </c>
    </row>
    <row r="9872" spans="1:22" customFormat="1" ht="15" x14ac:dyDescent="0.25">
      <c r="A9872" t="s">
        <v>299</v>
      </c>
      <c r="E9872" s="1524" t="s">
        <v>1109</v>
      </c>
      <c r="F9872" s="1524"/>
      <c r="G9872" s="908"/>
      <c r="H9872" s="616"/>
      <c r="V9872">
        <v>96</v>
      </c>
    </row>
    <row r="9873" spans="1:22" customFormat="1" ht="15" x14ac:dyDescent="0.25">
      <c r="A9873" t="s">
        <v>299</v>
      </c>
      <c r="E9873" s="1524" t="s">
        <v>856</v>
      </c>
      <c r="F9873" s="1524"/>
      <c r="G9873" s="908"/>
      <c r="H9873" s="616"/>
      <c r="V9873">
        <v>77</v>
      </c>
    </row>
    <row r="9874" spans="1:22" customFormat="1" ht="15" x14ac:dyDescent="0.25">
      <c r="A9874" t="s">
        <v>299</v>
      </c>
      <c r="E9874" s="1557" t="s">
        <v>1111</v>
      </c>
      <c r="F9874" s="1557"/>
      <c r="G9874" s="908" t="s">
        <v>777</v>
      </c>
      <c r="H9874" s="616" t="s">
        <v>857</v>
      </c>
      <c r="V9874">
        <v>18</v>
      </c>
    </row>
    <row r="9875" spans="1:22" customFormat="1" ht="15" x14ac:dyDescent="0.25">
      <c r="A9875" t="s">
        <v>299</v>
      </c>
      <c r="E9875" s="1557" t="s">
        <v>1112</v>
      </c>
      <c r="F9875" s="1557"/>
      <c r="G9875" s="908" t="s">
        <v>777</v>
      </c>
      <c r="H9875" s="604">
        <v>4.8499999999999996</v>
      </c>
      <c r="V9875">
        <v>69</v>
      </c>
    </row>
    <row r="9876" spans="1:22" customFormat="1" ht="15" x14ac:dyDescent="0.25">
      <c r="A9876" t="s">
        <v>299</v>
      </c>
      <c r="E9876" s="1524" t="s">
        <v>858</v>
      </c>
      <c r="F9876" s="1524"/>
      <c r="G9876" s="908" t="s">
        <v>777</v>
      </c>
      <c r="H9876" s="604">
        <v>2.42</v>
      </c>
      <c r="V9876">
        <v>199</v>
      </c>
    </row>
    <row r="9877" spans="1:22" customFormat="1" ht="18.75" x14ac:dyDescent="0.25">
      <c r="A9877" t="s">
        <v>299</v>
      </c>
      <c r="E9877" s="842" t="s">
        <v>3853</v>
      </c>
      <c r="F9877" s="660"/>
      <c r="G9877" s="906"/>
      <c r="H9877" s="661"/>
      <c r="K9877" t="s">
        <v>5619</v>
      </c>
      <c r="V9877">
        <v>12</v>
      </c>
    </row>
    <row r="9878" spans="1:22" customFormat="1" ht="15" x14ac:dyDescent="0.25">
      <c r="A9878" t="s">
        <v>299</v>
      </c>
      <c r="E9878" s="1524" t="s">
        <v>1114</v>
      </c>
      <c r="F9878" s="1524"/>
      <c r="G9878" s="1524"/>
      <c r="H9878" s="1524"/>
      <c r="V9878">
        <v>203</v>
      </c>
    </row>
    <row r="9879" spans="1:22" customFormat="1" ht="15" x14ac:dyDescent="0.25">
      <c r="A9879" t="s">
        <v>299</v>
      </c>
      <c r="E9879" s="1524" t="s">
        <v>1115</v>
      </c>
      <c r="F9879" s="1524"/>
      <c r="G9879" s="360"/>
      <c r="H9879" s="616">
        <v>1.0462</v>
      </c>
      <c r="V9879">
        <v>57</v>
      </c>
    </row>
    <row r="9880" spans="1:22" customFormat="1" ht="15" x14ac:dyDescent="0.25">
      <c r="A9880" t="s">
        <v>299</v>
      </c>
      <c r="E9880" s="1524" t="s">
        <v>1117</v>
      </c>
      <c r="F9880" s="1524"/>
      <c r="G9880" s="360"/>
      <c r="H9880" s="616">
        <v>1.0357000000000001</v>
      </c>
      <c r="J9880" t="s">
        <v>5620</v>
      </c>
      <c r="V9880">
        <v>55</v>
      </c>
    </row>
    <row r="9881" spans="1:22" customFormat="1" ht="23.25" x14ac:dyDescent="0.25">
      <c r="A9881" t="s">
        <v>303</v>
      </c>
      <c r="C9881" t="s">
        <v>3755</v>
      </c>
      <c r="E9881" s="1685" t="s">
        <v>303</v>
      </c>
      <c r="F9881" s="1685"/>
      <c r="G9881" s="1685"/>
      <c r="H9881" s="1685"/>
      <c r="I9881" t="s">
        <v>94</v>
      </c>
      <c r="J9881" t="s">
        <v>5621</v>
      </c>
      <c r="K9881" t="s">
        <v>303</v>
      </c>
      <c r="M9881">
        <v>7</v>
      </c>
      <c r="V9881">
        <v>37</v>
      </c>
    </row>
    <row r="9882" spans="1:22" customFormat="1" x14ac:dyDescent="0.25">
      <c r="A9882" t="s">
        <v>303</v>
      </c>
      <c r="C9882" t="s">
        <v>3757</v>
      </c>
      <c r="E9882" s="1686" t="s">
        <v>944</v>
      </c>
      <c r="F9882" s="1686"/>
      <c r="G9882" s="1686"/>
      <c r="H9882" s="1686"/>
      <c r="V9882">
        <v>27</v>
      </c>
    </row>
    <row r="9883" spans="1:22" customFormat="1" ht="15.75" x14ac:dyDescent="0.25">
      <c r="A9883" t="s">
        <v>303</v>
      </c>
      <c r="C9883" t="s">
        <v>3758</v>
      </c>
      <c r="E9883" s="1585" t="s">
        <v>6847</v>
      </c>
      <c r="F9883" s="1585"/>
      <c r="G9883" s="1585"/>
      <c r="H9883" s="1585"/>
      <c r="S9883">
        <v>45778</v>
      </c>
      <c r="V9883">
        <v>45</v>
      </c>
    </row>
    <row r="9884" spans="1:22" customFormat="1" ht="15" x14ac:dyDescent="0.25">
      <c r="A9884" t="s">
        <v>303</v>
      </c>
      <c r="C9884" t="s">
        <v>3759</v>
      </c>
      <c r="E9884" s="1679" t="s">
        <v>945</v>
      </c>
      <c r="F9884" s="1679"/>
      <c r="G9884" s="1679"/>
      <c r="H9884" s="1679"/>
      <c r="V9884">
        <v>52</v>
      </c>
    </row>
    <row r="9885" spans="1:22" customFormat="1" ht="15" x14ac:dyDescent="0.25">
      <c r="A9885" t="s">
        <v>303</v>
      </c>
      <c r="E9885" s="1679" t="s">
        <v>946</v>
      </c>
      <c r="F9885" s="1679"/>
      <c r="G9885" s="1679"/>
      <c r="H9885" s="1679"/>
      <c r="V9885">
        <v>53</v>
      </c>
    </row>
    <row r="9886" spans="1:22" customFormat="1" ht="15" x14ac:dyDescent="0.25">
      <c r="A9886" t="s">
        <v>303</v>
      </c>
      <c r="E9886" s="1680" t="s">
        <v>6929</v>
      </c>
      <c r="F9886" s="1680"/>
      <c r="G9886" s="1680"/>
      <c r="H9886" s="1680"/>
      <c r="K9886" t="s">
        <v>6929</v>
      </c>
      <c r="V9886">
        <v>12</v>
      </c>
    </row>
    <row r="9887" spans="1:22" customFormat="1" x14ac:dyDescent="0.25">
      <c r="A9887" t="s">
        <v>303</v>
      </c>
      <c r="E9887" s="1651" t="s">
        <v>170</v>
      </c>
      <c r="F9887" s="1687"/>
      <c r="G9887" s="1687"/>
      <c r="H9887" s="1687"/>
      <c r="K9887" t="s">
        <v>947</v>
      </c>
      <c r="V9887">
        <v>34</v>
      </c>
    </row>
    <row r="9888" spans="1:22" customFormat="1" ht="15" x14ac:dyDescent="0.25">
      <c r="A9888" t="s">
        <v>303</v>
      </c>
      <c r="E9888" s="1496" t="s">
        <v>5622</v>
      </c>
      <c r="F9888" s="1496"/>
      <c r="G9888" s="1496"/>
      <c r="H9888" s="1496"/>
      <c r="K9888" t="s">
        <v>947</v>
      </c>
      <c r="V9888">
        <v>349</v>
      </c>
    </row>
    <row r="9889" spans="1:22" customFormat="1" ht="15" x14ac:dyDescent="0.25">
      <c r="A9889" t="s">
        <v>303</v>
      </c>
      <c r="E9889" s="1496" t="s">
        <v>5623</v>
      </c>
      <c r="F9889" s="1496"/>
      <c r="G9889" s="1496"/>
      <c r="H9889" s="1496"/>
      <c r="K9889" t="s">
        <v>947</v>
      </c>
      <c r="V9889">
        <v>266</v>
      </c>
    </row>
    <row r="9890" spans="1:22" customFormat="1" ht="15" x14ac:dyDescent="0.25">
      <c r="A9890" t="s">
        <v>303</v>
      </c>
      <c r="E9890" s="1562" t="s">
        <v>950</v>
      </c>
      <c r="F9890" s="1650"/>
      <c r="G9890" s="1650"/>
      <c r="H9890" s="1650"/>
      <c r="K9890" t="s">
        <v>949</v>
      </c>
      <c r="V9890">
        <v>11</v>
      </c>
    </row>
    <row r="9891" spans="1:22" customFormat="1" ht="15" x14ac:dyDescent="0.25">
      <c r="A9891" t="s">
        <v>303</v>
      </c>
      <c r="E9891" s="1496" t="s">
        <v>951</v>
      </c>
      <c r="F9891" s="1496"/>
      <c r="G9891" s="1496"/>
      <c r="H9891" s="1496"/>
      <c r="K9891" t="s">
        <v>947</v>
      </c>
      <c r="V9891">
        <v>280</v>
      </c>
    </row>
    <row r="9892" spans="1:22" customFormat="1" ht="15" x14ac:dyDescent="0.25">
      <c r="A9892" t="s">
        <v>303</v>
      </c>
      <c r="E9892" s="1496" t="s">
        <v>952</v>
      </c>
      <c r="F9892" s="1496"/>
      <c r="G9892" s="1496"/>
      <c r="H9892" s="1496"/>
      <c r="K9892" t="s">
        <v>947</v>
      </c>
      <c r="V9892">
        <v>411</v>
      </c>
    </row>
    <row r="9893" spans="1:22" customFormat="1" ht="15" x14ac:dyDescent="0.25">
      <c r="A9893" t="s">
        <v>303</v>
      </c>
      <c r="E9893" s="1496" t="s">
        <v>953</v>
      </c>
      <c r="F9893" s="1496"/>
      <c r="G9893" s="1496"/>
      <c r="H9893" s="1496"/>
      <c r="K9893" t="s">
        <v>947</v>
      </c>
      <c r="V9893">
        <v>386</v>
      </c>
    </row>
    <row r="9894" spans="1:22" customFormat="1" ht="15" x14ac:dyDescent="0.25">
      <c r="A9894" t="s">
        <v>303</v>
      </c>
      <c r="E9894" s="1496" t="s">
        <v>954</v>
      </c>
      <c r="F9894" s="1496"/>
      <c r="G9894" s="1496"/>
      <c r="H9894" s="1496"/>
      <c r="K9894" t="s">
        <v>947</v>
      </c>
      <c r="V9894">
        <v>246</v>
      </c>
    </row>
    <row r="9895" spans="1:22" customFormat="1" ht="15" x14ac:dyDescent="0.25">
      <c r="A9895" t="s">
        <v>303</v>
      </c>
      <c r="E9895" s="1562" t="s">
        <v>956</v>
      </c>
      <c r="F9895" s="1650"/>
      <c r="G9895" s="1650"/>
      <c r="H9895" s="1650"/>
      <c r="K9895" t="s">
        <v>955</v>
      </c>
      <c r="V9895">
        <v>46</v>
      </c>
    </row>
    <row r="9896" spans="1:22" customFormat="1" ht="15" x14ac:dyDescent="0.25">
      <c r="A9896" t="s">
        <v>303</v>
      </c>
      <c r="E9896" s="1524" t="s">
        <v>3763</v>
      </c>
      <c r="F9896" s="1524"/>
      <c r="G9896" s="360" t="s">
        <v>777</v>
      </c>
      <c r="H9896" s="576">
        <v>35.31</v>
      </c>
      <c r="K9896" t="s">
        <v>947</v>
      </c>
      <c r="L9896" t="s">
        <v>690</v>
      </c>
      <c r="P9896" t="s">
        <v>957</v>
      </c>
      <c r="V9896">
        <v>15</v>
      </c>
    </row>
    <row r="9897" spans="1:22" customFormat="1" ht="15" x14ac:dyDescent="0.25">
      <c r="A9897" t="s">
        <v>303</v>
      </c>
      <c r="E9897" s="1524" t="s">
        <v>5624</v>
      </c>
      <c r="F9897" s="1507"/>
      <c r="G9897" s="360" t="s">
        <v>777</v>
      </c>
      <c r="H9897" s="576">
        <v>0.46</v>
      </c>
      <c r="K9897" t="s">
        <v>947</v>
      </c>
      <c r="L9897" t="s">
        <v>690</v>
      </c>
      <c r="P9897" t="s">
        <v>5465</v>
      </c>
      <c r="V9897">
        <v>139</v>
      </c>
    </row>
    <row r="9898" spans="1:22" customFormat="1" ht="15" x14ac:dyDescent="0.25">
      <c r="A9898" t="s">
        <v>303</v>
      </c>
      <c r="E9898" s="1524" t="s">
        <v>960</v>
      </c>
      <c r="F9898" s="1524"/>
      <c r="G9898" s="360" t="s">
        <v>777</v>
      </c>
      <c r="H9898" s="604">
        <v>0.42</v>
      </c>
      <c r="K9898" t="s">
        <v>947</v>
      </c>
      <c r="L9898" t="s">
        <v>692</v>
      </c>
      <c r="P9898" t="s">
        <v>959</v>
      </c>
      <c r="V9898">
        <v>64</v>
      </c>
    </row>
    <row r="9899" spans="1:22" customFormat="1" ht="15" x14ac:dyDescent="0.25">
      <c r="A9899" t="s">
        <v>303</v>
      </c>
      <c r="E9899" s="1524" t="s">
        <v>4086</v>
      </c>
      <c r="F9899" s="1524"/>
      <c r="G9899" s="360" t="s">
        <v>845</v>
      </c>
      <c r="H9899" s="605">
        <v>4.7000000000000002E-3</v>
      </c>
      <c r="K9899" t="s">
        <v>947</v>
      </c>
      <c r="L9899" t="s">
        <v>692</v>
      </c>
      <c r="P9899" t="s">
        <v>961</v>
      </c>
      <c r="V9899">
        <v>25</v>
      </c>
    </row>
    <row r="9900" spans="1:22" customFormat="1" ht="15" x14ac:dyDescent="0.25">
      <c r="A9900" t="s">
        <v>303</v>
      </c>
      <c r="E9900" s="1524" t="s">
        <v>6849</v>
      </c>
      <c r="F9900" s="1510"/>
      <c r="G9900" s="360" t="s">
        <v>845</v>
      </c>
      <c r="H9900" s="605">
        <v>1.21E-2</v>
      </c>
      <c r="K9900" t="s">
        <v>947</v>
      </c>
      <c r="L9900" t="s">
        <v>692</v>
      </c>
      <c r="P9900" t="s">
        <v>962</v>
      </c>
      <c r="T9900">
        <v>46142</v>
      </c>
      <c r="V9900">
        <v>139</v>
      </c>
    </row>
    <row r="9901" spans="1:22" customFormat="1" ht="15" x14ac:dyDescent="0.25">
      <c r="A9901" t="s">
        <v>303</v>
      </c>
      <c r="E9901" s="1524" t="s">
        <v>6850</v>
      </c>
      <c r="F9901" s="1510"/>
      <c r="G9901" s="360" t="s">
        <v>845</v>
      </c>
      <c r="H9901" s="605">
        <v>-1.1999999999999999E-3</v>
      </c>
      <c r="K9901" t="s">
        <v>947</v>
      </c>
      <c r="L9901" t="s">
        <v>692</v>
      </c>
      <c r="P9901" t="s">
        <v>963</v>
      </c>
      <c r="T9901">
        <v>46142</v>
      </c>
      <c r="V9901">
        <v>96</v>
      </c>
    </row>
    <row r="9902" spans="1:22" customFormat="1" ht="15" x14ac:dyDescent="0.25">
      <c r="A9902" t="s">
        <v>303</v>
      </c>
      <c r="E9902" s="1524" t="s">
        <v>6930</v>
      </c>
      <c r="F9902" s="1510"/>
      <c r="G9902" s="360" t="s">
        <v>845</v>
      </c>
      <c r="H9902" s="605">
        <v>2.9999999999999997E-4</v>
      </c>
      <c r="K9902" t="s">
        <v>947</v>
      </c>
      <c r="L9902" t="s">
        <v>692</v>
      </c>
      <c r="P9902" t="s">
        <v>3764</v>
      </c>
      <c r="T9902">
        <v>46142</v>
      </c>
      <c r="V9902">
        <v>145</v>
      </c>
    </row>
    <row r="9903" spans="1:22" customFormat="1" ht="15" x14ac:dyDescent="0.25">
      <c r="A9903" t="s">
        <v>303</v>
      </c>
      <c r="E9903" s="1524" t="s">
        <v>4119</v>
      </c>
      <c r="F9903" s="1524"/>
      <c r="G9903" s="360" t="s">
        <v>845</v>
      </c>
      <c r="H9903" s="577">
        <v>9.9000000000000008E-3</v>
      </c>
      <c r="K9903" t="s">
        <v>947</v>
      </c>
      <c r="L9903" t="s">
        <v>694</v>
      </c>
      <c r="P9903" t="s">
        <v>964</v>
      </c>
      <c r="V9903">
        <v>48</v>
      </c>
    </row>
    <row r="9904" spans="1:22" customFormat="1" ht="15" x14ac:dyDescent="0.25">
      <c r="A9904" t="s">
        <v>303</v>
      </c>
      <c r="E9904" s="1524" t="s">
        <v>4121</v>
      </c>
      <c r="F9904" s="1524"/>
      <c r="G9904" s="360" t="s">
        <v>845</v>
      </c>
      <c r="H9904" s="577">
        <v>7.9000000000000008E-3</v>
      </c>
      <c r="K9904" t="s">
        <v>947</v>
      </c>
      <c r="L9904" t="s">
        <v>694</v>
      </c>
      <c r="P9904" t="s">
        <v>965</v>
      </c>
      <c r="V9904">
        <v>75</v>
      </c>
    </row>
    <row r="9905" spans="1:22" customFormat="1" ht="15" x14ac:dyDescent="0.25">
      <c r="A9905" t="s">
        <v>303</v>
      </c>
      <c r="E9905" s="1533" t="s">
        <v>967</v>
      </c>
      <c r="F9905" s="1524"/>
      <c r="G9905" s="360"/>
      <c r="H9905" s="360"/>
      <c r="K9905" t="s">
        <v>966</v>
      </c>
      <c r="V9905">
        <v>48</v>
      </c>
    </row>
    <row r="9906" spans="1:22" customFormat="1" ht="15" x14ac:dyDescent="0.25">
      <c r="A9906" t="s">
        <v>303</v>
      </c>
      <c r="E9906" s="1524" t="s">
        <v>844</v>
      </c>
      <c r="F9906" s="1524"/>
      <c r="G9906" s="360" t="s">
        <v>845</v>
      </c>
      <c r="H9906" s="605">
        <v>4.1000000000000003E-3</v>
      </c>
      <c r="K9906" t="s">
        <v>947</v>
      </c>
      <c r="L9906" t="s">
        <v>968</v>
      </c>
      <c r="P9906" t="s">
        <v>969</v>
      </c>
      <c r="V9906">
        <v>55</v>
      </c>
    </row>
    <row r="9907" spans="1:22" customFormat="1" ht="15" x14ac:dyDescent="0.25">
      <c r="A9907" t="s">
        <v>303</v>
      </c>
      <c r="E9907" s="1524" t="s">
        <v>846</v>
      </c>
      <c r="F9907" s="1524"/>
      <c r="G9907" s="360" t="s">
        <v>845</v>
      </c>
      <c r="H9907" s="605">
        <v>4.0000000000000002E-4</v>
      </c>
      <c r="K9907" t="s">
        <v>947</v>
      </c>
      <c r="L9907" t="s">
        <v>968</v>
      </c>
      <c r="P9907" t="s">
        <v>969</v>
      </c>
      <c r="V9907">
        <v>65</v>
      </c>
    </row>
    <row r="9908" spans="1:22" customFormat="1" ht="15" x14ac:dyDescent="0.25">
      <c r="A9908" t="s">
        <v>303</v>
      </c>
      <c r="E9908" s="1524" t="s">
        <v>847</v>
      </c>
      <c r="F9908" s="1524"/>
      <c r="G9908" s="360" t="s">
        <v>845</v>
      </c>
      <c r="H9908" s="605">
        <v>1.5E-3</v>
      </c>
      <c r="K9908" t="s">
        <v>947</v>
      </c>
      <c r="L9908" t="s">
        <v>968</v>
      </c>
      <c r="P9908" t="s">
        <v>970</v>
      </c>
      <c r="V9908">
        <v>57</v>
      </c>
    </row>
    <row r="9909" spans="1:22" customFormat="1" ht="15" x14ac:dyDescent="0.25">
      <c r="A9909" t="s">
        <v>303</v>
      </c>
      <c r="E9909" s="1524" t="s">
        <v>848</v>
      </c>
      <c r="F9909" s="1524"/>
      <c r="G9909" s="360" t="s">
        <v>777</v>
      </c>
      <c r="H9909" s="604">
        <v>0.25</v>
      </c>
      <c r="K9909" t="s">
        <v>947</v>
      </c>
      <c r="L9909" t="s">
        <v>968</v>
      </c>
      <c r="P9909" t="s">
        <v>971</v>
      </c>
      <c r="V9909">
        <v>63</v>
      </c>
    </row>
    <row r="9910" spans="1:22" customFormat="1" x14ac:dyDescent="0.25">
      <c r="A9910" t="s">
        <v>303</v>
      </c>
      <c r="E9910" s="1651" t="s">
        <v>174</v>
      </c>
      <c r="F9910" s="1651"/>
      <c r="G9910" s="1651"/>
      <c r="H9910" s="1651"/>
      <c r="K9910" t="s">
        <v>972</v>
      </c>
      <c r="V9910">
        <v>54</v>
      </c>
    </row>
    <row r="9911" spans="1:22" customFormat="1" ht="15" x14ac:dyDescent="0.25">
      <c r="A9911" t="s">
        <v>303</v>
      </c>
      <c r="E9911" s="1496" t="s">
        <v>5625</v>
      </c>
      <c r="F9911" s="1496"/>
      <c r="G9911" s="1496"/>
      <c r="H9911" s="1496"/>
      <c r="K9911" t="s">
        <v>972</v>
      </c>
      <c r="V9911">
        <v>335</v>
      </c>
    </row>
    <row r="9912" spans="1:22" customFormat="1" ht="15" x14ac:dyDescent="0.25">
      <c r="A9912" t="s">
        <v>303</v>
      </c>
      <c r="E9912" s="1562" t="s">
        <v>950</v>
      </c>
      <c r="F9912" s="1650"/>
      <c r="G9912" s="1650"/>
      <c r="H9912" s="1650"/>
      <c r="K9912" t="s">
        <v>974</v>
      </c>
      <c r="V9912">
        <v>11</v>
      </c>
    </row>
    <row r="9913" spans="1:22" customFormat="1" ht="15" x14ac:dyDescent="0.25">
      <c r="A9913" t="s">
        <v>303</v>
      </c>
      <c r="E9913" s="1496" t="s">
        <v>951</v>
      </c>
      <c r="F9913" s="1496"/>
      <c r="G9913" s="1496"/>
      <c r="H9913" s="1496"/>
      <c r="K9913" t="s">
        <v>972</v>
      </c>
      <c r="V9913">
        <v>280</v>
      </c>
    </row>
    <row r="9914" spans="1:22" customFormat="1" ht="15" x14ac:dyDescent="0.25">
      <c r="A9914" t="s">
        <v>303</v>
      </c>
      <c r="E9914" s="1496" t="s">
        <v>952</v>
      </c>
      <c r="F9914" s="1496"/>
      <c r="G9914" s="1496"/>
      <c r="H9914" s="1496"/>
      <c r="K9914" t="s">
        <v>972</v>
      </c>
      <c r="V9914">
        <v>411</v>
      </c>
    </row>
    <row r="9915" spans="1:22" customFormat="1" ht="15" x14ac:dyDescent="0.25">
      <c r="A9915" t="s">
        <v>303</v>
      </c>
      <c r="E9915" s="1496" t="s">
        <v>953</v>
      </c>
      <c r="F9915" s="1496"/>
      <c r="G9915" s="1496"/>
      <c r="H9915" s="1496"/>
      <c r="K9915" t="s">
        <v>972</v>
      </c>
      <c r="V9915">
        <v>386</v>
      </c>
    </row>
    <row r="9916" spans="1:22" customFormat="1" ht="15" x14ac:dyDescent="0.25">
      <c r="A9916" t="s">
        <v>303</v>
      </c>
      <c r="E9916" s="1496" t="s">
        <v>4213</v>
      </c>
      <c r="F9916" s="1496"/>
      <c r="G9916" s="1496"/>
      <c r="H9916" s="1496"/>
      <c r="K9916" t="s">
        <v>972</v>
      </c>
      <c r="V9916">
        <v>247</v>
      </c>
    </row>
    <row r="9917" spans="1:22" customFormat="1" ht="15" x14ac:dyDescent="0.25">
      <c r="A9917" t="s">
        <v>303</v>
      </c>
      <c r="E9917" s="1562" t="s">
        <v>956</v>
      </c>
      <c r="F9917" s="1650"/>
      <c r="G9917" s="1650"/>
      <c r="H9917" s="1650"/>
      <c r="K9917" t="s">
        <v>975</v>
      </c>
      <c r="V9917">
        <v>46</v>
      </c>
    </row>
    <row r="9918" spans="1:22" customFormat="1" ht="15" x14ac:dyDescent="0.25">
      <c r="A9918" t="s">
        <v>303</v>
      </c>
      <c r="E9918" s="1524" t="s">
        <v>3763</v>
      </c>
      <c r="F9918" s="1524"/>
      <c r="G9918" s="360" t="s">
        <v>777</v>
      </c>
      <c r="H9918" s="576">
        <v>36.200000000000003</v>
      </c>
      <c r="K9918" t="s">
        <v>972</v>
      </c>
      <c r="L9918" t="s">
        <v>690</v>
      </c>
      <c r="P9918" t="s">
        <v>976</v>
      </c>
      <c r="V9918">
        <v>15</v>
      </c>
    </row>
    <row r="9919" spans="1:22" customFormat="1" ht="15" x14ac:dyDescent="0.25">
      <c r="A9919" t="s">
        <v>303</v>
      </c>
      <c r="E9919" s="1524" t="s">
        <v>5624</v>
      </c>
      <c r="F9919" s="1510"/>
      <c r="G9919" s="360" t="s">
        <v>777</v>
      </c>
      <c r="H9919" s="604">
        <v>0.97</v>
      </c>
      <c r="K9919" t="s">
        <v>972</v>
      </c>
      <c r="L9919" t="s">
        <v>690</v>
      </c>
      <c r="P9919" t="s">
        <v>5467</v>
      </c>
      <c r="V9919">
        <v>139</v>
      </c>
    </row>
    <row r="9920" spans="1:22" customFormat="1" ht="15" x14ac:dyDescent="0.25">
      <c r="A9920" t="s">
        <v>303</v>
      </c>
      <c r="E9920" s="1524" t="s">
        <v>960</v>
      </c>
      <c r="F9920" s="1524"/>
      <c r="G9920" s="360" t="s">
        <v>777</v>
      </c>
      <c r="H9920" s="604">
        <v>0.42</v>
      </c>
      <c r="K9920" t="s">
        <v>972</v>
      </c>
      <c r="L9920" t="s">
        <v>692</v>
      </c>
      <c r="P9920" t="s">
        <v>977</v>
      </c>
      <c r="V9920">
        <v>64</v>
      </c>
    </row>
    <row r="9921" spans="1:22" customFormat="1" ht="15" x14ac:dyDescent="0.25">
      <c r="A9921" t="s">
        <v>303</v>
      </c>
      <c r="E9921" s="1524" t="s">
        <v>979</v>
      </c>
      <c r="F9921" s="1524"/>
      <c r="G9921" s="360" t="s">
        <v>845</v>
      </c>
      <c r="H9921" s="577">
        <v>1.8200000000000001E-2</v>
      </c>
      <c r="K9921" t="s">
        <v>972</v>
      </c>
      <c r="L9921" t="s">
        <v>690</v>
      </c>
      <c r="P9921" t="s">
        <v>978</v>
      </c>
      <c r="V9921">
        <v>29</v>
      </c>
    </row>
    <row r="9922" spans="1:22" customFormat="1" ht="15" x14ac:dyDescent="0.25">
      <c r="A9922" t="s">
        <v>303</v>
      </c>
      <c r="E9922" s="1524" t="s">
        <v>4086</v>
      </c>
      <c r="F9922" s="1524"/>
      <c r="G9922" s="360" t="s">
        <v>845</v>
      </c>
      <c r="H9922" s="605">
        <v>4.3E-3</v>
      </c>
      <c r="K9922" t="s">
        <v>972</v>
      </c>
      <c r="L9922" t="s">
        <v>692</v>
      </c>
      <c r="P9922" t="s">
        <v>980</v>
      </c>
      <c r="V9922">
        <v>25</v>
      </c>
    </row>
    <row r="9923" spans="1:22" customFormat="1" ht="15" x14ac:dyDescent="0.25">
      <c r="A9923" t="s">
        <v>303</v>
      </c>
      <c r="E9923" s="1524" t="s">
        <v>6849</v>
      </c>
      <c r="F9923" s="1510"/>
      <c r="G9923" s="360" t="s">
        <v>845</v>
      </c>
      <c r="H9923" s="605">
        <v>1.21E-2</v>
      </c>
      <c r="K9923" t="s">
        <v>972</v>
      </c>
      <c r="L9923" t="s">
        <v>692</v>
      </c>
      <c r="P9923" t="s">
        <v>981</v>
      </c>
      <c r="T9923">
        <v>46142</v>
      </c>
      <c r="V9923">
        <v>139</v>
      </c>
    </row>
    <row r="9924" spans="1:22" customFormat="1" ht="15" x14ac:dyDescent="0.25">
      <c r="A9924" t="s">
        <v>303</v>
      </c>
      <c r="E9924" s="1524" t="s">
        <v>6850</v>
      </c>
      <c r="F9924" s="1510"/>
      <c r="G9924" s="360" t="s">
        <v>845</v>
      </c>
      <c r="H9924" s="605">
        <v>-8.9999999999999998E-4</v>
      </c>
      <c r="K9924" t="s">
        <v>972</v>
      </c>
      <c r="L9924" t="s">
        <v>692</v>
      </c>
      <c r="P9924" t="s">
        <v>982</v>
      </c>
      <c r="T9924">
        <v>46142</v>
      </c>
      <c r="V9924">
        <v>96</v>
      </c>
    </row>
    <row r="9925" spans="1:22" customFormat="1" ht="15" x14ac:dyDescent="0.25">
      <c r="A9925" t="s">
        <v>303</v>
      </c>
      <c r="E9925" s="1524" t="s">
        <v>6930</v>
      </c>
      <c r="F9925" s="1510"/>
      <c r="G9925" s="360" t="s">
        <v>845</v>
      </c>
      <c r="H9925" s="605">
        <v>2.9999999999999997E-4</v>
      </c>
      <c r="K9925" t="s">
        <v>972</v>
      </c>
      <c r="L9925" t="s">
        <v>692</v>
      </c>
      <c r="P9925" t="s">
        <v>3766</v>
      </c>
      <c r="T9925">
        <v>46142</v>
      </c>
      <c r="V9925">
        <v>145</v>
      </c>
    </row>
    <row r="9926" spans="1:22" customFormat="1" ht="15" x14ac:dyDescent="0.25">
      <c r="A9926" t="s">
        <v>303</v>
      </c>
      <c r="E9926" s="1524" t="s">
        <v>4119</v>
      </c>
      <c r="F9926" s="1524"/>
      <c r="G9926" s="360" t="s">
        <v>845</v>
      </c>
      <c r="H9926" s="577">
        <v>8.9999999999999993E-3</v>
      </c>
      <c r="K9926" t="s">
        <v>972</v>
      </c>
      <c r="L9926" t="s">
        <v>694</v>
      </c>
      <c r="P9926" t="s">
        <v>983</v>
      </c>
      <c r="V9926">
        <v>48</v>
      </c>
    </row>
    <row r="9927" spans="1:22" customFormat="1" ht="15" x14ac:dyDescent="0.25">
      <c r="A9927" t="s">
        <v>303</v>
      </c>
      <c r="E9927" s="1524" t="s">
        <v>4121</v>
      </c>
      <c r="F9927" s="1524"/>
      <c r="G9927" s="360" t="s">
        <v>845</v>
      </c>
      <c r="H9927" s="577">
        <v>7.1999999999999998E-3</v>
      </c>
      <c r="K9927" t="s">
        <v>972</v>
      </c>
      <c r="L9927" t="s">
        <v>694</v>
      </c>
      <c r="P9927" t="s">
        <v>984</v>
      </c>
      <c r="V9927">
        <v>75</v>
      </c>
    </row>
    <row r="9928" spans="1:22" customFormat="1" ht="15" x14ac:dyDescent="0.25">
      <c r="A9928" t="s">
        <v>303</v>
      </c>
      <c r="E9928" s="1533" t="s">
        <v>967</v>
      </c>
      <c r="F9928" s="1524"/>
      <c r="G9928" s="360"/>
      <c r="H9928" s="846"/>
      <c r="K9928" t="s">
        <v>985</v>
      </c>
      <c r="V9928">
        <v>48</v>
      </c>
    </row>
    <row r="9929" spans="1:22" customFormat="1" ht="15" x14ac:dyDescent="0.25">
      <c r="A9929" t="s">
        <v>303</v>
      </c>
      <c r="E9929" s="1524" t="s">
        <v>844</v>
      </c>
      <c r="F9929" s="1524"/>
      <c r="G9929" s="360" t="s">
        <v>845</v>
      </c>
      <c r="H9929" s="605">
        <v>4.1000000000000003E-3</v>
      </c>
      <c r="K9929" t="s">
        <v>972</v>
      </c>
      <c r="L9929" t="s">
        <v>968</v>
      </c>
      <c r="P9929" t="s">
        <v>986</v>
      </c>
      <c r="V9929">
        <v>55</v>
      </c>
    </row>
    <row r="9930" spans="1:22" customFormat="1" ht="15" x14ac:dyDescent="0.25">
      <c r="A9930" t="s">
        <v>303</v>
      </c>
      <c r="E9930" s="1524" t="s">
        <v>846</v>
      </c>
      <c r="F9930" s="1524"/>
      <c r="G9930" s="360" t="s">
        <v>845</v>
      </c>
      <c r="H9930" s="605">
        <v>4.0000000000000002E-4</v>
      </c>
      <c r="K9930" t="s">
        <v>972</v>
      </c>
      <c r="L9930" t="s">
        <v>968</v>
      </c>
      <c r="P9930" t="s">
        <v>986</v>
      </c>
      <c r="V9930">
        <v>65</v>
      </c>
    </row>
    <row r="9931" spans="1:22" customFormat="1" ht="15" x14ac:dyDescent="0.25">
      <c r="A9931" t="s">
        <v>303</v>
      </c>
      <c r="E9931" s="1524" t="s">
        <v>847</v>
      </c>
      <c r="F9931" s="1524"/>
      <c r="G9931" s="360" t="s">
        <v>845</v>
      </c>
      <c r="H9931" s="605">
        <v>1.5E-3</v>
      </c>
      <c r="K9931" t="s">
        <v>972</v>
      </c>
      <c r="L9931" t="s">
        <v>968</v>
      </c>
      <c r="P9931" t="s">
        <v>987</v>
      </c>
      <c r="V9931">
        <v>57</v>
      </c>
    </row>
    <row r="9932" spans="1:22" customFormat="1" ht="15" x14ac:dyDescent="0.25">
      <c r="A9932" t="s">
        <v>303</v>
      </c>
      <c r="E9932" s="1524" t="s">
        <v>848</v>
      </c>
      <c r="F9932" s="1524"/>
      <c r="G9932" s="360" t="s">
        <v>777</v>
      </c>
      <c r="H9932" s="604">
        <v>0.25</v>
      </c>
      <c r="K9932" t="s">
        <v>972</v>
      </c>
      <c r="L9932" t="s">
        <v>968</v>
      </c>
      <c r="P9932" t="s">
        <v>988</v>
      </c>
      <c r="V9932">
        <v>63</v>
      </c>
    </row>
    <row r="9933" spans="1:22" customFormat="1" x14ac:dyDescent="0.25">
      <c r="A9933" t="s">
        <v>303</v>
      </c>
      <c r="E9933" s="1651" t="s">
        <v>3767</v>
      </c>
      <c r="F9933" s="1651"/>
      <c r="G9933" s="1651"/>
      <c r="H9933" s="1651"/>
      <c r="K9933" t="s">
        <v>3768</v>
      </c>
      <c r="V9933">
        <v>53</v>
      </c>
    </row>
    <row r="9934" spans="1:22" customFormat="1" ht="15" x14ac:dyDescent="0.25">
      <c r="A9934" t="s">
        <v>303</v>
      </c>
      <c r="E9934" s="1496" t="s">
        <v>5626</v>
      </c>
      <c r="F9934" s="1496"/>
      <c r="G9934" s="1496"/>
      <c r="H9934" s="1496"/>
      <c r="K9934" t="s">
        <v>3768</v>
      </c>
      <c r="V9934">
        <v>386</v>
      </c>
    </row>
    <row r="9935" spans="1:22" customFormat="1" ht="15" x14ac:dyDescent="0.25">
      <c r="A9935" t="s">
        <v>303</v>
      </c>
      <c r="E9935" s="1562" t="s">
        <v>950</v>
      </c>
      <c r="F9935" s="1650"/>
      <c r="G9935" s="1650"/>
      <c r="H9935" s="1650"/>
      <c r="K9935" t="s">
        <v>992</v>
      </c>
      <c r="V9935">
        <v>11</v>
      </c>
    </row>
    <row r="9936" spans="1:22" customFormat="1" ht="15" x14ac:dyDescent="0.25">
      <c r="A9936" t="s">
        <v>303</v>
      </c>
      <c r="E9936" s="1496" t="s">
        <v>951</v>
      </c>
      <c r="F9936" s="1496"/>
      <c r="G9936" s="1496"/>
      <c r="H9936" s="1496"/>
      <c r="K9936" t="s">
        <v>3768</v>
      </c>
      <c r="V9936">
        <v>280</v>
      </c>
    </row>
    <row r="9937" spans="1:22" customFormat="1" ht="15" x14ac:dyDescent="0.25">
      <c r="A9937" t="s">
        <v>303</v>
      </c>
      <c r="E9937" s="1496" t="s">
        <v>952</v>
      </c>
      <c r="F9937" s="1496"/>
      <c r="G9937" s="1496"/>
      <c r="H9937" s="1496"/>
      <c r="K9937" t="s">
        <v>3768</v>
      </c>
      <c r="V9937">
        <v>411</v>
      </c>
    </row>
    <row r="9938" spans="1:22" customFormat="1" ht="15" x14ac:dyDescent="0.25">
      <c r="A9938" t="s">
        <v>303</v>
      </c>
      <c r="E9938" s="1496" t="s">
        <v>953</v>
      </c>
      <c r="F9938" s="1496"/>
      <c r="G9938" s="1496"/>
      <c r="H9938" s="1496"/>
      <c r="K9938" t="s">
        <v>3768</v>
      </c>
      <c r="V9938">
        <v>386</v>
      </c>
    </row>
    <row r="9939" spans="1:22" customFormat="1" ht="15" x14ac:dyDescent="0.25">
      <c r="A9939" t="s">
        <v>303</v>
      </c>
      <c r="E9939" s="1496" t="s">
        <v>4741</v>
      </c>
      <c r="F9939" s="1496"/>
      <c r="G9939" s="1496"/>
      <c r="H9939" s="1496"/>
      <c r="K9939" t="s">
        <v>3768</v>
      </c>
      <c r="V9939">
        <v>684</v>
      </c>
    </row>
    <row r="9940" spans="1:22" customFormat="1" ht="15" x14ac:dyDescent="0.25">
      <c r="A9940" t="s">
        <v>303</v>
      </c>
      <c r="E9940" s="1496" t="s">
        <v>3771</v>
      </c>
      <c r="F9940" s="1496"/>
      <c r="G9940" s="1496"/>
      <c r="H9940" s="1496"/>
      <c r="K9940" t="s">
        <v>3768</v>
      </c>
      <c r="V9940">
        <v>677</v>
      </c>
    </row>
    <row r="9941" spans="1:22" customFormat="1" ht="15" x14ac:dyDescent="0.25">
      <c r="A9941" t="s">
        <v>303</v>
      </c>
      <c r="E9941" s="1496" t="s">
        <v>4213</v>
      </c>
      <c r="F9941" s="1496"/>
      <c r="G9941" s="1496"/>
      <c r="H9941" s="1496"/>
      <c r="K9941" t="s">
        <v>3768</v>
      </c>
      <c r="V9941">
        <v>247</v>
      </c>
    </row>
    <row r="9942" spans="1:22" customFormat="1" ht="15" x14ac:dyDescent="0.25">
      <c r="A9942" t="s">
        <v>303</v>
      </c>
      <c r="E9942" s="1562" t="s">
        <v>956</v>
      </c>
      <c r="F9942" s="1650"/>
      <c r="G9942" s="1650"/>
      <c r="H9942" s="1650"/>
      <c r="K9942" t="s">
        <v>995</v>
      </c>
      <c r="V9942">
        <v>46</v>
      </c>
    </row>
    <row r="9943" spans="1:22" customFormat="1" ht="15" x14ac:dyDescent="0.25">
      <c r="A9943" t="s">
        <v>303</v>
      </c>
      <c r="E9943" s="1524" t="s">
        <v>3763</v>
      </c>
      <c r="F9943" s="1524"/>
      <c r="G9943" s="360" t="s">
        <v>777</v>
      </c>
      <c r="H9943" s="576">
        <v>345.04</v>
      </c>
      <c r="K9943" t="s">
        <v>3768</v>
      </c>
      <c r="L9943" t="s">
        <v>690</v>
      </c>
      <c r="P9943" t="s">
        <v>3774</v>
      </c>
      <c r="V9943">
        <v>15</v>
      </c>
    </row>
    <row r="9944" spans="1:22" customFormat="1" ht="15" x14ac:dyDescent="0.25">
      <c r="A9944" t="s">
        <v>303</v>
      </c>
      <c r="E9944" s="1524" t="s">
        <v>5624</v>
      </c>
      <c r="F9944" s="1507"/>
      <c r="G9944" s="360" t="s">
        <v>777</v>
      </c>
      <c r="H9944" s="576">
        <v>11.04</v>
      </c>
      <c r="K9944" t="s">
        <v>3768</v>
      </c>
      <c r="L9944" t="s">
        <v>690</v>
      </c>
      <c r="P9944" t="s">
        <v>6931</v>
      </c>
      <c r="V9944">
        <v>139</v>
      </c>
    </row>
    <row r="9945" spans="1:22" customFormat="1" ht="15" x14ac:dyDescent="0.25">
      <c r="A9945" t="s">
        <v>303</v>
      </c>
      <c r="E9945" s="1524" t="s">
        <v>979</v>
      </c>
      <c r="F9945" s="1524"/>
      <c r="G9945" s="360" t="s">
        <v>3775</v>
      </c>
      <c r="H9945" s="577">
        <v>3.4148000000000001</v>
      </c>
      <c r="K9945" t="s">
        <v>3768</v>
      </c>
      <c r="L9945" t="s">
        <v>690</v>
      </c>
      <c r="P9945" t="s">
        <v>3776</v>
      </c>
      <c r="V9945">
        <v>29</v>
      </c>
    </row>
    <row r="9946" spans="1:22" customFormat="1" ht="15" x14ac:dyDescent="0.25">
      <c r="A9946" t="s">
        <v>303</v>
      </c>
      <c r="E9946" s="1524" t="s">
        <v>4086</v>
      </c>
      <c r="F9946" s="1524"/>
      <c r="G9946" s="360" t="s">
        <v>3775</v>
      </c>
      <c r="H9946" s="605">
        <v>1.7408999999999999</v>
      </c>
      <c r="K9946" t="s">
        <v>3768</v>
      </c>
      <c r="L9946" t="s">
        <v>692</v>
      </c>
      <c r="P9946" t="s">
        <v>3777</v>
      </c>
      <c r="V9946">
        <v>25</v>
      </c>
    </row>
    <row r="9947" spans="1:22" customFormat="1" ht="15" x14ac:dyDescent="0.25">
      <c r="A9947" t="s">
        <v>303</v>
      </c>
      <c r="E9947" s="1524" t="s">
        <v>6849</v>
      </c>
      <c r="F9947" s="1510"/>
      <c r="G9947" s="360" t="s">
        <v>845</v>
      </c>
      <c r="H9947" s="605">
        <v>1.21E-2</v>
      </c>
      <c r="K9947" t="s">
        <v>3768</v>
      </c>
      <c r="L9947" t="s">
        <v>692</v>
      </c>
      <c r="P9947" t="s">
        <v>4232</v>
      </c>
      <c r="T9947">
        <v>46142</v>
      </c>
      <c r="V9947">
        <v>139</v>
      </c>
    </row>
    <row r="9948" spans="1:22" customFormat="1" ht="15" x14ac:dyDescent="0.25">
      <c r="A9948" t="s">
        <v>303</v>
      </c>
      <c r="E9948" s="1524" t="s">
        <v>6850</v>
      </c>
      <c r="F9948" s="1510"/>
      <c r="G9948" s="360" t="s">
        <v>3775</v>
      </c>
      <c r="H9948" s="605">
        <v>-0.26119999999999999</v>
      </c>
      <c r="K9948" t="s">
        <v>3768</v>
      </c>
      <c r="L9948" t="s">
        <v>692</v>
      </c>
      <c r="P9948" t="s">
        <v>3779</v>
      </c>
      <c r="T9948">
        <v>46142</v>
      </c>
      <c r="V9948">
        <v>96</v>
      </c>
    </row>
    <row r="9949" spans="1:22" customFormat="1" ht="15" x14ac:dyDescent="0.25">
      <c r="A9949" t="s">
        <v>303</v>
      </c>
      <c r="E9949" s="1524" t="s">
        <v>6930</v>
      </c>
      <c r="F9949" s="1510"/>
      <c r="G9949" s="360" t="s">
        <v>3775</v>
      </c>
      <c r="H9949" s="605">
        <v>7.7899999999999997E-2</v>
      </c>
      <c r="K9949" t="s">
        <v>3768</v>
      </c>
      <c r="L9949" t="s">
        <v>692</v>
      </c>
      <c r="P9949" t="s">
        <v>3778</v>
      </c>
      <c r="T9949">
        <v>46142</v>
      </c>
      <c r="V9949">
        <v>145</v>
      </c>
    </row>
    <row r="9950" spans="1:22" customFormat="1" ht="15" x14ac:dyDescent="0.25">
      <c r="A9950" t="s">
        <v>303</v>
      </c>
      <c r="E9950" s="1524" t="s">
        <v>4119</v>
      </c>
      <c r="F9950" s="1524"/>
      <c r="G9950" s="360" t="s">
        <v>3775</v>
      </c>
      <c r="H9950" s="577">
        <v>3.7321</v>
      </c>
      <c r="K9950" t="s">
        <v>3768</v>
      </c>
      <c r="L9950" t="s">
        <v>694</v>
      </c>
      <c r="P9950" t="s">
        <v>3780</v>
      </c>
      <c r="V9950">
        <v>48</v>
      </c>
    </row>
    <row r="9951" spans="1:22" customFormat="1" ht="15" x14ac:dyDescent="0.25">
      <c r="A9951" t="s">
        <v>303</v>
      </c>
      <c r="E9951" s="1524" t="s">
        <v>175</v>
      </c>
      <c r="F9951" s="1524"/>
      <c r="G9951" s="360" t="s">
        <v>3775</v>
      </c>
      <c r="H9951" s="577">
        <v>2.9176000000000002</v>
      </c>
      <c r="K9951" t="s">
        <v>3768</v>
      </c>
      <c r="L9951" t="s">
        <v>694</v>
      </c>
      <c r="P9951" t="s">
        <v>3781</v>
      </c>
      <c r="V9951">
        <v>74</v>
      </c>
    </row>
    <row r="9952" spans="1:22" customFormat="1" ht="15" x14ac:dyDescent="0.25">
      <c r="A9952" t="s">
        <v>303</v>
      </c>
      <c r="E9952" s="1524" t="s">
        <v>5627</v>
      </c>
      <c r="F9952" s="1524"/>
      <c r="G9952" s="360" t="s">
        <v>3775</v>
      </c>
      <c r="H9952" s="577">
        <v>4.1699000000000002</v>
      </c>
      <c r="K9952" t="s">
        <v>3768</v>
      </c>
      <c r="L9952" t="s">
        <v>694</v>
      </c>
      <c r="P9952" t="s">
        <v>3780</v>
      </c>
      <c r="V9952">
        <v>67</v>
      </c>
    </row>
    <row r="9953" spans="1:22" customFormat="1" ht="15" x14ac:dyDescent="0.25">
      <c r="A9953" t="s">
        <v>303</v>
      </c>
      <c r="E9953" s="1524" t="s">
        <v>185</v>
      </c>
      <c r="F9953" s="1524"/>
      <c r="G9953" s="360" t="s">
        <v>3775</v>
      </c>
      <c r="H9953" s="577">
        <v>3.2519999999999998</v>
      </c>
      <c r="K9953" t="s">
        <v>3768</v>
      </c>
      <c r="L9953" t="s">
        <v>694</v>
      </c>
      <c r="P9953" t="s">
        <v>3781</v>
      </c>
      <c r="V9953">
        <v>93</v>
      </c>
    </row>
    <row r="9954" spans="1:22" customFormat="1" ht="15" x14ac:dyDescent="0.25">
      <c r="A9954" t="s">
        <v>303</v>
      </c>
      <c r="E9954" s="1533" t="s">
        <v>967</v>
      </c>
      <c r="F9954" s="1524"/>
      <c r="G9954" s="360"/>
      <c r="H9954" s="360"/>
      <c r="K9954" t="s">
        <v>1003</v>
      </c>
      <c r="V9954">
        <v>48</v>
      </c>
    </row>
    <row r="9955" spans="1:22" customFormat="1" ht="15" x14ac:dyDescent="0.25">
      <c r="A9955" t="s">
        <v>303</v>
      </c>
      <c r="E9955" s="1524" t="s">
        <v>844</v>
      </c>
      <c r="F9955" s="1524"/>
      <c r="G9955" s="360" t="s">
        <v>845</v>
      </c>
      <c r="H9955" s="605">
        <v>4.1000000000000003E-3</v>
      </c>
      <c r="K9955" t="s">
        <v>3768</v>
      </c>
      <c r="L9955" t="s">
        <v>968</v>
      </c>
      <c r="P9955" t="s">
        <v>3782</v>
      </c>
      <c r="V9955">
        <v>55</v>
      </c>
    </row>
    <row r="9956" spans="1:22" customFormat="1" ht="15" x14ac:dyDescent="0.25">
      <c r="A9956" t="s">
        <v>303</v>
      </c>
      <c r="E9956" s="1524" t="s">
        <v>846</v>
      </c>
      <c r="F9956" s="1524"/>
      <c r="G9956" s="360" t="s">
        <v>845</v>
      </c>
      <c r="H9956" s="605">
        <v>4.0000000000000002E-4</v>
      </c>
      <c r="K9956" t="s">
        <v>3768</v>
      </c>
      <c r="L9956" t="s">
        <v>968</v>
      </c>
      <c r="P9956" t="s">
        <v>3782</v>
      </c>
      <c r="V9956">
        <v>65</v>
      </c>
    </row>
    <row r="9957" spans="1:22" customFormat="1" ht="15" x14ac:dyDescent="0.25">
      <c r="A9957" t="s">
        <v>303</v>
      </c>
      <c r="E9957" s="1524" t="s">
        <v>847</v>
      </c>
      <c r="F9957" s="1524"/>
      <c r="G9957" s="360" t="s">
        <v>845</v>
      </c>
      <c r="H9957" s="605">
        <v>1.5E-3</v>
      </c>
      <c r="K9957" t="s">
        <v>3768</v>
      </c>
      <c r="L9957" t="s">
        <v>968</v>
      </c>
      <c r="P9957" t="s">
        <v>3783</v>
      </c>
      <c r="V9957">
        <v>57</v>
      </c>
    </row>
    <row r="9958" spans="1:22" customFormat="1" ht="15" x14ac:dyDescent="0.25">
      <c r="A9958" t="s">
        <v>303</v>
      </c>
      <c r="E9958" s="1524" t="s">
        <v>848</v>
      </c>
      <c r="F9958" s="1524"/>
      <c r="G9958" s="360" t="s">
        <v>777</v>
      </c>
      <c r="H9958" s="604">
        <v>0.25</v>
      </c>
      <c r="K9958" t="s">
        <v>3768</v>
      </c>
      <c r="L9958" t="s">
        <v>968</v>
      </c>
      <c r="P9958" t="s">
        <v>3784</v>
      </c>
      <c r="V9958">
        <v>63</v>
      </c>
    </row>
    <row r="9959" spans="1:22" customFormat="1" x14ac:dyDescent="0.25">
      <c r="A9959" t="s">
        <v>303</v>
      </c>
      <c r="E9959" s="1651" t="s">
        <v>194</v>
      </c>
      <c r="F9959" s="1651"/>
      <c r="G9959" s="1651"/>
      <c r="H9959" s="1651"/>
      <c r="K9959" t="s">
        <v>3785</v>
      </c>
      <c r="V9959">
        <v>47</v>
      </c>
    </row>
    <row r="9960" spans="1:22" customFormat="1" ht="15" x14ac:dyDescent="0.25">
      <c r="A9960" t="s">
        <v>303</v>
      </c>
      <c r="E9960" s="1496" t="s">
        <v>4858</v>
      </c>
      <c r="F9960" s="1496"/>
      <c r="G9960" s="1496"/>
      <c r="H9960" s="1496"/>
      <c r="K9960" t="s">
        <v>3785</v>
      </c>
      <c r="V9960">
        <v>719</v>
      </c>
    </row>
    <row r="9961" spans="1:22" customFormat="1" ht="15" x14ac:dyDescent="0.25">
      <c r="A9961" t="s">
        <v>303</v>
      </c>
      <c r="E9961" s="1562" t="s">
        <v>950</v>
      </c>
      <c r="F9961" s="1650"/>
      <c r="G9961" s="1650"/>
      <c r="H9961" s="1650"/>
      <c r="K9961" t="s">
        <v>1010</v>
      </c>
      <c r="V9961">
        <v>11</v>
      </c>
    </row>
    <row r="9962" spans="1:22" customFormat="1" ht="15" x14ac:dyDescent="0.25">
      <c r="A9962" t="s">
        <v>303</v>
      </c>
      <c r="E9962" s="1496" t="s">
        <v>951</v>
      </c>
      <c r="F9962" s="1496"/>
      <c r="G9962" s="1496"/>
      <c r="H9962" s="1496"/>
      <c r="K9962" t="s">
        <v>3785</v>
      </c>
      <c r="V9962">
        <v>280</v>
      </c>
    </row>
    <row r="9963" spans="1:22" customFormat="1" ht="15" x14ac:dyDescent="0.25">
      <c r="A9963" t="s">
        <v>303</v>
      </c>
      <c r="E9963" s="1496" t="s">
        <v>952</v>
      </c>
      <c r="F9963" s="1496"/>
      <c r="G9963" s="1496"/>
      <c r="H9963" s="1496"/>
      <c r="K9963" t="s">
        <v>3785</v>
      </c>
      <c r="V9963">
        <v>411</v>
      </c>
    </row>
    <row r="9964" spans="1:22" customFormat="1" ht="15" x14ac:dyDescent="0.25">
      <c r="A9964" t="s">
        <v>303</v>
      </c>
      <c r="E9964" s="1496" t="s">
        <v>953</v>
      </c>
      <c r="F9964" s="1496"/>
      <c r="G9964" s="1496"/>
      <c r="H9964" s="1496"/>
      <c r="K9964" t="s">
        <v>3785</v>
      </c>
      <c r="V9964">
        <v>386</v>
      </c>
    </row>
    <row r="9965" spans="1:22" customFormat="1" ht="15" x14ac:dyDescent="0.25">
      <c r="A9965" t="s">
        <v>303</v>
      </c>
      <c r="E9965" s="1496" t="s">
        <v>4213</v>
      </c>
      <c r="F9965" s="1496"/>
      <c r="G9965" s="1496"/>
      <c r="H9965" s="1496"/>
      <c r="K9965" t="s">
        <v>3785</v>
      </c>
      <c r="V9965">
        <v>247</v>
      </c>
    </row>
    <row r="9966" spans="1:22" customFormat="1" ht="15" x14ac:dyDescent="0.25">
      <c r="A9966" t="s">
        <v>303</v>
      </c>
      <c r="E9966" s="1562" t="s">
        <v>956</v>
      </c>
      <c r="F9966" s="1650"/>
      <c r="G9966" s="1650"/>
      <c r="H9966" s="1650"/>
      <c r="K9966" t="s">
        <v>1011</v>
      </c>
      <c r="V9966">
        <v>46</v>
      </c>
    </row>
    <row r="9967" spans="1:22" customFormat="1" ht="15" x14ac:dyDescent="0.25">
      <c r="A9967" t="s">
        <v>303</v>
      </c>
      <c r="E9967" s="1524" t="s">
        <v>3787</v>
      </c>
      <c r="F9967" s="1524"/>
      <c r="G9967" s="360" t="s">
        <v>777</v>
      </c>
      <c r="H9967" s="576">
        <v>6.01</v>
      </c>
      <c r="K9967" t="s">
        <v>3785</v>
      </c>
      <c r="L9967" t="s">
        <v>690</v>
      </c>
      <c r="P9967" t="s">
        <v>3788</v>
      </c>
      <c r="V9967">
        <v>30</v>
      </c>
    </row>
    <row r="9968" spans="1:22" customFormat="1" ht="15" x14ac:dyDescent="0.25">
      <c r="A9968" t="s">
        <v>303</v>
      </c>
      <c r="E9968" s="1524" t="s">
        <v>5624</v>
      </c>
      <c r="F9968" s="1507"/>
      <c r="G9968" s="360" t="s">
        <v>777</v>
      </c>
      <c r="H9968" s="576">
        <v>0.37</v>
      </c>
      <c r="K9968" t="s">
        <v>3785</v>
      </c>
      <c r="L9968" t="s">
        <v>690</v>
      </c>
      <c r="P9968" t="s">
        <v>6932</v>
      </c>
      <c r="V9968">
        <v>139</v>
      </c>
    </row>
    <row r="9969" spans="1:22" customFormat="1" ht="15" x14ac:dyDescent="0.25">
      <c r="A9969" t="s">
        <v>303</v>
      </c>
      <c r="E9969" s="1524" t="s">
        <v>3688</v>
      </c>
      <c r="F9969" s="1524"/>
      <c r="G9969" s="360" t="s">
        <v>845</v>
      </c>
      <c r="H9969" s="577">
        <v>2.75E-2</v>
      </c>
      <c r="K9969" t="s">
        <v>3785</v>
      </c>
      <c r="L9969" t="s">
        <v>690</v>
      </c>
      <c r="P9969" t="s">
        <v>3789</v>
      </c>
      <c r="V9969">
        <v>28</v>
      </c>
    </row>
    <row r="9970" spans="1:22" customFormat="1" ht="15" x14ac:dyDescent="0.25">
      <c r="A9970" t="s">
        <v>303</v>
      </c>
      <c r="E9970" s="1524" t="s">
        <v>910</v>
      </c>
      <c r="F9970" s="1524"/>
      <c r="G9970" s="360" t="s">
        <v>845</v>
      </c>
      <c r="H9970" s="605">
        <v>4.3E-3</v>
      </c>
      <c r="K9970" t="s">
        <v>3785</v>
      </c>
      <c r="L9970" t="s">
        <v>692</v>
      </c>
      <c r="P9970" t="s">
        <v>3790</v>
      </c>
      <c r="V9970">
        <v>24</v>
      </c>
    </row>
    <row r="9971" spans="1:22" customFormat="1" ht="15" x14ac:dyDescent="0.25">
      <c r="A9971" t="s">
        <v>303</v>
      </c>
      <c r="E9971" s="1524" t="s">
        <v>6849</v>
      </c>
      <c r="F9971" s="1510"/>
      <c r="G9971" s="360" t="s">
        <v>845</v>
      </c>
      <c r="H9971" s="605">
        <v>1.21E-2</v>
      </c>
      <c r="K9971" t="s">
        <v>3785</v>
      </c>
      <c r="L9971" t="s">
        <v>692</v>
      </c>
      <c r="P9971" t="s">
        <v>4818</v>
      </c>
      <c r="T9971">
        <v>46142</v>
      </c>
      <c r="V9971">
        <v>139</v>
      </c>
    </row>
    <row r="9972" spans="1:22" customFormat="1" ht="15" x14ac:dyDescent="0.25">
      <c r="A9972" t="s">
        <v>303</v>
      </c>
      <c r="E9972" s="1524" t="s">
        <v>6850</v>
      </c>
      <c r="F9972" s="1510"/>
      <c r="G9972" s="360" t="s">
        <v>845</v>
      </c>
      <c r="H9972" s="605">
        <v>-8.0000000000000004E-4</v>
      </c>
      <c r="K9972" t="s">
        <v>3785</v>
      </c>
      <c r="L9972" t="s">
        <v>692</v>
      </c>
      <c r="P9972" t="s">
        <v>3792</v>
      </c>
      <c r="T9972">
        <v>46142</v>
      </c>
      <c r="V9972">
        <v>96</v>
      </c>
    </row>
    <row r="9973" spans="1:22" customFormat="1" ht="15" x14ac:dyDescent="0.25">
      <c r="A9973" t="s">
        <v>303</v>
      </c>
      <c r="E9973" s="1524" t="s">
        <v>6930</v>
      </c>
      <c r="F9973" s="1510"/>
      <c r="G9973" s="360" t="s">
        <v>845</v>
      </c>
      <c r="H9973" s="605">
        <v>2.0000000000000001E-4</v>
      </c>
      <c r="K9973" t="s">
        <v>3785</v>
      </c>
      <c r="L9973" t="s">
        <v>692</v>
      </c>
      <c r="P9973" t="s">
        <v>3791</v>
      </c>
      <c r="T9973">
        <v>46142</v>
      </c>
      <c r="V9973">
        <v>145</v>
      </c>
    </row>
    <row r="9974" spans="1:22" customFormat="1" ht="15" x14ac:dyDescent="0.25">
      <c r="A9974" t="s">
        <v>303</v>
      </c>
      <c r="E9974" s="1524" t="s">
        <v>4119</v>
      </c>
      <c r="F9974" s="1524"/>
      <c r="G9974" s="360" t="s">
        <v>845</v>
      </c>
      <c r="H9974" s="577">
        <v>8.9999999999999993E-3</v>
      </c>
      <c r="K9974" t="s">
        <v>3785</v>
      </c>
      <c r="L9974" t="s">
        <v>694</v>
      </c>
      <c r="P9974" t="s">
        <v>3793</v>
      </c>
      <c r="V9974">
        <v>48</v>
      </c>
    </row>
    <row r="9975" spans="1:22" customFormat="1" ht="15" x14ac:dyDescent="0.25">
      <c r="A9975" t="s">
        <v>303</v>
      </c>
      <c r="E9975" s="1524" t="s">
        <v>4121</v>
      </c>
      <c r="F9975" s="1524"/>
      <c r="G9975" s="360" t="s">
        <v>845</v>
      </c>
      <c r="H9975" s="577">
        <v>7.1999999999999998E-3</v>
      </c>
      <c r="K9975" t="s">
        <v>3785</v>
      </c>
      <c r="L9975" t="s">
        <v>694</v>
      </c>
      <c r="P9975" t="s">
        <v>3794</v>
      </c>
      <c r="V9975">
        <v>75</v>
      </c>
    </row>
    <row r="9976" spans="1:22" customFormat="1" ht="15" x14ac:dyDescent="0.25">
      <c r="A9976" t="s">
        <v>303</v>
      </c>
      <c r="E9976" s="1533" t="s">
        <v>967</v>
      </c>
      <c r="F9976" s="1524"/>
      <c r="G9976" s="360"/>
      <c r="H9976" s="360"/>
      <c r="K9976" t="s">
        <v>1019</v>
      </c>
      <c r="V9976">
        <v>48</v>
      </c>
    </row>
    <row r="9977" spans="1:22" customFormat="1" ht="15" x14ac:dyDescent="0.25">
      <c r="A9977" t="s">
        <v>303</v>
      </c>
      <c r="E9977" s="1524" t="s">
        <v>844</v>
      </c>
      <c r="F9977" s="1524"/>
      <c r="G9977" s="360" t="s">
        <v>845</v>
      </c>
      <c r="H9977" s="605">
        <v>4.1000000000000003E-3</v>
      </c>
      <c r="K9977" t="s">
        <v>3785</v>
      </c>
      <c r="L9977" t="s">
        <v>968</v>
      </c>
      <c r="P9977" t="s">
        <v>3795</v>
      </c>
      <c r="V9977">
        <v>55</v>
      </c>
    </row>
    <row r="9978" spans="1:22" customFormat="1" ht="15" x14ac:dyDescent="0.25">
      <c r="A9978" t="s">
        <v>303</v>
      </c>
      <c r="E9978" s="1524" t="s">
        <v>846</v>
      </c>
      <c r="F9978" s="1524"/>
      <c r="G9978" s="360" t="s">
        <v>845</v>
      </c>
      <c r="H9978" s="605">
        <v>4.0000000000000002E-4</v>
      </c>
      <c r="K9978" t="s">
        <v>3785</v>
      </c>
      <c r="L9978" t="s">
        <v>968</v>
      </c>
      <c r="P9978" t="s">
        <v>3795</v>
      </c>
      <c r="V9978">
        <v>65</v>
      </c>
    </row>
    <row r="9979" spans="1:22" customFormat="1" ht="15" x14ac:dyDescent="0.25">
      <c r="A9979" t="s">
        <v>303</v>
      </c>
      <c r="E9979" s="1524" t="s">
        <v>847</v>
      </c>
      <c r="F9979" s="1524"/>
      <c r="G9979" s="360" t="s">
        <v>845</v>
      </c>
      <c r="H9979" s="605">
        <v>1.5E-3</v>
      </c>
      <c r="K9979" t="s">
        <v>3785</v>
      </c>
      <c r="L9979" t="s">
        <v>968</v>
      </c>
      <c r="P9979" t="s">
        <v>3796</v>
      </c>
      <c r="V9979">
        <v>57</v>
      </c>
    </row>
    <row r="9980" spans="1:22" customFormat="1" ht="15" x14ac:dyDescent="0.25">
      <c r="A9980" t="s">
        <v>303</v>
      </c>
      <c r="E9980" s="1524" t="s">
        <v>848</v>
      </c>
      <c r="F9980" s="1524"/>
      <c r="G9980" s="360" t="s">
        <v>777</v>
      </c>
      <c r="H9980" s="604">
        <v>0.25</v>
      </c>
      <c r="K9980" t="s">
        <v>3785</v>
      </c>
      <c r="L9980" t="s">
        <v>968</v>
      </c>
      <c r="P9980" t="s">
        <v>3797</v>
      </c>
      <c r="V9980">
        <v>63</v>
      </c>
    </row>
    <row r="9981" spans="1:22" customFormat="1" x14ac:dyDescent="0.25">
      <c r="A9981" t="s">
        <v>303</v>
      </c>
      <c r="E9981" s="1651" t="s">
        <v>198</v>
      </c>
      <c r="F9981" s="1651"/>
      <c r="G9981" s="1651"/>
      <c r="H9981" s="1651"/>
      <c r="K9981" t="s">
        <v>3798</v>
      </c>
      <c r="V9981">
        <v>40</v>
      </c>
    </row>
    <row r="9982" spans="1:22" customFormat="1" ht="15" x14ac:dyDescent="0.25">
      <c r="A9982" t="s">
        <v>303</v>
      </c>
      <c r="E9982" s="1496" t="s">
        <v>4693</v>
      </c>
      <c r="F9982" s="1496"/>
      <c r="G9982" s="1496"/>
      <c r="H9982" s="1496"/>
      <c r="K9982" t="s">
        <v>3798</v>
      </c>
      <c r="V9982">
        <v>253</v>
      </c>
    </row>
    <row r="9983" spans="1:22" customFormat="1" ht="15" x14ac:dyDescent="0.25">
      <c r="A9983" t="s">
        <v>303</v>
      </c>
      <c r="E9983" s="1562" t="s">
        <v>950</v>
      </c>
      <c r="F9983" s="1650"/>
      <c r="G9983" s="1650"/>
      <c r="H9983" s="1650"/>
      <c r="K9983" t="s">
        <v>1025</v>
      </c>
      <c r="V9983">
        <v>11</v>
      </c>
    </row>
    <row r="9984" spans="1:22" customFormat="1" ht="15" x14ac:dyDescent="0.25">
      <c r="A9984" t="s">
        <v>303</v>
      </c>
      <c r="E9984" s="1496" t="s">
        <v>951</v>
      </c>
      <c r="F9984" s="1496"/>
      <c r="G9984" s="1496"/>
      <c r="H9984" s="1496"/>
      <c r="K9984" t="s">
        <v>3798</v>
      </c>
      <c r="V9984">
        <v>280</v>
      </c>
    </row>
    <row r="9985" spans="1:22" customFormat="1" ht="15" x14ac:dyDescent="0.25">
      <c r="A9985" t="s">
        <v>303</v>
      </c>
      <c r="E9985" s="1496" t="s">
        <v>952</v>
      </c>
      <c r="F9985" s="1496"/>
      <c r="G9985" s="1496"/>
      <c r="H9985" s="1496"/>
      <c r="K9985" t="s">
        <v>3798</v>
      </c>
      <c r="V9985">
        <v>411</v>
      </c>
    </row>
    <row r="9986" spans="1:22" customFormat="1" ht="15" x14ac:dyDescent="0.25">
      <c r="A9986" t="s">
        <v>303</v>
      </c>
      <c r="E9986" s="1496" t="s">
        <v>953</v>
      </c>
      <c r="F9986" s="1496"/>
      <c r="G9986" s="1496"/>
      <c r="H9986" s="1496"/>
      <c r="K9986" t="s">
        <v>3798</v>
      </c>
      <c r="V9986">
        <v>386</v>
      </c>
    </row>
    <row r="9987" spans="1:22" customFormat="1" ht="15" x14ac:dyDescent="0.25">
      <c r="A9987" t="s">
        <v>303</v>
      </c>
      <c r="E9987" s="1496" t="s">
        <v>4213</v>
      </c>
      <c r="F9987" s="1496"/>
      <c r="G9987" s="1496"/>
      <c r="H9987" s="1496"/>
      <c r="K9987" t="s">
        <v>3798</v>
      </c>
      <c r="V9987">
        <v>247</v>
      </c>
    </row>
    <row r="9988" spans="1:22" customFormat="1" ht="15" x14ac:dyDescent="0.25">
      <c r="A9988" t="s">
        <v>303</v>
      </c>
      <c r="E9988" s="1562" t="s">
        <v>956</v>
      </c>
      <c r="F9988" s="1650"/>
      <c r="G9988" s="1650"/>
      <c r="H9988" s="1650"/>
      <c r="K9988" t="s">
        <v>1026</v>
      </c>
      <c r="V9988">
        <v>46</v>
      </c>
    </row>
    <row r="9989" spans="1:22" customFormat="1" ht="15" x14ac:dyDescent="0.25">
      <c r="A9989" t="s">
        <v>303</v>
      </c>
      <c r="E9989" s="1524" t="s">
        <v>3800</v>
      </c>
      <c r="F9989" s="1524"/>
      <c r="G9989" s="360" t="s">
        <v>777</v>
      </c>
      <c r="H9989" s="576">
        <v>4.17</v>
      </c>
      <c r="K9989" t="s">
        <v>3798</v>
      </c>
      <c r="L9989" t="s">
        <v>690</v>
      </c>
      <c r="P9989" t="s">
        <v>3801</v>
      </c>
      <c r="V9989">
        <v>32</v>
      </c>
    </row>
    <row r="9990" spans="1:22" customFormat="1" ht="15" x14ac:dyDescent="0.25">
      <c r="A9990" t="s">
        <v>303</v>
      </c>
      <c r="E9990" s="1524" t="s">
        <v>5624</v>
      </c>
      <c r="F9990" s="1507"/>
      <c r="G9990" s="360" t="s">
        <v>777</v>
      </c>
      <c r="H9990" s="576">
        <v>0.17</v>
      </c>
      <c r="K9990" t="s">
        <v>3798</v>
      </c>
      <c r="L9990" t="s">
        <v>690</v>
      </c>
      <c r="P9990" t="s">
        <v>6933</v>
      </c>
      <c r="V9990">
        <v>139</v>
      </c>
    </row>
    <row r="9991" spans="1:22" customFormat="1" ht="15" x14ac:dyDescent="0.25">
      <c r="A9991" t="s">
        <v>303</v>
      </c>
      <c r="E9991" s="1524" t="s">
        <v>979</v>
      </c>
      <c r="F9991" s="1524"/>
      <c r="G9991" s="360" t="s">
        <v>3775</v>
      </c>
      <c r="H9991" s="577">
        <v>30.475000000000001</v>
      </c>
      <c r="K9991" t="s">
        <v>3798</v>
      </c>
      <c r="L9991" t="s">
        <v>690</v>
      </c>
      <c r="P9991" t="s">
        <v>3802</v>
      </c>
      <c r="V9991">
        <v>29</v>
      </c>
    </row>
    <row r="9992" spans="1:22" customFormat="1" ht="15" x14ac:dyDescent="0.25">
      <c r="A9992" t="s">
        <v>303</v>
      </c>
      <c r="E9992" s="1524" t="s">
        <v>4086</v>
      </c>
      <c r="F9992" s="1524"/>
      <c r="G9992" s="360" t="s">
        <v>3775</v>
      </c>
      <c r="H9992" s="605">
        <v>1.2454000000000001</v>
      </c>
      <c r="K9992" t="s">
        <v>3798</v>
      </c>
      <c r="L9992" t="s">
        <v>692</v>
      </c>
      <c r="P9992" t="s">
        <v>3803</v>
      </c>
      <c r="V9992">
        <v>25</v>
      </c>
    </row>
    <row r="9993" spans="1:22" customFormat="1" ht="15" x14ac:dyDescent="0.25">
      <c r="A9993" t="s">
        <v>303</v>
      </c>
      <c r="E9993" s="1524" t="s">
        <v>6849</v>
      </c>
      <c r="F9993" s="1510"/>
      <c r="G9993" s="360" t="s">
        <v>845</v>
      </c>
      <c r="H9993" s="605">
        <v>1.21E-2</v>
      </c>
      <c r="K9993" t="s">
        <v>3798</v>
      </c>
      <c r="L9993" t="s">
        <v>692</v>
      </c>
      <c r="P9993" t="s">
        <v>5137</v>
      </c>
      <c r="T9993">
        <v>46142</v>
      </c>
      <c r="V9993">
        <v>139</v>
      </c>
    </row>
    <row r="9994" spans="1:22" customFormat="1" ht="15" x14ac:dyDescent="0.25">
      <c r="A9994" t="s">
        <v>303</v>
      </c>
      <c r="E9994" s="1524" t="s">
        <v>6850</v>
      </c>
      <c r="F9994" s="1510"/>
      <c r="G9994" s="360" t="s">
        <v>3775</v>
      </c>
      <c r="H9994" s="605">
        <v>-0.2918</v>
      </c>
      <c r="K9994" t="s">
        <v>3798</v>
      </c>
      <c r="L9994" t="s">
        <v>692</v>
      </c>
      <c r="P9994" t="s">
        <v>3805</v>
      </c>
      <c r="T9994">
        <v>46142</v>
      </c>
      <c r="V9994">
        <v>96</v>
      </c>
    </row>
    <row r="9995" spans="1:22" customFormat="1" ht="15" x14ac:dyDescent="0.25">
      <c r="A9995" t="s">
        <v>303</v>
      </c>
      <c r="E9995" s="1524" t="s">
        <v>6930</v>
      </c>
      <c r="F9995" s="1510"/>
      <c r="G9995" s="360" t="s">
        <v>3775</v>
      </c>
      <c r="H9995" s="605">
        <v>9.0999999999999998E-2</v>
      </c>
      <c r="K9995" t="s">
        <v>3798</v>
      </c>
      <c r="L9995" t="s">
        <v>692</v>
      </c>
      <c r="P9995" t="s">
        <v>3804</v>
      </c>
      <c r="T9995">
        <v>46142</v>
      </c>
      <c r="V9995">
        <v>145</v>
      </c>
    </row>
    <row r="9996" spans="1:22" customFormat="1" ht="15" x14ac:dyDescent="0.25">
      <c r="A9996" t="s">
        <v>303</v>
      </c>
      <c r="E9996" s="1524" t="s">
        <v>243</v>
      </c>
      <c r="F9996" s="1524"/>
      <c r="G9996" s="360" t="s">
        <v>3775</v>
      </c>
      <c r="H9996" s="577">
        <v>2.8289</v>
      </c>
      <c r="K9996" t="s">
        <v>3798</v>
      </c>
      <c r="L9996" t="s">
        <v>694</v>
      </c>
      <c r="P9996" t="s">
        <v>3806</v>
      </c>
      <c r="V9996">
        <v>47</v>
      </c>
    </row>
    <row r="9997" spans="1:22" customFormat="1" ht="15" x14ac:dyDescent="0.25">
      <c r="A9997" t="s">
        <v>303</v>
      </c>
      <c r="E9997" s="1524" t="s">
        <v>4121</v>
      </c>
      <c r="F9997" s="1524"/>
      <c r="G9997" s="360" t="s">
        <v>3775</v>
      </c>
      <c r="H9997" s="577">
        <v>2.3024</v>
      </c>
      <c r="K9997" t="s">
        <v>3798</v>
      </c>
      <c r="L9997" t="s">
        <v>694</v>
      </c>
      <c r="P9997" t="s">
        <v>3807</v>
      </c>
      <c r="V9997">
        <v>75</v>
      </c>
    </row>
    <row r="9998" spans="1:22" customFormat="1" ht="15" x14ac:dyDescent="0.25">
      <c r="A9998" t="s">
        <v>303</v>
      </c>
      <c r="E9998" s="1533" t="s">
        <v>967</v>
      </c>
      <c r="F9998" s="1524"/>
      <c r="G9998" s="360"/>
      <c r="H9998" s="360"/>
      <c r="K9998" t="s">
        <v>1035</v>
      </c>
      <c r="V9998">
        <v>48</v>
      </c>
    </row>
    <row r="9999" spans="1:22" customFormat="1" ht="15" x14ac:dyDescent="0.25">
      <c r="A9999" t="s">
        <v>303</v>
      </c>
      <c r="E9999" s="1524" t="s">
        <v>844</v>
      </c>
      <c r="F9999" s="1524"/>
      <c r="G9999" s="360" t="s">
        <v>845</v>
      </c>
      <c r="H9999" s="605">
        <v>4.1000000000000003E-3</v>
      </c>
      <c r="K9999" t="s">
        <v>3798</v>
      </c>
      <c r="L9999" t="s">
        <v>968</v>
      </c>
      <c r="P9999" t="s">
        <v>3808</v>
      </c>
      <c r="V9999">
        <v>55</v>
      </c>
    </row>
    <row r="10000" spans="1:22" customFormat="1" ht="15" x14ac:dyDescent="0.25">
      <c r="A10000" t="s">
        <v>303</v>
      </c>
      <c r="E10000" s="1524" t="s">
        <v>846</v>
      </c>
      <c r="F10000" s="1524"/>
      <c r="G10000" s="360" t="s">
        <v>845</v>
      </c>
      <c r="H10000" s="605">
        <v>4.0000000000000002E-4</v>
      </c>
      <c r="K10000" t="s">
        <v>3798</v>
      </c>
      <c r="L10000" t="s">
        <v>968</v>
      </c>
      <c r="P10000" t="s">
        <v>3808</v>
      </c>
      <c r="V10000">
        <v>65</v>
      </c>
    </row>
    <row r="10001" spans="1:22" customFormat="1" ht="15" x14ac:dyDescent="0.25">
      <c r="A10001" t="s">
        <v>303</v>
      </c>
      <c r="E10001" s="1524" t="s">
        <v>847</v>
      </c>
      <c r="F10001" s="1524"/>
      <c r="G10001" s="360" t="s">
        <v>845</v>
      </c>
      <c r="H10001" s="605">
        <v>1.5E-3</v>
      </c>
      <c r="K10001" t="s">
        <v>3798</v>
      </c>
      <c r="L10001" t="s">
        <v>968</v>
      </c>
      <c r="P10001" t="s">
        <v>3809</v>
      </c>
      <c r="V10001">
        <v>57</v>
      </c>
    </row>
    <row r="10002" spans="1:22" customFormat="1" ht="15" x14ac:dyDescent="0.25">
      <c r="A10002" t="s">
        <v>303</v>
      </c>
      <c r="E10002" s="1524" t="s">
        <v>848</v>
      </c>
      <c r="F10002" s="1524"/>
      <c r="G10002" s="360" t="s">
        <v>777</v>
      </c>
      <c r="H10002" s="604">
        <v>0.25</v>
      </c>
      <c r="K10002" t="s">
        <v>3798</v>
      </c>
      <c r="L10002" t="s">
        <v>968</v>
      </c>
      <c r="P10002" t="s">
        <v>3810</v>
      </c>
      <c r="V10002">
        <v>63</v>
      </c>
    </row>
    <row r="10003" spans="1:22" customFormat="1" x14ac:dyDescent="0.25">
      <c r="A10003" t="s">
        <v>303</v>
      </c>
      <c r="E10003" s="1651" t="s">
        <v>202</v>
      </c>
      <c r="F10003" s="1651"/>
      <c r="G10003" s="1651"/>
      <c r="H10003" s="1651"/>
      <c r="K10003" t="s">
        <v>3811</v>
      </c>
      <c r="V10003">
        <v>38</v>
      </c>
    </row>
    <row r="10004" spans="1:22" customFormat="1" ht="15" x14ac:dyDescent="0.25">
      <c r="A10004" t="s">
        <v>303</v>
      </c>
      <c r="E10004" s="1496" t="s">
        <v>4542</v>
      </c>
      <c r="F10004" s="1496"/>
      <c r="G10004" s="1496"/>
      <c r="H10004" s="1496"/>
      <c r="K10004" t="s">
        <v>3811</v>
      </c>
      <c r="V10004">
        <v>542</v>
      </c>
    </row>
    <row r="10005" spans="1:22" customFormat="1" ht="15" x14ac:dyDescent="0.25">
      <c r="A10005" t="s">
        <v>303</v>
      </c>
      <c r="E10005" s="1562" t="s">
        <v>950</v>
      </c>
      <c r="F10005" s="1650"/>
      <c r="G10005" s="1650"/>
      <c r="H10005" s="1650"/>
      <c r="K10005" t="s">
        <v>1041</v>
      </c>
      <c r="V10005">
        <v>11</v>
      </c>
    </row>
    <row r="10006" spans="1:22" customFormat="1" ht="15" x14ac:dyDescent="0.25">
      <c r="A10006" t="s">
        <v>303</v>
      </c>
      <c r="E10006" s="1496" t="s">
        <v>951</v>
      </c>
      <c r="F10006" s="1496"/>
      <c r="G10006" s="1496"/>
      <c r="H10006" s="1496"/>
      <c r="K10006" t="s">
        <v>3811</v>
      </c>
      <c r="V10006">
        <v>280</v>
      </c>
    </row>
    <row r="10007" spans="1:22" customFormat="1" ht="15" x14ac:dyDescent="0.25">
      <c r="A10007" t="s">
        <v>303</v>
      </c>
      <c r="E10007" s="1496" t="s">
        <v>952</v>
      </c>
      <c r="F10007" s="1496"/>
      <c r="G10007" s="1496"/>
      <c r="H10007" s="1496"/>
      <c r="K10007" t="s">
        <v>3811</v>
      </c>
      <c r="V10007">
        <v>411</v>
      </c>
    </row>
    <row r="10008" spans="1:22" customFormat="1" ht="15" x14ac:dyDescent="0.25">
      <c r="A10008" t="s">
        <v>303</v>
      </c>
      <c r="E10008" s="1496" t="s">
        <v>953</v>
      </c>
      <c r="F10008" s="1496"/>
      <c r="G10008" s="1496"/>
      <c r="H10008" s="1496"/>
      <c r="K10008" t="s">
        <v>3811</v>
      </c>
      <c r="V10008">
        <v>386</v>
      </c>
    </row>
    <row r="10009" spans="1:22" customFormat="1" ht="15" x14ac:dyDescent="0.25">
      <c r="A10009" t="s">
        <v>303</v>
      </c>
      <c r="E10009" s="1496" t="s">
        <v>4213</v>
      </c>
      <c r="F10009" s="1496"/>
      <c r="G10009" s="1496"/>
      <c r="H10009" s="1496"/>
      <c r="K10009" t="s">
        <v>3811</v>
      </c>
      <c r="V10009">
        <v>247</v>
      </c>
    </row>
    <row r="10010" spans="1:22" customFormat="1" ht="15" x14ac:dyDescent="0.25">
      <c r="A10010" t="s">
        <v>303</v>
      </c>
      <c r="E10010" s="1562" t="s">
        <v>956</v>
      </c>
      <c r="F10010" s="1650"/>
      <c r="G10010" s="1650"/>
      <c r="H10010" s="1650"/>
      <c r="K10010" t="s">
        <v>1042</v>
      </c>
      <c r="V10010">
        <v>46</v>
      </c>
    </row>
    <row r="10011" spans="1:22" customFormat="1" ht="15" x14ac:dyDescent="0.25">
      <c r="A10011" t="s">
        <v>303</v>
      </c>
      <c r="E10011" s="1524" t="s">
        <v>3800</v>
      </c>
      <c r="F10011" s="1524"/>
      <c r="G10011" s="360" t="s">
        <v>777</v>
      </c>
      <c r="H10011" s="576">
        <v>4.68</v>
      </c>
      <c r="K10011" t="s">
        <v>3811</v>
      </c>
      <c r="L10011" t="s">
        <v>690</v>
      </c>
      <c r="P10011" t="s">
        <v>3813</v>
      </c>
      <c r="V10011">
        <v>32</v>
      </c>
    </row>
    <row r="10012" spans="1:22" customFormat="1" ht="15" x14ac:dyDescent="0.25">
      <c r="A10012" t="s">
        <v>303</v>
      </c>
      <c r="E10012" s="1524" t="s">
        <v>5624</v>
      </c>
      <c r="F10012" s="1507"/>
      <c r="G10012" s="360" t="s">
        <v>777</v>
      </c>
      <c r="H10012" s="576">
        <v>0.08</v>
      </c>
      <c r="K10012" t="s">
        <v>3811</v>
      </c>
      <c r="L10012" t="s">
        <v>690</v>
      </c>
      <c r="P10012" t="s">
        <v>6934</v>
      </c>
      <c r="V10012">
        <v>139</v>
      </c>
    </row>
    <row r="10013" spans="1:22" customFormat="1" ht="15" x14ac:dyDescent="0.25">
      <c r="A10013" t="s">
        <v>303</v>
      </c>
      <c r="E10013" s="1524" t="s">
        <v>3688</v>
      </c>
      <c r="F10013" s="1524"/>
      <c r="G10013" s="360" t="s">
        <v>3775</v>
      </c>
      <c r="H10013" s="577">
        <v>17.8032</v>
      </c>
      <c r="K10013" t="s">
        <v>3811</v>
      </c>
      <c r="L10013" t="s">
        <v>690</v>
      </c>
      <c r="P10013" t="s">
        <v>3814</v>
      </c>
      <c r="V10013">
        <v>28</v>
      </c>
    </row>
    <row r="10014" spans="1:22" customFormat="1" ht="15" x14ac:dyDescent="0.25">
      <c r="A10014" t="s">
        <v>303</v>
      </c>
      <c r="E10014" s="1524" t="s">
        <v>4086</v>
      </c>
      <c r="F10014" s="1524"/>
      <c r="G10014" s="360" t="s">
        <v>3775</v>
      </c>
      <c r="H10014" s="605">
        <v>1.2202</v>
      </c>
      <c r="K10014" t="s">
        <v>3811</v>
      </c>
      <c r="L10014" t="s">
        <v>692</v>
      </c>
      <c r="P10014" t="s">
        <v>3815</v>
      </c>
      <c r="V10014">
        <v>25</v>
      </c>
    </row>
    <row r="10015" spans="1:22" customFormat="1" ht="15" x14ac:dyDescent="0.25">
      <c r="A10015" t="s">
        <v>303</v>
      </c>
      <c r="E10015" s="1524" t="s">
        <v>6849</v>
      </c>
      <c r="F10015" s="1510"/>
      <c r="G10015" s="360" t="s">
        <v>845</v>
      </c>
      <c r="H10015" s="605">
        <v>1.21E-2</v>
      </c>
      <c r="K10015" t="s">
        <v>3811</v>
      </c>
      <c r="L10015" t="s">
        <v>692</v>
      </c>
      <c r="P10015" t="s">
        <v>4543</v>
      </c>
      <c r="T10015">
        <v>46142</v>
      </c>
      <c r="V10015">
        <v>139</v>
      </c>
    </row>
    <row r="10016" spans="1:22" customFormat="1" ht="15" x14ac:dyDescent="0.25">
      <c r="A10016" t="s">
        <v>303</v>
      </c>
      <c r="E10016" s="1524" t="s">
        <v>6850</v>
      </c>
      <c r="F10016" s="1510"/>
      <c r="G10016" s="360" t="s">
        <v>3775</v>
      </c>
      <c r="H10016" s="605">
        <v>-0.2888</v>
      </c>
      <c r="K10016" t="s">
        <v>3811</v>
      </c>
      <c r="L10016" t="s">
        <v>692</v>
      </c>
      <c r="P10016" t="s">
        <v>3817</v>
      </c>
      <c r="T10016">
        <v>46142</v>
      </c>
      <c r="V10016">
        <v>96</v>
      </c>
    </row>
    <row r="10017" spans="1:22" customFormat="1" ht="15" x14ac:dyDescent="0.25">
      <c r="A10017" t="s">
        <v>303</v>
      </c>
      <c r="E10017" s="1524" t="s">
        <v>6930</v>
      </c>
      <c r="F10017" s="1510"/>
      <c r="G10017" s="360" t="s">
        <v>3775</v>
      </c>
      <c r="H10017" s="605">
        <v>9.2200000000000004E-2</v>
      </c>
      <c r="K10017" t="s">
        <v>3811</v>
      </c>
      <c r="L10017" t="s">
        <v>692</v>
      </c>
      <c r="P10017" t="s">
        <v>3816</v>
      </c>
      <c r="T10017">
        <v>46142</v>
      </c>
      <c r="V10017">
        <v>145</v>
      </c>
    </row>
    <row r="10018" spans="1:22" customFormat="1" ht="15" x14ac:dyDescent="0.25">
      <c r="A10018" t="s">
        <v>303</v>
      </c>
      <c r="E10018" s="1524" t="s">
        <v>4119</v>
      </c>
      <c r="F10018" s="1524"/>
      <c r="G10018" s="360" t="s">
        <v>3775</v>
      </c>
      <c r="H10018" s="577">
        <v>2.8144999999999998</v>
      </c>
      <c r="K10018" t="s">
        <v>3811</v>
      </c>
      <c r="L10018" t="s">
        <v>694</v>
      </c>
      <c r="P10018" t="s">
        <v>3818</v>
      </c>
      <c r="V10018">
        <v>48</v>
      </c>
    </row>
    <row r="10019" spans="1:22" customFormat="1" ht="15" x14ac:dyDescent="0.25">
      <c r="A10019" t="s">
        <v>303</v>
      </c>
      <c r="E10019" s="1524" t="s">
        <v>4121</v>
      </c>
      <c r="F10019" s="1524"/>
      <c r="G10019" s="360" t="s">
        <v>3775</v>
      </c>
      <c r="H10019" s="577">
        <v>2.2559</v>
      </c>
      <c r="K10019" t="s">
        <v>3811</v>
      </c>
      <c r="L10019" t="s">
        <v>694</v>
      </c>
      <c r="P10019" t="s">
        <v>3819</v>
      </c>
      <c r="V10019">
        <v>75</v>
      </c>
    </row>
    <row r="10020" spans="1:22" customFormat="1" ht="15" x14ac:dyDescent="0.25">
      <c r="A10020" t="s">
        <v>303</v>
      </c>
      <c r="E10020" s="1533" t="s">
        <v>967</v>
      </c>
      <c r="F10020" s="1524"/>
      <c r="G10020" s="360"/>
      <c r="H10020" s="360"/>
      <c r="K10020" t="s">
        <v>1049</v>
      </c>
      <c r="V10020">
        <v>48</v>
      </c>
    </row>
    <row r="10021" spans="1:22" customFormat="1" ht="15" x14ac:dyDescent="0.25">
      <c r="A10021" t="s">
        <v>303</v>
      </c>
      <c r="E10021" s="1524" t="s">
        <v>844</v>
      </c>
      <c r="F10021" s="1524"/>
      <c r="G10021" s="360" t="s">
        <v>845</v>
      </c>
      <c r="H10021" s="605">
        <v>4.1000000000000003E-3</v>
      </c>
      <c r="K10021" t="s">
        <v>3811</v>
      </c>
      <c r="L10021" t="s">
        <v>968</v>
      </c>
      <c r="P10021" t="s">
        <v>3820</v>
      </c>
      <c r="V10021">
        <v>55</v>
      </c>
    </row>
    <row r="10022" spans="1:22" customFormat="1" ht="15" x14ac:dyDescent="0.25">
      <c r="A10022" t="s">
        <v>303</v>
      </c>
      <c r="E10022" s="1524" t="s">
        <v>846</v>
      </c>
      <c r="F10022" s="1524"/>
      <c r="G10022" s="360" t="s">
        <v>845</v>
      </c>
      <c r="H10022" s="605">
        <v>4.0000000000000002E-4</v>
      </c>
      <c r="K10022" t="s">
        <v>3811</v>
      </c>
      <c r="L10022" t="s">
        <v>968</v>
      </c>
      <c r="P10022" t="s">
        <v>3820</v>
      </c>
      <c r="V10022">
        <v>65</v>
      </c>
    </row>
    <row r="10023" spans="1:22" customFormat="1" ht="15" x14ac:dyDescent="0.25">
      <c r="A10023" t="s">
        <v>303</v>
      </c>
      <c r="E10023" s="1524" t="s">
        <v>847</v>
      </c>
      <c r="F10023" s="1524"/>
      <c r="G10023" s="360" t="s">
        <v>845</v>
      </c>
      <c r="H10023" s="605">
        <v>1.5E-3</v>
      </c>
      <c r="K10023" t="s">
        <v>3811</v>
      </c>
      <c r="L10023" t="s">
        <v>968</v>
      </c>
      <c r="P10023" t="s">
        <v>3821</v>
      </c>
      <c r="V10023">
        <v>57</v>
      </c>
    </row>
    <row r="10024" spans="1:22" customFormat="1" ht="15" x14ac:dyDescent="0.25">
      <c r="A10024" t="s">
        <v>303</v>
      </c>
      <c r="E10024" s="1524" t="s">
        <v>848</v>
      </c>
      <c r="F10024" s="1524"/>
      <c r="G10024" s="360" t="s">
        <v>777</v>
      </c>
      <c r="H10024" s="604">
        <v>0.25</v>
      </c>
      <c r="K10024" t="s">
        <v>3811</v>
      </c>
      <c r="L10024" t="s">
        <v>968</v>
      </c>
      <c r="P10024" t="s">
        <v>3822</v>
      </c>
      <c r="V10024">
        <v>63</v>
      </c>
    </row>
    <row r="10025" spans="1:22" customFormat="1" x14ac:dyDescent="0.25">
      <c r="A10025" t="s">
        <v>303</v>
      </c>
      <c r="E10025" s="1651" t="s">
        <v>207</v>
      </c>
      <c r="F10025" s="1651"/>
      <c r="G10025" s="1651"/>
      <c r="H10025" s="1651"/>
      <c r="K10025" t="s">
        <v>3823</v>
      </c>
      <c r="V10025">
        <v>31</v>
      </c>
    </row>
    <row r="10026" spans="1:22" customFormat="1" ht="15" x14ac:dyDescent="0.25">
      <c r="A10026" t="s">
        <v>303</v>
      </c>
      <c r="E10026" s="1496" t="s">
        <v>4620</v>
      </c>
      <c r="F10026" s="1496"/>
      <c r="G10026" s="1496"/>
      <c r="H10026" s="1496"/>
      <c r="K10026" t="s">
        <v>3823</v>
      </c>
      <c r="V10026">
        <v>285</v>
      </c>
    </row>
    <row r="10027" spans="1:22" customFormat="1" ht="15" x14ac:dyDescent="0.25">
      <c r="A10027" t="s">
        <v>303</v>
      </c>
      <c r="E10027" s="1562" t="s">
        <v>950</v>
      </c>
      <c r="F10027" s="1650"/>
      <c r="G10027" s="1650"/>
      <c r="H10027" s="1650"/>
      <c r="K10027" t="s">
        <v>1055</v>
      </c>
      <c r="V10027">
        <v>11</v>
      </c>
    </row>
    <row r="10028" spans="1:22" customFormat="1" ht="15" x14ac:dyDescent="0.25">
      <c r="A10028" t="s">
        <v>303</v>
      </c>
      <c r="E10028" s="1496" t="s">
        <v>951</v>
      </c>
      <c r="F10028" s="1496"/>
      <c r="G10028" s="1496"/>
      <c r="H10028" s="1496"/>
      <c r="K10028" t="s">
        <v>3823</v>
      </c>
      <c r="V10028">
        <v>280</v>
      </c>
    </row>
    <row r="10029" spans="1:22" customFormat="1" ht="15" x14ac:dyDescent="0.25">
      <c r="A10029" t="s">
        <v>303</v>
      </c>
      <c r="E10029" s="1496" t="s">
        <v>952</v>
      </c>
      <c r="F10029" s="1496"/>
      <c r="G10029" s="1496"/>
      <c r="H10029" s="1496"/>
      <c r="K10029" t="s">
        <v>3823</v>
      </c>
      <c r="V10029">
        <v>411</v>
      </c>
    </row>
    <row r="10030" spans="1:22" customFormat="1" ht="15" x14ac:dyDescent="0.25">
      <c r="A10030" t="s">
        <v>303</v>
      </c>
      <c r="E10030" s="1496" t="s">
        <v>1103</v>
      </c>
      <c r="F10030" s="1496"/>
      <c r="G10030" s="1496"/>
      <c r="H10030" s="1496"/>
      <c r="K10030" t="s">
        <v>3823</v>
      </c>
      <c r="V10030">
        <v>211</v>
      </c>
    </row>
    <row r="10031" spans="1:22" customFormat="1" ht="15" x14ac:dyDescent="0.25">
      <c r="A10031" t="s">
        <v>303</v>
      </c>
      <c r="E10031" s="1496" t="s">
        <v>4213</v>
      </c>
      <c r="F10031" s="1496"/>
      <c r="G10031" s="1496"/>
      <c r="H10031" s="1496"/>
      <c r="K10031" t="s">
        <v>3823</v>
      </c>
      <c r="V10031">
        <v>247</v>
      </c>
    </row>
    <row r="10032" spans="1:22" customFormat="1" ht="15" x14ac:dyDescent="0.25">
      <c r="A10032" t="s">
        <v>303</v>
      </c>
      <c r="E10032" s="1562" t="s">
        <v>956</v>
      </c>
      <c r="F10032" s="1650"/>
      <c r="G10032" s="1650"/>
      <c r="H10032" s="1650"/>
      <c r="K10032" t="s">
        <v>1056</v>
      </c>
      <c r="V10032">
        <v>46</v>
      </c>
    </row>
    <row r="10033" spans="1:22" customFormat="1" ht="15" x14ac:dyDescent="0.25">
      <c r="A10033" t="s">
        <v>303</v>
      </c>
      <c r="E10033" s="1524" t="s">
        <v>3763</v>
      </c>
      <c r="F10033" s="1524"/>
      <c r="G10033" s="658" t="s">
        <v>777</v>
      </c>
      <c r="H10033" s="576">
        <v>17.2</v>
      </c>
      <c r="K10033" t="s">
        <v>3823</v>
      </c>
      <c r="L10033" t="s">
        <v>690</v>
      </c>
      <c r="P10033" t="s">
        <v>3824</v>
      </c>
      <c r="V10033">
        <v>15</v>
      </c>
    </row>
    <row r="10034" spans="1:22" customFormat="1" x14ac:dyDescent="0.25">
      <c r="A10034" t="s">
        <v>303</v>
      </c>
      <c r="E10034" s="1651" t="s">
        <v>3825</v>
      </c>
      <c r="F10034" s="1651"/>
      <c r="G10034" s="1651"/>
      <c r="H10034" s="1651"/>
      <c r="K10034" t="s">
        <v>5628</v>
      </c>
      <c r="V10034">
        <v>10</v>
      </c>
    </row>
    <row r="10035" spans="1:22" customFormat="1" ht="15" x14ac:dyDescent="0.25">
      <c r="A10035" t="s">
        <v>303</v>
      </c>
      <c r="E10035" s="1524" t="s">
        <v>5629</v>
      </c>
      <c r="F10035" s="1524"/>
      <c r="G10035" s="360" t="s">
        <v>3775</v>
      </c>
      <c r="H10035" s="605">
        <v>-0.6</v>
      </c>
      <c r="V10035">
        <v>69</v>
      </c>
    </row>
    <row r="10036" spans="1:22" customFormat="1" ht="15" x14ac:dyDescent="0.25">
      <c r="A10036" t="s">
        <v>303</v>
      </c>
      <c r="E10036" s="1524" t="s">
        <v>1079</v>
      </c>
      <c r="F10036" s="1524"/>
      <c r="G10036" s="360" t="s">
        <v>1118</v>
      </c>
      <c r="H10036" s="604">
        <v>-1</v>
      </c>
      <c r="V10036">
        <v>87</v>
      </c>
    </row>
    <row r="10037" spans="1:22" customFormat="1" x14ac:dyDescent="0.25">
      <c r="A10037" t="s">
        <v>303</v>
      </c>
      <c r="E10037" s="1651" t="s">
        <v>3828</v>
      </c>
      <c r="F10037" s="1651"/>
      <c r="G10037" s="1651"/>
      <c r="H10037" s="1651"/>
      <c r="K10037" t="s">
        <v>5630</v>
      </c>
      <c r="V10037">
        <v>24</v>
      </c>
    </row>
    <row r="10038" spans="1:22" customFormat="1" ht="15" x14ac:dyDescent="0.25">
      <c r="A10038" t="s">
        <v>303</v>
      </c>
      <c r="E10038" s="1496" t="s">
        <v>951</v>
      </c>
      <c r="F10038" s="1496"/>
      <c r="G10038" s="1496"/>
      <c r="H10038" s="1496"/>
      <c r="V10038">
        <v>280</v>
      </c>
    </row>
    <row r="10039" spans="1:22" customFormat="1" ht="15" x14ac:dyDescent="0.25">
      <c r="A10039" t="s">
        <v>303</v>
      </c>
      <c r="E10039" s="1496" t="s">
        <v>1081</v>
      </c>
      <c r="F10039" s="1496"/>
      <c r="G10039" s="1496"/>
      <c r="H10039" s="1496"/>
      <c r="V10039">
        <v>353</v>
      </c>
    </row>
    <row r="10040" spans="1:22" customFormat="1" ht="15" x14ac:dyDescent="0.25">
      <c r="A10040" t="s">
        <v>303</v>
      </c>
      <c r="E10040" s="1496" t="s">
        <v>4213</v>
      </c>
      <c r="F10040" s="1496"/>
      <c r="G10040" s="1496"/>
      <c r="H10040" s="1496"/>
      <c r="V10040">
        <v>247</v>
      </c>
    </row>
    <row r="10041" spans="1:22" customFormat="1" ht="15" x14ac:dyDescent="0.25">
      <c r="A10041" t="s">
        <v>303</v>
      </c>
      <c r="E10041" s="851" t="s">
        <v>3830</v>
      </c>
      <c r="F10041" s="276"/>
      <c r="G10041" s="276"/>
      <c r="H10041" s="609"/>
      <c r="K10041" t="s">
        <v>5631</v>
      </c>
      <c r="V10041">
        <v>23</v>
      </c>
    </row>
    <row r="10042" spans="1:22" customFormat="1" ht="15" x14ac:dyDescent="0.25">
      <c r="A10042" t="s">
        <v>303</v>
      </c>
      <c r="E10042" s="1525" t="s">
        <v>5632</v>
      </c>
      <c r="F10042" s="1525"/>
      <c r="G10042" s="360" t="s">
        <v>777</v>
      </c>
      <c r="H10042" s="604">
        <v>15</v>
      </c>
      <c r="V10042">
        <v>20</v>
      </c>
    </row>
    <row r="10043" spans="1:22" customFormat="1" ht="15" x14ac:dyDescent="0.25">
      <c r="A10043" t="s">
        <v>303</v>
      </c>
      <c r="E10043" s="1525" t="s">
        <v>5633</v>
      </c>
      <c r="F10043" s="1525"/>
      <c r="G10043" s="360" t="s">
        <v>777</v>
      </c>
      <c r="H10043" s="604">
        <v>15</v>
      </c>
      <c r="V10043">
        <v>21</v>
      </c>
    </row>
    <row r="10044" spans="1:22" customFormat="1" ht="15" x14ac:dyDescent="0.25">
      <c r="A10044" t="s">
        <v>303</v>
      </c>
      <c r="E10044" s="1525" t="s">
        <v>5634</v>
      </c>
      <c r="F10044" s="1525"/>
      <c r="G10044" s="360" t="s">
        <v>777</v>
      </c>
      <c r="H10044" s="604">
        <v>15</v>
      </c>
      <c r="V10044">
        <v>27</v>
      </c>
    </row>
    <row r="10045" spans="1:22" customFormat="1" ht="15" x14ac:dyDescent="0.25">
      <c r="A10045" t="s">
        <v>303</v>
      </c>
      <c r="E10045" s="1525" t="s">
        <v>5635</v>
      </c>
      <c r="F10045" s="1525"/>
      <c r="G10045" s="360" t="s">
        <v>777</v>
      </c>
      <c r="H10045" s="604">
        <v>15</v>
      </c>
      <c r="V10045">
        <v>40</v>
      </c>
    </row>
    <row r="10046" spans="1:22" customFormat="1" ht="15" x14ac:dyDescent="0.25">
      <c r="A10046" t="s">
        <v>303</v>
      </c>
      <c r="E10046" s="1525" t="s">
        <v>5636</v>
      </c>
      <c r="F10046" s="1525"/>
      <c r="G10046" s="360" t="s">
        <v>777</v>
      </c>
      <c r="H10046" s="604">
        <v>15</v>
      </c>
      <c r="V10046">
        <v>38</v>
      </c>
    </row>
    <row r="10047" spans="1:22" customFormat="1" ht="15" x14ac:dyDescent="0.25">
      <c r="A10047" t="s">
        <v>303</v>
      </c>
      <c r="E10047" s="1525" t="s">
        <v>5637</v>
      </c>
      <c r="F10047" s="1525"/>
      <c r="G10047" s="360" t="s">
        <v>777</v>
      </c>
      <c r="H10047" s="604">
        <v>15</v>
      </c>
      <c r="V10047">
        <v>16</v>
      </c>
    </row>
    <row r="10048" spans="1:22" customFormat="1" ht="15" x14ac:dyDescent="0.25">
      <c r="A10048" t="s">
        <v>303</v>
      </c>
      <c r="E10048" s="1525" t="s">
        <v>5638</v>
      </c>
      <c r="F10048" s="1525"/>
      <c r="G10048" s="360" t="s">
        <v>777</v>
      </c>
      <c r="H10048" s="604">
        <v>15</v>
      </c>
      <c r="V10048">
        <v>18</v>
      </c>
    </row>
    <row r="10049" spans="1:22" customFormat="1" ht="15" x14ac:dyDescent="0.25">
      <c r="A10049" t="s">
        <v>303</v>
      </c>
      <c r="E10049" s="1525" t="s">
        <v>5639</v>
      </c>
      <c r="F10049" s="1525"/>
      <c r="G10049" s="360" t="s">
        <v>777</v>
      </c>
      <c r="H10049" s="604">
        <v>15</v>
      </c>
      <c r="V10049">
        <v>20</v>
      </c>
    </row>
    <row r="10050" spans="1:22" customFormat="1" ht="15" x14ac:dyDescent="0.25">
      <c r="A10050" t="s">
        <v>303</v>
      </c>
      <c r="E10050" s="1525" t="s">
        <v>5640</v>
      </c>
      <c r="F10050" s="1525"/>
      <c r="G10050" s="360" t="s">
        <v>777</v>
      </c>
      <c r="H10050" s="604">
        <v>15</v>
      </c>
      <c r="V10050">
        <v>16</v>
      </c>
    </row>
    <row r="10051" spans="1:22" customFormat="1" ht="15" x14ac:dyDescent="0.25">
      <c r="A10051" t="s">
        <v>303</v>
      </c>
      <c r="E10051" s="1525" t="s">
        <v>5641</v>
      </c>
      <c r="F10051" s="1525"/>
      <c r="G10051" s="360" t="s">
        <v>777</v>
      </c>
      <c r="H10051" s="604">
        <v>15</v>
      </c>
      <c r="V10051">
        <v>57</v>
      </c>
    </row>
    <row r="10052" spans="1:22" customFormat="1" ht="15" x14ac:dyDescent="0.25">
      <c r="A10052" t="s">
        <v>303</v>
      </c>
      <c r="E10052" s="1525" t="s">
        <v>5642</v>
      </c>
      <c r="F10052" s="1525"/>
      <c r="G10052" s="360" t="s">
        <v>777</v>
      </c>
      <c r="H10052" s="604">
        <v>15</v>
      </c>
      <c r="V10052">
        <v>43</v>
      </c>
    </row>
    <row r="10053" spans="1:22" customFormat="1" ht="15" x14ac:dyDescent="0.25">
      <c r="A10053" t="s">
        <v>303</v>
      </c>
      <c r="E10053" s="1525" t="s">
        <v>5643</v>
      </c>
      <c r="F10053" s="1525"/>
      <c r="G10053" s="360" t="s">
        <v>777</v>
      </c>
      <c r="H10053" s="604">
        <v>15</v>
      </c>
      <c r="V10053">
        <v>25</v>
      </c>
    </row>
    <row r="10054" spans="1:22" customFormat="1" ht="15" x14ac:dyDescent="0.25">
      <c r="A10054" t="s">
        <v>303</v>
      </c>
      <c r="E10054" s="1525" t="s">
        <v>5644</v>
      </c>
      <c r="F10054" s="1525"/>
      <c r="G10054" s="360" t="s">
        <v>777</v>
      </c>
      <c r="H10054" s="604">
        <v>15</v>
      </c>
      <c r="V10054">
        <v>20</v>
      </c>
    </row>
    <row r="10055" spans="1:22" customFormat="1" ht="15" x14ac:dyDescent="0.25">
      <c r="A10055" t="s">
        <v>303</v>
      </c>
      <c r="E10055" s="1525" t="s">
        <v>5645</v>
      </c>
      <c r="F10055" s="1525"/>
      <c r="G10055" s="360" t="s">
        <v>777</v>
      </c>
      <c r="H10055" s="604">
        <v>30</v>
      </c>
      <c r="V10055">
        <v>90</v>
      </c>
    </row>
    <row r="10056" spans="1:22" customFormat="1" ht="15" x14ac:dyDescent="0.25">
      <c r="A10056" t="s">
        <v>303</v>
      </c>
      <c r="E10056" s="1525" t="s">
        <v>5646</v>
      </c>
      <c r="F10056" s="1525"/>
      <c r="G10056" s="360" t="s">
        <v>777</v>
      </c>
      <c r="H10056" s="604">
        <v>30</v>
      </c>
      <c r="V10056">
        <v>75</v>
      </c>
    </row>
    <row r="10057" spans="1:22" customFormat="1" ht="15" x14ac:dyDescent="0.25">
      <c r="A10057" t="s">
        <v>303</v>
      </c>
      <c r="E10057" s="1525" t="s">
        <v>5647</v>
      </c>
      <c r="F10057" s="1525"/>
      <c r="G10057" s="360" t="s">
        <v>777</v>
      </c>
      <c r="H10057" s="604">
        <v>30</v>
      </c>
      <c r="V10057">
        <v>20</v>
      </c>
    </row>
    <row r="10058" spans="1:22" customFormat="1" ht="15" x14ac:dyDescent="0.25">
      <c r="A10058" t="s">
        <v>303</v>
      </c>
      <c r="E10058" s="851" t="s">
        <v>4062</v>
      </c>
      <c r="F10058" s="659"/>
      <c r="G10058" s="643"/>
      <c r="H10058" s="643"/>
      <c r="K10058" t="s">
        <v>5648</v>
      </c>
      <c r="V10058">
        <v>22</v>
      </c>
    </row>
    <row r="10059" spans="1:22" customFormat="1" ht="15" x14ac:dyDescent="0.25">
      <c r="A10059" t="s">
        <v>303</v>
      </c>
      <c r="E10059" s="1525" t="s">
        <v>4700</v>
      </c>
      <c r="F10059" s="1525"/>
      <c r="G10059" s="360"/>
      <c r="H10059" s="616"/>
      <c r="V10059">
        <v>24</v>
      </c>
    </row>
    <row r="10060" spans="1:22" customFormat="1" ht="15" x14ac:dyDescent="0.25">
      <c r="A10060" t="s">
        <v>303</v>
      </c>
      <c r="E10060" s="1525" t="s">
        <v>4701</v>
      </c>
      <c r="F10060" s="1525"/>
      <c r="G10060" s="360" t="s">
        <v>1118</v>
      </c>
      <c r="H10060" s="604">
        <v>1.5</v>
      </c>
      <c r="V10060">
        <v>74</v>
      </c>
    </row>
    <row r="10061" spans="1:22" customFormat="1" ht="15" x14ac:dyDescent="0.25">
      <c r="A10061" t="s">
        <v>303</v>
      </c>
      <c r="E10061" s="1525" t="s">
        <v>5649</v>
      </c>
      <c r="F10061" s="1525"/>
      <c r="G10061" s="360" t="s">
        <v>777</v>
      </c>
      <c r="H10061" s="604">
        <v>65</v>
      </c>
      <c r="V10061">
        <v>45</v>
      </c>
    </row>
    <row r="10062" spans="1:22" customFormat="1" ht="15" x14ac:dyDescent="0.25">
      <c r="A10062" t="s">
        <v>303</v>
      </c>
      <c r="E10062" s="1525" t="s">
        <v>5650</v>
      </c>
      <c r="F10062" s="1525"/>
      <c r="G10062" s="360" t="s">
        <v>777</v>
      </c>
      <c r="H10062" s="604">
        <v>185</v>
      </c>
      <c r="V10062">
        <v>44</v>
      </c>
    </row>
    <row r="10063" spans="1:22" customFormat="1" ht="15" x14ac:dyDescent="0.25">
      <c r="A10063" t="s">
        <v>303</v>
      </c>
      <c r="E10063" s="1525" t="s">
        <v>5427</v>
      </c>
      <c r="F10063" s="1525"/>
      <c r="G10063" s="360" t="s">
        <v>777</v>
      </c>
      <c r="H10063" s="604">
        <v>185</v>
      </c>
      <c r="V10063">
        <v>44</v>
      </c>
    </row>
    <row r="10064" spans="1:22" customFormat="1" ht="15" x14ac:dyDescent="0.25">
      <c r="A10064" t="s">
        <v>303</v>
      </c>
      <c r="E10064" s="1525" t="s">
        <v>5651</v>
      </c>
      <c r="F10064" s="1525"/>
      <c r="G10064" s="360" t="s">
        <v>777</v>
      </c>
      <c r="H10064" s="604">
        <v>415</v>
      </c>
      <c r="V10064">
        <v>43</v>
      </c>
    </row>
    <row r="10065" spans="1:22" customFormat="1" ht="15" x14ac:dyDescent="0.25">
      <c r="A10065" t="s">
        <v>303</v>
      </c>
      <c r="E10065" s="851" t="s">
        <v>3846</v>
      </c>
      <c r="F10065" s="276"/>
      <c r="G10065" s="615"/>
      <c r="H10065" s="615"/>
      <c r="V10065">
        <v>5</v>
      </c>
    </row>
    <row r="10066" spans="1:22" customFormat="1" ht="15" x14ac:dyDescent="0.25">
      <c r="A10066" t="s">
        <v>303</v>
      </c>
      <c r="E10066" s="1525" t="s">
        <v>5652</v>
      </c>
      <c r="F10066" s="1525"/>
      <c r="G10066" s="360" t="s">
        <v>777</v>
      </c>
      <c r="H10066" s="604">
        <v>30</v>
      </c>
      <c r="V10066">
        <v>40</v>
      </c>
    </row>
    <row r="10067" spans="1:22" customFormat="1" ht="15" x14ac:dyDescent="0.25">
      <c r="A10067" t="s">
        <v>303</v>
      </c>
      <c r="E10067" s="1525" t="s">
        <v>5653</v>
      </c>
      <c r="F10067" s="1525"/>
      <c r="G10067" s="360" t="s">
        <v>777</v>
      </c>
      <c r="H10067" s="604">
        <v>165</v>
      </c>
      <c r="V10067">
        <v>35</v>
      </c>
    </row>
    <row r="10068" spans="1:22" customFormat="1" ht="15" x14ac:dyDescent="0.25">
      <c r="A10068" t="s">
        <v>303</v>
      </c>
      <c r="E10068" s="1525" t="s">
        <v>5429</v>
      </c>
      <c r="F10068" s="1525"/>
      <c r="G10068" s="360" t="s">
        <v>777</v>
      </c>
      <c r="H10068" s="604">
        <v>500</v>
      </c>
      <c r="V10068">
        <v>65</v>
      </c>
    </row>
    <row r="10069" spans="1:22" customFormat="1" ht="15" x14ac:dyDescent="0.25">
      <c r="A10069" t="s">
        <v>303</v>
      </c>
      <c r="E10069" s="1525" t="s">
        <v>5654</v>
      </c>
      <c r="F10069" s="1525"/>
      <c r="G10069" s="360" t="s">
        <v>777</v>
      </c>
      <c r="H10069" s="604">
        <v>300</v>
      </c>
      <c r="V10069">
        <v>68</v>
      </c>
    </row>
    <row r="10070" spans="1:22" customFormat="1" ht="15" x14ac:dyDescent="0.25">
      <c r="A10070" t="s">
        <v>303</v>
      </c>
      <c r="E10070" s="1525" t="s">
        <v>5655</v>
      </c>
      <c r="F10070" s="1525"/>
      <c r="G10070" s="360" t="s">
        <v>777</v>
      </c>
      <c r="H10070" s="604">
        <v>1000</v>
      </c>
      <c r="V10070">
        <v>67</v>
      </c>
    </row>
    <row r="10071" spans="1:22" customFormat="1" ht="15" x14ac:dyDescent="0.25">
      <c r="A10071" t="s">
        <v>303</v>
      </c>
      <c r="E10071" s="1525" t="s">
        <v>5656</v>
      </c>
      <c r="F10071" s="1525"/>
      <c r="G10071" s="360" t="s">
        <v>777</v>
      </c>
      <c r="H10071" s="604">
        <v>39.14</v>
      </c>
      <c r="V10071">
        <v>112</v>
      </c>
    </row>
    <row r="10072" spans="1:22" customFormat="1" x14ac:dyDescent="0.25">
      <c r="A10072" t="s">
        <v>303</v>
      </c>
      <c r="E10072" s="1651" t="s">
        <v>3851</v>
      </c>
      <c r="F10072" s="1651"/>
      <c r="G10072" s="1651"/>
      <c r="H10072" s="1651"/>
      <c r="K10072" t="s">
        <v>5657</v>
      </c>
      <c r="V10072">
        <v>38</v>
      </c>
    </row>
    <row r="10073" spans="1:22" customFormat="1" ht="15" x14ac:dyDescent="0.25">
      <c r="A10073" t="s">
        <v>303</v>
      </c>
      <c r="E10073" s="1496" t="s">
        <v>951</v>
      </c>
      <c r="F10073" s="1496"/>
      <c r="G10073" s="1496"/>
      <c r="H10073" s="1496"/>
      <c r="V10073">
        <v>280</v>
      </c>
    </row>
    <row r="10074" spans="1:22" customFormat="1" ht="15" x14ac:dyDescent="0.25">
      <c r="A10074" t="s">
        <v>303</v>
      </c>
      <c r="E10074" s="1496" t="s">
        <v>952</v>
      </c>
      <c r="F10074" s="1496"/>
      <c r="G10074" s="1496"/>
      <c r="H10074" s="1496"/>
      <c r="V10074">
        <v>411</v>
      </c>
    </row>
    <row r="10075" spans="1:22" customFormat="1" ht="15" x14ac:dyDescent="0.25">
      <c r="A10075" t="s">
        <v>303</v>
      </c>
      <c r="E10075" s="1496" t="s">
        <v>1103</v>
      </c>
      <c r="F10075" s="1496"/>
      <c r="G10075" s="1496"/>
      <c r="H10075" s="1496"/>
      <c r="V10075">
        <v>211</v>
      </c>
    </row>
    <row r="10076" spans="1:22" customFormat="1" ht="15" x14ac:dyDescent="0.25">
      <c r="A10076" t="s">
        <v>303</v>
      </c>
      <c r="E10076" s="1496" t="s">
        <v>4213</v>
      </c>
      <c r="F10076" s="1496"/>
      <c r="G10076" s="1496"/>
      <c r="H10076" s="1496"/>
      <c r="V10076">
        <v>247</v>
      </c>
    </row>
    <row r="10077" spans="1:22" customFormat="1" ht="15" x14ac:dyDescent="0.25">
      <c r="A10077" t="s">
        <v>303</v>
      </c>
      <c r="E10077" s="1496" t="s">
        <v>4598</v>
      </c>
      <c r="F10077" s="1496"/>
      <c r="G10077" s="1496"/>
      <c r="H10077" s="1496"/>
      <c r="V10077">
        <v>141</v>
      </c>
    </row>
    <row r="10078" spans="1:22" customFormat="1" ht="15" x14ac:dyDescent="0.25">
      <c r="A10078" t="s">
        <v>303</v>
      </c>
      <c r="E10078" s="1524" t="s">
        <v>5658</v>
      </c>
      <c r="F10078" s="1524"/>
      <c r="G10078" s="615" t="s">
        <v>777</v>
      </c>
      <c r="H10078" s="604">
        <v>121.23</v>
      </c>
      <c r="V10078">
        <v>107</v>
      </c>
    </row>
    <row r="10079" spans="1:22" customFormat="1" ht="15" x14ac:dyDescent="0.25">
      <c r="A10079" t="s">
        <v>303</v>
      </c>
      <c r="E10079" s="1524" t="s">
        <v>5659</v>
      </c>
      <c r="F10079" s="1524"/>
      <c r="G10079" s="615" t="s">
        <v>777</v>
      </c>
      <c r="H10079" s="642">
        <v>48.5</v>
      </c>
      <c r="V10079">
        <v>35</v>
      </c>
    </row>
    <row r="10080" spans="1:22" customFormat="1" ht="15" x14ac:dyDescent="0.25">
      <c r="A10080" t="s">
        <v>303</v>
      </c>
      <c r="E10080" s="1524" t="s">
        <v>5660</v>
      </c>
      <c r="F10080" s="1524"/>
      <c r="G10080" s="615" t="s">
        <v>852</v>
      </c>
      <c r="H10080" s="642">
        <v>1.2</v>
      </c>
      <c r="V10080">
        <v>52</v>
      </c>
    </row>
    <row r="10081" spans="1:22" customFormat="1" ht="15" x14ac:dyDescent="0.25">
      <c r="A10081" t="s">
        <v>303</v>
      </c>
      <c r="E10081" s="1524" t="s">
        <v>5661</v>
      </c>
      <c r="F10081" s="1524"/>
      <c r="G10081" s="615" t="s">
        <v>852</v>
      </c>
      <c r="H10081" s="642">
        <v>0.71</v>
      </c>
      <c r="V10081">
        <v>76</v>
      </c>
    </row>
    <row r="10082" spans="1:22" customFormat="1" ht="15" x14ac:dyDescent="0.25">
      <c r="A10082" t="s">
        <v>303</v>
      </c>
      <c r="E10082" s="1524" t="s">
        <v>5662</v>
      </c>
      <c r="F10082" s="1524"/>
      <c r="G10082" s="615" t="s">
        <v>852</v>
      </c>
      <c r="H10082" s="642">
        <v>-0.71</v>
      </c>
      <c r="V10082">
        <v>73</v>
      </c>
    </row>
    <row r="10083" spans="1:22" customFormat="1" ht="15" x14ac:dyDescent="0.25">
      <c r="A10083" t="s">
        <v>303</v>
      </c>
      <c r="E10083" s="1524" t="s">
        <v>855</v>
      </c>
      <c r="F10083" s="1524"/>
      <c r="G10083" s="276"/>
      <c r="H10083" s="644"/>
      <c r="V10083">
        <v>34</v>
      </c>
    </row>
    <row r="10084" spans="1:22" customFormat="1" ht="15" x14ac:dyDescent="0.25">
      <c r="A10084" t="s">
        <v>303</v>
      </c>
      <c r="E10084" s="1557" t="s">
        <v>5663</v>
      </c>
      <c r="F10084" s="1557"/>
      <c r="G10084" s="643" t="s">
        <v>777</v>
      </c>
      <c r="H10084" s="604">
        <v>0.61</v>
      </c>
      <c r="V10084">
        <v>58</v>
      </c>
    </row>
    <row r="10085" spans="1:22" customFormat="1" ht="15" x14ac:dyDescent="0.25">
      <c r="A10085" t="s">
        <v>303</v>
      </c>
      <c r="E10085" s="1557" t="s">
        <v>5664</v>
      </c>
      <c r="F10085" s="1557"/>
      <c r="G10085" s="643" t="s">
        <v>777</v>
      </c>
      <c r="H10085" s="604">
        <v>1.2</v>
      </c>
      <c r="V10085">
        <v>61</v>
      </c>
    </row>
    <row r="10086" spans="1:22" customFormat="1" ht="15" x14ac:dyDescent="0.25">
      <c r="A10086" t="s">
        <v>303</v>
      </c>
      <c r="E10086" s="1524" t="s">
        <v>1108</v>
      </c>
      <c r="F10086" s="1524"/>
      <c r="G10086" s="276"/>
      <c r="H10086" s="616"/>
      <c r="V10086">
        <v>91</v>
      </c>
    </row>
    <row r="10087" spans="1:22" customFormat="1" ht="15" x14ac:dyDescent="0.25">
      <c r="A10087" t="s">
        <v>303</v>
      </c>
      <c r="E10087" s="1524" t="s">
        <v>1109</v>
      </c>
      <c r="F10087" s="1524"/>
      <c r="G10087" s="276"/>
      <c r="H10087" s="616"/>
      <c r="V10087">
        <v>96</v>
      </c>
    </row>
    <row r="10088" spans="1:22" customFormat="1" ht="15" x14ac:dyDescent="0.25">
      <c r="A10088" t="s">
        <v>303</v>
      </c>
      <c r="E10088" s="1524" t="s">
        <v>856</v>
      </c>
      <c r="F10088" s="1524"/>
      <c r="G10088" s="276"/>
      <c r="H10088" s="616"/>
      <c r="V10088">
        <v>77</v>
      </c>
    </row>
    <row r="10089" spans="1:22" customFormat="1" ht="15" x14ac:dyDescent="0.25">
      <c r="A10089" t="s">
        <v>303</v>
      </c>
      <c r="E10089" s="1557" t="s">
        <v>5665</v>
      </c>
      <c r="F10089" s="1557"/>
      <c r="G10089" s="643" t="s">
        <v>777</v>
      </c>
      <c r="H10089" s="616" t="s">
        <v>857</v>
      </c>
      <c r="V10089">
        <v>28</v>
      </c>
    </row>
    <row r="10090" spans="1:22" customFormat="1" ht="15" x14ac:dyDescent="0.25">
      <c r="A10090" t="s">
        <v>303</v>
      </c>
      <c r="E10090" s="1557" t="s">
        <v>5666</v>
      </c>
      <c r="F10090" s="1557"/>
      <c r="G10090" s="643" t="s">
        <v>777</v>
      </c>
      <c r="H10090" s="604">
        <v>4.8499999999999996</v>
      </c>
      <c r="V10090">
        <v>70</v>
      </c>
    </row>
    <row r="10091" spans="1:22" customFormat="1" ht="15" x14ac:dyDescent="0.25">
      <c r="A10091" t="s">
        <v>303</v>
      </c>
      <c r="E10091" s="1524" t="s">
        <v>858</v>
      </c>
      <c r="F10091" s="1524"/>
      <c r="G10091" s="643" t="s">
        <v>777</v>
      </c>
      <c r="H10091" s="642">
        <v>2.42</v>
      </c>
      <c r="V10091">
        <v>199</v>
      </c>
    </row>
    <row r="10092" spans="1:22" customFormat="1" x14ac:dyDescent="0.25">
      <c r="A10092" t="s">
        <v>303</v>
      </c>
      <c r="E10092" s="1651" t="s">
        <v>3853</v>
      </c>
      <c r="F10092" s="1651"/>
      <c r="G10092" s="1651"/>
      <c r="H10092" s="1651"/>
      <c r="K10092" t="s">
        <v>5667</v>
      </c>
      <c r="V10092">
        <v>12</v>
      </c>
    </row>
    <row r="10093" spans="1:22" customFormat="1" ht="15" x14ac:dyDescent="0.25">
      <c r="A10093" t="s">
        <v>303</v>
      </c>
      <c r="E10093" s="1524" t="s">
        <v>1114</v>
      </c>
      <c r="F10093" s="1524"/>
      <c r="G10093" s="1524"/>
      <c r="H10093" s="1524"/>
      <c r="V10093">
        <v>203</v>
      </c>
    </row>
    <row r="10094" spans="1:22" customFormat="1" ht="15" x14ac:dyDescent="0.25">
      <c r="A10094" t="s">
        <v>303</v>
      </c>
      <c r="E10094" s="1524" t="s">
        <v>1115</v>
      </c>
      <c r="F10094" s="1524"/>
      <c r="G10094" s="360"/>
      <c r="H10094" s="616">
        <v>1.0852999999999999</v>
      </c>
      <c r="V10094">
        <v>57</v>
      </c>
    </row>
    <row r="10095" spans="1:22" customFormat="1" ht="15" x14ac:dyDescent="0.25">
      <c r="A10095" t="s">
        <v>303</v>
      </c>
      <c r="E10095" s="1524" t="s">
        <v>1117</v>
      </c>
      <c r="F10095" s="1524"/>
      <c r="G10095" s="360"/>
      <c r="H10095" s="616">
        <v>1.0710999999999999</v>
      </c>
      <c r="J10095" t="s">
        <v>5668</v>
      </c>
      <c r="V10095">
        <v>55</v>
      </c>
    </row>
    <row r="10096" spans="1:22" customFormat="1" ht="23.25" x14ac:dyDescent="0.25">
      <c r="A10096" t="s">
        <v>227</v>
      </c>
      <c r="B10096" t="s">
        <v>5712</v>
      </c>
      <c r="C10096" t="s">
        <v>3755</v>
      </c>
      <c r="E10096" s="1576" t="s">
        <v>227</v>
      </c>
      <c r="F10096" s="1576"/>
      <c r="G10096" s="1576"/>
      <c r="H10096" s="1576"/>
      <c r="I10096" t="s">
        <v>94</v>
      </c>
      <c r="J10096" t="s">
        <v>5713</v>
      </c>
      <c r="K10096" t="s">
        <v>227</v>
      </c>
      <c r="M10096">
        <v>9</v>
      </c>
      <c r="V10096">
        <v>22</v>
      </c>
    </row>
    <row r="10097" spans="1:22" customFormat="1" ht="23.25" x14ac:dyDescent="0.25">
      <c r="A10097" t="s">
        <v>227</v>
      </c>
      <c r="B10097" t="s">
        <v>5712</v>
      </c>
      <c r="C10097" t="s">
        <v>3757</v>
      </c>
      <c r="E10097" s="1576" t="s">
        <v>206</v>
      </c>
      <c r="F10097" s="1576"/>
      <c r="G10097" s="1576"/>
      <c r="H10097" s="1576"/>
      <c r="V10097">
        <v>18</v>
      </c>
    </row>
    <row r="10098" spans="1:22" customFormat="1" x14ac:dyDescent="0.25">
      <c r="A10098" t="s">
        <v>227</v>
      </c>
      <c r="B10098" t="s">
        <v>5712</v>
      </c>
      <c r="C10098" t="s">
        <v>3758</v>
      </c>
      <c r="E10098" s="1577" t="s">
        <v>944</v>
      </c>
      <c r="F10098" s="1577"/>
      <c r="G10098" s="1577"/>
      <c r="H10098" s="1577"/>
      <c r="V10098">
        <v>27</v>
      </c>
    </row>
    <row r="10099" spans="1:22" customFormat="1" ht="15.75" x14ac:dyDescent="0.25">
      <c r="A10099" t="s">
        <v>227</v>
      </c>
      <c r="B10099" t="s">
        <v>5712</v>
      </c>
      <c r="C10099" t="s">
        <v>3759</v>
      </c>
      <c r="E10099" s="1585" t="s">
        <v>6847</v>
      </c>
      <c r="F10099" s="1585"/>
      <c r="G10099" s="1585"/>
      <c r="H10099" s="1585"/>
      <c r="S10099">
        <v>45778</v>
      </c>
      <c r="V10099">
        <v>45</v>
      </c>
    </row>
    <row r="10100" spans="1:22" customFormat="1" ht="15" x14ac:dyDescent="0.25">
      <c r="A10100" t="s">
        <v>227</v>
      </c>
      <c r="B10100" t="s">
        <v>5712</v>
      </c>
      <c r="E10100" s="1575" t="s">
        <v>945</v>
      </c>
      <c r="F10100" s="1575"/>
      <c r="G10100" s="1575"/>
      <c r="H10100" s="1575"/>
      <c r="V10100">
        <v>52</v>
      </c>
    </row>
    <row r="10101" spans="1:22" customFormat="1" ht="15" x14ac:dyDescent="0.25">
      <c r="A10101" t="s">
        <v>227</v>
      </c>
      <c r="B10101" t="s">
        <v>5712</v>
      </c>
      <c r="E10101" s="1575" t="s">
        <v>946</v>
      </c>
      <c r="F10101" s="1575"/>
      <c r="G10101" s="1575"/>
      <c r="H10101" s="1575"/>
      <c r="V10101">
        <v>53</v>
      </c>
    </row>
    <row r="10102" spans="1:22" customFormat="1" ht="15" x14ac:dyDescent="0.25">
      <c r="A10102" t="s">
        <v>227</v>
      </c>
      <c r="B10102" t="s">
        <v>5712</v>
      </c>
      <c r="E10102" s="1534" t="s">
        <v>6935</v>
      </c>
      <c r="F10102" s="1534"/>
      <c r="G10102" s="1534"/>
      <c r="H10102" s="1534"/>
      <c r="K10102" t="s">
        <v>6935</v>
      </c>
      <c r="V10102">
        <v>12</v>
      </c>
    </row>
    <row r="10103" spans="1:22" customFormat="1" ht="15" x14ac:dyDescent="0.25">
      <c r="A10103" t="s">
        <v>227</v>
      </c>
      <c r="B10103" t="s">
        <v>5712</v>
      </c>
      <c r="E10103" s="1538" t="s">
        <v>170</v>
      </c>
      <c r="F10103" s="1496"/>
      <c r="G10103" s="1496"/>
      <c r="H10103" s="1496"/>
      <c r="K10103" t="s">
        <v>947</v>
      </c>
      <c r="V10103">
        <v>34</v>
      </c>
    </row>
    <row r="10104" spans="1:22" customFormat="1" ht="15" x14ac:dyDescent="0.25">
      <c r="A10104" t="s">
        <v>227</v>
      </c>
      <c r="B10104" t="s">
        <v>5712</v>
      </c>
      <c r="E10104" s="1496" t="s">
        <v>5714</v>
      </c>
      <c r="F10104" s="1496"/>
      <c r="G10104" s="1496"/>
      <c r="H10104" s="1496"/>
      <c r="K10104" t="s">
        <v>947</v>
      </c>
      <c r="V10104">
        <v>263</v>
      </c>
    </row>
    <row r="10105" spans="1:22" customFormat="1" ht="15" x14ac:dyDescent="0.25">
      <c r="A10105" t="s">
        <v>227</v>
      </c>
      <c r="B10105" t="s">
        <v>5712</v>
      </c>
      <c r="E10105" s="1533" t="s">
        <v>950</v>
      </c>
      <c r="F10105" s="1496"/>
      <c r="G10105" s="1496"/>
      <c r="H10105" s="1496"/>
      <c r="K10105" t="s">
        <v>949</v>
      </c>
      <c r="V10105">
        <v>11</v>
      </c>
    </row>
    <row r="10106" spans="1:22" customFormat="1" ht="15" x14ac:dyDescent="0.25">
      <c r="A10106" t="s">
        <v>227</v>
      </c>
      <c r="B10106" t="s">
        <v>5712</v>
      </c>
      <c r="E10106" s="1496" t="s">
        <v>951</v>
      </c>
      <c r="F10106" s="1496"/>
      <c r="G10106" s="1496"/>
      <c r="H10106" s="1496"/>
      <c r="K10106" t="s">
        <v>947</v>
      </c>
      <c r="V10106">
        <v>280</v>
      </c>
    </row>
    <row r="10107" spans="1:22" customFormat="1" ht="15" x14ac:dyDescent="0.25">
      <c r="A10107" t="s">
        <v>227</v>
      </c>
      <c r="B10107" t="s">
        <v>5712</v>
      </c>
      <c r="E10107" s="1496" t="s">
        <v>952</v>
      </c>
      <c r="F10107" s="1496"/>
      <c r="G10107" s="1496"/>
      <c r="H10107" s="1496"/>
      <c r="K10107" t="s">
        <v>947</v>
      </c>
      <c r="V10107">
        <v>411</v>
      </c>
    </row>
    <row r="10108" spans="1:22" customFormat="1" ht="15" x14ac:dyDescent="0.25">
      <c r="A10108" t="s">
        <v>227</v>
      </c>
      <c r="B10108" t="s">
        <v>5712</v>
      </c>
      <c r="E10108" s="1496" t="s">
        <v>3761</v>
      </c>
      <c r="F10108" s="1496"/>
      <c r="G10108" s="1496"/>
      <c r="H10108" s="1496"/>
      <c r="K10108" t="s">
        <v>947</v>
      </c>
      <c r="V10108">
        <v>387</v>
      </c>
    </row>
    <row r="10109" spans="1:22" customFormat="1" ht="15" x14ac:dyDescent="0.25">
      <c r="A10109" t="s">
        <v>227</v>
      </c>
      <c r="B10109" t="s">
        <v>5712</v>
      </c>
      <c r="E10109" s="1496" t="s">
        <v>3762</v>
      </c>
      <c r="F10109" s="1496"/>
      <c r="G10109" s="1496"/>
      <c r="H10109" s="1496"/>
      <c r="K10109" t="s">
        <v>947</v>
      </c>
      <c r="V10109">
        <v>247</v>
      </c>
    </row>
    <row r="10110" spans="1:22" customFormat="1" ht="15" x14ac:dyDescent="0.25">
      <c r="A10110" t="s">
        <v>227</v>
      </c>
      <c r="B10110" t="s">
        <v>5712</v>
      </c>
      <c r="E10110" s="1533" t="s">
        <v>956</v>
      </c>
      <c r="F10110" s="1496"/>
      <c r="G10110" s="1496"/>
      <c r="H10110" s="1496"/>
      <c r="K10110" t="s">
        <v>955</v>
      </c>
      <c r="V10110">
        <v>46</v>
      </c>
    </row>
    <row r="10111" spans="1:22" customFormat="1" ht="15" x14ac:dyDescent="0.25">
      <c r="A10111" t="s">
        <v>227</v>
      </c>
      <c r="B10111" t="s">
        <v>5712</v>
      </c>
      <c r="E10111" s="1524" t="s">
        <v>3773</v>
      </c>
      <c r="F10111" s="1524"/>
      <c r="G10111" s="360" t="s">
        <v>777</v>
      </c>
      <c r="H10111" s="576">
        <v>39.71</v>
      </c>
      <c r="K10111" t="s">
        <v>947</v>
      </c>
      <c r="L10111" t="s">
        <v>690</v>
      </c>
      <c r="P10111" t="s">
        <v>957</v>
      </c>
      <c r="V10111">
        <v>14</v>
      </c>
    </row>
    <row r="10112" spans="1:22" customFormat="1" ht="15" x14ac:dyDescent="0.25">
      <c r="A10112" t="s">
        <v>227</v>
      </c>
      <c r="B10112" t="s">
        <v>5712</v>
      </c>
      <c r="E10112" s="1524" t="s">
        <v>960</v>
      </c>
      <c r="F10112" s="1524"/>
      <c r="G10112" s="360" t="s">
        <v>777</v>
      </c>
      <c r="H10112" s="604">
        <v>0.42</v>
      </c>
      <c r="K10112" t="s">
        <v>947</v>
      </c>
      <c r="L10112" t="s">
        <v>692</v>
      </c>
      <c r="P10112" t="s">
        <v>959</v>
      </c>
      <c r="V10112">
        <v>64</v>
      </c>
    </row>
    <row r="10113" spans="1:22" customFormat="1" ht="15" x14ac:dyDescent="0.25">
      <c r="A10113" t="s">
        <v>227</v>
      </c>
      <c r="B10113" t="s">
        <v>5712</v>
      </c>
      <c r="E10113" s="1524" t="s">
        <v>6849</v>
      </c>
      <c r="F10113" s="1510"/>
      <c r="G10113" s="360" t="s">
        <v>845</v>
      </c>
      <c r="H10113" s="605">
        <v>7.1999999999999998E-3</v>
      </c>
      <c r="K10113" t="s">
        <v>947</v>
      </c>
      <c r="L10113" t="s">
        <v>692</v>
      </c>
      <c r="P10113" t="s">
        <v>962</v>
      </c>
      <c r="T10113">
        <v>46142</v>
      </c>
      <c r="V10113">
        <v>139</v>
      </c>
    </row>
    <row r="10114" spans="1:22" customFormat="1" ht="15" x14ac:dyDescent="0.25">
      <c r="A10114" t="s">
        <v>227</v>
      </c>
      <c r="B10114" t="s">
        <v>5712</v>
      </c>
      <c r="E10114" s="1524" t="s">
        <v>6850</v>
      </c>
      <c r="F10114" s="1510"/>
      <c r="G10114" s="360" t="s">
        <v>845</v>
      </c>
      <c r="H10114" s="605">
        <v>-2.5000000000000001E-3</v>
      </c>
      <c r="K10114" t="s">
        <v>947</v>
      </c>
      <c r="L10114" t="s">
        <v>692</v>
      </c>
      <c r="P10114" t="s">
        <v>963</v>
      </c>
      <c r="T10114">
        <v>46142</v>
      </c>
      <c r="V10114">
        <v>96</v>
      </c>
    </row>
    <row r="10115" spans="1:22" customFormat="1" ht="15" x14ac:dyDescent="0.25">
      <c r="A10115" t="s">
        <v>227</v>
      </c>
      <c r="B10115" t="s">
        <v>5712</v>
      </c>
      <c r="E10115" s="1524" t="s">
        <v>6853</v>
      </c>
      <c r="F10115" s="1510"/>
      <c r="G10115" s="360" t="s">
        <v>845</v>
      </c>
      <c r="H10115" s="605">
        <v>2.0000000000000001E-4</v>
      </c>
      <c r="K10115" t="s">
        <v>947</v>
      </c>
      <c r="L10115" t="s">
        <v>692</v>
      </c>
      <c r="P10115" t="s">
        <v>3764</v>
      </c>
      <c r="T10115">
        <v>46142</v>
      </c>
      <c r="V10115">
        <v>146</v>
      </c>
    </row>
    <row r="10116" spans="1:22" customFormat="1" ht="15" x14ac:dyDescent="0.25">
      <c r="A10116" t="s">
        <v>227</v>
      </c>
      <c r="B10116" t="s">
        <v>5712</v>
      </c>
      <c r="E10116" s="1524" t="s">
        <v>243</v>
      </c>
      <c r="F10116" s="1524"/>
      <c r="G10116" s="360" t="s">
        <v>845</v>
      </c>
      <c r="H10116" s="577">
        <v>1.04E-2</v>
      </c>
      <c r="K10116" t="s">
        <v>947</v>
      </c>
      <c r="L10116" t="s">
        <v>694</v>
      </c>
      <c r="P10116" t="s">
        <v>964</v>
      </c>
      <c r="V10116">
        <v>47</v>
      </c>
    </row>
    <row r="10117" spans="1:22" customFormat="1" ht="15" x14ac:dyDescent="0.25">
      <c r="A10117" t="s">
        <v>227</v>
      </c>
      <c r="B10117" t="s">
        <v>5712</v>
      </c>
      <c r="E10117" s="1524" t="s">
        <v>175</v>
      </c>
      <c r="F10117" s="1524"/>
      <c r="G10117" s="360" t="s">
        <v>845</v>
      </c>
      <c r="H10117" s="577">
        <v>8.5000000000000006E-3</v>
      </c>
      <c r="K10117" t="s">
        <v>947</v>
      </c>
      <c r="L10117" t="s">
        <v>694</v>
      </c>
      <c r="P10117" t="s">
        <v>965</v>
      </c>
      <c r="V10117">
        <v>74</v>
      </c>
    </row>
    <row r="10118" spans="1:22" customFormat="1" ht="15" x14ac:dyDescent="0.25">
      <c r="A10118" t="s">
        <v>227</v>
      </c>
      <c r="B10118" t="s">
        <v>5712</v>
      </c>
      <c r="E10118" s="1533" t="s">
        <v>967</v>
      </c>
      <c r="F10118" s="1524"/>
      <c r="G10118" s="360"/>
      <c r="H10118" s="360"/>
      <c r="K10118" t="s">
        <v>966</v>
      </c>
      <c r="V10118">
        <v>48</v>
      </c>
    </row>
    <row r="10119" spans="1:22" customFormat="1" ht="15" x14ac:dyDescent="0.25">
      <c r="A10119" t="s">
        <v>227</v>
      </c>
      <c r="B10119" t="s">
        <v>5712</v>
      </c>
      <c r="E10119" s="1524" t="s">
        <v>844</v>
      </c>
      <c r="F10119" s="1524"/>
      <c r="G10119" s="360" t="s">
        <v>845</v>
      </c>
      <c r="H10119" s="605">
        <v>4.1000000000000003E-3</v>
      </c>
      <c r="K10119" t="s">
        <v>947</v>
      </c>
      <c r="L10119" t="s">
        <v>968</v>
      </c>
      <c r="P10119" t="s">
        <v>969</v>
      </c>
      <c r="V10119">
        <v>55</v>
      </c>
    </row>
    <row r="10120" spans="1:22" customFormat="1" ht="15" x14ac:dyDescent="0.25">
      <c r="A10120" t="s">
        <v>227</v>
      </c>
      <c r="B10120" t="s">
        <v>5712</v>
      </c>
      <c r="E10120" s="1524" t="s">
        <v>846</v>
      </c>
      <c r="F10120" s="1524"/>
      <c r="G10120" s="360" t="s">
        <v>845</v>
      </c>
      <c r="H10120" s="605">
        <v>4.0000000000000002E-4</v>
      </c>
      <c r="K10120" t="s">
        <v>947</v>
      </c>
      <c r="L10120" t="s">
        <v>968</v>
      </c>
      <c r="P10120" t="s">
        <v>969</v>
      </c>
      <c r="V10120">
        <v>65</v>
      </c>
    </row>
    <row r="10121" spans="1:22" customFormat="1" ht="15" x14ac:dyDescent="0.25">
      <c r="A10121" t="s">
        <v>227</v>
      </c>
      <c r="B10121" t="s">
        <v>5712</v>
      </c>
      <c r="E10121" s="1524" t="s">
        <v>847</v>
      </c>
      <c r="F10121" s="1524"/>
      <c r="G10121" s="360" t="s">
        <v>845</v>
      </c>
      <c r="H10121" s="605">
        <v>1.5E-3</v>
      </c>
      <c r="K10121" t="s">
        <v>947</v>
      </c>
      <c r="L10121" t="s">
        <v>968</v>
      </c>
      <c r="P10121" t="s">
        <v>970</v>
      </c>
      <c r="V10121">
        <v>57</v>
      </c>
    </row>
    <row r="10122" spans="1:22" customFormat="1" ht="15" x14ac:dyDescent="0.25">
      <c r="A10122" t="s">
        <v>227</v>
      </c>
      <c r="B10122" t="s">
        <v>5712</v>
      </c>
      <c r="E10122" s="1524" t="s">
        <v>848</v>
      </c>
      <c r="F10122" s="1524"/>
      <c r="G10122" s="360" t="s">
        <v>777</v>
      </c>
      <c r="H10122" s="604">
        <v>0.25</v>
      </c>
      <c r="K10122" t="s">
        <v>947</v>
      </c>
      <c r="L10122" t="s">
        <v>968</v>
      </c>
      <c r="P10122" t="s">
        <v>971</v>
      </c>
      <c r="V10122">
        <v>63</v>
      </c>
    </row>
    <row r="10123" spans="1:22" customFormat="1" x14ac:dyDescent="0.25">
      <c r="A10123" t="s">
        <v>227</v>
      </c>
      <c r="B10123" t="s">
        <v>5712</v>
      </c>
      <c r="E10123" s="1538" t="s">
        <v>174</v>
      </c>
      <c r="F10123" s="1571"/>
      <c r="G10123" s="1571"/>
      <c r="H10123" s="1571"/>
      <c r="K10123" t="s">
        <v>972</v>
      </c>
      <c r="V10123">
        <v>54</v>
      </c>
    </row>
    <row r="10124" spans="1:22" customFormat="1" ht="15" x14ac:dyDescent="0.25">
      <c r="A10124" t="s">
        <v>227</v>
      </c>
      <c r="B10124" t="s">
        <v>5712</v>
      </c>
      <c r="E10124" s="1496" t="s">
        <v>5715</v>
      </c>
      <c r="F10124" s="1496"/>
      <c r="G10124" s="1496"/>
      <c r="H10124" s="1496"/>
      <c r="K10124" t="s">
        <v>972</v>
      </c>
      <c r="V10124">
        <v>560</v>
      </c>
    </row>
    <row r="10125" spans="1:22" customFormat="1" ht="15" x14ac:dyDescent="0.25">
      <c r="A10125" t="s">
        <v>227</v>
      </c>
      <c r="B10125" t="s">
        <v>5712</v>
      </c>
      <c r="E10125" s="1533" t="s">
        <v>950</v>
      </c>
      <c r="F10125" s="1496"/>
      <c r="G10125" s="1496"/>
      <c r="H10125" s="1496"/>
      <c r="K10125" t="s">
        <v>974</v>
      </c>
      <c r="V10125">
        <v>11</v>
      </c>
    </row>
    <row r="10126" spans="1:22" customFormat="1" ht="15" x14ac:dyDescent="0.25">
      <c r="A10126" t="s">
        <v>227</v>
      </c>
      <c r="B10126" t="s">
        <v>5712</v>
      </c>
      <c r="E10126" s="1496" t="s">
        <v>951</v>
      </c>
      <c r="F10126" s="1496"/>
      <c r="G10126" s="1496"/>
      <c r="H10126" s="1496"/>
      <c r="K10126" t="s">
        <v>972</v>
      </c>
      <c r="V10126">
        <v>280</v>
      </c>
    </row>
    <row r="10127" spans="1:22" customFormat="1" ht="15" x14ac:dyDescent="0.25">
      <c r="A10127" t="s">
        <v>227</v>
      </c>
      <c r="B10127" t="s">
        <v>5712</v>
      </c>
      <c r="E10127" s="1496" t="s">
        <v>952</v>
      </c>
      <c r="F10127" s="1496"/>
      <c r="G10127" s="1496"/>
      <c r="H10127" s="1496"/>
      <c r="K10127" t="s">
        <v>972</v>
      </c>
      <c r="V10127">
        <v>411</v>
      </c>
    </row>
    <row r="10128" spans="1:22" customFormat="1" ht="15" x14ac:dyDescent="0.25">
      <c r="A10128" t="s">
        <v>227</v>
      </c>
      <c r="B10128" t="s">
        <v>5712</v>
      </c>
      <c r="E10128" s="1496" t="s">
        <v>3761</v>
      </c>
      <c r="F10128" s="1496"/>
      <c r="G10128" s="1496"/>
      <c r="H10128" s="1496"/>
      <c r="K10128" t="s">
        <v>972</v>
      </c>
      <c r="V10128">
        <v>387</v>
      </c>
    </row>
    <row r="10129" spans="1:22" customFormat="1" ht="15" x14ac:dyDescent="0.25">
      <c r="A10129" t="s">
        <v>227</v>
      </c>
      <c r="B10129" t="s">
        <v>5712</v>
      </c>
      <c r="E10129" s="1496" t="s">
        <v>3762</v>
      </c>
      <c r="F10129" s="1496"/>
      <c r="G10129" s="1496"/>
      <c r="H10129" s="1496"/>
      <c r="K10129" t="s">
        <v>972</v>
      </c>
      <c r="V10129">
        <v>247</v>
      </c>
    </row>
    <row r="10130" spans="1:22" customFormat="1" ht="15" x14ac:dyDescent="0.25">
      <c r="A10130" t="s">
        <v>227</v>
      </c>
      <c r="B10130" t="s">
        <v>5712</v>
      </c>
      <c r="E10130" s="1533" t="s">
        <v>956</v>
      </c>
      <c r="F10130" s="1496"/>
      <c r="G10130" s="1496"/>
      <c r="H10130" s="1496"/>
      <c r="K10130" t="s">
        <v>975</v>
      </c>
      <c r="V10130">
        <v>46</v>
      </c>
    </row>
    <row r="10131" spans="1:22" customFormat="1" ht="15" x14ac:dyDescent="0.25">
      <c r="A10131" t="s">
        <v>227</v>
      </c>
      <c r="B10131" t="s">
        <v>5712</v>
      </c>
      <c r="E10131" s="1524" t="s">
        <v>3773</v>
      </c>
      <c r="F10131" s="1524"/>
      <c r="G10131" s="360" t="s">
        <v>777</v>
      </c>
      <c r="H10131" s="576">
        <v>38.56</v>
      </c>
      <c r="K10131" t="s">
        <v>972</v>
      </c>
      <c r="L10131" t="s">
        <v>690</v>
      </c>
      <c r="P10131" t="s">
        <v>976</v>
      </c>
      <c r="V10131">
        <v>14</v>
      </c>
    </row>
    <row r="10132" spans="1:22" customFormat="1" ht="15" x14ac:dyDescent="0.25">
      <c r="A10132" t="s">
        <v>227</v>
      </c>
      <c r="B10132" t="s">
        <v>5712</v>
      </c>
      <c r="E10132" s="1524" t="s">
        <v>960</v>
      </c>
      <c r="F10132" s="1524"/>
      <c r="G10132" s="360" t="s">
        <v>777</v>
      </c>
      <c r="H10132" s="604">
        <v>0.42</v>
      </c>
      <c r="K10132" t="s">
        <v>972</v>
      </c>
      <c r="L10132" t="s">
        <v>692</v>
      </c>
      <c r="P10132" t="s">
        <v>977</v>
      </c>
      <c r="V10132">
        <v>64</v>
      </c>
    </row>
    <row r="10133" spans="1:22" customFormat="1" ht="15" x14ac:dyDescent="0.25">
      <c r="A10133" t="s">
        <v>227</v>
      </c>
      <c r="B10133" t="s">
        <v>5712</v>
      </c>
      <c r="E10133" s="1524" t="s">
        <v>3688</v>
      </c>
      <c r="F10133" s="1524"/>
      <c r="G10133" s="360" t="s">
        <v>845</v>
      </c>
      <c r="H10133" s="577">
        <v>1.3299999999999999E-2</v>
      </c>
      <c r="K10133" t="s">
        <v>972</v>
      </c>
      <c r="L10133" t="s">
        <v>690</v>
      </c>
      <c r="P10133" t="s">
        <v>978</v>
      </c>
      <c r="V10133">
        <v>28</v>
      </c>
    </row>
    <row r="10134" spans="1:22" customFormat="1" ht="15" x14ac:dyDescent="0.25">
      <c r="A10134" t="s">
        <v>227</v>
      </c>
      <c r="B10134" t="s">
        <v>5712</v>
      </c>
      <c r="E10134" s="1524" t="s">
        <v>6849</v>
      </c>
      <c r="F10134" s="1510"/>
      <c r="G10134" s="360" t="s">
        <v>845</v>
      </c>
      <c r="H10134" s="577">
        <v>7.1999999999999998E-3</v>
      </c>
      <c r="K10134" t="s">
        <v>972</v>
      </c>
      <c r="L10134" t="s">
        <v>692</v>
      </c>
      <c r="P10134" t="s">
        <v>981</v>
      </c>
      <c r="T10134">
        <v>46142</v>
      </c>
      <c r="V10134">
        <v>139</v>
      </c>
    </row>
    <row r="10135" spans="1:22" customFormat="1" ht="15" x14ac:dyDescent="0.25">
      <c r="A10135" t="s">
        <v>227</v>
      </c>
      <c r="B10135" t="s">
        <v>5712</v>
      </c>
      <c r="E10135" s="1524" t="s">
        <v>6850</v>
      </c>
      <c r="F10135" s="1510"/>
      <c r="G10135" s="360" t="s">
        <v>845</v>
      </c>
      <c r="H10135" s="577">
        <v>-2.3E-3</v>
      </c>
      <c r="K10135" t="s">
        <v>972</v>
      </c>
      <c r="L10135" t="s">
        <v>692</v>
      </c>
      <c r="P10135" t="s">
        <v>982</v>
      </c>
      <c r="T10135">
        <v>46142</v>
      </c>
      <c r="V10135">
        <v>96</v>
      </c>
    </row>
    <row r="10136" spans="1:22" customFormat="1" ht="15" x14ac:dyDescent="0.25">
      <c r="A10136" t="s">
        <v>227</v>
      </c>
      <c r="B10136" t="s">
        <v>5712</v>
      </c>
      <c r="E10136" s="1524" t="s">
        <v>6853</v>
      </c>
      <c r="F10136" s="1510"/>
      <c r="G10136" s="360" t="s">
        <v>845</v>
      </c>
      <c r="H10136" s="577">
        <v>2.0000000000000001E-4</v>
      </c>
      <c r="K10136" t="s">
        <v>972</v>
      </c>
      <c r="L10136" t="s">
        <v>692</v>
      </c>
      <c r="P10136" t="s">
        <v>3766</v>
      </c>
      <c r="T10136">
        <v>46142</v>
      </c>
      <c r="V10136">
        <v>146</v>
      </c>
    </row>
    <row r="10137" spans="1:22" customFormat="1" ht="15" x14ac:dyDescent="0.25">
      <c r="A10137" t="s">
        <v>227</v>
      </c>
      <c r="B10137" t="s">
        <v>5712</v>
      </c>
      <c r="E10137" s="1524" t="s">
        <v>243</v>
      </c>
      <c r="F10137" s="1524"/>
      <c r="G10137" s="360" t="s">
        <v>845</v>
      </c>
      <c r="H10137" s="577">
        <v>9.4000000000000004E-3</v>
      </c>
      <c r="K10137" t="s">
        <v>972</v>
      </c>
      <c r="L10137" t="s">
        <v>694</v>
      </c>
      <c r="P10137" t="s">
        <v>983</v>
      </c>
      <c r="V10137">
        <v>47</v>
      </c>
    </row>
    <row r="10138" spans="1:22" customFormat="1" ht="15" x14ac:dyDescent="0.25">
      <c r="A10138" t="s">
        <v>227</v>
      </c>
      <c r="B10138" t="s">
        <v>5712</v>
      </c>
      <c r="E10138" s="1524" t="s">
        <v>175</v>
      </c>
      <c r="F10138" s="1524"/>
      <c r="G10138" s="360" t="s">
        <v>845</v>
      </c>
      <c r="H10138" s="577">
        <v>7.3000000000000001E-3</v>
      </c>
      <c r="K10138" t="s">
        <v>972</v>
      </c>
      <c r="L10138" t="s">
        <v>694</v>
      </c>
      <c r="P10138" t="s">
        <v>984</v>
      </c>
      <c r="V10138">
        <v>74</v>
      </c>
    </row>
    <row r="10139" spans="1:22" customFormat="1" ht="15" x14ac:dyDescent="0.25">
      <c r="A10139" t="s">
        <v>227</v>
      </c>
      <c r="B10139" t="s">
        <v>5712</v>
      </c>
      <c r="E10139" s="1533" t="s">
        <v>967</v>
      </c>
      <c r="F10139" s="1524"/>
      <c r="G10139" s="360"/>
      <c r="H10139" s="360"/>
      <c r="K10139" t="s">
        <v>985</v>
      </c>
      <c r="V10139">
        <v>48</v>
      </c>
    </row>
    <row r="10140" spans="1:22" customFormat="1" ht="15" x14ac:dyDescent="0.25">
      <c r="A10140" t="s">
        <v>227</v>
      </c>
      <c r="B10140" t="s">
        <v>5712</v>
      </c>
      <c r="E10140" s="1524" t="s">
        <v>844</v>
      </c>
      <c r="F10140" s="1524"/>
      <c r="G10140" s="360" t="s">
        <v>845</v>
      </c>
      <c r="H10140" s="605">
        <v>4.1000000000000003E-3</v>
      </c>
      <c r="K10140" t="s">
        <v>972</v>
      </c>
      <c r="L10140" t="s">
        <v>968</v>
      </c>
      <c r="P10140" t="s">
        <v>986</v>
      </c>
      <c r="V10140">
        <v>55</v>
      </c>
    </row>
    <row r="10141" spans="1:22" customFormat="1" ht="15" x14ac:dyDescent="0.25">
      <c r="A10141" t="s">
        <v>227</v>
      </c>
      <c r="B10141" t="s">
        <v>5712</v>
      </c>
      <c r="E10141" s="1524" t="s">
        <v>846</v>
      </c>
      <c r="F10141" s="1524"/>
      <c r="G10141" s="360" t="s">
        <v>845</v>
      </c>
      <c r="H10141" s="605">
        <v>4.0000000000000002E-4</v>
      </c>
      <c r="K10141" t="s">
        <v>972</v>
      </c>
      <c r="L10141" t="s">
        <v>968</v>
      </c>
      <c r="P10141" t="s">
        <v>986</v>
      </c>
      <c r="V10141">
        <v>65</v>
      </c>
    </row>
    <row r="10142" spans="1:22" customFormat="1" ht="15" x14ac:dyDescent="0.25">
      <c r="A10142" t="s">
        <v>227</v>
      </c>
      <c r="B10142" t="s">
        <v>5712</v>
      </c>
      <c r="E10142" s="1524" t="s">
        <v>847</v>
      </c>
      <c r="F10142" s="1524"/>
      <c r="G10142" s="360" t="s">
        <v>845</v>
      </c>
      <c r="H10142" s="605">
        <v>1.5E-3</v>
      </c>
      <c r="K10142" t="s">
        <v>972</v>
      </c>
      <c r="L10142" t="s">
        <v>968</v>
      </c>
      <c r="P10142" t="s">
        <v>987</v>
      </c>
      <c r="V10142">
        <v>57</v>
      </c>
    </row>
    <row r="10143" spans="1:22" customFormat="1" ht="15" x14ac:dyDescent="0.25">
      <c r="A10143" t="s">
        <v>227</v>
      </c>
      <c r="B10143" t="s">
        <v>5712</v>
      </c>
      <c r="E10143" s="1524" t="s">
        <v>848</v>
      </c>
      <c r="F10143" s="1524"/>
      <c r="G10143" s="360" t="s">
        <v>777</v>
      </c>
      <c r="H10143" s="604">
        <v>0.25</v>
      </c>
      <c r="K10143" t="s">
        <v>972</v>
      </c>
      <c r="L10143" t="s">
        <v>968</v>
      </c>
      <c r="P10143" t="s">
        <v>988</v>
      </c>
      <c r="V10143">
        <v>63</v>
      </c>
    </row>
    <row r="10144" spans="1:22" customFormat="1" x14ac:dyDescent="0.25">
      <c r="A10144" t="s">
        <v>227</v>
      </c>
      <c r="B10144" t="s">
        <v>5712</v>
      </c>
      <c r="E10144" s="1538" t="s">
        <v>179</v>
      </c>
      <c r="F10144" s="1571"/>
      <c r="G10144" s="1571"/>
      <c r="H10144" s="1571"/>
      <c r="K10144" t="s">
        <v>3859</v>
      </c>
      <c r="V10144">
        <v>51</v>
      </c>
    </row>
    <row r="10145" spans="1:22" customFormat="1" ht="15" x14ac:dyDescent="0.25">
      <c r="A10145" t="s">
        <v>227</v>
      </c>
      <c r="B10145" t="s">
        <v>5712</v>
      </c>
      <c r="E10145" s="1496" t="s">
        <v>5716</v>
      </c>
      <c r="F10145" s="1496"/>
      <c r="G10145" s="1496"/>
      <c r="H10145" s="1496"/>
      <c r="K10145" t="s">
        <v>3859</v>
      </c>
      <c r="V10145">
        <v>430</v>
      </c>
    </row>
    <row r="10146" spans="1:22" customFormat="1" ht="15" x14ac:dyDescent="0.25">
      <c r="A10146" t="s">
        <v>227</v>
      </c>
      <c r="B10146" t="s">
        <v>5712</v>
      </c>
      <c r="E10146" s="1533" t="s">
        <v>950</v>
      </c>
      <c r="F10146" s="1496"/>
      <c r="G10146" s="1496"/>
      <c r="H10146" s="1496"/>
      <c r="K10146" t="s">
        <v>992</v>
      </c>
      <c r="V10146">
        <v>11</v>
      </c>
    </row>
    <row r="10147" spans="1:22" customFormat="1" ht="15" x14ac:dyDescent="0.25">
      <c r="A10147" t="s">
        <v>227</v>
      </c>
      <c r="B10147" t="s">
        <v>5712</v>
      </c>
      <c r="E10147" s="1496" t="s">
        <v>951</v>
      </c>
      <c r="F10147" s="1496"/>
      <c r="G10147" s="1496"/>
      <c r="H10147" s="1496"/>
      <c r="K10147" t="s">
        <v>3859</v>
      </c>
      <c r="V10147">
        <v>280</v>
      </c>
    </row>
    <row r="10148" spans="1:22" customFormat="1" ht="15" x14ac:dyDescent="0.25">
      <c r="A10148" t="s">
        <v>227</v>
      </c>
      <c r="B10148" t="s">
        <v>5712</v>
      </c>
      <c r="E10148" s="1496" t="s">
        <v>952</v>
      </c>
      <c r="F10148" s="1496"/>
      <c r="G10148" s="1496"/>
      <c r="H10148" s="1496"/>
      <c r="K10148" t="s">
        <v>3859</v>
      </c>
      <c r="V10148">
        <v>411</v>
      </c>
    </row>
    <row r="10149" spans="1:22" customFormat="1" ht="15" x14ac:dyDescent="0.25">
      <c r="A10149" t="s">
        <v>227</v>
      </c>
      <c r="B10149" t="s">
        <v>5712</v>
      </c>
      <c r="E10149" s="1496" t="s">
        <v>3761</v>
      </c>
      <c r="F10149" s="1496"/>
      <c r="G10149" s="1496"/>
      <c r="H10149" s="1496"/>
      <c r="K10149" t="s">
        <v>3859</v>
      </c>
      <c r="V10149">
        <v>387</v>
      </c>
    </row>
    <row r="10150" spans="1:22" customFormat="1" ht="15" x14ac:dyDescent="0.25">
      <c r="A10150" t="s">
        <v>227</v>
      </c>
      <c r="B10150" t="s">
        <v>5712</v>
      </c>
      <c r="E10150" s="1496" t="s">
        <v>5306</v>
      </c>
      <c r="F10150" s="1496"/>
      <c r="G10150" s="1496"/>
      <c r="H10150" s="1496"/>
      <c r="K10150" t="s">
        <v>3859</v>
      </c>
      <c r="V10150">
        <v>1404</v>
      </c>
    </row>
    <row r="10151" spans="1:22" customFormat="1" ht="15" x14ac:dyDescent="0.25">
      <c r="A10151" t="s">
        <v>227</v>
      </c>
      <c r="B10151" t="s">
        <v>5712</v>
      </c>
      <c r="E10151" s="1496" t="s">
        <v>3762</v>
      </c>
      <c r="F10151" s="1496"/>
      <c r="G10151" s="1496"/>
      <c r="H10151" s="1496"/>
      <c r="K10151" t="s">
        <v>3859</v>
      </c>
      <c r="V10151">
        <v>247</v>
      </c>
    </row>
    <row r="10152" spans="1:22" customFormat="1" ht="15" x14ac:dyDescent="0.25">
      <c r="A10152" t="s">
        <v>227</v>
      </c>
      <c r="B10152" t="s">
        <v>5712</v>
      </c>
      <c r="E10152" s="1533" t="s">
        <v>956</v>
      </c>
      <c r="F10152" s="1496"/>
      <c r="G10152" s="1496"/>
      <c r="H10152" s="1496"/>
      <c r="K10152" t="s">
        <v>995</v>
      </c>
      <c r="V10152">
        <v>46</v>
      </c>
    </row>
    <row r="10153" spans="1:22" customFormat="1" ht="15" x14ac:dyDescent="0.25">
      <c r="A10153" t="s">
        <v>227</v>
      </c>
      <c r="B10153" t="s">
        <v>5712</v>
      </c>
      <c r="E10153" s="1524" t="s">
        <v>3773</v>
      </c>
      <c r="F10153" s="1524"/>
      <c r="G10153" s="360" t="s">
        <v>777</v>
      </c>
      <c r="H10153" s="576">
        <v>184.82</v>
      </c>
      <c r="K10153" t="s">
        <v>3859</v>
      </c>
      <c r="L10153" t="s">
        <v>690</v>
      </c>
      <c r="P10153" t="s">
        <v>3862</v>
      </c>
      <c r="V10153">
        <v>14</v>
      </c>
    </row>
    <row r="10154" spans="1:22" customFormat="1" ht="15" x14ac:dyDescent="0.25">
      <c r="A10154" t="s">
        <v>227</v>
      </c>
      <c r="B10154" t="s">
        <v>5712</v>
      </c>
      <c r="E10154" s="1524" t="s">
        <v>3688</v>
      </c>
      <c r="F10154" s="1524"/>
      <c r="G10154" s="360" t="s">
        <v>3775</v>
      </c>
      <c r="H10154" s="577">
        <v>2.8889999999999998</v>
      </c>
      <c r="K10154" t="s">
        <v>3859</v>
      </c>
      <c r="L10154" t="s">
        <v>690</v>
      </c>
      <c r="P10154" t="s">
        <v>3863</v>
      </c>
      <c r="V10154">
        <v>28</v>
      </c>
    </row>
    <row r="10155" spans="1:22" customFormat="1" ht="15" x14ac:dyDescent="0.25">
      <c r="A10155" t="s">
        <v>227</v>
      </c>
      <c r="B10155" t="s">
        <v>5712</v>
      </c>
      <c r="E10155" s="1524" t="s">
        <v>6849</v>
      </c>
      <c r="F10155" s="1510"/>
      <c r="G10155" s="360" t="s">
        <v>845</v>
      </c>
      <c r="H10155" s="577">
        <v>7.1999999999999998E-3</v>
      </c>
      <c r="K10155" t="s">
        <v>3859</v>
      </c>
      <c r="L10155" t="s">
        <v>692</v>
      </c>
      <c r="P10155" t="s">
        <v>4101</v>
      </c>
      <c r="T10155">
        <v>46142</v>
      </c>
      <c r="V10155">
        <v>139</v>
      </c>
    </row>
    <row r="10156" spans="1:22" customFormat="1" ht="15" x14ac:dyDescent="0.25">
      <c r="A10156" t="s">
        <v>227</v>
      </c>
      <c r="B10156" t="s">
        <v>5712</v>
      </c>
      <c r="E10156" s="1524" t="s">
        <v>6850</v>
      </c>
      <c r="F10156" s="1510"/>
      <c r="G10156" s="360" t="s">
        <v>3775</v>
      </c>
      <c r="H10156" s="577">
        <v>-0.85499999999999998</v>
      </c>
      <c r="K10156" t="s">
        <v>3859</v>
      </c>
      <c r="L10156" t="s">
        <v>692</v>
      </c>
      <c r="P10156" t="s">
        <v>4103</v>
      </c>
      <c r="T10156">
        <v>46142</v>
      </c>
      <c r="V10156">
        <v>96</v>
      </c>
    </row>
    <row r="10157" spans="1:22" customFormat="1" ht="15" x14ac:dyDescent="0.25">
      <c r="A10157" t="s">
        <v>227</v>
      </c>
      <c r="B10157" t="s">
        <v>5712</v>
      </c>
      <c r="E10157" s="1524" t="s">
        <v>6853</v>
      </c>
      <c r="F10157" s="1510"/>
      <c r="G10157" s="360" t="s">
        <v>3775</v>
      </c>
      <c r="H10157" s="577">
        <v>7.8100000000000003E-2</v>
      </c>
      <c r="K10157" t="s">
        <v>3859</v>
      </c>
      <c r="L10157" t="s">
        <v>692</v>
      </c>
      <c r="P10157" t="s">
        <v>4104</v>
      </c>
      <c r="T10157">
        <v>46142</v>
      </c>
      <c r="V10157">
        <v>146</v>
      </c>
    </row>
    <row r="10158" spans="1:22" customFormat="1" ht="15" x14ac:dyDescent="0.25">
      <c r="A10158" t="s">
        <v>227</v>
      </c>
      <c r="B10158" t="s">
        <v>5712</v>
      </c>
      <c r="E10158" s="1524" t="s">
        <v>243</v>
      </c>
      <c r="F10158" s="1524"/>
      <c r="G10158" s="360" t="s">
        <v>3775</v>
      </c>
      <c r="H10158" s="577">
        <v>3.7928000000000002</v>
      </c>
      <c r="K10158" t="s">
        <v>3859</v>
      </c>
      <c r="L10158" t="s">
        <v>694</v>
      </c>
      <c r="P10158" t="s">
        <v>3864</v>
      </c>
      <c r="V10158">
        <v>47</v>
      </c>
    </row>
    <row r="10159" spans="1:22" customFormat="1" ht="15" x14ac:dyDescent="0.25">
      <c r="A10159" t="s">
        <v>227</v>
      </c>
      <c r="B10159" t="s">
        <v>5712</v>
      </c>
      <c r="E10159" s="1524" t="s">
        <v>175</v>
      </c>
      <c r="F10159" s="1524"/>
      <c r="G10159" s="360" t="s">
        <v>3775</v>
      </c>
      <c r="H10159" s="577">
        <v>2.95</v>
      </c>
      <c r="K10159" t="s">
        <v>3859</v>
      </c>
      <c r="L10159" t="s">
        <v>694</v>
      </c>
      <c r="P10159" t="s">
        <v>3865</v>
      </c>
      <c r="V10159">
        <v>74</v>
      </c>
    </row>
    <row r="10160" spans="1:22" customFormat="1" ht="15" x14ac:dyDescent="0.25">
      <c r="A10160" t="s">
        <v>227</v>
      </c>
      <c r="B10160" t="s">
        <v>5712</v>
      </c>
      <c r="E10160" s="1533" t="s">
        <v>967</v>
      </c>
      <c r="F10160" s="1524"/>
      <c r="G10160" s="360"/>
      <c r="H10160" s="360"/>
      <c r="K10160" t="s">
        <v>1003</v>
      </c>
      <c r="V10160">
        <v>48</v>
      </c>
    </row>
    <row r="10161" spans="1:22" customFormat="1" ht="15" x14ac:dyDescent="0.25">
      <c r="A10161" t="s">
        <v>227</v>
      </c>
      <c r="B10161" t="s">
        <v>5712</v>
      </c>
      <c r="E10161" s="1524" t="s">
        <v>844</v>
      </c>
      <c r="F10161" s="1524"/>
      <c r="G10161" s="360" t="s">
        <v>845</v>
      </c>
      <c r="H10161" s="605">
        <v>4.1000000000000003E-3</v>
      </c>
      <c r="K10161" t="s">
        <v>3859</v>
      </c>
      <c r="L10161" t="s">
        <v>968</v>
      </c>
      <c r="P10161" t="s">
        <v>3866</v>
      </c>
      <c r="V10161">
        <v>55</v>
      </c>
    </row>
    <row r="10162" spans="1:22" customFormat="1" ht="15" x14ac:dyDescent="0.25">
      <c r="A10162" t="s">
        <v>227</v>
      </c>
      <c r="B10162" t="s">
        <v>5712</v>
      </c>
      <c r="E10162" s="1524" t="s">
        <v>846</v>
      </c>
      <c r="F10162" s="1524"/>
      <c r="G10162" s="360" t="s">
        <v>845</v>
      </c>
      <c r="H10162" s="605">
        <v>4.0000000000000002E-4</v>
      </c>
      <c r="K10162" t="s">
        <v>3859</v>
      </c>
      <c r="L10162" t="s">
        <v>968</v>
      </c>
      <c r="P10162" t="s">
        <v>3866</v>
      </c>
      <c r="V10162">
        <v>65</v>
      </c>
    </row>
    <row r="10163" spans="1:22" customFormat="1" ht="15" x14ac:dyDescent="0.25">
      <c r="A10163" t="s">
        <v>227</v>
      </c>
      <c r="B10163" t="s">
        <v>5712</v>
      </c>
      <c r="E10163" s="1524" t="s">
        <v>847</v>
      </c>
      <c r="F10163" s="1524"/>
      <c r="G10163" s="360" t="s">
        <v>845</v>
      </c>
      <c r="H10163" s="605">
        <v>1.5E-3</v>
      </c>
      <c r="K10163" t="s">
        <v>3859</v>
      </c>
      <c r="L10163" t="s">
        <v>968</v>
      </c>
      <c r="P10163" t="s">
        <v>3867</v>
      </c>
      <c r="V10163">
        <v>57</v>
      </c>
    </row>
    <row r="10164" spans="1:22" customFormat="1" ht="15" x14ac:dyDescent="0.25">
      <c r="A10164" t="s">
        <v>227</v>
      </c>
      <c r="B10164" t="s">
        <v>5712</v>
      </c>
      <c r="E10164" s="1524" t="s">
        <v>848</v>
      </c>
      <c r="F10164" s="1524"/>
      <c r="G10164" s="360" t="s">
        <v>777</v>
      </c>
      <c r="H10164" s="604">
        <v>0.25</v>
      </c>
      <c r="K10164" t="s">
        <v>3859</v>
      </c>
      <c r="L10164" t="s">
        <v>968</v>
      </c>
      <c r="P10164" t="s">
        <v>3868</v>
      </c>
      <c r="V10164">
        <v>63</v>
      </c>
    </row>
    <row r="10165" spans="1:22" customFormat="1" x14ac:dyDescent="0.25">
      <c r="A10165" t="s">
        <v>227</v>
      </c>
      <c r="B10165" t="s">
        <v>5712</v>
      </c>
      <c r="E10165" s="1538" t="s">
        <v>184</v>
      </c>
      <c r="F10165" s="1571"/>
      <c r="G10165" s="1571"/>
      <c r="H10165" s="1571"/>
      <c r="K10165" t="s">
        <v>4106</v>
      </c>
      <c r="V10165">
        <v>54</v>
      </c>
    </row>
    <row r="10166" spans="1:22" customFormat="1" ht="15" x14ac:dyDescent="0.25">
      <c r="A10166" t="s">
        <v>227</v>
      </c>
      <c r="B10166" t="s">
        <v>5712</v>
      </c>
      <c r="E10166" s="1496" t="s">
        <v>5717</v>
      </c>
      <c r="F10166" s="1496"/>
      <c r="G10166" s="1496"/>
      <c r="H10166" s="1496"/>
      <c r="K10166" t="s">
        <v>4106</v>
      </c>
      <c r="V10166">
        <v>445</v>
      </c>
    </row>
    <row r="10167" spans="1:22" customFormat="1" ht="15" x14ac:dyDescent="0.25">
      <c r="A10167" t="s">
        <v>227</v>
      </c>
      <c r="B10167" t="s">
        <v>5712</v>
      </c>
      <c r="E10167" s="1533" t="s">
        <v>950</v>
      </c>
      <c r="F10167" s="1496"/>
      <c r="G10167" s="1496"/>
      <c r="H10167" s="1496"/>
      <c r="K10167" t="s">
        <v>1010</v>
      </c>
      <c r="V10167">
        <v>11</v>
      </c>
    </row>
    <row r="10168" spans="1:22" customFormat="1" ht="15" x14ac:dyDescent="0.25">
      <c r="A10168" t="s">
        <v>227</v>
      </c>
      <c r="B10168" t="s">
        <v>5712</v>
      </c>
      <c r="E10168" s="1496" t="s">
        <v>951</v>
      </c>
      <c r="F10168" s="1496"/>
      <c r="G10168" s="1496"/>
      <c r="H10168" s="1496"/>
      <c r="K10168" t="s">
        <v>4106</v>
      </c>
      <c r="V10168">
        <v>280</v>
      </c>
    </row>
    <row r="10169" spans="1:22" customFormat="1" ht="15" x14ac:dyDescent="0.25">
      <c r="A10169" t="s">
        <v>227</v>
      </c>
      <c r="B10169" t="s">
        <v>5712</v>
      </c>
      <c r="E10169" s="1496" t="s">
        <v>952</v>
      </c>
      <c r="F10169" s="1496"/>
      <c r="G10169" s="1496"/>
      <c r="H10169" s="1496"/>
      <c r="K10169" t="s">
        <v>4106</v>
      </c>
      <c r="V10169">
        <v>411</v>
      </c>
    </row>
    <row r="10170" spans="1:22" customFormat="1" ht="15" x14ac:dyDescent="0.25">
      <c r="A10170" t="s">
        <v>227</v>
      </c>
      <c r="B10170" t="s">
        <v>5712</v>
      </c>
      <c r="E10170" s="1496" t="s">
        <v>3761</v>
      </c>
      <c r="F10170" s="1496"/>
      <c r="G10170" s="1496"/>
      <c r="H10170" s="1496"/>
      <c r="K10170" t="s">
        <v>4106</v>
      </c>
      <c r="V10170">
        <v>387</v>
      </c>
    </row>
    <row r="10171" spans="1:22" customFormat="1" ht="15" x14ac:dyDescent="0.25">
      <c r="A10171" t="s">
        <v>227</v>
      </c>
      <c r="B10171" t="s">
        <v>5712</v>
      </c>
      <c r="E10171" s="1496" t="s">
        <v>5306</v>
      </c>
      <c r="F10171" s="1496"/>
      <c r="G10171" s="1496"/>
      <c r="H10171" s="1496"/>
      <c r="K10171" t="s">
        <v>4106</v>
      </c>
      <c r="V10171">
        <v>1404</v>
      </c>
    </row>
    <row r="10172" spans="1:22" customFormat="1" ht="15" x14ac:dyDescent="0.25">
      <c r="A10172" t="s">
        <v>227</v>
      </c>
      <c r="B10172" t="s">
        <v>5712</v>
      </c>
      <c r="E10172" s="1496" t="s">
        <v>3762</v>
      </c>
      <c r="F10172" s="1496"/>
      <c r="G10172" s="1496"/>
      <c r="H10172" s="1496"/>
      <c r="K10172" t="s">
        <v>4106</v>
      </c>
      <c r="V10172">
        <v>247</v>
      </c>
    </row>
    <row r="10173" spans="1:22" customFormat="1" ht="15" x14ac:dyDescent="0.25">
      <c r="A10173" t="s">
        <v>227</v>
      </c>
      <c r="B10173" t="s">
        <v>5712</v>
      </c>
      <c r="E10173" s="1533" t="s">
        <v>956</v>
      </c>
      <c r="F10173" s="1496"/>
      <c r="G10173" s="1496"/>
      <c r="H10173" s="1496"/>
      <c r="K10173" t="s">
        <v>1011</v>
      </c>
      <c r="V10173">
        <v>46</v>
      </c>
    </row>
    <row r="10174" spans="1:22" customFormat="1" ht="15" x14ac:dyDescent="0.25">
      <c r="A10174" t="s">
        <v>227</v>
      </c>
      <c r="B10174" t="s">
        <v>5712</v>
      </c>
      <c r="E10174" s="1524" t="s">
        <v>3773</v>
      </c>
      <c r="F10174" s="1524"/>
      <c r="G10174" s="360" t="s">
        <v>777</v>
      </c>
      <c r="H10174" s="576">
        <v>1960.24</v>
      </c>
      <c r="K10174" t="s">
        <v>4106</v>
      </c>
      <c r="L10174" t="s">
        <v>690</v>
      </c>
      <c r="P10174" t="s">
        <v>4108</v>
      </c>
      <c r="V10174">
        <v>14</v>
      </c>
    </row>
    <row r="10175" spans="1:22" customFormat="1" ht="15" x14ac:dyDescent="0.25">
      <c r="A10175" t="s">
        <v>227</v>
      </c>
      <c r="B10175" t="s">
        <v>5712</v>
      </c>
      <c r="E10175" s="1524" t="s">
        <v>3688</v>
      </c>
      <c r="F10175" s="1524"/>
      <c r="G10175" s="360" t="s">
        <v>3775</v>
      </c>
      <c r="H10175" s="577">
        <v>1.3452999999999999</v>
      </c>
      <c r="K10175" t="s">
        <v>4106</v>
      </c>
      <c r="L10175" t="s">
        <v>690</v>
      </c>
      <c r="P10175" t="s">
        <v>4113</v>
      </c>
      <c r="V10175">
        <v>28</v>
      </c>
    </row>
    <row r="10176" spans="1:22" customFormat="1" ht="15" x14ac:dyDescent="0.25">
      <c r="A10176" t="s">
        <v>227</v>
      </c>
      <c r="B10176" t="s">
        <v>5712</v>
      </c>
      <c r="E10176" s="1524" t="s">
        <v>6849</v>
      </c>
      <c r="F10176" s="1510"/>
      <c r="G10176" s="360" t="s">
        <v>845</v>
      </c>
      <c r="H10176" s="577">
        <v>7.1999999999999998E-3</v>
      </c>
      <c r="K10176" t="s">
        <v>4106</v>
      </c>
      <c r="L10176" t="s">
        <v>692</v>
      </c>
      <c r="P10176" t="s">
        <v>4115</v>
      </c>
      <c r="T10176">
        <v>46142</v>
      </c>
      <c r="V10176">
        <v>139</v>
      </c>
    </row>
    <row r="10177" spans="1:22" customFormat="1" ht="15" x14ac:dyDescent="0.25">
      <c r="A10177" t="s">
        <v>227</v>
      </c>
      <c r="B10177" t="s">
        <v>5712</v>
      </c>
      <c r="E10177" s="1524" t="s">
        <v>6852</v>
      </c>
      <c r="F10177" s="1510"/>
      <c r="G10177" s="360" t="s">
        <v>3775</v>
      </c>
      <c r="H10177" s="577">
        <v>-0.65129999999999999</v>
      </c>
      <c r="K10177" t="s">
        <v>4106</v>
      </c>
      <c r="L10177" t="s">
        <v>692</v>
      </c>
      <c r="P10177" t="s">
        <v>4117</v>
      </c>
      <c r="T10177">
        <v>46142</v>
      </c>
      <c r="V10177">
        <v>156</v>
      </c>
    </row>
    <row r="10178" spans="1:22" customFormat="1" ht="15" x14ac:dyDescent="0.25">
      <c r="A10178" t="s">
        <v>227</v>
      </c>
      <c r="B10178" t="s">
        <v>5712</v>
      </c>
      <c r="E10178" s="1524" t="s">
        <v>6850</v>
      </c>
      <c r="F10178" s="1510"/>
      <c r="G10178" s="360" t="s">
        <v>3775</v>
      </c>
      <c r="H10178" s="577">
        <v>-0.26490000000000002</v>
      </c>
      <c r="K10178" t="s">
        <v>4106</v>
      </c>
      <c r="L10178" t="s">
        <v>692</v>
      </c>
      <c r="P10178" t="s">
        <v>4117</v>
      </c>
      <c r="T10178">
        <v>46142</v>
      </c>
      <c r="V10178">
        <v>96</v>
      </c>
    </row>
    <row r="10179" spans="1:22" customFormat="1" ht="15" x14ac:dyDescent="0.25">
      <c r="A10179" t="s">
        <v>227</v>
      </c>
      <c r="B10179" t="s">
        <v>5712</v>
      </c>
      <c r="E10179" s="1524" t="s">
        <v>6853</v>
      </c>
      <c r="F10179" s="1510"/>
      <c r="G10179" s="360" t="s">
        <v>3775</v>
      </c>
      <c r="H10179" s="577">
        <v>4.7399999999999998E-2</v>
      </c>
      <c r="K10179" t="s">
        <v>4106</v>
      </c>
      <c r="L10179" t="s">
        <v>692</v>
      </c>
      <c r="P10179" t="s">
        <v>4118</v>
      </c>
      <c r="T10179">
        <v>46142</v>
      </c>
      <c r="V10179">
        <v>146</v>
      </c>
    </row>
    <row r="10180" spans="1:22" customFormat="1" ht="15" x14ac:dyDescent="0.25">
      <c r="A10180" t="s">
        <v>227</v>
      </c>
      <c r="B10180" t="s">
        <v>5712</v>
      </c>
      <c r="E10180" s="1524" t="s">
        <v>243</v>
      </c>
      <c r="F10180" s="1524"/>
      <c r="G10180" s="360" t="s">
        <v>3775</v>
      </c>
      <c r="H10180" s="577">
        <v>4.0282</v>
      </c>
      <c r="K10180" t="s">
        <v>4106</v>
      </c>
      <c r="L10180" t="s">
        <v>694</v>
      </c>
      <c r="P10180" t="s">
        <v>4120</v>
      </c>
      <c r="V10180">
        <v>47</v>
      </c>
    </row>
    <row r="10181" spans="1:22" customFormat="1" ht="15" x14ac:dyDescent="0.25">
      <c r="A10181" t="s">
        <v>227</v>
      </c>
      <c r="B10181" t="s">
        <v>5712</v>
      </c>
      <c r="E10181" s="1524" t="s">
        <v>175</v>
      </c>
      <c r="F10181" s="1524"/>
      <c r="G10181" s="360" t="s">
        <v>3775</v>
      </c>
      <c r="H10181" s="577">
        <v>3.2343000000000002</v>
      </c>
      <c r="K10181" t="s">
        <v>4106</v>
      </c>
      <c r="L10181" t="s">
        <v>694</v>
      </c>
      <c r="P10181" t="s">
        <v>4122</v>
      </c>
      <c r="V10181">
        <v>74</v>
      </c>
    </row>
    <row r="10182" spans="1:22" customFormat="1" ht="15" x14ac:dyDescent="0.25">
      <c r="A10182" t="s">
        <v>227</v>
      </c>
      <c r="B10182" t="s">
        <v>5712</v>
      </c>
      <c r="E10182" s="1533" t="s">
        <v>967</v>
      </c>
      <c r="F10182" s="1524"/>
      <c r="G10182" s="360"/>
      <c r="H10182" s="360"/>
      <c r="K10182" t="s">
        <v>1019</v>
      </c>
      <c r="V10182">
        <v>48</v>
      </c>
    </row>
    <row r="10183" spans="1:22" customFormat="1" ht="15" x14ac:dyDescent="0.25">
      <c r="A10183" t="s">
        <v>227</v>
      </c>
      <c r="B10183" t="s">
        <v>5712</v>
      </c>
      <c r="E10183" s="1524" t="s">
        <v>844</v>
      </c>
      <c r="F10183" s="1524"/>
      <c r="G10183" s="360" t="s">
        <v>845</v>
      </c>
      <c r="H10183" s="605">
        <v>4.1000000000000003E-3</v>
      </c>
      <c r="K10183" t="s">
        <v>4106</v>
      </c>
      <c r="L10183" t="s">
        <v>968</v>
      </c>
      <c r="P10183" t="s">
        <v>4123</v>
      </c>
      <c r="V10183">
        <v>55</v>
      </c>
    </row>
    <row r="10184" spans="1:22" customFormat="1" ht="15" x14ac:dyDescent="0.25">
      <c r="A10184" t="s">
        <v>227</v>
      </c>
      <c r="B10184" t="s">
        <v>5712</v>
      </c>
      <c r="E10184" s="1524" t="s">
        <v>846</v>
      </c>
      <c r="F10184" s="1524"/>
      <c r="G10184" s="360" t="s">
        <v>845</v>
      </c>
      <c r="H10184" s="605">
        <v>4.0000000000000002E-4</v>
      </c>
      <c r="K10184" t="s">
        <v>4106</v>
      </c>
      <c r="L10184" t="s">
        <v>968</v>
      </c>
      <c r="P10184" t="s">
        <v>4123</v>
      </c>
      <c r="V10184">
        <v>65</v>
      </c>
    </row>
    <row r="10185" spans="1:22" customFormat="1" ht="15" x14ac:dyDescent="0.25">
      <c r="A10185" t="s">
        <v>227</v>
      </c>
      <c r="B10185" t="s">
        <v>5712</v>
      </c>
      <c r="E10185" s="1524" t="s">
        <v>847</v>
      </c>
      <c r="F10185" s="1524"/>
      <c r="G10185" s="360" t="s">
        <v>845</v>
      </c>
      <c r="H10185" s="605">
        <v>1.5E-3</v>
      </c>
      <c r="K10185" t="s">
        <v>4106</v>
      </c>
      <c r="L10185" t="s">
        <v>968</v>
      </c>
      <c r="P10185" t="s">
        <v>4124</v>
      </c>
      <c r="V10185">
        <v>57</v>
      </c>
    </row>
    <row r="10186" spans="1:22" customFormat="1" ht="15" x14ac:dyDescent="0.25">
      <c r="A10186" t="s">
        <v>227</v>
      </c>
      <c r="B10186" t="s">
        <v>5712</v>
      </c>
      <c r="E10186" s="1524" t="s">
        <v>848</v>
      </c>
      <c r="F10186" s="1524"/>
      <c r="G10186" s="360" t="s">
        <v>777</v>
      </c>
      <c r="H10186" s="604">
        <v>0.25</v>
      </c>
      <c r="K10186" t="s">
        <v>4106</v>
      </c>
      <c r="L10186" t="s">
        <v>968</v>
      </c>
      <c r="P10186" t="s">
        <v>4125</v>
      </c>
      <c r="V10186">
        <v>63</v>
      </c>
    </row>
    <row r="10187" spans="1:22" customFormat="1" x14ac:dyDescent="0.25">
      <c r="A10187" t="s">
        <v>227</v>
      </c>
      <c r="B10187" t="s">
        <v>5712</v>
      </c>
      <c r="E10187" s="1538" t="s">
        <v>189</v>
      </c>
      <c r="F10187" s="1571"/>
      <c r="G10187" s="1571"/>
      <c r="H10187" s="1571"/>
      <c r="K10187" t="s">
        <v>3967</v>
      </c>
      <c r="V10187">
        <v>32</v>
      </c>
    </row>
    <row r="10188" spans="1:22" customFormat="1" ht="15" x14ac:dyDescent="0.25">
      <c r="A10188" t="s">
        <v>227</v>
      </c>
      <c r="B10188" t="s">
        <v>5712</v>
      </c>
      <c r="E10188" s="1496" t="s">
        <v>5718</v>
      </c>
      <c r="F10188" s="1496"/>
      <c r="G10188" s="1496"/>
      <c r="H10188" s="1496"/>
      <c r="K10188" t="s">
        <v>3967</v>
      </c>
      <c r="V10188">
        <v>447</v>
      </c>
    </row>
    <row r="10189" spans="1:22" customFormat="1" ht="15" x14ac:dyDescent="0.25">
      <c r="A10189" t="s">
        <v>227</v>
      </c>
      <c r="B10189" t="s">
        <v>5712</v>
      </c>
      <c r="E10189" s="1533" t="s">
        <v>950</v>
      </c>
      <c r="F10189" s="1496"/>
      <c r="G10189" s="1496"/>
      <c r="H10189" s="1496"/>
      <c r="K10189" t="s">
        <v>1025</v>
      </c>
      <c r="V10189">
        <v>11</v>
      </c>
    </row>
    <row r="10190" spans="1:22" customFormat="1" ht="15" x14ac:dyDescent="0.25">
      <c r="A10190" t="s">
        <v>227</v>
      </c>
      <c r="B10190" t="s">
        <v>5712</v>
      </c>
      <c r="E10190" s="1496" t="s">
        <v>951</v>
      </c>
      <c r="F10190" s="1496"/>
      <c r="G10190" s="1496"/>
      <c r="H10190" s="1496"/>
      <c r="K10190" t="s">
        <v>3967</v>
      </c>
      <c r="V10190">
        <v>280</v>
      </c>
    </row>
    <row r="10191" spans="1:22" customFormat="1" ht="15" x14ac:dyDescent="0.25">
      <c r="A10191" t="s">
        <v>227</v>
      </c>
      <c r="B10191" t="s">
        <v>5712</v>
      </c>
      <c r="E10191" s="1496" t="s">
        <v>952</v>
      </c>
      <c r="F10191" s="1496"/>
      <c r="G10191" s="1496"/>
      <c r="H10191" s="1496"/>
      <c r="K10191" t="s">
        <v>3967</v>
      </c>
      <c r="V10191">
        <v>411</v>
      </c>
    </row>
    <row r="10192" spans="1:22" customFormat="1" ht="15" x14ac:dyDescent="0.25">
      <c r="A10192" t="s">
        <v>227</v>
      </c>
      <c r="B10192" t="s">
        <v>5712</v>
      </c>
      <c r="E10192" s="1496" t="s">
        <v>3761</v>
      </c>
      <c r="F10192" s="1496"/>
      <c r="G10192" s="1496"/>
      <c r="H10192" s="1496"/>
      <c r="K10192" t="s">
        <v>3967</v>
      </c>
      <c r="V10192">
        <v>387</v>
      </c>
    </row>
    <row r="10193" spans="1:22" customFormat="1" ht="15" x14ac:dyDescent="0.25">
      <c r="A10193" t="s">
        <v>227</v>
      </c>
      <c r="B10193" t="s">
        <v>5712</v>
      </c>
      <c r="E10193" s="1496" t="s">
        <v>5306</v>
      </c>
      <c r="F10193" s="1496"/>
      <c r="G10193" s="1496"/>
      <c r="H10193" s="1496"/>
      <c r="K10193" t="s">
        <v>3967</v>
      </c>
      <c r="V10193">
        <v>1404</v>
      </c>
    </row>
    <row r="10194" spans="1:22" customFormat="1" ht="15" x14ac:dyDescent="0.25">
      <c r="A10194" t="s">
        <v>227</v>
      </c>
      <c r="B10194" t="s">
        <v>5712</v>
      </c>
      <c r="E10194" s="1496" t="s">
        <v>3762</v>
      </c>
      <c r="F10194" s="1496"/>
      <c r="G10194" s="1496"/>
      <c r="H10194" s="1496"/>
      <c r="K10194" t="s">
        <v>3967</v>
      </c>
      <c r="V10194">
        <v>247</v>
      </c>
    </row>
    <row r="10195" spans="1:22" customFormat="1" ht="15" x14ac:dyDescent="0.25">
      <c r="A10195" t="s">
        <v>227</v>
      </c>
      <c r="B10195" t="s">
        <v>5712</v>
      </c>
      <c r="E10195" s="1533" t="s">
        <v>956</v>
      </c>
      <c r="F10195" s="1496"/>
      <c r="G10195" s="1496"/>
      <c r="H10195" s="1496"/>
      <c r="K10195" t="s">
        <v>1026</v>
      </c>
      <c r="V10195">
        <v>46</v>
      </c>
    </row>
    <row r="10196" spans="1:22" customFormat="1" ht="15" x14ac:dyDescent="0.25">
      <c r="A10196" t="s">
        <v>227</v>
      </c>
      <c r="B10196" t="s">
        <v>5712</v>
      </c>
      <c r="E10196" s="1524" t="s">
        <v>3773</v>
      </c>
      <c r="F10196" s="1524"/>
      <c r="G10196" s="360" t="s">
        <v>777</v>
      </c>
      <c r="H10196" s="576">
        <v>11791.55</v>
      </c>
      <c r="K10196" t="s">
        <v>3967</v>
      </c>
      <c r="L10196" t="s">
        <v>690</v>
      </c>
      <c r="P10196" t="s">
        <v>3969</v>
      </c>
      <c r="V10196">
        <v>14</v>
      </c>
    </row>
    <row r="10197" spans="1:22" customFormat="1" ht="15" x14ac:dyDescent="0.25">
      <c r="A10197" t="s">
        <v>227</v>
      </c>
      <c r="B10197" t="s">
        <v>5712</v>
      </c>
      <c r="E10197" s="1524" t="s">
        <v>3688</v>
      </c>
      <c r="F10197" s="1524"/>
      <c r="G10197" s="360" t="s">
        <v>3775</v>
      </c>
      <c r="H10197" s="577">
        <v>2.1227</v>
      </c>
      <c r="K10197" t="s">
        <v>3967</v>
      </c>
      <c r="L10197" t="s">
        <v>690</v>
      </c>
      <c r="P10197" t="s">
        <v>3972</v>
      </c>
      <c r="V10197">
        <v>28</v>
      </c>
    </row>
    <row r="10198" spans="1:22" customFormat="1" ht="15" x14ac:dyDescent="0.25">
      <c r="A10198" t="s">
        <v>227</v>
      </c>
      <c r="B10198" t="s">
        <v>5712</v>
      </c>
      <c r="E10198" s="1524" t="s">
        <v>6850</v>
      </c>
      <c r="F10198" s="1510"/>
      <c r="G10198" s="360" t="s">
        <v>3775</v>
      </c>
      <c r="H10198" s="577">
        <v>-0.28120000000000001</v>
      </c>
      <c r="K10198" t="s">
        <v>3967</v>
      </c>
      <c r="L10198" t="s">
        <v>692</v>
      </c>
      <c r="P10198" t="s">
        <v>3975</v>
      </c>
      <c r="T10198">
        <v>46142</v>
      </c>
      <c r="V10198">
        <v>96</v>
      </c>
    </row>
    <row r="10199" spans="1:22" customFormat="1" ht="15" x14ac:dyDescent="0.25">
      <c r="A10199" t="s">
        <v>227</v>
      </c>
      <c r="B10199" t="s">
        <v>5712</v>
      </c>
      <c r="E10199" s="1524" t="s">
        <v>243</v>
      </c>
      <c r="F10199" s="1524"/>
      <c r="G10199" s="360" t="s">
        <v>3775</v>
      </c>
      <c r="H10199" s="577">
        <v>4.4608999999999996</v>
      </c>
      <c r="K10199" t="s">
        <v>3967</v>
      </c>
      <c r="L10199" t="s">
        <v>694</v>
      </c>
      <c r="P10199" t="s">
        <v>3978</v>
      </c>
      <c r="V10199">
        <v>47</v>
      </c>
    </row>
    <row r="10200" spans="1:22" customFormat="1" ht="15" x14ac:dyDescent="0.25">
      <c r="A10200" t="s">
        <v>227</v>
      </c>
      <c r="B10200" t="s">
        <v>5712</v>
      </c>
      <c r="E10200" s="1524" t="s">
        <v>175</v>
      </c>
      <c r="F10200" s="1524"/>
      <c r="G10200" s="360" t="s">
        <v>3775</v>
      </c>
      <c r="H10200" s="577">
        <v>3.6981999999999999</v>
      </c>
      <c r="K10200" t="s">
        <v>3967</v>
      </c>
      <c r="L10200" t="s">
        <v>694</v>
      </c>
      <c r="P10200" t="s">
        <v>3979</v>
      </c>
      <c r="V10200">
        <v>74</v>
      </c>
    </row>
    <row r="10201" spans="1:22" customFormat="1" ht="15" x14ac:dyDescent="0.25">
      <c r="A10201" t="s">
        <v>227</v>
      </c>
      <c r="B10201" t="s">
        <v>5712</v>
      </c>
      <c r="E10201" s="1533" t="s">
        <v>967</v>
      </c>
      <c r="F10201" s="1524"/>
      <c r="G10201" s="360"/>
      <c r="H10201" s="360"/>
      <c r="K10201" t="s">
        <v>1035</v>
      </c>
      <c r="V10201">
        <v>48</v>
      </c>
    </row>
    <row r="10202" spans="1:22" customFormat="1" ht="15" x14ac:dyDescent="0.25">
      <c r="A10202" t="s">
        <v>227</v>
      </c>
      <c r="B10202" t="s">
        <v>5712</v>
      </c>
      <c r="E10202" s="1524" t="s">
        <v>844</v>
      </c>
      <c r="F10202" s="1524"/>
      <c r="G10202" s="360" t="s">
        <v>845</v>
      </c>
      <c r="H10202" s="605">
        <v>4.1000000000000003E-3</v>
      </c>
      <c r="K10202" t="s">
        <v>3967</v>
      </c>
      <c r="L10202" t="s">
        <v>968</v>
      </c>
      <c r="P10202" t="s">
        <v>3980</v>
      </c>
      <c r="V10202">
        <v>55</v>
      </c>
    </row>
    <row r="10203" spans="1:22" customFormat="1" ht="15" x14ac:dyDescent="0.25">
      <c r="A10203" t="s">
        <v>227</v>
      </c>
      <c r="B10203" t="s">
        <v>5712</v>
      </c>
      <c r="E10203" s="1524" t="s">
        <v>846</v>
      </c>
      <c r="F10203" s="1524"/>
      <c r="G10203" s="360" t="s">
        <v>845</v>
      </c>
      <c r="H10203" s="605">
        <v>4.0000000000000002E-4</v>
      </c>
      <c r="K10203" t="s">
        <v>3967</v>
      </c>
      <c r="L10203" t="s">
        <v>968</v>
      </c>
      <c r="P10203" t="s">
        <v>3980</v>
      </c>
      <c r="V10203">
        <v>65</v>
      </c>
    </row>
    <row r="10204" spans="1:22" customFormat="1" ht="15" x14ac:dyDescent="0.25">
      <c r="A10204" t="s">
        <v>227</v>
      </c>
      <c r="B10204" t="s">
        <v>5712</v>
      </c>
      <c r="E10204" s="1524" t="s">
        <v>847</v>
      </c>
      <c r="F10204" s="1524"/>
      <c r="G10204" s="360" t="s">
        <v>845</v>
      </c>
      <c r="H10204" s="605">
        <v>1.5E-3</v>
      </c>
      <c r="K10204" t="s">
        <v>3967</v>
      </c>
      <c r="L10204" t="s">
        <v>968</v>
      </c>
      <c r="P10204" t="s">
        <v>3981</v>
      </c>
      <c r="V10204">
        <v>57</v>
      </c>
    </row>
    <row r="10205" spans="1:22" customFormat="1" ht="15" x14ac:dyDescent="0.25">
      <c r="A10205" t="s">
        <v>227</v>
      </c>
      <c r="B10205" t="s">
        <v>5712</v>
      </c>
      <c r="E10205" s="1524" t="s">
        <v>848</v>
      </c>
      <c r="F10205" s="1524"/>
      <c r="G10205" s="360" t="s">
        <v>777</v>
      </c>
      <c r="H10205" s="604">
        <v>0.25</v>
      </c>
      <c r="K10205" t="s">
        <v>3967</v>
      </c>
      <c r="L10205" t="s">
        <v>968</v>
      </c>
      <c r="P10205" t="s">
        <v>3982</v>
      </c>
      <c r="V10205">
        <v>63</v>
      </c>
    </row>
    <row r="10206" spans="1:22" customFormat="1" x14ac:dyDescent="0.25">
      <c r="A10206" t="s">
        <v>227</v>
      </c>
      <c r="B10206" t="s">
        <v>5712</v>
      </c>
      <c r="E10206" s="1538" t="s">
        <v>194</v>
      </c>
      <c r="F10206" s="1571"/>
      <c r="G10206" s="1571"/>
      <c r="H10206" s="1571"/>
      <c r="K10206" t="s">
        <v>3872</v>
      </c>
      <c r="V10206">
        <v>47</v>
      </c>
    </row>
    <row r="10207" spans="1:22" customFormat="1" ht="15" x14ac:dyDescent="0.25">
      <c r="A10207" t="s">
        <v>227</v>
      </c>
      <c r="B10207" t="s">
        <v>5712</v>
      </c>
      <c r="E10207" s="1496" t="s">
        <v>5719</v>
      </c>
      <c r="F10207" s="1496"/>
      <c r="G10207" s="1496"/>
      <c r="H10207" s="1496"/>
      <c r="K10207" t="s">
        <v>3872</v>
      </c>
      <c r="V10207">
        <v>750</v>
      </c>
    </row>
    <row r="10208" spans="1:22" customFormat="1" ht="15" x14ac:dyDescent="0.25">
      <c r="A10208" t="s">
        <v>227</v>
      </c>
      <c r="B10208" t="s">
        <v>5712</v>
      </c>
      <c r="E10208" s="1533" t="s">
        <v>950</v>
      </c>
      <c r="F10208" s="1496"/>
      <c r="G10208" s="1496"/>
      <c r="H10208" s="1496"/>
      <c r="K10208" t="s">
        <v>1041</v>
      </c>
      <c r="V10208">
        <v>11</v>
      </c>
    </row>
    <row r="10209" spans="1:22" customFormat="1" ht="15" x14ac:dyDescent="0.25">
      <c r="A10209" t="s">
        <v>227</v>
      </c>
      <c r="B10209" t="s">
        <v>5712</v>
      </c>
      <c r="E10209" s="1496" t="s">
        <v>951</v>
      </c>
      <c r="F10209" s="1496"/>
      <c r="G10209" s="1496"/>
      <c r="H10209" s="1496"/>
      <c r="K10209" t="s">
        <v>3872</v>
      </c>
      <c r="V10209">
        <v>280</v>
      </c>
    </row>
    <row r="10210" spans="1:22" customFormat="1" ht="15" x14ac:dyDescent="0.25">
      <c r="A10210" t="s">
        <v>227</v>
      </c>
      <c r="B10210" t="s">
        <v>5712</v>
      </c>
      <c r="E10210" s="1496" t="s">
        <v>952</v>
      </c>
      <c r="F10210" s="1496"/>
      <c r="G10210" s="1496"/>
      <c r="H10210" s="1496"/>
      <c r="K10210" t="s">
        <v>3872</v>
      </c>
      <c r="V10210">
        <v>411</v>
      </c>
    </row>
    <row r="10211" spans="1:22" customFormat="1" ht="15" x14ac:dyDescent="0.25">
      <c r="A10211" t="s">
        <v>227</v>
      </c>
      <c r="B10211" t="s">
        <v>5712</v>
      </c>
      <c r="E10211" s="1496" t="s">
        <v>3761</v>
      </c>
      <c r="F10211" s="1496"/>
      <c r="G10211" s="1496"/>
      <c r="H10211" s="1496"/>
      <c r="K10211" t="s">
        <v>3872</v>
      </c>
      <c r="V10211">
        <v>387</v>
      </c>
    </row>
    <row r="10212" spans="1:22" customFormat="1" ht="15" x14ac:dyDescent="0.25">
      <c r="A10212" t="s">
        <v>227</v>
      </c>
      <c r="B10212" t="s">
        <v>5712</v>
      </c>
      <c r="E10212" s="1496" t="s">
        <v>3762</v>
      </c>
      <c r="F10212" s="1496"/>
      <c r="G10212" s="1496"/>
      <c r="H10212" s="1496"/>
      <c r="K10212" t="s">
        <v>3872</v>
      </c>
      <c r="V10212">
        <v>247</v>
      </c>
    </row>
    <row r="10213" spans="1:22" customFormat="1" ht="15" x14ac:dyDescent="0.25">
      <c r="A10213" t="s">
        <v>227</v>
      </c>
      <c r="B10213" t="s">
        <v>5712</v>
      </c>
      <c r="E10213" s="1533" t="s">
        <v>956</v>
      </c>
      <c r="F10213" s="1496"/>
      <c r="G10213" s="1496"/>
      <c r="H10213" s="1496"/>
      <c r="K10213" t="s">
        <v>1042</v>
      </c>
      <c r="V10213">
        <v>46</v>
      </c>
    </row>
    <row r="10214" spans="1:22" customFormat="1" ht="15" x14ac:dyDescent="0.25">
      <c r="A10214" t="s">
        <v>227</v>
      </c>
      <c r="B10214" t="s">
        <v>5712</v>
      </c>
      <c r="E10214" s="1524" t="s">
        <v>3874</v>
      </c>
      <c r="F10214" s="1524"/>
      <c r="G10214" s="360" t="s">
        <v>777</v>
      </c>
      <c r="H10214" s="576">
        <v>90.21</v>
      </c>
      <c r="K10214" t="s">
        <v>3872</v>
      </c>
      <c r="L10214" t="s">
        <v>690</v>
      </c>
      <c r="P10214" t="s">
        <v>3875</v>
      </c>
      <c r="V10214">
        <v>31</v>
      </c>
    </row>
    <row r="10215" spans="1:22" customFormat="1" ht="15" x14ac:dyDescent="0.25">
      <c r="A10215" t="s">
        <v>227</v>
      </c>
      <c r="B10215" t="s">
        <v>5712</v>
      </c>
      <c r="E10215" s="1524" t="s">
        <v>3688</v>
      </c>
      <c r="F10215" s="1524"/>
      <c r="G10215" s="360" t="s">
        <v>845</v>
      </c>
      <c r="H10215" s="577">
        <v>0.08</v>
      </c>
      <c r="K10215" t="s">
        <v>3872</v>
      </c>
      <c r="L10215" t="s">
        <v>690</v>
      </c>
      <c r="P10215" t="s">
        <v>3876</v>
      </c>
      <c r="V10215">
        <v>28</v>
      </c>
    </row>
    <row r="10216" spans="1:22" customFormat="1" ht="15" x14ac:dyDescent="0.25">
      <c r="A10216" t="s">
        <v>227</v>
      </c>
      <c r="B10216" t="s">
        <v>5712</v>
      </c>
      <c r="E10216" s="1524" t="s">
        <v>6853</v>
      </c>
      <c r="F10216" s="1510"/>
      <c r="G10216" s="360" t="s">
        <v>845</v>
      </c>
      <c r="H10216" s="577">
        <v>2.0000000000000001E-4</v>
      </c>
      <c r="K10216" t="s">
        <v>3872</v>
      </c>
      <c r="L10216" t="s">
        <v>692</v>
      </c>
      <c r="P10216" t="s">
        <v>3991</v>
      </c>
      <c r="T10216">
        <v>46142</v>
      </c>
      <c r="V10216">
        <v>146</v>
      </c>
    </row>
    <row r="10217" spans="1:22" customFormat="1" ht="15" x14ac:dyDescent="0.25">
      <c r="A10217" t="s">
        <v>227</v>
      </c>
      <c r="B10217" t="s">
        <v>5712</v>
      </c>
      <c r="E10217" s="1524" t="s">
        <v>6850</v>
      </c>
      <c r="F10217" s="1510"/>
      <c r="G10217" s="360" t="s">
        <v>845</v>
      </c>
      <c r="H10217" s="577">
        <v>-1.9E-3</v>
      </c>
      <c r="K10217" t="s">
        <v>3872</v>
      </c>
      <c r="L10217" t="s">
        <v>692</v>
      </c>
      <c r="P10217" t="s">
        <v>3990</v>
      </c>
      <c r="T10217">
        <v>46142</v>
      </c>
      <c r="V10217">
        <v>96</v>
      </c>
    </row>
    <row r="10218" spans="1:22" customFormat="1" ht="15" x14ac:dyDescent="0.25">
      <c r="A10218" t="s">
        <v>227</v>
      </c>
      <c r="B10218" t="s">
        <v>5712</v>
      </c>
      <c r="E10218" s="1524" t="s">
        <v>243</v>
      </c>
      <c r="F10218" s="1524"/>
      <c r="G10218" s="360" t="s">
        <v>845</v>
      </c>
      <c r="H10218" s="577">
        <v>9.4000000000000004E-3</v>
      </c>
      <c r="K10218" t="s">
        <v>3872</v>
      </c>
      <c r="L10218" t="s">
        <v>694</v>
      </c>
      <c r="P10218" t="s">
        <v>3877</v>
      </c>
      <c r="V10218">
        <v>47</v>
      </c>
    </row>
    <row r="10219" spans="1:22" customFormat="1" ht="15" x14ac:dyDescent="0.25">
      <c r="A10219" t="s">
        <v>227</v>
      </c>
      <c r="B10219" t="s">
        <v>5712</v>
      </c>
      <c r="E10219" s="1524" t="s">
        <v>175</v>
      </c>
      <c r="F10219" s="1524"/>
      <c r="G10219" s="360" t="s">
        <v>845</v>
      </c>
      <c r="H10219" s="577">
        <v>7.3000000000000001E-3</v>
      </c>
      <c r="K10219" t="s">
        <v>3872</v>
      </c>
      <c r="L10219" t="s">
        <v>694</v>
      </c>
      <c r="P10219" t="s">
        <v>3878</v>
      </c>
      <c r="V10219">
        <v>74</v>
      </c>
    </row>
    <row r="10220" spans="1:22" customFormat="1" ht="15" x14ac:dyDescent="0.25">
      <c r="A10220" t="s">
        <v>227</v>
      </c>
      <c r="B10220" t="s">
        <v>5712</v>
      </c>
      <c r="E10220" s="1533" t="s">
        <v>967</v>
      </c>
      <c r="F10220" s="1524"/>
      <c r="G10220" s="360"/>
      <c r="H10220" s="360"/>
      <c r="K10220" t="s">
        <v>1049</v>
      </c>
      <c r="V10220">
        <v>48</v>
      </c>
    </row>
    <row r="10221" spans="1:22" customFormat="1" ht="15" x14ac:dyDescent="0.25">
      <c r="A10221" t="s">
        <v>227</v>
      </c>
      <c r="B10221" t="s">
        <v>5712</v>
      </c>
      <c r="E10221" s="1524" t="s">
        <v>844</v>
      </c>
      <c r="F10221" s="1524"/>
      <c r="G10221" s="360" t="s">
        <v>845</v>
      </c>
      <c r="H10221" s="605">
        <v>4.1000000000000003E-3</v>
      </c>
      <c r="K10221" t="s">
        <v>3872</v>
      </c>
      <c r="L10221" t="s">
        <v>968</v>
      </c>
      <c r="P10221" t="s">
        <v>3879</v>
      </c>
      <c r="V10221">
        <v>55</v>
      </c>
    </row>
    <row r="10222" spans="1:22" customFormat="1" ht="15" x14ac:dyDescent="0.25">
      <c r="A10222" t="s">
        <v>227</v>
      </c>
      <c r="B10222" t="s">
        <v>5712</v>
      </c>
      <c r="E10222" s="1524" t="s">
        <v>846</v>
      </c>
      <c r="F10222" s="1524"/>
      <c r="G10222" s="360" t="s">
        <v>845</v>
      </c>
      <c r="H10222" s="605">
        <v>4.0000000000000002E-4</v>
      </c>
      <c r="K10222" t="s">
        <v>3872</v>
      </c>
      <c r="L10222" t="s">
        <v>968</v>
      </c>
      <c r="P10222" t="s">
        <v>3879</v>
      </c>
      <c r="V10222">
        <v>65</v>
      </c>
    </row>
    <row r="10223" spans="1:22" customFormat="1" ht="15" x14ac:dyDescent="0.25">
      <c r="A10223" t="s">
        <v>227</v>
      </c>
      <c r="B10223" t="s">
        <v>5712</v>
      </c>
      <c r="E10223" s="1524" t="s">
        <v>847</v>
      </c>
      <c r="F10223" s="1524"/>
      <c r="G10223" s="360" t="s">
        <v>845</v>
      </c>
      <c r="H10223" s="605">
        <v>1.5E-3</v>
      </c>
      <c r="K10223" t="s">
        <v>3872</v>
      </c>
      <c r="L10223" t="s">
        <v>968</v>
      </c>
      <c r="P10223" t="s">
        <v>3880</v>
      </c>
      <c r="V10223">
        <v>57</v>
      </c>
    </row>
    <row r="10224" spans="1:22" customFormat="1" ht="15" x14ac:dyDescent="0.25">
      <c r="A10224" t="s">
        <v>227</v>
      </c>
      <c r="B10224" t="s">
        <v>5712</v>
      </c>
      <c r="E10224" s="1524" t="s">
        <v>848</v>
      </c>
      <c r="F10224" s="1524"/>
      <c r="G10224" s="360" t="s">
        <v>777</v>
      </c>
      <c r="H10224" s="604">
        <v>0.25</v>
      </c>
      <c r="K10224" t="s">
        <v>3872</v>
      </c>
      <c r="L10224" t="s">
        <v>968</v>
      </c>
      <c r="P10224" t="s">
        <v>3881</v>
      </c>
      <c r="V10224">
        <v>63</v>
      </c>
    </row>
    <row r="10225" spans="1:22" customFormat="1" x14ac:dyDescent="0.25">
      <c r="A10225" t="s">
        <v>227</v>
      </c>
      <c r="B10225" t="s">
        <v>5712</v>
      </c>
      <c r="E10225" s="1538" t="s">
        <v>198</v>
      </c>
      <c r="F10225" s="1571"/>
      <c r="G10225" s="1571"/>
      <c r="H10225" s="1571"/>
      <c r="K10225" t="s">
        <v>3882</v>
      </c>
      <c r="V10225">
        <v>40</v>
      </c>
    </row>
    <row r="10226" spans="1:22" customFormat="1" ht="15" x14ac:dyDescent="0.25">
      <c r="A10226" t="s">
        <v>227</v>
      </c>
      <c r="B10226" t="s">
        <v>5712</v>
      </c>
      <c r="E10226" s="1496" t="s">
        <v>5337</v>
      </c>
      <c r="F10226" s="1496"/>
      <c r="G10226" s="1496"/>
      <c r="H10226" s="1496"/>
      <c r="K10226" t="s">
        <v>3882</v>
      </c>
      <c r="V10226">
        <v>253</v>
      </c>
    </row>
    <row r="10227" spans="1:22" customFormat="1" ht="15" x14ac:dyDescent="0.25">
      <c r="A10227" t="s">
        <v>227</v>
      </c>
      <c r="B10227" t="s">
        <v>5712</v>
      </c>
      <c r="E10227" s="1533" t="s">
        <v>950</v>
      </c>
      <c r="F10227" s="1496"/>
      <c r="G10227" s="1496"/>
      <c r="H10227" s="1496"/>
      <c r="K10227" t="s">
        <v>1055</v>
      </c>
      <c r="V10227">
        <v>11</v>
      </c>
    </row>
    <row r="10228" spans="1:22" customFormat="1" ht="15" x14ac:dyDescent="0.25">
      <c r="A10228" t="s">
        <v>227</v>
      </c>
      <c r="B10228" t="s">
        <v>5712</v>
      </c>
      <c r="E10228" s="1496" t="s">
        <v>951</v>
      </c>
      <c r="F10228" s="1496"/>
      <c r="G10228" s="1496"/>
      <c r="H10228" s="1496"/>
      <c r="K10228" t="s">
        <v>3882</v>
      </c>
      <c r="V10228">
        <v>280</v>
      </c>
    </row>
    <row r="10229" spans="1:22" customFormat="1" ht="15" x14ac:dyDescent="0.25">
      <c r="A10229" t="s">
        <v>227</v>
      </c>
      <c r="B10229" t="s">
        <v>5712</v>
      </c>
      <c r="E10229" s="1496" t="s">
        <v>952</v>
      </c>
      <c r="F10229" s="1496"/>
      <c r="G10229" s="1496"/>
      <c r="H10229" s="1496"/>
      <c r="K10229" t="s">
        <v>3882</v>
      </c>
      <c r="V10229">
        <v>411</v>
      </c>
    </row>
    <row r="10230" spans="1:22" customFormat="1" ht="15" x14ac:dyDescent="0.25">
      <c r="A10230" t="s">
        <v>227</v>
      </c>
      <c r="B10230" t="s">
        <v>5712</v>
      </c>
      <c r="E10230" s="1496" t="s">
        <v>3761</v>
      </c>
      <c r="F10230" s="1496"/>
      <c r="G10230" s="1496"/>
      <c r="H10230" s="1496"/>
      <c r="K10230" t="s">
        <v>3882</v>
      </c>
      <c r="V10230">
        <v>387</v>
      </c>
    </row>
    <row r="10231" spans="1:22" customFormat="1" ht="15" x14ac:dyDescent="0.25">
      <c r="A10231" t="s">
        <v>227</v>
      </c>
      <c r="B10231" t="s">
        <v>5712</v>
      </c>
      <c r="E10231" s="1496" t="s">
        <v>3762</v>
      </c>
      <c r="F10231" s="1496"/>
      <c r="G10231" s="1496"/>
      <c r="H10231" s="1496"/>
      <c r="K10231" t="s">
        <v>3882</v>
      </c>
      <c r="V10231">
        <v>247</v>
      </c>
    </row>
    <row r="10232" spans="1:22" customFormat="1" ht="15" x14ac:dyDescent="0.25">
      <c r="A10232" t="s">
        <v>227</v>
      </c>
      <c r="B10232" t="s">
        <v>5712</v>
      </c>
      <c r="E10232" s="1533" t="s">
        <v>956</v>
      </c>
      <c r="F10232" s="1496"/>
      <c r="G10232" s="1496"/>
      <c r="H10232" s="1496"/>
      <c r="K10232" t="s">
        <v>1056</v>
      </c>
      <c r="V10232">
        <v>46</v>
      </c>
    </row>
    <row r="10233" spans="1:22" customFormat="1" ht="15" x14ac:dyDescent="0.25">
      <c r="A10233" t="s">
        <v>227</v>
      </c>
      <c r="B10233" t="s">
        <v>5712</v>
      </c>
      <c r="E10233" s="1524" t="s">
        <v>3874</v>
      </c>
      <c r="F10233" s="1524"/>
      <c r="G10233" s="360" t="s">
        <v>777</v>
      </c>
      <c r="H10233" s="576">
        <v>44.21</v>
      </c>
      <c r="K10233" t="s">
        <v>3882</v>
      </c>
      <c r="L10233" t="s">
        <v>690</v>
      </c>
      <c r="P10233" t="s">
        <v>3884</v>
      </c>
      <c r="V10233">
        <v>31</v>
      </c>
    </row>
    <row r="10234" spans="1:22" customFormat="1" ht="15" x14ac:dyDescent="0.25">
      <c r="A10234" t="s">
        <v>227</v>
      </c>
      <c r="B10234" t="s">
        <v>5712</v>
      </c>
      <c r="E10234" s="1524" t="s">
        <v>6850</v>
      </c>
      <c r="F10234" s="1510"/>
      <c r="G10234" s="360" t="s">
        <v>845</v>
      </c>
      <c r="H10234" s="577">
        <v>-1.9E-3</v>
      </c>
      <c r="K10234" t="s">
        <v>3882</v>
      </c>
      <c r="L10234" t="s">
        <v>692</v>
      </c>
      <c r="P10234" t="s">
        <v>4347</v>
      </c>
      <c r="T10234">
        <v>46142</v>
      </c>
      <c r="V10234">
        <v>96</v>
      </c>
    </row>
    <row r="10235" spans="1:22" customFormat="1" ht="15" x14ac:dyDescent="0.25">
      <c r="A10235" t="s">
        <v>227</v>
      </c>
      <c r="B10235" t="s">
        <v>5712</v>
      </c>
      <c r="E10235" s="1524" t="s">
        <v>243</v>
      </c>
      <c r="F10235" s="1524"/>
      <c r="G10235" s="360" t="s">
        <v>3775</v>
      </c>
      <c r="H10235" s="577">
        <v>2.8692000000000002</v>
      </c>
      <c r="K10235" t="s">
        <v>3882</v>
      </c>
      <c r="L10235" t="s">
        <v>694</v>
      </c>
      <c r="P10235" t="s">
        <v>3886</v>
      </c>
      <c r="V10235">
        <v>47</v>
      </c>
    </row>
    <row r="10236" spans="1:22" customFormat="1" ht="15" x14ac:dyDescent="0.25">
      <c r="A10236" t="s">
        <v>227</v>
      </c>
      <c r="B10236" t="s">
        <v>5712</v>
      </c>
      <c r="E10236" s="1524" t="s">
        <v>175</v>
      </c>
      <c r="F10236" s="1524"/>
      <c r="G10236" s="360" t="s">
        <v>3775</v>
      </c>
      <c r="H10236" s="577">
        <v>2.3321999999999998</v>
      </c>
      <c r="K10236" t="s">
        <v>3882</v>
      </c>
      <c r="L10236" t="s">
        <v>694</v>
      </c>
      <c r="P10236" t="s">
        <v>3887</v>
      </c>
      <c r="V10236">
        <v>74</v>
      </c>
    </row>
    <row r="10237" spans="1:22" customFormat="1" ht="15" x14ac:dyDescent="0.25">
      <c r="A10237" t="s">
        <v>227</v>
      </c>
      <c r="B10237" t="s">
        <v>5712</v>
      </c>
      <c r="E10237" s="1533" t="s">
        <v>967</v>
      </c>
      <c r="F10237" s="1524"/>
      <c r="G10237" s="360"/>
      <c r="H10237" s="360"/>
      <c r="K10237" t="s">
        <v>1065</v>
      </c>
      <c r="V10237">
        <v>48</v>
      </c>
    </row>
    <row r="10238" spans="1:22" customFormat="1" ht="15" x14ac:dyDescent="0.25">
      <c r="A10238" t="s">
        <v>227</v>
      </c>
      <c r="B10238" t="s">
        <v>5712</v>
      </c>
      <c r="E10238" s="1524" t="s">
        <v>844</v>
      </c>
      <c r="F10238" s="1524"/>
      <c r="G10238" s="360" t="s">
        <v>845</v>
      </c>
      <c r="H10238" s="605">
        <v>4.1000000000000003E-3</v>
      </c>
      <c r="K10238" t="s">
        <v>3882</v>
      </c>
      <c r="L10238" t="s">
        <v>968</v>
      </c>
      <c r="P10238" t="s">
        <v>3888</v>
      </c>
      <c r="V10238">
        <v>55</v>
      </c>
    </row>
    <row r="10239" spans="1:22" customFormat="1" ht="15" x14ac:dyDescent="0.25">
      <c r="A10239" t="s">
        <v>227</v>
      </c>
      <c r="B10239" t="s">
        <v>5712</v>
      </c>
      <c r="E10239" s="1524" t="s">
        <v>846</v>
      </c>
      <c r="F10239" s="1524"/>
      <c r="G10239" s="360" t="s">
        <v>845</v>
      </c>
      <c r="H10239" s="605">
        <v>4.0000000000000002E-4</v>
      </c>
      <c r="K10239" t="s">
        <v>3882</v>
      </c>
      <c r="L10239" t="s">
        <v>968</v>
      </c>
      <c r="P10239" t="s">
        <v>3888</v>
      </c>
      <c r="V10239">
        <v>65</v>
      </c>
    </row>
    <row r="10240" spans="1:22" customFormat="1" ht="15" x14ac:dyDescent="0.25">
      <c r="A10240" t="s">
        <v>227</v>
      </c>
      <c r="B10240" t="s">
        <v>5712</v>
      </c>
      <c r="E10240" s="1524" t="s">
        <v>847</v>
      </c>
      <c r="F10240" s="1524"/>
      <c r="G10240" s="360" t="s">
        <v>845</v>
      </c>
      <c r="H10240" s="605">
        <v>1.5E-3</v>
      </c>
      <c r="K10240" t="s">
        <v>3882</v>
      </c>
      <c r="L10240" t="s">
        <v>968</v>
      </c>
      <c r="P10240" t="s">
        <v>3889</v>
      </c>
      <c r="V10240">
        <v>57</v>
      </c>
    </row>
    <row r="10241" spans="1:22" customFormat="1" ht="15" x14ac:dyDescent="0.25">
      <c r="A10241" t="s">
        <v>227</v>
      </c>
      <c r="B10241" t="s">
        <v>5712</v>
      </c>
      <c r="E10241" s="1524" t="s">
        <v>848</v>
      </c>
      <c r="F10241" s="1524"/>
      <c r="G10241" s="360" t="s">
        <v>777</v>
      </c>
      <c r="H10241" s="604">
        <v>0.25</v>
      </c>
      <c r="K10241" t="s">
        <v>3882</v>
      </c>
      <c r="L10241" t="s">
        <v>968</v>
      </c>
      <c r="P10241" t="s">
        <v>3890</v>
      </c>
      <c r="V10241">
        <v>63</v>
      </c>
    </row>
    <row r="10242" spans="1:22" customFormat="1" x14ac:dyDescent="0.25">
      <c r="A10242" t="s">
        <v>227</v>
      </c>
      <c r="B10242" t="s">
        <v>5712</v>
      </c>
      <c r="E10242" s="1538" t="s">
        <v>202</v>
      </c>
      <c r="F10242" s="1571"/>
      <c r="G10242" s="1571"/>
      <c r="H10242" s="1571"/>
      <c r="K10242" t="s">
        <v>3891</v>
      </c>
      <c r="V10242">
        <v>38</v>
      </c>
    </row>
    <row r="10243" spans="1:22" customFormat="1" ht="15" x14ac:dyDescent="0.25">
      <c r="A10243" t="s">
        <v>227</v>
      </c>
      <c r="B10243" t="s">
        <v>5712</v>
      </c>
      <c r="E10243" s="1496" t="s">
        <v>5720</v>
      </c>
      <c r="F10243" s="1496"/>
      <c r="G10243" s="1496"/>
      <c r="H10243" s="1496"/>
      <c r="K10243" t="s">
        <v>3891</v>
      </c>
      <c r="V10243">
        <v>651</v>
      </c>
    </row>
    <row r="10244" spans="1:22" customFormat="1" ht="15" x14ac:dyDescent="0.25">
      <c r="A10244" t="s">
        <v>227</v>
      </c>
      <c r="B10244" t="s">
        <v>5712</v>
      </c>
      <c r="E10244" s="1533" t="s">
        <v>950</v>
      </c>
      <c r="F10244" s="1496"/>
      <c r="G10244" s="1496"/>
      <c r="H10244" s="1496"/>
      <c r="K10244" t="s">
        <v>1071</v>
      </c>
      <c r="V10244">
        <v>11</v>
      </c>
    </row>
    <row r="10245" spans="1:22" customFormat="1" ht="15" x14ac:dyDescent="0.25">
      <c r="A10245" t="s">
        <v>227</v>
      </c>
      <c r="B10245" t="s">
        <v>5712</v>
      </c>
      <c r="E10245" s="1496" t="s">
        <v>951</v>
      </c>
      <c r="F10245" s="1496"/>
      <c r="G10245" s="1496"/>
      <c r="H10245" s="1496"/>
      <c r="K10245" t="s">
        <v>3891</v>
      </c>
      <c r="V10245">
        <v>280</v>
      </c>
    </row>
    <row r="10246" spans="1:22" customFormat="1" ht="15" x14ac:dyDescent="0.25">
      <c r="A10246" t="s">
        <v>227</v>
      </c>
      <c r="B10246" t="s">
        <v>5712</v>
      </c>
      <c r="E10246" s="1496" t="s">
        <v>952</v>
      </c>
      <c r="F10246" s="1496"/>
      <c r="G10246" s="1496"/>
      <c r="H10246" s="1496"/>
      <c r="K10246" t="s">
        <v>3891</v>
      </c>
      <c r="V10246">
        <v>411</v>
      </c>
    </row>
    <row r="10247" spans="1:22" customFormat="1" ht="15" x14ac:dyDescent="0.25">
      <c r="A10247" t="s">
        <v>227</v>
      </c>
      <c r="B10247" t="s">
        <v>5712</v>
      </c>
      <c r="E10247" s="1496" t="s">
        <v>3761</v>
      </c>
      <c r="F10247" s="1496"/>
      <c r="G10247" s="1496"/>
      <c r="H10247" s="1496"/>
      <c r="K10247" t="s">
        <v>3891</v>
      </c>
      <c r="V10247">
        <v>387</v>
      </c>
    </row>
    <row r="10248" spans="1:22" customFormat="1" ht="15" x14ac:dyDescent="0.25">
      <c r="A10248" t="s">
        <v>227</v>
      </c>
      <c r="B10248" t="s">
        <v>5712</v>
      </c>
      <c r="E10248" s="1496" t="s">
        <v>3762</v>
      </c>
      <c r="F10248" s="1496"/>
      <c r="G10248" s="1496"/>
      <c r="H10248" s="1496"/>
      <c r="K10248" t="s">
        <v>3891</v>
      </c>
      <c r="V10248">
        <v>247</v>
      </c>
    </row>
    <row r="10249" spans="1:22" customFormat="1" ht="15" x14ac:dyDescent="0.25">
      <c r="A10249" t="s">
        <v>227</v>
      </c>
      <c r="B10249" t="s">
        <v>5712</v>
      </c>
      <c r="E10249" s="1533" t="s">
        <v>956</v>
      </c>
      <c r="F10249" s="1496"/>
      <c r="G10249" s="1496"/>
      <c r="H10249" s="1496"/>
      <c r="K10249" t="s">
        <v>1075</v>
      </c>
      <c r="V10249">
        <v>46</v>
      </c>
    </row>
    <row r="10250" spans="1:22" customFormat="1" ht="15" x14ac:dyDescent="0.25">
      <c r="A10250" t="s">
        <v>227</v>
      </c>
      <c r="B10250" t="s">
        <v>5712</v>
      </c>
      <c r="E10250" s="1524" t="s">
        <v>3874</v>
      </c>
      <c r="F10250" s="1524"/>
      <c r="G10250" s="360" t="s">
        <v>777</v>
      </c>
      <c r="H10250" s="576">
        <v>5.39</v>
      </c>
      <c r="K10250" t="s">
        <v>3891</v>
      </c>
      <c r="L10250" t="s">
        <v>690</v>
      </c>
      <c r="P10250" t="s">
        <v>3894</v>
      </c>
      <c r="V10250">
        <v>31</v>
      </c>
    </row>
    <row r="10251" spans="1:22" customFormat="1" ht="15" x14ac:dyDescent="0.25">
      <c r="A10251" t="s">
        <v>227</v>
      </c>
      <c r="B10251" t="s">
        <v>5712</v>
      </c>
      <c r="E10251" s="1524" t="s">
        <v>3688</v>
      </c>
      <c r="F10251" s="1524"/>
      <c r="G10251" s="360" t="s">
        <v>3775</v>
      </c>
      <c r="H10251" s="577">
        <v>29.596299999999999</v>
      </c>
      <c r="K10251" t="s">
        <v>3891</v>
      </c>
      <c r="L10251" t="s">
        <v>690</v>
      </c>
      <c r="P10251" t="s">
        <v>3895</v>
      </c>
      <c r="V10251">
        <v>28</v>
      </c>
    </row>
    <row r="10252" spans="1:22" customFormat="1" ht="15" x14ac:dyDescent="0.25">
      <c r="A10252" t="s">
        <v>227</v>
      </c>
      <c r="B10252" t="s">
        <v>5712</v>
      </c>
      <c r="E10252" s="1524" t="s">
        <v>6849</v>
      </c>
      <c r="F10252" s="1510"/>
      <c r="G10252" s="360" t="s">
        <v>845</v>
      </c>
      <c r="H10252" s="577">
        <v>7.1999999999999998E-3</v>
      </c>
      <c r="K10252" t="s">
        <v>3891</v>
      </c>
      <c r="L10252" t="s">
        <v>692</v>
      </c>
      <c r="P10252" t="s">
        <v>4351</v>
      </c>
      <c r="T10252">
        <v>46142</v>
      </c>
      <c r="V10252">
        <v>139</v>
      </c>
    </row>
    <row r="10253" spans="1:22" customFormat="1" ht="15" x14ac:dyDescent="0.25">
      <c r="A10253" t="s">
        <v>227</v>
      </c>
      <c r="B10253" t="s">
        <v>5712</v>
      </c>
      <c r="E10253" s="1524" t="s">
        <v>6850</v>
      </c>
      <c r="F10253" s="1510"/>
      <c r="G10253" s="360" t="s">
        <v>3775</v>
      </c>
      <c r="H10253" s="577">
        <v>-0.87529999999999997</v>
      </c>
      <c r="K10253" t="s">
        <v>3891</v>
      </c>
      <c r="L10253" t="s">
        <v>692</v>
      </c>
      <c r="P10253" t="s">
        <v>4353</v>
      </c>
      <c r="T10253">
        <v>46142</v>
      </c>
      <c r="V10253">
        <v>96</v>
      </c>
    </row>
    <row r="10254" spans="1:22" customFormat="1" ht="15" x14ac:dyDescent="0.25">
      <c r="A10254" t="s">
        <v>227</v>
      </c>
      <c r="B10254" t="s">
        <v>5712</v>
      </c>
      <c r="E10254" s="1524" t="s">
        <v>6853</v>
      </c>
      <c r="F10254" s="1510"/>
      <c r="G10254" s="360" t="s">
        <v>3775</v>
      </c>
      <c r="H10254" s="577">
        <v>9.6600000000000005E-2</v>
      </c>
      <c r="K10254" t="s">
        <v>3891</v>
      </c>
      <c r="L10254" t="s">
        <v>692</v>
      </c>
      <c r="P10254" t="s">
        <v>4354</v>
      </c>
      <c r="T10254">
        <v>46142</v>
      </c>
      <c r="V10254">
        <v>146</v>
      </c>
    </row>
    <row r="10255" spans="1:22" customFormat="1" ht="15" x14ac:dyDescent="0.25">
      <c r="A10255" t="s">
        <v>227</v>
      </c>
      <c r="B10255" t="s">
        <v>5712</v>
      </c>
      <c r="E10255" s="1524" t="s">
        <v>243</v>
      </c>
      <c r="F10255" s="1524"/>
      <c r="G10255" s="360" t="s">
        <v>3775</v>
      </c>
      <c r="H10255" s="577">
        <v>2.8603999999999998</v>
      </c>
      <c r="K10255" t="s">
        <v>3891</v>
      </c>
      <c r="L10255" t="s">
        <v>694</v>
      </c>
      <c r="P10255" t="s">
        <v>3896</v>
      </c>
      <c r="V10255">
        <v>47</v>
      </c>
    </row>
    <row r="10256" spans="1:22" customFormat="1" ht="15" x14ac:dyDescent="0.25">
      <c r="A10256" t="s">
        <v>227</v>
      </c>
      <c r="B10256" t="s">
        <v>5712</v>
      </c>
      <c r="E10256" s="1524" t="s">
        <v>175</v>
      </c>
      <c r="F10256" s="1524"/>
      <c r="G10256" s="360" t="s">
        <v>3775</v>
      </c>
      <c r="H10256" s="577">
        <v>2.3292000000000002</v>
      </c>
      <c r="K10256" t="s">
        <v>3891</v>
      </c>
      <c r="L10256" t="s">
        <v>694</v>
      </c>
      <c r="P10256" t="s">
        <v>3897</v>
      </c>
      <c r="V10256">
        <v>74</v>
      </c>
    </row>
    <row r="10257" spans="1:22" customFormat="1" ht="15" x14ac:dyDescent="0.25">
      <c r="A10257" t="s">
        <v>227</v>
      </c>
      <c r="B10257" t="s">
        <v>5712</v>
      </c>
      <c r="E10257" s="1533" t="s">
        <v>967</v>
      </c>
      <c r="F10257" s="1524"/>
      <c r="G10257" s="360"/>
      <c r="H10257" s="360"/>
      <c r="K10257" t="s">
        <v>3898</v>
      </c>
      <c r="V10257">
        <v>48</v>
      </c>
    </row>
    <row r="10258" spans="1:22" customFormat="1" ht="15" x14ac:dyDescent="0.25">
      <c r="A10258" t="s">
        <v>227</v>
      </c>
      <c r="B10258" t="s">
        <v>5712</v>
      </c>
      <c r="E10258" s="1524" t="s">
        <v>844</v>
      </c>
      <c r="F10258" s="1524"/>
      <c r="G10258" s="360" t="s">
        <v>845</v>
      </c>
      <c r="H10258" s="605">
        <v>4.1000000000000003E-3</v>
      </c>
      <c r="K10258" t="s">
        <v>3891</v>
      </c>
      <c r="L10258" t="s">
        <v>968</v>
      </c>
      <c r="P10258" t="s">
        <v>3899</v>
      </c>
      <c r="V10258">
        <v>55</v>
      </c>
    </row>
    <row r="10259" spans="1:22" customFormat="1" ht="15" x14ac:dyDescent="0.25">
      <c r="A10259" t="s">
        <v>227</v>
      </c>
      <c r="B10259" t="s">
        <v>5712</v>
      </c>
      <c r="E10259" s="1524" t="s">
        <v>846</v>
      </c>
      <c r="F10259" s="1524"/>
      <c r="G10259" s="360" t="s">
        <v>845</v>
      </c>
      <c r="H10259" s="605">
        <v>4.0000000000000002E-4</v>
      </c>
      <c r="K10259" t="s">
        <v>3891</v>
      </c>
      <c r="L10259" t="s">
        <v>968</v>
      </c>
      <c r="P10259" t="s">
        <v>3899</v>
      </c>
      <c r="V10259">
        <v>65</v>
      </c>
    </row>
    <row r="10260" spans="1:22" customFormat="1" ht="15" x14ac:dyDescent="0.25">
      <c r="A10260" t="s">
        <v>227</v>
      </c>
      <c r="B10260" t="s">
        <v>5712</v>
      </c>
      <c r="E10260" s="1524" t="s">
        <v>847</v>
      </c>
      <c r="F10260" s="1524"/>
      <c r="G10260" s="360" t="s">
        <v>845</v>
      </c>
      <c r="H10260" s="605">
        <v>1.5E-3</v>
      </c>
      <c r="K10260" t="s">
        <v>3891</v>
      </c>
      <c r="L10260" t="s">
        <v>968</v>
      </c>
      <c r="P10260" t="s">
        <v>3900</v>
      </c>
      <c r="V10260">
        <v>57</v>
      </c>
    </row>
    <row r="10261" spans="1:22" customFormat="1" ht="15" x14ac:dyDescent="0.25">
      <c r="A10261" t="s">
        <v>227</v>
      </c>
      <c r="B10261" t="s">
        <v>5712</v>
      </c>
      <c r="E10261" s="1524" t="s">
        <v>848</v>
      </c>
      <c r="F10261" s="1524"/>
      <c r="G10261" s="360" t="s">
        <v>777</v>
      </c>
      <c r="H10261" s="604">
        <v>0.25</v>
      </c>
      <c r="K10261" t="s">
        <v>3891</v>
      </c>
      <c r="L10261" t="s">
        <v>968</v>
      </c>
      <c r="P10261" t="s">
        <v>3901</v>
      </c>
      <c r="V10261">
        <v>63</v>
      </c>
    </row>
    <row r="10262" spans="1:22" customFormat="1" x14ac:dyDescent="0.25">
      <c r="A10262" t="s">
        <v>227</v>
      </c>
      <c r="B10262" t="s">
        <v>5712</v>
      </c>
      <c r="E10262" s="1538" t="s">
        <v>207</v>
      </c>
      <c r="F10262" s="1571"/>
      <c r="G10262" s="1571"/>
      <c r="H10262" s="1571"/>
      <c r="K10262" t="s">
        <v>3902</v>
      </c>
      <c r="V10262">
        <v>31</v>
      </c>
    </row>
    <row r="10263" spans="1:22" customFormat="1" ht="15" x14ac:dyDescent="0.25">
      <c r="A10263" t="s">
        <v>227</v>
      </c>
      <c r="B10263" t="s">
        <v>5712</v>
      </c>
      <c r="E10263" s="1496" t="s">
        <v>5721</v>
      </c>
      <c r="F10263" s="1496"/>
      <c r="G10263" s="1496"/>
      <c r="H10263" s="1496"/>
      <c r="K10263" t="s">
        <v>3902</v>
      </c>
      <c r="V10263">
        <v>286</v>
      </c>
    </row>
    <row r="10264" spans="1:22" customFormat="1" ht="15" x14ac:dyDescent="0.25">
      <c r="A10264" t="s">
        <v>227</v>
      </c>
      <c r="B10264" t="s">
        <v>5712</v>
      </c>
      <c r="E10264" s="1533" t="s">
        <v>950</v>
      </c>
      <c r="F10264" s="1496"/>
      <c r="G10264" s="1496"/>
      <c r="H10264" s="1496"/>
      <c r="K10264" t="s">
        <v>3904</v>
      </c>
      <c r="V10264">
        <v>11</v>
      </c>
    </row>
    <row r="10265" spans="1:22" customFormat="1" ht="15" x14ac:dyDescent="0.25">
      <c r="A10265" t="s">
        <v>227</v>
      </c>
      <c r="B10265" t="s">
        <v>5712</v>
      </c>
      <c r="E10265" s="1496" t="s">
        <v>951</v>
      </c>
      <c r="F10265" s="1496"/>
      <c r="G10265" s="1496"/>
      <c r="H10265" s="1496"/>
      <c r="K10265" t="s">
        <v>3902</v>
      </c>
      <c r="V10265">
        <v>280</v>
      </c>
    </row>
    <row r="10266" spans="1:22" customFormat="1" ht="15" x14ac:dyDescent="0.25">
      <c r="A10266" t="s">
        <v>227</v>
      </c>
      <c r="B10266" t="s">
        <v>5712</v>
      </c>
      <c r="E10266" s="1496" t="s">
        <v>952</v>
      </c>
      <c r="F10266" s="1496"/>
      <c r="G10266" s="1496"/>
      <c r="H10266" s="1496"/>
      <c r="K10266" t="s">
        <v>3902</v>
      </c>
      <c r="V10266">
        <v>411</v>
      </c>
    </row>
    <row r="10267" spans="1:22" customFormat="1" ht="15" x14ac:dyDescent="0.25">
      <c r="A10267" t="s">
        <v>227</v>
      </c>
      <c r="B10267" t="s">
        <v>5712</v>
      </c>
      <c r="E10267" s="1496" t="s">
        <v>3761</v>
      </c>
      <c r="F10267" s="1496"/>
      <c r="G10267" s="1496"/>
      <c r="H10267" s="1496"/>
      <c r="K10267" t="s">
        <v>3902</v>
      </c>
      <c r="V10267">
        <v>387</v>
      </c>
    </row>
    <row r="10268" spans="1:22" customFormat="1" ht="15" x14ac:dyDescent="0.25">
      <c r="A10268" t="s">
        <v>227</v>
      </c>
      <c r="B10268" t="s">
        <v>5712</v>
      </c>
      <c r="E10268" s="1496" t="s">
        <v>3762</v>
      </c>
      <c r="F10268" s="1496"/>
      <c r="G10268" s="1496"/>
      <c r="H10268" s="1496"/>
      <c r="K10268" t="s">
        <v>3902</v>
      </c>
      <c r="V10268">
        <v>247</v>
      </c>
    </row>
    <row r="10269" spans="1:22" customFormat="1" ht="15" x14ac:dyDescent="0.25">
      <c r="A10269" t="s">
        <v>227</v>
      </c>
      <c r="B10269" t="s">
        <v>5712</v>
      </c>
      <c r="E10269" s="1533" t="s">
        <v>956</v>
      </c>
      <c r="F10269" s="1496"/>
      <c r="G10269" s="1496"/>
      <c r="H10269" s="1496"/>
      <c r="K10269" t="s">
        <v>3905</v>
      </c>
      <c r="V10269">
        <v>46</v>
      </c>
    </row>
    <row r="10270" spans="1:22" customFormat="1" ht="15" x14ac:dyDescent="0.25">
      <c r="A10270" t="s">
        <v>227</v>
      </c>
      <c r="B10270" t="s">
        <v>5712</v>
      </c>
      <c r="E10270" s="1524" t="s">
        <v>3773</v>
      </c>
      <c r="F10270" s="1524"/>
      <c r="G10270" s="360" t="s">
        <v>777</v>
      </c>
      <c r="H10270" s="576">
        <v>5</v>
      </c>
      <c r="K10270" t="s">
        <v>3902</v>
      </c>
      <c r="L10270" t="s">
        <v>690</v>
      </c>
      <c r="P10270" t="s">
        <v>3906</v>
      </c>
      <c r="V10270">
        <v>14</v>
      </c>
    </row>
    <row r="10271" spans="1:22" customFormat="1" ht="18.75" x14ac:dyDescent="0.25">
      <c r="A10271" t="s">
        <v>227</v>
      </c>
      <c r="B10271" t="s">
        <v>5712</v>
      </c>
      <c r="E10271" s="842" t="s">
        <v>3825</v>
      </c>
      <c r="F10271" s="606"/>
      <c r="G10271" s="606"/>
      <c r="H10271" s="607"/>
      <c r="K10271" t="s">
        <v>5722</v>
      </c>
      <c r="V10271">
        <v>10</v>
      </c>
    </row>
    <row r="10272" spans="1:22" customFormat="1" ht="15" x14ac:dyDescent="0.25">
      <c r="A10272" t="s">
        <v>227</v>
      </c>
      <c r="B10272" t="s">
        <v>5712</v>
      </c>
      <c r="E10272" s="1524" t="s">
        <v>1078</v>
      </c>
      <c r="F10272" s="1524"/>
      <c r="G10272" s="360" t="s">
        <v>3775</v>
      </c>
      <c r="H10272" s="608">
        <v>-0.6</v>
      </c>
      <c r="V10272">
        <v>68</v>
      </c>
    </row>
    <row r="10273" spans="1:22" customFormat="1" ht="15" x14ac:dyDescent="0.25">
      <c r="A10273" t="s">
        <v>227</v>
      </c>
      <c r="B10273" t="s">
        <v>5712</v>
      </c>
      <c r="E10273" s="1524" t="s">
        <v>1079</v>
      </c>
      <c r="F10273" s="1524"/>
      <c r="G10273" s="360" t="s">
        <v>1118</v>
      </c>
      <c r="H10273" s="604">
        <v>-1</v>
      </c>
      <c r="V10273">
        <v>87</v>
      </c>
    </row>
    <row r="10274" spans="1:22" customFormat="1" ht="36" x14ac:dyDescent="0.25">
      <c r="A10274" t="s">
        <v>227</v>
      </c>
      <c r="B10274" t="s">
        <v>5712</v>
      </c>
      <c r="E10274" s="842" t="s">
        <v>3828</v>
      </c>
      <c r="F10274" s="606"/>
      <c r="G10274" s="606"/>
      <c r="H10274" s="607"/>
      <c r="K10274" t="s">
        <v>5723</v>
      </c>
      <c r="V10274">
        <v>24</v>
      </c>
    </row>
    <row r="10275" spans="1:22" customFormat="1" ht="15" x14ac:dyDescent="0.25">
      <c r="A10275" t="s">
        <v>227</v>
      </c>
      <c r="B10275" t="s">
        <v>5712</v>
      </c>
      <c r="E10275" s="1496" t="s">
        <v>951</v>
      </c>
      <c r="F10275" s="1496"/>
      <c r="G10275" s="1496"/>
      <c r="H10275" s="1496"/>
      <c r="V10275">
        <v>280</v>
      </c>
    </row>
    <row r="10276" spans="1:22" customFormat="1" ht="15" x14ac:dyDescent="0.25">
      <c r="A10276" t="s">
        <v>227</v>
      </c>
      <c r="B10276" t="s">
        <v>5712</v>
      </c>
      <c r="E10276" s="1496" t="s">
        <v>1081</v>
      </c>
      <c r="F10276" s="1496"/>
      <c r="G10276" s="1496"/>
      <c r="H10276" s="1496"/>
      <c r="V10276">
        <v>353</v>
      </c>
    </row>
    <row r="10277" spans="1:22" customFormat="1" ht="15" x14ac:dyDescent="0.25">
      <c r="A10277" t="s">
        <v>227</v>
      </c>
      <c r="B10277" t="s">
        <v>5712</v>
      </c>
      <c r="E10277" s="1496" t="s">
        <v>3762</v>
      </c>
      <c r="F10277" s="1496"/>
      <c r="G10277" s="1496"/>
      <c r="H10277" s="1496"/>
      <c r="V10277">
        <v>247</v>
      </c>
    </row>
    <row r="10278" spans="1:22" customFormat="1" ht="15" x14ac:dyDescent="0.25">
      <c r="A10278" t="s">
        <v>227</v>
      </c>
      <c r="B10278" t="s">
        <v>5712</v>
      </c>
      <c r="E10278" s="844" t="s">
        <v>3830</v>
      </c>
      <c r="F10278" s="609"/>
      <c r="G10278" s="609"/>
      <c r="H10278" s="610"/>
      <c r="K10278" t="s">
        <v>5724</v>
      </c>
      <c r="V10278">
        <v>23</v>
      </c>
    </row>
    <row r="10279" spans="1:22" customFormat="1" ht="15" x14ac:dyDescent="0.25">
      <c r="A10279" t="s">
        <v>227</v>
      </c>
      <c r="B10279" t="s">
        <v>5712</v>
      </c>
      <c r="E10279" s="1525" t="s">
        <v>5359</v>
      </c>
      <c r="F10279" s="1525"/>
      <c r="G10279" s="360" t="s">
        <v>777</v>
      </c>
      <c r="H10279" s="604">
        <v>15</v>
      </c>
      <c r="V10279">
        <v>25</v>
      </c>
    </row>
    <row r="10280" spans="1:22" customFormat="1" ht="15" x14ac:dyDescent="0.25">
      <c r="A10280" t="s">
        <v>227</v>
      </c>
      <c r="B10280" t="s">
        <v>5712</v>
      </c>
      <c r="E10280" s="1525" t="s">
        <v>1087</v>
      </c>
      <c r="F10280" s="1525"/>
      <c r="G10280" s="360" t="s">
        <v>777</v>
      </c>
      <c r="H10280" s="604">
        <v>30</v>
      </c>
      <c r="V10280">
        <v>95</v>
      </c>
    </row>
    <row r="10281" spans="1:22" customFormat="1" ht="15" x14ac:dyDescent="0.25">
      <c r="A10281" t="s">
        <v>227</v>
      </c>
      <c r="B10281" t="s">
        <v>5712</v>
      </c>
      <c r="E10281" s="1525" t="s">
        <v>1088</v>
      </c>
      <c r="F10281" s="1525"/>
      <c r="G10281" s="360" t="s">
        <v>777</v>
      </c>
      <c r="H10281" s="604">
        <v>15</v>
      </c>
      <c r="V10281">
        <v>25</v>
      </c>
    </row>
    <row r="10282" spans="1:22" customFormat="1" ht="15" x14ac:dyDescent="0.25">
      <c r="A10282" t="s">
        <v>227</v>
      </c>
      <c r="B10282" t="s">
        <v>5712</v>
      </c>
      <c r="E10282" s="1525" t="s">
        <v>1089</v>
      </c>
      <c r="F10282" s="1525"/>
      <c r="G10282" s="360" t="s">
        <v>777</v>
      </c>
      <c r="H10282" s="604">
        <v>30</v>
      </c>
      <c r="V10282">
        <v>80</v>
      </c>
    </row>
    <row r="10283" spans="1:22" customFormat="1" ht="15" x14ac:dyDescent="0.25">
      <c r="A10283" t="s">
        <v>227</v>
      </c>
      <c r="B10283" t="s">
        <v>5712</v>
      </c>
      <c r="E10283" s="844" t="s">
        <v>4062</v>
      </c>
      <c r="F10283" s="609"/>
      <c r="G10283" s="609"/>
      <c r="H10283" s="610"/>
      <c r="K10283" t="s">
        <v>5725</v>
      </c>
      <c r="V10283">
        <v>22</v>
      </c>
    </row>
    <row r="10284" spans="1:22" customFormat="1" ht="15" x14ac:dyDescent="0.25">
      <c r="A10284" t="s">
        <v>227</v>
      </c>
      <c r="B10284" t="s">
        <v>5712</v>
      </c>
      <c r="E10284" s="1525" t="s">
        <v>5726</v>
      </c>
      <c r="F10284" s="1525"/>
      <c r="G10284" s="360" t="s">
        <v>1118</v>
      </c>
      <c r="H10284" s="604">
        <v>1.5</v>
      </c>
      <c r="V10284">
        <v>111</v>
      </c>
    </row>
    <row r="10285" spans="1:22" customFormat="1" ht="15" x14ac:dyDescent="0.25">
      <c r="A10285" t="s">
        <v>227</v>
      </c>
      <c r="B10285" t="s">
        <v>5712</v>
      </c>
      <c r="E10285" s="1525" t="s">
        <v>1092</v>
      </c>
      <c r="F10285" s="1525"/>
      <c r="G10285" s="360" t="s">
        <v>777</v>
      </c>
      <c r="H10285" s="604">
        <v>65</v>
      </c>
      <c r="V10285">
        <v>50</v>
      </c>
    </row>
    <row r="10286" spans="1:22" customFormat="1" ht="15" x14ac:dyDescent="0.25">
      <c r="A10286" t="s">
        <v>227</v>
      </c>
      <c r="B10286" t="s">
        <v>5712</v>
      </c>
      <c r="E10286" s="1525" t="s">
        <v>1093</v>
      </c>
      <c r="F10286" s="1525"/>
      <c r="G10286" s="360" t="s">
        <v>777</v>
      </c>
      <c r="H10286" s="604">
        <v>185</v>
      </c>
      <c r="V10286">
        <v>49</v>
      </c>
    </row>
    <row r="10287" spans="1:22" customFormat="1" ht="15" x14ac:dyDescent="0.25">
      <c r="A10287" t="s">
        <v>227</v>
      </c>
      <c r="B10287" t="s">
        <v>5712</v>
      </c>
      <c r="E10287" s="1525" t="s">
        <v>1094</v>
      </c>
      <c r="F10287" s="1525"/>
      <c r="G10287" s="360" t="s">
        <v>777</v>
      </c>
      <c r="H10287" s="604">
        <v>185</v>
      </c>
      <c r="V10287">
        <v>49</v>
      </c>
    </row>
    <row r="10288" spans="1:22" customFormat="1" ht="15" x14ac:dyDescent="0.25">
      <c r="A10288" t="s">
        <v>227</v>
      </c>
      <c r="B10288" t="s">
        <v>5712</v>
      </c>
      <c r="E10288" s="844" t="s">
        <v>3846</v>
      </c>
      <c r="F10288" s="611"/>
      <c r="G10288" s="612"/>
      <c r="H10288" s="613"/>
      <c r="V10288">
        <v>5</v>
      </c>
    </row>
    <row r="10289" spans="1:22" customFormat="1" ht="15" x14ac:dyDescent="0.25">
      <c r="A10289" t="s">
        <v>227</v>
      </c>
      <c r="B10289" t="s">
        <v>5712</v>
      </c>
      <c r="E10289" s="1525" t="s">
        <v>5727</v>
      </c>
      <c r="F10289" s="1525"/>
      <c r="G10289" s="360" t="s">
        <v>777</v>
      </c>
      <c r="H10289" s="604">
        <v>39.14</v>
      </c>
      <c r="V10289">
        <v>114</v>
      </c>
    </row>
    <row r="10290" spans="1:22" customFormat="1" x14ac:dyDescent="0.25">
      <c r="A10290" t="s">
        <v>227</v>
      </c>
      <c r="B10290" t="s">
        <v>5712</v>
      </c>
      <c r="E10290" s="1538" t="s">
        <v>3851</v>
      </c>
      <c r="F10290" s="1538"/>
      <c r="G10290" s="1538"/>
      <c r="H10290" s="1538"/>
      <c r="K10290" t="s">
        <v>5728</v>
      </c>
      <c r="V10290">
        <v>38</v>
      </c>
    </row>
    <row r="10291" spans="1:22" customFormat="1" ht="15" x14ac:dyDescent="0.25">
      <c r="A10291" t="s">
        <v>227</v>
      </c>
      <c r="B10291" t="s">
        <v>5712</v>
      </c>
      <c r="E10291" s="1496" t="s">
        <v>951</v>
      </c>
      <c r="F10291" s="1496"/>
      <c r="G10291" s="1496"/>
      <c r="H10291" s="1496"/>
      <c r="V10291">
        <v>280</v>
      </c>
    </row>
    <row r="10292" spans="1:22" customFormat="1" ht="15" x14ac:dyDescent="0.25">
      <c r="A10292" t="s">
        <v>227</v>
      </c>
      <c r="B10292" t="s">
        <v>5712</v>
      </c>
      <c r="E10292" s="1496" t="s">
        <v>952</v>
      </c>
      <c r="F10292" s="1496"/>
      <c r="G10292" s="1496"/>
      <c r="H10292" s="1496"/>
      <c r="V10292">
        <v>411</v>
      </c>
    </row>
    <row r="10293" spans="1:22" customFormat="1" ht="15" x14ac:dyDescent="0.25">
      <c r="A10293" t="s">
        <v>227</v>
      </c>
      <c r="B10293" t="s">
        <v>5712</v>
      </c>
      <c r="E10293" s="1496" t="s">
        <v>1103</v>
      </c>
      <c r="F10293" s="1496"/>
      <c r="G10293" s="1496"/>
      <c r="H10293" s="1496"/>
      <c r="V10293">
        <v>211</v>
      </c>
    </row>
    <row r="10294" spans="1:22" customFormat="1" ht="15" x14ac:dyDescent="0.25">
      <c r="A10294" t="s">
        <v>227</v>
      </c>
      <c r="B10294" t="s">
        <v>5712</v>
      </c>
      <c r="E10294" s="1496" t="s">
        <v>3762</v>
      </c>
      <c r="F10294" s="1496"/>
      <c r="G10294" s="1496"/>
      <c r="H10294" s="1496"/>
      <c r="V10294">
        <v>247</v>
      </c>
    </row>
    <row r="10295" spans="1:22" customFormat="1" ht="15" x14ac:dyDescent="0.25">
      <c r="A10295" t="s">
        <v>227</v>
      </c>
      <c r="B10295" t="s">
        <v>5712</v>
      </c>
      <c r="E10295" s="1496" t="s">
        <v>1104</v>
      </c>
      <c r="F10295" s="1496"/>
      <c r="G10295" s="1496"/>
      <c r="H10295" s="1496"/>
      <c r="V10295">
        <v>142</v>
      </c>
    </row>
    <row r="10296" spans="1:22" customFormat="1" ht="15" x14ac:dyDescent="0.25">
      <c r="A10296" t="s">
        <v>227</v>
      </c>
      <c r="B10296" t="s">
        <v>5712</v>
      </c>
      <c r="E10296" s="1524" t="s">
        <v>849</v>
      </c>
      <c r="F10296" s="1524"/>
      <c r="G10296" s="643" t="s">
        <v>777</v>
      </c>
      <c r="H10296" s="642">
        <v>121.23</v>
      </c>
      <c r="V10296">
        <v>106</v>
      </c>
    </row>
    <row r="10297" spans="1:22" customFormat="1" ht="15" x14ac:dyDescent="0.25">
      <c r="A10297" t="s">
        <v>227</v>
      </c>
      <c r="B10297" t="s">
        <v>5712</v>
      </c>
      <c r="E10297" s="1524" t="s">
        <v>850</v>
      </c>
      <c r="F10297" s="1524"/>
      <c r="G10297" s="643" t="s">
        <v>777</v>
      </c>
      <c r="H10297" s="642">
        <v>48.5</v>
      </c>
      <c r="V10297">
        <v>34</v>
      </c>
    </row>
    <row r="10298" spans="1:22" customFormat="1" ht="15" x14ac:dyDescent="0.25">
      <c r="A10298" t="s">
        <v>227</v>
      </c>
      <c r="B10298" t="s">
        <v>5712</v>
      </c>
      <c r="E10298" s="1524" t="s">
        <v>851</v>
      </c>
      <c r="F10298" s="1524"/>
      <c r="G10298" s="643" t="s">
        <v>852</v>
      </c>
      <c r="H10298" s="642">
        <v>1.2</v>
      </c>
      <c r="V10298">
        <v>51</v>
      </c>
    </row>
    <row r="10299" spans="1:22" customFormat="1" ht="15" x14ac:dyDescent="0.25">
      <c r="A10299" t="s">
        <v>227</v>
      </c>
      <c r="B10299" t="s">
        <v>5712</v>
      </c>
      <c r="E10299" s="1524" t="s">
        <v>853</v>
      </c>
      <c r="F10299" s="1524"/>
      <c r="G10299" s="643" t="s">
        <v>852</v>
      </c>
      <c r="H10299" s="642">
        <v>0.71</v>
      </c>
      <c r="V10299">
        <v>75</v>
      </c>
    </row>
    <row r="10300" spans="1:22" customFormat="1" ht="15" x14ac:dyDescent="0.25">
      <c r="A10300" t="s">
        <v>227</v>
      </c>
      <c r="B10300" t="s">
        <v>5712</v>
      </c>
      <c r="E10300" s="1524" t="s">
        <v>854</v>
      </c>
      <c r="F10300" s="1524"/>
      <c r="G10300" s="643" t="s">
        <v>852</v>
      </c>
      <c r="H10300" s="642">
        <v>-0.71</v>
      </c>
      <c r="V10300">
        <v>72</v>
      </c>
    </row>
    <row r="10301" spans="1:22" customFormat="1" ht="15" x14ac:dyDescent="0.25">
      <c r="A10301" t="s">
        <v>227</v>
      </c>
      <c r="B10301" t="s">
        <v>5712</v>
      </c>
      <c r="E10301" s="1524" t="s">
        <v>855</v>
      </c>
      <c r="F10301" s="1524"/>
      <c r="G10301" s="643"/>
      <c r="H10301" s="644"/>
      <c r="V10301">
        <v>34</v>
      </c>
    </row>
    <row r="10302" spans="1:22" customFormat="1" ht="15" x14ac:dyDescent="0.25">
      <c r="A10302" t="s">
        <v>227</v>
      </c>
      <c r="B10302" t="s">
        <v>5712</v>
      </c>
      <c r="E10302" s="1557" t="s">
        <v>1106</v>
      </c>
      <c r="F10302" s="1557"/>
      <c r="G10302" s="643" t="s">
        <v>777</v>
      </c>
      <c r="H10302" s="642">
        <v>0.61</v>
      </c>
      <c r="V10302">
        <v>57</v>
      </c>
    </row>
    <row r="10303" spans="1:22" customFormat="1" ht="15" x14ac:dyDescent="0.25">
      <c r="A10303" t="s">
        <v>227</v>
      </c>
      <c r="B10303" t="s">
        <v>5712</v>
      </c>
      <c r="E10303" s="1557" t="s">
        <v>1107</v>
      </c>
      <c r="F10303" s="1557"/>
      <c r="G10303" s="643" t="s">
        <v>777</v>
      </c>
      <c r="H10303" s="642">
        <v>1.2</v>
      </c>
      <c r="V10303">
        <v>60</v>
      </c>
    </row>
    <row r="10304" spans="1:22" customFormat="1" ht="15" x14ac:dyDescent="0.25">
      <c r="A10304" t="s">
        <v>227</v>
      </c>
      <c r="B10304" t="s">
        <v>5712</v>
      </c>
      <c r="E10304" s="1524" t="s">
        <v>1108</v>
      </c>
      <c r="F10304" s="1524"/>
      <c r="G10304" s="615"/>
      <c r="H10304" s="616"/>
      <c r="V10304">
        <v>91</v>
      </c>
    </row>
    <row r="10305" spans="1:22" customFormat="1" ht="15" x14ac:dyDescent="0.25">
      <c r="A10305" t="s">
        <v>227</v>
      </c>
      <c r="B10305" t="s">
        <v>5712</v>
      </c>
      <c r="E10305" s="1524" t="s">
        <v>1109</v>
      </c>
      <c r="F10305" s="1524"/>
      <c r="G10305" s="615"/>
      <c r="H10305" s="616"/>
      <c r="V10305">
        <v>96</v>
      </c>
    </row>
    <row r="10306" spans="1:22" customFormat="1" ht="15" x14ac:dyDescent="0.25">
      <c r="A10306" t="s">
        <v>227</v>
      </c>
      <c r="B10306" t="s">
        <v>5712</v>
      </c>
      <c r="E10306" s="1524" t="s">
        <v>856</v>
      </c>
      <c r="F10306" s="1524"/>
      <c r="G10306" s="615"/>
      <c r="H10306" s="616"/>
      <c r="V10306">
        <v>77</v>
      </c>
    </row>
    <row r="10307" spans="1:22" customFormat="1" ht="15" x14ac:dyDescent="0.25">
      <c r="A10307" t="s">
        <v>227</v>
      </c>
      <c r="B10307" t="s">
        <v>5712</v>
      </c>
      <c r="E10307" s="1557" t="s">
        <v>1111</v>
      </c>
      <c r="F10307" s="1557"/>
      <c r="G10307" s="615" t="s">
        <v>777</v>
      </c>
      <c r="H10307" s="616" t="s">
        <v>857</v>
      </c>
      <c r="V10307">
        <v>18</v>
      </c>
    </row>
    <row r="10308" spans="1:22" customFormat="1" ht="15" x14ac:dyDescent="0.25">
      <c r="A10308" t="s">
        <v>227</v>
      </c>
      <c r="B10308" t="s">
        <v>5712</v>
      </c>
      <c r="E10308" s="1557" t="s">
        <v>1112</v>
      </c>
      <c r="F10308" s="1557"/>
      <c r="G10308" s="615" t="s">
        <v>777</v>
      </c>
      <c r="H10308" s="604">
        <v>4.8499999999999996</v>
      </c>
      <c r="V10308">
        <v>69</v>
      </c>
    </row>
    <row r="10309" spans="1:22" customFormat="1" ht="15" x14ac:dyDescent="0.25">
      <c r="A10309" t="s">
        <v>227</v>
      </c>
      <c r="B10309" t="s">
        <v>5712</v>
      </c>
      <c r="E10309" s="1524" t="s">
        <v>858</v>
      </c>
      <c r="F10309" s="1524"/>
      <c r="G10309" s="615" t="s">
        <v>777</v>
      </c>
      <c r="H10309" s="604">
        <v>2.42</v>
      </c>
      <c r="V10309">
        <v>199</v>
      </c>
    </row>
    <row r="10310" spans="1:22" customFormat="1" ht="18.75" x14ac:dyDescent="0.25">
      <c r="A10310" t="s">
        <v>227</v>
      </c>
      <c r="B10310" t="s">
        <v>5712</v>
      </c>
      <c r="E10310" s="842" t="s">
        <v>3853</v>
      </c>
      <c r="F10310" s="606"/>
      <c r="G10310" s="606"/>
      <c r="H10310" s="607"/>
      <c r="K10310" t="s">
        <v>5729</v>
      </c>
      <c r="V10310">
        <v>12</v>
      </c>
    </row>
    <row r="10311" spans="1:22" customFormat="1" ht="15" x14ac:dyDescent="0.25">
      <c r="A10311" t="s">
        <v>227</v>
      </c>
      <c r="B10311" t="s">
        <v>5712</v>
      </c>
      <c r="E10311" s="1524" t="s">
        <v>1114</v>
      </c>
      <c r="F10311" s="1524"/>
      <c r="G10311" s="1524"/>
      <c r="H10311" s="1524"/>
      <c r="V10311">
        <v>203</v>
      </c>
    </row>
    <row r="10312" spans="1:22" customFormat="1" ht="15" x14ac:dyDescent="0.25">
      <c r="A10312" t="s">
        <v>227</v>
      </c>
      <c r="B10312" t="s">
        <v>5712</v>
      </c>
      <c r="E10312" s="1524" t="s">
        <v>1115</v>
      </c>
      <c r="F10312" s="1524"/>
      <c r="G10312" s="360"/>
      <c r="H10312" s="616">
        <v>1.0467</v>
      </c>
      <c r="V10312">
        <v>57</v>
      </c>
    </row>
    <row r="10313" spans="1:22" customFormat="1" ht="15" x14ac:dyDescent="0.25">
      <c r="A10313" t="s">
        <v>227</v>
      </c>
      <c r="B10313" t="s">
        <v>5712</v>
      </c>
      <c r="E10313" s="1524" t="s">
        <v>4072</v>
      </c>
      <c r="F10313" s="1524"/>
      <c r="G10313" s="360"/>
      <c r="H10313" s="616">
        <v>1.0145</v>
      </c>
      <c r="V10313">
        <v>57</v>
      </c>
    </row>
    <row r="10314" spans="1:22" customFormat="1" ht="15" x14ac:dyDescent="0.25">
      <c r="A10314" t="s">
        <v>227</v>
      </c>
      <c r="B10314" t="s">
        <v>5712</v>
      </c>
      <c r="E10314" s="1524" t="s">
        <v>1117</v>
      </c>
      <c r="F10314" s="1524"/>
      <c r="G10314" s="360"/>
      <c r="H10314" s="616">
        <v>1.0362</v>
      </c>
      <c r="V10314">
        <v>55</v>
      </c>
    </row>
    <row r="10315" spans="1:22" customFormat="1" ht="15" x14ac:dyDescent="0.25">
      <c r="A10315" t="s">
        <v>227</v>
      </c>
      <c r="B10315" t="s">
        <v>5712</v>
      </c>
      <c r="E10315" s="1524" t="s">
        <v>4073</v>
      </c>
      <c r="F10315" s="1524"/>
      <c r="G10315" s="360"/>
      <c r="H10315" s="616">
        <v>1.0044999999999999</v>
      </c>
      <c r="J10315" t="s">
        <v>5730</v>
      </c>
      <c r="V10315">
        <v>55</v>
      </c>
    </row>
    <row r="10316" spans="1:22" customFormat="1" ht="23.25" x14ac:dyDescent="0.25">
      <c r="A10316" t="s">
        <v>227</v>
      </c>
      <c r="B10316" t="s">
        <v>5731</v>
      </c>
      <c r="C10316" t="s">
        <v>3755</v>
      </c>
      <c r="E10316" s="1550" t="s">
        <v>227</v>
      </c>
      <c r="F10316" s="1550"/>
      <c r="G10316" s="1550"/>
      <c r="H10316" s="1550"/>
      <c r="I10316" t="s">
        <v>94</v>
      </c>
      <c r="J10316" t="s">
        <v>5732</v>
      </c>
      <c r="K10316" t="s">
        <v>227</v>
      </c>
      <c r="M10316">
        <v>10</v>
      </c>
      <c r="V10316">
        <v>22</v>
      </c>
    </row>
    <row r="10317" spans="1:22" customFormat="1" ht="23.25" x14ac:dyDescent="0.25">
      <c r="A10317" t="s">
        <v>227</v>
      </c>
      <c r="B10317" t="s">
        <v>5731</v>
      </c>
      <c r="C10317" t="s">
        <v>3757</v>
      </c>
      <c r="E10317" s="1550" t="s">
        <v>211</v>
      </c>
      <c r="F10317" s="1550"/>
      <c r="G10317" s="1550"/>
      <c r="H10317" s="1550"/>
      <c r="V10317">
        <v>14</v>
      </c>
    </row>
    <row r="10318" spans="1:22" customFormat="1" x14ac:dyDescent="0.25">
      <c r="A10318" t="s">
        <v>227</v>
      </c>
      <c r="B10318" t="s">
        <v>5731</v>
      </c>
      <c r="C10318" t="s">
        <v>3758</v>
      </c>
      <c r="E10318" s="1551" t="s">
        <v>944</v>
      </c>
      <c r="F10318" s="1551"/>
      <c r="G10318" s="1551"/>
      <c r="H10318" s="1551"/>
      <c r="V10318">
        <v>27</v>
      </c>
    </row>
    <row r="10319" spans="1:22" customFormat="1" ht="15.75" x14ac:dyDescent="0.25">
      <c r="A10319" t="s">
        <v>227</v>
      </c>
      <c r="B10319" t="s">
        <v>5731</v>
      </c>
      <c r="C10319" t="s">
        <v>3759</v>
      </c>
      <c r="E10319" s="1543" t="s">
        <v>6847</v>
      </c>
      <c r="F10319" s="1543"/>
      <c r="G10319" s="1543"/>
      <c r="H10319" s="1543"/>
      <c r="S10319">
        <v>45778</v>
      </c>
      <c r="V10319">
        <v>45</v>
      </c>
    </row>
    <row r="10320" spans="1:22" customFormat="1" ht="15" x14ac:dyDescent="0.25">
      <c r="A10320" t="s">
        <v>227</v>
      </c>
      <c r="B10320" t="s">
        <v>5731</v>
      </c>
      <c r="E10320" s="1544" t="s">
        <v>945</v>
      </c>
      <c r="F10320" s="1544"/>
      <c r="G10320" s="1544"/>
      <c r="H10320" s="1544"/>
      <c r="V10320">
        <v>52</v>
      </c>
    </row>
    <row r="10321" spans="1:22" customFormat="1" ht="15" x14ac:dyDescent="0.25">
      <c r="A10321" t="s">
        <v>227</v>
      </c>
      <c r="B10321" t="s">
        <v>5731</v>
      </c>
      <c r="E10321" s="1544" t="s">
        <v>946</v>
      </c>
      <c r="F10321" s="1544"/>
      <c r="G10321" s="1544"/>
      <c r="H10321" s="1544"/>
      <c r="V10321">
        <v>53</v>
      </c>
    </row>
    <row r="10322" spans="1:22" customFormat="1" ht="15" x14ac:dyDescent="0.25">
      <c r="A10322" t="s">
        <v>227</v>
      </c>
      <c r="B10322" t="s">
        <v>5731</v>
      </c>
      <c r="E10322" s="1513" t="s">
        <v>6935</v>
      </c>
      <c r="F10322" s="1513"/>
      <c r="G10322" s="1513"/>
      <c r="H10322" s="1513"/>
      <c r="K10322" t="s">
        <v>6935</v>
      </c>
      <c r="V10322">
        <v>12</v>
      </c>
    </row>
    <row r="10323" spans="1:22" customFormat="1" ht="15" x14ac:dyDescent="0.25">
      <c r="A10323" t="s">
        <v>227</v>
      </c>
      <c r="B10323" t="s">
        <v>5731</v>
      </c>
      <c r="E10323" s="1492" t="s">
        <v>170</v>
      </c>
      <c r="F10323" s="1516"/>
      <c r="G10323" s="1516"/>
      <c r="H10323" s="1516"/>
      <c r="K10323" t="s">
        <v>947</v>
      </c>
      <c r="V10323">
        <v>34</v>
      </c>
    </row>
    <row r="10324" spans="1:22" customFormat="1" ht="15" x14ac:dyDescent="0.25">
      <c r="A10324" t="s">
        <v>227</v>
      </c>
      <c r="B10324" t="s">
        <v>5731</v>
      </c>
      <c r="E10324" s="1516" t="s">
        <v>5714</v>
      </c>
      <c r="F10324" s="1516"/>
      <c r="G10324" s="1516"/>
      <c r="H10324" s="1516"/>
      <c r="K10324" t="s">
        <v>947</v>
      </c>
      <c r="V10324">
        <v>263</v>
      </c>
    </row>
    <row r="10325" spans="1:22" customFormat="1" ht="15" x14ac:dyDescent="0.25">
      <c r="A10325" t="s">
        <v>227</v>
      </c>
      <c r="B10325" t="s">
        <v>5731</v>
      </c>
      <c r="E10325" s="1515" t="s">
        <v>950</v>
      </c>
      <c r="F10325" s="1516"/>
      <c r="G10325" s="1516"/>
      <c r="H10325" s="1516"/>
      <c r="K10325" t="s">
        <v>949</v>
      </c>
      <c r="V10325">
        <v>11</v>
      </c>
    </row>
    <row r="10326" spans="1:22" customFormat="1" ht="15" x14ac:dyDescent="0.25">
      <c r="A10326" t="s">
        <v>227</v>
      </c>
      <c r="B10326" t="s">
        <v>5731</v>
      </c>
      <c r="E10326" s="1516" t="s">
        <v>951</v>
      </c>
      <c r="F10326" s="1516"/>
      <c r="G10326" s="1516"/>
      <c r="H10326" s="1516"/>
      <c r="K10326" t="s">
        <v>947</v>
      </c>
      <c r="V10326">
        <v>280</v>
      </c>
    </row>
    <row r="10327" spans="1:22" customFormat="1" ht="15" x14ac:dyDescent="0.25">
      <c r="A10327" t="s">
        <v>227</v>
      </c>
      <c r="B10327" t="s">
        <v>5731</v>
      </c>
      <c r="E10327" s="1516" t="s">
        <v>952</v>
      </c>
      <c r="F10327" s="1516"/>
      <c r="G10327" s="1516"/>
      <c r="H10327" s="1516"/>
      <c r="K10327" t="s">
        <v>947</v>
      </c>
      <c r="V10327">
        <v>411</v>
      </c>
    </row>
    <row r="10328" spans="1:22" customFormat="1" ht="15" x14ac:dyDescent="0.25">
      <c r="A10328" t="s">
        <v>227</v>
      </c>
      <c r="B10328" t="s">
        <v>5731</v>
      </c>
      <c r="E10328" s="1516" t="s">
        <v>5733</v>
      </c>
      <c r="F10328" s="1516"/>
      <c r="G10328" s="1516"/>
      <c r="H10328" s="1516"/>
      <c r="K10328" t="s">
        <v>947</v>
      </c>
      <c r="V10328">
        <v>388</v>
      </c>
    </row>
    <row r="10329" spans="1:22" customFormat="1" ht="15" x14ac:dyDescent="0.25">
      <c r="A10329" t="s">
        <v>227</v>
      </c>
      <c r="B10329" t="s">
        <v>5731</v>
      </c>
      <c r="E10329" s="1516" t="s">
        <v>3762</v>
      </c>
      <c r="F10329" s="1516"/>
      <c r="G10329" s="1516"/>
      <c r="H10329" s="1516"/>
      <c r="K10329" t="s">
        <v>947</v>
      </c>
      <c r="V10329">
        <v>247</v>
      </c>
    </row>
    <row r="10330" spans="1:22" customFormat="1" ht="15" x14ac:dyDescent="0.25">
      <c r="A10330" t="s">
        <v>227</v>
      </c>
      <c r="B10330" t="s">
        <v>5731</v>
      </c>
      <c r="E10330" s="1515" t="s">
        <v>956</v>
      </c>
      <c r="F10330" s="1516"/>
      <c r="G10330" s="1516"/>
      <c r="H10330" s="1516"/>
      <c r="K10330" t="s">
        <v>955</v>
      </c>
      <c r="V10330">
        <v>46</v>
      </c>
    </row>
    <row r="10331" spans="1:22" customFormat="1" ht="15" x14ac:dyDescent="0.25">
      <c r="A10331" t="s">
        <v>227</v>
      </c>
      <c r="B10331" t="s">
        <v>5731</v>
      </c>
      <c r="E10331" s="1507" t="s">
        <v>3773</v>
      </c>
      <c r="F10331" s="1507"/>
      <c r="G10331" s="360" t="s">
        <v>777</v>
      </c>
      <c r="H10331" s="576">
        <v>37.56</v>
      </c>
      <c r="K10331" t="s">
        <v>947</v>
      </c>
      <c r="L10331" t="s">
        <v>690</v>
      </c>
      <c r="P10331" t="s">
        <v>957</v>
      </c>
      <c r="V10331">
        <v>14</v>
      </c>
    </row>
    <row r="10332" spans="1:22" customFormat="1" ht="15" x14ac:dyDescent="0.25">
      <c r="A10332" t="s">
        <v>227</v>
      </c>
      <c r="B10332" t="s">
        <v>5731</v>
      </c>
      <c r="E10332" s="1507" t="s">
        <v>960</v>
      </c>
      <c r="F10332" s="1507"/>
      <c r="G10332" s="360" t="s">
        <v>777</v>
      </c>
      <c r="H10332" s="576">
        <v>0.42</v>
      </c>
      <c r="K10332" t="s">
        <v>947</v>
      </c>
      <c r="L10332" t="s">
        <v>692</v>
      </c>
      <c r="P10332" t="s">
        <v>959</v>
      </c>
      <c r="V10332">
        <v>64</v>
      </c>
    </row>
    <row r="10333" spans="1:22" customFormat="1" ht="15" x14ac:dyDescent="0.25">
      <c r="A10333" t="s">
        <v>227</v>
      </c>
      <c r="B10333" t="s">
        <v>5731</v>
      </c>
      <c r="E10333" s="1507" t="s">
        <v>910</v>
      </c>
      <c r="F10333" s="1507"/>
      <c r="G10333" s="360" t="s">
        <v>845</v>
      </c>
      <c r="H10333" s="577">
        <v>3.0000000000000001E-3</v>
      </c>
      <c r="K10333" t="s">
        <v>947</v>
      </c>
      <c r="L10333" t="s">
        <v>692</v>
      </c>
      <c r="P10333" t="s">
        <v>961</v>
      </c>
      <c r="V10333">
        <v>24</v>
      </c>
    </row>
    <row r="10334" spans="1:22" customFormat="1" ht="15" x14ac:dyDescent="0.25">
      <c r="A10334" t="s">
        <v>227</v>
      </c>
      <c r="B10334" t="s">
        <v>5731</v>
      </c>
      <c r="E10334" s="1507" t="s">
        <v>6849</v>
      </c>
      <c r="F10334" s="1510"/>
      <c r="G10334" s="360" t="s">
        <v>845</v>
      </c>
      <c r="H10334" s="577">
        <v>9.2999999999999992E-3</v>
      </c>
      <c r="K10334" t="s">
        <v>947</v>
      </c>
      <c r="L10334" t="s">
        <v>692</v>
      </c>
      <c r="P10334" t="s">
        <v>962</v>
      </c>
      <c r="T10334">
        <v>46142</v>
      </c>
      <c r="V10334">
        <v>139</v>
      </c>
    </row>
    <row r="10335" spans="1:22" customFormat="1" ht="15" x14ac:dyDescent="0.25">
      <c r="A10335" t="s">
        <v>227</v>
      </c>
      <c r="B10335" t="s">
        <v>5731</v>
      </c>
      <c r="E10335" s="1507" t="s">
        <v>6850</v>
      </c>
      <c r="F10335" s="1510"/>
      <c r="G10335" s="360" t="s">
        <v>845</v>
      </c>
      <c r="H10335" s="577">
        <v>-6.9999999999999999E-4</v>
      </c>
      <c r="K10335" t="s">
        <v>947</v>
      </c>
      <c r="L10335" t="s">
        <v>692</v>
      </c>
      <c r="P10335" t="s">
        <v>963</v>
      </c>
      <c r="T10335">
        <v>46142</v>
      </c>
      <c r="V10335">
        <v>96</v>
      </c>
    </row>
    <row r="10336" spans="1:22" customFormat="1" ht="15" x14ac:dyDescent="0.25">
      <c r="A10336" t="s">
        <v>227</v>
      </c>
      <c r="B10336" t="s">
        <v>5731</v>
      </c>
      <c r="E10336" s="1507" t="s">
        <v>6853</v>
      </c>
      <c r="F10336" s="1510"/>
      <c r="G10336" s="360" t="s">
        <v>845</v>
      </c>
      <c r="H10336" s="577">
        <v>2.0000000000000001E-4</v>
      </c>
      <c r="K10336" t="s">
        <v>947</v>
      </c>
      <c r="L10336" t="s">
        <v>692</v>
      </c>
      <c r="P10336" t="s">
        <v>3764</v>
      </c>
      <c r="T10336">
        <v>46142</v>
      </c>
      <c r="V10336">
        <v>146</v>
      </c>
    </row>
    <row r="10337" spans="1:22" customFormat="1" ht="15" x14ac:dyDescent="0.25">
      <c r="A10337" t="s">
        <v>227</v>
      </c>
      <c r="B10337" t="s">
        <v>5731</v>
      </c>
      <c r="E10337" s="1507" t="s">
        <v>5734</v>
      </c>
      <c r="F10337" s="1507"/>
      <c r="G10337" s="360" t="s">
        <v>845</v>
      </c>
      <c r="H10337" s="577">
        <v>2.2000000000000001E-3</v>
      </c>
      <c r="K10337" t="s">
        <v>947</v>
      </c>
      <c r="L10337" t="s">
        <v>692</v>
      </c>
      <c r="P10337" t="s">
        <v>963</v>
      </c>
      <c r="T10337">
        <v>46142</v>
      </c>
      <c r="V10337">
        <v>134</v>
      </c>
    </row>
    <row r="10338" spans="1:22" customFormat="1" ht="15" x14ac:dyDescent="0.25">
      <c r="A10338" t="s">
        <v>227</v>
      </c>
      <c r="B10338" t="s">
        <v>5731</v>
      </c>
      <c r="E10338" s="1507" t="s">
        <v>243</v>
      </c>
      <c r="F10338" s="1507"/>
      <c r="G10338" s="360" t="s">
        <v>845</v>
      </c>
      <c r="H10338" s="577">
        <v>0.01</v>
      </c>
      <c r="K10338" t="s">
        <v>947</v>
      </c>
      <c r="L10338" t="s">
        <v>694</v>
      </c>
      <c r="P10338" t="s">
        <v>964</v>
      </c>
      <c r="V10338">
        <v>47</v>
      </c>
    </row>
    <row r="10339" spans="1:22" customFormat="1" ht="15" x14ac:dyDescent="0.25">
      <c r="A10339" t="s">
        <v>227</v>
      </c>
      <c r="B10339" t="s">
        <v>5731</v>
      </c>
      <c r="E10339" s="1507" t="s">
        <v>175</v>
      </c>
      <c r="F10339" s="1507"/>
      <c r="G10339" s="360" t="s">
        <v>845</v>
      </c>
      <c r="H10339" s="577">
        <v>8.3999999999999995E-3</v>
      </c>
      <c r="K10339" t="s">
        <v>947</v>
      </c>
      <c r="L10339" t="s">
        <v>694</v>
      </c>
      <c r="P10339" t="s">
        <v>965</v>
      </c>
      <c r="V10339">
        <v>74</v>
      </c>
    </row>
    <row r="10340" spans="1:22" customFormat="1" ht="15" x14ac:dyDescent="0.25">
      <c r="A10340" t="s">
        <v>227</v>
      </c>
      <c r="B10340" t="s">
        <v>5731</v>
      </c>
      <c r="E10340" s="1515" t="s">
        <v>967</v>
      </c>
      <c r="F10340" s="1507"/>
      <c r="G10340" s="584"/>
      <c r="H10340" s="584"/>
      <c r="K10340" t="s">
        <v>966</v>
      </c>
      <c r="V10340">
        <v>48</v>
      </c>
    </row>
    <row r="10341" spans="1:22" customFormat="1" ht="15" x14ac:dyDescent="0.25">
      <c r="A10341" t="s">
        <v>227</v>
      </c>
      <c r="B10341" t="s">
        <v>5731</v>
      </c>
      <c r="E10341" s="1526" t="s">
        <v>844</v>
      </c>
      <c r="F10341" s="1507"/>
      <c r="G10341" s="360" t="s">
        <v>845</v>
      </c>
      <c r="H10341" s="577">
        <v>4.1000000000000003E-3</v>
      </c>
      <c r="K10341" t="s">
        <v>947</v>
      </c>
      <c r="L10341" t="s">
        <v>968</v>
      </c>
      <c r="P10341" t="s">
        <v>969</v>
      </c>
      <c r="V10341">
        <v>55</v>
      </c>
    </row>
    <row r="10342" spans="1:22" customFormat="1" ht="15" x14ac:dyDescent="0.25">
      <c r="A10342" t="s">
        <v>227</v>
      </c>
      <c r="B10342" t="s">
        <v>5731</v>
      </c>
      <c r="E10342" s="1507" t="s">
        <v>846</v>
      </c>
      <c r="F10342" s="1507"/>
      <c r="G10342" s="360" t="s">
        <v>845</v>
      </c>
      <c r="H10342" s="577">
        <v>4.0000000000000002E-4</v>
      </c>
      <c r="K10342" t="s">
        <v>947</v>
      </c>
      <c r="L10342" t="s">
        <v>968</v>
      </c>
      <c r="P10342" t="s">
        <v>969</v>
      </c>
      <c r="V10342">
        <v>65</v>
      </c>
    </row>
    <row r="10343" spans="1:22" customFormat="1" ht="15" x14ac:dyDescent="0.25">
      <c r="A10343" t="s">
        <v>227</v>
      </c>
      <c r="B10343" t="s">
        <v>5731</v>
      </c>
      <c r="E10343" s="1507" t="s">
        <v>847</v>
      </c>
      <c r="F10343" s="1507"/>
      <c r="G10343" s="360" t="s">
        <v>845</v>
      </c>
      <c r="H10343" s="577">
        <v>1.5E-3</v>
      </c>
      <c r="K10343" t="s">
        <v>947</v>
      </c>
      <c r="L10343" t="s">
        <v>968</v>
      </c>
      <c r="P10343" t="s">
        <v>970</v>
      </c>
      <c r="V10343">
        <v>57</v>
      </c>
    </row>
    <row r="10344" spans="1:22" customFormat="1" ht="15" x14ac:dyDescent="0.25">
      <c r="A10344" t="s">
        <v>227</v>
      </c>
      <c r="B10344" t="s">
        <v>5731</v>
      </c>
      <c r="E10344" s="1507" t="s">
        <v>848</v>
      </c>
      <c r="F10344" s="1507"/>
      <c r="G10344" s="360" t="s">
        <v>777</v>
      </c>
      <c r="H10344" s="576">
        <v>0.25</v>
      </c>
      <c r="K10344" t="s">
        <v>947</v>
      </c>
      <c r="L10344" t="s">
        <v>968</v>
      </c>
      <c r="P10344" t="s">
        <v>971</v>
      </c>
      <c r="V10344">
        <v>63</v>
      </c>
    </row>
    <row r="10345" spans="1:22" customFormat="1" x14ac:dyDescent="0.25">
      <c r="A10345" t="s">
        <v>227</v>
      </c>
      <c r="B10345" t="s">
        <v>5731</v>
      </c>
      <c r="E10345" s="1492" t="s">
        <v>174</v>
      </c>
      <c r="F10345" s="1493"/>
      <c r="G10345" s="1493"/>
      <c r="H10345" s="1493"/>
      <c r="K10345" t="s">
        <v>972</v>
      </c>
      <c r="V10345">
        <v>54</v>
      </c>
    </row>
    <row r="10346" spans="1:22" customFormat="1" ht="15" x14ac:dyDescent="0.25">
      <c r="A10346" t="s">
        <v>227</v>
      </c>
      <c r="B10346" t="s">
        <v>5731</v>
      </c>
      <c r="E10346" s="1516" t="s">
        <v>5735</v>
      </c>
      <c r="F10346" s="1516"/>
      <c r="G10346" s="1516"/>
      <c r="H10346" s="1516"/>
      <c r="K10346" t="s">
        <v>972</v>
      </c>
      <c r="V10346">
        <v>563</v>
      </c>
    </row>
    <row r="10347" spans="1:22" customFormat="1" ht="15" x14ac:dyDescent="0.25">
      <c r="A10347" t="s">
        <v>227</v>
      </c>
      <c r="B10347" t="s">
        <v>5731</v>
      </c>
      <c r="E10347" s="1515" t="s">
        <v>950</v>
      </c>
      <c r="F10347" s="1516"/>
      <c r="G10347" s="1516"/>
      <c r="H10347" s="1516"/>
      <c r="K10347" t="s">
        <v>974</v>
      </c>
      <c r="V10347">
        <v>11</v>
      </c>
    </row>
    <row r="10348" spans="1:22" customFormat="1" ht="15" x14ac:dyDescent="0.25">
      <c r="A10348" t="s">
        <v>227</v>
      </c>
      <c r="B10348" t="s">
        <v>5731</v>
      </c>
      <c r="E10348" s="1516" t="s">
        <v>951</v>
      </c>
      <c r="F10348" s="1516"/>
      <c r="G10348" s="1516"/>
      <c r="H10348" s="1516"/>
      <c r="K10348" t="s">
        <v>972</v>
      </c>
      <c r="V10348">
        <v>280</v>
      </c>
    </row>
    <row r="10349" spans="1:22" customFormat="1" ht="15" x14ac:dyDescent="0.25">
      <c r="A10349" t="s">
        <v>227</v>
      </c>
      <c r="B10349" t="s">
        <v>5731</v>
      </c>
      <c r="E10349" s="1516" t="s">
        <v>952</v>
      </c>
      <c r="F10349" s="1516"/>
      <c r="G10349" s="1516"/>
      <c r="H10349" s="1516"/>
      <c r="K10349" t="s">
        <v>972</v>
      </c>
      <c r="V10349">
        <v>411</v>
      </c>
    </row>
    <row r="10350" spans="1:22" customFormat="1" ht="15" x14ac:dyDescent="0.25">
      <c r="A10350" t="s">
        <v>227</v>
      </c>
      <c r="B10350" t="s">
        <v>5731</v>
      </c>
      <c r="E10350" s="1516" t="s">
        <v>5733</v>
      </c>
      <c r="F10350" s="1516"/>
      <c r="G10350" s="1516"/>
      <c r="H10350" s="1516"/>
      <c r="K10350" t="s">
        <v>972</v>
      </c>
      <c r="V10350">
        <v>388</v>
      </c>
    </row>
    <row r="10351" spans="1:22" customFormat="1" ht="15" x14ac:dyDescent="0.25">
      <c r="A10351" t="s">
        <v>227</v>
      </c>
      <c r="B10351" t="s">
        <v>5731</v>
      </c>
      <c r="E10351" s="1516" t="s">
        <v>3762</v>
      </c>
      <c r="F10351" s="1516"/>
      <c r="G10351" s="1516"/>
      <c r="H10351" s="1516"/>
      <c r="K10351" t="s">
        <v>972</v>
      </c>
      <c r="V10351">
        <v>247</v>
      </c>
    </row>
    <row r="10352" spans="1:22" customFormat="1" ht="15" x14ac:dyDescent="0.25">
      <c r="A10352" t="s">
        <v>227</v>
      </c>
      <c r="B10352" t="s">
        <v>5731</v>
      </c>
      <c r="E10352" s="1515" t="s">
        <v>956</v>
      </c>
      <c r="F10352" s="1516"/>
      <c r="G10352" s="1516"/>
      <c r="H10352" s="1516"/>
      <c r="K10352" t="s">
        <v>975</v>
      </c>
      <c r="V10352">
        <v>46</v>
      </c>
    </row>
    <row r="10353" spans="1:22" customFormat="1" ht="15" x14ac:dyDescent="0.25">
      <c r="A10353" t="s">
        <v>227</v>
      </c>
      <c r="B10353" t="s">
        <v>5731</v>
      </c>
      <c r="E10353" s="1507" t="s">
        <v>3773</v>
      </c>
      <c r="F10353" s="1507"/>
      <c r="G10353" s="360" t="s">
        <v>777</v>
      </c>
      <c r="H10353" s="576">
        <v>26.8</v>
      </c>
      <c r="K10353" t="s">
        <v>972</v>
      </c>
      <c r="L10353" t="s">
        <v>690</v>
      </c>
      <c r="P10353" t="s">
        <v>976</v>
      </c>
      <c r="V10353">
        <v>14</v>
      </c>
    </row>
    <row r="10354" spans="1:22" customFormat="1" ht="15" x14ac:dyDescent="0.25">
      <c r="A10354" t="s">
        <v>227</v>
      </c>
      <c r="B10354" t="s">
        <v>5731</v>
      </c>
      <c r="E10354" s="1507" t="s">
        <v>960</v>
      </c>
      <c r="F10354" s="1507"/>
      <c r="G10354" s="360" t="s">
        <v>777</v>
      </c>
      <c r="H10354" s="576">
        <v>0.42</v>
      </c>
      <c r="K10354" t="s">
        <v>972</v>
      </c>
      <c r="L10354" t="s">
        <v>692</v>
      </c>
      <c r="P10354" t="s">
        <v>977</v>
      </c>
      <c r="V10354">
        <v>64</v>
      </c>
    </row>
    <row r="10355" spans="1:22" customFormat="1" ht="15" x14ac:dyDescent="0.25">
      <c r="A10355" t="s">
        <v>227</v>
      </c>
      <c r="B10355" t="s">
        <v>5731</v>
      </c>
      <c r="E10355" s="1507" t="s">
        <v>3688</v>
      </c>
      <c r="F10355" s="1507"/>
      <c r="G10355" s="360" t="s">
        <v>845</v>
      </c>
      <c r="H10355" s="577">
        <v>1.6899999999999998E-2</v>
      </c>
      <c r="K10355" t="s">
        <v>972</v>
      </c>
      <c r="L10355" t="s">
        <v>690</v>
      </c>
      <c r="P10355" t="s">
        <v>978</v>
      </c>
      <c r="V10355">
        <v>28</v>
      </c>
    </row>
    <row r="10356" spans="1:22" customFormat="1" ht="15" x14ac:dyDescent="0.25">
      <c r="A10356" t="s">
        <v>227</v>
      </c>
      <c r="B10356" t="s">
        <v>5731</v>
      </c>
      <c r="E10356" s="1507" t="s">
        <v>910</v>
      </c>
      <c r="F10356" s="1507"/>
      <c r="G10356" s="360" t="s">
        <v>845</v>
      </c>
      <c r="H10356" s="577">
        <v>2.8E-3</v>
      </c>
      <c r="K10356" t="s">
        <v>972</v>
      </c>
      <c r="L10356" t="s">
        <v>692</v>
      </c>
      <c r="P10356" t="s">
        <v>980</v>
      </c>
      <c r="V10356">
        <v>24</v>
      </c>
    </row>
    <row r="10357" spans="1:22" customFormat="1" ht="15" x14ac:dyDescent="0.25">
      <c r="A10357" t="s">
        <v>227</v>
      </c>
      <c r="B10357" t="s">
        <v>5731</v>
      </c>
      <c r="E10357" s="1507" t="s">
        <v>6849</v>
      </c>
      <c r="F10357" s="1510"/>
      <c r="G10357" s="360" t="s">
        <v>845</v>
      </c>
      <c r="H10357" s="577">
        <v>9.2999999999999992E-3</v>
      </c>
      <c r="K10357" t="s">
        <v>972</v>
      </c>
      <c r="L10357" t="s">
        <v>692</v>
      </c>
      <c r="P10357" t="s">
        <v>981</v>
      </c>
      <c r="T10357">
        <v>46142</v>
      </c>
      <c r="V10357">
        <v>139</v>
      </c>
    </row>
    <row r="10358" spans="1:22" customFormat="1" ht="15" x14ac:dyDescent="0.25">
      <c r="A10358" t="s">
        <v>227</v>
      </c>
      <c r="B10358" t="s">
        <v>5731</v>
      </c>
      <c r="E10358" s="1507" t="s">
        <v>6850</v>
      </c>
      <c r="F10358" s="1510"/>
      <c r="G10358" s="360" t="s">
        <v>845</v>
      </c>
      <c r="H10358" s="577">
        <v>-5.0000000000000001E-4</v>
      </c>
      <c r="K10358" t="s">
        <v>972</v>
      </c>
      <c r="L10358" t="s">
        <v>692</v>
      </c>
      <c r="P10358" t="s">
        <v>982</v>
      </c>
      <c r="T10358">
        <v>46142</v>
      </c>
      <c r="V10358">
        <v>96</v>
      </c>
    </row>
    <row r="10359" spans="1:22" customFormat="1" ht="15" x14ac:dyDescent="0.25">
      <c r="A10359" t="s">
        <v>227</v>
      </c>
      <c r="B10359" t="s">
        <v>5731</v>
      </c>
      <c r="E10359" s="1507" t="s">
        <v>6853</v>
      </c>
      <c r="F10359" s="1510"/>
      <c r="G10359" s="360" t="s">
        <v>845</v>
      </c>
      <c r="H10359" s="577">
        <v>2.0000000000000001E-4</v>
      </c>
      <c r="K10359" t="s">
        <v>972</v>
      </c>
      <c r="L10359" t="s">
        <v>692</v>
      </c>
      <c r="P10359" t="s">
        <v>3766</v>
      </c>
      <c r="T10359">
        <v>46142</v>
      </c>
      <c r="V10359">
        <v>146</v>
      </c>
    </row>
    <row r="10360" spans="1:22" customFormat="1" ht="15" x14ac:dyDescent="0.25">
      <c r="A10360" t="s">
        <v>227</v>
      </c>
      <c r="B10360" t="s">
        <v>5731</v>
      </c>
      <c r="E10360" s="1507" t="s">
        <v>5734</v>
      </c>
      <c r="F10360" s="1507"/>
      <c r="G10360" s="360" t="s">
        <v>845</v>
      </c>
      <c r="H10360" s="577">
        <v>2.3E-3</v>
      </c>
      <c r="K10360" t="s">
        <v>972</v>
      </c>
      <c r="L10360" t="s">
        <v>692</v>
      </c>
      <c r="P10360" t="s">
        <v>982</v>
      </c>
      <c r="T10360">
        <v>46142</v>
      </c>
      <c r="V10360">
        <v>134</v>
      </c>
    </row>
    <row r="10361" spans="1:22" customFormat="1" ht="15" x14ac:dyDescent="0.25">
      <c r="A10361" t="s">
        <v>227</v>
      </c>
      <c r="B10361" t="s">
        <v>5731</v>
      </c>
      <c r="E10361" s="1507" t="s">
        <v>243</v>
      </c>
      <c r="F10361" s="1507"/>
      <c r="G10361" s="360" t="s">
        <v>845</v>
      </c>
      <c r="H10361" s="577">
        <v>9.4999999999999998E-3</v>
      </c>
      <c r="K10361" t="s">
        <v>972</v>
      </c>
      <c r="L10361" t="s">
        <v>694</v>
      </c>
      <c r="P10361" t="s">
        <v>983</v>
      </c>
      <c r="V10361">
        <v>47</v>
      </c>
    </row>
    <row r="10362" spans="1:22" customFormat="1" ht="15" x14ac:dyDescent="0.25">
      <c r="A10362" t="s">
        <v>227</v>
      </c>
      <c r="B10362" t="s">
        <v>5731</v>
      </c>
      <c r="E10362" s="1507" t="s">
        <v>175</v>
      </c>
      <c r="F10362" s="1507"/>
      <c r="G10362" s="360" t="s">
        <v>845</v>
      </c>
      <c r="H10362" s="577">
        <v>8.0000000000000002E-3</v>
      </c>
      <c r="K10362" t="s">
        <v>972</v>
      </c>
      <c r="L10362" t="s">
        <v>694</v>
      </c>
      <c r="P10362" t="s">
        <v>984</v>
      </c>
      <c r="V10362">
        <v>74</v>
      </c>
    </row>
    <row r="10363" spans="1:22" customFormat="1" ht="15" x14ac:dyDescent="0.25">
      <c r="A10363" t="s">
        <v>227</v>
      </c>
      <c r="B10363" t="s">
        <v>5731</v>
      </c>
      <c r="E10363" s="1515" t="s">
        <v>967</v>
      </c>
      <c r="F10363" s="1507"/>
      <c r="G10363" s="584"/>
      <c r="H10363" s="584"/>
      <c r="K10363" t="s">
        <v>985</v>
      </c>
      <c r="V10363">
        <v>48</v>
      </c>
    </row>
    <row r="10364" spans="1:22" customFormat="1" ht="15" x14ac:dyDescent="0.25">
      <c r="A10364" t="s">
        <v>227</v>
      </c>
      <c r="B10364" t="s">
        <v>5731</v>
      </c>
      <c r="E10364" s="1507" t="s">
        <v>844</v>
      </c>
      <c r="F10364" s="1507"/>
      <c r="G10364" s="360" t="s">
        <v>845</v>
      </c>
      <c r="H10364" s="577">
        <v>4.1000000000000003E-3</v>
      </c>
      <c r="K10364" t="s">
        <v>972</v>
      </c>
      <c r="L10364" t="s">
        <v>968</v>
      </c>
      <c r="P10364" t="s">
        <v>986</v>
      </c>
      <c r="V10364">
        <v>55</v>
      </c>
    </row>
    <row r="10365" spans="1:22" customFormat="1" ht="15" x14ac:dyDescent="0.25">
      <c r="A10365" t="s">
        <v>227</v>
      </c>
      <c r="B10365" t="s">
        <v>5731</v>
      </c>
      <c r="E10365" s="1507" t="s">
        <v>846</v>
      </c>
      <c r="F10365" s="1507"/>
      <c r="G10365" s="360" t="s">
        <v>845</v>
      </c>
      <c r="H10365" s="577">
        <v>4.0000000000000002E-4</v>
      </c>
      <c r="K10365" t="s">
        <v>972</v>
      </c>
      <c r="L10365" t="s">
        <v>968</v>
      </c>
      <c r="P10365" t="s">
        <v>986</v>
      </c>
      <c r="V10365">
        <v>65</v>
      </c>
    </row>
    <row r="10366" spans="1:22" customFormat="1" ht="15" x14ac:dyDescent="0.25">
      <c r="A10366" t="s">
        <v>227</v>
      </c>
      <c r="B10366" t="s">
        <v>5731</v>
      </c>
      <c r="E10366" s="1507" t="s">
        <v>847</v>
      </c>
      <c r="F10366" s="1507"/>
      <c r="G10366" s="360" t="s">
        <v>845</v>
      </c>
      <c r="H10366" s="577">
        <v>1.5E-3</v>
      </c>
      <c r="K10366" t="s">
        <v>972</v>
      </c>
      <c r="L10366" t="s">
        <v>968</v>
      </c>
      <c r="P10366" t="s">
        <v>987</v>
      </c>
      <c r="V10366">
        <v>57</v>
      </c>
    </row>
    <row r="10367" spans="1:22" customFormat="1" ht="15" x14ac:dyDescent="0.25">
      <c r="A10367" t="s">
        <v>227</v>
      </c>
      <c r="B10367" t="s">
        <v>5731</v>
      </c>
      <c r="E10367" s="1507" t="s">
        <v>848</v>
      </c>
      <c r="F10367" s="1507"/>
      <c r="G10367" s="360" t="s">
        <v>777</v>
      </c>
      <c r="H10367" s="576">
        <v>0.25</v>
      </c>
      <c r="K10367" t="s">
        <v>972</v>
      </c>
      <c r="L10367" t="s">
        <v>968</v>
      </c>
      <c r="P10367" t="s">
        <v>988</v>
      </c>
      <c r="V10367">
        <v>63</v>
      </c>
    </row>
    <row r="10368" spans="1:22" customFormat="1" x14ac:dyDescent="0.25">
      <c r="A10368" t="s">
        <v>227</v>
      </c>
      <c r="B10368" t="s">
        <v>5731</v>
      </c>
      <c r="E10368" s="1492" t="s">
        <v>990</v>
      </c>
      <c r="F10368" s="1493"/>
      <c r="G10368" s="1493"/>
      <c r="H10368" s="1493"/>
      <c r="K10368" t="s">
        <v>989</v>
      </c>
      <c r="V10368">
        <v>51</v>
      </c>
    </row>
    <row r="10369" spans="1:22" customFormat="1" ht="15" x14ac:dyDescent="0.25">
      <c r="A10369" t="s">
        <v>227</v>
      </c>
      <c r="B10369" t="s">
        <v>5731</v>
      </c>
      <c r="E10369" s="1516" t="s">
        <v>5736</v>
      </c>
      <c r="F10369" s="1516"/>
      <c r="G10369" s="1516"/>
      <c r="H10369" s="1516"/>
      <c r="K10369" t="s">
        <v>989</v>
      </c>
      <c r="V10369">
        <v>412</v>
      </c>
    </row>
    <row r="10370" spans="1:22" customFormat="1" ht="15" x14ac:dyDescent="0.25">
      <c r="A10370" t="s">
        <v>227</v>
      </c>
      <c r="B10370" t="s">
        <v>5731</v>
      </c>
      <c r="E10370" s="1515" t="s">
        <v>950</v>
      </c>
      <c r="F10370" s="1516"/>
      <c r="G10370" s="1516"/>
      <c r="H10370" s="1516"/>
      <c r="K10370" t="s">
        <v>992</v>
      </c>
      <c r="V10370">
        <v>11</v>
      </c>
    </row>
    <row r="10371" spans="1:22" customFormat="1" ht="15" x14ac:dyDescent="0.25">
      <c r="A10371" t="s">
        <v>227</v>
      </c>
      <c r="B10371" t="s">
        <v>5731</v>
      </c>
      <c r="E10371" s="1516" t="s">
        <v>951</v>
      </c>
      <c r="F10371" s="1516"/>
      <c r="G10371" s="1516"/>
      <c r="H10371" s="1516"/>
      <c r="K10371" t="s">
        <v>989</v>
      </c>
      <c r="V10371">
        <v>280</v>
      </c>
    </row>
    <row r="10372" spans="1:22" customFormat="1" ht="15" x14ac:dyDescent="0.25">
      <c r="A10372" t="s">
        <v>227</v>
      </c>
      <c r="B10372" t="s">
        <v>5731</v>
      </c>
      <c r="E10372" s="1516" t="s">
        <v>952</v>
      </c>
      <c r="F10372" s="1516"/>
      <c r="G10372" s="1516"/>
      <c r="H10372" s="1516"/>
      <c r="K10372" t="s">
        <v>989</v>
      </c>
      <c r="V10372">
        <v>411</v>
      </c>
    </row>
    <row r="10373" spans="1:22" customFormat="1" ht="15" x14ac:dyDescent="0.25">
      <c r="A10373" t="s">
        <v>227</v>
      </c>
      <c r="B10373" t="s">
        <v>5731</v>
      </c>
      <c r="E10373" s="1516" t="s">
        <v>5733</v>
      </c>
      <c r="F10373" s="1516"/>
      <c r="G10373" s="1516"/>
      <c r="H10373" s="1516"/>
      <c r="K10373" t="s">
        <v>989</v>
      </c>
      <c r="V10373">
        <v>388</v>
      </c>
    </row>
    <row r="10374" spans="1:22" customFormat="1" ht="15" x14ac:dyDescent="0.25">
      <c r="A10374" t="s">
        <v>227</v>
      </c>
      <c r="B10374" t="s">
        <v>5731</v>
      </c>
      <c r="E10374" s="1516" t="s">
        <v>3771</v>
      </c>
      <c r="F10374" s="1516"/>
      <c r="G10374" s="1516"/>
      <c r="H10374" s="1516"/>
      <c r="K10374" t="s">
        <v>989</v>
      </c>
      <c r="V10374">
        <v>677</v>
      </c>
    </row>
    <row r="10375" spans="1:22" customFormat="1" ht="15" x14ac:dyDescent="0.25">
      <c r="A10375" t="s">
        <v>227</v>
      </c>
      <c r="B10375" t="s">
        <v>5731</v>
      </c>
      <c r="E10375" s="1516" t="s">
        <v>3772</v>
      </c>
      <c r="F10375" s="1516"/>
      <c r="G10375" s="1516"/>
      <c r="H10375" s="1516"/>
      <c r="K10375" t="s">
        <v>989</v>
      </c>
      <c r="V10375">
        <v>693</v>
      </c>
    </row>
    <row r="10376" spans="1:22" customFormat="1" ht="15" x14ac:dyDescent="0.25">
      <c r="A10376" t="s">
        <v>227</v>
      </c>
      <c r="B10376" t="s">
        <v>5731</v>
      </c>
      <c r="E10376" s="1516" t="s">
        <v>3762</v>
      </c>
      <c r="F10376" s="1516"/>
      <c r="G10376" s="1516"/>
      <c r="H10376" s="1516"/>
      <c r="K10376" t="s">
        <v>989</v>
      </c>
      <c r="V10376">
        <v>247</v>
      </c>
    </row>
    <row r="10377" spans="1:22" customFormat="1" ht="15" x14ac:dyDescent="0.25">
      <c r="A10377" t="s">
        <v>227</v>
      </c>
      <c r="B10377" t="s">
        <v>5731</v>
      </c>
      <c r="E10377" s="1515" t="s">
        <v>956</v>
      </c>
      <c r="F10377" s="1516"/>
      <c r="G10377" s="1516"/>
      <c r="H10377" s="1516"/>
      <c r="K10377" t="s">
        <v>995</v>
      </c>
      <c r="V10377">
        <v>46</v>
      </c>
    </row>
    <row r="10378" spans="1:22" customFormat="1" ht="15" x14ac:dyDescent="0.25">
      <c r="A10378" t="s">
        <v>227</v>
      </c>
      <c r="B10378" t="s">
        <v>5731</v>
      </c>
      <c r="E10378" s="1507" t="s">
        <v>3773</v>
      </c>
      <c r="F10378" s="1507"/>
      <c r="G10378" s="360" t="s">
        <v>777</v>
      </c>
      <c r="H10378" s="576">
        <v>149.03</v>
      </c>
      <c r="K10378" t="s">
        <v>989</v>
      </c>
      <c r="L10378" t="s">
        <v>690</v>
      </c>
      <c r="P10378" t="s">
        <v>996</v>
      </c>
      <c r="V10378">
        <v>14</v>
      </c>
    </row>
    <row r="10379" spans="1:22" customFormat="1" ht="15" x14ac:dyDescent="0.25">
      <c r="A10379" t="s">
        <v>227</v>
      </c>
      <c r="B10379" t="s">
        <v>5731</v>
      </c>
      <c r="E10379" s="1507" t="s">
        <v>3688</v>
      </c>
      <c r="F10379" s="1507"/>
      <c r="G10379" s="360" t="s">
        <v>3775</v>
      </c>
      <c r="H10379" s="577">
        <v>3.6046</v>
      </c>
      <c r="K10379" t="s">
        <v>989</v>
      </c>
      <c r="L10379" t="s">
        <v>690</v>
      </c>
      <c r="P10379" t="s">
        <v>997</v>
      </c>
      <c r="V10379">
        <v>28</v>
      </c>
    </row>
    <row r="10380" spans="1:22" customFormat="1" ht="15" x14ac:dyDescent="0.25">
      <c r="A10380" t="s">
        <v>227</v>
      </c>
      <c r="B10380" t="s">
        <v>5731</v>
      </c>
      <c r="E10380" s="1507" t="s">
        <v>910</v>
      </c>
      <c r="F10380" s="1507"/>
      <c r="G10380" s="360" t="s">
        <v>3775</v>
      </c>
      <c r="H10380" s="577">
        <v>1.0128999999999999</v>
      </c>
      <c r="K10380" t="s">
        <v>989</v>
      </c>
      <c r="L10380" t="s">
        <v>692</v>
      </c>
      <c r="P10380" t="s">
        <v>998</v>
      </c>
      <c r="V10380">
        <v>24</v>
      </c>
    </row>
    <row r="10381" spans="1:22" customFormat="1" ht="15" x14ac:dyDescent="0.25">
      <c r="A10381" t="s">
        <v>227</v>
      </c>
      <c r="B10381" t="s">
        <v>5731</v>
      </c>
      <c r="E10381" s="1507" t="s">
        <v>6849</v>
      </c>
      <c r="F10381" s="1510"/>
      <c r="G10381" s="360" t="s">
        <v>845</v>
      </c>
      <c r="H10381" s="577">
        <v>9.2999999999999992E-3</v>
      </c>
      <c r="K10381" t="s">
        <v>989</v>
      </c>
      <c r="L10381" t="s">
        <v>692</v>
      </c>
      <c r="P10381" t="s">
        <v>999</v>
      </c>
      <c r="T10381">
        <v>46142</v>
      </c>
      <c r="V10381">
        <v>139</v>
      </c>
    </row>
    <row r="10382" spans="1:22" customFormat="1" ht="15" x14ac:dyDescent="0.25">
      <c r="A10382" t="s">
        <v>227</v>
      </c>
      <c r="B10382" t="s">
        <v>5731</v>
      </c>
      <c r="E10382" s="1507" t="s">
        <v>6850</v>
      </c>
      <c r="F10382" s="1510"/>
      <c r="G10382" s="360" t="s">
        <v>3775</v>
      </c>
      <c r="H10382" s="577">
        <v>-0.14549999999999999</v>
      </c>
      <c r="K10382" t="s">
        <v>989</v>
      </c>
      <c r="L10382" t="s">
        <v>692</v>
      </c>
      <c r="P10382" t="s">
        <v>1000</v>
      </c>
      <c r="T10382">
        <v>46142</v>
      </c>
      <c r="V10382">
        <v>96</v>
      </c>
    </row>
    <row r="10383" spans="1:22" customFormat="1" ht="15" x14ac:dyDescent="0.25">
      <c r="A10383" t="s">
        <v>227</v>
      </c>
      <c r="B10383" t="s">
        <v>5731</v>
      </c>
      <c r="E10383" s="1507" t="s">
        <v>6853</v>
      </c>
      <c r="F10383" s="1510"/>
      <c r="G10383" s="360" t="s">
        <v>3775</v>
      </c>
      <c r="H10383" s="577">
        <v>6.3299999999999995E-2</v>
      </c>
      <c r="K10383" t="s">
        <v>989</v>
      </c>
      <c r="L10383" t="s">
        <v>692</v>
      </c>
      <c r="P10383" t="s">
        <v>4166</v>
      </c>
      <c r="T10383">
        <v>46142</v>
      </c>
      <c r="V10383">
        <v>146</v>
      </c>
    </row>
    <row r="10384" spans="1:22" customFormat="1" ht="15" x14ac:dyDescent="0.25">
      <c r="A10384" t="s">
        <v>227</v>
      </c>
      <c r="B10384" t="s">
        <v>5731</v>
      </c>
      <c r="E10384" s="1507" t="s">
        <v>5734</v>
      </c>
      <c r="F10384" s="1507"/>
      <c r="G10384" s="360" t="s">
        <v>3775</v>
      </c>
      <c r="H10384" s="577">
        <v>0.79300000000000004</v>
      </c>
      <c r="K10384" t="s">
        <v>989</v>
      </c>
      <c r="L10384" t="s">
        <v>692</v>
      </c>
      <c r="P10384" t="s">
        <v>1000</v>
      </c>
      <c r="T10384">
        <v>46142</v>
      </c>
      <c r="V10384">
        <v>134</v>
      </c>
    </row>
    <row r="10385" spans="1:22" customFormat="1" ht="15" x14ac:dyDescent="0.25">
      <c r="A10385" t="s">
        <v>227</v>
      </c>
      <c r="B10385" t="s">
        <v>5731</v>
      </c>
      <c r="E10385" s="1507" t="s">
        <v>243</v>
      </c>
      <c r="F10385" s="1507"/>
      <c r="G10385" s="360" t="s">
        <v>3775</v>
      </c>
      <c r="H10385" s="577">
        <v>4.2675000000000001</v>
      </c>
      <c r="K10385" t="s">
        <v>989</v>
      </c>
      <c r="L10385" t="s">
        <v>694</v>
      </c>
      <c r="P10385" t="s">
        <v>1001</v>
      </c>
      <c r="V10385">
        <v>47</v>
      </c>
    </row>
    <row r="10386" spans="1:22" customFormat="1" ht="15" x14ac:dyDescent="0.25">
      <c r="A10386" t="s">
        <v>227</v>
      </c>
      <c r="B10386" t="s">
        <v>5731</v>
      </c>
      <c r="E10386" s="1507" t="s">
        <v>175</v>
      </c>
      <c r="F10386" s="1507"/>
      <c r="G10386" s="360" t="s">
        <v>3775</v>
      </c>
      <c r="H10386" s="577">
        <v>2.8454000000000002</v>
      </c>
      <c r="K10386" t="s">
        <v>989</v>
      </c>
      <c r="L10386" t="s">
        <v>694</v>
      </c>
      <c r="P10386" t="s">
        <v>1002</v>
      </c>
      <c r="V10386">
        <v>74</v>
      </c>
    </row>
    <row r="10387" spans="1:22" customFormat="1" ht="15" x14ac:dyDescent="0.25">
      <c r="A10387" t="s">
        <v>227</v>
      </c>
      <c r="B10387" t="s">
        <v>5731</v>
      </c>
      <c r="E10387" s="1515" t="s">
        <v>967</v>
      </c>
      <c r="F10387" s="1507"/>
      <c r="G10387" s="584"/>
      <c r="H10387" s="584"/>
      <c r="K10387" t="s">
        <v>1003</v>
      </c>
      <c r="V10387">
        <v>48</v>
      </c>
    </row>
    <row r="10388" spans="1:22" customFormat="1" ht="15" x14ac:dyDescent="0.25">
      <c r="A10388" t="s">
        <v>227</v>
      </c>
      <c r="B10388" t="s">
        <v>5731</v>
      </c>
      <c r="E10388" s="1507" t="s">
        <v>844</v>
      </c>
      <c r="F10388" s="1507"/>
      <c r="G10388" s="360" t="s">
        <v>845</v>
      </c>
      <c r="H10388" s="577">
        <v>4.1000000000000003E-3</v>
      </c>
      <c r="K10388" t="s">
        <v>989</v>
      </c>
      <c r="L10388" t="s">
        <v>968</v>
      </c>
      <c r="P10388" t="s">
        <v>1004</v>
      </c>
      <c r="V10388">
        <v>55</v>
      </c>
    </row>
    <row r="10389" spans="1:22" customFormat="1" ht="15" x14ac:dyDescent="0.25">
      <c r="A10389" t="s">
        <v>227</v>
      </c>
      <c r="B10389" t="s">
        <v>5731</v>
      </c>
      <c r="E10389" s="1507" t="s">
        <v>846</v>
      </c>
      <c r="F10389" s="1507"/>
      <c r="G10389" s="360" t="s">
        <v>845</v>
      </c>
      <c r="H10389" s="577">
        <v>4.0000000000000002E-4</v>
      </c>
      <c r="K10389" t="s">
        <v>989</v>
      </c>
      <c r="L10389" t="s">
        <v>968</v>
      </c>
      <c r="P10389" t="s">
        <v>1004</v>
      </c>
      <c r="V10389">
        <v>65</v>
      </c>
    </row>
    <row r="10390" spans="1:22" customFormat="1" ht="15" x14ac:dyDescent="0.25">
      <c r="A10390" t="s">
        <v>227</v>
      </c>
      <c r="B10390" t="s">
        <v>5731</v>
      </c>
      <c r="E10390" s="1507" t="s">
        <v>847</v>
      </c>
      <c r="F10390" s="1507"/>
      <c r="G10390" s="360" t="s">
        <v>845</v>
      </c>
      <c r="H10390" s="577">
        <v>1.5E-3</v>
      </c>
      <c r="K10390" t="s">
        <v>989</v>
      </c>
      <c r="L10390" t="s">
        <v>968</v>
      </c>
      <c r="P10390" t="s">
        <v>1005</v>
      </c>
      <c r="V10390">
        <v>57</v>
      </c>
    </row>
    <row r="10391" spans="1:22" customFormat="1" ht="15" x14ac:dyDescent="0.25">
      <c r="A10391" t="s">
        <v>227</v>
      </c>
      <c r="B10391" t="s">
        <v>5731</v>
      </c>
      <c r="E10391" s="1507" t="s">
        <v>848</v>
      </c>
      <c r="F10391" s="1507"/>
      <c r="G10391" s="360" t="s">
        <v>777</v>
      </c>
      <c r="H10391" s="576">
        <v>0.25</v>
      </c>
      <c r="K10391" t="s">
        <v>989</v>
      </c>
      <c r="L10391" t="s">
        <v>968</v>
      </c>
      <c r="P10391" t="s">
        <v>1006</v>
      </c>
      <c r="V10391">
        <v>63</v>
      </c>
    </row>
    <row r="10392" spans="1:22" customFormat="1" x14ac:dyDescent="0.25">
      <c r="A10392" t="s">
        <v>227</v>
      </c>
      <c r="B10392" t="s">
        <v>5731</v>
      </c>
      <c r="E10392" s="1492" t="s">
        <v>1008</v>
      </c>
      <c r="F10392" s="1493"/>
      <c r="G10392" s="1493"/>
      <c r="H10392" s="1493"/>
      <c r="K10392" t="s">
        <v>1007</v>
      </c>
      <c r="V10392">
        <v>56</v>
      </c>
    </row>
    <row r="10393" spans="1:22" customFormat="1" ht="15" x14ac:dyDescent="0.25">
      <c r="A10393" t="s">
        <v>227</v>
      </c>
      <c r="B10393" t="s">
        <v>5731</v>
      </c>
      <c r="E10393" s="1516" t="s">
        <v>5737</v>
      </c>
      <c r="F10393" s="1516"/>
      <c r="G10393" s="1516"/>
      <c r="H10393" s="1516"/>
      <c r="K10393" t="s">
        <v>1007</v>
      </c>
      <c r="V10393">
        <v>425</v>
      </c>
    </row>
    <row r="10394" spans="1:22" customFormat="1" ht="15" x14ac:dyDescent="0.25">
      <c r="A10394" t="s">
        <v>227</v>
      </c>
      <c r="B10394" t="s">
        <v>5731</v>
      </c>
      <c r="E10394" s="1515" t="s">
        <v>950</v>
      </c>
      <c r="F10394" s="1516"/>
      <c r="G10394" s="1516"/>
      <c r="H10394" s="1516"/>
      <c r="K10394" t="s">
        <v>1010</v>
      </c>
      <c r="V10394">
        <v>11</v>
      </c>
    </row>
    <row r="10395" spans="1:22" customFormat="1" ht="15" x14ac:dyDescent="0.25">
      <c r="A10395" t="s">
        <v>227</v>
      </c>
      <c r="B10395" t="s">
        <v>5731</v>
      </c>
      <c r="E10395" s="1516" t="s">
        <v>951</v>
      </c>
      <c r="F10395" s="1516"/>
      <c r="G10395" s="1516"/>
      <c r="H10395" s="1516"/>
      <c r="K10395" t="s">
        <v>1007</v>
      </c>
      <c r="V10395">
        <v>280</v>
      </c>
    </row>
    <row r="10396" spans="1:22" customFormat="1" ht="15" x14ac:dyDescent="0.25">
      <c r="A10396" t="s">
        <v>227</v>
      </c>
      <c r="B10396" t="s">
        <v>5731</v>
      </c>
      <c r="E10396" s="1516" t="s">
        <v>952</v>
      </c>
      <c r="F10396" s="1516"/>
      <c r="G10396" s="1516"/>
      <c r="H10396" s="1516"/>
      <c r="K10396" t="s">
        <v>1007</v>
      </c>
      <c r="V10396">
        <v>411</v>
      </c>
    </row>
    <row r="10397" spans="1:22" customFormat="1" ht="15" x14ac:dyDescent="0.25">
      <c r="A10397" t="s">
        <v>227</v>
      </c>
      <c r="B10397" t="s">
        <v>5731</v>
      </c>
      <c r="E10397" s="1516" t="s">
        <v>5733</v>
      </c>
      <c r="F10397" s="1516"/>
      <c r="G10397" s="1516"/>
      <c r="H10397" s="1516"/>
      <c r="K10397" t="s">
        <v>1007</v>
      </c>
      <c r="V10397">
        <v>388</v>
      </c>
    </row>
    <row r="10398" spans="1:22" customFormat="1" ht="15" x14ac:dyDescent="0.25">
      <c r="A10398" t="s">
        <v>227</v>
      </c>
      <c r="B10398" t="s">
        <v>5731</v>
      </c>
      <c r="E10398" s="1516" t="s">
        <v>3771</v>
      </c>
      <c r="F10398" s="1516"/>
      <c r="G10398" s="1516"/>
      <c r="H10398" s="1516"/>
      <c r="K10398" t="s">
        <v>1007</v>
      </c>
      <c r="V10398">
        <v>677</v>
      </c>
    </row>
    <row r="10399" spans="1:22" customFormat="1" ht="15" x14ac:dyDescent="0.25">
      <c r="A10399" t="s">
        <v>227</v>
      </c>
      <c r="B10399" t="s">
        <v>5731</v>
      </c>
      <c r="E10399" s="1516" t="s">
        <v>3772</v>
      </c>
      <c r="F10399" s="1516"/>
      <c r="G10399" s="1516"/>
      <c r="H10399" s="1516"/>
      <c r="K10399" t="s">
        <v>1007</v>
      </c>
      <c r="V10399">
        <v>693</v>
      </c>
    </row>
    <row r="10400" spans="1:22" customFormat="1" ht="15" x14ac:dyDescent="0.25">
      <c r="A10400" t="s">
        <v>227</v>
      </c>
      <c r="B10400" t="s">
        <v>5731</v>
      </c>
      <c r="E10400" s="1516" t="s">
        <v>3762</v>
      </c>
      <c r="F10400" s="1516"/>
      <c r="G10400" s="1516"/>
      <c r="H10400" s="1516"/>
      <c r="K10400" t="s">
        <v>1007</v>
      </c>
      <c r="V10400">
        <v>247</v>
      </c>
    </row>
    <row r="10401" spans="1:22" customFormat="1" ht="15" x14ac:dyDescent="0.25">
      <c r="A10401" t="s">
        <v>227</v>
      </c>
      <c r="B10401" t="s">
        <v>5731</v>
      </c>
      <c r="E10401" s="1515" t="s">
        <v>956</v>
      </c>
      <c r="F10401" s="1516"/>
      <c r="G10401" s="1516"/>
      <c r="H10401" s="1516"/>
      <c r="K10401" t="s">
        <v>1011</v>
      </c>
      <c r="V10401">
        <v>46</v>
      </c>
    </row>
    <row r="10402" spans="1:22" customFormat="1" ht="15" x14ac:dyDescent="0.25">
      <c r="A10402" t="s">
        <v>227</v>
      </c>
      <c r="B10402" t="s">
        <v>5731</v>
      </c>
      <c r="E10402" s="1507" t="s">
        <v>3773</v>
      </c>
      <c r="F10402" s="1507"/>
      <c r="G10402" s="360" t="s">
        <v>777</v>
      </c>
      <c r="H10402" s="576">
        <v>3059.23</v>
      </c>
      <c r="K10402" t="s">
        <v>1007</v>
      </c>
      <c r="L10402" t="s">
        <v>690</v>
      </c>
      <c r="P10402" t="s">
        <v>1012</v>
      </c>
      <c r="V10402">
        <v>14</v>
      </c>
    </row>
    <row r="10403" spans="1:22" customFormat="1" ht="15" x14ac:dyDescent="0.25">
      <c r="A10403" t="s">
        <v>227</v>
      </c>
      <c r="B10403" t="s">
        <v>5731</v>
      </c>
      <c r="E10403" s="1507" t="s">
        <v>3688</v>
      </c>
      <c r="F10403" s="1507"/>
      <c r="G10403" s="360" t="s">
        <v>3775</v>
      </c>
      <c r="H10403" s="577">
        <v>1.8638999999999999</v>
      </c>
      <c r="K10403" t="s">
        <v>1007</v>
      </c>
      <c r="L10403" t="s">
        <v>690</v>
      </c>
      <c r="P10403" t="s">
        <v>1013</v>
      </c>
      <c r="V10403">
        <v>28</v>
      </c>
    </row>
    <row r="10404" spans="1:22" customFormat="1" ht="15" x14ac:dyDescent="0.25">
      <c r="A10404" t="s">
        <v>227</v>
      </c>
      <c r="B10404" t="s">
        <v>5731</v>
      </c>
      <c r="E10404" s="1507" t="s">
        <v>910</v>
      </c>
      <c r="F10404" s="1507"/>
      <c r="G10404" s="360" t="s">
        <v>3775</v>
      </c>
      <c r="H10404" s="577">
        <v>1.0851</v>
      </c>
      <c r="K10404" t="s">
        <v>1007</v>
      </c>
      <c r="L10404" t="s">
        <v>692</v>
      </c>
      <c r="P10404" t="s">
        <v>1014</v>
      </c>
      <c r="V10404">
        <v>24</v>
      </c>
    </row>
    <row r="10405" spans="1:22" customFormat="1" ht="15" x14ac:dyDescent="0.25">
      <c r="A10405" t="s">
        <v>227</v>
      </c>
      <c r="B10405" t="s">
        <v>5731</v>
      </c>
      <c r="E10405" s="1507" t="s">
        <v>6849</v>
      </c>
      <c r="F10405" s="1510"/>
      <c r="G10405" s="360" t="s">
        <v>845</v>
      </c>
      <c r="H10405" s="577">
        <v>9.2999999999999992E-3</v>
      </c>
      <c r="K10405" t="s">
        <v>1007</v>
      </c>
      <c r="L10405" t="s">
        <v>692</v>
      </c>
      <c r="P10405" t="s">
        <v>1015</v>
      </c>
      <c r="T10405">
        <v>46142</v>
      </c>
      <c r="V10405">
        <v>139</v>
      </c>
    </row>
    <row r="10406" spans="1:22" customFormat="1" ht="15" x14ac:dyDescent="0.25">
      <c r="A10406" t="s">
        <v>227</v>
      </c>
      <c r="B10406" t="s">
        <v>5731</v>
      </c>
      <c r="E10406" s="1507" t="s">
        <v>6850</v>
      </c>
      <c r="F10406" s="1510"/>
      <c r="G10406" s="360" t="s">
        <v>3775</v>
      </c>
      <c r="H10406" s="577">
        <v>-0.2036</v>
      </c>
      <c r="K10406" t="s">
        <v>1007</v>
      </c>
      <c r="L10406" t="s">
        <v>692</v>
      </c>
      <c r="P10406" t="s">
        <v>1016</v>
      </c>
      <c r="T10406">
        <v>46142</v>
      </c>
      <c r="V10406">
        <v>96</v>
      </c>
    </row>
    <row r="10407" spans="1:22" customFormat="1" ht="15" x14ac:dyDescent="0.25">
      <c r="A10407" t="s">
        <v>227</v>
      </c>
      <c r="B10407" t="s">
        <v>5731</v>
      </c>
      <c r="E10407" s="1507" t="s">
        <v>6853</v>
      </c>
      <c r="F10407" s="1510"/>
      <c r="G10407" s="360" t="s">
        <v>3775</v>
      </c>
      <c r="H10407" s="577">
        <v>6.6600000000000006E-2</v>
      </c>
      <c r="K10407" t="s">
        <v>1007</v>
      </c>
      <c r="L10407" t="s">
        <v>692</v>
      </c>
      <c r="P10407" t="s">
        <v>4170</v>
      </c>
      <c r="T10407">
        <v>46142</v>
      </c>
      <c r="V10407">
        <v>146</v>
      </c>
    </row>
    <row r="10408" spans="1:22" customFormat="1" ht="15" x14ac:dyDescent="0.25">
      <c r="A10408" t="s">
        <v>227</v>
      </c>
      <c r="B10408" t="s">
        <v>5731</v>
      </c>
      <c r="E10408" s="1507" t="s">
        <v>5734</v>
      </c>
      <c r="F10408" s="1507"/>
      <c r="G10408" s="360" t="s">
        <v>3775</v>
      </c>
      <c r="H10408" s="577">
        <v>1.0933999999999999</v>
      </c>
      <c r="K10408" t="s">
        <v>1007</v>
      </c>
      <c r="L10408" t="s">
        <v>692</v>
      </c>
      <c r="P10408" t="s">
        <v>1016</v>
      </c>
      <c r="T10408">
        <v>46142</v>
      </c>
      <c r="V10408">
        <v>134</v>
      </c>
    </row>
    <row r="10409" spans="1:22" customFormat="1" ht="15" x14ac:dyDescent="0.25">
      <c r="A10409" t="s">
        <v>227</v>
      </c>
      <c r="B10409" t="s">
        <v>5731</v>
      </c>
      <c r="E10409" s="1507" t="s">
        <v>243</v>
      </c>
      <c r="F10409" s="1507"/>
      <c r="G10409" s="360" t="s">
        <v>3775</v>
      </c>
      <c r="H10409" s="577">
        <v>4.6327999999999996</v>
      </c>
      <c r="K10409" t="s">
        <v>1007</v>
      </c>
      <c r="L10409" t="s">
        <v>694</v>
      </c>
      <c r="P10409" t="s">
        <v>1017</v>
      </c>
      <c r="V10409">
        <v>47</v>
      </c>
    </row>
    <row r="10410" spans="1:22" customFormat="1" ht="15" x14ac:dyDescent="0.25">
      <c r="A10410" t="s">
        <v>227</v>
      </c>
      <c r="B10410" t="s">
        <v>5731</v>
      </c>
      <c r="E10410" s="1507" t="s">
        <v>175</v>
      </c>
      <c r="F10410" s="1507"/>
      <c r="G10410" s="360" t="s">
        <v>3775</v>
      </c>
      <c r="H10410" s="577">
        <v>3.0482</v>
      </c>
      <c r="K10410" t="s">
        <v>1007</v>
      </c>
      <c r="L10410" t="s">
        <v>694</v>
      </c>
      <c r="P10410" t="s">
        <v>1018</v>
      </c>
      <c r="V10410">
        <v>74</v>
      </c>
    </row>
    <row r="10411" spans="1:22" customFormat="1" ht="15" x14ac:dyDescent="0.25">
      <c r="A10411" t="s">
        <v>227</v>
      </c>
      <c r="B10411" t="s">
        <v>5731</v>
      </c>
      <c r="E10411" s="1515" t="s">
        <v>967</v>
      </c>
      <c r="F10411" s="1507"/>
      <c r="G10411" s="584"/>
      <c r="H10411" s="584"/>
      <c r="K10411" t="s">
        <v>1019</v>
      </c>
      <c r="V10411">
        <v>48</v>
      </c>
    </row>
    <row r="10412" spans="1:22" customFormat="1" ht="15" x14ac:dyDescent="0.25">
      <c r="A10412" t="s">
        <v>227</v>
      </c>
      <c r="B10412" t="s">
        <v>5731</v>
      </c>
      <c r="E10412" s="1507" t="s">
        <v>844</v>
      </c>
      <c r="F10412" s="1507"/>
      <c r="G10412" s="360" t="s">
        <v>845</v>
      </c>
      <c r="H10412" s="577">
        <v>4.1000000000000003E-3</v>
      </c>
      <c r="K10412" t="s">
        <v>1007</v>
      </c>
      <c r="L10412" t="s">
        <v>968</v>
      </c>
      <c r="P10412" t="s">
        <v>1020</v>
      </c>
      <c r="V10412">
        <v>55</v>
      </c>
    </row>
    <row r="10413" spans="1:22" customFormat="1" ht="15" x14ac:dyDescent="0.25">
      <c r="A10413" t="s">
        <v>227</v>
      </c>
      <c r="B10413" t="s">
        <v>5731</v>
      </c>
      <c r="E10413" s="1507" t="s">
        <v>846</v>
      </c>
      <c r="F10413" s="1507"/>
      <c r="G10413" s="360" t="s">
        <v>845</v>
      </c>
      <c r="H10413" s="577">
        <v>4.0000000000000002E-4</v>
      </c>
      <c r="K10413" t="s">
        <v>1007</v>
      </c>
      <c r="L10413" t="s">
        <v>968</v>
      </c>
      <c r="P10413" t="s">
        <v>1020</v>
      </c>
      <c r="V10413">
        <v>65</v>
      </c>
    </row>
    <row r="10414" spans="1:22" customFormat="1" ht="15" x14ac:dyDescent="0.25">
      <c r="A10414" t="s">
        <v>227</v>
      </c>
      <c r="B10414" t="s">
        <v>5731</v>
      </c>
      <c r="E10414" s="1507" t="s">
        <v>847</v>
      </c>
      <c r="F10414" s="1507"/>
      <c r="G10414" s="360" t="s">
        <v>845</v>
      </c>
      <c r="H10414" s="577">
        <v>1.5E-3</v>
      </c>
      <c r="K10414" t="s">
        <v>1007</v>
      </c>
      <c r="L10414" t="s">
        <v>968</v>
      </c>
      <c r="P10414" t="s">
        <v>1021</v>
      </c>
      <c r="V10414">
        <v>57</v>
      </c>
    </row>
    <row r="10415" spans="1:22" customFormat="1" ht="15" x14ac:dyDescent="0.25">
      <c r="A10415" t="s">
        <v>227</v>
      </c>
      <c r="B10415" t="s">
        <v>5731</v>
      </c>
      <c r="E10415" s="1507" t="s">
        <v>848</v>
      </c>
      <c r="F10415" s="1507"/>
      <c r="G10415" s="360" t="s">
        <v>777</v>
      </c>
      <c r="H10415" s="576">
        <v>0.25</v>
      </c>
      <c r="K10415" t="s">
        <v>1007</v>
      </c>
      <c r="L10415" t="s">
        <v>968</v>
      </c>
      <c r="P10415" t="s">
        <v>1022</v>
      </c>
      <c r="V10415">
        <v>63</v>
      </c>
    </row>
    <row r="10416" spans="1:22" customFormat="1" x14ac:dyDescent="0.25">
      <c r="A10416" t="s">
        <v>227</v>
      </c>
      <c r="B10416" t="s">
        <v>5731</v>
      </c>
      <c r="E10416" s="1492" t="s">
        <v>189</v>
      </c>
      <c r="F10416" s="1493"/>
      <c r="G10416" s="1493"/>
      <c r="H10416" s="1493"/>
      <c r="K10416" t="s">
        <v>3967</v>
      </c>
      <c r="V10416">
        <v>32</v>
      </c>
    </row>
    <row r="10417" spans="1:22" customFormat="1" ht="15" x14ac:dyDescent="0.25">
      <c r="A10417" t="s">
        <v>227</v>
      </c>
      <c r="B10417" t="s">
        <v>5731</v>
      </c>
      <c r="E10417" s="1516" t="s">
        <v>5738</v>
      </c>
      <c r="F10417" s="1516"/>
      <c r="G10417" s="1516"/>
      <c r="H10417" s="1516"/>
      <c r="K10417" t="s">
        <v>3967</v>
      </c>
      <c r="V10417">
        <v>449</v>
      </c>
    </row>
    <row r="10418" spans="1:22" customFormat="1" ht="15" x14ac:dyDescent="0.25">
      <c r="A10418" t="s">
        <v>227</v>
      </c>
      <c r="B10418" t="s">
        <v>5731</v>
      </c>
      <c r="E10418" s="1515" t="s">
        <v>950</v>
      </c>
      <c r="F10418" s="1516"/>
      <c r="G10418" s="1516"/>
      <c r="H10418" s="1516"/>
      <c r="K10418" t="s">
        <v>1025</v>
      </c>
      <c r="V10418">
        <v>11</v>
      </c>
    </row>
    <row r="10419" spans="1:22" customFormat="1" ht="15" x14ac:dyDescent="0.25">
      <c r="A10419" t="s">
        <v>227</v>
      </c>
      <c r="B10419" t="s">
        <v>5731</v>
      </c>
      <c r="E10419" s="1516" t="s">
        <v>951</v>
      </c>
      <c r="F10419" s="1516"/>
      <c r="G10419" s="1516"/>
      <c r="H10419" s="1516"/>
      <c r="K10419" t="s">
        <v>3967</v>
      </c>
      <c r="V10419">
        <v>280</v>
      </c>
    </row>
    <row r="10420" spans="1:22" customFormat="1" ht="15" x14ac:dyDescent="0.25">
      <c r="A10420" t="s">
        <v>227</v>
      </c>
      <c r="B10420" t="s">
        <v>5731</v>
      </c>
      <c r="E10420" s="1516" t="s">
        <v>952</v>
      </c>
      <c r="F10420" s="1516"/>
      <c r="G10420" s="1516"/>
      <c r="H10420" s="1516"/>
      <c r="K10420" t="s">
        <v>3967</v>
      </c>
      <c r="V10420">
        <v>411</v>
      </c>
    </row>
    <row r="10421" spans="1:22" customFormat="1" ht="15" x14ac:dyDescent="0.25">
      <c r="A10421" t="s">
        <v>227</v>
      </c>
      <c r="B10421" t="s">
        <v>5731</v>
      </c>
      <c r="E10421" s="1516" t="s">
        <v>5733</v>
      </c>
      <c r="F10421" s="1516"/>
      <c r="G10421" s="1516"/>
      <c r="H10421" s="1516"/>
      <c r="K10421" t="s">
        <v>3967</v>
      </c>
      <c r="V10421">
        <v>388</v>
      </c>
    </row>
    <row r="10422" spans="1:22" customFormat="1" ht="15" x14ac:dyDescent="0.25">
      <c r="A10422" t="s">
        <v>227</v>
      </c>
      <c r="B10422" t="s">
        <v>5731</v>
      </c>
      <c r="E10422" s="1516" t="s">
        <v>3771</v>
      </c>
      <c r="F10422" s="1516"/>
      <c r="G10422" s="1516"/>
      <c r="H10422" s="1516"/>
      <c r="K10422" t="s">
        <v>3967</v>
      </c>
      <c r="V10422">
        <v>677</v>
      </c>
    </row>
    <row r="10423" spans="1:22" customFormat="1" ht="15" x14ac:dyDescent="0.25">
      <c r="A10423" t="s">
        <v>227</v>
      </c>
      <c r="B10423" t="s">
        <v>5731</v>
      </c>
      <c r="E10423" s="1516" t="s">
        <v>3772</v>
      </c>
      <c r="F10423" s="1516"/>
      <c r="G10423" s="1516"/>
      <c r="H10423" s="1516"/>
      <c r="K10423" t="s">
        <v>3967</v>
      </c>
      <c r="V10423">
        <v>693</v>
      </c>
    </row>
    <row r="10424" spans="1:22" customFormat="1" ht="15" x14ac:dyDescent="0.25">
      <c r="A10424" t="s">
        <v>227</v>
      </c>
      <c r="B10424" t="s">
        <v>5731</v>
      </c>
      <c r="E10424" s="1516" t="s">
        <v>3762</v>
      </c>
      <c r="F10424" s="1516"/>
      <c r="G10424" s="1516"/>
      <c r="H10424" s="1516"/>
      <c r="K10424" t="s">
        <v>3967</v>
      </c>
      <c r="V10424">
        <v>247</v>
      </c>
    </row>
    <row r="10425" spans="1:22" customFormat="1" ht="15" x14ac:dyDescent="0.25">
      <c r="A10425" t="s">
        <v>227</v>
      </c>
      <c r="B10425" t="s">
        <v>5731</v>
      </c>
      <c r="E10425" s="1515" t="s">
        <v>956</v>
      </c>
      <c r="F10425" s="1516"/>
      <c r="G10425" s="1516"/>
      <c r="H10425" s="1516"/>
      <c r="K10425" t="s">
        <v>1026</v>
      </c>
      <c r="V10425">
        <v>46</v>
      </c>
    </row>
    <row r="10426" spans="1:22" customFormat="1" ht="15" x14ac:dyDescent="0.25">
      <c r="A10426" t="s">
        <v>227</v>
      </c>
      <c r="B10426" t="s">
        <v>5731</v>
      </c>
      <c r="E10426" s="1507" t="s">
        <v>3773</v>
      </c>
      <c r="F10426" s="1507"/>
      <c r="G10426" s="360" t="s">
        <v>777</v>
      </c>
      <c r="H10426" s="576">
        <v>12494.57</v>
      </c>
      <c r="K10426" t="s">
        <v>3967</v>
      </c>
      <c r="L10426" t="s">
        <v>690</v>
      </c>
      <c r="P10426" t="s">
        <v>3969</v>
      </c>
      <c r="V10426">
        <v>14</v>
      </c>
    </row>
    <row r="10427" spans="1:22" customFormat="1" ht="15" x14ac:dyDescent="0.25">
      <c r="A10427" t="s">
        <v>227</v>
      </c>
      <c r="B10427" t="s">
        <v>5731</v>
      </c>
      <c r="E10427" s="1507" t="s">
        <v>3688</v>
      </c>
      <c r="F10427" s="1507"/>
      <c r="G10427" s="360" t="s">
        <v>3775</v>
      </c>
      <c r="H10427" s="577">
        <v>2.2534000000000001</v>
      </c>
      <c r="K10427" t="s">
        <v>3967</v>
      </c>
      <c r="L10427" t="s">
        <v>690</v>
      </c>
      <c r="P10427" t="s">
        <v>3972</v>
      </c>
      <c r="V10427">
        <v>28</v>
      </c>
    </row>
    <row r="10428" spans="1:22" customFormat="1" ht="15" x14ac:dyDescent="0.25">
      <c r="A10428" t="s">
        <v>227</v>
      </c>
      <c r="B10428" t="s">
        <v>5731</v>
      </c>
      <c r="E10428" s="1507" t="s">
        <v>910</v>
      </c>
      <c r="F10428" s="1507"/>
      <c r="G10428" s="360" t="s">
        <v>3775</v>
      </c>
      <c r="H10428" s="577">
        <v>1.2307999999999999</v>
      </c>
      <c r="K10428" t="s">
        <v>3967</v>
      </c>
      <c r="L10428" t="s">
        <v>692</v>
      </c>
      <c r="P10428" t="s">
        <v>3973</v>
      </c>
      <c r="V10428">
        <v>24</v>
      </c>
    </row>
    <row r="10429" spans="1:22" customFormat="1" ht="15" x14ac:dyDescent="0.25">
      <c r="A10429" t="s">
        <v>227</v>
      </c>
      <c r="B10429" t="s">
        <v>5731</v>
      </c>
      <c r="E10429" s="1507" t="s">
        <v>6850</v>
      </c>
      <c r="F10429" s="1510"/>
      <c r="G10429" s="360" t="s">
        <v>3775</v>
      </c>
      <c r="H10429" s="577">
        <v>-0.25369999999999998</v>
      </c>
      <c r="K10429" t="s">
        <v>3967</v>
      </c>
      <c r="L10429" t="s">
        <v>692</v>
      </c>
      <c r="P10429" t="s">
        <v>3975</v>
      </c>
      <c r="T10429">
        <v>46142</v>
      </c>
      <c r="V10429">
        <v>96</v>
      </c>
    </row>
    <row r="10430" spans="1:22" customFormat="1" ht="15" x14ac:dyDescent="0.25">
      <c r="A10430" t="s">
        <v>227</v>
      </c>
      <c r="B10430" t="s">
        <v>5731</v>
      </c>
      <c r="E10430" s="1507" t="s">
        <v>5734</v>
      </c>
      <c r="F10430" s="1507"/>
      <c r="G10430" s="360" t="s">
        <v>3775</v>
      </c>
      <c r="H10430" s="577">
        <v>1.3446</v>
      </c>
      <c r="K10430" t="s">
        <v>3967</v>
      </c>
      <c r="L10430" t="s">
        <v>692</v>
      </c>
      <c r="P10430" t="s">
        <v>3975</v>
      </c>
      <c r="T10430">
        <v>46142</v>
      </c>
      <c r="V10430">
        <v>134</v>
      </c>
    </row>
    <row r="10431" spans="1:22" customFormat="1" ht="15" x14ac:dyDescent="0.25">
      <c r="A10431" t="s">
        <v>227</v>
      </c>
      <c r="B10431" t="s">
        <v>5731</v>
      </c>
      <c r="E10431" s="1507" t="s">
        <v>243</v>
      </c>
      <c r="F10431" s="1507"/>
      <c r="G10431" s="360" t="s">
        <v>3775</v>
      </c>
      <c r="H10431" s="577">
        <v>5.1359000000000004</v>
      </c>
      <c r="K10431" t="s">
        <v>3967</v>
      </c>
      <c r="L10431" t="s">
        <v>694</v>
      </c>
      <c r="P10431" t="s">
        <v>3978</v>
      </c>
      <c r="V10431">
        <v>47</v>
      </c>
    </row>
    <row r="10432" spans="1:22" customFormat="1" ht="15" x14ac:dyDescent="0.25">
      <c r="A10432" t="s">
        <v>227</v>
      </c>
      <c r="B10432" t="s">
        <v>5731</v>
      </c>
      <c r="E10432" s="1507" t="s">
        <v>175</v>
      </c>
      <c r="F10432" s="1507"/>
      <c r="G10432" s="360" t="s">
        <v>3775</v>
      </c>
      <c r="H10432" s="577">
        <v>3.4575999999999998</v>
      </c>
      <c r="K10432" t="s">
        <v>3967</v>
      </c>
      <c r="L10432" t="s">
        <v>694</v>
      </c>
      <c r="P10432" t="s">
        <v>3979</v>
      </c>
      <c r="V10432">
        <v>74</v>
      </c>
    </row>
    <row r="10433" spans="1:22" customFormat="1" ht="15" x14ac:dyDescent="0.25">
      <c r="A10433" t="s">
        <v>227</v>
      </c>
      <c r="B10433" t="s">
        <v>5731</v>
      </c>
      <c r="E10433" s="1515" t="s">
        <v>967</v>
      </c>
      <c r="F10433" s="1507"/>
      <c r="G10433" s="584"/>
      <c r="H10433" s="584"/>
      <c r="K10433" t="s">
        <v>1035</v>
      </c>
      <c r="V10433">
        <v>48</v>
      </c>
    </row>
    <row r="10434" spans="1:22" customFormat="1" ht="15" x14ac:dyDescent="0.25">
      <c r="A10434" t="s">
        <v>227</v>
      </c>
      <c r="B10434" t="s">
        <v>5731</v>
      </c>
      <c r="E10434" s="1507" t="s">
        <v>844</v>
      </c>
      <c r="F10434" s="1507"/>
      <c r="G10434" s="360" t="s">
        <v>845</v>
      </c>
      <c r="H10434" s="577">
        <v>4.1000000000000003E-3</v>
      </c>
      <c r="K10434" t="s">
        <v>3967</v>
      </c>
      <c r="L10434" t="s">
        <v>968</v>
      </c>
      <c r="P10434" t="s">
        <v>3980</v>
      </c>
      <c r="V10434">
        <v>55</v>
      </c>
    </row>
    <row r="10435" spans="1:22" customFormat="1" ht="15" x14ac:dyDescent="0.25">
      <c r="A10435" t="s">
        <v>227</v>
      </c>
      <c r="B10435" t="s">
        <v>5731</v>
      </c>
      <c r="E10435" s="1507" t="s">
        <v>846</v>
      </c>
      <c r="F10435" s="1507"/>
      <c r="G10435" s="360" t="s">
        <v>845</v>
      </c>
      <c r="H10435" s="577">
        <v>4.0000000000000002E-4</v>
      </c>
      <c r="K10435" t="s">
        <v>3967</v>
      </c>
      <c r="L10435" t="s">
        <v>968</v>
      </c>
      <c r="P10435" t="s">
        <v>3980</v>
      </c>
      <c r="V10435">
        <v>65</v>
      </c>
    </row>
    <row r="10436" spans="1:22" customFormat="1" ht="15" x14ac:dyDescent="0.25">
      <c r="A10436" t="s">
        <v>227</v>
      </c>
      <c r="B10436" t="s">
        <v>5731</v>
      </c>
      <c r="E10436" s="1507" t="s">
        <v>847</v>
      </c>
      <c r="F10436" s="1507"/>
      <c r="G10436" s="360" t="s">
        <v>845</v>
      </c>
      <c r="H10436" s="577">
        <v>1.5E-3</v>
      </c>
      <c r="K10436" t="s">
        <v>3967</v>
      </c>
      <c r="L10436" t="s">
        <v>968</v>
      </c>
      <c r="P10436" t="s">
        <v>3981</v>
      </c>
      <c r="V10436">
        <v>57</v>
      </c>
    </row>
    <row r="10437" spans="1:22" customFormat="1" ht="15" x14ac:dyDescent="0.25">
      <c r="A10437" t="s">
        <v>227</v>
      </c>
      <c r="B10437" t="s">
        <v>5731</v>
      </c>
      <c r="E10437" s="1507" t="s">
        <v>848</v>
      </c>
      <c r="F10437" s="1507"/>
      <c r="G10437" s="360" t="s">
        <v>777</v>
      </c>
      <c r="H10437" s="576">
        <v>0.25</v>
      </c>
      <c r="K10437" t="s">
        <v>3967</v>
      </c>
      <c r="L10437" t="s">
        <v>968</v>
      </c>
      <c r="P10437" t="s">
        <v>3982</v>
      </c>
      <c r="V10437">
        <v>63</v>
      </c>
    </row>
    <row r="10438" spans="1:22" customFormat="1" x14ac:dyDescent="0.25">
      <c r="A10438" t="s">
        <v>227</v>
      </c>
      <c r="B10438" t="s">
        <v>5731</v>
      </c>
      <c r="E10438" s="1492" t="s">
        <v>194</v>
      </c>
      <c r="F10438" s="1493"/>
      <c r="G10438" s="1493"/>
      <c r="H10438" s="1493"/>
      <c r="K10438" t="s">
        <v>3872</v>
      </c>
      <c r="V10438">
        <v>47</v>
      </c>
    </row>
    <row r="10439" spans="1:22" customFormat="1" ht="15" x14ac:dyDescent="0.25">
      <c r="A10439" t="s">
        <v>227</v>
      </c>
      <c r="B10439" t="s">
        <v>5731</v>
      </c>
      <c r="E10439" s="1516" t="s">
        <v>5741</v>
      </c>
      <c r="F10439" s="1516"/>
      <c r="G10439" s="1516"/>
      <c r="H10439" s="1516"/>
      <c r="K10439" t="s">
        <v>3872</v>
      </c>
      <c r="V10439">
        <v>710</v>
      </c>
    </row>
    <row r="10440" spans="1:22" customFormat="1" ht="15" x14ac:dyDescent="0.25">
      <c r="A10440" t="s">
        <v>227</v>
      </c>
      <c r="B10440" t="s">
        <v>5731</v>
      </c>
      <c r="E10440" s="1515" t="s">
        <v>950</v>
      </c>
      <c r="F10440" s="1516"/>
      <c r="G10440" s="1516"/>
      <c r="H10440" s="1516"/>
      <c r="K10440" t="s">
        <v>1041</v>
      </c>
      <c r="V10440">
        <v>11</v>
      </c>
    </row>
    <row r="10441" spans="1:22" customFormat="1" ht="15" x14ac:dyDescent="0.25">
      <c r="A10441" t="s">
        <v>227</v>
      </c>
      <c r="B10441" t="s">
        <v>5731</v>
      </c>
      <c r="E10441" s="1516" t="s">
        <v>951</v>
      </c>
      <c r="F10441" s="1516"/>
      <c r="G10441" s="1516"/>
      <c r="H10441" s="1516"/>
      <c r="K10441" t="s">
        <v>3872</v>
      </c>
      <c r="V10441">
        <v>280</v>
      </c>
    </row>
    <row r="10442" spans="1:22" customFormat="1" ht="15" x14ac:dyDescent="0.25">
      <c r="A10442" t="s">
        <v>227</v>
      </c>
      <c r="B10442" t="s">
        <v>5731</v>
      </c>
      <c r="E10442" s="1516" t="s">
        <v>952</v>
      </c>
      <c r="F10442" s="1516"/>
      <c r="G10442" s="1516"/>
      <c r="H10442" s="1516"/>
      <c r="K10442" t="s">
        <v>3872</v>
      </c>
      <c r="V10442">
        <v>411</v>
      </c>
    </row>
    <row r="10443" spans="1:22" customFormat="1" ht="15" x14ac:dyDescent="0.25">
      <c r="A10443" t="s">
        <v>227</v>
      </c>
      <c r="B10443" t="s">
        <v>5731</v>
      </c>
      <c r="E10443" s="1516" t="s">
        <v>5742</v>
      </c>
      <c r="F10443" s="1516"/>
      <c r="G10443" s="1516"/>
      <c r="H10443" s="1516"/>
      <c r="K10443" t="s">
        <v>3872</v>
      </c>
      <c r="V10443">
        <v>387</v>
      </c>
    </row>
    <row r="10444" spans="1:22" customFormat="1" ht="15" x14ac:dyDescent="0.25">
      <c r="A10444" t="s">
        <v>227</v>
      </c>
      <c r="B10444" t="s">
        <v>5731</v>
      </c>
      <c r="E10444" s="1516" t="s">
        <v>3762</v>
      </c>
      <c r="F10444" s="1516"/>
      <c r="G10444" s="1516"/>
      <c r="H10444" s="1516"/>
      <c r="K10444" t="s">
        <v>3872</v>
      </c>
      <c r="V10444">
        <v>247</v>
      </c>
    </row>
    <row r="10445" spans="1:22" customFormat="1" ht="15" x14ac:dyDescent="0.25">
      <c r="A10445" t="s">
        <v>227</v>
      </c>
      <c r="B10445" t="s">
        <v>5731</v>
      </c>
      <c r="E10445" s="1515" t="s">
        <v>956</v>
      </c>
      <c r="F10445" s="1516"/>
      <c r="G10445" s="1516"/>
      <c r="H10445" s="1516"/>
      <c r="K10445" t="s">
        <v>1042</v>
      </c>
      <c r="V10445">
        <v>46</v>
      </c>
    </row>
    <row r="10446" spans="1:22" customFormat="1" ht="15" x14ac:dyDescent="0.25">
      <c r="A10446" t="s">
        <v>227</v>
      </c>
      <c r="B10446" t="s">
        <v>5731</v>
      </c>
      <c r="E10446" s="1507" t="s">
        <v>3773</v>
      </c>
      <c r="F10446" s="1507"/>
      <c r="G10446" s="360" t="s">
        <v>777</v>
      </c>
      <c r="H10446" s="576">
        <v>2.56</v>
      </c>
      <c r="K10446" t="s">
        <v>3872</v>
      </c>
      <c r="L10446" t="s">
        <v>690</v>
      </c>
      <c r="P10446" t="s">
        <v>3875</v>
      </c>
      <c r="V10446">
        <v>14</v>
      </c>
    </row>
    <row r="10447" spans="1:22" customFormat="1" ht="15" x14ac:dyDescent="0.25">
      <c r="A10447" t="s">
        <v>227</v>
      </c>
      <c r="B10447" t="s">
        <v>5731</v>
      </c>
      <c r="E10447" s="1507" t="s">
        <v>3688</v>
      </c>
      <c r="F10447" s="1507"/>
      <c r="G10447" s="360" t="s">
        <v>845</v>
      </c>
      <c r="H10447" s="577">
        <v>9.0800000000000006E-2</v>
      </c>
      <c r="K10447" t="s">
        <v>3872</v>
      </c>
      <c r="L10447" t="s">
        <v>690</v>
      </c>
      <c r="P10447" t="s">
        <v>3876</v>
      </c>
      <c r="V10447">
        <v>28</v>
      </c>
    </row>
    <row r="10448" spans="1:22" customFormat="1" ht="15" x14ac:dyDescent="0.25">
      <c r="A10448" t="s">
        <v>227</v>
      </c>
      <c r="B10448" t="s">
        <v>5731</v>
      </c>
      <c r="E10448" s="1507" t="s">
        <v>910</v>
      </c>
      <c r="F10448" s="1507"/>
      <c r="G10448" s="360" t="s">
        <v>845</v>
      </c>
      <c r="H10448" s="577">
        <v>2.8E-3</v>
      </c>
      <c r="K10448" t="s">
        <v>3872</v>
      </c>
      <c r="L10448" t="s">
        <v>692</v>
      </c>
      <c r="P10448" t="s">
        <v>3986</v>
      </c>
      <c r="V10448">
        <v>24</v>
      </c>
    </row>
    <row r="10449" spans="1:22" customFormat="1" ht="15" x14ac:dyDescent="0.25">
      <c r="A10449" t="s">
        <v>227</v>
      </c>
      <c r="B10449" t="s">
        <v>5731</v>
      </c>
      <c r="E10449" s="1507" t="s">
        <v>6849</v>
      </c>
      <c r="F10449" s="1510"/>
      <c r="G10449" s="360" t="s">
        <v>845</v>
      </c>
      <c r="H10449" s="577">
        <v>9.2999999999999992E-3</v>
      </c>
      <c r="K10449" t="s">
        <v>3872</v>
      </c>
      <c r="L10449" t="s">
        <v>692</v>
      </c>
      <c r="P10449" t="s">
        <v>3987</v>
      </c>
      <c r="T10449">
        <v>46142</v>
      </c>
      <c r="V10449">
        <v>139</v>
      </c>
    </row>
    <row r="10450" spans="1:22" customFormat="1" ht="15" x14ac:dyDescent="0.25">
      <c r="A10450" t="s">
        <v>227</v>
      </c>
      <c r="B10450" t="s">
        <v>5731</v>
      </c>
      <c r="E10450" s="1507" t="s">
        <v>6850</v>
      </c>
      <c r="F10450" s="1510"/>
      <c r="G10450" s="360" t="s">
        <v>845</v>
      </c>
      <c r="H10450" s="577">
        <v>-4.0000000000000002E-4</v>
      </c>
      <c r="K10450" t="s">
        <v>3872</v>
      </c>
      <c r="L10450" t="s">
        <v>692</v>
      </c>
      <c r="P10450" t="s">
        <v>3990</v>
      </c>
      <c r="T10450">
        <v>46142</v>
      </c>
      <c r="V10450">
        <v>96</v>
      </c>
    </row>
    <row r="10451" spans="1:22" customFormat="1" ht="15" x14ac:dyDescent="0.25">
      <c r="A10451" t="s">
        <v>227</v>
      </c>
      <c r="B10451" t="s">
        <v>5731</v>
      </c>
      <c r="E10451" s="1507" t="s">
        <v>6853</v>
      </c>
      <c r="F10451" s="1510"/>
      <c r="G10451" s="360" t="s">
        <v>845</v>
      </c>
      <c r="H10451" s="577">
        <v>2.0000000000000001E-4</v>
      </c>
      <c r="K10451" t="s">
        <v>3872</v>
      </c>
      <c r="L10451" t="s">
        <v>692</v>
      </c>
      <c r="P10451" t="s">
        <v>3991</v>
      </c>
      <c r="T10451">
        <v>46142</v>
      </c>
      <c r="V10451">
        <v>146</v>
      </c>
    </row>
    <row r="10452" spans="1:22" customFormat="1" ht="15" x14ac:dyDescent="0.25">
      <c r="A10452" t="s">
        <v>227</v>
      </c>
      <c r="B10452" t="s">
        <v>5731</v>
      </c>
      <c r="E10452" s="1507" t="s">
        <v>5734</v>
      </c>
      <c r="F10452" s="1507"/>
      <c r="G10452" s="360" t="s">
        <v>845</v>
      </c>
      <c r="H10452" s="577">
        <v>2.3999999999999998E-3</v>
      </c>
      <c r="K10452" t="s">
        <v>3872</v>
      </c>
      <c r="L10452" t="s">
        <v>692</v>
      </c>
      <c r="P10452" t="s">
        <v>3990</v>
      </c>
      <c r="T10452">
        <v>46142</v>
      </c>
      <c r="V10452">
        <v>134</v>
      </c>
    </row>
    <row r="10453" spans="1:22" customFormat="1" ht="15" x14ac:dyDescent="0.25">
      <c r="A10453" t="s">
        <v>227</v>
      </c>
      <c r="B10453" t="s">
        <v>5731</v>
      </c>
      <c r="E10453" s="1507" t="s">
        <v>243</v>
      </c>
      <c r="F10453" s="1507"/>
      <c r="G10453" s="360" t="s">
        <v>845</v>
      </c>
      <c r="H10453" s="577">
        <v>9.4999999999999998E-3</v>
      </c>
      <c r="K10453" t="s">
        <v>3872</v>
      </c>
      <c r="L10453" t="s">
        <v>694</v>
      </c>
      <c r="P10453" t="s">
        <v>3877</v>
      </c>
      <c r="V10453">
        <v>47</v>
      </c>
    </row>
    <row r="10454" spans="1:22" customFormat="1" ht="15" x14ac:dyDescent="0.25">
      <c r="A10454" t="s">
        <v>227</v>
      </c>
      <c r="B10454" t="s">
        <v>5731</v>
      </c>
      <c r="E10454" s="1507" t="s">
        <v>175</v>
      </c>
      <c r="F10454" s="1507"/>
      <c r="G10454" s="360" t="s">
        <v>845</v>
      </c>
      <c r="H10454" s="577">
        <v>8.0000000000000002E-3</v>
      </c>
      <c r="K10454" t="s">
        <v>3872</v>
      </c>
      <c r="L10454" t="s">
        <v>694</v>
      </c>
      <c r="P10454" t="s">
        <v>3878</v>
      </c>
      <c r="V10454">
        <v>74</v>
      </c>
    </row>
    <row r="10455" spans="1:22" customFormat="1" ht="15" x14ac:dyDescent="0.25">
      <c r="A10455" t="s">
        <v>227</v>
      </c>
      <c r="B10455" t="s">
        <v>5731</v>
      </c>
      <c r="E10455" s="1515" t="s">
        <v>967</v>
      </c>
      <c r="F10455" s="1507"/>
      <c r="G10455" s="584"/>
      <c r="H10455" s="584"/>
      <c r="K10455" t="s">
        <v>1049</v>
      </c>
      <c r="V10455">
        <v>48</v>
      </c>
    </row>
    <row r="10456" spans="1:22" customFormat="1" ht="15" x14ac:dyDescent="0.25">
      <c r="A10456" t="s">
        <v>227</v>
      </c>
      <c r="B10456" t="s">
        <v>5731</v>
      </c>
      <c r="E10456" s="1507" t="s">
        <v>844</v>
      </c>
      <c r="F10456" s="1507"/>
      <c r="G10456" s="360" t="s">
        <v>845</v>
      </c>
      <c r="H10456" s="577">
        <v>4.1000000000000003E-3</v>
      </c>
      <c r="K10456" t="s">
        <v>3872</v>
      </c>
      <c r="L10456" t="s">
        <v>968</v>
      </c>
      <c r="P10456" t="s">
        <v>3879</v>
      </c>
      <c r="V10456">
        <v>55</v>
      </c>
    </row>
    <row r="10457" spans="1:22" customFormat="1" ht="15" x14ac:dyDescent="0.25">
      <c r="A10457" t="s">
        <v>227</v>
      </c>
      <c r="B10457" t="s">
        <v>5731</v>
      </c>
      <c r="E10457" s="1507" t="s">
        <v>846</v>
      </c>
      <c r="F10457" s="1507"/>
      <c r="G10457" s="360" t="s">
        <v>845</v>
      </c>
      <c r="H10457" s="577">
        <v>4.0000000000000002E-4</v>
      </c>
      <c r="K10457" t="s">
        <v>3872</v>
      </c>
      <c r="L10457" t="s">
        <v>968</v>
      </c>
      <c r="P10457" t="s">
        <v>3879</v>
      </c>
      <c r="V10457">
        <v>65</v>
      </c>
    </row>
    <row r="10458" spans="1:22" customFormat="1" ht="15" x14ac:dyDescent="0.25">
      <c r="A10458" t="s">
        <v>227</v>
      </c>
      <c r="B10458" t="s">
        <v>5731</v>
      </c>
      <c r="E10458" s="1507" t="s">
        <v>847</v>
      </c>
      <c r="F10458" s="1507"/>
      <c r="G10458" s="360" t="s">
        <v>845</v>
      </c>
      <c r="H10458" s="577">
        <v>1.5E-3</v>
      </c>
      <c r="K10458" t="s">
        <v>3872</v>
      </c>
      <c r="L10458" t="s">
        <v>968</v>
      </c>
      <c r="P10458" t="s">
        <v>3880</v>
      </c>
      <c r="V10458">
        <v>57</v>
      </c>
    </row>
    <row r="10459" spans="1:22" customFormat="1" ht="15" x14ac:dyDescent="0.25">
      <c r="A10459" t="s">
        <v>227</v>
      </c>
      <c r="B10459" t="s">
        <v>5731</v>
      </c>
      <c r="E10459" s="1507" t="s">
        <v>848</v>
      </c>
      <c r="F10459" s="1507"/>
      <c r="G10459" s="360" t="s">
        <v>777</v>
      </c>
      <c r="H10459" s="576">
        <v>0.25</v>
      </c>
      <c r="K10459" t="s">
        <v>3872</v>
      </c>
      <c r="L10459" t="s">
        <v>968</v>
      </c>
      <c r="P10459" t="s">
        <v>3881</v>
      </c>
      <c r="V10459">
        <v>63</v>
      </c>
    </row>
    <row r="10460" spans="1:22" customFormat="1" x14ac:dyDescent="0.25">
      <c r="A10460" t="s">
        <v>227</v>
      </c>
      <c r="B10460" t="s">
        <v>5731</v>
      </c>
      <c r="E10460" s="1492" t="s">
        <v>198</v>
      </c>
      <c r="F10460" s="1493"/>
      <c r="G10460" s="1493"/>
      <c r="H10460" s="1493"/>
      <c r="K10460" t="s">
        <v>3882</v>
      </c>
      <c r="V10460">
        <v>40</v>
      </c>
    </row>
    <row r="10461" spans="1:22" customFormat="1" ht="15" x14ac:dyDescent="0.25">
      <c r="A10461" t="s">
        <v>227</v>
      </c>
      <c r="B10461" t="s">
        <v>5731</v>
      </c>
      <c r="E10461" s="1516" t="s">
        <v>5743</v>
      </c>
      <c r="F10461" s="1516"/>
      <c r="G10461" s="1516"/>
      <c r="H10461" s="1516"/>
      <c r="K10461" t="s">
        <v>3882</v>
      </c>
      <c r="V10461">
        <v>256</v>
      </c>
    </row>
    <row r="10462" spans="1:22" customFormat="1" ht="15" x14ac:dyDescent="0.25">
      <c r="A10462" t="s">
        <v>227</v>
      </c>
      <c r="B10462" t="s">
        <v>5731</v>
      </c>
      <c r="E10462" s="1515" t="s">
        <v>950</v>
      </c>
      <c r="F10462" s="1516"/>
      <c r="G10462" s="1516"/>
      <c r="H10462" s="1516"/>
      <c r="K10462" t="s">
        <v>1055</v>
      </c>
      <c r="V10462">
        <v>11</v>
      </c>
    </row>
    <row r="10463" spans="1:22" customFormat="1" ht="15" x14ac:dyDescent="0.25">
      <c r="A10463" t="s">
        <v>227</v>
      </c>
      <c r="B10463" t="s">
        <v>5731</v>
      </c>
      <c r="E10463" s="1516" t="s">
        <v>951</v>
      </c>
      <c r="F10463" s="1516"/>
      <c r="G10463" s="1516"/>
      <c r="H10463" s="1516"/>
      <c r="K10463" t="s">
        <v>3882</v>
      </c>
      <c r="V10463">
        <v>280</v>
      </c>
    </row>
    <row r="10464" spans="1:22" customFormat="1" ht="15" x14ac:dyDescent="0.25">
      <c r="A10464" t="s">
        <v>227</v>
      </c>
      <c r="B10464" t="s">
        <v>5731</v>
      </c>
      <c r="E10464" s="1516" t="s">
        <v>952</v>
      </c>
      <c r="F10464" s="1516"/>
      <c r="G10464" s="1516"/>
      <c r="H10464" s="1516"/>
      <c r="K10464" t="s">
        <v>3882</v>
      </c>
      <c r="V10464">
        <v>411</v>
      </c>
    </row>
    <row r="10465" spans="1:22" customFormat="1" ht="15" x14ac:dyDescent="0.25">
      <c r="A10465" t="s">
        <v>227</v>
      </c>
      <c r="B10465" t="s">
        <v>5731</v>
      </c>
      <c r="E10465" s="1516" t="s">
        <v>5733</v>
      </c>
      <c r="F10465" s="1516"/>
      <c r="G10465" s="1516"/>
      <c r="H10465" s="1516"/>
      <c r="K10465" t="s">
        <v>3882</v>
      </c>
      <c r="V10465">
        <v>388</v>
      </c>
    </row>
    <row r="10466" spans="1:22" customFormat="1" ht="15" x14ac:dyDescent="0.25">
      <c r="A10466" t="s">
        <v>227</v>
      </c>
      <c r="B10466" t="s">
        <v>5731</v>
      </c>
      <c r="E10466" s="1516" t="s">
        <v>3762</v>
      </c>
      <c r="F10466" s="1516"/>
      <c r="G10466" s="1516"/>
      <c r="H10466" s="1516"/>
      <c r="K10466" t="s">
        <v>3882</v>
      </c>
      <c r="V10466">
        <v>247</v>
      </c>
    </row>
    <row r="10467" spans="1:22" customFormat="1" ht="15" x14ac:dyDescent="0.25">
      <c r="A10467" t="s">
        <v>227</v>
      </c>
      <c r="B10467" t="s">
        <v>5731</v>
      </c>
      <c r="E10467" s="1515" t="s">
        <v>956</v>
      </c>
      <c r="F10467" s="1516"/>
      <c r="G10467" s="1516"/>
      <c r="H10467" s="1516"/>
      <c r="K10467" t="s">
        <v>1056</v>
      </c>
      <c r="V10467">
        <v>46</v>
      </c>
    </row>
    <row r="10468" spans="1:22" customFormat="1" ht="15" x14ac:dyDescent="0.25">
      <c r="A10468" t="s">
        <v>227</v>
      </c>
      <c r="B10468" t="s">
        <v>5731</v>
      </c>
      <c r="E10468" s="1507" t="s">
        <v>3874</v>
      </c>
      <c r="F10468" s="1507"/>
      <c r="G10468" s="360" t="s">
        <v>777</v>
      </c>
      <c r="H10468" s="576">
        <v>16.02</v>
      </c>
      <c r="K10468" t="s">
        <v>3882</v>
      </c>
      <c r="L10468" t="s">
        <v>690</v>
      </c>
      <c r="P10468" t="s">
        <v>3884</v>
      </c>
      <c r="V10468">
        <v>31</v>
      </c>
    </row>
    <row r="10469" spans="1:22" customFormat="1" ht="15" x14ac:dyDescent="0.25">
      <c r="A10469" t="s">
        <v>227</v>
      </c>
      <c r="B10469" t="s">
        <v>5731</v>
      </c>
      <c r="E10469" s="1507" t="s">
        <v>3688</v>
      </c>
      <c r="F10469" s="1507"/>
      <c r="G10469" s="360" t="s">
        <v>845</v>
      </c>
      <c r="H10469" s="577">
        <v>0.11609999999999999</v>
      </c>
      <c r="K10469" t="s">
        <v>3882</v>
      </c>
      <c r="L10469" t="s">
        <v>690</v>
      </c>
      <c r="P10469" t="s">
        <v>3885</v>
      </c>
      <c r="V10469">
        <v>28</v>
      </c>
    </row>
    <row r="10470" spans="1:22" customFormat="1" ht="15" x14ac:dyDescent="0.25">
      <c r="A10470" t="s">
        <v>227</v>
      </c>
      <c r="B10470" t="s">
        <v>5731</v>
      </c>
      <c r="E10470" s="1507" t="s">
        <v>910</v>
      </c>
      <c r="F10470" s="1507"/>
      <c r="G10470" s="360" t="s">
        <v>845</v>
      </c>
      <c r="H10470" s="577">
        <v>2.8E-3</v>
      </c>
      <c r="K10470" t="s">
        <v>3882</v>
      </c>
      <c r="L10470" t="s">
        <v>692</v>
      </c>
      <c r="P10470" t="s">
        <v>4344</v>
      </c>
      <c r="V10470">
        <v>24</v>
      </c>
    </row>
    <row r="10471" spans="1:22" customFormat="1" ht="15" x14ac:dyDescent="0.25">
      <c r="A10471" t="s">
        <v>227</v>
      </c>
      <c r="B10471" t="s">
        <v>5731</v>
      </c>
      <c r="E10471" s="1507" t="s">
        <v>6849</v>
      </c>
      <c r="F10471" s="1510"/>
      <c r="G10471" s="360" t="s">
        <v>845</v>
      </c>
      <c r="H10471" s="577">
        <v>9.2999999999999992E-3</v>
      </c>
      <c r="K10471" t="s">
        <v>3882</v>
      </c>
      <c r="L10471" t="s">
        <v>692</v>
      </c>
      <c r="P10471" t="s">
        <v>4345</v>
      </c>
      <c r="T10471">
        <v>46142</v>
      </c>
      <c r="V10471">
        <v>139</v>
      </c>
    </row>
    <row r="10472" spans="1:22" customFormat="1" ht="15" x14ac:dyDescent="0.25">
      <c r="A10472" t="s">
        <v>227</v>
      </c>
      <c r="B10472" t="s">
        <v>5731</v>
      </c>
      <c r="E10472" s="1507" t="s">
        <v>6850</v>
      </c>
      <c r="F10472" s="1510"/>
      <c r="G10472" s="360" t="s">
        <v>845</v>
      </c>
      <c r="H10472" s="577">
        <v>-4.0000000000000002E-4</v>
      </c>
      <c r="K10472" t="s">
        <v>3882</v>
      </c>
      <c r="L10472" t="s">
        <v>692</v>
      </c>
      <c r="P10472" t="s">
        <v>4347</v>
      </c>
      <c r="T10472">
        <v>46142</v>
      </c>
      <c r="V10472">
        <v>96</v>
      </c>
    </row>
    <row r="10473" spans="1:22" customFormat="1" ht="15" x14ac:dyDescent="0.25">
      <c r="A10473" t="s">
        <v>227</v>
      </c>
      <c r="B10473" t="s">
        <v>5731</v>
      </c>
      <c r="E10473" s="1507" t="s">
        <v>6853</v>
      </c>
      <c r="F10473" s="1510"/>
      <c r="G10473" s="360" t="s">
        <v>845</v>
      </c>
      <c r="H10473" s="577">
        <v>2.0000000000000001E-4</v>
      </c>
      <c r="K10473" t="s">
        <v>3882</v>
      </c>
      <c r="L10473" t="s">
        <v>692</v>
      </c>
      <c r="P10473" t="s">
        <v>4348</v>
      </c>
      <c r="T10473">
        <v>46142</v>
      </c>
      <c r="V10473">
        <v>146</v>
      </c>
    </row>
    <row r="10474" spans="1:22" customFormat="1" ht="15" x14ac:dyDescent="0.25">
      <c r="A10474" t="s">
        <v>227</v>
      </c>
      <c r="B10474" t="s">
        <v>5731</v>
      </c>
      <c r="E10474" s="1507" t="s">
        <v>5734</v>
      </c>
      <c r="F10474" s="1507"/>
      <c r="G10474" s="360" t="s">
        <v>845</v>
      </c>
      <c r="H10474" s="577">
        <v>2.3999999999999998E-3</v>
      </c>
      <c r="K10474" t="s">
        <v>3882</v>
      </c>
      <c r="L10474" t="s">
        <v>692</v>
      </c>
      <c r="P10474" t="s">
        <v>4347</v>
      </c>
      <c r="T10474">
        <v>46142</v>
      </c>
      <c r="V10474">
        <v>134</v>
      </c>
    </row>
    <row r="10475" spans="1:22" customFormat="1" ht="15" x14ac:dyDescent="0.25">
      <c r="A10475" t="s">
        <v>227</v>
      </c>
      <c r="B10475" t="s">
        <v>5731</v>
      </c>
      <c r="E10475" s="1507" t="s">
        <v>243</v>
      </c>
      <c r="F10475" s="1507"/>
      <c r="G10475" s="360" t="s">
        <v>845</v>
      </c>
      <c r="H10475" s="577">
        <v>9.4999999999999998E-3</v>
      </c>
      <c r="K10475" t="s">
        <v>3882</v>
      </c>
      <c r="L10475" t="s">
        <v>694</v>
      </c>
      <c r="P10475" t="s">
        <v>3886</v>
      </c>
      <c r="V10475">
        <v>47</v>
      </c>
    </row>
    <row r="10476" spans="1:22" customFormat="1" ht="15" x14ac:dyDescent="0.25">
      <c r="A10476" t="s">
        <v>227</v>
      </c>
      <c r="B10476" t="s">
        <v>5731</v>
      </c>
      <c r="E10476" s="1507" t="s">
        <v>175</v>
      </c>
      <c r="F10476" s="1507"/>
      <c r="G10476" s="360" t="s">
        <v>845</v>
      </c>
      <c r="H10476" s="577">
        <v>8.0000000000000002E-3</v>
      </c>
      <c r="K10476" t="s">
        <v>3882</v>
      </c>
      <c r="L10476" t="s">
        <v>694</v>
      </c>
      <c r="P10476" t="s">
        <v>3887</v>
      </c>
      <c r="V10476">
        <v>74</v>
      </c>
    </row>
    <row r="10477" spans="1:22" customFormat="1" ht="15" x14ac:dyDescent="0.25">
      <c r="A10477" t="s">
        <v>227</v>
      </c>
      <c r="B10477" t="s">
        <v>5731</v>
      </c>
      <c r="E10477" s="1515" t="s">
        <v>967</v>
      </c>
      <c r="F10477" s="1507"/>
      <c r="G10477" s="584"/>
      <c r="H10477" s="584"/>
      <c r="K10477" t="s">
        <v>1065</v>
      </c>
      <c r="V10477">
        <v>48</v>
      </c>
    </row>
    <row r="10478" spans="1:22" customFormat="1" ht="15" x14ac:dyDescent="0.25">
      <c r="A10478" t="s">
        <v>227</v>
      </c>
      <c r="B10478" t="s">
        <v>5731</v>
      </c>
      <c r="E10478" s="1507" t="s">
        <v>844</v>
      </c>
      <c r="F10478" s="1507"/>
      <c r="G10478" s="360" t="s">
        <v>845</v>
      </c>
      <c r="H10478" s="577">
        <v>4.1000000000000003E-3</v>
      </c>
      <c r="K10478" t="s">
        <v>3882</v>
      </c>
      <c r="L10478" t="s">
        <v>968</v>
      </c>
      <c r="P10478" t="s">
        <v>3888</v>
      </c>
      <c r="V10478">
        <v>55</v>
      </c>
    </row>
    <row r="10479" spans="1:22" customFormat="1" ht="15" x14ac:dyDescent="0.25">
      <c r="A10479" t="s">
        <v>227</v>
      </c>
      <c r="B10479" t="s">
        <v>5731</v>
      </c>
      <c r="E10479" s="1507" t="s">
        <v>846</v>
      </c>
      <c r="F10479" s="1507"/>
      <c r="G10479" s="360" t="s">
        <v>845</v>
      </c>
      <c r="H10479" s="577">
        <v>4.0000000000000002E-4</v>
      </c>
      <c r="K10479" t="s">
        <v>3882</v>
      </c>
      <c r="L10479" t="s">
        <v>968</v>
      </c>
      <c r="P10479" t="s">
        <v>3888</v>
      </c>
      <c r="V10479">
        <v>65</v>
      </c>
    </row>
    <row r="10480" spans="1:22" customFormat="1" ht="15" x14ac:dyDescent="0.25">
      <c r="A10480" t="s">
        <v>227</v>
      </c>
      <c r="B10480" t="s">
        <v>5731</v>
      </c>
      <c r="E10480" s="1507" t="s">
        <v>847</v>
      </c>
      <c r="F10480" s="1507"/>
      <c r="G10480" s="360" t="s">
        <v>845</v>
      </c>
      <c r="H10480" s="577">
        <v>1.5E-3</v>
      </c>
      <c r="K10480" t="s">
        <v>3882</v>
      </c>
      <c r="L10480" t="s">
        <v>968</v>
      </c>
      <c r="P10480" t="s">
        <v>3889</v>
      </c>
      <c r="V10480">
        <v>57</v>
      </c>
    </row>
    <row r="10481" spans="1:22" customFormat="1" ht="15" x14ac:dyDescent="0.25">
      <c r="A10481" t="s">
        <v>227</v>
      </c>
      <c r="B10481" t="s">
        <v>5731</v>
      </c>
      <c r="E10481" s="1507" t="s">
        <v>848</v>
      </c>
      <c r="F10481" s="1507"/>
      <c r="G10481" s="360" t="s">
        <v>777</v>
      </c>
      <c r="H10481" s="576">
        <v>0.25</v>
      </c>
      <c r="K10481" t="s">
        <v>3882</v>
      </c>
      <c r="L10481" t="s">
        <v>968</v>
      </c>
      <c r="P10481" t="s">
        <v>3890</v>
      </c>
      <c r="V10481">
        <v>63</v>
      </c>
    </row>
    <row r="10482" spans="1:22" customFormat="1" x14ac:dyDescent="0.25">
      <c r="A10482" t="s">
        <v>227</v>
      </c>
      <c r="B10482" t="s">
        <v>5731</v>
      </c>
      <c r="E10482" s="1492" t="s">
        <v>202</v>
      </c>
      <c r="F10482" s="1493"/>
      <c r="G10482" s="1493"/>
      <c r="H10482" s="1493"/>
      <c r="K10482" t="s">
        <v>3891</v>
      </c>
      <c r="V10482">
        <v>38</v>
      </c>
    </row>
    <row r="10483" spans="1:22" customFormat="1" ht="15" x14ac:dyDescent="0.25">
      <c r="A10483" t="s">
        <v>227</v>
      </c>
      <c r="B10483" t="s">
        <v>5731</v>
      </c>
      <c r="E10483" s="1516" t="s">
        <v>5744</v>
      </c>
      <c r="F10483" s="1516"/>
      <c r="G10483" s="1516"/>
      <c r="H10483" s="1516"/>
      <c r="K10483" t="s">
        <v>3891</v>
      </c>
      <c r="V10483">
        <v>545</v>
      </c>
    </row>
    <row r="10484" spans="1:22" customFormat="1" ht="15" x14ac:dyDescent="0.25">
      <c r="A10484" t="s">
        <v>227</v>
      </c>
      <c r="B10484" t="s">
        <v>5731</v>
      </c>
      <c r="E10484" s="1515" t="s">
        <v>950</v>
      </c>
      <c r="F10484" s="1516"/>
      <c r="G10484" s="1516"/>
      <c r="H10484" s="1516"/>
      <c r="K10484" t="s">
        <v>1071</v>
      </c>
      <c r="V10484">
        <v>11</v>
      </c>
    </row>
    <row r="10485" spans="1:22" customFormat="1" ht="15" x14ac:dyDescent="0.25">
      <c r="A10485" t="s">
        <v>227</v>
      </c>
      <c r="B10485" t="s">
        <v>5731</v>
      </c>
      <c r="E10485" s="1516" t="s">
        <v>951</v>
      </c>
      <c r="F10485" s="1516"/>
      <c r="G10485" s="1516"/>
      <c r="H10485" s="1516"/>
      <c r="K10485" t="s">
        <v>3891</v>
      </c>
      <c r="V10485">
        <v>280</v>
      </c>
    </row>
    <row r="10486" spans="1:22" customFormat="1" ht="15" x14ac:dyDescent="0.25">
      <c r="A10486" t="s">
        <v>227</v>
      </c>
      <c r="B10486" t="s">
        <v>5731</v>
      </c>
      <c r="E10486" s="1516" t="s">
        <v>952</v>
      </c>
      <c r="F10486" s="1516"/>
      <c r="G10486" s="1516"/>
      <c r="H10486" s="1516"/>
      <c r="K10486" t="s">
        <v>3891</v>
      </c>
      <c r="V10486">
        <v>411</v>
      </c>
    </row>
    <row r="10487" spans="1:22" customFormat="1" ht="15" x14ac:dyDescent="0.25">
      <c r="A10487" t="s">
        <v>227</v>
      </c>
      <c r="B10487" t="s">
        <v>5731</v>
      </c>
      <c r="E10487" s="1516" t="s">
        <v>5733</v>
      </c>
      <c r="F10487" s="1516"/>
      <c r="G10487" s="1516"/>
      <c r="H10487" s="1516"/>
      <c r="K10487" t="s">
        <v>3891</v>
      </c>
      <c r="V10487">
        <v>388</v>
      </c>
    </row>
    <row r="10488" spans="1:22" customFormat="1" ht="15" x14ac:dyDescent="0.25">
      <c r="A10488" t="s">
        <v>227</v>
      </c>
      <c r="B10488" t="s">
        <v>5731</v>
      </c>
      <c r="E10488" s="1516" t="s">
        <v>3762</v>
      </c>
      <c r="F10488" s="1516"/>
      <c r="G10488" s="1516"/>
      <c r="H10488" s="1516"/>
      <c r="K10488" t="s">
        <v>3891</v>
      </c>
      <c r="V10488">
        <v>247</v>
      </c>
    </row>
    <row r="10489" spans="1:22" customFormat="1" ht="15" x14ac:dyDescent="0.25">
      <c r="A10489" t="s">
        <v>227</v>
      </c>
      <c r="B10489" t="s">
        <v>5731</v>
      </c>
      <c r="E10489" s="1515" t="s">
        <v>956</v>
      </c>
      <c r="F10489" s="1516"/>
      <c r="G10489" s="1516"/>
      <c r="H10489" s="1516"/>
      <c r="K10489" t="s">
        <v>1075</v>
      </c>
      <c r="V10489">
        <v>46</v>
      </c>
    </row>
    <row r="10490" spans="1:22" customFormat="1" ht="15" x14ac:dyDescent="0.25">
      <c r="A10490" t="s">
        <v>227</v>
      </c>
      <c r="B10490" t="s">
        <v>5731</v>
      </c>
      <c r="E10490" s="1507" t="s">
        <v>3874</v>
      </c>
      <c r="F10490" s="1507"/>
      <c r="G10490" s="360" t="s">
        <v>777</v>
      </c>
      <c r="H10490" s="576">
        <v>4.49</v>
      </c>
      <c r="K10490" t="s">
        <v>3891</v>
      </c>
      <c r="L10490" t="s">
        <v>690</v>
      </c>
      <c r="P10490" t="s">
        <v>3894</v>
      </c>
      <c r="V10490">
        <v>31</v>
      </c>
    </row>
    <row r="10491" spans="1:22" customFormat="1" ht="15" x14ac:dyDescent="0.25">
      <c r="A10491" t="s">
        <v>227</v>
      </c>
      <c r="B10491" t="s">
        <v>5731</v>
      </c>
      <c r="E10491" s="1507" t="s">
        <v>3688</v>
      </c>
      <c r="F10491" s="1507"/>
      <c r="G10491" s="360" t="s">
        <v>3775</v>
      </c>
      <c r="H10491" s="577">
        <v>26.134599999999999</v>
      </c>
      <c r="K10491" t="s">
        <v>3891</v>
      </c>
      <c r="L10491" t="s">
        <v>690</v>
      </c>
      <c r="P10491" t="s">
        <v>3895</v>
      </c>
      <c r="V10491">
        <v>28</v>
      </c>
    </row>
    <row r="10492" spans="1:22" customFormat="1" ht="15" x14ac:dyDescent="0.25">
      <c r="A10492" t="s">
        <v>227</v>
      </c>
      <c r="B10492" t="s">
        <v>5731</v>
      </c>
      <c r="E10492" s="1507" t="s">
        <v>910</v>
      </c>
      <c r="F10492" s="1507"/>
      <c r="G10492" s="360" t="s">
        <v>3775</v>
      </c>
      <c r="H10492" s="577">
        <v>1.2878000000000001</v>
      </c>
      <c r="K10492" t="s">
        <v>3891</v>
      </c>
      <c r="L10492" t="s">
        <v>692</v>
      </c>
      <c r="P10492" t="s">
        <v>4350</v>
      </c>
      <c r="V10492">
        <v>24</v>
      </c>
    </row>
    <row r="10493" spans="1:22" customFormat="1" ht="15" x14ac:dyDescent="0.25">
      <c r="A10493" t="s">
        <v>227</v>
      </c>
      <c r="B10493" t="s">
        <v>5731</v>
      </c>
      <c r="E10493" s="1507" t="s">
        <v>6849</v>
      </c>
      <c r="F10493" s="1510"/>
      <c r="G10493" s="360" t="s">
        <v>845</v>
      </c>
      <c r="H10493" s="577">
        <v>9.2999999999999992E-3</v>
      </c>
      <c r="K10493" t="s">
        <v>3891</v>
      </c>
      <c r="L10493" t="s">
        <v>692</v>
      </c>
      <c r="P10493" t="s">
        <v>4351</v>
      </c>
      <c r="T10493">
        <v>46142</v>
      </c>
      <c r="V10493">
        <v>139</v>
      </c>
    </row>
    <row r="10494" spans="1:22" customFormat="1" ht="15" x14ac:dyDescent="0.25">
      <c r="A10494" t="s">
        <v>227</v>
      </c>
      <c r="B10494" t="s">
        <v>5731</v>
      </c>
      <c r="E10494" s="1507" t="s">
        <v>6850</v>
      </c>
      <c r="F10494" s="1510"/>
      <c r="G10494" s="360" t="s">
        <v>3775</v>
      </c>
      <c r="H10494" s="577">
        <v>-0.16309999999999999</v>
      </c>
      <c r="K10494" t="s">
        <v>3891</v>
      </c>
      <c r="L10494" t="s">
        <v>692</v>
      </c>
      <c r="P10494" t="s">
        <v>4353</v>
      </c>
      <c r="T10494">
        <v>46142</v>
      </c>
      <c r="V10494">
        <v>96</v>
      </c>
    </row>
    <row r="10495" spans="1:22" customFormat="1" ht="15" x14ac:dyDescent="0.25">
      <c r="A10495" t="s">
        <v>227</v>
      </c>
      <c r="B10495" t="s">
        <v>5731</v>
      </c>
      <c r="E10495" s="1507" t="s">
        <v>6853</v>
      </c>
      <c r="F10495" s="1510"/>
      <c r="G10495" s="360" t="s">
        <v>3775</v>
      </c>
      <c r="H10495" s="577">
        <v>7.1900000000000006E-2</v>
      </c>
      <c r="K10495" t="s">
        <v>3891</v>
      </c>
      <c r="L10495" t="s">
        <v>692</v>
      </c>
      <c r="P10495" t="s">
        <v>4354</v>
      </c>
      <c r="T10495">
        <v>46142</v>
      </c>
      <c r="V10495">
        <v>146</v>
      </c>
    </row>
    <row r="10496" spans="1:22" customFormat="1" ht="15" x14ac:dyDescent="0.25">
      <c r="A10496" t="s">
        <v>227</v>
      </c>
      <c r="B10496" t="s">
        <v>5731</v>
      </c>
      <c r="E10496" s="1507" t="s">
        <v>5734</v>
      </c>
      <c r="F10496" s="1507"/>
      <c r="G10496" s="360" t="s">
        <v>3775</v>
      </c>
      <c r="H10496" s="577">
        <v>0.88529999999999998</v>
      </c>
      <c r="K10496" t="s">
        <v>3891</v>
      </c>
      <c r="L10496" t="s">
        <v>692</v>
      </c>
      <c r="P10496" t="s">
        <v>4353</v>
      </c>
      <c r="T10496">
        <v>46142</v>
      </c>
      <c r="V10496">
        <v>134</v>
      </c>
    </row>
    <row r="10497" spans="1:22" customFormat="1" ht="15" x14ac:dyDescent="0.25">
      <c r="A10497" t="s">
        <v>227</v>
      </c>
      <c r="B10497" t="s">
        <v>5731</v>
      </c>
      <c r="E10497" s="1507" t="s">
        <v>243</v>
      </c>
      <c r="F10497" s="1507"/>
      <c r="G10497" s="360" t="s">
        <v>3775</v>
      </c>
      <c r="H10497" s="577">
        <v>3.2938999999999998</v>
      </c>
      <c r="K10497" t="s">
        <v>3891</v>
      </c>
      <c r="L10497" t="s">
        <v>694</v>
      </c>
      <c r="P10497" t="s">
        <v>3896</v>
      </c>
      <c r="V10497">
        <v>47</v>
      </c>
    </row>
    <row r="10498" spans="1:22" customFormat="1" ht="15" x14ac:dyDescent="0.25">
      <c r="A10498" t="s">
        <v>227</v>
      </c>
      <c r="B10498" t="s">
        <v>5731</v>
      </c>
      <c r="E10498" s="1507" t="s">
        <v>175</v>
      </c>
      <c r="F10498" s="1507"/>
      <c r="G10498" s="360" t="s">
        <v>3775</v>
      </c>
      <c r="H10498" s="577">
        <v>3.6177999999999999</v>
      </c>
      <c r="K10498" t="s">
        <v>3891</v>
      </c>
      <c r="L10498" t="s">
        <v>694</v>
      </c>
      <c r="P10498" t="s">
        <v>3897</v>
      </c>
      <c r="V10498">
        <v>74</v>
      </c>
    </row>
    <row r="10499" spans="1:22" customFormat="1" ht="15" x14ac:dyDescent="0.25">
      <c r="A10499" t="s">
        <v>227</v>
      </c>
      <c r="B10499" t="s">
        <v>5731</v>
      </c>
      <c r="E10499" s="1515" t="s">
        <v>967</v>
      </c>
      <c r="F10499" s="1507"/>
      <c r="G10499" s="584"/>
      <c r="H10499" s="584"/>
      <c r="K10499" t="s">
        <v>3898</v>
      </c>
      <c r="V10499">
        <v>48</v>
      </c>
    </row>
    <row r="10500" spans="1:22" customFormat="1" ht="15" x14ac:dyDescent="0.25">
      <c r="A10500" t="s">
        <v>227</v>
      </c>
      <c r="B10500" t="s">
        <v>5731</v>
      </c>
      <c r="E10500" s="1507" t="s">
        <v>844</v>
      </c>
      <c r="F10500" s="1507"/>
      <c r="G10500" s="360" t="s">
        <v>845</v>
      </c>
      <c r="H10500" s="577">
        <v>4.1000000000000003E-3</v>
      </c>
      <c r="K10500" t="s">
        <v>3891</v>
      </c>
      <c r="L10500" t="s">
        <v>968</v>
      </c>
      <c r="P10500" t="s">
        <v>3899</v>
      </c>
      <c r="V10500">
        <v>55</v>
      </c>
    </row>
    <row r="10501" spans="1:22" customFormat="1" ht="15" x14ac:dyDescent="0.25">
      <c r="A10501" t="s">
        <v>227</v>
      </c>
      <c r="B10501" t="s">
        <v>5731</v>
      </c>
      <c r="E10501" s="1507" t="s">
        <v>846</v>
      </c>
      <c r="F10501" s="1507"/>
      <c r="G10501" s="360" t="s">
        <v>845</v>
      </c>
      <c r="H10501" s="577">
        <v>4.0000000000000002E-4</v>
      </c>
      <c r="K10501" t="s">
        <v>3891</v>
      </c>
      <c r="L10501" t="s">
        <v>968</v>
      </c>
      <c r="P10501" t="s">
        <v>3899</v>
      </c>
      <c r="V10501">
        <v>65</v>
      </c>
    </row>
    <row r="10502" spans="1:22" customFormat="1" ht="15" x14ac:dyDescent="0.25">
      <c r="A10502" t="s">
        <v>227</v>
      </c>
      <c r="B10502" t="s">
        <v>5731</v>
      </c>
      <c r="E10502" s="1507" t="s">
        <v>847</v>
      </c>
      <c r="F10502" s="1507"/>
      <c r="G10502" s="360" t="s">
        <v>845</v>
      </c>
      <c r="H10502" s="577">
        <v>1.5E-3</v>
      </c>
      <c r="K10502" t="s">
        <v>3891</v>
      </c>
      <c r="L10502" t="s">
        <v>968</v>
      </c>
      <c r="P10502" t="s">
        <v>3900</v>
      </c>
      <c r="V10502">
        <v>57</v>
      </c>
    </row>
    <row r="10503" spans="1:22" customFormat="1" ht="15" x14ac:dyDescent="0.25">
      <c r="A10503" t="s">
        <v>227</v>
      </c>
      <c r="B10503" t="s">
        <v>5731</v>
      </c>
      <c r="E10503" s="1507" t="s">
        <v>848</v>
      </c>
      <c r="F10503" s="1507"/>
      <c r="G10503" s="360" t="s">
        <v>777</v>
      </c>
      <c r="H10503" s="576">
        <v>0.25</v>
      </c>
      <c r="K10503" t="s">
        <v>3891</v>
      </c>
      <c r="L10503" t="s">
        <v>968</v>
      </c>
      <c r="P10503" t="s">
        <v>3901</v>
      </c>
      <c r="V10503">
        <v>63</v>
      </c>
    </row>
    <row r="10504" spans="1:22" customFormat="1" x14ac:dyDescent="0.25">
      <c r="A10504" t="s">
        <v>227</v>
      </c>
      <c r="B10504" t="s">
        <v>5731</v>
      </c>
      <c r="E10504" s="1492" t="s">
        <v>4007</v>
      </c>
      <c r="F10504" s="1493"/>
      <c r="G10504" s="1493"/>
      <c r="H10504" s="1493"/>
      <c r="K10504" t="s">
        <v>4008</v>
      </c>
      <c r="V10504">
        <v>43</v>
      </c>
    </row>
    <row r="10505" spans="1:22" customFormat="1" ht="15" x14ac:dyDescent="0.25">
      <c r="A10505" t="s">
        <v>227</v>
      </c>
      <c r="B10505" t="s">
        <v>5731</v>
      </c>
      <c r="E10505" s="1516" t="s">
        <v>5745</v>
      </c>
      <c r="F10505" s="1516"/>
      <c r="G10505" s="1516"/>
      <c r="H10505" s="1516"/>
      <c r="K10505" t="s">
        <v>4008</v>
      </c>
      <c r="V10505">
        <v>249</v>
      </c>
    </row>
    <row r="10506" spans="1:22" customFormat="1" ht="15" x14ac:dyDescent="0.25">
      <c r="A10506" t="s">
        <v>227</v>
      </c>
      <c r="B10506" t="s">
        <v>5731</v>
      </c>
      <c r="E10506" s="1515" t="s">
        <v>950</v>
      </c>
      <c r="F10506" s="1516"/>
      <c r="G10506" s="1516"/>
      <c r="H10506" s="1516"/>
      <c r="K10506" t="s">
        <v>3904</v>
      </c>
      <c r="V10506">
        <v>11</v>
      </c>
    </row>
    <row r="10507" spans="1:22" customFormat="1" ht="15" x14ac:dyDescent="0.25">
      <c r="A10507" t="s">
        <v>227</v>
      </c>
      <c r="B10507" t="s">
        <v>5731</v>
      </c>
      <c r="E10507" s="1516" t="s">
        <v>951</v>
      </c>
      <c r="F10507" s="1516"/>
      <c r="G10507" s="1516"/>
      <c r="H10507" s="1516"/>
      <c r="K10507" t="s">
        <v>4008</v>
      </c>
      <c r="V10507">
        <v>280</v>
      </c>
    </row>
    <row r="10508" spans="1:22" customFormat="1" ht="15" x14ac:dyDescent="0.25">
      <c r="A10508" t="s">
        <v>227</v>
      </c>
      <c r="B10508" t="s">
        <v>5731</v>
      </c>
      <c r="E10508" s="1516" t="s">
        <v>952</v>
      </c>
      <c r="F10508" s="1516"/>
      <c r="G10508" s="1516"/>
      <c r="H10508" s="1516"/>
      <c r="K10508" t="s">
        <v>4008</v>
      </c>
      <c r="V10508">
        <v>411</v>
      </c>
    </row>
    <row r="10509" spans="1:22" customFormat="1" ht="15" x14ac:dyDescent="0.25">
      <c r="A10509" t="s">
        <v>227</v>
      </c>
      <c r="B10509" t="s">
        <v>5731</v>
      </c>
      <c r="E10509" s="1516" t="s">
        <v>5733</v>
      </c>
      <c r="F10509" s="1516"/>
      <c r="G10509" s="1516"/>
      <c r="H10509" s="1516"/>
      <c r="K10509" t="s">
        <v>4008</v>
      </c>
      <c r="V10509">
        <v>388</v>
      </c>
    </row>
    <row r="10510" spans="1:22" customFormat="1" ht="15" x14ac:dyDescent="0.25">
      <c r="A10510" t="s">
        <v>227</v>
      </c>
      <c r="B10510" t="s">
        <v>5731</v>
      </c>
      <c r="E10510" s="1516" t="s">
        <v>3762</v>
      </c>
      <c r="F10510" s="1516"/>
      <c r="G10510" s="1516"/>
      <c r="H10510" s="1516"/>
      <c r="K10510" t="s">
        <v>4008</v>
      </c>
      <c r="V10510">
        <v>247</v>
      </c>
    </row>
    <row r="10511" spans="1:22" customFormat="1" ht="15" x14ac:dyDescent="0.25">
      <c r="A10511" t="s">
        <v>227</v>
      </c>
      <c r="B10511" t="s">
        <v>5731</v>
      </c>
      <c r="E10511" s="1515" t="s">
        <v>956</v>
      </c>
      <c r="F10511" s="1516"/>
      <c r="G10511" s="1516"/>
      <c r="H10511" s="1516"/>
      <c r="K10511" t="s">
        <v>3905</v>
      </c>
      <c r="V10511">
        <v>46</v>
      </c>
    </row>
    <row r="10512" spans="1:22" customFormat="1" ht="15" x14ac:dyDescent="0.25">
      <c r="A10512" t="s">
        <v>227</v>
      </c>
      <c r="B10512" t="s">
        <v>5731</v>
      </c>
      <c r="E10512" s="1507" t="s">
        <v>3773</v>
      </c>
      <c r="F10512" s="1507"/>
      <c r="G10512" s="360" t="s">
        <v>777</v>
      </c>
      <c r="H10512" s="576">
        <v>2037.46</v>
      </c>
      <c r="K10512" t="s">
        <v>4008</v>
      </c>
      <c r="L10512" t="s">
        <v>690</v>
      </c>
      <c r="P10512" t="s">
        <v>4010</v>
      </c>
      <c r="V10512">
        <v>14</v>
      </c>
    </row>
    <row r="10513" spans="1:22" customFormat="1" ht="15" x14ac:dyDescent="0.25">
      <c r="A10513" t="s">
        <v>227</v>
      </c>
      <c r="B10513" t="s">
        <v>5731</v>
      </c>
      <c r="E10513" s="1507" t="s">
        <v>3688</v>
      </c>
      <c r="F10513" s="1507"/>
      <c r="G10513" s="360" t="s">
        <v>3775</v>
      </c>
      <c r="H10513" s="577">
        <v>3.5049999999999999</v>
      </c>
      <c r="K10513" t="s">
        <v>4008</v>
      </c>
      <c r="L10513" t="s">
        <v>690</v>
      </c>
      <c r="P10513" t="s">
        <v>5746</v>
      </c>
      <c r="V10513">
        <v>28</v>
      </c>
    </row>
    <row r="10514" spans="1:22" customFormat="1" ht="15" x14ac:dyDescent="0.25">
      <c r="A10514" t="s">
        <v>227</v>
      </c>
      <c r="B10514" t="s">
        <v>5731</v>
      </c>
      <c r="E10514" s="1507" t="s">
        <v>910</v>
      </c>
      <c r="F10514" s="1507"/>
      <c r="G10514" s="360" t="s">
        <v>3775</v>
      </c>
      <c r="H10514" s="577">
        <v>1.431</v>
      </c>
      <c r="K10514" t="s">
        <v>4008</v>
      </c>
      <c r="L10514" t="s">
        <v>692</v>
      </c>
      <c r="P10514" t="s">
        <v>5747</v>
      </c>
      <c r="V10514">
        <v>24</v>
      </c>
    </row>
    <row r="10515" spans="1:22" customFormat="1" ht="15" x14ac:dyDescent="0.25">
      <c r="A10515" t="s">
        <v>227</v>
      </c>
      <c r="B10515" t="s">
        <v>5731</v>
      </c>
      <c r="E10515" s="1507" t="s">
        <v>6849</v>
      </c>
      <c r="F10515" s="1510"/>
      <c r="G10515" s="360" t="s">
        <v>845</v>
      </c>
      <c r="H10515" s="577">
        <v>9.2999999999999992E-3</v>
      </c>
      <c r="K10515" t="s">
        <v>4008</v>
      </c>
      <c r="L10515" t="s">
        <v>692</v>
      </c>
      <c r="P10515" t="s">
        <v>5748</v>
      </c>
      <c r="T10515">
        <v>46142</v>
      </c>
      <c r="V10515">
        <v>139</v>
      </c>
    </row>
    <row r="10516" spans="1:22" customFormat="1" ht="15" x14ac:dyDescent="0.25">
      <c r="A10516" t="s">
        <v>227</v>
      </c>
      <c r="B10516" t="s">
        <v>5731</v>
      </c>
      <c r="E10516" s="1507" t="s">
        <v>6850</v>
      </c>
      <c r="F10516" s="1510"/>
      <c r="G10516" s="360" t="s">
        <v>3775</v>
      </c>
      <c r="H10516" s="577">
        <v>-0.2056</v>
      </c>
      <c r="K10516" t="s">
        <v>4008</v>
      </c>
      <c r="L10516" t="s">
        <v>692</v>
      </c>
      <c r="P10516" t="s">
        <v>5749</v>
      </c>
      <c r="T10516">
        <v>46142</v>
      </c>
      <c r="V10516">
        <v>96</v>
      </c>
    </row>
    <row r="10517" spans="1:22" customFormat="1" ht="15" x14ac:dyDescent="0.25">
      <c r="A10517" t="s">
        <v>227</v>
      </c>
      <c r="B10517" t="s">
        <v>5731</v>
      </c>
      <c r="E10517" s="1507" t="s">
        <v>6853</v>
      </c>
      <c r="F10517" s="1510"/>
      <c r="G10517" s="360" t="s">
        <v>3775</v>
      </c>
      <c r="H10517" s="577">
        <v>9.0499999999999997E-2</v>
      </c>
      <c r="K10517" t="s">
        <v>4008</v>
      </c>
      <c r="L10517" t="s">
        <v>692</v>
      </c>
      <c r="P10517" t="s">
        <v>5750</v>
      </c>
      <c r="T10517">
        <v>46142</v>
      </c>
      <c r="V10517">
        <v>146</v>
      </c>
    </row>
    <row r="10518" spans="1:22" customFormat="1" ht="15" x14ac:dyDescent="0.25">
      <c r="A10518" t="s">
        <v>227</v>
      </c>
      <c r="B10518" t="s">
        <v>5731</v>
      </c>
      <c r="E10518" s="1507" t="s">
        <v>5734</v>
      </c>
      <c r="F10518" s="1507"/>
      <c r="G10518" s="360" t="s">
        <v>3775</v>
      </c>
      <c r="H10518" s="577">
        <v>1.1032999999999999</v>
      </c>
      <c r="K10518" t="s">
        <v>4008</v>
      </c>
      <c r="L10518" t="s">
        <v>692</v>
      </c>
      <c r="P10518" t="s">
        <v>5749</v>
      </c>
      <c r="T10518">
        <v>46142</v>
      </c>
      <c r="V10518">
        <v>134</v>
      </c>
    </row>
    <row r="10519" spans="1:22" customFormat="1" ht="15" x14ac:dyDescent="0.25">
      <c r="A10519" t="s">
        <v>227</v>
      </c>
      <c r="B10519" t="s">
        <v>5731</v>
      </c>
      <c r="E10519" s="1507" t="s">
        <v>243</v>
      </c>
      <c r="F10519" s="1507"/>
      <c r="G10519" s="360" t="s">
        <v>3775</v>
      </c>
      <c r="H10519" s="577">
        <v>6.1978</v>
      </c>
      <c r="K10519" t="s">
        <v>4008</v>
      </c>
      <c r="L10519" t="s">
        <v>694</v>
      </c>
      <c r="P10519" t="s">
        <v>4013</v>
      </c>
      <c r="V10519">
        <v>47</v>
      </c>
    </row>
    <row r="10520" spans="1:22" customFormat="1" ht="15" x14ac:dyDescent="0.25">
      <c r="A10520" t="s">
        <v>227</v>
      </c>
      <c r="B10520" t="s">
        <v>5731</v>
      </c>
      <c r="E10520" s="1507" t="s">
        <v>175</v>
      </c>
      <c r="F10520" s="1507"/>
      <c r="G10520" s="360" t="s">
        <v>3775</v>
      </c>
      <c r="H10520" s="577">
        <v>4.0199999999999996</v>
      </c>
      <c r="K10520" t="s">
        <v>4008</v>
      </c>
      <c r="L10520" t="s">
        <v>694</v>
      </c>
      <c r="P10520" t="s">
        <v>4014</v>
      </c>
      <c r="V10520">
        <v>74</v>
      </c>
    </row>
    <row r="10521" spans="1:22" customFormat="1" ht="15" x14ac:dyDescent="0.25">
      <c r="A10521" t="s">
        <v>227</v>
      </c>
      <c r="B10521" t="s">
        <v>5731</v>
      </c>
      <c r="E10521" s="1515" t="s">
        <v>967</v>
      </c>
      <c r="F10521" s="1507"/>
      <c r="G10521" s="584"/>
      <c r="H10521" s="584"/>
      <c r="K10521" t="s">
        <v>4015</v>
      </c>
      <c r="V10521">
        <v>48</v>
      </c>
    </row>
    <row r="10522" spans="1:22" customFormat="1" ht="15" x14ac:dyDescent="0.25">
      <c r="A10522" t="s">
        <v>227</v>
      </c>
      <c r="B10522" t="s">
        <v>5731</v>
      </c>
      <c r="E10522" s="1507" t="s">
        <v>844</v>
      </c>
      <c r="F10522" s="1507"/>
      <c r="G10522" s="360" t="s">
        <v>845</v>
      </c>
      <c r="H10522" s="577">
        <v>4.1000000000000003E-3</v>
      </c>
      <c r="K10522" t="s">
        <v>4008</v>
      </c>
      <c r="L10522" t="s">
        <v>968</v>
      </c>
      <c r="P10522" t="s">
        <v>4016</v>
      </c>
      <c r="V10522">
        <v>55</v>
      </c>
    </row>
    <row r="10523" spans="1:22" customFormat="1" ht="15" x14ac:dyDescent="0.25">
      <c r="A10523" t="s">
        <v>227</v>
      </c>
      <c r="B10523" t="s">
        <v>5731</v>
      </c>
      <c r="E10523" s="1507" t="s">
        <v>846</v>
      </c>
      <c r="F10523" s="1507"/>
      <c r="G10523" s="360" t="s">
        <v>845</v>
      </c>
      <c r="H10523" s="577">
        <v>4.0000000000000002E-4</v>
      </c>
      <c r="K10523" t="s">
        <v>4008</v>
      </c>
      <c r="L10523" t="s">
        <v>968</v>
      </c>
      <c r="P10523" t="s">
        <v>4016</v>
      </c>
      <c r="V10523">
        <v>65</v>
      </c>
    </row>
    <row r="10524" spans="1:22" customFormat="1" ht="15" x14ac:dyDescent="0.25">
      <c r="A10524" t="s">
        <v>227</v>
      </c>
      <c r="B10524" t="s">
        <v>5731</v>
      </c>
      <c r="E10524" s="1507" t="s">
        <v>847</v>
      </c>
      <c r="F10524" s="1507"/>
      <c r="G10524" s="360" t="s">
        <v>845</v>
      </c>
      <c r="H10524" s="577">
        <v>1.5E-3</v>
      </c>
      <c r="K10524" t="s">
        <v>4008</v>
      </c>
      <c r="L10524" t="s">
        <v>968</v>
      </c>
      <c r="P10524" t="s">
        <v>4017</v>
      </c>
      <c r="V10524">
        <v>57</v>
      </c>
    </row>
    <row r="10525" spans="1:22" customFormat="1" ht="15" x14ac:dyDescent="0.25">
      <c r="A10525" t="s">
        <v>227</v>
      </c>
      <c r="B10525" t="s">
        <v>5731</v>
      </c>
      <c r="E10525" s="1507" t="s">
        <v>848</v>
      </c>
      <c r="F10525" s="1507"/>
      <c r="G10525" s="360" t="s">
        <v>777</v>
      </c>
      <c r="H10525" s="576">
        <v>0.25</v>
      </c>
      <c r="K10525" t="s">
        <v>4008</v>
      </c>
      <c r="L10525" t="s">
        <v>968</v>
      </c>
      <c r="P10525" t="s">
        <v>4018</v>
      </c>
      <c r="V10525">
        <v>63</v>
      </c>
    </row>
    <row r="10526" spans="1:22" customFormat="1" x14ac:dyDescent="0.25">
      <c r="A10526" t="s">
        <v>227</v>
      </c>
      <c r="B10526" t="s">
        <v>5731</v>
      </c>
      <c r="E10526" s="1492" t="s">
        <v>207</v>
      </c>
      <c r="F10526" s="1493"/>
      <c r="G10526" s="1493"/>
      <c r="H10526" s="1493"/>
      <c r="K10526" t="s">
        <v>4208</v>
      </c>
      <c r="V10526">
        <v>31</v>
      </c>
    </row>
    <row r="10527" spans="1:22" customFormat="1" ht="15" x14ac:dyDescent="0.25">
      <c r="A10527" t="s">
        <v>227</v>
      </c>
      <c r="B10527" t="s">
        <v>5731</v>
      </c>
      <c r="E10527" s="1516" t="s">
        <v>1070</v>
      </c>
      <c r="F10527" s="1516"/>
      <c r="G10527" s="1516"/>
      <c r="H10527" s="1516"/>
      <c r="K10527" t="s">
        <v>4208</v>
      </c>
      <c r="V10527">
        <v>285</v>
      </c>
    </row>
    <row r="10528" spans="1:22" customFormat="1" ht="15" x14ac:dyDescent="0.25">
      <c r="A10528" t="s">
        <v>227</v>
      </c>
      <c r="B10528" t="s">
        <v>5731</v>
      </c>
      <c r="E10528" s="1515" t="s">
        <v>950</v>
      </c>
      <c r="F10528" s="1516"/>
      <c r="G10528" s="1516"/>
      <c r="H10528" s="1516"/>
      <c r="K10528" t="s">
        <v>4022</v>
      </c>
      <c r="V10528">
        <v>11</v>
      </c>
    </row>
    <row r="10529" spans="1:22" customFormat="1" ht="15" x14ac:dyDescent="0.25">
      <c r="A10529" t="s">
        <v>227</v>
      </c>
      <c r="B10529" t="s">
        <v>5731</v>
      </c>
      <c r="E10529" s="1516" t="s">
        <v>951</v>
      </c>
      <c r="F10529" s="1516"/>
      <c r="G10529" s="1516"/>
      <c r="H10529" s="1516"/>
      <c r="K10529" t="s">
        <v>4208</v>
      </c>
      <c r="V10529">
        <v>280</v>
      </c>
    </row>
    <row r="10530" spans="1:22" customFormat="1" ht="15" x14ac:dyDescent="0.25">
      <c r="A10530" t="s">
        <v>227</v>
      </c>
      <c r="B10530" t="s">
        <v>5731</v>
      </c>
      <c r="E10530" s="1516" t="s">
        <v>952</v>
      </c>
      <c r="F10530" s="1516"/>
      <c r="G10530" s="1516"/>
      <c r="H10530" s="1516"/>
      <c r="K10530" t="s">
        <v>4208</v>
      </c>
      <c r="V10530">
        <v>411</v>
      </c>
    </row>
    <row r="10531" spans="1:22" customFormat="1" ht="15" x14ac:dyDescent="0.25">
      <c r="A10531" t="s">
        <v>227</v>
      </c>
      <c r="B10531" t="s">
        <v>5731</v>
      </c>
      <c r="E10531" s="1516" t="s">
        <v>1103</v>
      </c>
      <c r="F10531" s="1516"/>
      <c r="G10531" s="1516"/>
      <c r="H10531" s="1516"/>
      <c r="K10531" t="s">
        <v>4208</v>
      </c>
      <c r="V10531">
        <v>211</v>
      </c>
    </row>
    <row r="10532" spans="1:22" customFormat="1" ht="15" x14ac:dyDescent="0.25">
      <c r="A10532" t="s">
        <v>227</v>
      </c>
      <c r="B10532" t="s">
        <v>5731</v>
      </c>
      <c r="E10532" s="1516" t="s">
        <v>3762</v>
      </c>
      <c r="F10532" s="1516"/>
      <c r="G10532" s="1516"/>
      <c r="H10532" s="1516"/>
      <c r="K10532" t="s">
        <v>4208</v>
      </c>
      <c r="V10532">
        <v>247</v>
      </c>
    </row>
    <row r="10533" spans="1:22" customFormat="1" ht="15" x14ac:dyDescent="0.25">
      <c r="A10533" t="s">
        <v>227</v>
      </c>
      <c r="B10533" t="s">
        <v>5731</v>
      </c>
      <c r="E10533" s="1515" t="s">
        <v>956</v>
      </c>
      <c r="F10533" s="1516"/>
      <c r="G10533" s="1516"/>
      <c r="H10533" s="1516"/>
      <c r="K10533" t="s">
        <v>4023</v>
      </c>
      <c r="V10533">
        <v>46</v>
      </c>
    </row>
    <row r="10534" spans="1:22" customFormat="1" ht="15" x14ac:dyDescent="0.25">
      <c r="A10534" t="s">
        <v>227</v>
      </c>
      <c r="B10534" t="s">
        <v>5731</v>
      </c>
      <c r="E10534" s="1507" t="s">
        <v>3773</v>
      </c>
      <c r="F10534" s="1507"/>
      <c r="G10534" s="360" t="s">
        <v>777</v>
      </c>
      <c r="H10534" s="576">
        <v>5</v>
      </c>
      <c r="K10534" t="s">
        <v>4208</v>
      </c>
      <c r="L10534" t="s">
        <v>690</v>
      </c>
      <c r="P10534" t="s">
        <v>4211</v>
      </c>
      <c r="V10534">
        <v>14</v>
      </c>
    </row>
    <row r="10535" spans="1:22" customFormat="1" ht="18.75" x14ac:dyDescent="0.25">
      <c r="A10535" t="s">
        <v>227</v>
      </c>
      <c r="B10535" t="s">
        <v>5731</v>
      </c>
      <c r="E10535" s="836" t="s">
        <v>3825</v>
      </c>
      <c r="F10535" s="385"/>
      <c r="G10535" s="385"/>
      <c r="H10535" s="655"/>
      <c r="K10535" t="s">
        <v>5722</v>
      </c>
      <c r="V10535">
        <v>10</v>
      </c>
    </row>
    <row r="10536" spans="1:22" customFormat="1" ht="15" x14ac:dyDescent="0.25">
      <c r="A10536" t="s">
        <v>227</v>
      </c>
      <c r="B10536" t="s">
        <v>5731</v>
      </c>
      <c r="E10536" s="1507" t="s">
        <v>1078</v>
      </c>
      <c r="F10536" s="1507"/>
      <c r="G10536" s="584" t="s">
        <v>3775</v>
      </c>
      <c r="H10536" s="577">
        <v>-0.6</v>
      </c>
      <c r="V10536">
        <v>68</v>
      </c>
    </row>
    <row r="10537" spans="1:22" customFormat="1" ht="15" x14ac:dyDescent="0.25">
      <c r="A10537" t="s">
        <v>227</v>
      </c>
      <c r="B10537" t="s">
        <v>5731</v>
      </c>
      <c r="E10537" s="1507" t="s">
        <v>1079</v>
      </c>
      <c r="F10537" s="1507"/>
      <c r="G10537" s="584" t="s">
        <v>1118</v>
      </c>
      <c r="H10537" s="576">
        <v>-1</v>
      </c>
      <c r="V10537">
        <v>87</v>
      </c>
    </row>
    <row r="10538" spans="1:22" customFormat="1" ht="36" x14ac:dyDescent="0.25">
      <c r="A10538" t="s">
        <v>227</v>
      </c>
      <c r="B10538" t="s">
        <v>5731</v>
      </c>
      <c r="E10538" s="836" t="s">
        <v>3828</v>
      </c>
      <c r="F10538" s="385"/>
      <c r="G10538" s="385"/>
      <c r="H10538" s="655"/>
      <c r="K10538" t="s">
        <v>5723</v>
      </c>
      <c r="V10538">
        <v>24</v>
      </c>
    </row>
    <row r="10539" spans="1:22" customFormat="1" ht="15" x14ac:dyDescent="0.25">
      <c r="A10539" t="s">
        <v>227</v>
      </c>
      <c r="B10539" t="s">
        <v>5731</v>
      </c>
      <c r="E10539" s="1516" t="s">
        <v>951</v>
      </c>
      <c r="F10539" s="1516"/>
      <c r="G10539" s="1516"/>
      <c r="H10539" s="1516"/>
      <c r="V10539">
        <v>280</v>
      </c>
    </row>
    <row r="10540" spans="1:22" customFormat="1" ht="15" x14ac:dyDescent="0.25">
      <c r="A10540" t="s">
        <v>227</v>
      </c>
      <c r="B10540" t="s">
        <v>5731</v>
      </c>
      <c r="E10540" s="1516" t="s">
        <v>1081</v>
      </c>
      <c r="F10540" s="1516"/>
      <c r="G10540" s="1516"/>
      <c r="H10540" s="1516"/>
      <c r="V10540">
        <v>353</v>
      </c>
    </row>
    <row r="10541" spans="1:22" customFormat="1" ht="15" x14ac:dyDescent="0.25">
      <c r="A10541" t="s">
        <v>227</v>
      </c>
      <c r="B10541" t="s">
        <v>5731</v>
      </c>
      <c r="E10541" s="1516" t="s">
        <v>3762</v>
      </c>
      <c r="F10541" s="1516"/>
      <c r="G10541" s="1516"/>
      <c r="H10541" s="1516"/>
      <c r="V10541">
        <v>247</v>
      </c>
    </row>
    <row r="10542" spans="1:22" customFormat="1" ht="15" x14ac:dyDescent="0.25">
      <c r="A10542" t="s">
        <v>227</v>
      </c>
      <c r="B10542" t="s">
        <v>5731</v>
      </c>
      <c r="E10542" s="835" t="s">
        <v>3830</v>
      </c>
      <c r="F10542" s="318"/>
      <c r="G10542" s="318"/>
      <c r="H10542" s="656"/>
      <c r="K10542" t="s">
        <v>5724</v>
      </c>
      <c r="V10542">
        <v>23</v>
      </c>
    </row>
    <row r="10543" spans="1:22" customFormat="1" ht="15" x14ac:dyDescent="0.25">
      <c r="A10543" t="s">
        <v>227</v>
      </c>
      <c r="B10543" t="s">
        <v>5731</v>
      </c>
      <c r="E10543" s="1517" t="s">
        <v>3832</v>
      </c>
      <c r="F10543" s="1517"/>
      <c r="G10543" s="584" t="s">
        <v>777</v>
      </c>
      <c r="H10543" s="576">
        <v>15</v>
      </c>
      <c r="V10543">
        <v>19</v>
      </c>
    </row>
    <row r="10544" spans="1:22" customFormat="1" ht="15" x14ac:dyDescent="0.25">
      <c r="A10544" t="s">
        <v>227</v>
      </c>
      <c r="B10544" t="s">
        <v>5731</v>
      </c>
      <c r="E10544" s="1517" t="s">
        <v>4056</v>
      </c>
      <c r="F10544" s="1517"/>
      <c r="G10544" s="584" t="s">
        <v>777</v>
      </c>
      <c r="H10544" s="576">
        <v>15</v>
      </c>
      <c r="V10544">
        <v>15</v>
      </c>
    </row>
    <row r="10545" spans="1:22" customFormat="1" ht="15" x14ac:dyDescent="0.25">
      <c r="A10545" t="s">
        <v>227</v>
      </c>
      <c r="B10545" t="s">
        <v>5731</v>
      </c>
      <c r="E10545" s="1517" t="s">
        <v>3835</v>
      </c>
      <c r="F10545" s="1517"/>
      <c r="G10545" s="584" t="s">
        <v>777</v>
      </c>
      <c r="H10545" s="576">
        <v>15</v>
      </c>
      <c r="V10545">
        <v>56</v>
      </c>
    </row>
    <row r="10546" spans="1:22" customFormat="1" ht="15" x14ac:dyDescent="0.25">
      <c r="A10546" t="s">
        <v>227</v>
      </c>
      <c r="B10546" t="s">
        <v>5731</v>
      </c>
      <c r="E10546" s="1517" t="s">
        <v>3836</v>
      </c>
      <c r="F10546" s="1517"/>
      <c r="G10546" s="584" t="s">
        <v>777</v>
      </c>
      <c r="H10546" s="576">
        <v>15</v>
      </c>
      <c r="V10546">
        <v>35</v>
      </c>
    </row>
    <row r="10547" spans="1:22" customFormat="1" ht="15" x14ac:dyDescent="0.25">
      <c r="A10547" t="s">
        <v>227</v>
      </c>
      <c r="B10547" t="s">
        <v>5731</v>
      </c>
      <c r="E10547" s="1517" t="s">
        <v>3837</v>
      </c>
      <c r="F10547" s="1517"/>
      <c r="G10547" s="584" t="s">
        <v>777</v>
      </c>
      <c r="H10547" s="576">
        <v>30</v>
      </c>
      <c r="V10547">
        <v>89</v>
      </c>
    </row>
    <row r="10548" spans="1:22" customFormat="1" ht="15" x14ac:dyDescent="0.25">
      <c r="A10548" t="s">
        <v>227</v>
      </c>
      <c r="B10548" t="s">
        <v>5731</v>
      </c>
      <c r="E10548" s="1517" t="s">
        <v>3914</v>
      </c>
      <c r="F10548" s="1517"/>
      <c r="G10548" s="584" t="s">
        <v>777</v>
      </c>
      <c r="H10548" s="576">
        <v>30</v>
      </c>
      <c r="V10548">
        <v>19</v>
      </c>
    </row>
    <row r="10549" spans="1:22" customFormat="1" ht="15" x14ac:dyDescent="0.25">
      <c r="A10549" t="s">
        <v>227</v>
      </c>
      <c r="B10549" t="s">
        <v>5731</v>
      </c>
      <c r="E10549" s="1517" t="s">
        <v>3838</v>
      </c>
      <c r="F10549" s="1517"/>
      <c r="G10549" s="584" t="s">
        <v>777</v>
      </c>
      <c r="H10549" s="576">
        <v>30</v>
      </c>
      <c r="V10549">
        <v>74</v>
      </c>
    </row>
    <row r="10550" spans="1:22" customFormat="1" ht="15" x14ac:dyDescent="0.25">
      <c r="A10550" t="s">
        <v>227</v>
      </c>
      <c r="B10550" t="s">
        <v>5731</v>
      </c>
      <c r="E10550" s="835" t="s">
        <v>4062</v>
      </c>
      <c r="F10550" s="318"/>
      <c r="G10550" s="318"/>
      <c r="H10550" s="656"/>
      <c r="K10550" t="s">
        <v>5725</v>
      </c>
      <c r="V10550">
        <v>22</v>
      </c>
    </row>
    <row r="10551" spans="1:22" customFormat="1" ht="15" x14ac:dyDescent="0.25">
      <c r="A10551" t="s">
        <v>227</v>
      </c>
      <c r="B10551" t="s">
        <v>5731</v>
      </c>
      <c r="E10551" s="1517" t="s">
        <v>4064</v>
      </c>
      <c r="F10551" s="1517"/>
      <c r="G10551" s="584" t="s">
        <v>1118</v>
      </c>
      <c r="H10551" s="576">
        <v>1.5</v>
      </c>
      <c r="V10551">
        <v>99</v>
      </c>
    </row>
    <row r="10552" spans="1:22" customFormat="1" ht="15" x14ac:dyDescent="0.25">
      <c r="A10552" t="s">
        <v>227</v>
      </c>
      <c r="B10552" t="s">
        <v>5731</v>
      </c>
      <c r="E10552" s="1517" t="s">
        <v>3842</v>
      </c>
      <c r="F10552" s="1517"/>
      <c r="G10552" s="584" t="s">
        <v>777</v>
      </c>
      <c r="H10552" s="576">
        <v>65</v>
      </c>
      <c r="V10552">
        <v>44</v>
      </c>
    </row>
    <row r="10553" spans="1:22" customFormat="1" ht="15" x14ac:dyDescent="0.25">
      <c r="A10553" t="s">
        <v>227</v>
      </c>
      <c r="B10553" t="s">
        <v>5731</v>
      </c>
      <c r="E10553" s="1517" t="s">
        <v>3843</v>
      </c>
      <c r="F10553" s="1517"/>
      <c r="G10553" s="584" t="s">
        <v>777</v>
      </c>
      <c r="H10553" s="576">
        <v>185</v>
      </c>
      <c r="V10553">
        <v>43</v>
      </c>
    </row>
    <row r="10554" spans="1:22" customFormat="1" ht="15" x14ac:dyDescent="0.25">
      <c r="A10554" t="s">
        <v>227</v>
      </c>
      <c r="B10554" t="s">
        <v>5731</v>
      </c>
      <c r="E10554" s="1517" t="s">
        <v>3844</v>
      </c>
      <c r="F10554" s="1517"/>
      <c r="G10554" s="584" t="s">
        <v>777</v>
      </c>
      <c r="H10554" s="576">
        <v>185</v>
      </c>
      <c r="V10554">
        <v>43</v>
      </c>
    </row>
    <row r="10555" spans="1:22" customFormat="1" ht="15" x14ac:dyDescent="0.25">
      <c r="A10555" t="s">
        <v>227</v>
      </c>
      <c r="B10555" t="s">
        <v>5731</v>
      </c>
      <c r="E10555" s="835" t="s">
        <v>3846</v>
      </c>
      <c r="F10555" s="318"/>
      <c r="G10555" s="318"/>
      <c r="H10555" s="656"/>
      <c r="V10555">
        <v>5</v>
      </c>
    </row>
    <row r="10556" spans="1:22" customFormat="1" ht="15" x14ac:dyDescent="0.25">
      <c r="A10556" t="s">
        <v>227</v>
      </c>
      <c r="B10556" t="s">
        <v>5731</v>
      </c>
      <c r="E10556" s="1517" t="s">
        <v>3848</v>
      </c>
      <c r="F10556" s="1517"/>
      <c r="G10556" s="584" t="s">
        <v>777</v>
      </c>
      <c r="H10556" s="576">
        <v>500</v>
      </c>
      <c r="V10556">
        <v>64</v>
      </c>
    </row>
    <row r="10557" spans="1:22" customFormat="1" ht="15" x14ac:dyDescent="0.25">
      <c r="A10557" t="s">
        <v>227</v>
      </c>
      <c r="B10557" t="s">
        <v>5731</v>
      </c>
      <c r="E10557" s="1517" t="s">
        <v>4808</v>
      </c>
      <c r="F10557" s="1517"/>
      <c r="G10557" s="584" t="s">
        <v>777</v>
      </c>
      <c r="H10557" s="576">
        <v>300</v>
      </c>
      <c r="V10557">
        <v>67</v>
      </c>
    </row>
    <row r="10558" spans="1:22" customFormat="1" ht="15" x14ac:dyDescent="0.25">
      <c r="A10558" t="s">
        <v>227</v>
      </c>
      <c r="B10558" t="s">
        <v>5731</v>
      </c>
      <c r="E10558" s="1517" t="s">
        <v>5751</v>
      </c>
      <c r="F10558" s="1517"/>
      <c r="G10558" s="584" t="s">
        <v>777</v>
      </c>
      <c r="H10558" s="576">
        <v>39.14</v>
      </c>
      <c r="V10558">
        <v>104</v>
      </c>
    </row>
    <row r="10559" spans="1:22" customFormat="1" ht="18.75" x14ac:dyDescent="0.25">
      <c r="A10559" t="s">
        <v>227</v>
      </c>
      <c r="B10559" t="s">
        <v>5731</v>
      </c>
      <c r="E10559" s="1492" t="s">
        <v>3851</v>
      </c>
      <c r="F10559" s="1510"/>
      <c r="G10559" s="385"/>
      <c r="H10559" s="655"/>
      <c r="K10559" t="s">
        <v>5728</v>
      </c>
      <c r="V10559">
        <v>38</v>
      </c>
    </row>
    <row r="10560" spans="1:22" customFormat="1" ht="15" x14ac:dyDescent="0.25">
      <c r="A10560" t="s">
        <v>227</v>
      </c>
      <c r="B10560" t="s">
        <v>5731</v>
      </c>
      <c r="E10560" s="1516" t="s">
        <v>951</v>
      </c>
      <c r="F10560" s="1516"/>
      <c r="G10560" s="1516"/>
      <c r="H10560" s="1516"/>
      <c r="V10560">
        <v>280</v>
      </c>
    </row>
    <row r="10561" spans="1:22" customFormat="1" ht="15" x14ac:dyDescent="0.25">
      <c r="A10561" t="s">
        <v>227</v>
      </c>
      <c r="B10561" t="s">
        <v>5731</v>
      </c>
      <c r="E10561" s="1516" t="s">
        <v>952</v>
      </c>
      <c r="F10561" s="1516"/>
      <c r="G10561" s="1516"/>
      <c r="H10561" s="1516"/>
      <c r="V10561">
        <v>411</v>
      </c>
    </row>
    <row r="10562" spans="1:22" customFormat="1" ht="15" x14ac:dyDescent="0.25">
      <c r="A10562" t="s">
        <v>227</v>
      </c>
      <c r="B10562" t="s">
        <v>5731</v>
      </c>
      <c r="E10562" s="1516" t="s">
        <v>1103</v>
      </c>
      <c r="F10562" s="1516"/>
      <c r="G10562" s="1516"/>
      <c r="H10562" s="1516"/>
      <c r="V10562">
        <v>211</v>
      </c>
    </row>
    <row r="10563" spans="1:22" customFormat="1" ht="15" x14ac:dyDescent="0.25">
      <c r="A10563" t="s">
        <v>227</v>
      </c>
      <c r="B10563" t="s">
        <v>5731</v>
      </c>
      <c r="E10563" s="1516" t="s">
        <v>3762</v>
      </c>
      <c r="F10563" s="1516"/>
      <c r="G10563" s="1516"/>
      <c r="H10563" s="1516"/>
      <c r="V10563">
        <v>247</v>
      </c>
    </row>
    <row r="10564" spans="1:22" customFormat="1" ht="15" x14ac:dyDescent="0.25">
      <c r="A10564" t="s">
        <v>227</v>
      </c>
      <c r="B10564" t="s">
        <v>5731</v>
      </c>
      <c r="E10564" s="1516" t="s">
        <v>1104</v>
      </c>
      <c r="F10564" s="1516"/>
      <c r="G10564" s="1516"/>
      <c r="H10564" s="1516"/>
      <c r="V10564">
        <v>142</v>
      </c>
    </row>
    <row r="10565" spans="1:22" customFormat="1" ht="15" x14ac:dyDescent="0.25">
      <c r="A10565" t="s">
        <v>227</v>
      </c>
      <c r="B10565" t="s">
        <v>5731</v>
      </c>
      <c r="E10565" s="1524" t="s">
        <v>849</v>
      </c>
      <c r="F10565" s="1524"/>
      <c r="G10565" s="643" t="s">
        <v>777</v>
      </c>
      <c r="H10565" s="642">
        <v>121.23</v>
      </c>
      <c r="V10565">
        <v>106</v>
      </c>
    </row>
    <row r="10566" spans="1:22" customFormat="1" ht="15" x14ac:dyDescent="0.25">
      <c r="A10566" t="s">
        <v>227</v>
      </c>
      <c r="B10566" t="s">
        <v>5731</v>
      </c>
      <c r="E10566" s="1524" t="s">
        <v>850</v>
      </c>
      <c r="F10566" s="1524"/>
      <c r="G10566" s="643" t="s">
        <v>777</v>
      </c>
      <c r="H10566" s="642">
        <v>48.5</v>
      </c>
      <c r="V10566">
        <v>34</v>
      </c>
    </row>
    <row r="10567" spans="1:22" customFormat="1" ht="15" x14ac:dyDescent="0.25">
      <c r="A10567" t="s">
        <v>227</v>
      </c>
      <c r="B10567" t="s">
        <v>5731</v>
      </c>
      <c r="E10567" s="1524" t="s">
        <v>851</v>
      </c>
      <c r="F10567" s="1524"/>
      <c r="G10567" s="643" t="s">
        <v>852</v>
      </c>
      <c r="H10567" s="642">
        <v>1.2</v>
      </c>
      <c r="V10567">
        <v>51</v>
      </c>
    </row>
    <row r="10568" spans="1:22" customFormat="1" ht="15" x14ac:dyDescent="0.25">
      <c r="A10568" t="s">
        <v>227</v>
      </c>
      <c r="B10568" t="s">
        <v>5731</v>
      </c>
      <c r="E10568" s="1524" t="s">
        <v>853</v>
      </c>
      <c r="F10568" s="1524"/>
      <c r="G10568" s="643" t="s">
        <v>852</v>
      </c>
      <c r="H10568" s="642">
        <v>0.71</v>
      </c>
      <c r="V10568">
        <v>75</v>
      </c>
    </row>
    <row r="10569" spans="1:22" customFormat="1" ht="15" x14ac:dyDescent="0.25">
      <c r="A10569" t="s">
        <v>227</v>
      </c>
      <c r="B10569" t="s">
        <v>5731</v>
      </c>
      <c r="E10569" s="1524" t="s">
        <v>854</v>
      </c>
      <c r="F10569" s="1524"/>
      <c r="G10569" s="643" t="s">
        <v>852</v>
      </c>
      <c r="H10569" s="642">
        <v>-0.71</v>
      </c>
      <c r="V10569">
        <v>72</v>
      </c>
    </row>
    <row r="10570" spans="1:22" customFormat="1" ht="15" x14ac:dyDescent="0.25">
      <c r="A10570" t="s">
        <v>227</v>
      </c>
      <c r="B10570" t="s">
        <v>5731</v>
      </c>
      <c r="E10570" s="1524" t="s">
        <v>855</v>
      </c>
      <c r="F10570" s="1524"/>
      <c r="G10570" s="643"/>
      <c r="H10570" s="644"/>
      <c r="V10570">
        <v>34</v>
      </c>
    </row>
    <row r="10571" spans="1:22" customFormat="1" ht="15" x14ac:dyDescent="0.25">
      <c r="A10571" t="s">
        <v>227</v>
      </c>
      <c r="B10571" t="s">
        <v>5731</v>
      </c>
      <c r="E10571" s="1557" t="s">
        <v>1106</v>
      </c>
      <c r="F10571" s="1557"/>
      <c r="G10571" s="643" t="s">
        <v>777</v>
      </c>
      <c r="H10571" s="642">
        <v>0.61</v>
      </c>
      <c r="V10571">
        <v>57</v>
      </c>
    </row>
    <row r="10572" spans="1:22" customFormat="1" ht="15" x14ac:dyDescent="0.25">
      <c r="A10572" t="s">
        <v>227</v>
      </c>
      <c r="B10572" t="s">
        <v>5731</v>
      </c>
      <c r="E10572" s="1557" t="s">
        <v>1107</v>
      </c>
      <c r="F10572" s="1557"/>
      <c r="G10572" s="643" t="s">
        <v>777</v>
      </c>
      <c r="H10572" s="642">
        <v>1.2</v>
      </c>
      <c r="V10572">
        <v>60</v>
      </c>
    </row>
    <row r="10573" spans="1:22" customFormat="1" ht="15" x14ac:dyDescent="0.25">
      <c r="A10573" t="s">
        <v>227</v>
      </c>
      <c r="B10573" t="s">
        <v>5731</v>
      </c>
      <c r="E10573" s="1524" t="s">
        <v>1108</v>
      </c>
      <c r="F10573" s="1524"/>
      <c r="G10573" s="615"/>
      <c r="H10573" s="616"/>
      <c r="V10573">
        <v>91</v>
      </c>
    </row>
    <row r="10574" spans="1:22" customFormat="1" ht="15" x14ac:dyDescent="0.25">
      <c r="A10574" t="s">
        <v>227</v>
      </c>
      <c r="B10574" t="s">
        <v>5731</v>
      </c>
      <c r="E10574" s="1524" t="s">
        <v>1109</v>
      </c>
      <c r="F10574" s="1524"/>
      <c r="G10574" s="615"/>
      <c r="H10574" s="616"/>
      <c r="V10574">
        <v>96</v>
      </c>
    </row>
    <row r="10575" spans="1:22" customFormat="1" ht="15" x14ac:dyDescent="0.25">
      <c r="A10575" t="s">
        <v>227</v>
      </c>
      <c r="B10575" t="s">
        <v>5731</v>
      </c>
      <c r="E10575" s="1524" t="s">
        <v>856</v>
      </c>
      <c r="F10575" s="1524"/>
      <c r="G10575" s="615"/>
      <c r="H10575" s="616"/>
      <c r="V10575">
        <v>77</v>
      </c>
    </row>
    <row r="10576" spans="1:22" customFormat="1" ht="15" x14ac:dyDescent="0.25">
      <c r="A10576" t="s">
        <v>227</v>
      </c>
      <c r="B10576" t="s">
        <v>5731</v>
      </c>
      <c r="E10576" s="1557" t="s">
        <v>1111</v>
      </c>
      <c r="F10576" s="1557"/>
      <c r="G10576" s="615" t="s">
        <v>777</v>
      </c>
      <c r="H10576" s="616" t="s">
        <v>857</v>
      </c>
      <c r="V10576">
        <v>18</v>
      </c>
    </row>
    <row r="10577" spans="1:22" customFormat="1" ht="15" x14ac:dyDescent="0.25">
      <c r="A10577" t="s">
        <v>227</v>
      </c>
      <c r="B10577" t="s">
        <v>5731</v>
      </c>
      <c r="E10577" s="1557" t="s">
        <v>1112</v>
      </c>
      <c r="F10577" s="1557"/>
      <c r="G10577" s="615" t="s">
        <v>777</v>
      </c>
      <c r="H10577" s="604">
        <v>4.8499999999999996</v>
      </c>
      <c r="V10577">
        <v>69</v>
      </c>
    </row>
    <row r="10578" spans="1:22" customFormat="1" ht="15" x14ac:dyDescent="0.25">
      <c r="A10578" t="s">
        <v>227</v>
      </c>
      <c r="B10578" t="s">
        <v>5731</v>
      </c>
      <c r="E10578" s="1507" t="s">
        <v>858</v>
      </c>
      <c r="F10578" s="1507"/>
      <c r="G10578" s="585" t="s">
        <v>777</v>
      </c>
      <c r="H10578" s="349">
        <v>2.42</v>
      </c>
      <c r="V10578">
        <v>199</v>
      </c>
    </row>
    <row r="10579" spans="1:22" customFormat="1" ht="18.75" x14ac:dyDescent="0.25">
      <c r="A10579" t="s">
        <v>227</v>
      </c>
      <c r="B10579" t="s">
        <v>5731</v>
      </c>
      <c r="E10579" s="836" t="s">
        <v>3853</v>
      </c>
      <c r="F10579" s="476"/>
      <c r="G10579" s="476"/>
      <c r="H10579" s="475"/>
      <c r="K10579" t="s">
        <v>5729</v>
      </c>
      <c r="V10579">
        <v>12</v>
      </c>
    </row>
    <row r="10580" spans="1:22" customFormat="1" ht="15" x14ac:dyDescent="0.25">
      <c r="A10580" t="s">
        <v>227</v>
      </c>
      <c r="B10580" t="s">
        <v>5731</v>
      </c>
      <c r="E10580" s="1507" t="s">
        <v>1114</v>
      </c>
      <c r="F10580" s="1507"/>
      <c r="G10580" s="1507"/>
      <c r="H10580" s="1507"/>
      <c r="V10580">
        <v>203</v>
      </c>
    </row>
    <row r="10581" spans="1:22" customFormat="1" ht="15" x14ac:dyDescent="0.25">
      <c r="A10581" t="s">
        <v>227</v>
      </c>
      <c r="B10581" t="s">
        <v>5731</v>
      </c>
      <c r="E10581" s="1507" t="s">
        <v>1115</v>
      </c>
      <c r="F10581" s="1507"/>
      <c r="G10581" s="584"/>
      <c r="H10581" s="650">
        <v>1.0325</v>
      </c>
      <c r="V10581">
        <v>57</v>
      </c>
    </row>
    <row r="10582" spans="1:22" customFormat="1" ht="15" x14ac:dyDescent="0.25">
      <c r="A10582" t="s">
        <v>227</v>
      </c>
      <c r="B10582" t="s">
        <v>5731</v>
      </c>
      <c r="E10582" s="1507" t="s">
        <v>4072</v>
      </c>
      <c r="F10582" s="1507"/>
      <c r="G10582" s="584"/>
      <c r="H10582" s="650">
        <v>1.0144</v>
      </c>
      <c r="V10582">
        <v>57</v>
      </c>
    </row>
    <row r="10583" spans="1:22" customFormat="1" ht="15" x14ac:dyDescent="0.25">
      <c r="A10583" t="s">
        <v>227</v>
      </c>
      <c r="B10583" t="s">
        <v>5731</v>
      </c>
      <c r="E10583" s="1507" t="s">
        <v>1117</v>
      </c>
      <c r="F10583" s="1507"/>
      <c r="G10583" s="584"/>
      <c r="H10583" s="650">
        <v>1.0222</v>
      </c>
      <c r="V10583">
        <v>55</v>
      </c>
    </row>
    <row r="10584" spans="1:22" customFormat="1" ht="15" x14ac:dyDescent="0.25">
      <c r="A10584" t="s">
        <v>227</v>
      </c>
      <c r="B10584" t="s">
        <v>5731</v>
      </c>
      <c r="E10584" s="1507" t="s">
        <v>4073</v>
      </c>
      <c r="F10584" s="1507"/>
      <c r="G10584" s="584"/>
      <c r="H10584" s="650">
        <v>1.0043</v>
      </c>
      <c r="J10584" t="s">
        <v>5752</v>
      </c>
      <c r="V10584">
        <v>55</v>
      </c>
    </row>
    <row r="10585" spans="1:22" customFormat="1" ht="23.25" x14ac:dyDescent="0.25">
      <c r="A10585" t="s">
        <v>305</v>
      </c>
      <c r="C10585" t="s">
        <v>3755</v>
      </c>
      <c r="E10585" s="1576" t="s">
        <v>305</v>
      </c>
      <c r="F10585" s="1576"/>
      <c r="G10585" s="1576"/>
      <c r="H10585" s="1576"/>
      <c r="I10585" t="s">
        <v>94</v>
      </c>
      <c r="J10585" t="s">
        <v>5669</v>
      </c>
      <c r="K10585" t="s">
        <v>305</v>
      </c>
      <c r="M10585">
        <v>5</v>
      </c>
      <c r="V10585">
        <v>24</v>
      </c>
    </row>
    <row r="10586" spans="1:22" customFormat="1" x14ac:dyDescent="0.25">
      <c r="A10586" t="s">
        <v>305</v>
      </c>
      <c r="C10586" t="s">
        <v>3757</v>
      </c>
      <c r="E10586" s="1577" t="s">
        <v>944</v>
      </c>
      <c r="F10586" s="1577"/>
      <c r="G10586" s="1577"/>
      <c r="H10586" s="1577"/>
      <c r="V10586">
        <v>27</v>
      </c>
    </row>
    <row r="10587" spans="1:22" customFormat="1" ht="15.75" x14ac:dyDescent="0.25">
      <c r="A10587" t="s">
        <v>305</v>
      </c>
      <c r="C10587" t="s">
        <v>3758</v>
      </c>
      <c r="E10587" s="1585" t="s">
        <v>5260</v>
      </c>
      <c r="F10587" s="1585"/>
      <c r="G10587" s="1585"/>
      <c r="H10587" s="1585"/>
      <c r="S10587">
        <v>45413</v>
      </c>
      <c r="V10587">
        <v>45</v>
      </c>
    </row>
    <row r="10588" spans="1:22" customFormat="1" ht="15" x14ac:dyDescent="0.25">
      <c r="A10588" t="s">
        <v>305</v>
      </c>
      <c r="C10588" t="s">
        <v>3759</v>
      </c>
      <c r="E10588" s="1575" t="s">
        <v>945</v>
      </c>
      <c r="F10588" s="1575"/>
      <c r="G10588" s="1575"/>
      <c r="H10588" s="1575"/>
      <c r="V10588">
        <v>52</v>
      </c>
    </row>
    <row r="10589" spans="1:22" customFormat="1" ht="15" x14ac:dyDescent="0.25">
      <c r="A10589" t="s">
        <v>305</v>
      </c>
      <c r="E10589" s="1575" t="s">
        <v>946</v>
      </c>
      <c r="F10589" s="1575"/>
      <c r="G10589" s="1575"/>
      <c r="H10589" s="1575"/>
      <c r="V10589">
        <v>53</v>
      </c>
    </row>
    <row r="10590" spans="1:22" customFormat="1" ht="15" x14ac:dyDescent="0.25">
      <c r="A10590" t="s">
        <v>305</v>
      </c>
      <c r="E10590" s="1534" t="s">
        <v>5670</v>
      </c>
      <c r="F10590" s="1534"/>
      <c r="G10590" s="1534"/>
      <c r="H10590" s="1534"/>
      <c r="K10590" t="s">
        <v>5670</v>
      </c>
      <c r="V10590">
        <v>12</v>
      </c>
    </row>
    <row r="10591" spans="1:22" customFormat="1" ht="15" x14ac:dyDescent="0.25">
      <c r="A10591" t="s">
        <v>305</v>
      </c>
      <c r="E10591" s="1538" t="s">
        <v>170</v>
      </c>
      <c r="F10591" s="1496"/>
      <c r="G10591" s="1496"/>
      <c r="H10591" s="1496"/>
      <c r="K10591" t="s">
        <v>947</v>
      </c>
      <c r="V10591">
        <v>34</v>
      </c>
    </row>
    <row r="10592" spans="1:22" customFormat="1" ht="15" x14ac:dyDescent="0.25">
      <c r="A10592" t="s">
        <v>305</v>
      </c>
      <c r="E10592" s="1496" t="s">
        <v>4537</v>
      </c>
      <c r="F10592" s="1496"/>
      <c r="G10592" s="1496"/>
      <c r="H10592" s="1496"/>
      <c r="K10592" t="s">
        <v>947</v>
      </c>
      <c r="V10592">
        <v>652</v>
      </c>
    </row>
    <row r="10593" spans="1:22" customFormat="1" ht="15" x14ac:dyDescent="0.25">
      <c r="A10593" t="s">
        <v>305</v>
      </c>
      <c r="E10593" s="1533" t="s">
        <v>950</v>
      </c>
      <c r="F10593" s="1496"/>
      <c r="G10593" s="1496"/>
      <c r="H10593" s="1496"/>
      <c r="K10593" t="s">
        <v>949</v>
      </c>
      <c r="V10593">
        <v>11</v>
      </c>
    </row>
    <row r="10594" spans="1:22" customFormat="1" ht="15" x14ac:dyDescent="0.25">
      <c r="A10594" t="s">
        <v>305</v>
      </c>
      <c r="E10594" s="1496" t="s">
        <v>951</v>
      </c>
      <c r="F10594" s="1496"/>
      <c r="G10594" s="1496"/>
      <c r="H10594" s="1496"/>
      <c r="K10594" t="s">
        <v>947</v>
      </c>
      <c r="V10594">
        <v>280</v>
      </c>
    </row>
    <row r="10595" spans="1:22" customFormat="1" ht="15" x14ac:dyDescent="0.25">
      <c r="A10595" t="s">
        <v>305</v>
      </c>
      <c r="E10595" s="1496" t="s">
        <v>952</v>
      </c>
      <c r="F10595" s="1496"/>
      <c r="G10595" s="1496"/>
      <c r="H10595" s="1496"/>
      <c r="K10595" t="s">
        <v>947</v>
      </c>
      <c r="V10595">
        <v>411</v>
      </c>
    </row>
    <row r="10596" spans="1:22" customFormat="1" ht="15" x14ac:dyDescent="0.25">
      <c r="A10596" t="s">
        <v>305</v>
      </c>
      <c r="E10596" s="1496" t="s">
        <v>5671</v>
      </c>
      <c r="F10596" s="1496"/>
      <c r="G10596" s="1496"/>
      <c r="H10596" s="1496"/>
      <c r="K10596" t="s">
        <v>947</v>
      </c>
      <c r="V10596">
        <v>389</v>
      </c>
    </row>
    <row r="10597" spans="1:22" customFormat="1" ht="15" x14ac:dyDescent="0.25">
      <c r="A10597" t="s">
        <v>305</v>
      </c>
      <c r="E10597" s="1496" t="s">
        <v>3762</v>
      </c>
      <c r="F10597" s="1496"/>
      <c r="G10597" s="1496"/>
      <c r="H10597" s="1496"/>
      <c r="K10597" t="s">
        <v>947</v>
      </c>
      <c r="V10597">
        <v>247</v>
      </c>
    </row>
    <row r="10598" spans="1:22" customFormat="1" ht="15" x14ac:dyDescent="0.25">
      <c r="A10598" t="s">
        <v>305</v>
      </c>
      <c r="E10598" s="1533" t="s">
        <v>956</v>
      </c>
      <c r="F10598" s="1496"/>
      <c r="G10598" s="1496"/>
      <c r="H10598" s="1496"/>
      <c r="K10598" t="s">
        <v>955</v>
      </c>
      <c r="V10598">
        <v>46</v>
      </c>
    </row>
    <row r="10599" spans="1:22" customFormat="1" ht="15" x14ac:dyDescent="0.25">
      <c r="A10599" t="s">
        <v>305</v>
      </c>
      <c r="E10599" s="1524" t="s">
        <v>3773</v>
      </c>
      <c r="F10599" s="1524"/>
      <c r="G10599" s="892" t="s">
        <v>777</v>
      </c>
      <c r="H10599" s="349">
        <v>55.71</v>
      </c>
      <c r="K10599" t="s">
        <v>947</v>
      </c>
      <c r="L10599" t="s">
        <v>690</v>
      </c>
      <c r="P10599" t="s">
        <v>957</v>
      </c>
      <c r="V10599">
        <v>14</v>
      </c>
    </row>
    <row r="10600" spans="1:22" customFormat="1" ht="15" x14ac:dyDescent="0.25">
      <c r="A10600" t="s">
        <v>305</v>
      </c>
      <c r="E10600" s="1524" t="s">
        <v>5672</v>
      </c>
      <c r="F10600" s="1507"/>
      <c r="G10600" s="892" t="s">
        <v>777</v>
      </c>
      <c r="H10600" s="349">
        <v>2.27</v>
      </c>
      <c r="K10600" t="s">
        <v>947</v>
      </c>
      <c r="L10600" t="s">
        <v>692</v>
      </c>
      <c r="P10600" t="s">
        <v>6936</v>
      </c>
      <c r="T10600">
        <v>45777</v>
      </c>
      <c r="V10600">
        <v>83</v>
      </c>
    </row>
    <row r="10601" spans="1:22" customFormat="1" ht="15" x14ac:dyDescent="0.25">
      <c r="A10601" t="s">
        <v>305</v>
      </c>
      <c r="E10601" s="1524" t="s">
        <v>960</v>
      </c>
      <c r="F10601" s="1524"/>
      <c r="G10601" s="892" t="s">
        <v>777</v>
      </c>
      <c r="H10601" s="642">
        <v>0.42</v>
      </c>
      <c r="K10601" t="s">
        <v>947</v>
      </c>
      <c r="L10601" t="s">
        <v>692</v>
      </c>
      <c r="P10601" t="s">
        <v>959</v>
      </c>
      <c r="V10601">
        <v>64</v>
      </c>
    </row>
    <row r="10602" spans="1:22" customFormat="1" ht="15" x14ac:dyDescent="0.25">
      <c r="A10602" t="s">
        <v>305</v>
      </c>
      <c r="E10602" s="1524" t="s">
        <v>910</v>
      </c>
      <c r="F10602" s="1524"/>
      <c r="G10602" s="892" t="s">
        <v>845</v>
      </c>
      <c r="H10602" s="904">
        <v>6.7000000000000002E-3</v>
      </c>
      <c r="K10602" t="s">
        <v>947</v>
      </c>
      <c r="L10602" t="s">
        <v>692</v>
      </c>
      <c r="P10602" t="s">
        <v>961</v>
      </c>
      <c r="V10602">
        <v>24</v>
      </c>
    </row>
    <row r="10603" spans="1:22" customFormat="1" ht="15" x14ac:dyDescent="0.25">
      <c r="A10603" t="s">
        <v>305</v>
      </c>
      <c r="E10603" s="1524" t="s">
        <v>5262</v>
      </c>
      <c r="F10603" s="1510"/>
      <c r="G10603" s="892" t="s">
        <v>845</v>
      </c>
      <c r="H10603" s="904">
        <v>6.9999999999999999E-4</v>
      </c>
      <c r="K10603" t="s">
        <v>947</v>
      </c>
      <c r="L10603" t="s">
        <v>692</v>
      </c>
      <c r="P10603" t="s">
        <v>962</v>
      </c>
      <c r="T10603">
        <v>45777</v>
      </c>
      <c r="V10603">
        <v>139</v>
      </c>
    </row>
    <row r="10604" spans="1:22" customFormat="1" ht="15" x14ac:dyDescent="0.25">
      <c r="A10604" t="s">
        <v>305</v>
      </c>
      <c r="E10604" s="1524" t="s">
        <v>5263</v>
      </c>
      <c r="F10604" s="1510"/>
      <c r="G10604" s="892" t="s">
        <v>845</v>
      </c>
      <c r="H10604" s="904">
        <v>1.6999999999999999E-3</v>
      </c>
      <c r="K10604" t="s">
        <v>947</v>
      </c>
      <c r="L10604" t="s">
        <v>692</v>
      </c>
      <c r="P10604" t="s">
        <v>963</v>
      </c>
      <c r="T10604">
        <v>45777</v>
      </c>
      <c r="V10604">
        <v>96</v>
      </c>
    </row>
    <row r="10605" spans="1:22" customFormat="1" ht="15" x14ac:dyDescent="0.25">
      <c r="A10605" t="s">
        <v>305</v>
      </c>
      <c r="E10605" s="1524" t="s">
        <v>243</v>
      </c>
      <c r="F10605" s="1524"/>
      <c r="G10605" s="892" t="s">
        <v>845</v>
      </c>
      <c r="H10605" s="353">
        <v>9.9000000000000008E-3</v>
      </c>
      <c r="K10605" t="s">
        <v>947</v>
      </c>
      <c r="L10605" t="s">
        <v>694</v>
      </c>
      <c r="P10605" t="s">
        <v>964</v>
      </c>
      <c r="V10605">
        <v>47</v>
      </c>
    </row>
    <row r="10606" spans="1:22" customFormat="1" ht="15" x14ac:dyDescent="0.25">
      <c r="A10606" t="s">
        <v>305</v>
      </c>
      <c r="E10606" s="1524" t="s">
        <v>175</v>
      </c>
      <c r="F10606" s="1524"/>
      <c r="G10606" s="892" t="s">
        <v>845</v>
      </c>
      <c r="H10606" s="353">
        <v>1.4E-3</v>
      </c>
      <c r="K10606" t="s">
        <v>947</v>
      </c>
      <c r="L10606" t="s">
        <v>694</v>
      </c>
      <c r="P10606" t="s">
        <v>965</v>
      </c>
      <c r="V10606">
        <v>74</v>
      </c>
    </row>
    <row r="10607" spans="1:22" customFormat="1" ht="15" x14ac:dyDescent="0.25">
      <c r="A10607" t="s">
        <v>305</v>
      </c>
      <c r="E10607" s="1533" t="s">
        <v>967</v>
      </c>
      <c r="F10607" s="1524"/>
      <c r="G10607" s="892"/>
      <c r="H10607" s="892"/>
      <c r="K10607" t="s">
        <v>966</v>
      </c>
      <c r="V10607">
        <v>48</v>
      </c>
    </row>
    <row r="10608" spans="1:22" customFormat="1" ht="15" x14ac:dyDescent="0.25">
      <c r="A10608" t="s">
        <v>305</v>
      </c>
      <c r="E10608" s="1524" t="s">
        <v>844</v>
      </c>
      <c r="F10608" s="1524"/>
      <c r="G10608" s="892" t="s">
        <v>845</v>
      </c>
      <c r="H10608" s="904">
        <v>4.1000000000000003E-3</v>
      </c>
      <c r="K10608" t="s">
        <v>947</v>
      </c>
      <c r="L10608" t="s">
        <v>968</v>
      </c>
      <c r="P10608" t="s">
        <v>969</v>
      </c>
      <c r="V10608">
        <v>55</v>
      </c>
    </row>
    <row r="10609" spans="1:22" customFormat="1" ht="15" x14ac:dyDescent="0.25">
      <c r="A10609" t="s">
        <v>305</v>
      </c>
      <c r="E10609" s="1524" t="s">
        <v>846</v>
      </c>
      <c r="F10609" s="1524"/>
      <c r="G10609" s="892" t="s">
        <v>845</v>
      </c>
      <c r="H10609" s="904">
        <v>4.0000000000000002E-4</v>
      </c>
      <c r="K10609" t="s">
        <v>947</v>
      </c>
      <c r="L10609" t="s">
        <v>968</v>
      </c>
      <c r="P10609" t="s">
        <v>969</v>
      </c>
      <c r="V10609">
        <v>65</v>
      </c>
    </row>
    <row r="10610" spans="1:22" customFormat="1" ht="15" x14ac:dyDescent="0.25">
      <c r="A10610" t="s">
        <v>305</v>
      </c>
      <c r="E10610" s="1524" t="s">
        <v>847</v>
      </c>
      <c r="F10610" s="1524"/>
      <c r="G10610" s="892" t="s">
        <v>845</v>
      </c>
      <c r="H10610" s="904">
        <v>1.4E-3</v>
      </c>
      <c r="K10610" t="s">
        <v>947</v>
      </c>
      <c r="L10610" t="s">
        <v>968</v>
      </c>
      <c r="P10610" t="s">
        <v>970</v>
      </c>
      <c r="V10610">
        <v>57</v>
      </c>
    </row>
    <row r="10611" spans="1:22" customFormat="1" ht="15" x14ac:dyDescent="0.25">
      <c r="A10611" t="s">
        <v>305</v>
      </c>
      <c r="E10611" s="1524" t="s">
        <v>848</v>
      </c>
      <c r="F10611" s="1524"/>
      <c r="G10611" s="892" t="s">
        <v>777</v>
      </c>
      <c r="H10611" s="642">
        <v>0.25</v>
      </c>
      <c r="K10611" t="s">
        <v>947</v>
      </c>
      <c r="L10611" t="s">
        <v>968</v>
      </c>
      <c r="P10611" t="s">
        <v>971</v>
      </c>
      <c r="V10611">
        <v>63</v>
      </c>
    </row>
    <row r="10612" spans="1:22" customFormat="1" x14ac:dyDescent="0.25">
      <c r="A10612" t="s">
        <v>305</v>
      </c>
      <c r="E10612" s="1538" t="s">
        <v>174</v>
      </c>
      <c r="F10612" s="1571"/>
      <c r="G10612" s="1571"/>
      <c r="H10612" s="1571"/>
      <c r="K10612" t="s">
        <v>972</v>
      </c>
      <c r="V10612">
        <v>54</v>
      </c>
    </row>
    <row r="10613" spans="1:22" customFormat="1" ht="15" x14ac:dyDescent="0.25">
      <c r="A10613" t="s">
        <v>305</v>
      </c>
      <c r="E10613" s="1496" t="s">
        <v>5673</v>
      </c>
      <c r="F10613" s="1496"/>
      <c r="G10613" s="1496"/>
      <c r="H10613" s="1496"/>
      <c r="K10613" t="s">
        <v>972</v>
      </c>
      <c r="V10613">
        <v>336</v>
      </c>
    </row>
    <row r="10614" spans="1:22" customFormat="1" ht="15" x14ac:dyDescent="0.25">
      <c r="A10614" t="s">
        <v>305</v>
      </c>
      <c r="E10614" s="1533" t="s">
        <v>950</v>
      </c>
      <c r="F10614" s="1496"/>
      <c r="G10614" s="1496"/>
      <c r="H10614" s="1496"/>
      <c r="K10614" t="s">
        <v>974</v>
      </c>
      <c r="V10614">
        <v>11</v>
      </c>
    </row>
    <row r="10615" spans="1:22" customFormat="1" ht="15" x14ac:dyDescent="0.25">
      <c r="A10615" t="s">
        <v>305</v>
      </c>
      <c r="E10615" s="1496" t="s">
        <v>951</v>
      </c>
      <c r="F10615" s="1496"/>
      <c r="G10615" s="1496"/>
      <c r="H10615" s="1496"/>
      <c r="K10615" t="s">
        <v>972</v>
      </c>
      <c r="V10615">
        <v>280</v>
      </c>
    </row>
    <row r="10616" spans="1:22" customFormat="1" ht="15" x14ac:dyDescent="0.25">
      <c r="A10616" t="s">
        <v>305</v>
      </c>
      <c r="E10616" s="1496" t="s">
        <v>952</v>
      </c>
      <c r="F10616" s="1496"/>
      <c r="G10616" s="1496"/>
      <c r="H10616" s="1496"/>
      <c r="K10616" t="s">
        <v>972</v>
      </c>
      <c r="V10616">
        <v>411</v>
      </c>
    </row>
    <row r="10617" spans="1:22" customFormat="1" ht="15" x14ac:dyDescent="0.25">
      <c r="A10617" t="s">
        <v>305</v>
      </c>
      <c r="E10617" s="1496" t="s">
        <v>5671</v>
      </c>
      <c r="F10617" s="1496"/>
      <c r="G10617" s="1496"/>
      <c r="H10617" s="1496"/>
      <c r="K10617" t="s">
        <v>972</v>
      </c>
      <c r="V10617">
        <v>389</v>
      </c>
    </row>
    <row r="10618" spans="1:22" customFormat="1" ht="15" x14ac:dyDescent="0.25">
      <c r="A10618" t="s">
        <v>305</v>
      </c>
      <c r="E10618" s="1496" t="s">
        <v>3762</v>
      </c>
      <c r="F10618" s="1496"/>
      <c r="G10618" s="1496"/>
      <c r="H10618" s="1496"/>
      <c r="K10618" t="s">
        <v>972</v>
      </c>
      <c r="V10618">
        <v>247</v>
      </c>
    </row>
    <row r="10619" spans="1:22" customFormat="1" ht="15" x14ac:dyDescent="0.25">
      <c r="A10619" t="s">
        <v>305</v>
      </c>
      <c r="E10619" s="1533" t="s">
        <v>956</v>
      </c>
      <c r="F10619" s="1496"/>
      <c r="G10619" s="1496"/>
      <c r="H10619" s="1496"/>
      <c r="K10619" t="s">
        <v>975</v>
      </c>
      <c r="V10619">
        <v>46</v>
      </c>
    </row>
    <row r="10620" spans="1:22" customFormat="1" ht="15" x14ac:dyDescent="0.25">
      <c r="A10620" t="s">
        <v>305</v>
      </c>
      <c r="E10620" s="1524" t="s">
        <v>3773</v>
      </c>
      <c r="F10620" s="1524"/>
      <c r="G10620" s="892" t="s">
        <v>777</v>
      </c>
      <c r="H10620" s="349">
        <v>53.95</v>
      </c>
      <c r="K10620" t="s">
        <v>972</v>
      </c>
      <c r="L10620" t="s">
        <v>690</v>
      </c>
      <c r="P10620" t="s">
        <v>976</v>
      </c>
      <c r="V10620">
        <v>14</v>
      </c>
    </row>
    <row r="10621" spans="1:22" customFormat="1" ht="15" x14ac:dyDescent="0.25">
      <c r="A10621" t="s">
        <v>305</v>
      </c>
      <c r="E10621" s="1524" t="s">
        <v>5672</v>
      </c>
      <c r="F10621" s="1507"/>
      <c r="G10621" s="892" t="s">
        <v>777</v>
      </c>
      <c r="H10621" s="349">
        <v>3.44</v>
      </c>
      <c r="K10621" t="s">
        <v>972</v>
      </c>
      <c r="L10621" t="s">
        <v>692</v>
      </c>
      <c r="P10621" t="s">
        <v>6937</v>
      </c>
      <c r="T10621">
        <v>45777</v>
      </c>
      <c r="V10621">
        <v>83</v>
      </c>
    </row>
    <row r="10622" spans="1:22" customFormat="1" ht="15" x14ac:dyDescent="0.25">
      <c r="A10622" t="s">
        <v>305</v>
      </c>
      <c r="E10622" s="1524" t="s">
        <v>960</v>
      </c>
      <c r="F10622" s="1524"/>
      <c r="G10622" s="892" t="s">
        <v>777</v>
      </c>
      <c r="H10622" s="642">
        <v>0.42</v>
      </c>
      <c r="K10622" t="s">
        <v>972</v>
      </c>
      <c r="L10622" t="s">
        <v>692</v>
      </c>
      <c r="P10622" t="s">
        <v>977</v>
      </c>
      <c r="V10622">
        <v>64</v>
      </c>
    </row>
    <row r="10623" spans="1:22" customFormat="1" ht="15" x14ac:dyDescent="0.25">
      <c r="A10623" t="s">
        <v>305</v>
      </c>
      <c r="E10623" s="1524" t="s">
        <v>3688</v>
      </c>
      <c r="F10623" s="1524"/>
      <c r="G10623" s="892" t="s">
        <v>845</v>
      </c>
      <c r="H10623" s="353">
        <v>1.18E-2</v>
      </c>
      <c r="K10623" t="s">
        <v>972</v>
      </c>
      <c r="L10623" t="s">
        <v>690</v>
      </c>
      <c r="P10623" t="s">
        <v>978</v>
      </c>
      <c r="V10623">
        <v>28</v>
      </c>
    </row>
    <row r="10624" spans="1:22" customFormat="1" ht="15" x14ac:dyDescent="0.25">
      <c r="A10624" t="s">
        <v>305</v>
      </c>
      <c r="E10624" s="1524" t="s">
        <v>910</v>
      </c>
      <c r="F10624" s="1524"/>
      <c r="G10624" s="892" t="s">
        <v>845</v>
      </c>
      <c r="H10624" s="904">
        <v>4.7999999999999996E-3</v>
      </c>
      <c r="K10624" t="s">
        <v>972</v>
      </c>
      <c r="L10624" t="s">
        <v>692</v>
      </c>
      <c r="P10624" t="s">
        <v>980</v>
      </c>
      <c r="V10624">
        <v>24</v>
      </c>
    </row>
    <row r="10625" spans="1:22" customFormat="1" ht="15" x14ac:dyDescent="0.25">
      <c r="A10625" t="s">
        <v>305</v>
      </c>
      <c r="E10625" s="1524" t="s">
        <v>5262</v>
      </c>
      <c r="F10625" s="1510"/>
      <c r="G10625" s="892" t="s">
        <v>845</v>
      </c>
      <c r="H10625" s="904">
        <v>6.9999999999999999E-4</v>
      </c>
      <c r="K10625" t="s">
        <v>972</v>
      </c>
      <c r="L10625" t="s">
        <v>692</v>
      </c>
      <c r="P10625" t="s">
        <v>981</v>
      </c>
      <c r="T10625">
        <v>45777</v>
      </c>
      <c r="V10625">
        <v>139</v>
      </c>
    </row>
    <row r="10626" spans="1:22" customFormat="1" ht="15" x14ac:dyDescent="0.25">
      <c r="A10626" t="s">
        <v>305</v>
      </c>
      <c r="E10626" s="1524" t="s">
        <v>5263</v>
      </c>
      <c r="F10626" s="1510"/>
      <c r="G10626" s="892" t="s">
        <v>845</v>
      </c>
      <c r="H10626" s="904">
        <v>1.8E-3</v>
      </c>
      <c r="K10626" t="s">
        <v>972</v>
      </c>
      <c r="L10626" t="s">
        <v>692</v>
      </c>
      <c r="P10626" t="s">
        <v>982</v>
      </c>
      <c r="T10626">
        <v>45777</v>
      </c>
      <c r="V10626">
        <v>96</v>
      </c>
    </row>
    <row r="10627" spans="1:22" customFormat="1" ht="15" x14ac:dyDescent="0.25">
      <c r="A10627" t="s">
        <v>305</v>
      </c>
      <c r="E10627" s="1524" t="s">
        <v>243</v>
      </c>
      <c r="F10627" s="1524"/>
      <c r="G10627" s="892" t="s">
        <v>845</v>
      </c>
      <c r="H10627" s="353">
        <v>8.8000000000000005E-3</v>
      </c>
      <c r="K10627" t="s">
        <v>972</v>
      </c>
      <c r="L10627" t="s">
        <v>694</v>
      </c>
      <c r="P10627" t="s">
        <v>983</v>
      </c>
      <c r="V10627">
        <v>47</v>
      </c>
    </row>
    <row r="10628" spans="1:22" customFormat="1" ht="15" x14ac:dyDescent="0.25">
      <c r="A10628" t="s">
        <v>305</v>
      </c>
      <c r="E10628" s="1524" t="s">
        <v>175</v>
      </c>
      <c r="F10628" s="1524"/>
      <c r="G10628" s="892" t="s">
        <v>845</v>
      </c>
      <c r="H10628" s="353">
        <v>1E-3</v>
      </c>
      <c r="K10628" t="s">
        <v>972</v>
      </c>
      <c r="L10628" t="s">
        <v>694</v>
      </c>
      <c r="P10628" t="s">
        <v>984</v>
      </c>
      <c r="V10628">
        <v>74</v>
      </c>
    </row>
    <row r="10629" spans="1:22" customFormat="1" ht="15" x14ac:dyDescent="0.25">
      <c r="A10629" t="s">
        <v>305</v>
      </c>
      <c r="E10629" s="1533" t="s">
        <v>967</v>
      </c>
      <c r="F10629" s="1524"/>
      <c r="G10629" s="892"/>
      <c r="H10629" s="892"/>
      <c r="K10629" t="s">
        <v>985</v>
      </c>
      <c r="V10629">
        <v>48</v>
      </c>
    </row>
    <row r="10630" spans="1:22" customFormat="1" ht="15" x14ac:dyDescent="0.25">
      <c r="A10630" t="s">
        <v>305</v>
      </c>
      <c r="E10630" s="1524" t="s">
        <v>844</v>
      </c>
      <c r="F10630" s="1524"/>
      <c r="G10630" s="892" t="s">
        <v>845</v>
      </c>
      <c r="H10630" s="904">
        <v>4.1000000000000003E-3</v>
      </c>
      <c r="K10630" t="s">
        <v>972</v>
      </c>
      <c r="L10630" t="s">
        <v>968</v>
      </c>
      <c r="P10630" t="s">
        <v>986</v>
      </c>
      <c r="V10630">
        <v>55</v>
      </c>
    </row>
    <row r="10631" spans="1:22" customFormat="1" ht="15" x14ac:dyDescent="0.25">
      <c r="A10631" t="s">
        <v>305</v>
      </c>
      <c r="E10631" s="1524" t="s">
        <v>846</v>
      </c>
      <c r="F10631" s="1524"/>
      <c r="G10631" s="892" t="s">
        <v>845</v>
      </c>
      <c r="H10631" s="904">
        <v>4.0000000000000002E-4</v>
      </c>
      <c r="K10631" t="s">
        <v>972</v>
      </c>
      <c r="L10631" t="s">
        <v>968</v>
      </c>
      <c r="P10631" t="s">
        <v>986</v>
      </c>
      <c r="V10631">
        <v>65</v>
      </c>
    </row>
    <row r="10632" spans="1:22" customFormat="1" ht="15" x14ac:dyDescent="0.25">
      <c r="A10632" t="s">
        <v>305</v>
      </c>
      <c r="E10632" s="1524" t="s">
        <v>847</v>
      </c>
      <c r="F10632" s="1524"/>
      <c r="G10632" s="892" t="s">
        <v>845</v>
      </c>
      <c r="H10632" s="904">
        <v>1.4E-3</v>
      </c>
      <c r="K10632" t="s">
        <v>972</v>
      </c>
      <c r="L10632" t="s">
        <v>968</v>
      </c>
      <c r="P10632" t="s">
        <v>987</v>
      </c>
      <c r="V10632">
        <v>57</v>
      </c>
    </row>
    <row r="10633" spans="1:22" customFormat="1" ht="15" x14ac:dyDescent="0.25">
      <c r="A10633" t="s">
        <v>305</v>
      </c>
      <c r="E10633" s="1524" t="s">
        <v>848</v>
      </c>
      <c r="F10633" s="1524"/>
      <c r="G10633" s="892" t="s">
        <v>777</v>
      </c>
      <c r="H10633" s="642">
        <v>0.25</v>
      </c>
      <c r="K10633" t="s">
        <v>972</v>
      </c>
      <c r="L10633" t="s">
        <v>968</v>
      </c>
      <c r="P10633" t="s">
        <v>988</v>
      </c>
      <c r="V10633">
        <v>63</v>
      </c>
    </row>
    <row r="10634" spans="1:22" customFormat="1" x14ac:dyDescent="0.25">
      <c r="A10634" t="s">
        <v>305</v>
      </c>
      <c r="E10634" s="1538" t="s">
        <v>3767</v>
      </c>
      <c r="F10634" s="1571"/>
      <c r="G10634" s="1571"/>
      <c r="H10634" s="1571"/>
      <c r="K10634" t="s">
        <v>3768</v>
      </c>
      <c r="V10634">
        <v>53</v>
      </c>
    </row>
    <row r="10635" spans="1:22" customFormat="1" ht="15" x14ac:dyDescent="0.25">
      <c r="A10635" t="s">
        <v>305</v>
      </c>
      <c r="E10635" s="1496" t="s">
        <v>5675</v>
      </c>
      <c r="F10635" s="1496"/>
      <c r="G10635" s="1496"/>
      <c r="H10635" s="1496"/>
      <c r="K10635" t="s">
        <v>3768</v>
      </c>
      <c r="V10635">
        <v>752</v>
      </c>
    </row>
    <row r="10636" spans="1:22" customFormat="1" ht="15" x14ac:dyDescent="0.25">
      <c r="A10636" t="s">
        <v>305</v>
      </c>
      <c r="E10636" s="1533" t="s">
        <v>950</v>
      </c>
      <c r="F10636" s="1496"/>
      <c r="G10636" s="1496"/>
      <c r="H10636" s="1496"/>
      <c r="K10636" t="s">
        <v>992</v>
      </c>
      <c r="V10636">
        <v>11</v>
      </c>
    </row>
    <row r="10637" spans="1:22" customFormat="1" ht="15" x14ac:dyDescent="0.25">
      <c r="A10637" t="s">
        <v>305</v>
      </c>
      <c r="E10637" s="1496" t="s">
        <v>951</v>
      </c>
      <c r="F10637" s="1496"/>
      <c r="G10637" s="1496"/>
      <c r="H10637" s="1496"/>
      <c r="K10637" t="s">
        <v>3768</v>
      </c>
      <c r="V10637">
        <v>280</v>
      </c>
    </row>
    <row r="10638" spans="1:22" customFormat="1" ht="15" x14ac:dyDescent="0.25">
      <c r="A10638" t="s">
        <v>305</v>
      </c>
      <c r="E10638" s="1496" t="s">
        <v>952</v>
      </c>
      <c r="F10638" s="1496"/>
      <c r="G10638" s="1496"/>
      <c r="H10638" s="1496"/>
      <c r="K10638" t="s">
        <v>3768</v>
      </c>
      <c r="V10638">
        <v>411</v>
      </c>
    </row>
    <row r="10639" spans="1:22" customFormat="1" ht="15" x14ac:dyDescent="0.25">
      <c r="A10639" t="s">
        <v>305</v>
      </c>
      <c r="E10639" s="1496" t="s">
        <v>3761</v>
      </c>
      <c r="F10639" s="1496"/>
      <c r="G10639" s="1496"/>
      <c r="H10639" s="1496"/>
      <c r="K10639" t="s">
        <v>3768</v>
      </c>
      <c r="V10639">
        <v>387</v>
      </c>
    </row>
    <row r="10640" spans="1:22" customFormat="1" ht="15" x14ac:dyDescent="0.25">
      <c r="A10640" t="s">
        <v>305</v>
      </c>
      <c r="E10640" s="1496" t="s">
        <v>3771</v>
      </c>
      <c r="F10640" s="1496"/>
      <c r="G10640" s="1496"/>
      <c r="H10640" s="1496"/>
      <c r="K10640" t="s">
        <v>3768</v>
      </c>
      <c r="V10640">
        <v>677</v>
      </c>
    </row>
    <row r="10641" spans="1:22" customFormat="1" ht="15" x14ac:dyDescent="0.25">
      <c r="A10641" t="s">
        <v>305</v>
      </c>
      <c r="E10641" s="1496" t="s">
        <v>4741</v>
      </c>
      <c r="F10641" s="1496"/>
      <c r="G10641" s="1496"/>
      <c r="H10641" s="1496"/>
      <c r="K10641" t="s">
        <v>3768</v>
      </c>
      <c r="V10641">
        <v>684</v>
      </c>
    </row>
    <row r="10642" spans="1:22" customFormat="1" ht="15" x14ac:dyDescent="0.25">
      <c r="A10642" t="s">
        <v>305</v>
      </c>
      <c r="E10642" s="1496" t="s">
        <v>3762</v>
      </c>
      <c r="F10642" s="1496"/>
      <c r="G10642" s="1496"/>
      <c r="H10642" s="1496"/>
      <c r="K10642" t="s">
        <v>3768</v>
      </c>
      <c r="V10642">
        <v>247</v>
      </c>
    </row>
    <row r="10643" spans="1:22" customFormat="1" ht="15" x14ac:dyDescent="0.25">
      <c r="A10643" t="s">
        <v>305</v>
      </c>
      <c r="E10643" s="1533" t="s">
        <v>956</v>
      </c>
      <c r="F10643" s="1496"/>
      <c r="G10643" s="1496"/>
      <c r="H10643" s="1496"/>
      <c r="K10643" t="s">
        <v>995</v>
      </c>
      <c r="V10643">
        <v>46</v>
      </c>
    </row>
    <row r="10644" spans="1:22" customFormat="1" ht="15" x14ac:dyDescent="0.25">
      <c r="A10644" t="s">
        <v>305</v>
      </c>
      <c r="E10644" s="1524" t="s">
        <v>3773</v>
      </c>
      <c r="F10644" s="1524"/>
      <c r="G10644" s="892" t="s">
        <v>777</v>
      </c>
      <c r="H10644" s="349">
        <v>438.85</v>
      </c>
      <c r="K10644" t="s">
        <v>3768</v>
      </c>
      <c r="L10644" t="s">
        <v>690</v>
      </c>
      <c r="P10644" t="s">
        <v>3774</v>
      </c>
      <c r="V10644">
        <v>14</v>
      </c>
    </row>
    <row r="10645" spans="1:22" customFormat="1" ht="15" x14ac:dyDescent="0.25">
      <c r="A10645" t="s">
        <v>305</v>
      </c>
      <c r="E10645" s="1524" t="s">
        <v>5672</v>
      </c>
      <c r="F10645" s="1507"/>
      <c r="G10645" s="892" t="s">
        <v>777</v>
      </c>
      <c r="H10645" s="349">
        <v>25.96</v>
      </c>
      <c r="K10645" t="s">
        <v>3768</v>
      </c>
      <c r="L10645" t="s">
        <v>692</v>
      </c>
      <c r="P10645" t="s">
        <v>6938</v>
      </c>
      <c r="T10645">
        <v>45777</v>
      </c>
      <c r="V10645">
        <v>83</v>
      </c>
    </row>
    <row r="10646" spans="1:22" customFormat="1" ht="15" x14ac:dyDescent="0.25">
      <c r="A10646" t="s">
        <v>305</v>
      </c>
      <c r="E10646" s="1524" t="s">
        <v>3688</v>
      </c>
      <c r="F10646" s="1524"/>
      <c r="G10646" s="892" t="s">
        <v>3775</v>
      </c>
      <c r="H10646" s="353">
        <v>1.5315000000000001</v>
      </c>
      <c r="K10646" t="s">
        <v>3768</v>
      </c>
      <c r="L10646" t="s">
        <v>690</v>
      </c>
      <c r="P10646" t="s">
        <v>3776</v>
      </c>
      <c r="V10646">
        <v>28</v>
      </c>
    </row>
    <row r="10647" spans="1:22" customFormat="1" ht="15" x14ac:dyDescent="0.25">
      <c r="A10647" t="s">
        <v>305</v>
      </c>
      <c r="E10647" s="1524" t="s">
        <v>910</v>
      </c>
      <c r="F10647" s="1524"/>
      <c r="G10647" s="892" t="s">
        <v>3775</v>
      </c>
      <c r="H10647" s="904">
        <v>1.9377</v>
      </c>
      <c r="K10647" t="s">
        <v>3768</v>
      </c>
      <c r="L10647" t="s">
        <v>692</v>
      </c>
      <c r="P10647" t="s">
        <v>3777</v>
      </c>
      <c r="V10647">
        <v>24</v>
      </c>
    </row>
    <row r="10648" spans="1:22" customFormat="1" ht="15" x14ac:dyDescent="0.25">
      <c r="A10648" t="s">
        <v>305</v>
      </c>
      <c r="E10648" s="1524" t="s">
        <v>5262</v>
      </c>
      <c r="F10648" s="1510"/>
      <c r="G10648" s="892" t="s">
        <v>845</v>
      </c>
      <c r="H10648" s="904">
        <v>6.9999999999999999E-4</v>
      </c>
      <c r="K10648" t="s">
        <v>3768</v>
      </c>
      <c r="L10648" t="s">
        <v>692</v>
      </c>
      <c r="P10648" t="s">
        <v>4232</v>
      </c>
      <c r="T10648">
        <v>45777</v>
      </c>
      <c r="V10648">
        <v>139</v>
      </c>
    </row>
    <row r="10649" spans="1:22" customFormat="1" ht="15" x14ac:dyDescent="0.25">
      <c r="A10649" t="s">
        <v>305</v>
      </c>
      <c r="E10649" s="1524" t="s">
        <v>5263</v>
      </c>
      <c r="F10649" s="1510"/>
      <c r="G10649" s="892" t="s">
        <v>3775</v>
      </c>
      <c r="H10649" s="904">
        <v>0.79569999999999996</v>
      </c>
      <c r="K10649" t="s">
        <v>3768</v>
      </c>
      <c r="L10649" t="s">
        <v>692</v>
      </c>
      <c r="P10649" t="s">
        <v>3779</v>
      </c>
      <c r="T10649">
        <v>45777</v>
      </c>
      <c r="V10649">
        <v>96</v>
      </c>
    </row>
    <row r="10650" spans="1:22" customFormat="1" ht="15" x14ac:dyDescent="0.25">
      <c r="A10650" t="s">
        <v>305</v>
      </c>
      <c r="E10650" s="1524" t="s">
        <v>243</v>
      </c>
      <c r="F10650" s="1524"/>
      <c r="G10650" s="892" t="s">
        <v>3775</v>
      </c>
      <c r="H10650" s="353">
        <v>3.5484</v>
      </c>
      <c r="K10650" t="s">
        <v>3768</v>
      </c>
      <c r="L10650" t="s">
        <v>694</v>
      </c>
      <c r="P10650" t="s">
        <v>3780</v>
      </c>
      <c r="V10650">
        <v>47</v>
      </c>
    </row>
    <row r="10651" spans="1:22" customFormat="1" ht="15" x14ac:dyDescent="0.25">
      <c r="A10651" t="s">
        <v>305</v>
      </c>
      <c r="E10651" s="1524" t="s">
        <v>175</v>
      </c>
      <c r="F10651" s="1524"/>
      <c r="G10651" s="892" t="s">
        <v>3775</v>
      </c>
      <c r="H10651" s="353">
        <v>0.44119999999999998</v>
      </c>
      <c r="K10651" t="s">
        <v>3768</v>
      </c>
      <c r="L10651" t="s">
        <v>694</v>
      </c>
      <c r="P10651" t="s">
        <v>3781</v>
      </c>
      <c r="V10651">
        <v>74</v>
      </c>
    </row>
    <row r="10652" spans="1:22" customFormat="1" ht="15" x14ac:dyDescent="0.25">
      <c r="A10652" t="s">
        <v>305</v>
      </c>
      <c r="E10652" s="1533" t="s">
        <v>967</v>
      </c>
      <c r="F10652" s="1524"/>
      <c r="G10652" s="892"/>
      <c r="H10652" s="892"/>
      <c r="K10652" t="s">
        <v>1003</v>
      </c>
      <c r="V10652">
        <v>48</v>
      </c>
    </row>
    <row r="10653" spans="1:22" customFormat="1" ht="15" x14ac:dyDescent="0.25">
      <c r="A10653" t="s">
        <v>305</v>
      </c>
      <c r="E10653" s="1524" t="s">
        <v>844</v>
      </c>
      <c r="F10653" s="1524"/>
      <c r="G10653" s="892" t="s">
        <v>845</v>
      </c>
      <c r="H10653" s="904">
        <v>4.1000000000000003E-3</v>
      </c>
      <c r="K10653" t="s">
        <v>3768</v>
      </c>
      <c r="L10653" t="s">
        <v>968</v>
      </c>
      <c r="P10653" t="s">
        <v>3782</v>
      </c>
      <c r="V10653">
        <v>55</v>
      </c>
    </row>
    <row r="10654" spans="1:22" customFormat="1" ht="15" x14ac:dyDescent="0.25">
      <c r="A10654" t="s">
        <v>305</v>
      </c>
      <c r="E10654" s="1524" t="s">
        <v>846</v>
      </c>
      <c r="F10654" s="1524"/>
      <c r="G10654" s="892" t="s">
        <v>845</v>
      </c>
      <c r="H10654" s="904">
        <v>4.0000000000000002E-4</v>
      </c>
      <c r="K10654" t="s">
        <v>3768</v>
      </c>
      <c r="L10654" t="s">
        <v>968</v>
      </c>
      <c r="P10654" t="s">
        <v>3782</v>
      </c>
      <c r="V10654">
        <v>65</v>
      </c>
    </row>
    <row r="10655" spans="1:22" customFormat="1" ht="15" x14ac:dyDescent="0.25">
      <c r="A10655" t="s">
        <v>305</v>
      </c>
      <c r="E10655" s="1524" t="s">
        <v>847</v>
      </c>
      <c r="F10655" s="1524"/>
      <c r="G10655" s="892" t="s">
        <v>845</v>
      </c>
      <c r="H10655" s="904">
        <v>1.4E-3</v>
      </c>
      <c r="K10655" t="s">
        <v>3768</v>
      </c>
      <c r="L10655" t="s">
        <v>968</v>
      </c>
      <c r="P10655" t="s">
        <v>3783</v>
      </c>
      <c r="V10655">
        <v>57</v>
      </c>
    </row>
    <row r="10656" spans="1:22" customFormat="1" ht="15" x14ac:dyDescent="0.25">
      <c r="A10656" t="s">
        <v>305</v>
      </c>
      <c r="E10656" s="1524" t="s">
        <v>848</v>
      </c>
      <c r="F10656" s="1524"/>
      <c r="G10656" s="892" t="s">
        <v>777</v>
      </c>
      <c r="H10656" s="642">
        <v>0.25</v>
      </c>
      <c r="K10656" t="s">
        <v>3768</v>
      </c>
      <c r="L10656" t="s">
        <v>968</v>
      </c>
      <c r="P10656" t="s">
        <v>3784</v>
      </c>
      <c r="V10656">
        <v>63</v>
      </c>
    </row>
    <row r="10657" spans="1:22" customFormat="1" x14ac:dyDescent="0.25">
      <c r="A10657" t="s">
        <v>305</v>
      </c>
      <c r="E10657" s="1538" t="s">
        <v>202</v>
      </c>
      <c r="F10657" s="1571"/>
      <c r="G10657" s="1571"/>
      <c r="H10657" s="1571"/>
      <c r="K10657" t="s">
        <v>4402</v>
      </c>
      <c r="V10657">
        <v>38</v>
      </c>
    </row>
    <row r="10658" spans="1:22" customFormat="1" ht="15" x14ac:dyDescent="0.25">
      <c r="A10658" t="s">
        <v>305</v>
      </c>
      <c r="E10658" s="1496" t="s">
        <v>5676</v>
      </c>
      <c r="F10658" s="1496"/>
      <c r="G10658" s="1496"/>
      <c r="H10658" s="1496"/>
      <c r="K10658" t="s">
        <v>4402</v>
      </c>
      <c r="V10658">
        <v>544</v>
      </c>
    </row>
    <row r="10659" spans="1:22" customFormat="1" ht="15" x14ac:dyDescent="0.25">
      <c r="A10659" t="s">
        <v>305</v>
      </c>
      <c r="E10659" s="1533" t="s">
        <v>950</v>
      </c>
      <c r="F10659" s="1496"/>
      <c r="G10659" s="1496"/>
      <c r="H10659" s="1496"/>
      <c r="K10659" t="s">
        <v>1010</v>
      </c>
      <c r="V10659">
        <v>11</v>
      </c>
    </row>
    <row r="10660" spans="1:22" customFormat="1" ht="15" x14ac:dyDescent="0.25">
      <c r="A10660" t="s">
        <v>305</v>
      </c>
      <c r="E10660" s="1496" t="s">
        <v>951</v>
      </c>
      <c r="F10660" s="1496"/>
      <c r="G10660" s="1496"/>
      <c r="H10660" s="1496"/>
      <c r="K10660" t="s">
        <v>4402</v>
      </c>
      <c r="V10660">
        <v>280</v>
      </c>
    </row>
    <row r="10661" spans="1:22" customFormat="1" ht="15" x14ac:dyDescent="0.25">
      <c r="A10661" t="s">
        <v>305</v>
      </c>
      <c r="E10661" s="1496" t="s">
        <v>952</v>
      </c>
      <c r="F10661" s="1496"/>
      <c r="G10661" s="1496"/>
      <c r="H10661" s="1496"/>
      <c r="K10661" t="s">
        <v>4402</v>
      </c>
      <c r="V10661">
        <v>411</v>
      </c>
    </row>
    <row r="10662" spans="1:22" customFormat="1" ht="15" x14ac:dyDescent="0.25">
      <c r="A10662" t="s">
        <v>305</v>
      </c>
      <c r="E10662" s="1496" t="s">
        <v>5671</v>
      </c>
      <c r="F10662" s="1496"/>
      <c r="G10662" s="1496"/>
      <c r="H10662" s="1496"/>
      <c r="K10662" t="s">
        <v>4402</v>
      </c>
      <c r="V10662">
        <v>389</v>
      </c>
    </row>
    <row r="10663" spans="1:22" customFormat="1" ht="15" x14ac:dyDescent="0.25">
      <c r="A10663" t="s">
        <v>305</v>
      </c>
      <c r="E10663" s="1496" t="s">
        <v>3762</v>
      </c>
      <c r="F10663" s="1496"/>
      <c r="G10663" s="1496"/>
      <c r="H10663" s="1496"/>
      <c r="K10663" t="s">
        <v>4402</v>
      </c>
      <c r="V10663">
        <v>247</v>
      </c>
    </row>
    <row r="10664" spans="1:22" customFormat="1" ht="15" x14ac:dyDescent="0.25">
      <c r="A10664" t="s">
        <v>305</v>
      </c>
      <c r="E10664" s="1533" t="s">
        <v>956</v>
      </c>
      <c r="F10664" s="1496"/>
      <c r="G10664" s="1496"/>
      <c r="H10664" s="1496"/>
      <c r="K10664" t="s">
        <v>1011</v>
      </c>
      <c r="V10664">
        <v>46</v>
      </c>
    </row>
    <row r="10665" spans="1:22" customFormat="1" ht="15" x14ac:dyDescent="0.25">
      <c r="A10665" t="s">
        <v>305</v>
      </c>
      <c r="E10665" s="1524" t="s">
        <v>3874</v>
      </c>
      <c r="F10665" s="1524"/>
      <c r="G10665" s="892" t="s">
        <v>777</v>
      </c>
      <c r="H10665" s="349">
        <v>4.58</v>
      </c>
      <c r="K10665" t="s">
        <v>4402</v>
      </c>
      <c r="L10665" t="s">
        <v>690</v>
      </c>
      <c r="P10665" t="s">
        <v>4404</v>
      </c>
      <c r="V10665">
        <v>31</v>
      </c>
    </row>
    <row r="10666" spans="1:22" customFormat="1" ht="15" x14ac:dyDescent="0.25">
      <c r="A10666" t="s">
        <v>305</v>
      </c>
      <c r="E10666" s="1524" t="s">
        <v>5672</v>
      </c>
      <c r="F10666" s="1507"/>
      <c r="G10666" s="892" t="s">
        <v>777</v>
      </c>
      <c r="H10666" s="349">
        <v>0.22</v>
      </c>
      <c r="K10666" t="s">
        <v>4402</v>
      </c>
      <c r="L10666" t="s">
        <v>692</v>
      </c>
      <c r="P10666" t="s">
        <v>6939</v>
      </c>
      <c r="T10666">
        <v>45777</v>
      </c>
      <c r="V10666">
        <v>83</v>
      </c>
    </row>
    <row r="10667" spans="1:22" customFormat="1" ht="15" x14ac:dyDescent="0.25">
      <c r="A10667" t="s">
        <v>305</v>
      </c>
      <c r="E10667" s="1524" t="s">
        <v>3688</v>
      </c>
      <c r="F10667" s="1524"/>
      <c r="G10667" s="892" t="s">
        <v>3775</v>
      </c>
      <c r="H10667" s="353">
        <v>12.7887</v>
      </c>
      <c r="K10667" t="s">
        <v>4402</v>
      </c>
      <c r="L10667" t="s">
        <v>690</v>
      </c>
      <c r="P10667" t="s">
        <v>4405</v>
      </c>
      <c r="V10667">
        <v>28</v>
      </c>
    </row>
    <row r="10668" spans="1:22" customFormat="1" ht="15" x14ac:dyDescent="0.25">
      <c r="A10668" t="s">
        <v>305</v>
      </c>
      <c r="E10668" s="1524" t="s">
        <v>910</v>
      </c>
      <c r="F10668" s="1524"/>
      <c r="G10668" s="892" t="s">
        <v>3775</v>
      </c>
      <c r="H10668" s="904">
        <v>1.4988999999999999</v>
      </c>
      <c r="K10668" t="s">
        <v>4402</v>
      </c>
      <c r="L10668" t="s">
        <v>692</v>
      </c>
      <c r="P10668" t="s">
        <v>5438</v>
      </c>
      <c r="V10668">
        <v>24</v>
      </c>
    </row>
    <row r="10669" spans="1:22" customFormat="1" ht="15" x14ac:dyDescent="0.25">
      <c r="A10669" t="s">
        <v>305</v>
      </c>
      <c r="E10669" s="1524" t="s">
        <v>5262</v>
      </c>
      <c r="F10669" s="1510"/>
      <c r="G10669" s="892" t="s">
        <v>845</v>
      </c>
      <c r="H10669" s="904">
        <v>6.9999999999999999E-4</v>
      </c>
      <c r="K10669" t="s">
        <v>4402</v>
      </c>
      <c r="L10669" t="s">
        <v>692</v>
      </c>
      <c r="P10669" t="s">
        <v>5270</v>
      </c>
      <c r="T10669">
        <v>45777</v>
      </c>
      <c r="V10669">
        <v>139</v>
      </c>
    </row>
    <row r="10670" spans="1:22" customFormat="1" ht="15" x14ac:dyDescent="0.25">
      <c r="A10670" t="s">
        <v>305</v>
      </c>
      <c r="E10670" s="1524" t="s">
        <v>5263</v>
      </c>
      <c r="F10670" s="1510"/>
      <c r="G10670" s="892" t="s">
        <v>3775</v>
      </c>
      <c r="H10670" s="904">
        <v>0.69059999999999999</v>
      </c>
      <c r="K10670" t="s">
        <v>4402</v>
      </c>
      <c r="L10670" t="s">
        <v>692</v>
      </c>
      <c r="P10670" t="s">
        <v>4407</v>
      </c>
      <c r="T10670">
        <v>45777</v>
      </c>
      <c r="V10670">
        <v>96</v>
      </c>
    </row>
    <row r="10671" spans="1:22" customFormat="1" ht="15" x14ac:dyDescent="0.25">
      <c r="A10671" t="s">
        <v>305</v>
      </c>
      <c r="E10671" s="1524" t="s">
        <v>243</v>
      </c>
      <c r="F10671" s="1524"/>
      <c r="G10671" s="892" t="s">
        <v>3775</v>
      </c>
      <c r="H10671" s="353">
        <v>2.6762999999999999</v>
      </c>
      <c r="K10671" t="s">
        <v>4402</v>
      </c>
      <c r="L10671" t="s">
        <v>694</v>
      </c>
      <c r="P10671" t="s">
        <v>4408</v>
      </c>
      <c r="V10671">
        <v>47</v>
      </c>
    </row>
    <row r="10672" spans="1:22" customFormat="1" ht="15" x14ac:dyDescent="0.25">
      <c r="A10672" t="s">
        <v>305</v>
      </c>
      <c r="E10672" s="1524" t="s">
        <v>175</v>
      </c>
      <c r="F10672" s="1524"/>
      <c r="G10672" s="892" t="s">
        <v>3775</v>
      </c>
      <c r="H10672" s="353">
        <v>0.34129999999999999</v>
      </c>
      <c r="K10672" t="s">
        <v>4402</v>
      </c>
      <c r="L10672" t="s">
        <v>694</v>
      </c>
      <c r="P10672" t="s">
        <v>4409</v>
      </c>
      <c r="V10672">
        <v>74</v>
      </c>
    </row>
    <row r="10673" spans="1:22" customFormat="1" ht="15" x14ac:dyDescent="0.25">
      <c r="A10673" t="s">
        <v>305</v>
      </c>
      <c r="E10673" s="1533" t="s">
        <v>967</v>
      </c>
      <c r="F10673" s="1524"/>
      <c r="G10673" s="892"/>
      <c r="H10673" s="892"/>
      <c r="K10673" t="s">
        <v>1019</v>
      </c>
      <c r="V10673">
        <v>48</v>
      </c>
    </row>
    <row r="10674" spans="1:22" customFormat="1" ht="15" x14ac:dyDescent="0.25">
      <c r="A10674" t="s">
        <v>305</v>
      </c>
      <c r="E10674" s="1524" t="s">
        <v>844</v>
      </c>
      <c r="F10674" s="1524"/>
      <c r="G10674" s="892" t="s">
        <v>845</v>
      </c>
      <c r="H10674" s="904">
        <v>4.1000000000000003E-3</v>
      </c>
      <c r="K10674" t="s">
        <v>4402</v>
      </c>
      <c r="L10674" t="s">
        <v>968</v>
      </c>
      <c r="P10674" t="s">
        <v>4410</v>
      </c>
      <c r="V10674">
        <v>55</v>
      </c>
    </row>
    <row r="10675" spans="1:22" customFormat="1" ht="15" x14ac:dyDescent="0.25">
      <c r="A10675" t="s">
        <v>305</v>
      </c>
      <c r="E10675" s="1524" t="s">
        <v>846</v>
      </c>
      <c r="F10675" s="1524"/>
      <c r="G10675" s="892" t="s">
        <v>845</v>
      </c>
      <c r="H10675" s="904">
        <v>4.0000000000000002E-4</v>
      </c>
      <c r="K10675" t="s">
        <v>4402</v>
      </c>
      <c r="L10675" t="s">
        <v>968</v>
      </c>
      <c r="P10675" t="s">
        <v>4410</v>
      </c>
      <c r="V10675">
        <v>65</v>
      </c>
    </row>
    <row r="10676" spans="1:22" customFormat="1" ht="15" x14ac:dyDescent="0.25">
      <c r="A10676" t="s">
        <v>305</v>
      </c>
      <c r="E10676" s="1524" t="s">
        <v>847</v>
      </c>
      <c r="F10676" s="1524"/>
      <c r="G10676" s="892" t="s">
        <v>845</v>
      </c>
      <c r="H10676" s="904">
        <v>1.4E-3</v>
      </c>
      <c r="K10676" t="s">
        <v>4402</v>
      </c>
      <c r="L10676" t="s">
        <v>968</v>
      </c>
      <c r="P10676" t="s">
        <v>4411</v>
      </c>
      <c r="V10676">
        <v>57</v>
      </c>
    </row>
    <row r="10677" spans="1:22" customFormat="1" ht="15" x14ac:dyDescent="0.25">
      <c r="A10677" t="s">
        <v>305</v>
      </c>
      <c r="E10677" s="1524" t="s">
        <v>848</v>
      </c>
      <c r="F10677" s="1524"/>
      <c r="G10677" s="892" t="s">
        <v>777</v>
      </c>
      <c r="H10677" s="642">
        <v>0.25</v>
      </c>
      <c r="K10677" t="s">
        <v>4402</v>
      </c>
      <c r="L10677" t="s">
        <v>968</v>
      </c>
      <c r="P10677" t="s">
        <v>4412</v>
      </c>
      <c r="V10677">
        <v>63</v>
      </c>
    </row>
    <row r="10678" spans="1:22" customFormat="1" x14ac:dyDescent="0.25">
      <c r="A10678" t="s">
        <v>305</v>
      </c>
      <c r="E10678" s="1538" t="s">
        <v>207</v>
      </c>
      <c r="F10678" s="1571"/>
      <c r="G10678" s="1571"/>
      <c r="H10678" s="1571"/>
      <c r="K10678" t="s">
        <v>4413</v>
      </c>
      <c r="V10678">
        <v>31</v>
      </c>
    </row>
    <row r="10679" spans="1:22" customFormat="1" ht="15" x14ac:dyDescent="0.25">
      <c r="A10679" t="s">
        <v>305</v>
      </c>
      <c r="E10679" s="1496" t="s">
        <v>4949</v>
      </c>
      <c r="F10679" s="1496"/>
      <c r="G10679" s="1496"/>
      <c r="H10679" s="1496"/>
      <c r="K10679" t="s">
        <v>4413</v>
      </c>
      <c r="V10679">
        <v>284</v>
      </c>
    </row>
    <row r="10680" spans="1:22" customFormat="1" ht="15" x14ac:dyDescent="0.25">
      <c r="A10680" t="s">
        <v>305</v>
      </c>
      <c r="E10680" s="1533" t="s">
        <v>950</v>
      </c>
      <c r="F10680" s="1496"/>
      <c r="G10680" s="1496"/>
      <c r="H10680" s="1496"/>
      <c r="K10680" t="s">
        <v>1025</v>
      </c>
      <c r="V10680">
        <v>11</v>
      </c>
    </row>
    <row r="10681" spans="1:22" customFormat="1" ht="15" x14ac:dyDescent="0.25">
      <c r="A10681" t="s">
        <v>305</v>
      </c>
      <c r="E10681" s="1496" t="s">
        <v>951</v>
      </c>
      <c r="F10681" s="1496"/>
      <c r="G10681" s="1496"/>
      <c r="H10681" s="1496"/>
      <c r="K10681" t="s">
        <v>4413</v>
      </c>
      <c r="V10681">
        <v>280</v>
      </c>
    </row>
    <row r="10682" spans="1:22" customFormat="1" ht="15" x14ac:dyDescent="0.25">
      <c r="A10682" t="s">
        <v>305</v>
      </c>
      <c r="E10682" s="1496" t="s">
        <v>952</v>
      </c>
      <c r="F10682" s="1496"/>
      <c r="G10682" s="1496"/>
      <c r="H10682" s="1496"/>
      <c r="K10682" t="s">
        <v>4413</v>
      </c>
      <c r="V10682">
        <v>411</v>
      </c>
    </row>
    <row r="10683" spans="1:22" customFormat="1" ht="15" x14ac:dyDescent="0.25">
      <c r="A10683" t="s">
        <v>305</v>
      </c>
      <c r="E10683" s="1496" t="s">
        <v>5305</v>
      </c>
      <c r="F10683" s="1496"/>
      <c r="G10683" s="1496"/>
      <c r="H10683" s="1496"/>
      <c r="K10683" t="s">
        <v>4413</v>
      </c>
      <c r="V10683">
        <v>212</v>
      </c>
    </row>
    <row r="10684" spans="1:22" customFormat="1" ht="15" x14ac:dyDescent="0.25">
      <c r="A10684" t="s">
        <v>305</v>
      </c>
      <c r="E10684" s="1496" t="s">
        <v>3762</v>
      </c>
      <c r="F10684" s="1496"/>
      <c r="G10684" s="1496"/>
      <c r="H10684" s="1496"/>
      <c r="K10684" t="s">
        <v>4413</v>
      </c>
      <c r="V10684">
        <v>247</v>
      </c>
    </row>
    <row r="10685" spans="1:22" customFormat="1" ht="15" x14ac:dyDescent="0.25">
      <c r="A10685" t="s">
        <v>305</v>
      </c>
      <c r="E10685" s="1533" t="s">
        <v>956</v>
      </c>
      <c r="F10685" s="1496"/>
      <c r="G10685" s="1496"/>
      <c r="H10685" s="1496"/>
      <c r="K10685" t="s">
        <v>1026</v>
      </c>
      <c r="V10685">
        <v>46</v>
      </c>
    </row>
    <row r="10686" spans="1:22" customFormat="1" ht="15" x14ac:dyDescent="0.25">
      <c r="A10686" t="s">
        <v>305</v>
      </c>
      <c r="E10686" s="1524" t="s">
        <v>3773</v>
      </c>
      <c r="F10686" s="1524"/>
      <c r="G10686" s="892" t="s">
        <v>777</v>
      </c>
      <c r="H10686" s="349">
        <v>4.55</v>
      </c>
      <c r="K10686" t="s">
        <v>4413</v>
      </c>
      <c r="L10686" t="s">
        <v>690</v>
      </c>
      <c r="P10686" t="s">
        <v>4414</v>
      </c>
      <c r="V10686">
        <v>14</v>
      </c>
    </row>
    <row r="10687" spans="1:22" customFormat="1" ht="18.75" x14ac:dyDescent="0.25">
      <c r="A10687" t="s">
        <v>305</v>
      </c>
      <c r="E10687" s="842" t="s">
        <v>3825</v>
      </c>
      <c r="F10687" s="660"/>
      <c r="G10687" s="660"/>
      <c r="H10687" s="661"/>
      <c r="K10687" t="s">
        <v>5677</v>
      </c>
      <c r="V10687">
        <v>10</v>
      </c>
    </row>
    <row r="10688" spans="1:22" customFormat="1" ht="15" x14ac:dyDescent="0.25">
      <c r="A10688" t="s">
        <v>305</v>
      </c>
      <c r="E10688" s="1524" t="s">
        <v>1078</v>
      </c>
      <c r="F10688" s="1524"/>
      <c r="G10688" s="892" t="s">
        <v>3775</v>
      </c>
      <c r="H10688" s="904">
        <v>-0.37409999999999999</v>
      </c>
      <c r="V10688">
        <v>68</v>
      </c>
    </row>
    <row r="10689" spans="1:22" customFormat="1" ht="15" x14ac:dyDescent="0.25">
      <c r="A10689" t="s">
        <v>305</v>
      </c>
      <c r="E10689" s="1524" t="s">
        <v>1079</v>
      </c>
      <c r="F10689" s="1524"/>
      <c r="G10689" s="892" t="s">
        <v>1118</v>
      </c>
      <c r="H10689" s="642">
        <v>-1</v>
      </c>
      <c r="V10689">
        <v>87</v>
      </c>
    </row>
    <row r="10690" spans="1:22" customFormat="1" ht="36" x14ac:dyDescent="0.25">
      <c r="A10690" t="s">
        <v>305</v>
      </c>
      <c r="E10690" s="842" t="s">
        <v>3828</v>
      </c>
      <c r="F10690" s="660"/>
      <c r="G10690" s="660"/>
      <c r="H10690" s="661"/>
      <c r="K10690" t="s">
        <v>5678</v>
      </c>
      <c r="V10690">
        <v>24</v>
      </c>
    </row>
    <row r="10691" spans="1:22" customFormat="1" ht="15" x14ac:dyDescent="0.25">
      <c r="A10691" t="s">
        <v>305</v>
      </c>
      <c r="E10691" s="1496" t="s">
        <v>951</v>
      </c>
      <c r="F10691" s="1496"/>
      <c r="G10691" s="1496"/>
      <c r="H10691" s="1496"/>
      <c r="V10691">
        <v>280</v>
      </c>
    </row>
    <row r="10692" spans="1:22" customFormat="1" ht="15" x14ac:dyDescent="0.25">
      <c r="A10692" t="s">
        <v>305</v>
      </c>
      <c r="E10692" s="1496" t="s">
        <v>1081</v>
      </c>
      <c r="F10692" s="1496"/>
      <c r="G10692" s="1496"/>
      <c r="H10692" s="1496"/>
      <c r="V10692">
        <v>353</v>
      </c>
    </row>
    <row r="10693" spans="1:22" customFormat="1" ht="15" x14ac:dyDescent="0.25">
      <c r="A10693" t="s">
        <v>305</v>
      </c>
      <c r="E10693" s="1496" t="s">
        <v>3762</v>
      </c>
      <c r="F10693" s="1496"/>
      <c r="G10693" s="1496"/>
      <c r="H10693" s="1496"/>
      <c r="V10693">
        <v>247</v>
      </c>
    </row>
    <row r="10694" spans="1:22" customFormat="1" ht="15" x14ac:dyDescent="0.25">
      <c r="A10694" t="s">
        <v>305</v>
      </c>
      <c r="E10694" s="844" t="s">
        <v>3830</v>
      </c>
      <c r="F10694" s="276"/>
      <c r="G10694" s="659"/>
      <c r="H10694" s="664"/>
      <c r="K10694" t="s">
        <v>5679</v>
      </c>
      <c r="V10694">
        <v>23</v>
      </c>
    </row>
    <row r="10695" spans="1:22" customFormat="1" ht="15" x14ac:dyDescent="0.25">
      <c r="A10695" t="s">
        <v>305</v>
      </c>
      <c r="E10695" s="1525" t="s">
        <v>3833</v>
      </c>
      <c r="F10695" s="1525"/>
      <c r="G10695" s="892" t="s">
        <v>777</v>
      </c>
      <c r="H10695" s="642">
        <v>15</v>
      </c>
      <c r="V10695">
        <v>20</v>
      </c>
    </row>
    <row r="10696" spans="1:22" customFormat="1" ht="15" x14ac:dyDescent="0.25">
      <c r="A10696" t="s">
        <v>305</v>
      </c>
      <c r="E10696" s="1525" t="s">
        <v>3834</v>
      </c>
      <c r="F10696" s="1525"/>
      <c r="G10696" s="892" t="s">
        <v>777</v>
      </c>
      <c r="H10696" s="642">
        <v>15</v>
      </c>
      <c r="V10696">
        <v>39</v>
      </c>
    </row>
    <row r="10697" spans="1:22" customFormat="1" ht="15" x14ac:dyDescent="0.25">
      <c r="A10697" t="s">
        <v>305</v>
      </c>
      <c r="E10697" s="1525" t="s">
        <v>4056</v>
      </c>
      <c r="F10697" s="1525"/>
      <c r="G10697" s="892" t="s">
        <v>777</v>
      </c>
      <c r="H10697" s="642">
        <v>15</v>
      </c>
      <c r="V10697">
        <v>15</v>
      </c>
    </row>
    <row r="10698" spans="1:22" customFormat="1" ht="15" x14ac:dyDescent="0.25">
      <c r="A10698" t="s">
        <v>305</v>
      </c>
      <c r="E10698" s="1525" t="s">
        <v>4057</v>
      </c>
      <c r="F10698" s="1525"/>
      <c r="G10698" s="892" t="s">
        <v>777</v>
      </c>
      <c r="H10698" s="642">
        <v>15</v>
      </c>
      <c r="V10698">
        <v>17</v>
      </c>
    </row>
    <row r="10699" spans="1:22" customFormat="1" ht="15" x14ac:dyDescent="0.25">
      <c r="A10699" t="s">
        <v>305</v>
      </c>
      <c r="E10699" s="1525" t="s">
        <v>3835</v>
      </c>
      <c r="F10699" s="1525"/>
      <c r="G10699" s="892" t="s">
        <v>777</v>
      </c>
      <c r="H10699" s="642">
        <v>15</v>
      </c>
      <c r="V10699">
        <v>56</v>
      </c>
    </row>
    <row r="10700" spans="1:22" customFormat="1" ht="15" x14ac:dyDescent="0.25">
      <c r="A10700" t="s">
        <v>305</v>
      </c>
      <c r="E10700" s="1525" t="s">
        <v>5680</v>
      </c>
      <c r="F10700" s="1525"/>
      <c r="G10700" s="892" t="s">
        <v>777</v>
      </c>
      <c r="H10700" s="642">
        <v>15</v>
      </c>
      <c r="V10700">
        <v>34</v>
      </c>
    </row>
    <row r="10701" spans="1:22" customFormat="1" ht="15" x14ac:dyDescent="0.25">
      <c r="A10701" t="s">
        <v>305</v>
      </c>
      <c r="E10701" s="1525" t="s">
        <v>4420</v>
      </c>
      <c r="F10701" s="1525"/>
      <c r="G10701" s="892" t="s">
        <v>777</v>
      </c>
      <c r="H10701" s="642">
        <v>15</v>
      </c>
      <c r="V10701">
        <v>24</v>
      </c>
    </row>
    <row r="10702" spans="1:22" customFormat="1" ht="15" x14ac:dyDescent="0.25">
      <c r="A10702" t="s">
        <v>305</v>
      </c>
      <c r="E10702" s="1525" t="s">
        <v>3837</v>
      </c>
      <c r="F10702" s="1525"/>
      <c r="G10702" s="892" t="s">
        <v>777</v>
      </c>
      <c r="H10702" s="642">
        <v>30</v>
      </c>
      <c r="V10702">
        <v>89</v>
      </c>
    </row>
    <row r="10703" spans="1:22" customFormat="1" ht="15" x14ac:dyDescent="0.25">
      <c r="A10703" t="s">
        <v>305</v>
      </c>
      <c r="E10703" s="1525" t="s">
        <v>3838</v>
      </c>
      <c r="F10703" s="1525"/>
      <c r="G10703" s="892" t="s">
        <v>777</v>
      </c>
      <c r="H10703" s="642">
        <v>30</v>
      </c>
      <c r="V10703">
        <v>74</v>
      </c>
    </row>
    <row r="10704" spans="1:22" customFormat="1" ht="15" x14ac:dyDescent="0.25">
      <c r="A10704" t="s">
        <v>305</v>
      </c>
      <c r="E10704" s="844" t="s">
        <v>4062</v>
      </c>
      <c r="F10704" s="276"/>
      <c r="G10704" s="659"/>
      <c r="H10704" s="664"/>
      <c r="K10704" t="s">
        <v>5681</v>
      </c>
      <c r="V10704">
        <v>22</v>
      </c>
    </row>
    <row r="10705" spans="1:22" customFormat="1" ht="15" x14ac:dyDescent="0.25">
      <c r="A10705" t="s">
        <v>305</v>
      </c>
      <c r="E10705" s="1525" t="s">
        <v>4064</v>
      </c>
      <c r="F10705" s="1525"/>
      <c r="G10705" s="892" t="s">
        <v>1118</v>
      </c>
      <c r="H10705" s="642">
        <v>1.5</v>
      </c>
      <c r="V10705">
        <v>99</v>
      </c>
    </row>
    <row r="10706" spans="1:22" customFormat="1" ht="15" x14ac:dyDescent="0.25">
      <c r="A10706" t="s">
        <v>305</v>
      </c>
      <c r="E10706" s="1525" t="s">
        <v>3842</v>
      </c>
      <c r="F10706" s="1525"/>
      <c r="G10706" s="892" t="s">
        <v>777</v>
      </c>
      <c r="H10706" s="642">
        <v>110</v>
      </c>
      <c r="V10706">
        <v>44</v>
      </c>
    </row>
    <row r="10707" spans="1:22" customFormat="1" ht="15" x14ac:dyDescent="0.25">
      <c r="A10707" t="s">
        <v>305</v>
      </c>
      <c r="E10707" s="1525" t="s">
        <v>3843</v>
      </c>
      <c r="F10707" s="1525"/>
      <c r="G10707" s="892" t="s">
        <v>777</v>
      </c>
      <c r="H10707" s="642">
        <v>245</v>
      </c>
      <c r="V10707">
        <v>43</v>
      </c>
    </row>
    <row r="10708" spans="1:22" customFormat="1" ht="15" x14ac:dyDescent="0.25">
      <c r="A10708" t="s">
        <v>305</v>
      </c>
      <c r="E10708" s="1525" t="s">
        <v>3844</v>
      </c>
      <c r="F10708" s="1525"/>
      <c r="G10708" s="892" t="s">
        <v>777</v>
      </c>
      <c r="H10708" s="642">
        <v>245</v>
      </c>
      <c r="V10708">
        <v>43</v>
      </c>
    </row>
    <row r="10709" spans="1:22" customFormat="1" ht="15" x14ac:dyDescent="0.25">
      <c r="A10709" t="s">
        <v>305</v>
      </c>
      <c r="E10709" s="1525" t="s">
        <v>3845</v>
      </c>
      <c r="F10709" s="1525"/>
      <c r="G10709" s="892" t="s">
        <v>777</v>
      </c>
      <c r="H10709" s="642">
        <v>415</v>
      </c>
      <c r="V10709">
        <v>42</v>
      </c>
    </row>
    <row r="10710" spans="1:22" customFormat="1" ht="15" x14ac:dyDescent="0.25">
      <c r="A10710" t="s">
        <v>305</v>
      </c>
      <c r="E10710" s="844" t="s">
        <v>3846</v>
      </c>
      <c r="F10710" s="276"/>
      <c r="G10710" s="659"/>
      <c r="H10710" s="664"/>
      <c r="V10710">
        <v>5</v>
      </c>
    </row>
    <row r="10711" spans="1:22" customFormat="1" ht="15" x14ac:dyDescent="0.25">
      <c r="A10711" t="s">
        <v>305</v>
      </c>
      <c r="E10711" s="1525" t="s">
        <v>3848</v>
      </c>
      <c r="F10711" s="1525"/>
      <c r="G10711" s="892" t="s">
        <v>777</v>
      </c>
      <c r="H10711" s="642">
        <v>500</v>
      </c>
      <c r="V10711">
        <v>64</v>
      </c>
    </row>
    <row r="10712" spans="1:22" customFormat="1" ht="15" x14ac:dyDescent="0.25">
      <c r="A10712" t="s">
        <v>305</v>
      </c>
      <c r="E10712" s="1525" t="s">
        <v>4808</v>
      </c>
      <c r="F10712" s="1525"/>
      <c r="G10712" s="892" t="s">
        <v>777</v>
      </c>
      <c r="H10712" s="642">
        <v>300</v>
      </c>
      <c r="V10712">
        <v>67</v>
      </c>
    </row>
    <row r="10713" spans="1:22" customFormat="1" ht="15" x14ac:dyDescent="0.25">
      <c r="A10713" t="s">
        <v>305</v>
      </c>
      <c r="E10713" s="1525" t="s">
        <v>3849</v>
      </c>
      <c r="F10713" s="1525"/>
      <c r="G10713" s="892" t="s">
        <v>777</v>
      </c>
      <c r="H10713" s="642">
        <v>1000</v>
      </c>
      <c r="V10713">
        <v>66</v>
      </c>
    </row>
    <row r="10714" spans="1:22" customFormat="1" ht="15" x14ac:dyDescent="0.25">
      <c r="A10714" t="s">
        <v>305</v>
      </c>
      <c r="E10714" s="1525" t="s">
        <v>5682</v>
      </c>
      <c r="F10714" s="1525"/>
      <c r="G10714" s="892" t="s">
        <v>777</v>
      </c>
      <c r="H10714" s="642">
        <v>37.78</v>
      </c>
      <c r="V10714">
        <v>107</v>
      </c>
    </row>
    <row r="10715" spans="1:22" customFormat="1" ht="36" x14ac:dyDescent="0.3">
      <c r="A10715" t="s">
        <v>305</v>
      </c>
      <c r="E10715" s="842" t="s">
        <v>3851</v>
      </c>
      <c r="F10715" s="639"/>
      <c r="G10715" s="660"/>
      <c r="H10715" s="661"/>
      <c r="K10715" t="s">
        <v>5683</v>
      </c>
      <c r="V10715">
        <v>38</v>
      </c>
    </row>
    <row r="10716" spans="1:22" customFormat="1" ht="15" x14ac:dyDescent="0.25">
      <c r="A10716" t="s">
        <v>305</v>
      </c>
      <c r="E10716" s="1496" t="s">
        <v>951</v>
      </c>
      <c r="F10716" s="1496"/>
      <c r="G10716" s="1496"/>
      <c r="H10716" s="1496"/>
      <c r="V10716">
        <v>280</v>
      </c>
    </row>
    <row r="10717" spans="1:22" customFormat="1" ht="15" x14ac:dyDescent="0.25">
      <c r="A10717" t="s">
        <v>305</v>
      </c>
      <c r="E10717" s="1496" t="s">
        <v>952</v>
      </c>
      <c r="F10717" s="1496"/>
      <c r="G10717" s="1496"/>
      <c r="H10717" s="1496"/>
      <c r="V10717">
        <v>411</v>
      </c>
    </row>
    <row r="10718" spans="1:22" customFormat="1" ht="15" x14ac:dyDescent="0.25">
      <c r="A10718" t="s">
        <v>305</v>
      </c>
      <c r="E10718" s="1496" t="s">
        <v>5684</v>
      </c>
      <c r="F10718" s="1496"/>
      <c r="G10718" s="1496"/>
      <c r="H10718" s="1496"/>
      <c r="V10718">
        <v>214</v>
      </c>
    </row>
    <row r="10719" spans="1:22" customFormat="1" ht="15" x14ac:dyDescent="0.25">
      <c r="A10719" t="s">
        <v>305</v>
      </c>
      <c r="E10719" s="1496" t="s">
        <v>3762</v>
      </c>
      <c r="F10719" s="1496"/>
      <c r="G10719" s="1496"/>
      <c r="H10719" s="1496"/>
      <c r="V10719">
        <v>247</v>
      </c>
    </row>
    <row r="10720" spans="1:22" customFormat="1" ht="15" x14ac:dyDescent="0.25">
      <c r="A10720" t="s">
        <v>305</v>
      </c>
      <c r="E10720" s="1496" t="s">
        <v>1104</v>
      </c>
      <c r="F10720" s="1496"/>
      <c r="G10720" s="1496"/>
      <c r="H10720" s="1496"/>
      <c r="V10720">
        <v>142</v>
      </c>
    </row>
    <row r="10721" spans="1:22" customFormat="1" ht="15" x14ac:dyDescent="0.25">
      <c r="A10721" t="s">
        <v>305</v>
      </c>
      <c r="E10721" s="1524" t="s">
        <v>849</v>
      </c>
      <c r="F10721" s="1524"/>
      <c r="G10721" s="892" t="s">
        <v>777</v>
      </c>
      <c r="H10721" s="642">
        <v>117.02</v>
      </c>
      <c r="V10721">
        <v>106</v>
      </c>
    </row>
    <row r="10722" spans="1:22" customFormat="1" ht="15" x14ac:dyDescent="0.25">
      <c r="A10722" t="s">
        <v>305</v>
      </c>
      <c r="E10722" s="1524" t="s">
        <v>850</v>
      </c>
      <c r="F10722" s="1524"/>
      <c r="G10722" s="643" t="s">
        <v>777</v>
      </c>
      <c r="H10722" s="642">
        <v>46.81</v>
      </c>
      <c r="V10722">
        <v>34</v>
      </c>
    </row>
    <row r="10723" spans="1:22" customFormat="1" ht="15" x14ac:dyDescent="0.25">
      <c r="A10723" t="s">
        <v>305</v>
      </c>
      <c r="E10723" s="1524" t="s">
        <v>851</v>
      </c>
      <c r="F10723" s="1524"/>
      <c r="G10723" s="643" t="s">
        <v>852</v>
      </c>
      <c r="H10723" s="642">
        <v>1.1599999999999999</v>
      </c>
      <c r="V10723">
        <v>51</v>
      </c>
    </row>
    <row r="10724" spans="1:22" customFormat="1" ht="15" x14ac:dyDescent="0.25">
      <c r="A10724" t="s">
        <v>305</v>
      </c>
      <c r="E10724" s="1524" t="s">
        <v>853</v>
      </c>
      <c r="F10724" s="1524"/>
      <c r="G10724" s="643" t="s">
        <v>852</v>
      </c>
      <c r="H10724" s="642">
        <v>0.69</v>
      </c>
      <c r="V10724">
        <v>75</v>
      </c>
    </row>
    <row r="10725" spans="1:22" customFormat="1" ht="15" x14ac:dyDescent="0.25">
      <c r="A10725" t="s">
        <v>305</v>
      </c>
      <c r="E10725" s="1524" t="s">
        <v>854</v>
      </c>
      <c r="F10725" s="1524"/>
      <c r="G10725" s="643" t="s">
        <v>852</v>
      </c>
      <c r="H10725" s="642">
        <v>-0.69</v>
      </c>
      <c r="V10725">
        <v>72</v>
      </c>
    </row>
    <row r="10726" spans="1:22" customFormat="1" ht="15" x14ac:dyDescent="0.25">
      <c r="A10726" t="s">
        <v>305</v>
      </c>
      <c r="E10726" s="1524" t="s">
        <v>855</v>
      </c>
      <c r="F10726" s="1524"/>
      <c r="G10726" s="643"/>
      <c r="H10726" s="644"/>
      <c r="V10726">
        <v>34</v>
      </c>
    </row>
    <row r="10727" spans="1:22" customFormat="1" ht="15" x14ac:dyDescent="0.25">
      <c r="A10727" t="s">
        <v>305</v>
      </c>
      <c r="E10727" s="1557" t="s">
        <v>1106</v>
      </c>
      <c r="F10727" s="1557"/>
      <c r="G10727" s="643" t="s">
        <v>777</v>
      </c>
      <c r="H10727" s="642">
        <v>0.59</v>
      </c>
      <c r="V10727">
        <v>57</v>
      </c>
    </row>
    <row r="10728" spans="1:22" customFormat="1" ht="15" x14ac:dyDescent="0.25">
      <c r="A10728" t="s">
        <v>305</v>
      </c>
      <c r="E10728" s="1557" t="s">
        <v>1107</v>
      </c>
      <c r="F10728" s="1557"/>
      <c r="G10728" s="643" t="s">
        <v>777</v>
      </c>
      <c r="H10728" s="642">
        <v>1.1599999999999999</v>
      </c>
      <c r="V10728">
        <v>60</v>
      </c>
    </row>
    <row r="10729" spans="1:22" customFormat="1" ht="15" x14ac:dyDescent="0.25">
      <c r="A10729" t="s">
        <v>305</v>
      </c>
      <c r="E10729" s="1524" t="s">
        <v>1108</v>
      </c>
      <c r="F10729" s="1524"/>
      <c r="G10729" s="643"/>
      <c r="H10729" s="644"/>
      <c r="V10729">
        <v>91</v>
      </c>
    </row>
    <row r="10730" spans="1:22" customFormat="1" ht="15" x14ac:dyDescent="0.25">
      <c r="A10730" t="s">
        <v>305</v>
      </c>
      <c r="E10730" s="1524" t="s">
        <v>1109</v>
      </c>
      <c r="F10730" s="1524"/>
      <c r="G10730" s="643"/>
      <c r="H10730" s="644"/>
      <c r="V10730">
        <v>96</v>
      </c>
    </row>
    <row r="10731" spans="1:22" customFormat="1" ht="15" x14ac:dyDescent="0.25">
      <c r="A10731" t="s">
        <v>305</v>
      </c>
      <c r="E10731" s="1524" t="s">
        <v>856</v>
      </c>
      <c r="F10731" s="1524"/>
      <c r="G10731" s="643"/>
      <c r="H10731" s="644"/>
      <c r="V10731">
        <v>77</v>
      </c>
    </row>
    <row r="10732" spans="1:22" customFormat="1" ht="15" x14ac:dyDescent="0.25">
      <c r="A10732" t="s">
        <v>305</v>
      </c>
      <c r="E10732" s="1557" t="s">
        <v>1111</v>
      </c>
      <c r="F10732" s="1557"/>
      <c r="G10732" s="643" t="s">
        <v>777</v>
      </c>
      <c r="H10732" s="644" t="s">
        <v>857</v>
      </c>
      <c r="V10732">
        <v>18</v>
      </c>
    </row>
    <row r="10733" spans="1:22" customFormat="1" ht="15" x14ac:dyDescent="0.25">
      <c r="A10733" t="s">
        <v>305</v>
      </c>
      <c r="E10733" s="1557" t="s">
        <v>1112</v>
      </c>
      <c r="F10733" s="1557"/>
      <c r="G10733" s="643" t="s">
        <v>777</v>
      </c>
      <c r="H10733" s="642">
        <v>4.68</v>
      </c>
      <c r="V10733">
        <v>69</v>
      </c>
    </row>
    <row r="10734" spans="1:22" customFormat="1" ht="15" x14ac:dyDescent="0.25">
      <c r="A10734" t="s">
        <v>305</v>
      </c>
      <c r="E10734" s="1524" t="s">
        <v>858</v>
      </c>
      <c r="F10734" s="1524"/>
      <c r="G10734" s="643" t="s">
        <v>777</v>
      </c>
      <c r="H10734" s="642">
        <v>2.34</v>
      </c>
      <c r="V10734">
        <v>199</v>
      </c>
    </row>
    <row r="10735" spans="1:22" customFormat="1" ht="18.75" x14ac:dyDescent="0.25">
      <c r="A10735" t="s">
        <v>305</v>
      </c>
      <c r="E10735" s="842" t="s">
        <v>3853</v>
      </c>
      <c r="F10735" s="660"/>
      <c r="G10735" s="660"/>
      <c r="H10735" s="661"/>
      <c r="K10735" t="s">
        <v>5685</v>
      </c>
      <c r="V10735">
        <v>12</v>
      </c>
    </row>
    <row r="10736" spans="1:22" customFormat="1" ht="15" x14ac:dyDescent="0.25">
      <c r="A10736" t="s">
        <v>305</v>
      </c>
      <c r="E10736" s="1524" t="s">
        <v>1114</v>
      </c>
      <c r="F10736" s="1524"/>
      <c r="G10736" s="1524"/>
      <c r="H10736" s="1524"/>
      <c r="V10736">
        <v>203</v>
      </c>
    </row>
    <row r="10737" spans="1:22" customFormat="1" ht="15" x14ac:dyDescent="0.25">
      <c r="A10737" t="s">
        <v>305</v>
      </c>
      <c r="E10737" s="1524" t="s">
        <v>1115</v>
      </c>
      <c r="F10737" s="1524"/>
      <c r="G10737" s="892"/>
      <c r="H10737" s="644">
        <v>1.0565</v>
      </c>
      <c r="V10737">
        <v>57</v>
      </c>
    </row>
    <row r="10738" spans="1:22" customFormat="1" ht="15" x14ac:dyDescent="0.25">
      <c r="A10738" t="s">
        <v>305</v>
      </c>
      <c r="E10738" s="1524" t="s">
        <v>1117</v>
      </c>
      <c r="F10738" s="1524"/>
      <c r="G10738" s="892"/>
      <c r="H10738" s="577">
        <v>1.046</v>
      </c>
      <c r="J10738" t="s">
        <v>5686</v>
      </c>
      <c r="V10738">
        <v>55</v>
      </c>
    </row>
    <row r="10739" spans="1:22" customFormat="1" ht="23.25" x14ac:dyDescent="0.25">
      <c r="A10739" t="s">
        <v>307</v>
      </c>
      <c r="C10739" t="s">
        <v>3755</v>
      </c>
      <c r="E10739" s="1550" t="s">
        <v>307</v>
      </c>
      <c r="F10739" s="1550"/>
      <c r="G10739" s="1550"/>
      <c r="H10739" s="1550"/>
      <c r="I10739" t="s">
        <v>94</v>
      </c>
      <c r="J10739" t="s">
        <v>5687</v>
      </c>
      <c r="K10739" t="s">
        <v>307</v>
      </c>
      <c r="M10739">
        <v>8</v>
      </c>
      <c r="V10739">
        <v>25</v>
      </c>
    </row>
    <row r="10740" spans="1:22" customFormat="1" x14ac:dyDescent="0.25">
      <c r="A10740" t="s">
        <v>307</v>
      </c>
      <c r="C10740" t="s">
        <v>3757</v>
      </c>
      <c r="E10740" s="1551" t="s">
        <v>944</v>
      </c>
      <c r="F10740" s="1551"/>
      <c r="G10740" s="1551"/>
      <c r="H10740" s="1551"/>
      <c r="V10740">
        <v>27</v>
      </c>
    </row>
    <row r="10741" spans="1:22" customFormat="1" ht="15.75" x14ac:dyDescent="0.25">
      <c r="A10741" t="s">
        <v>307</v>
      </c>
      <c r="C10741" t="s">
        <v>3758</v>
      </c>
      <c r="E10741" s="1543" t="s">
        <v>6847</v>
      </c>
      <c r="F10741" s="1543"/>
      <c r="G10741" s="1543"/>
      <c r="H10741" s="1543"/>
      <c r="S10741">
        <v>45778</v>
      </c>
      <c r="V10741">
        <v>45</v>
      </c>
    </row>
    <row r="10742" spans="1:22" customFormat="1" ht="15" x14ac:dyDescent="0.25">
      <c r="A10742" t="s">
        <v>307</v>
      </c>
      <c r="C10742" t="s">
        <v>3759</v>
      </c>
      <c r="E10742" s="1575" t="s">
        <v>945</v>
      </c>
      <c r="F10742" s="1575"/>
      <c r="G10742" s="1575"/>
      <c r="H10742" s="1575"/>
      <c r="V10742">
        <v>52</v>
      </c>
    </row>
    <row r="10743" spans="1:22" customFormat="1" ht="15" x14ac:dyDescent="0.25">
      <c r="A10743" t="s">
        <v>307</v>
      </c>
      <c r="E10743" s="1575" t="s">
        <v>946</v>
      </c>
      <c r="F10743" s="1575"/>
      <c r="G10743" s="1575"/>
      <c r="H10743" s="1575"/>
      <c r="V10743">
        <v>53</v>
      </c>
    </row>
    <row r="10744" spans="1:22" customFormat="1" ht="15" x14ac:dyDescent="0.25">
      <c r="A10744" t="s">
        <v>307</v>
      </c>
      <c r="E10744" s="1513" t="s">
        <v>6940</v>
      </c>
      <c r="F10744" s="1513"/>
      <c r="G10744" s="1513"/>
      <c r="H10744" s="1513"/>
      <c r="K10744" t="s">
        <v>6940</v>
      </c>
      <c r="V10744">
        <v>12</v>
      </c>
    </row>
    <row r="10745" spans="1:22" customFormat="1" ht="15" x14ac:dyDescent="0.25">
      <c r="A10745" t="s">
        <v>307</v>
      </c>
      <c r="E10745" s="1492" t="s">
        <v>170</v>
      </c>
      <c r="F10745" s="1516"/>
      <c r="G10745" s="1516"/>
      <c r="H10745" s="1516"/>
      <c r="K10745" t="s">
        <v>947</v>
      </c>
      <c r="V10745">
        <v>34</v>
      </c>
    </row>
    <row r="10746" spans="1:22" customFormat="1" ht="15" x14ac:dyDescent="0.25">
      <c r="A10746" t="s">
        <v>307</v>
      </c>
      <c r="E10746" s="1516" t="s">
        <v>4604</v>
      </c>
      <c r="F10746" s="1516"/>
      <c r="G10746" s="1516"/>
      <c r="H10746" s="1516"/>
      <c r="K10746" t="s">
        <v>947</v>
      </c>
      <c r="V10746">
        <v>617</v>
      </c>
    </row>
    <row r="10747" spans="1:22" customFormat="1" ht="15" x14ac:dyDescent="0.25">
      <c r="A10747" t="s">
        <v>307</v>
      </c>
      <c r="E10747" s="1515" t="s">
        <v>950</v>
      </c>
      <c r="F10747" s="1516"/>
      <c r="G10747" s="1516"/>
      <c r="H10747" s="1516"/>
      <c r="K10747" t="s">
        <v>949</v>
      </c>
      <c r="V10747">
        <v>11</v>
      </c>
    </row>
    <row r="10748" spans="1:22" customFormat="1" ht="15" x14ac:dyDescent="0.25">
      <c r="A10748" t="s">
        <v>307</v>
      </c>
      <c r="E10748" s="1516" t="s">
        <v>951</v>
      </c>
      <c r="F10748" s="1516"/>
      <c r="G10748" s="1516"/>
      <c r="H10748" s="1516"/>
      <c r="K10748" t="s">
        <v>947</v>
      </c>
      <c r="V10748">
        <v>280</v>
      </c>
    </row>
    <row r="10749" spans="1:22" customFormat="1" ht="15" x14ac:dyDescent="0.25">
      <c r="A10749" t="s">
        <v>307</v>
      </c>
      <c r="E10749" s="1516" t="s">
        <v>952</v>
      </c>
      <c r="F10749" s="1516"/>
      <c r="G10749" s="1516"/>
      <c r="H10749" s="1516"/>
      <c r="K10749" t="s">
        <v>947</v>
      </c>
      <c r="V10749">
        <v>411</v>
      </c>
    </row>
    <row r="10750" spans="1:22" customFormat="1" ht="15" x14ac:dyDescent="0.25">
      <c r="A10750" t="s">
        <v>307</v>
      </c>
      <c r="E10750" s="1516" t="s">
        <v>953</v>
      </c>
      <c r="F10750" s="1516"/>
      <c r="G10750" s="1516"/>
      <c r="H10750" s="1516"/>
      <c r="K10750" t="s">
        <v>947</v>
      </c>
      <c r="V10750">
        <v>386</v>
      </c>
    </row>
    <row r="10751" spans="1:22" customFormat="1" ht="15" x14ac:dyDescent="0.25">
      <c r="A10751" t="s">
        <v>307</v>
      </c>
      <c r="E10751" s="1516" t="s">
        <v>3762</v>
      </c>
      <c r="F10751" s="1516"/>
      <c r="G10751" s="1516"/>
      <c r="H10751" s="1516"/>
      <c r="K10751" t="s">
        <v>947</v>
      </c>
      <c r="V10751">
        <v>247</v>
      </c>
    </row>
    <row r="10752" spans="1:22" customFormat="1" ht="15" x14ac:dyDescent="0.25">
      <c r="A10752" t="s">
        <v>307</v>
      </c>
      <c r="E10752" s="1515" t="s">
        <v>956</v>
      </c>
      <c r="F10752" s="1516"/>
      <c r="G10752" s="1516"/>
      <c r="H10752" s="1516"/>
      <c r="K10752" t="s">
        <v>955</v>
      </c>
      <c r="V10752">
        <v>46</v>
      </c>
    </row>
    <row r="10753" spans="1:22" customFormat="1" ht="15" x14ac:dyDescent="0.25">
      <c r="A10753" t="s">
        <v>307</v>
      </c>
      <c r="E10753" s="1507" t="s">
        <v>3773</v>
      </c>
      <c r="F10753" s="1507"/>
      <c r="G10753" s="584" t="s">
        <v>777</v>
      </c>
      <c r="H10753" s="576">
        <v>35.409999999999997</v>
      </c>
      <c r="K10753" t="s">
        <v>947</v>
      </c>
      <c r="L10753" t="s">
        <v>690</v>
      </c>
      <c r="P10753" t="s">
        <v>957</v>
      </c>
      <c r="V10753">
        <v>14</v>
      </c>
    </row>
    <row r="10754" spans="1:22" customFormat="1" ht="15" x14ac:dyDescent="0.25">
      <c r="A10754" t="s">
        <v>307</v>
      </c>
      <c r="E10754" s="1507" t="s">
        <v>960</v>
      </c>
      <c r="F10754" s="1507"/>
      <c r="G10754" s="584" t="s">
        <v>777</v>
      </c>
      <c r="H10754" s="576">
        <v>0.42</v>
      </c>
      <c r="K10754" t="s">
        <v>947</v>
      </c>
      <c r="L10754" t="s">
        <v>692</v>
      </c>
      <c r="P10754" t="s">
        <v>959</v>
      </c>
      <c r="V10754">
        <v>64</v>
      </c>
    </row>
    <row r="10755" spans="1:22" customFormat="1" ht="15" x14ac:dyDescent="0.25">
      <c r="A10755" t="s">
        <v>307</v>
      </c>
      <c r="E10755" s="1507" t="s">
        <v>6941</v>
      </c>
      <c r="F10755" s="1507"/>
      <c r="G10755" s="584" t="s">
        <v>845</v>
      </c>
      <c r="H10755" s="577">
        <v>-5.0000000000000001E-4</v>
      </c>
      <c r="K10755" t="s">
        <v>947</v>
      </c>
      <c r="L10755" t="s">
        <v>692</v>
      </c>
      <c r="P10755" t="s">
        <v>963</v>
      </c>
      <c r="T10755">
        <v>46142</v>
      </c>
      <c r="V10755">
        <v>152</v>
      </c>
    </row>
    <row r="10756" spans="1:22" customFormat="1" ht="15" x14ac:dyDescent="0.25">
      <c r="A10756" t="s">
        <v>307</v>
      </c>
      <c r="E10756" s="1507" t="s">
        <v>6942</v>
      </c>
      <c r="F10756" s="1507"/>
      <c r="G10756" s="584" t="s">
        <v>845</v>
      </c>
      <c r="H10756" s="577">
        <v>4.0000000000000002E-4</v>
      </c>
      <c r="K10756" t="s">
        <v>947</v>
      </c>
      <c r="L10756" t="s">
        <v>692</v>
      </c>
      <c r="P10756" t="s">
        <v>962</v>
      </c>
      <c r="T10756">
        <v>46142</v>
      </c>
      <c r="V10756">
        <v>152</v>
      </c>
    </row>
    <row r="10757" spans="1:22" customFormat="1" ht="15" x14ac:dyDescent="0.25">
      <c r="A10757" t="s">
        <v>307</v>
      </c>
      <c r="E10757" s="1507" t="s">
        <v>6943</v>
      </c>
      <c r="F10757" s="1507"/>
      <c r="G10757" s="584" t="s">
        <v>845</v>
      </c>
      <c r="H10757" s="577">
        <v>-4.0000000000000002E-4</v>
      </c>
      <c r="K10757" t="s">
        <v>947</v>
      </c>
      <c r="L10757" t="s">
        <v>692</v>
      </c>
      <c r="P10757" t="s">
        <v>963</v>
      </c>
      <c r="T10757">
        <v>46142</v>
      </c>
      <c r="V10757">
        <v>147</v>
      </c>
    </row>
    <row r="10758" spans="1:22" customFormat="1" ht="15" x14ac:dyDescent="0.25">
      <c r="A10758" t="s">
        <v>307</v>
      </c>
      <c r="E10758" s="1507" t="s">
        <v>6944</v>
      </c>
      <c r="F10758" s="1507"/>
      <c r="G10758" s="584" t="s">
        <v>845</v>
      </c>
      <c r="H10758" s="577">
        <v>-5.9999999999999995E-4</v>
      </c>
      <c r="K10758" t="s">
        <v>947</v>
      </c>
      <c r="L10758" t="s">
        <v>692</v>
      </c>
      <c r="P10758" t="s">
        <v>962</v>
      </c>
      <c r="T10758">
        <v>46142</v>
      </c>
      <c r="V10758">
        <v>148</v>
      </c>
    </row>
    <row r="10759" spans="1:22" customFormat="1" ht="15" x14ac:dyDescent="0.25">
      <c r="A10759" t="s">
        <v>307</v>
      </c>
      <c r="E10759" s="1507" t="s">
        <v>243</v>
      </c>
      <c r="F10759" s="1507"/>
      <c r="G10759" s="584" t="s">
        <v>845</v>
      </c>
      <c r="H10759" s="577">
        <v>1.1299999999999999E-2</v>
      </c>
      <c r="K10759" t="s">
        <v>947</v>
      </c>
      <c r="L10759" t="s">
        <v>694</v>
      </c>
      <c r="P10759" t="s">
        <v>964</v>
      </c>
      <c r="V10759">
        <v>47</v>
      </c>
    </row>
    <row r="10760" spans="1:22" customFormat="1" ht="15" x14ac:dyDescent="0.25">
      <c r="A10760" t="s">
        <v>307</v>
      </c>
      <c r="E10760" s="1507" t="s">
        <v>175</v>
      </c>
      <c r="F10760" s="1507"/>
      <c r="G10760" s="584" t="s">
        <v>845</v>
      </c>
      <c r="H10760" s="577">
        <v>6.8999999999999999E-3</v>
      </c>
      <c r="K10760" t="s">
        <v>947</v>
      </c>
      <c r="L10760" t="s">
        <v>694</v>
      </c>
      <c r="P10760" t="s">
        <v>965</v>
      </c>
      <c r="V10760">
        <v>74</v>
      </c>
    </row>
    <row r="10761" spans="1:22" customFormat="1" ht="15" x14ac:dyDescent="0.25">
      <c r="A10761" t="s">
        <v>307</v>
      </c>
      <c r="E10761" s="1515" t="s">
        <v>967</v>
      </c>
      <c r="F10761" s="1507"/>
      <c r="G10761" s="584"/>
      <c r="H10761" s="584"/>
      <c r="K10761" t="s">
        <v>966</v>
      </c>
      <c r="V10761">
        <v>48</v>
      </c>
    </row>
    <row r="10762" spans="1:22" customFormat="1" ht="15" x14ac:dyDescent="0.25">
      <c r="A10762" t="s">
        <v>307</v>
      </c>
      <c r="E10762" s="1507" t="s">
        <v>844</v>
      </c>
      <c r="F10762" s="1507"/>
      <c r="G10762" s="584" t="s">
        <v>845</v>
      </c>
      <c r="H10762" s="577">
        <v>4.1000000000000003E-3</v>
      </c>
      <c r="K10762" t="s">
        <v>947</v>
      </c>
      <c r="L10762" t="s">
        <v>968</v>
      </c>
      <c r="P10762" t="s">
        <v>969</v>
      </c>
      <c r="V10762">
        <v>55</v>
      </c>
    </row>
    <row r="10763" spans="1:22" customFormat="1" ht="15" x14ac:dyDescent="0.25">
      <c r="A10763" t="s">
        <v>307</v>
      </c>
      <c r="E10763" s="1507" t="s">
        <v>846</v>
      </c>
      <c r="F10763" s="1507"/>
      <c r="G10763" s="584" t="s">
        <v>845</v>
      </c>
      <c r="H10763" s="577">
        <v>4.0000000000000002E-4</v>
      </c>
      <c r="K10763" t="s">
        <v>947</v>
      </c>
      <c r="L10763" t="s">
        <v>968</v>
      </c>
      <c r="P10763" t="s">
        <v>969</v>
      </c>
      <c r="V10763">
        <v>65</v>
      </c>
    </row>
    <row r="10764" spans="1:22" customFormat="1" ht="15" x14ac:dyDescent="0.25">
      <c r="A10764" t="s">
        <v>307</v>
      </c>
      <c r="E10764" s="1507" t="s">
        <v>847</v>
      </c>
      <c r="F10764" s="1507"/>
      <c r="G10764" s="584" t="s">
        <v>845</v>
      </c>
      <c r="H10764" s="577">
        <v>1.5E-3</v>
      </c>
      <c r="K10764" t="s">
        <v>947</v>
      </c>
      <c r="L10764" t="s">
        <v>968</v>
      </c>
      <c r="P10764" t="s">
        <v>970</v>
      </c>
      <c r="V10764">
        <v>57</v>
      </c>
    </row>
    <row r="10765" spans="1:22" customFormat="1" ht="15" x14ac:dyDescent="0.25">
      <c r="A10765" t="s">
        <v>307</v>
      </c>
      <c r="E10765" s="1507" t="s">
        <v>848</v>
      </c>
      <c r="F10765" s="1507"/>
      <c r="G10765" s="584" t="s">
        <v>777</v>
      </c>
      <c r="H10765" s="978">
        <v>0.25</v>
      </c>
      <c r="K10765" t="s">
        <v>947</v>
      </c>
      <c r="L10765" t="s">
        <v>968</v>
      </c>
      <c r="P10765" t="s">
        <v>971</v>
      </c>
      <c r="V10765">
        <v>63</v>
      </c>
    </row>
    <row r="10766" spans="1:22" customFormat="1" x14ac:dyDescent="0.25">
      <c r="A10766" t="s">
        <v>307</v>
      </c>
      <c r="E10766" s="1492" t="s">
        <v>174</v>
      </c>
      <c r="F10766" s="1493"/>
      <c r="G10766" s="1493"/>
      <c r="H10766" s="1493"/>
      <c r="K10766" t="s">
        <v>972</v>
      </c>
      <c r="V10766">
        <v>54</v>
      </c>
    </row>
    <row r="10767" spans="1:22" customFormat="1" ht="15" x14ac:dyDescent="0.25">
      <c r="A10767" t="s">
        <v>307</v>
      </c>
      <c r="E10767" s="1516" t="s">
        <v>5688</v>
      </c>
      <c r="F10767" s="1516"/>
      <c r="G10767" s="1516"/>
      <c r="H10767" s="1516"/>
      <c r="K10767" t="s">
        <v>972</v>
      </c>
      <c r="V10767">
        <v>505</v>
      </c>
    </row>
    <row r="10768" spans="1:22" customFormat="1" ht="15" x14ac:dyDescent="0.25">
      <c r="A10768" t="s">
        <v>307</v>
      </c>
      <c r="E10768" s="1515" t="s">
        <v>950</v>
      </c>
      <c r="F10768" s="1516"/>
      <c r="G10768" s="1516"/>
      <c r="H10768" s="1516"/>
      <c r="K10768" t="s">
        <v>974</v>
      </c>
      <c r="V10768">
        <v>11</v>
      </c>
    </row>
    <row r="10769" spans="1:22" customFormat="1" ht="15" x14ac:dyDescent="0.25">
      <c r="A10769" t="s">
        <v>307</v>
      </c>
      <c r="E10769" s="1516" t="s">
        <v>951</v>
      </c>
      <c r="F10769" s="1516"/>
      <c r="G10769" s="1516"/>
      <c r="H10769" s="1516"/>
      <c r="K10769" t="s">
        <v>972</v>
      </c>
      <c r="V10769">
        <v>280</v>
      </c>
    </row>
    <row r="10770" spans="1:22" customFormat="1" ht="15" x14ac:dyDescent="0.25">
      <c r="A10770" t="s">
        <v>307</v>
      </c>
      <c r="E10770" s="1516" t="s">
        <v>952</v>
      </c>
      <c r="F10770" s="1516"/>
      <c r="G10770" s="1516"/>
      <c r="H10770" s="1516"/>
      <c r="K10770" t="s">
        <v>972</v>
      </c>
      <c r="V10770">
        <v>411</v>
      </c>
    </row>
    <row r="10771" spans="1:22" customFormat="1" ht="15" x14ac:dyDescent="0.25">
      <c r="A10771" t="s">
        <v>307</v>
      </c>
      <c r="E10771" s="1516" t="s">
        <v>953</v>
      </c>
      <c r="F10771" s="1516"/>
      <c r="G10771" s="1516"/>
      <c r="H10771" s="1516"/>
      <c r="K10771" t="s">
        <v>972</v>
      </c>
      <c r="V10771">
        <v>386</v>
      </c>
    </row>
    <row r="10772" spans="1:22" customFormat="1" ht="15" x14ac:dyDescent="0.25">
      <c r="A10772" t="s">
        <v>307</v>
      </c>
      <c r="E10772" s="1516" t="s">
        <v>3762</v>
      </c>
      <c r="F10772" s="1516"/>
      <c r="G10772" s="1516"/>
      <c r="H10772" s="1516"/>
      <c r="K10772" t="s">
        <v>972</v>
      </c>
      <c r="V10772">
        <v>247</v>
      </c>
    </row>
    <row r="10773" spans="1:22" customFormat="1" ht="15" x14ac:dyDescent="0.25">
      <c r="A10773" t="s">
        <v>307</v>
      </c>
      <c r="E10773" s="1515" t="s">
        <v>956</v>
      </c>
      <c r="F10773" s="1516"/>
      <c r="G10773" s="1516"/>
      <c r="H10773" s="1516"/>
      <c r="K10773" t="s">
        <v>975</v>
      </c>
      <c r="V10773">
        <v>46</v>
      </c>
    </row>
    <row r="10774" spans="1:22" customFormat="1" ht="15" x14ac:dyDescent="0.25">
      <c r="A10774" t="s">
        <v>307</v>
      </c>
      <c r="E10774" s="1507" t="s">
        <v>3773</v>
      </c>
      <c r="F10774" s="1507"/>
      <c r="G10774" s="584" t="s">
        <v>777</v>
      </c>
      <c r="H10774" s="576">
        <v>40.5</v>
      </c>
      <c r="K10774" t="s">
        <v>972</v>
      </c>
      <c r="L10774" t="s">
        <v>690</v>
      </c>
      <c r="P10774" t="s">
        <v>976</v>
      </c>
      <c r="V10774">
        <v>14</v>
      </c>
    </row>
    <row r="10775" spans="1:22" customFormat="1" ht="15" x14ac:dyDescent="0.25">
      <c r="A10775" t="s">
        <v>307</v>
      </c>
      <c r="E10775" s="1507" t="s">
        <v>3688</v>
      </c>
      <c r="F10775" s="1507"/>
      <c r="G10775" s="584" t="s">
        <v>845</v>
      </c>
      <c r="H10775" s="577">
        <v>2.2800000000000001E-2</v>
      </c>
      <c r="K10775" t="s">
        <v>972</v>
      </c>
      <c r="L10775" t="s">
        <v>690</v>
      </c>
      <c r="P10775" t="s">
        <v>978</v>
      </c>
      <c r="V10775">
        <v>28</v>
      </c>
    </row>
    <row r="10776" spans="1:22" customFormat="1" ht="15" x14ac:dyDescent="0.25">
      <c r="A10776" t="s">
        <v>307</v>
      </c>
      <c r="E10776" s="1507" t="s">
        <v>960</v>
      </c>
      <c r="F10776" s="1507"/>
      <c r="G10776" s="584" t="s">
        <v>777</v>
      </c>
      <c r="H10776" s="576">
        <v>0.42</v>
      </c>
      <c r="K10776" t="s">
        <v>972</v>
      </c>
      <c r="L10776" t="s">
        <v>692</v>
      </c>
      <c r="P10776" t="s">
        <v>977</v>
      </c>
      <c r="V10776">
        <v>64</v>
      </c>
    </row>
    <row r="10777" spans="1:22" customFormat="1" ht="15" x14ac:dyDescent="0.25">
      <c r="A10777" t="s">
        <v>307</v>
      </c>
      <c r="E10777" s="1507" t="s">
        <v>6945</v>
      </c>
      <c r="F10777" s="1507"/>
      <c r="G10777" s="584" t="s">
        <v>845</v>
      </c>
      <c r="H10777" s="577">
        <v>-2.0000000000000001E-4</v>
      </c>
      <c r="K10777" t="s">
        <v>972</v>
      </c>
      <c r="L10777" t="s">
        <v>692</v>
      </c>
      <c r="P10777" t="s">
        <v>982</v>
      </c>
      <c r="T10777">
        <v>46142</v>
      </c>
      <c r="V10777">
        <v>151</v>
      </c>
    </row>
    <row r="10778" spans="1:22" customFormat="1" ht="15" x14ac:dyDescent="0.25">
      <c r="A10778" t="s">
        <v>307</v>
      </c>
      <c r="E10778" s="1507" t="s">
        <v>6946</v>
      </c>
      <c r="F10778" s="1507"/>
      <c r="G10778" s="584" t="s">
        <v>845</v>
      </c>
      <c r="H10778" s="577">
        <v>4.0000000000000002E-4</v>
      </c>
      <c r="K10778" t="s">
        <v>972</v>
      </c>
      <c r="L10778" t="s">
        <v>692</v>
      </c>
      <c r="P10778" t="s">
        <v>981</v>
      </c>
      <c r="T10778">
        <v>46142</v>
      </c>
      <c r="V10778">
        <v>150</v>
      </c>
    </row>
    <row r="10779" spans="1:22" customFormat="1" ht="15" x14ac:dyDescent="0.25">
      <c r="A10779" t="s">
        <v>307</v>
      </c>
      <c r="E10779" s="1507" t="s">
        <v>6947</v>
      </c>
      <c r="F10779" s="1507"/>
      <c r="G10779" s="584" t="s">
        <v>845</v>
      </c>
      <c r="H10779" s="577">
        <v>-2.0000000000000001E-4</v>
      </c>
      <c r="K10779" t="s">
        <v>972</v>
      </c>
      <c r="L10779" t="s">
        <v>692</v>
      </c>
      <c r="P10779" t="s">
        <v>982</v>
      </c>
      <c r="T10779">
        <v>46142</v>
      </c>
      <c r="V10779">
        <v>146</v>
      </c>
    </row>
    <row r="10780" spans="1:22" customFormat="1" ht="15" x14ac:dyDescent="0.25">
      <c r="A10780" t="s">
        <v>307</v>
      </c>
      <c r="E10780" s="1507" t="s">
        <v>6944</v>
      </c>
      <c r="F10780" s="1507"/>
      <c r="G10780" s="584" t="s">
        <v>845</v>
      </c>
      <c r="H10780" s="577">
        <v>-5.9999999999999995E-4</v>
      </c>
      <c r="K10780" t="s">
        <v>972</v>
      </c>
      <c r="L10780" t="s">
        <v>692</v>
      </c>
      <c r="P10780" t="s">
        <v>981</v>
      </c>
      <c r="T10780">
        <v>46142</v>
      </c>
      <c r="V10780">
        <v>148</v>
      </c>
    </row>
    <row r="10781" spans="1:22" customFormat="1" ht="15" x14ac:dyDescent="0.25">
      <c r="A10781" t="s">
        <v>307</v>
      </c>
      <c r="E10781" s="1507" t="s">
        <v>243</v>
      </c>
      <c r="F10781" s="1507"/>
      <c r="G10781" s="584" t="s">
        <v>845</v>
      </c>
      <c r="H10781" s="577">
        <v>1.06E-2</v>
      </c>
      <c r="K10781" t="s">
        <v>972</v>
      </c>
      <c r="L10781" t="s">
        <v>694</v>
      </c>
      <c r="P10781" t="s">
        <v>983</v>
      </c>
      <c r="V10781">
        <v>47</v>
      </c>
    </row>
    <row r="10782" spans="1:22" customFormat="1" ht="15" x14ac:dyDescent="0.25">
      <c r="A10782" t="s">
        <v>307</v>
      </c>
      <c r="E10782" s="1507" t="s">
        <v>175</v>
      </c>
      <c r="F10782" s="1507"/>
      <c r="G10782" s="584" t="s">
        <v>845</v>
      </c>
      <c r="H10782" s="577">
        <v>6.1999999999999998E-3</v>
      </c>
      <c r="K10782" t="s">
        <v>972</v>
      </c>
      <c r="L10782" t="s">
        <v>694</v>
      </c>
      <c r="P10782" t="s">
        <v>984</v>
      </c>
      <c r="V10782">
        <v>74</v>
      </c>
    </row>
    <row r="10783" spans="1:22" customFormat="1" ht="15" x14ac:dyDescent="0.25">
      <c r="A10783" t="s">
        <v>307</v>
      </c>
      <c r="E10783" s="1515" t="s">
        <v>967</v>
      </c>
      <c r="F10783" s="1507"/>
      <c r="G10783" s="584"/>
      <c r="H10783" s="584"/>
      <c r="K10783" t="s">
        <v>985</v>
      </c>
      <c r="V10783">
        <v>48</v>
      </c>
    </row>
    <row r="10784" spans="1:22" customFormat="1" ht="15" x14ac:dyDescent="0.25">
      <c r="A10784" t="s">
        <v>307</v>
      </c>
      <c r="E10784" s="1507" t="s">
        <v>844</v>
      </c>
      <c r="F10784" s="1507"/>
      <c r="G10784" s="584" t="s">
        <v>845</v>
      </c>
      <c r="H10784" s="577">
        <v>4.1000000000000003E-3</v>
      </c>
      <c r="K10784" t="s">
        <v>972</v>
      </c>
      <c r="L10784" t="s">
        <v>968</v>
      </c>
      <c r="P10784" t="s">
        <v>986</v>
      </c>
      <c r="V10784">
        <v>55</v>
      </c>
    </row>
    <row r="10785" spans="1:22" customFormat="1" ht="15" x14ac:dyDescent="0.25">
      <c r="A10785" t="s">
        <v>307</v>
      </c>
      <c r="E10785" s="1507" t="s">
        <v>846</v>
      </c>
      <c r="F10785" s="1507"/>
      <c r="G10785" s="584" t="s">
        <v>845</v>
      </c>
      <c r="H10785" s="577">
        <v>4.0000000000000002E-4</v>
      </c>
      <c r="K10785" t="s">
        <v>972</v>
      </c>
      <c r="L10785" t="s">
        <v>968</v>
      </c>
      <c r="P10785" t="s">
        <v>986</v>
      </c>
      <c r="V10785">
        <v>65</v>
      </c>
    </row>
    <row r="10786" spans="1:22" customFormat="1" ht="15" x14ac:dyDescent="0.25">
      <c r="A10786" t="s">
        <v>307</v>
      </c>
      <c r="E10786" s="1507" t="s">
        <v>847</v>
      </c>
      <c r="F10786" s="1507"/>
      <c r="G10786" s="584" t="s">
        <v>845</v>
      </c>
      <c r="H10786" s="577">
        <v>1.5E-3</v>
      </c>
      <c r="K10786" t="s">
        <v>972</v>
      </c>
      <c r="L10786" t="s">
        <v>968</v>
      </c>
      <c r="P10786" t="s">
        <v>987</v>
      </c>
      <c r="V10786">
        <v>57</v>
      </c>
    </row>
    <row r="10787" spans="1:22" customFormat="1" ht="15" x14ac:dyDescent="0.25">
      <c r="A10787" t="s">
        <v>307</v>
      </c>
      <c r="E10787" s="1507" t="s">
        <v>848</v>
      </c>
      <c r="F10787" s="1507"/>
      <c r="G10787" s="584" t="s">
        <v>777</v>
      </c>
      <c r="H10787" s="576">
        <v>0.25</v>
      </c>
      <c r="K10787" t="s">
        <v>972</v>
      </c>
      <c r="L10787" t="s">
        <v>968</v>
      </c>
      <c r="P10787" t="s">
        <v>988</v>
      </c>
      <c r="V10787">
        <v>63</v>
      </c>
    </row>
    <row r="10788" spans="1:22" customFormat="1" x14ac:dyDescent="0.25">
      <c r="A10788" t="s">
        <v>307</v>
      </c>
      <c r="E10788" s="1492" t="s">
        <v>990</v>
      </c>
      <c r="F10788" s="1493"/>
      <c r="G10788" s="1493"/>
      <c r="H10788" s="1493"/>
      <c r="K10788" t="s">
        <v>989</v>
      </c>
      <c r="V10788">
        <v>51</v>
      </c>
    </row>
    <row r="10789" spans="1:22" customFormat="1" ht="15" x14ac:dyDescent="0.25">
      <c r="A10789" t="s">
        <v>307</v>
      </c>
      <c r="E10789" s="1516" t="s">
        <v>5689</v>
      </c>
      <c r="F10789" s="1516"/>
      <c r="G10789" s="1516"/>
      <c r="H10789" s="1516"/>
      <c r="K10789" t="s">
        <v>989</v>
      </c>
      <c r="V10789">
        <v>991</v>
      </c>
    </row>
    <row r="10790" spans="1:22" customFormat="1" ht="15" x14ac:dyDescent="0.25">
      <c r="A10790" t="s">
        <v>307</v>
      </c>
      <c r="E10790" s="1515" t="s">
        <v>950</v>
      </c>
      <c r="F10790" s="1516"/>
      <c r="G10790" s="1516"/>
      <c r="H10790" s="1516"/>
      <c r="K10790" t="s">
        <v>992</v>
      </c>
      <c r="V10790">
        <v>11</v>
      </c>
    </row>
    <row r="10791" spans="1:22" customFormat="1" ht="15" x14ac:dyDescent="0.25">
      <c r="A10791" t="s">
        <v>307</v>
      </c>
      <c r="E10791" s="1516" t="s">
        <v>951</v>
      </c>
      <c r="F10791" s="1516"/>
      <c r="G10791" s="1516"/>
      <c r="H10791" s="1516"/>
      <c r="K10791" t="s">
        <v>989</v>
      </c>
      <c r="V10791">
        <v>280</v>
      </c>
    </row>
    <row r="10792" spans="1:22" customFormat="1" ht="15" x14ac:dyDescent="0.25">
      <c r="A10792" t="s">
        <v>307</v>
      </c>
      <c r="E10792" s="1516" t="s">
        <v>952</v>
      </c>
      <c r="F10792" s="1516"/>
      <c r="G10792" s="1516"/>
      <c r="H10792" s="1516"/>
      <c r="K10792" t="s">
        <v>989</v>
      </c>
      <c r="V10792">
        <v>411</v>
      </c>
    </row>
    <row r="10793" spans="1:22" customFormat="1" ht="15" x14ac:dyDescent="0.25">
      <c r="A10793" t="s">
        <v>307</v>
      </c>
      <c r="E10793" s="1516" t="s">
        <v>953</v>
      </c>
      <c r="F10793" s="1516"/>
      <c r="G10793" s="1516"/>
      <c r="H10793" s="1516"/>
      <c r="K10793" t="s">
        <v>989</v>
      </c>
      <c r="V10793">
        <v>386</v>
      </c>
    </row>
    <row r="10794" spans="1:22" customFormat="1" ht="15" x14ac:dyDescent="0.25">
      <c r="A10794" t="s">
        <v>307</v>
      </c>
      <c r="E10794" s="1516" t="s">
        <v>3771</v>
      </c>
      <c r="F10794" s="1516"/>
      <c r="G10794" s="1516"/>
      <c r="H10794" s="1516"/>
      <c r="K10794" t="s">
        <v>989</v>
      </c>
      <c r="V10794">
        <v>677</v>
      </c>
    </row>
    <row r="10795" spans="1:22" customFormat="1" ht="15" x14ac:dyDescent="0.25">
      <c r="A10795" t="s">
        <v>307</v>
      </c>
      <c r="E10795" s="1516" t="s">
        <v>3772</v>
      </c>
      <c r="F10795" s="1516"/>
      <c r="G10795" s="1516"/>
      <c r="H10795" s="1516"/>
      <c r="K10795" t="s">
        <v>989</v>
      </c>
      <c r="V10795">
        <v>693</v>
      </c>
    </row>
    <row r="10796" spans="1:22" customFormat="1" ht="15" x14ac:dyDescent="0.25">
      <c r="A10796" t="s">
        <v>307</v>
      </c>
      <c r="E10796" s="1516" t="s">
        <v>3762</v>
      </c>
      <c r="F10796" s="1516"/>
      <c r="G10796" s="1516"/>
      <c r="H10796" s="1516"/>
      <c r="K10796" t="s">
        <v>989</v>
      </c>
      <c r="V10796">
        <v>247</v>
      </c>
    </row>
    <row r="10797" spans="1:22" customFormat="1" ht="15" x14ac:dyDescent="0.25">
      <c r="A10797" t="s">
        <v>307</v>
      </c>
      <c r="E10797" s="1515" t="s">
        <v>956</v>
      </c>
      <c r="F10797" s="1516"/>
      <c r="G10797" s="1516"/>
      <c r="H10797" s="1516"/>
      <c r="K10797" t="s">
        <v>995</v>
      </c>
      <c r="V10797">
        <v>46</v>
      </c>
    </row>
    <row r="10798" spans="1:22" customFormat="1" ht="15" x14ac:dyDescent="0.25">
      <c r="A10798" t="s">
        <v>307</v>
      </c>
      <c r="E10798" s="1507" t="s">
        <v>3773</v>
      </c>
      <c r="F10798" s="1507"/>
      <c r="G10798" s="584" t="s">
        <v>777</v>
      </c>
      <c r="H10798" s="576">
        <v>237.07</v>
      </c>
      <c r="K10798" t="s">
        <v>989</v>
      </c>
      <c r="L10798" t="s">
        <v>690</v>
      </c>
      <c r="P10798" t="s">
        <v>996</v>
      </c>
      <c r="V10798">
        <v>14</v>
      </c>
    </row>
    <row r="10799" spans="1:22" customFormat="1" ht="15" x14ac:dyDescent="0.25">
      <c r="A10799" t="s">
        <v>307</v>
      </c>
      <c r="E10799" s="1507" t="s">
        <v>3688</v>
      </c>
      <c r="F10799" s="1507"/>
      <c r="G10799" s="584" t="s">
        <v>3775</v>
      </c>
      <c r="H10799" s="577">
        <v>5.3205</v>
      </c>
      <c r="K10799" t="s">
        <v>989</v>
      </c>
      <c r="L10799" t="s">
        <v>690</v>
      </c>
      <c r="P10799" t="s">
        <v>997</v>
      </c>
      <c r="V10799">
        <v>28</v>
      </c>
    </row>
    <row r="10800" spans="1:22" customFormat="1" ht="15" x14ac:dyDescent="0.25">
      <c r="A10800" t="s">
        <v>307</v>
      </c>
      <c r="E10800" s="1507" t="s">
        <v>6948</v>
      </c>
      <c r="F10800" s="1507"/>
      <c r="G10800" s="584" t="s">
        <v>3775</v>
      </c>
      <c r="H10800" s="577">
        <v>-7.0400000000000004E-2</v>
      </c>
      <c r="K10800" t="s">
        <v>989</v>
      </c>
      <c r="L10800" t="s">
        <v>692</v>
      </c>
      <c r="P10800" t="s">
        <v>1000</v>
      </c>
      <c r="T10800">
        <v>46142</v>
      </c>
      <c r="V10800">
        <v>153</v>
      </c>
    </row>
    <row r="10801" spans="1:22" customFormat="1" ht="15" x14ac:dyDescent="0.25">
      <c r="A10801" t="s">
        <v>307</v>
      </c>
      <c r="E10801" s="1507" t="s">
        <v>6949</v>
      </c>
      <c r="F10801" s="1507"/>
      <c r="G10801" s="584" t="s">
        <v>845</v>
      </c>
      <c r="H10801" s="577">
        <v>4.0000000000000002E-4</v>
      </c>
      <c r="K10801" t="s">
        <v>989</v>
      </c>
      <c r="L10801" t="s">
        <v>692</v>
      </c>
      <c r="P10801" t="s">
        <v>999</v>
      </c>
      <c r="T10801">
        <v>46142</v>
      </c>
      <c r="V10801">
        <v>151</v>
      </c>
    </row>
    <row r="10802" spans="1:22" customFormat="1" ht="15" x14ac:dyDescent="0.25">
      <c r="A10802" t="s">
        <v>307</v>
      </c>
      <c r="E10802" s="1507" t="s">
        <v>6950</v>
      </c>
      <c r="F10802" s="1507"/>
      <c r="G10802" s="584" t="s">
        <v>3775</v>
      </c>
      <c r="H10802" s="577">
        <v>-4.3200000000000002E-2</v>
      </c>
      <c r="K10802" t="s">
        <v>989</v>
      </c>
      <c r="L10802" t="s">
        <v>692</v>
      </c>
      <c r="P10802" t="s">
        <v>1000</v>
      </c>
      <c r="T10802">
        <v>46142</v>
      </c>
      <c r="V10802">
        <v>148</v>
      </c>
    </row>
    <row r="10803" spans="1:22" customFormat="1" ht="15" x14ac:dyDescent="0.25">
      <c r="A10803" t="s">
        <v>307</v>
      </c>
      <c r="E10803" s="1507" t="s">
        <v>6951</v>
      </c>
      <c r="F10803" s="1507"/>
      <c r="G10803" s="584" t="s">
        <v>845</v>
      </c>
      <c r="H10803" s="577">
        <v>-5.9999999999999995E-4</v>
      </c>
      <c r="K10803" t="s">
        <v>989</v>
      </c>
      <c r="L10803" t="s">
        <v>692</v>
      </c>
      <c r="P10803" t="s">
        <v>999</v>
      </c>
      <c r="T10803">
        <v>46142</v>
      </c>
      <c r="V10803">
        <v>147</v>
      </c>
    </row>
    <row r="10804" spans="1:22" customFormat="1" ht="15" x14ac:dyDescent="0.25">
      <c r="A10804" t="s">
        <v>307</v>
      </c>
      <c r="E10804" s="1507" t="s">
        <v>243</v>
      </c>
      <c r="F10804" s="1507"/>
      <c r="G10804" s="584" t="s">
        <v>3775</v>
      </c>
      <c r="H10804" s="577">
        <v>4.1409000000000002</v>
      </c>
      <c r="K10804" t="s">
        <v>989</v>
      </c>
      <c r="L10804" t="s">
        <v>694</v>
      </c>
      <c r="P10804" t="s">
        <v>1001</v>
      </c>
      <c r="V10804">
        <v>47</v>
      </c>
    </row>
    <row r="10805" spans="1:22" customFormat="1" ht="15" x14ac:dyDescent="0.25">
      <c r="A10805" t="s">
        <v>307</v>
      </c>
      <c r="E10805" s="1507" t="s">
        <v>4121</v>
      </c>
      <c r="F10805" s="1507"/>
      <c r="G10805" s="584" t="s">
        <v>3775</v>
      </c>
      <c r="H10805" s="577">
        <v>2.6412</v>
      </c>
      <c r="K10805" t="s">
        <v>989</v>
      </c>
      <c r="L10805" t="s">
        <v>694</v>
      </c>
      <c r="P10805" t="s">
        <v>1002</v>
      </c>
      <c r="V10805">
        <v>75</v>
      </c>
    </row>
    <row r="10806" spans="1:22" customFormat="1" ht="15" x14ac:dyDescent="0.25">
      <c r="A10806" t="s">
        <v>307</v>
      </c>
      <c r="E10806" s="1507" t="s">
        <v>251</v>
      </c>
      <c r="F10806" s="1507"/>
      <c r="G10806" s="584" t="s">
        <v>3775</v>
      </c>
      <c r="H10806" s="577">
        <v>4.4184999999999999</v>
      </c>
      <c r="K10806" t="s">
        <v>989</v>
      </c>
      <c r="L10806" t="s">
        <v>694</v>
      </c>
      <c r="P10806" t="s">
        <v>1001</v>
      </c>
      <c r="V10806">
        <v>66</v>
      </c>
    </row>
    <row r="10807" spans="1:22" customFormat="1" ht="15" x14ac:dyDescent="0.25">
      <c r="A10807" t="s">
        <v>307</v>
      </c>
      <c r="E10807" s="1507" t="s">
        <v>4444</v>
      </c>
      <c r="F10807" s="1507"/>
      <c r="G10807" s="584" t="s">
        <v>3775</v>
      </c>
      <c r="H10807" s="577">
        <v>2.6385000000000001</v>
      </c>
      <c r="K10807" t="s">
        <v>989</v>
      </c>
      <c r="L10807" t="s">
        <v>694</v>
      </c>
      <c r="P10807" t="s">
        <v>1002</v>
      </c>
      <c r="V10807">
        <v>94</v>
      </c>
    </row>
    <row r="10808" spans="1:22" customFormat="1" ht="15" x14ac:dyDescent="0.25">
      <c r="A10808" t="s">
        <v>307</v>
      </c>
      <c r="E10808" s="1515" t="s">
        <v>967</v>
      </c>
      <c r="F10808" s="1507"/>
      <c r="G10808" s="584"/>
      <c r="H10808" s="584"/>
      <c r="K10808" t="s">
        <v>1003</v>
      </c>
      <c r="V10808">
        <v>48</v>
      </c>
    </row>
    <row r="10809" spans="1:22" customFormat="1" ht="15" x14ac:dyDescent="0.25">
      <c r="A10809" t="s">
        <v>307</v>
      </c>
      <c r="E10809" s="1507" t="s">
        <v>844</v>
      </c>
      <c r="F10809" s="1507"/>
      <c r="G10809" s="584" t="s">
        <v>845</v>
      </c>
      <c r="H10809" s="577">
        <v>4.1000000000000003E-3</v>
      </c>
      <c r="K10809" t="s">
        <v>989</v>
      </c>
      <c r="L10809" t="s">
        <v>968</v>
      </c>
      <c r="P10809" t="s">
        <v>1004</v>
      </c>
      <c r="V10809">
        <v>55</v>
      </c>
    </row>
    <row r="10810" spans="1:22" customFormat="1" ht="15" x14ac:dyDescent="0.25">
      <c r="A10810" t="s">
        <v>307</v>
      </c>
      <c r="E10810" s="1507" t="s">
        <v>846</v>
      </c>
      <c r="F10810" s="1507"/>
      <c r="G10810" s="584" t="s">
        <v>845</v>
      </c>
      <c r="H10810" s="577">
        <v>4.0000000000000002E-4</v>
      </c>
      <c r="K10810" t="s">
        <v>989</v>
      </c>
      <c r="L10810" t="s">
        <v>968</v>
      </c>
      <c r="P10810" t="s">
        <v>1004</v>
      </c>
      <c r="V10810">
        <v>65</v>
      </c>
    </row>
    <row r="10811" spans="1:22" customFormat="1" ht="15" x14ac:dyDescent="0.25">
      <c r="A10811" t="s">
        <v>307</v>
      </c>
      <c r="E10811" s="1507" t="s">
        <v>847</v>
      </c>
      <c r="F10811" s="1507"/>
      <c r="G10811" s="584" t="s">
        <v>845</v>
      </c>
      <c r="H10811" s="577">
        <v>1.5E-3</v>
      </c>
      <c r="K10811" t="s">
        <v>989</v>
      </c>
      <c r="L10811" t="s">
        <v>968</v>
      </c>
      <c r="P10811" t="s">
        <v>1005</v>
      </c>
      <c r="V10811">
        <v>57</v>
      </c>
    </row>
    <row r="10812" spans="1:22" customFormat="1" ht="15" x14ac:dyDescent="0.25">
      <c r="A10812" t="s">
        <v>307</v>
      </c>
      <c r="E10812" s="1507" t="s">
        <v>848</v>
      </c>
      <c r="F10812" s="1507"/>
      <c r="G10812" s="584" t="s">
        <v>777</v>
      </c>
      <c r="H10812" s="576">
        <v>0.25</v>
      </c>
      <c r="K10812" t="s">
        <v>989</v>
      </c>
      <c r="L10812" t="s">
        <v>968</v>
      </c>
      <c r="P10812" t="s">
        <v>1006</v>
      </c>
      <c r="V10812">
        <v>63</v>
      </c>
    </row>
    <row r="10813" spans="1:22" customFormat="1" x14ac:dyDescent="0.25">
      <c r="A10813" t="s">
        <v>307</v>
      </c>
      <c r="E10813" s="1492" t="s">
        <v>5690</v>
      </c>
      <c r="F10813" s="1493"/>
      <c r="G10813" s="1493"/>
      <c r="H10813" s="1493"/>
      <c r="K10813" t="s">
        <v>5691</v>
      </c>
      <c r="V10813">
        <v>58</v>
      </c>
    </row>
    <row r="10814" spans="1:22" customFormat="1" ht="15" x14ac:dyDescent="0.25">
      <c r="A10814" t="s">
        <v>307</v>
      </c>
      <c r="E10814" s="1516" t="s">
        <v>5692</v>
      </c>
      <c r="F10814" s="1516"/>
      <c r="G10814" s="1516"/>
      <c r="H10814" s="1516"/>
      <c r="K10814" t="s">
        <v>5691</v>
      </c>
      <c r="V10814">
        <v>357</v>
      </c>
    </row>
    <row r="10815" spans="1:22" customFormat="1" ht="15" x14ac:dyDescent="0.25">
      <c r="A10815" t="s">
        <v>307</v>
      </c>
      <c r="E10815" s="1515" t="s">
        <v>950</v>
      </c>
      <c r="F10815" s="1516"/>
      <c r="G10815" s="1516"/>
      <c r="H10815" s="1516"/>
      <c r="K10815" t="s">
        <v>1010</v>
      </c>
      <c r="V10815">
        <v>11</v>
      </c>
    </row>
    <row r="10816" spans="1:22" customFormat="1" ht="15" x14ac:dyDescent="0.25">
      <c r="A10816" t="s">
        <v>307</v>
      </c>
      <c r="E10816" s="1516" t="s">
        <v>951</v>
      </c>
      <c r="F10816" s="1516"/>
      <c r="G10816" s="1516"/>
      <c r="H10816" s="1516"/>
      <c r="K10816" t="s">
        <v>5691</v>
      </c>
      <c r="V10816">
        <v>280</v>
      </c>
    </row>
    <row r="10817" spans="1:22" customFormat="1" ht="15" x14ac:dyDescent="0.25">
      <c r="A10817" t="s">
        <v>307</v>
      </c>
      <c r="E10817" s="1516" t="s">
        <v>952</v>
      </c>
      <c r="F10817" s="1516"/>
      <c r="G10817" s="1516"/>
      <c r="H10817" s="1516"/>
      <c r="K10817" t="s">
        <v>5691</v>
      </c>
      <c r="V10817">
        <v>411</v>
      </c>
    </row>
    <row r="10818" spans="1:22" customFormat="1" ht="15" x14ac:dyDescent="0.25">
      <c r="A10818" t="s">
        <v>307</v>
      </c>
      <c r="E10818" s="1516" t="s">
        <v>953</v>
      </c>
      <c r="F10818" s="1516"/>
      <c r="G10818" s="1516"/>
      <c r="H10818" s="1516"/>
      <c r="K10818" t="s">
        <v>5691</v>
      </c>
      <c r="V10818">
        <v>386</v>
      </c>
    </row>
    <row r="10819" spans="1:22" customFormat="1" ht="15" x14ac:dyDescent="0.25">
      <c r="A10819" t="s">
        <v>307</v>
      </c>
      <c r="E10819" s="1516" t="s">
        <v>3771</v>
      </c>
      <c r="F10819" s="1516"/>
      <c r="G10819" s="1516"/>
      <c r="H10819" s="1516"/>
      <c r="K10819" t="s">
        <v>5691</v>
      </c>
      <c r="V10819">
        <v>677</v>
      </c>
    </row>
    <row r="10820" spans="1:22" customFormat="1" ht="15" x14ac:dyDescent="0.25">
      <c r="A10820" t="s">
        <v>307</v>
      </c>
      <c r="E10820" s="1516" t="s">
        <v>3772</v>
      </c>
      <c r="F10820" s="1516"/>
      <c r="G10820" s="1516"/>
      <c r="H10820" s="1516"/>
      <c r="K10820" t="s">
        <v>5691</v>
      </c>
      <c r="V10820">
        <v>693</v>
      </c>
    </row>
    <row r="10821" spans="1:22" customFormat="1" ht="15" x14ac:dyDescent="0.25">
      <c r="A10821" t="s">
        <v>307</v>
      </c>
      <c r="E10821" s="1516" t="s">
        <v>3762</v>
      </c>
      <c r="F10821" s="1516"/>
      <c r="G10821" s="1516"/>
      <c r="H10821" s="1516"/>
      <c r="K10821" t="s">
        <v>5691</v>
      </c>
      <c r="V10821">
        <v>247</v>
      </c>
    </row>
    <row r="10822" spans="1:22" customFormat="1" ht="15" x14ac:dyDescent="0.25">
      <c r="A10822" t="s">
        <v>307</v>
      </c>
      <c r="E10822" s="1515" t="s">
        <v>956</v>
      </c>
      <c r="F10822" s="1516"/>
      <c r="G10822" s="1516"/>
      <c r="H10822" s="1516"/>
      <c r="K10822" t="s">
        <v>1011</v>
      </c>
      <c r="V10822">
        <v>46</v>
      </c>
    </row>
    <row r="10823" spans="1:22" customFormat="1" ht="15" x14ac:dyDescent="0.25">
      <c r="A10823" t="s">
        <v>307</v>
      </c>
      <c r="E10823" s="1507" t="s">
        <v>3773</v>
      </c>
      <c r="F10823" s="1507"/>
      <c r="G10823" s="584" t="s">
        <v>777</v>
      </c>
      <c r="H10823" s="576">
        <v>3391.93</v>
      </c>
      <c r="K10823" t="s">
        <v>5691</v>
      </c>
      <c r="L10823" t="s">
        <v>690</v>
      </c>
      <c r="P10823" t="s">
        <v>5693</v>
      </c>
      <c r="V10823">
        <v>14</v>
      </c>
    </row>
    <row r="10824" spans="1:22" customFormat="1" ht="15" x14ac:dyDescent="0.25">
      <c r="A10824" t="s">
        <v>307</v>
      </c>
      <c r="E10824" s="1507" t="s">
        <v>3688</v>
      </c>
      <c r="F10824" s="1507"/>
      <c r="G10824" s="584" t="s">
        <v>3775</v>
      </c>
      <c r="H10824" s="577">
        <v>4.1487999999999996</v>
      </c>
      <c r="K10824" t="s">
        <v>5691</v>
      </c>
      <c r="L10824" t="s">
        <v>690</v>
      </c>
      <c r="P10824" t="s">
        <v>5694</v>
      </c>
      <c r="V10824">
        <v>28</v>
      </c>
    </row>
    <row r="10825" spans="1:22" customFormat="1" ht="15" x14ac:dyDescent="0.25">
      <c r="A10825" t="s">
        <v>307</v>
      </c>
      <c r="E10825" s="1507" t="s">
        <v>6941</v>
      </c>
      <c r="F10825" s="1507"/>
      <c r="G10825" s="584" t="s">
        <v>3775</v>
      </c>
      <c r="H10825" s="577">
        <v>-5.7500000000000002E-2</v>
      </c>
      <c r="K10825" t="s">
        <v>5691</v>
      </c>
      <c r="L10825" t="s">
        <v>692</v>
      </c>
      <c r="P10825" t="s">
        <v>5695</v>
      </c>
      <c r="T10825">
        <v>46142</v>
      </c>
      <c r="V10825">
        <v>152</v>
      </c>
    </row>
    <row r="10826" spans="1:22" customFormat="1" ht="15" x14ac:dyDescent="0.25">
      <c r="A10826" t="s">
        <v>307</v>
      </c>
      <c r="E10826" s="1507" t="s">
        <v>6942</v>
      </c>
      <c r="F10826" s="1507"/>
      <c r="G10826" s="584" t="s">
        <v>845</v>
      </c>
      <c r="H10826" s="577">
        <v>4.0000000000000002E-4</v>
      </c>
      <c r="K10826" t="s">
        <v>5691</v>
      </c>
      <c r="L10826" t="s">
        <v>692</v>
      </c>
      <c r="P10826" t="s">
        <v>5696</v>
      </c>
      <c r="T10826">
        <v>46142</v>
      </c>
      <c r="V10826">
        <v>152</v>
      </c>
    </row>
    <row r="10827" spans="1:22" customFormat="1" ht="15" x14ac:dyDescent="0.25">
      <c r="A10827" t="s">
        <v>307</v>
      </c>
      <c r="E10827" s="1507" t="s">
        <v>243</v>
      </c>
      <c r="F10827" s="1507"/>
      <c r="G10827" s="584" t="s">
        <v>3775</v>
      </c>
      <c r="H10827" s="577">
        <v>4.3926999999999996</v>
      </c>
      <c r="K10827" t="s">
        <v>5691</v>
      </c>
      <c r="L10827" t="s">
        <v>694</v>
      </c>
      <c r="P10827" t="s">
        <v>5697</v>
      </c>
      <c r="V10827">
        <v>47</v>
      </c>
    </row>
    <row r="10828" spans="1:22" customFormat="1" ht="15" x14ac:dyDescent="0.25">
      <c r="A10828" t="s">
        <v>307</v>
      </c>
      <c r="E10828" s="1507" t="s">
        <v>4121</v>
      </c>
      <c r="F10828" s="1507"/>
      <c r="G10828" s="584" t="s">
        <v>3775</v>
      </c>
      <c r="H10828" s="577">
        <v>2.9196</v>
      </c>
      <c r="K10828" t="s">
        <v>5691</v>
      </c>
      <c r="L10828" t="s">
        <v>694</v>
      </c>
      <c r="P10828" t="s">
        <v>5698</v>
      </c>
      <c r="V10828">
        <v>75</v>
      </c>
    </row>
    <row r="10829" spans="1:22" customFormat="1" ht="15" x14ac:dyDescent="0.25">
      <c r="A10829" t="s">
        <v>307</v>
      </c>
      <c r="E10829" s="1515" t="s">
        <v>967</v>
      </c>
      <c r="F10829" s="1507"/>
      <c r="G10829" s="584"/>
      <c r="H10829" s="584"/>
      <c r="K10829" t="s">
        <v>1019</v>
      </c>
      <c r="V10829">
        <v>48</v>
      </c>
    </row>
    <row r="10830" spans="1:22" customFormat="1" ht="15" x14ac:dyDescent="0.25">
      <c r="A10830" t="s">
        <v>307</v>
      </c>
      <c r="E10830" s="1507" t="s">
        <v>844</v>
      </c>
      <c r="F10830" s="1507"/>
      <c r="G10830" s="584" t="s">
        <v>845</v>
      </c>
      <c r="H10830" s="577">
        <v>4.1000000000000003E-3</v>
      </c>
      <c r="K10830" t="s">
        <v>5691</v>
      </c>
      <c r="L10830" t="s">
        <v>968</v>
      </c>
      <c r="P10830" t="s">
        <v>5699</v>
      </c>
      <c r="V10830">
        <v>55</v>
      </c>
    </row>
    <row r="10831" spans="1:22" customFormat="1" ht="15" x14ac:dyDescent="0.25">
      <c r="A10831" t="s">
        <v>307</v>
      </c>
      <c r="E10831" s="1507" t="s">
        <v>846</v>
      </c>
      <c r="F10831" s="1507"/>
      <c r="G10831" s="584" t="s">
        <v>845</v>
      </c>
      <c r="H10831" s="577">
        <v>4.0000000000000002E-4</v>
      </c>
      <c r="K10831" t="s">
        <v>5691</v>
      </c>
      <c r="L10831" t="s">
        <v>968</v>
      </c>
      <c r="P10831" t="s">
        <v>5699</v>
      </c>
      <c r="V10831">
        <v>65</v>
      </c>
    </row>
    <row r="10832" spans="1:22" customFormat="1" ht="15" x14ac:dyDescent="0.25">
      <c r="A10832" t="s">
        <v>307</v>
      </c>
      <c r="E10832" s="1507" t="s">
        <v>847</v>
      </c>
      <c r="F10832" s="1507"/>
      <c r="G10832" s="584" t="s">
        <v>845</v>
      </c>
      <c r="H10832" s="577">
        <v>1.5E-3</v>
      </c>
      <c r="K10832" t="s">
        <v>5691</v>
      </c>
      <c r="L10832" t="s">
        <v>968</v>
      </c>
      <c r="P10832" t="s">
        <v>5700</v>
      </c>
      <c r="V10832">
        <v>57</v>
      </c>
    </row>
    <row r="10833" spans="1:22" customFormat="1" ht="15" x14ac:dyDescent="0.25">
      <c r="A10833" t="s">
        <v>307</v>
      </c>
      <c r="E10833" s="1507" t="s">
        <v>848</v>
      </c>
      <c r="F10833" s="1507"/>
      <c r="G10833" s="584" t="s">
        <v>777</v>
      </c>
      <c r="H10833" s="576">
        <v>0.25</v>
      </c>
      <c r="K10833" t="s">
        <v>5691</v>
      </c>
      <c r="L10833" t="s">
        <v>968</v>
      </c>
      <c r="P10833" t="s">
        <v>5701</v>
      </c>
      <c r="V10833">
        <v>63</v>
      </c>
    </row>
    <row r="10834" spans="1:22" customFormat="1" x14ac:dyDescent="0.25">
      <c r="A10834" t="s">
        <v>307</v>
      </c>
      <c r="E10834" s="1492" t="s">
        <v>194</v>
      </c>
      <c r="F10834" s="1493"/>
      <c r="G10834" s="1493"/>
      <c r="H10834" s="1493"/>
      <c r="K10834" t="s">
        <v>1023</v>
      </c>
      <c r="V10834">
        <v>47</v>
      </c>
    </row>
    <row r="10835" spans="1:22" customFormat="1" ht="15" x14ac:dyDescent="0.25">
      <c r="A10835" t="s">
        <v>307</v>
      </c>
      <c r="E10835" s="1516" t="s">
        <v>5702</v>
      </c>
      <c r="F10835" s="1516"/>
      <c r="G10835" s="1516"/>
      <c r="H10835" s="1516"/>
      <c r="K10835" t="s">
        <v>1023</v>
      </c>
      <c r="V10835">
        <v>582</v>
      </c>
    </row>
    <row r="10836" spans="1:22" customFormat="1" ht="15" x14ac:dyDescent="0.25">
      <c r="A10836" t="s">
        <v>307</v>
      </c>
      <c r="E10836" s="1515" t="s">
        <v>950</v>
      </c>
      <c r="F10836" s="1516"/>
      <c r="G10836" s="1516"/>
      <c r="H10836" s="1516"/>
      <c r="K10836" t="s">
        <v>1025</v>
      </c>
      <c r="V10836">
        <v>11</v>
      </c>
    </row>
    <row r="10837" spans="1:22" customFormat="1" ht="15" x14ac:dyDescent="0.25">
      <c r="A10837" t="s">
        <v>307</v>
      </c>
      <c r="E10837" s="1516" t="s">
        <v>951</v>
      </c>
      <c r="F10837" s="1516"/>
      <c r="G10837" s="1516"/>
      <c r="H10837" s="1516"/>
      <c r="K10837" t="s">
        <v>1023</v>
      </c>
      <c r="V10837">
        <v>280</v>
      </c>
    </row>
    <row r="10838" spans="1:22" customFormat="1" ht="15" x14ac:dyDescent="0.25">
      <c r="A10838" t="s">
        <v>307</v>
      </c>
      <c r="E10838" s="1516" t="s">
        <v>952</v>
      </c>
      <c r="F10838" s="1516"/>
      <c r="G10838" s="1516"/>
      <c r="H10838" s="1516"/>
      <c r="K10838" t="s">
        <v>1023</v>
      </c>
      <c r="V10838">
        <v>411</v>
      </c>
    </row>
    <row r="10839" spans="1:22" customFormat="1" ht="15" x14ac:dyDescent="0.25">
      <c r="A10839" t="s">
        <v>307</v>
      </c>
      <c r="E10839" s="1516" t="s">
        <v>953</v>
      </c>
      <c r="F10839" s="1516"/>
      <c r="G10839" s="1516"/>
      <c r="H10839" s="1516"/>
      <c r="K10839" t="s">
        <v>1023</v>
      </c>
      <c r="V10839">
        <v>386</v>
      </c>
    </row>
    <row r="10840" spans="1:22" customFormat="1" ht="15" x14ac:dyDescent="0.25">
      <c r="A10840" t="s">
        <v>307</v>
      </c>
      <c r="E10840" s="1516" t="s">
        <v>3762</v>
      </c>
      <c r="F10840" s="1516"/>
      <c r="G10840" s="1516"/>
      <c r="H10840" s="1516"/>
      <c r="K10840" t="s">
        <v>1023</v>
      </c>
      <c r="V10840">
        <v>247</v>
      </c>
    </row>
    <row r="10841" spans="1:22" customFormat="1" ht="15" x14ac:dyDescent="0.25">
      <c r="A10841" t="s">
        <v>307</v>
      </c>
      <c r="E10841" s="1515" t="s">
        <v>956</v>
      </c>
      <c r="F10841" s="1516"/>
      <c r="G10841" s="1516"/>
      <c r="H10841" s="1516"/>
      <c r="K10841" t="s">
        <v>1026</v>
      </c>
      <c r="V10841">
        <v>46</v>
      </c>
    </row>
    <row r="10842" spans="1:22" customFormat="1" ht="15" x14ac:dyDescent="0.25">
      <c r="A10842" t="s">
        <v>307</v>
      </c>
      <c r="E10842" s="1507" t="s">
        <v>3874</v>
      </c>
      <c r="F10842" s="1507"/>
      <c r="G10842" s="584" t="s">
        <v>777</v>
      </c>
      <c r="H10842" s="576">
        <v>12.26</v>
      </c>
      <c r="K10842" t="s">
        <v>1023</v>
      </c>
      <c r="L10842" t="s">
        <v>690</v>
      </c>
      <c r="P10842" t="s">
        <v>1027</v>
      </c>
      <c r="V10842">
        <v>31</v>
      </c>
    </row>
    <row r="10843" spans="1:22" customFormat="1" ht="15" x14ac:dyDescent="0.25">
      <c r="A10843" t="s">
        <v>307</v>
      </c>
      <c r="E10843" s="1507" t="s">
        <v>3688</v>
      </c>
      <c r="F10843" s="1507"/>
      <c r="G10843" s="584" t="s">
        <v>845</v>
      </c>
      <c r="H10843" s="577">
        <v>1.5900000000000001E-2</v>
      </c>
      <c r="K10843" t="s">
        <v>1023</v>
      </c>
      <c r="L10843" t="s">
        <v>690</v>
      </c>
      <c r="P10843" t="s">
        <v>1029</v>
      </c>
      <c r="V10843">
        <v>28</v>
      </c>
    </row>
    <row r="10844" spans="1:22" customFormat="1" ht="15" x14ac:dyDescent="0.25">
      <c r="A10844" t="s">
        <v>307</v>
      </c>
      <c r="E10844" s="1507" t="s">
        <v>6948</v>
      </c>
      <c r="F10844" s="1507"/>
      <c r="G10844" s="584" t="s">
        <v>845</v>
      </c>
      <c r="H10844" s="577">
        <v>-2.0000000000000001E-4</v>
      </c>
      <c r="K10844" t="s">
        <v>1023</v>
      </c>
      <c r="L10844" t="s">
        <v>692</v>
      </c>
      <c r="P10844" t="s">
        <v>1032</v>
      </c>
      <c r="T10844">
        <v>46142</v>
      </c>
      <c r="V10844">
        <v>153</v>
      </c>
    </row>
    <row r="10845" spans="1:22" customFormat="1" ht="15" x14ac:dyDescent="0.25">
      <c r="A10845" t="s">
        <v>307</v>
      </c>
      <c r="E10845" s="1507" t="s">
        <v>6951</v>
      </c>
      <c r="F10845" s="1507"/>
      <c r="G10845" s="584" t="s">
        <v>845</v>
      </c>
      <c r="H10845" s="577">
        <v>-6.9999999999999999E-4</v>
      </c>
      <c r="K10845" t="s">
        <v>1023</v>
      </c>
      <c r="L10845" t="s">
        <v>692</v>
      </c>
      <c r="P10845" t="s">
        <v>1031</v>
      </c>
      <c r="T10845">
        <v>46142</v>
      </c>
      <c r="V10845">
        <v>147</v>
      </c>
    </row>
    <row r="10846" spans="1:22" customFormat="1" ht="15" x14ac:dyDescent="0.25">
      <c r="A10846" t="s">
        <v>307</v>
      </c>
      <c r="E10846" s="1507" t="s">
        <v>243</v>
      </c>
      <c r="F10846" s="1507"/>
      <c r="G10846" s="584" t="s">
        <v>845</v>
      </c>
      <c r="H10846" s="577">
        <v>1.06E-2</v>
      </c>
      <c r="K10846" t="s">
        <v>1023</v>
      </c>
      <c r="L10846" t="s">
        <v>694</v>
      </c>
      <c r="P10846" t="s">
        <v>1033</v>
      </c>
      <c r="V10846">
        <v>47</v>
      </c>
    </row>
    <row r="10847" spans="1:22" customFormat="1" ht="15" x14ac:dyDescent="0.25">
      <c r="A10847" t="s">
        <v>307</v>
      </c>
      <c r="E10847" s="1507" t="s">
        <v>4121</v>
      </c>
      <c r="F10847" s="1507"/>
      <c r="G10847" s="584" t="s">
        <v>845</v>
      </c>
      <c r="H10847" s="577">
        <v>6.4999999999999997E-3</v>
      </c>
      <c r="K10847" t="s">
        <v>1023</v>
      </c>
      <c r="L10847" t="s">
        <v>694</v>
      </c>
      <c r="P10847" t="s">
        <v>1034</v>
      </c>
      <c r="V10847">
        <v>75</v>
      </c>
    </row>
    <row r="10848" spans="1:22" customFormat="1" ht="15" x14ac:dyDescent="0.25">
      <c r="A10848" t="s">
        <v>307</v>
      </c>
      <c r="E10848" s="1515" t="s">
        <v>967</v>
      </c>
      <c r="F10848" s="1507"/>
      <c r="G10848" s="584"/>
      <c r="H10848" s="584"/>
      <c r="K10848" t="s">
        <v>1035</v>
      </c>
      <c r="V10848">
        <v>48</v>
      </c>
    </row>
    <row r="10849" spans="1:22" customFormat="1" ht="15" x14ac:dyDescent="0.25">
      <c r="A10849" t="s">
        <v>307</v>
      </c>
      <c r="E10849" s="1507" t="s">
        <v>844</v>
      </c>
      <c r="F10849" s="1507"/>
      <c r="G10849" s="584" t="s">
        <v>845</v>
      </c>
      <c r="H10849" s="577">
        <v>4.1000000000000003E-3</v>
      </c>
      <c r="K10849" t="s">
        <v>1023</v>
      </c>
      <c r="L10849" t="s">
        <v>968</v>
      </c>
      <c r="P10849" t="s">
        <v>1036</v>
      </c>
      <c r="V10849">
        <v>55</v>
      </c>
    </row>
    <row r="10850" spans="1:22" customFormat="1" ht="15" x14ac:dyDescent="0.25">
      <c r="A10850" t="s">
        <v>307</v>
      </c>
      <c r="E10850" s="1507" t="s">
        <v>846</v>
      </c>
      <c r="F10850" s="1507"/>
      <c r="G10850" s="584" t="s">
        <v>845</v>
      </c>
      <c r="H10850" s="577">
        <v>4.0000000000000002E-4</v>
      </c>
      <c r="K10850" t="s">
        <v>1023</v>
      </c>
      <c r="L10850" t="s">
        <v>968</v>
      </c>
      <c r="P10850" t="s">
        <v>1036</v>
      </c>
      <c r="V10850">
        <v>65</v>
      </c>
    </row>
    <row r="10851" spans="1:22" customFormat="1" ht="15" x14ac:dyDescent="0.25">
      <c r="A10851" t="s">
        <v>307</v>
      </c>
      <c r="E10851" s="1507" t="s">
        <v>847</v>
      </c>
      <c r="F10851" s="1507"/>
      <c r="G10851" s="584" t="s">
        <v>845</v>
      </c>
      <c r="H10851" s="577">
        <v>1.5E-3</v>
      </c>
      <c r="K10851" t="s">
        <v>1023</v>
      </c>
      <c r="L10851" t="s">
        <v>968</v>
      </c>
      <c r="P10851" t="s">
        <v>1037</v>
      </c>
      <c r="V10851">
        <v>57</v>
      </c>
    </row>
    <row r="10852" spans="1:22" customFormat="1" ht="15" x14ac:dyDescent="0.25">
      <c r="A10852" t="s">
        <v>307</v>
      </c>
      <c r="E10852" s="1507" t="s">
        <v>848</v>
      </c>
      <c r="F10852" s="1507"/>
      <c r="G10852" s="584" t="s">
        <v>777</v>
      </c>
      <c r="H10852" s="576">
        <v>0.25</v>
      </c>
      <c r="K10852" t="s">
        <v>1023</v>
      </c>
      <c r="L10852" t="s">
        <v>968</v>
      </c>
      <c r="P10852" t="s">
        <v>1038</v>
      </c>
      <c r="V10852">
        <v>63</v>
      </c>
    </row>
    <row r="10853" spans="1:22" customFormat="1" x14ac:dyDescent="0.25">
      <c r="A10853" t="s">
        <v>307</v>
      </c>
      <c r="E10853" s="1492" t="s">
        <v>198</v>
      </c>
      <c r="F10853" s="1493"/>
      <c r="G10853" s="1493"/>
      <c r="H10853" s="1493"/>
      <c r="K10853" t="s">
        <v>1039</v>
      </c>
      <c r="V10853">
        <v>40</v>
      </c>
    </row>
    <row r="10854" spans="1:22" customFormat="1" ht="15" x14ac:dyDescent="0.25">
      <c r="A10854" t="s">
        <v>307</v>
      </c>
      <c r="E10854" s="1516" t="s">
        <v>5107</v>
      </c>
      <c r="F10854" s="1516"/>
      <c r="G10854" s="1516"/>
      <c r="H10854" s="1516"/>
      <c r="K10854" t="s">
        <v>1039</v>
      </c>
      <c r="V10854">
        <v>188</v>
      </c>
    </row>
    <row r="10855" spans="1:22" customFormat="1" ht="15" x14ac:dyDescent="0.25">
      <c r="A10855" t="s">
        <v>307</v>
      </c>
      <c r="E10855" s="1515" t="s">
        <v>950</v>
      </c>
      <c r="F10855" s="1516"/>
      <c r="G10855" s="1516"/>
      <c r="H10855" s="1516"/>
      <c r="K10855" t="s">
        <v>1041</v>
      </c>
      <c r="V10855">
        <v>11</v>
      </c>
    </row>
    <row r="10856" spans="1:22" customFormat="1" ht="15" x14ac:dyDescent="0.25">
      <c r="A10856" t="s">
        <v>307</v>
      </c>
      <c r="E10856" s="1516" t="s">
        <v>951</v>
      </c>
      <c r="F10856" s="1516"/>
      <c r="G10856" s="1516"/>
      <c r="H10856" s="1516"/>
      <c r="K10856" t="s">
        <v>1039</v>
      </c>
      <c r="V10856">
        <v>280</v>
      </c>
    </row>
    <row r="10857" spans="1:22" customFormat="1" ht="15" x14ac:dyDescent="0.25">
      <c r="A10857" t="s">
        <v>307</v>
      </c>
      <c r="E10857" s="1516" t="s">
        <v>952</v>
      </c>
      <c r="F10857" s="1516"/>
      <c r="G10857" s="1516"/>
      <c r="H10857" s="1516"/>
      <c r="K10857" t="s">
        <v>1039</v>
      </c>
      <c r="V10857">
        <v>411</v>
      </c>
    </row>
    <row r="10858" spans="1:22" customFormat="1" ht="15" x14ac:dyDescent="0.25">
      <c r="A10858" t="s">
        <v>307</v>
      </c>
      <c r="E10858" s="1516" t="s">
        <v>953</v>
      </c>
      <c r="F10858" s="1516"/>
      <c r="G10858" s="1516"/>
      <c r="H10858" s="1516"/>
      <c r="K10858" t="s">
        <v>1039</v>
      </c>
      <c r="V10858">
        <v>386</v>
      </c>
    </row>
    <row r="10859" spans="1:22" customFormat="1" ht="15" x14ac:dyDescent="0.25">
      <c r="A10859" t="s">
        <v>307</v>
      </c>
      <c r="E10859" s="1516" t="s">
        <v>3762</v>
      </c>
      <c r="F10859" s="1516"/>
      <c r="G10859" s="1516"/>
      <c r="H10859" s="1516"/>
      <c r="K10859" t="s">
        <v>1039</v>
      </c>
      <c r="V10859">
        <v>247</v>
      </c>
    </row>
    <row r="10860" spans="1:22" customFormat="1" ht="15" x14ac:dyDescent="0.25">
      <c r="A10860" t="s">
        <v>307</v>
      </c>
      <c r="E10860" s="1515" t="s">
        <v>956</v>
      </c>
      <c r="F10860" s="1516"/>
      <c r="G10860" s="1516"/>
      <c r="H10860" s="1516"/>
      <c r="K10860" t="s">
        <v>1042</v>
      </c>
      <c r="V10860">
        <v>46</v>
      </c>
    </row>
    <row r="10861" spans="1:22" customFormat="1" ht="15" x14ac:dyDescent="0.25">
      <c r="A10861" t="s">
        <v>307</v>
      </c>
      <c r="E10861" s="1507" t="s">
        <v>3874</v>
      </c>
      <c r="F10861" s="1507"/>
      <c r="G10861" s="584" t="s">
        <v>777</v>
      </c>
      <c r="H10861" s="576">
        <v>11.38</v>
      </c>
      <c r="K10861" t="s">
        <v>1039</v>
      </c>
      <c r="L10861" t="s">
        <v>690</v>
      </c>
      <c r="P10861" t="s">
        <v>1043</v>
      </c>
      <c r="V10861">
        <v>31</v>
      </c>
    </row>
    <row r="10862" spans="1:22" customFormat="1" ht="15" x14ac:dyDescent="0.25">
      <c r="A10862" t="s">
        <v>307</v>
      </c>
      <c r="E10862" s="1507" t="s">
        <v>3688</v>
      </c>
      <c r="F10862" s="1507"/>
      <c r="G10862" s="584" t="s">
        <v>3775</v>
      </c>
      <c r="H10862" s="577">
        <v>9.1216000000000008</v>
      </c>
      <c r="K10862" t="s">
        <v>1039</v>
      </c>
      <c r="L10862" t="s">
        <v>690</v>
      </c>
      <c r="P10862" t="s">
        <v>1044</v>
      </c>
      <c r="V10862">
        <v>28</v>
      </c>
    </row>
    <row r="10863" spans="1:22" customFormat="1" ht="15" x14ac:dyDescent="0.25">
      <c r="A10863" t="s">
        <v>307</v>
      </c>
      <c r="E10863" s="1507" t="s">
        <v>6948</v>
      </c>
      <c r="F10863" s="1507"/>
      <c r="G10863" s="584" t="s">
        <v>3775</v>
      </c>
      <c r="H10863" s="577">
        <v>-6.0600000000000001E-2</v>
      </c>
      <c r="K10863" t="s">
        <v>1039</v>
      </c>
      <c r="L10863" t="s">
        <v>692</v>
      </c>
      <c r="P10863" t="s">
        <v>1046</v>
      </c>
      <c r="T10863">
        <v>46142</v>
      </c>
      <c r="V10863">
        <v>153</v>
      </c>
    </row>
    <row r="10864" spans="1:22" customFormat="1" ht="15" x14ac:dyDescent="0.25">
      <c r="A10864" t="s">
        <v>307</v>
      </c>
      <c r="E10864" s="1507" t="s">
        <v>243</v>
      </c>
      <c r="F10864" s="1507"/>
      <c r="G10864" s="584" t="s">
        <v>3775</v>
      </c>
      <c r="H10864" s="577">
        <v>3.1389</v>
      </c>
      <c r="K10864" t="s">
        <v>1039</v>
      </c>
      <c r="L10864" t="s">
        <v>694</v>
      </c>
      <c r="P10864" t="s">
        <v>1047</v>
      </c>
      <c r="V10864">
        <v>47</v>
      </c>
    </row>
    <row r="10865" spans="1:22" customFormat="1" ht="15" x14ac:dyDescent="0.25">
      <c r="A10865" t="s">
        <v>307</v>
      </c>
      <c r="E10865" s="1507" t="s">
        <v>4121</v>
      </c>
      <c r="F10865" s="1507"/>
      <c r="G10865" s="584" t="s">
        <v>3775</v>
      </c>
      <c r="H10865" s="577">
        <v>2.0849000000000002</v>
      </c>
      <c r="K10865" t="s">
        <v>1039</v>
      </c>
      <c r="L10865" t="s">
        <v>694</v>
      </c>
      <c r="P10865" t="s">
        <v>1048</v>
      </c>
      <c r="V10865">
        <v>75</v>
      </c>
    </row>
    <row r="10866" spans="1:22" customFormat="1" ht="15" x14ac:dyDescent="0.25">
      <c r="A10866" t="s">
        <v>307</v>
      </c>
      <c r="E10866" s="1515" t="s">
        <v>967</v>
      </c>
      <c r="F10866" s="1507"/>
      <c r="G10866" s="584"/>
      <c r="H10866" s="584"/>
      <c r="K10866" t="s">
        <v>1049</v>
      </c>
      <c r="V10866">
        <v>48</v>
      </c>
    </row>
    <row r="10867" spans="1:22" customFormat="1" ht="15" x14ac:dyDescent="0.25">
      <c r="A10867" t="s">
        <v>307</v>
      </c>
      <c r="E10867" s="1507" t="s">
        <v>844</v>
      </c>
      <c r="F10867" s="1507"/>
      <c r="G10867" s="584" t="s">
        <v>845</v>
      </c>
      <c r="H10867" s="577">
        <v>4.1000000000000003E-3</v>
      </c>
      <c r="K10867" t="s">
        <v>1039</v>
      </c>
      <c r="L10867" t="s">
        <v>968</v>
      </c>
      <c r="P10867" t="s">
        <v>1050</v>
      </c>
      <c r="V10867">
        <v>55</v>
      </c>
    </row>
    <row r="10868" spans="1:22" customFormat="1" ht="15" x14ac:dyDescent="0.25">
      <c r="A10868" t="s">
        <v>307</v>
      </c>
      <c r="E10868" s="1507" t="s">
        <v>846</v>
      </c>
      <c r="F10868" s="1507"/>
      <c r="G10868" s="584" t="s">
        <v>845</v>
      </c>
      <c r="H10868" s="577">
        <v>4.0000000000000002E-4</v>
      </c>
      <c r="K10868" t="s">
        <v>1039</v>
      </c>
      <c r="L10868" t="s">
        <v>968</v>
      </c>
      <c r="P10868" t="s">
        <v>1050</v>
      </c>
      <c r="V10868">
        <v>65</v>
      </c>
    </row>
    <row r="10869" spans="1:22" customFormat="1" ht="15" x14ac:dyDescent="0.25">
      <c r="A10869" t="s">
        <v>307</v>
      </c>
      <c r="E10869" s="1507" t="s">
        <v>847</v>
      </c>
      <c r="F10869" s="1507"/>
      <c r="G10869" s="584" t="s">
        <v>845</v>
      </c>
      <c r="H10869" s="577">
        <v>1.5E-3</v>
      </c>
      <c r="K10869" t="s">
        <v>1039</v>
      </c>
      <c r="L10869" t="s">
        <v>968</v>
      </c>
      <c r="P10869" t="s">
        <v>1051</v>
      </c>
      <c r="V10869">
        <v>57</v>
      </c>
    </row>
    <row r="10870" spans="1:22" customFormat="1" ht="15" x14ac:dyDescent="0.25">
      <c r="A10870" t="s">
        <v>307</v>
      </c>
      <c r="E10870" s="1507" t="s">
        <v>848</v>
      </c>
      <c r="F10870" s="1507"/>
      <c r="G10870" s="584" t="s">
        <v>777</v>
      </c>
      <c r="H10870" s="576">
        <v>0.25</v>
      </c>
      <c r="K10870" t="s">
        <v>1039</v>
      </c>
      <c r="L10870" t="s">
        <v>968</v>
      </c>
      <c r="P10870" t="s">
        <v>1052</v>
      </c>
      <c r="V10870">
        <v>63</v>
      </c>
    </row>
    <row r="10871" spans="1:22" customFormat="1" x14ac:dyDescent="0.25">
      <c r="A10871" t="s">
        <v>307</v>
      </c>
      <c r="E10871" s="1492" t="s">
        <v>202</v>
      </c>
      <c r="F10871" s="1493"/>
      <c r="G10871" s="1493"/>
      <c r="H10871" s="1493"/>
      <c r="K10871" t="s">
        <v>1053</v>
      </c>
      <c r="V10871">
        <v>38</v>
      </c>
    </row>
    <row r="10872" spans="1:22" customFormat="1" ht="15" x14ac:dyDescent="0.25">
      <c r="A10872" t="s">
        <v>307</v>
      </c>
      <c r="E10872" s="1516" t="s">
        <v>5703</v>
      </c>
      <c r="F10872" s="1516"/>
      <c r="G10872" s="1516"/>
      <c r="H10872" s="1516"/>
      <c r="K10872" t="s">
        <v>1053</v>
      </c>
      <c r="V10872">
        <v>475</v>
      </c>
    </row>
    <row r="10873" spans="1:22" customFormat="1" ht="15" x14ac:dyDescent="0.25">
      <c r="A10873" t="s">
        <v>307</v>
      </c>
      <c r="E10873" s="1515" t="s">
        <v>950</v>
      </c>
      <c r="F10873" s="1516"/>
      <c r="G10873" s="1516"/>
      <c r="H10873" s="1516"/>
      <c r="K10873" t="s">
        <v>1055</v>
      </c>
      <c r="V10873">
        <v>11</v>
      </c>
    </row>
    <row r="10874" spans="1:22" customFormat="1" ht="15" x14ac:dyDescent="0.25">
      <c r="A10874" t="s">
        <v>307</v>
      </c>
      <c r="E10874" s="1516" t="s">
        <v>951</v>
      </c>
      <c r="F10874" s="1516"/>
      <c r="G10874" s="1516"/>
      <c r="H10874" s="1516"/>
      <c r="K10874" t="s">
        <v>1053</v>
      </c>
      <c r="V10874">
        <v>280</v>
      </c>
    </row>
    <row r="10875" spans="1:22" customFormat="1" ht="15" x14ac:dyDescent="0.25">
      <c r="A10875" t="s">
        <v>307</v>
      </c>
      <c r="E10875" s="1516" t="s">
        <v>952</v>
      </c>
      <c r="F10875" s="1516"/>
      <c r="G10875" s="1516"/>
      <c r="H10875" s="1516"/>
      <c r="K10875" t="s">
        <v>1053</v>
      </c>
      <c r="V10875">
        <v>411</v>
      </c>
    </row>
    <row r="10876" spans="1:22" customFormat="1" ht="15" x14ac:dyDescent="0.25">
      <c r="A10876" t="s">
        <v>307</v>
      </c>
      <c r="E10876" s="1516" t="s">
        <v>953</v>
      </c>
      <c r="F10876" s="1516"/>
      <c r="G10876" s="1516"/>
      <c r="H10876" s="1516"/>
      <c r="K10876" t="s">
        <v>1053</v>
      </c>
      <c r="V10876">
        <v>386</v>
      </c>
    </row>
    <row r="10877" spans="1:22" customFormat="1" ht="15" x14ac:dyDescent="0.25">
      <c r="A10877" t="s">
        <v>307</v>
      </c>
      <c r="E10877" s="1516" t="s">
        <v>3762</v>
      </c>
      <c r="F10877" s="1516"/>
      <c r="G10877" s="1516"/>
      <c r="H10877" s="1516"/>
      <c r="K10877" t="s">
        <v>1053</v>
      </c>
      <c r="V10877">
        <v>247</v>
      </c>
    </row>
    <row r="10878" spans="1:22" customFormat="1" ht="15" x14ac:dyDescent="0.25">
      <c r="A10878" t="s">
        <v>307</v>
      </c>
      <c r="E10878" s="1515" t="s">
        <v>956</v>
      </c>
      <c r="F10878" s="1516"/>
      <c r="G10878" s="1516"/>
      <c r="H10878" s="1516"/>
      <c r="K10878" t="s">
        <v>1056</v>
      </c>
      <c r="V10878">
        <v>46</v>
      </c>
    </row>
    <row r="10879" spans="1:22" customFormat="1" ht="15" x14ac:dyDescent="0.25">
      <c r="A10879" t="s">
        <v>307</v>
      </c>
      <c r="E10879" s="1507" t="s">
        <v>3874</v>
      </c>
      <c r="F10879" s="1507"/>
      <c r="G10879" s="584" t="s">
        <v>777</v>
      </c>
      <c r="H10879" s="576">
        <v>2.04</v>
      </c>
      <c r="K10879" t="s">
        <v>1053</v>
      </c>
      <c r="L10879" t="s">
        <v>690</v>
      </c>
      <c r="P10879" t="s">
        <v>1057</v>
      </c>
      <c r="V10879">
        <v>31</v>
      </c>
    </row>
    <row r="10880" spans="1:22" customFormat="1" ht="15" x14ac:dyDescent="0.25">
      <c r="A10880" t="s">
        <v>307</v>
      </c>
      <c r="E10880" s="1507" t="s">
        <v>3688</v>
      </c>
      <c r="F10880" s="1507"/>
      <c r="G10880" s="584" t="s">
        <v>3775</v>
      </c>
      <c r="H10880" s="577">
        <v>10.6088</v>
      </c>
      <c r="K10880" t="s">
        <v>1053</v>
      </c>
      <c r="L10880" t="s">
        <v>690</v>
      </c>
      <c r="P10880" t="s">
        <v>1059</v>
      </c>
      <c r="V10880">
        <v>28</v>
      </c>
    </row>
    <row r="10881" spans="1:22" customFormat="1" ht="15" x14ac:dyDescent="0.25">
      <c r="A10881" t="s">
        <v>307</v>
      </c>
      <c r="E10881" s="1507" t="s">
        <v>6945</v>
      </c>
      <c r="F10881" s="1507"/>
      <c r="G10881" s="584" t="s">
        <v>3775</v>
      </c>
      <c r="H10881" s="577">
        <v>-6.1800000000000001E-2</v>
      </c>
      <c r="K10881" t="s">
        <v>1053</v>
      </c>
      <c r="L10881" t="s">
        <v>692</v>
      </c>
      <c r="P10881" t="s">
        <v>1062</v>
      </c>
      <c r="T10881">
        <v>46142</v>
      </c>
      <c r="V10881">
        <v>151</v>
      </c>
    </row>
    <row r="10882" spans="1:22" customFormat="1" ht="15" x14ac:dyDescent="0.25">
      <c r="A10882" t="s">
        <v>307</v>
      </c>
      <c r="E10882" s="1507" t="s">
        <v>6942</v>
      </c>
      <c r="F10882" s="1507"/>
      <c r="G10882" s="584" t="s">
        <v>845</v>
      </c>
      <c r="H10882" s="577">
        <v>4.0000000000000002E-4</v>
      </c>
      <c r="K10882" t="s">
        <v>1053</v>
      </c>
      <c r="L10882" t="s">
        <v>692</v>
      </c>
      <c r="P10882" t="s">
        <v>1061</v>
      </c>
      <c r="T10882">
        <v>46142</v>
      </c>
      <c r="V10882">
        <v>152</v>
      </c>
    </row>
    <row r="10883" spans="1:22" customFormat="1" ht="15" x14ac:dyDescent="0.25">
      <c r="A10883" t="s">
        <v>307</v>
      </c>
      <c r="E10883" s="1507" t="s">
        <v>6952</v>
      </c>
      <c r="F10883" s="1507"/>
      <c r="G10883" s="584" t="s">
        <v>3775</v>
      </c>
      <c r="H10883" s="577">
        <v>-3.1800000000000002E-2</v>
      </c>
      <c r="K10883" t="s">
        <v>1053</v>
      </c>
      <c r="L10883" t="s">
        <v>692</v>
      </c>
      <c r="P10883" t="s">
        <v>1062</v>
      </c>
      <c r="T10883">
        <v>46142</v>
      </c>
      <c r="V10883">
        <v>145</v>
      </c>
    </row>
    <row r="10884" spans="1:22" customFormat="1" ht="15" x14ac:dyDescent="0.25">
      <c r="A10884" t="s">
        <v>307</v>
      </c>
      <c r="E10884" s="1507" t="s">
        <v>6953</v>
      </c>
      <c r="F10884" s="1507"/>
      <c r="G10884" s="584" t="s">
        <v>845</v>
      </c>
      <c r="H10884" s="577">
        <v>-5.9999999999999995E-4</v>
      </c>
      <c r="K10884" t="s">
        <v>1053</v>
      </c>
      <c r="L10884" t="s">
        <v>692</v>
      </c>
      <c r="P10884" t="s">
        <v>1061</v>
      </c>
      <c r="T10884">
        <v>46142</v>
      </c>
      <c r="V10884">
        <v>145</v>
      </c>
    </row>
    <row r="10885" spans="1:22" customFormat="1" ht="15" x14ac:dyDescent="0.25">
      <c r="A10885" t="s">
        <v>307</v>
      </c>
      <c r="E10885" s="1507" t="s">
        <v>243</v>
      </c>
      <c r="F10885" s="1507"/>
      <c r="G10885" s="584" t="s">
        <v>3775</v>
      </c>
      <c r="H10885" s="577">
        <v>3.1475</v>
      </c>
      <c r="K10885" t="s">
        <v>1053</v>
      </c>
      <c r="L10885" t="s">
        <v>694</v>
      </c>
      <c r="P10885" t="s">
        <v>1063</v>
      </c>
      <c r="V10885">
        <v>47</v>
      </c>
    </row>
    <row r="10886" spans="1:22" customFormat="1" ht="15" x14ac:dyDescent="0.25">
      <c r="A10886" t="s">
        <v>307</v>
      </c>
      <c r="E10886" s="1507" t="s">
        <v>175</v>
      </c>
      <c r="F10886" s="1507"/>
      <c r="G10886" s="584" t="s">
        <v>3775</v>
      </c>
      <c r="H10886" s="577">
        <v>1.9345000000000001</v>
      </c>
      <c r="K10886" t="s">
        <v>1053</v>
      </c>
      <c r="L10886" t="s">
        <v>694</v>
      </c>
      <c r="P10886" t="s">
        <v>1064</v>
      </c>
      <c r="V10886">
        <v>74</v>
      </c>
    </row>
    <row r="10887" spans="1:22" customFormat="1" ht="15" x14ac:dyDescent="0.25">
      <c r="A10887" t="s">
        <v>307</v>
      </c>
      <c r="E10887" s="1515" t="s">
        <v>967</v>
      </c>
      <c r="F10887" s="1507"/>
      <c r="G10887" s="584"/>
      <c r="H10887" s="584"/>
      <c r="K10887" t="s">
        <v>1065</v>
      </c>
      <c r="V10887">
        <v>48</v>
      </c>
    </row>
    <row r="10888" spans="1:22" customFormat="1" ht="15" x14ac:dyDescent="0.25">
      <c r="A10888" t="s">
        <v>307</v>
      </c>
      <c r="E10888" s="1507" t="s">
        <v>844</v>
      </c>
      <c r="F10888" s="1507"/>
      <c r="G10888" s="584" t="s">
        <v>845</v>
      </c>
      <c r="H10888" s="577">
        <v>4.1000000000000003E-3</v>
      </c>
      <c r="K10888" t="s">
        <v>1053</v>
      </c>
      <c r="L10888" t="s">
        <v>968</v>
      </c>
      <c r="P10888" t="s">
        <v>1066</v>
      </c>
      <c r="V10888">
        <v>55</v>
      </c>
    </row>
    <row r="10889" spans="1:22" customFormat="1" ht="15" x14ac:dyDescent="0.25">
      <c r="A10889" t="s">
        <v>307</v>
      </c>
      <c r="E10889" s="1507" t="s">
        <v>846</v>
      </c>
      <c r="F10889" s="1507"/>
      <c r="G10889" s="584" t="s">
        <v>845</v>
      </c>
      <c r="H10889" s="577">
        <v>4.0000000000000002E-4</v>
      </c>
      <c r="K10889" t="s">
        <v>1053</v>
      </c>
      <c r="L10889" t="s">
        <v>968</v>
      </c>
      <c r="P10889" t="s">
        <v>1066</v>
      </c>
      <c r="V10889">
        <v>65</v>
      </c>
    </row>
    <row r="10890" spans="1:22" customFormat="1" ht="15" x14ac:dyDescent="0.25">
      <c r="A10890" t="s">
        <v>307</v>
      </c>
      <c r="E10890" s="1507" t="s">
        <v>847</v>
      </c>
      <c r="F10890" s="1507"/>
      <c r="G10890" s="584" t="s">
        <v>845</v>
      </c>
      <c r="H10890" s="577">
        <v>1.5E-3</v>
      </c>
      <c r="K10890" t="s">
        <v>1053</v>
      </c>
      <c r="L10890" t="s">
        <v>968</v>
      </c>
      <c r="P10890" t="s">
        <v>1067</v>
      </c>
      <c r="V10890">
        <v>57</v>
      </c>
    </row>
    <row r="10891" spans="1:22" customFormat="1" ht="15" x14ac:dyDescent="0.25">
      <c r="A10891" t="s">
        <v>307</v>
      </c>
      <c r="E10891" s="1507" t="s">
        <v>848</v>
      </c>
      <c r="F10891" s="1507"/>
      <c r="G10891" s="584" t="s">
        <v>777</v>
      </c>
      <c r="H10891" s="576">
        <v>0.25</v>
      </c>
      <c r="K10891" t="s">
        <v>1053</v>
      </c>
      <c r="L10891" t="s">
        <v>968</v>
      </c>
      <c r="P10891" t="s">
        <v>1068</v>
      </c>
      <c r="V10891">
        <v>63</v>
      </c>
    </row>
    <row r="10892" spans="1:22" customFormat="1" x14ac:dyDescent="0.25">
      <c r="A10892" t="s">
        <v>307</v>
      </c>
      <c r="E10892" s="1492" t="s">
        <v>207</v>
      </c>
      <c r="F10892" s="1493"/>
      <c r="G10892" s="1493"/>
      <c r="H10892" s="1493"/>
      <c r="K10892" t="s">
        <v>1069</v>
      </c>
      <c r="V10892">
        <v>31</v>
      </c>
    </row>
    <row r="10893" spans="1:22" customFormat="1" ht="15" x14ac:dyDescent="0.25">
      <c r="A10893" t="s">
        <v>307</v>
      </c>
      <c r="E10893" s="1516" t="s">
        <v>4620</v>
      </c>
      <c r="F10893" s="1516"/>
      <c r="G10893" s="1516"/>
      <c r="H10893" s="1516"/>
      <c r="K10893" t="s">
        <v>1069</v>
      </c>
      <c r="V10893">
        <v>285</v>
      </c>
    </row>
    <row r="10894" spans="1:22" customFormat="1" ht="15" x14ac:dyDescent="0.25">
      <c r="A10894" t="s">
        <v>307</v>
      </c>
      <c r="E10894" s="1515" t="s">
        <v>950</v>
      </c>
      <c r="F10894" s="1516"/>
      <c r="G10894" s="1516"/>
      <c r="H10894" s="1516"/>
      <c r="K10894" t="s">
        <v>1071</v>
      </c>
      <c r="V10894">
        <v>11</v>
      </c>
    </row>
    <row r="10895" spans="1:22" customFormat="1" ht="15" x14ac:dyDescent="0.25">
      <c r="A10895" t="s">
        <v>307</v>
      </c>
      <c r="E10895" s="1516" t="s">
        <v>951</v>
      </c>
      <c r="F10895" s="1516"/>
      <c r="G10895" s="1516"/>
      <c r="H10895" s="1516"/>
      <c r="K10895" t="s">
        <v>1069</v>
      </c>
      <c r="V10895">
        <v>280</v>
      </c>
    </row>
    <row r="10896" spans="1:22" customFormat="1" ht="15" x14ac:dyDescent="0.25">
      <c r="A10896" t="s">
        <v>307</v>
      </c>
      <c r="E10896" s="1516" t="s">
        <v>952</v>
      </c>
      <c r="F10896" s="1516"/>
      <c r="G10896" s="1516"/>
      <c r="H10896" s="1516"/>
      <c r="K10896" t="s">
        <v>1069</v>
      </c>
      <c r="V10896">
        <v>411</v>
      </c>
    </row>
    <row r="10897" spans="1:22" customFormat="1" ht="15" x14ac:dyDescent="0.25">
      <c r="A10897" t="s">
        <v>307</v>
      </c>
      <c r="E10897" s="1516" t="s">
        <v>1103</v>
      </c>
      <c r="F10897" s="1516"/>
      <c r="G10897" s="1516"/>
      <c r="H10897" s="1516"/>
      <c r="K10897" t="s">
        <v>1069</v>
      </c>
      <c r="V10897">
        <v>211</v>
      </c>
    </row>
    <row r="10898" spans="1:22" customFormat="1" ht="15" x14ac:dyDescent="0.25">
      <c r="A10898" t="s">
        <v>307</v>
      </c>
      <c r="E10898" s="1516" t="s">
        <v>3762</v>
      </c>
      <c r="F10898" s="1516"/>
      <c r="G10898" s="1516"/>
      <c r="H10898" s="1516"/>
      <c r="K10898" t="s">
        <v>1069</v>
      </c>
      <c r="V10898">
        <v>247</v>
      </c>
    </row>
    <row r="10899" spans="1:22" customFormat="1" ht="15" x14ac:dyDescent="0.25">
      <c r="A10899" t="s">
        <v>307</v>
      </c>
      <c r="E10899" s="1515" t="s">
        <v>956</v>
      </c>
      <c r="F10899" s="1516"/>
      <c r="G10899" s="1516"/>
      <c r="H10899" s="1516"/>
      <c r="K10899" t="s">
        <v>1075</v>
      </c>
      <c r="V10899">
        <v>46</v>
      </c>
    </row>
    <row r="10900" spans="1:22" customFormat="1" ht="15" x14ac:dyDescent="0.25">
      <c r="A10900" t="s">
        <v>307</v>
      </c>
      <c r="E10900" s="1507" t="s">
        <v>3773</v>
      </c>
      <c r="F10900" s="1507"/>
      <c r="G10900" s="584" t="s">
        <v>777</v>
      </c>
      <c r="H10900" s="576">
        <v>5</v>
      </c>
      <c r="K10900" t="s">
        <v>1069</v>
      </c>
      <c r="L10900" t="s">
        <v>690</v>
      </c>
      <c r="P10900" t="s">
        <v>1076</v>
      </c>
      <c r="V10900">
        <v>14</v>
      </c>
    </row>
    <row r="10901" spans="1:22" customFormat="1" ht="18.75" x14ac:dyDescent="0.3">
      <c r="A10901" t="s">
        <v>307</v>
      </c>
      <c r="E10901" s="836" t="s">
        <v>3825</v>
      </c>
      <c r="F10901" s="381"/>
      <c r="G10901" s="476"/>
      <c r="H10901" s="475"/>
      <c r="K10901" t="s">
        <v>5704</v>
      </c>
      <c r="V10901">
        <v>10</v>
      </c>
    </row>
    <row r="10902" spans="1:22" customFormat="1" ht="15" x14ac:dyDescent="0.25">
      <c r="A10902" t="s">
        <v>307</v>
      </c>
      <c r="E10902" s="1507" t="s">
        <v>1078</v>
      </c>
      <c r="F10902" s="1507"/>
      <c r="G10902" s="584" t="s">
        <v>3775</v>
      </c>
      <c r="H10902" s="577">
        <v>-0.6</v>
      </c>
      <c r="V10902">
        <v>68</v>
      </c>
    </row>
    <row r="10903" spans="1:22" customFormat="1" ht="15" x14ac:dyDescent="0.25">
      <c r="A10903" t="s">
        <v>307</v>
      </c>
      <c r="E10903" s="1507" t="s">
        <v>1079</v>
      </c>
      <c r="F10903" s="1507"/>
      <c r="G10903" s="584" t="s">
        <v>1118</v>
      </c>
      <c r="H10903" s="576">
        <v>-1</v>
      </c>
      <c r="V10903">
        <v>87</v>
      </c>
    </row>
    <row r="10904" spans="1:22" customFormat="1" ht="36" x14ac:dyDescent="0.3">
      <c r="A10904" t="s">
        <v>307</v>
      </c>
      <c r="E10904" s="836" t="s">
        <v>3828</v>
      </c>
      <c r="F10904" s="381"/>
      <c r="G10904" s="476"/>
      <c r="H10904" s="475"/>
      <c r="K10904" t="s">
        <v>5705</v>
      </c>
      <c r="V10904">
        <v>24</v>
      </c>
    </row>
    <row r="10905" spans="1:22" customFormat="1" ht="15" x14ac:dyDescent="0.25">
      <c r="A10905" t="s">
        <v>307</v>
      </c>
      <c r="E10905" s="1516" t="s">
        <v>951</v>
      </c>
      <c r="F10905" s="1516"/>
      <c r="G10905" s="1516"/>
      <c r="H10905" s="1516"/>
      <c r="V10905">
        <v>280</v>
      </c>
    </row>
    <row r="10906" spans="1:22" customFormat="1" ht="15" x14ac:dyDescent="0.25">
      <c r="A10906" t="s">
        <v>307</v>
      </c>
      <c r="E10906" s="1516" t="s">
        <v>1081</v>
      </c>
      <c r="F10906" s="1516"/>
      <c r="G10906" s="1516"/>
      <c r="H10906" s="1516"/>
      <c r="V10906">
        <v>353</v>
      </c>
    </row>
    <row r="10907" spans="1:22" customFormat="1" ht="15" x14ac:dyDescent="0.25">
      <c r="A10907" t="s">
        <v>307</v>
      </c>
      <c r="E10907" s="1516" t="s">
        <v>3762</v>
      </c>
      <c r="F10907" s="1516"/>
      <c r="G10907" s="1516"/>
      <c r="H10907" s="1516"/>
      <c r="V10907">
        <v>247</v>
      </c>
    </row>
    <row r="10908" spans="1:22" customFormat="1" ht="15" x14ac:dyDescent="0.25">
      <c r="A10908" t="s">
        <v>307</v>
      </c>
      <c r="E10908" s="835" t="s">
        <v>3830</v>
      </c>
      <c r="F10908" s="838"/>
      <c r="G10908" s="838"/>
      <c r="H10908" s="433"/>
      <c r="K10908" t="s">
        <v>5706</v>
      </c>
      <c r="V10908">
        <v>23</v>
      </c>
    </row>
    <row r="10909" spans="1:22" customFormat="1" ht="15" x14ac:dyDescent="0.25">
      <c r="A10909" t="s">
        <v>307</v>
      </c>
      <c r="E10909" s="1517" t="s">
        <v>3832</v>
      </c>
      <c r="F10909" s="1517"/>
      <c r="G10909" s="584" t="s">
        <v>777</v>
      </c>
      <c r="H10909" s="576">
        <v>15</v>
      </c>
      <c r="V10909">
        <v>19</v>
      </c>
    </row>
    <row r="10910" spans="1:22" customFormat="1" ht="15" x14ac:dyDescent="0.25">
      <c r="A10910" t="s">
        <v>307</v>
      </c>
      <c r="E10910" s="1517" t="s">
        <v>3833</v>
      </c>
      <c r="F10910" s="1517"/>
      <c r="G10910" s="584" t="s">
        <v>777</v>
      </c>
      <c r="H10910" s="576">
        <v>15</v>
      </c>
      <c r="V10910">
        <v>20</v>
      </c>
    </row>
    <row r="10911" spans="1:22" customFormat="1" ht="15" x14ac:dyDescent="0.25">
      <c r="A10911" t="s">
        <v>307</v>
      </c>
      <c r="E10911" s="1517" t="s">
        <v>4056</v>
      </c>
      <c r="F10911" s="1517"/>
      <c r="G10911" s="584" t="s">
        <v>777</v>
      </c>
      <c r="H10911" s="576">
        <v>26.75</v>
      </c>
      <c r="V10911">
        <v>15</v>
      </c>
    </row>
    <row r="10912" spans="1:22" customFormat="1" ht="15" x14ac:dyDescent="0.25">
      <c r="A10912" t="s">
        <v>307</v>
      </c>
      <c r="E10912" s="1517" t="s">
        <v>4058</v>
      </c>
      <c r="F10912" s="1517"/>
      <c r="G10912" s="584" t="s">
        <v>777</v>
      </c>
      <c r="H10912" s="576">
        <v>15</v>
      </c>
      <c r="V10912">
        <v>15</v>
      </c>
    </row>
    <row r="10913" spans="1:22" customFormat="1" ht="15" x14ac:dyDescent="0.25">
      <c r="A10913" t="s">
        <v>307</v>
      </c>
      <c r="E10913" s="1517" t="s">
        <v>3836</v>
      </c>
      <c r="F10913" s="1517"/>
      <c r="G10913" s="584" t="s">
        <v>777</v>
      </c>
      <c r="H10913" s="576">
        <v>25</v>
      </c>
      <c r="V10913">
        <v>35</v>
      </c>
    </row>
    <row r="10914" spans="1:22" customFormat="1" ht="15" x14ac:dyDescent="0.25">
      <c r="A10914" t="s">
        <v>307</v>
      </c>
      <c r="E10914" s="1517" t="s">
        <v>4059</v>
      </c>
      <c r="F10914" s="1517"/>
      <c r="G10914" s="584" t="s">
        <v>777</v>
      </c>
      <c r="H10914" s="576">
        <v>15</v>
      </c>
      <c r="V10914">
        <v>19</v>
      </c>
    </row>
    <row r="10915" spans="1:22" customFormat="1" ht="15" x14ac:dyDescent="0.25">
      <c r="A10915" t="s">
        <v>307</v>
      </c>
      <c r="E10915" s="1517" t="s">
        <v>3837</v>
      </c>
      <c r="F10915" s="1517"/>
      <c r="G10915" s="584" t="s">
        <v>777</v>
      </c>
      <c r="H10915" s="576">
        <v>30</v>
      </c>
      <c r="V10915">
        <v>89</v>
      </c>
    </row>
    <row r="10916" spans="1:22" customFormat="1" ht="15" x14ac:dyDescent="0.25">
      <c r="A10916" t="s">
        <v>307</v>
      </c>
      <c r="E10916" s="1517" t="s">
        <v>3914</v>
      </c>
      <c r="F10916" s="1517"/>
      <c r="G10916" s="584" t="s">
        <v>777</v>
      </c>
      <c r="H10916" s="576">
        <v>30</v>
      </c>
      <c r="V10916">
        <v>19</v>
      </c>
    </row>
    <row r="10917" spans="1:22" customFormat="1" ht="15" x14ac:dyDescent="0.25">
      <c r="A10917" t="s">
        <v>307</v>
      </c>
      <c r="E10917" s="1517" t="s">
        <v>3838</v>
      </c>
      <c r="F10917" s="1517"/>
      <c r="G10917" s="584" t="s">
        <v>777</v>
      </c>
      <c r="H10917" s="576">
        <v>30</v>
      </c>
      <c r="V10917">
        <v>74</v>
      </c>
    </row>
    <row r="10918" spans="1:22" customFormat="1" ht="15" x14ac:dyDescent="0.25">
      <c r="A10918" t="s">
        <v>307</v>
      </c>
      <c r="E10918" s="835" t="s">
        <v>4062</v>
      </c>
      <c r="F10918" s="838"/>
      <c r="G10918" s="838"/>
      <c r="H10918" s="433"/>
      <c r="K10918" t="s">
        <v>5707</v>
      </c>
      <c r="V10918">
        <v>22</v>
      </c>
    </row>
    <row r="10919" spans="1:22" customFormat="1" ht="15" x14ac:dyDescent="0.25">
      <c r="A10919" t="s">
        <v>307</v>
      </c>
      <c r="E10919" s="1517" t="s">
        <v>4700</v>
      </c>
      <c r="F10919" s="1517"/>
      <c r="G10919" s="584"/>
      <c r="H10919" s="650"/>
      <c r="V10919">
        <v>24</v>
      </c>
    </row>
    <row r="10920" spans="1:22" customFormat="1" ht="15" x14ac:dyDescent="0.25">
      <c r="A10920" t="s">
        <v>307</v>
      </c>
      <c r="E10920" s="1517" t="s">
        <v>4701</v>
      </c>
      <c r="F10920" s="1517"/>
      <c r="G10920" s="584" t="s">
        <v>1118</v>
      </c>
      <c r="H10920" s="576">
        <v>1.5</v>
      </c>
      <c r="V10920">
        <v>74</v>
      </c>
    </row>
    <row r="10921" spans="1:22" customFormat="1" ht="15" x14ac:dyDescent="0.25">
      <c r="A10921" t="s">
        <v>307</v>
      </c>
      <c r="E10921" s="1517" t="s">
        <v>3842</v>
      </c>
      <c r="F10921" s="1517"/>
      <c r="G10921" s="584" t="s">
        <v>777</v>
      </c>
      <c r="H10921" s="576">
        <v>65</v>
      </c>
      <c r="V10921">
        <v>44</v>
      </c>
    </row>
    <row r="10922" spans="1:22" customFormat="1" ht="15" x14ac:dyDescent="0.25">
      <c r="A10922" t="s">
        <v>307</v>
      </c>
      <c r="E10922" s="1517" t="s">
        <v>3843</v>
      </c>
      <c r="F10922" s="1517"/>
      <c r="G10922" s="584" t="s">
        <v>777</v>
      </c>
      <c r="H10922" s="576">
        <v>185</v>
      </c>
      <c r="V10922">
        <v>43</v>
      </c>
    </row>
    <row r="10923" spans="1:22" customFormat="1" ht="15" x14ac:dyDescent="0.25">
      <c r="A10923" t="s">
        <v>307</v>
      </c>
      <c r="E10923" s="1517" t="s">
        <v>3844</v>
      </c>
      <c r="F10923" s="1517"/>
      <c r="G10923" s="584" t="s">
        <v>777</v>
      </c>
      <c r="H10923" s="576">
        <v>185</v>
      </c>
      <c r="V10923">
        <v>43</v>
      </c>
    </row>
    <row r="10924" spans="1:22" customFormat="1" ht="15" x14ac:dyDescent="0.25">
      <c r="A10924" t="s">
        <v>307</v>
      </c>
      <c r="E10924" s="1517" t="s">
        <v>3845</v>
      </c>
      <c r="F10924" s="1517"/>
      <c r="G10924" s="584" t="s">
        <v>777</v>
      </c>
      <c r="H10924" s="576">
        <v>415</v>
      </c>
      <c r="V10924">
        <v>42</v>
      </c>
    </row>
    <row r="10925" spans="1:22" customFormat="1" ht="15" x14ac:dyDescent="0.25">
      <c r="A10925" t="s">
        <v>307</v>
      </c>
      <c r="E10925" s="835" t="s">
        <v>3846</v>
      </c>
      <c r="F10925" s="838"/>
      <c r="G10925" s="838"/>
      <c r="H10925" s="433"/>
      <c r="V10925">
        <v>5</v>
      </c>
    </row>
    <row r="10926" spans="1:22" customFormat="1" ht="15" x14ac:dyDescent="0.25">
      <c r="A10926" t="s">
        <v>307</v>
      </c>
      <c r="E10926" s="1517" t="s">
        <v>5308</v>
      </c>
      <c r="F10926" s="1517"/>
      <c r="G10926" s="584" t="s">
        <v>777</v>
      </c>
      <c r="H10926" s="576">
        <v>30</v>
      </c>
      <c r="V10926">
        <v>39</v>
      </c>
    </row>
    <row r="10927" spans="1:22" customFormat="1" ht="15" x14ac:dyDescent="0.25">
      <c r="A10927" t="s">
        <v>307</v>
      </c>
      <c r="E10927" s="1517" t="s">
        <v>3847</v>
      </c>
      <c r="F10927" s="1517"/>
      <c r="G10927" s="584" t="s">
        <v>777</v>
      </c>
      <c r="H10927" s="576">
        <v>165</v>
      </c>
      <c r="V10927">
        <v>34</v>
      </c>
    </row>
    <row r="10928" spans="1:22" customFormat="1" ht="15" x14ac:dyDescent="0.25">
      <c r="A10928" t="s">
        <v>307</v>
      </c>
      <c r="E10928" s="1517" t="s">
        <v>5708</v>
      </c>
      <c r="F10928" s="1517"/>
      <c r="G10928" s="584" t="s">
        <v>777</v>
      </c>
      <c r="H10928" s="576">
        <v>39.14</v>
      </c>
      <c r="V10928">
        <v>103</v>
      </c>
    </row>
    <row r="10929" spans="1:22" customFormat="1" ht="18.75" x14ac:dyDescent="0.25">
      <c r="A10929" t="s">
        <v>307</v>
      </c>
      <c r="E10929" s="1492" t="s">
        <v>3851</v>
      </c>
      <c r="F10929" s="1510"/>
      <c r="G10929" s="1510"/>
      <c r="H10929" s="475"/>
      <c r="K10929" t="s">
        <v>5709</v>
      </c>
      <c r="V10929">
        <v>38</v>
      </c>
    </row>
    <row r="10930" spans="1:22" customFormat="1" ht="15" x14ac:dyDescent="0.25">
      <c r="A10930" t="s">
        <v>307</v>
      </c>
      <c r="E10930" s="1516" t="s">
        <v>951</v>
      </c>
      <c r="F10930" s="1516"/>
      <c r="G10930" s="1516"/>
      <c r="H10930" s="1516"/>
      <c r="V10930">
        <v>280</v>
      </c>
    </row>
    <row r="10931" spans="1:22" customFormat="1" ht="15" x14ac:dyDescent="0.25">
      <c r="A10931" t="s">
        <v>307</v>
      </c>
      <c r="E10931" s="1516" t="s">
        <v>952</v>
      </c>
      <c r="F10931" s="1516"/>
      <c r="G10931" s="1516"/>
      <c r="H10931" s="1516"/>
      <c r="V10931">
        <v>411</v>
      </c>
    </row>
    <row r="10932" spans="1:22" customFormat="1" ht="15" x14ac:dyDescent="0.25">
      <c r="A10932" t="s">
        <v>307</v>
      </c>
      <c r="E10932" s="1516" t="s">
        <v>1103</v>
      </c>
      <c r="F10932" s="1516"/>
      <c r="G10932" s="1516"/>
      <c r="H10932" s="1516"/>
      <c r="V10932">
        <v>211</v>
      </c>
    </row>
    <row r="10933" spans="1:22" customFormat="1" ht="15" x14ac:dyDescent="0.25">
      <c r="A10933" t="s">
        <v>307</v>
      </c>
      <c r="E10933" s="1516" t="s">
        <v>3762</v>
      </c>
      <c r="F10933" s="1516"/>
      <c r="G10933" s="1516"/>
      <c r="H10933" s="1516"/>
      <c r="V10933">
        <v>247</v>
      </c>
    </row>
    <row r="10934" spans="1:22" customFormat="1" ht="15" x14ac:dyDescent="0.25">
      <c r="A10934" t="s">
        <v>307</v>
      </c>
      <c r="E10934" s="1516" t="s">
        <v>1104</v>
      </c>
      <c r="F10934" s="1516"/>
      <c r="G10934" s="1516"/>
      <c r="H10934" s="1516"/>
      <c r="V10934">
        <v>142</v>
      </c>
    </row>
    <row r="10935" spans="1:22" customFormat="1" ht="15" x14ac:dyDescent="0.25">
      <c r="A10935" t="s">
        <v>307</v>
      </c>
      <c r="E10935" s="1507" t="s">
        <v>849</v>
      </c>
      <c r="F10935" s="1507"/>
      <c r="G10935" s="911" t="s">
        <v>777</v>
      </c>
      <c r="H10935" s="909">
        <v>121.23</v>
      </c>
      <c r="V10935">
        <v>106</v>
      </c>
    </row>
    <row r="10936" spans="1:22" customFormat="1" ht="15" x14ac:dyDescent="0.25">
      <c r="A10936" t="s">
        <v>307</v>
      </c>
      <c r="E10936" s="1507" t="s">
        <v>850</v>
      </c>
      <c r="F10936" s="1507"/>
      <c r="G10936" s="911" t="s">
        <v>777</v>
      </c>
      <c r="H10936" s="909">
        <v>48.5</v>
      </c>
      <c r="V10936">
        <v>34</v>
      </c>
    </row>
    <row r="10937" spans="1:22" customFormat="1" ht="15" x14ac:dyDescent="0.25">
      <c r="A10937" t="s">
        <v>307</v>
      </c>
      <c r="E10937" s="1507" t="s">
        <v>851</v>
      </c>
      <c r="F10937" s="1507"/>
      <c r="G10937" s="911" t="s">
        <v>852</v>
      </c>
      <c r="H10937" s="909">
        <v>1.2</v>
      </c>
      <c r="V10937">
        <v>51</v>
      </c>
    </row>
    <row r="10938" spans="1:22" customFormat="1" ht="15" x14ac:dyDescent="0.25">
      <c r="A10938" t="s">
        <v>307</v>
      </c>
      <c r="E10938" s="1507" t="s">
        <v>853</v>
      </c>
      <c r="F10938" s="1507"/>
      <c r="G10938" s="911" t="s">
        <v>852</v>
      </c>
      <c r="H10938" s="909">
        <v>0.71</v>
      </c>
      <c r="V10938">
        <v>75</v>
      </c>
    </row>
    <row r="10939" spans="1:22" customFormat="1" ht="15" x14ac:dyDescent="0.25">
      <c r="A10939" t="s">
        <v>307</v>
      </c>
      <c r="E10939" s="1507" t="s">
        <v>854</v>
      </c>
      <c r="F10939" s="1507"/>
      <c r="G10939" s="911" t="s">
        <v>852</v>
      </c>
      <c r="H10939" s="909">
        <v>-0.71</v>
      </c>
      <c r="V10939">
        <v>72</v>
      </c>
    </row>
    <row r="10940" spans="1:22" customFormat="1" ht="15" x14ac:dyDescent="0.25">
      <c r="A10940" t="s">
        <v>307</v>
      </c>
      <c r="E10940" s="1507" t="s">
        <v>855</v>
      </c>
      <c r="F10940" s="1507"/>
      <c r="G10940" s="911"/>
      <c r="H10940" s="910"/>
      <c r="V10940">
        <v>34</v>
      </c>
    </row>
    <row r="10941" spans="1:22" customFormat="1" ht="15" x14ac:dyDescent="0.25">
      <c r="A10941" t="s">
        <v>307</v>
      </c>
      <c r="E10941" s="1511" t="s">
        <v>1106</v>
      </c>
      <c r="F10941" s="1511"/>
      <c r="G10941" s="911" t="s">
        <v>777</v>
      </c>
      <c r="H10941" s="909">
        <v>0.61</v>
      </c>
      <c r="V10941">
        <v>57</v>
      </c>
    </row>
    <row r="10942" spans="1:22" customFormat="1" ht="15" x14ac:dyDescent="0.25">
      <c r="A10942" t="s">
        <v>307</v>
      </c>
      <c r="E10942" s="1511" t="s">
        <v>1107</v>
      </c>
      <c r="F10942" s="1511"/>
      <c r="G10942" s="911" t="s">
        <v>777</v>
      </c>
      <c r="H10942" s="909">
        <v>1.2</v>
      </c>
      <c r="V10942">
        <v>60</v>
      </c>
    </row>
    <row r="10943" spans="1:22" customFormat="1" ht="15" x14ac:dyDescent="0.25">
      <c r="A10943" t="s">
        <v>307</v>
      </c>
      <c r="E10943" s="1507" t="s">
        <v>1108</v>
      </c>
      <c r="F10943" s="1507"/>
      <c r="G10943" s="911"/>
      <c r="H10943" s="910"/>
      <c r="V10943">
        <v>91</v>
      </c>
    </row>
    <row r="10944" spans="1:22" customFormat="1" ht="15" x14ac:dyDescent="0.25">
      <c r="A10944" t="s">
        <v>307</v>
      </c>
      <c r="E10944" s="1507" t="s">
        <v>1109</v>
      </c>
      <c r="F10944" s="1507"/>
      <c r="G10944" s="911"/>
      <c r="H10944" s="910"/>
      <c r="V10944">
        <v>96</v>
      </c>
    </row>
    <row r="10945" spans="1:22" customFormat="1" ht="15" x14ac:dyDescent="0.25">
      <c r="A10945" t="s">
        <v>307</v>
      </c>
      <c r="E10945" s="1507" t="s">
        <v>856</v>
      </c>
      <c r="F10945" s="1507"/>
      <c r="G10945" s="911"/>
      <c r="H10945" s="910"/>
      <c r="V10945">
        <v>77</v>
      </c>
    </row>
    <row r="10946" spans="1:22" customFormat="1" ht="15" x14ac:dyDescent="0.25">
      <c r="A10946" t="s">
        <v>307</v>
      </c>
      <c r="E10946" s="1511" t="s">
        <v>1111</v>
      </c>
      <c r="F10946" s="1511"/>
      <c r="G10946" s="911" t="s">
        <v>777</v>
      </c>
      <c r="H10946" s="910" t="s">
        <v>857</v>
      </c>
      <c r="V10946">
        <v>18</v>
      </c>
    </row>
    <row r="10947" spans="1:22" customFormat="1" ht="15" x14ac:dyDescent="0.25">
      <c r="A10947" t="s">
        <v>307</v>
      </c>
      <c r="E10947" s="1511" t="s">
        <v>1112</v>
      </c>
      <c r="F10947" s="1511"/>
      <c r="G10947" s="911" t="s">
        <v>777</v>
      </c>
      <c r="H10947" s="909">
        <v>4.8499999999999996</v>
      </c>
      <c r="V10947">
        <v>69</v>
      </c>
    </row>
    <row r="10948" spans="1:22" customFormat="1" ht="15" x14ac:dyDescent="0.25">
      <c r="A10948" t="s">
        <v>307</v>
      </c>
      <c r="E10948" s="1507" t="s">
        <v>858</v>
      </c>
      <c r="F10948" s="1516"/>
      <c r="G10948" s="911" t="s">
        <v>777</v>
      </c>
      <c r="H10948" s="898">
        <v>2.42</v>
      </c>
      <c r="V10948">
        <v>199</v>
      </c>
    </row>
    <row r="10949" spans="1:22" customFormat="1" ht="18.75" x14ac:dyDescent="0.25">
      <c r="A10949" t="s">
        <v>307</v>
      </c>
      <c r="E10949" s="836" t="s">
        <v>3853</v>
      </c>
      <c r="F10949" s="476"/>
      <c r="G10949" s="476"/>
      <c r="H10949" s="475"/>
      <c r="K10949" t="s">
        <v>5710</v>
      </c>
      <c r="V10949">
        <v>12</v>
      </c>
    </row>
    <row r="10950" spans="1:22" customFormat="1" ht="15" x14ac:dyDescent="0.25">
      <c r="A10950" t="s">
        <v>307</v>
      </c>
      <c r="E10950" s="1507" t="s">
        <v>1114</v>
      </c>
      <c r="F10950" s="1507"/>
      <c r="G10950" s="1507"/>
      <c r="H10950" s="1507"/>
      <c r="V10950">
        <v>203</v>
      </c>
    </row>
    <row r="10951" spans="1:22" customFormat="1" ht="15" x14ac:dyDescent="0.25">
      <c r="A10951" t="s">
        <v>307</v>
      </c>
      <c r="E10951" s="1507" t="s">
        <v>4437</v>
      </c>
      <c r="F10951" s="1507"/>
      <c r="G10951" s="584"/>
      <c r="H10951" s="650">
        <v>1.0398000000000001</v>
      </c>
      <c r="V10951">
        <v>46</v>
      </c>
    </row>
    <row r="10952" spans="1:22" customFormat="1" ht="15" x14ac:dyDescent="0.25">
      <c r="A10952" t="s">
        <v>307</v>
      </c>
      <c r="E10952" s="1507" t="s">
        <v>5329</v>
      </c>
      <c r="F10952" s="1507"/>
      <c r="G10952" s="584"/>
      <c r="H10952" s="650">
        <v>1.0293000000000001</v>
      </c>
      <c r="J10952" t="s">
        <v>5711</v>
      </c>
      <c r="V10952">
        <v>44</v>
      </c>
    </row>
    <row r="10953" spans="1:22" customFormat="1" ht="23.25" x14ac:dyDescent="0.25">
      <c r="A10953" t="s">
        <v>297</v>
      </c>
      <c r="C10953" t="s">
        <v>3755</v>
      </c>
      <c r="E10953" s="1688" t="s">
        <v>297</v>
      </c>
      <c r="F10953" s="1688"/>
      <c r="G10953" s="1688"/>
      <c r="H10953" s="1688"/>
      <c r="I10953" t="s">
        <v>94</v>
      </c>
      <c r="J10953" t="s">
        <v>5586</v>
      </c>
      <c r="K10953" t="s">
        <v>297</v>
      </c>
      <c r="M10953">
        <v>7</v>
      </c>
      <c r="V10953">
        <v>30</v>
      </c>
    </row>
    <row r="10954" spans="1:22" customFormat="1" x14ac:dyDescent="0.25">
      <c r="A10954" t="s">
        <v>297</v>
      </c>
      <c r="C10954" t="s">
        <v>3757</v>
      </c>
      <c r="E10954" s="1689" t="s">
        <v>944</v>
      </c>
      <c r="F10954" s="1689"/>
      <c r="G10954" s="1689"/>
      <c r="H10954" s="1689"/>
      <c r="V10954">
        <v>27</v>
      </c>
    </row>
    <row r="10955" spans="1:22" customFormat="1" ht="15.75" x14ac:dyDescent="0.25">
      <c r="A10955" t="s">
        <v>297</v>
      </c>
      <c r="C10955" t="s">
        <v>3758</v>
      </c>
      <c r="E10955" s="1690" t="s">
        <v>6847</v>
      </c>
      <c r="F10955" s="1690"/>
      <c r="G10955" s="1690"/>
      <c r="H10955" s="1690"/>
      <c r="S10955">
        <v>45778</v>
      </c>
      <c r="V10955">
        <v>45</v>
      </c>
    </row>
    <row r="10956" spans="1:22" customFormat="1" ht="15" x14ac:dyDescent="0.25">
      <c r="A10956" t="s">
        <v>297</v>
      </c>
      <c r="C10956" t="s">
        <v>3759</v>
      </c>
      <c r="E10956" s="1512" t="s">
        <v>945</v>
      </c>
      <c r="F10956" s="1512"/>
      <c r="G10956" s="1512"/>
      <c r="H10956" s="1512"/>
      <c r="V10956">
        <v>52</v>
      </c>
    </row>
    <row r="10957" spans="1:22" customFormat="1" ht="15" x14ac:dyDescent="0.25">
      <c r="A10957" t="s">
        <v>297</v>
      </c>
      <c r="E10957" s="1512" t="s">
        <v>946</v>
      </c>
      <c r="F10957" s="1512"/>
      <c r="G10957" s="1512"/>
      <c r="H10957" s="1512"/>
      <c r="V10957">
        <v>53</v>
      </c>
    </row>
    <row r="10958" spans="1:22" customFormat="1" ht="15" x14ac:dyDescent="0.25">
      <c r="A10958" t="s">
        <v>297</v>
      </c>
      <c r="E10958" s="1513" t="s">
        <v>6954</v>
      </c>
      <c r="F10958" s="1514"/>
      <c r="G10958" s="1514"/>
      <c r="H10958" s="1514"/>
      <c r="K10958" t="s">
        <v>6954</v>
      </c>
      <c r="V10958">
        <v>12</v>
      </c>
    </row>
    <row r="10959" spans="1:22" customFormat="1" ht="15" x14ac:dyDescent="0.25">
      <c r="A10959" t="s">
        <v>297</v>
      </c>
      <c r="E10959" s="1642" t="s">
        <v>170</v>
      </c>
      <c r="F10959" s="1582"/>
      <c r="G10959" s="1582"/>
      <c r="H10959" s="1582"/>
      <c r="K10959" t="s">
        <v>947</v>
      </c>
      <c r="V10959">
        <v>34</v>
      </c>
    </row>
    <row r="10960" spans="1:22" customFormat="1" ht="15" x14ac:dyDescent="0.25">
      <c r="A10960" t="s">
        <v>297</v>
      </c>
      <c r="E10960" s="1518" t="s">
        <v>5587</v>
      </c>
      <c r="F10960" s="1518"/>
      <c r="G10960" s="1518"/>
      <c r="H10960" s="1518"/>
      <c r="K10960" t="s">
        <v>947</v>
      </c>
      <c r="V10960">
        <v>833</v>
      </c>
    </row>
    <row r="10961" spans="1:22" customFormat="1" ht="15" x14ac:dyDescent="0.25">
      <c r="A10961" t="s">
        <v>297</v>
      </c>
      <c r="E10961" s="1520" t="s">
        <v>950</v>
      </c>
      <c r="F10961" s="1521"/>
      <c r="G10961" s="1521"/>
      <c r="H10961" s="1521"/>
      <c r="K10961" t="s">
        <v>949</v>
      </c>
      <c r="V10961">
        <v>11</v>
      </c>
    </row>
    <row r="10962" spans="1:22" customFormat="1" ht="15" x14ac:dyDescent="0.25">
      <c r="A10962" t="s">
        <v>297</v>
      </c>
      <c r="E10962" s="1518" t="s">
        <v>5588</v>
      </c>
      <c r="F10962" s="1518"/>
      <c r="G10962" s="1518"/>
      <c r="H10962" s="1518"/>
      <c r="K10962" t="s">
        <v>947</v>
      </c>
      <c r="V10962">
        <v>281</v>
      </c>
    </row>
    <row r="10963" spans="1:22" customFormat="1" ht="15" x14ac:dyDescent="0.25">
      <c r="A10963" t="s">
        <v>297</v>
      </c>
      <c r="E10963" s="1518" t="s">
        <v>952</v>
      </c>
      <c r="F10963" s="1518"/>
      <c r="G10963" s="1518"/>
      <c r="H10963" s="1518"/>
      <c r="K10963" t="s">
        <v>947</v>
      </c>
      <c r="V10963">
        <v>411</v>
      </c>
    </row>
    <row r="10964" spans="1:22" customFormat="1" ht="15" x14ac:dyDescent="0.25">
      <c r="A10964" t="s">
        <v>297</v>
      </c>
      <c r="E10964" s="1518" t="s">
        <v>4814</v>
      </c>
      <c r="F10964" s="1518"/>
      <c r="G10964" s="1518"/>
      <c r="H10964" s="1518"/>
      <c r="K10964" t="s">
        <v>947</v>
      </c>
      <c r="V10964">
        <v>385</v>
      </c>
    </row>
    <row r="10965" spans="1:22" customFormat="1" ht="15" x14ac:dyDescent="0.25">
      <c r="A10965" t="s">
        <v>297</v>
      </c>
      <c r="E10965" s="1518" t="s">
        <v>954</v>
      </c>
      <c r="F10965" s="1518"/>
      <c r="G10965" s="1518"/>
      <c r="H10965" s="1518"/>
      <c r="K10965" t="s">
        <v>947</v>
      </c>
      <c r="V10965">
        <v>246</v>
      </c>
    </row>
    <row r="10966" spans="1:22" customFormat="1" ht="15" x14ac:dyDescent="0.25">
      <c r="A10966" t="s">
        <v>297</v>
      </c>
      <c r="E10966" s="1520" t="s">
        <v>956</v>
      </c>
      <c r="F10966" s="1521"/>
      <c r="G10966" s="1521"/>
      <c r="H10966" s="1521"/>
      <c r="K10966" t="s">
        <v>955</v>
      </c>
      <c r="V10966">
        <v>46</v>
      </c>
    </row>
    <row r="10967" spans="1:22" customFormat="1" ht="15" x14ac:dyDescent="0.25">
      <c r="A10967" t="s">
        <v>297</v>
      </c>
      <c r="E10967" s="1508" t="s">
        <v>3773</v>
      </c>
      <c r="F10967" s="1508"/>
      <c r="G10967" s="617" t="s">
        <v>777</v>
      </c>
      <c r="H10967" s="576">
        <v>28.75</v>
      </c>
      <c r="K10967" t="s">
        <v>947</v>
      </c>
      <c r="L10967" t="s">
        <v>690</v>
      </c>
      <c r="P10967" t="s">
        <v>957</v>
      </c>
      <c r="V10967">
        <v>14</v>
      </c>
    </row>
    <row r="10968" spans="1:22" customFormat="1" ht="15" x14ac:dyDescent="0.25">
      <c r="A10968" t="s">
        <v>297</v>
      </c>
      <c r="E10968" s="1508" t="s">
        <v>960</v>
      </c>
      <c r="F10968" s="1522"/>
      <c r="G10968" s="617" t="s">
        <v>777</v>
      </c>
      <c r="H10968" s="618">
        <v>0.42</v>
      </c>
      <c r="K10968" t="s">
        <v>947</v>
      </c>
      <c r="L10968" t="s">
        <v>692</v>
      </c>
      <c r="P10968" t="s">
        <v>959</v>
      </c>
      <c r="V10968">
        <v>64</v>
      </c>
    </row>
    <row r="10969" spans="1:22" customFormat="1" ht="15" x14ac:dyDescent="0.25">
      <c r="A10969" t="s">
        <v>297</v>
      </c>
      <c r="E10969" s="1508" t="s">
        <v>910</v>
      </c>
      <c r="F10969" s="1508"/>
      <c r="G10969" s="617" t="s">
        <v>845</v>
      </c>
      <c r="H10969" s="619">
        <v>3.2000000000000002E-3</v>
      </c>
      <c r="K10969" t="s">
        <v>947</v>
      </c>
      <c r="L10969" t="s">
        <v>692</v>
      </c>
      <c r="P10969" t="s">
        <v>961</v>
      </c>
      <c r="V10969">
        <v>24</v>
      </c>
    </row>
    <row r="10970" spans="1:22" customFormat="1" ht="15" x14ac:dyDescent="0.25">
      <c r="A10970" t="s">
        <v>297</v>
      </c>
      <c r="E10970" s="1508" t="s">
        <v>6849</v>
      </c>
      <c r="F10970" s="1510"/>
      <c r="G10970" s="617" t="s">
        <v>845</v>
      </c>
      <c r="H10970" s="619">
        <v>4.1999999999999997E-3</v>
      </c>
      <c r="K10970" t="s">
        <v>947</v>
      </c>
      <c r="L10970" t="s">
        <v>692</v>
      </c>
      <c r="P10970" t="s">
        <v>962</v>
      </c>
      <c r="T10970">
        <v>46142</v>
      </c>
      <c r="V10970">
        <v>139</v>
      </c>
    </row>
    <row r="10971" spans="1:22" customFormat="1" ht="15" x14ac:dyDescent="0.25">
      <c r="A10971" t="s">
        <v>297</v>
      </c>
      <c r="E10971" s="1508" t="s">
        <v>6850</v>
      </c>
      <c r="F10971" s="1510"/>
      <c r="G10971" s="617" t="s">
        <v>845</v>
      </c>
      <c r="H10971" s="619">
        <v>1.8E-3</v>
      </c>
      <c r="K10971" t="s">
        <v>947</v>
      </c>
      <c r="L10971" t="s">
        <v>692</v>
      </c>
      <c r="P10971" t="s">
        <v>963</v>
      </c>
      <c r="T10971">
        <v>46142</v>
      </c>
      <c r="V10971">
        <v>96</v>
      </c>
    </row>
    <row r="10972" spans="1:22" customFormat="1" ht="15" x14ac:dyDescent="0.25">
      <c r="A10972" t="s">
        <v>297</v>
      </c>
      <c r="E10972" s="1508" t="s">
        <v>6955</v>
      </c>
      <c r="F10972" s="1507"/>
      <c r="G10972" s="617" t="s">
        <v>845</v>
      </c>
      <c r="H10972" s="619">
        <v>-1.3299999999999999E-2</v>
      </c>
      <c r="K10972" t="s">
        <v>947</v>
      </c>
      <c r="L10972" t="s">
        <v>692</v>
      </c>
      <c r="P10972" t="s">
        <v>962</v>
      </c>
      <c r="V10972">
        <v>140</v>
      </c>
    </row>
    <row r="10973" spans="1:22" customFormat="1" ht="15" x14ac:dyDescent="0.25">
      <c r="A10973" t="s">
        <v>297</v>
      </c>
      <c r="E10973" s="1508" t="s">
        <v>6956</v>
      </c>
      <c r="F10973" s="1507"/>
      <c r="G10973" s="617" t="s">
        <v>845</v>
      </c>
      <c r="H10973" s="619">
        <v>-2.8999999999999998E-3</v>
      </c>
      <c r="K10973" t="s">
        <v>947</v>
      </c>
      <c r="L10973" t="s">
        <v>692</v>
      </c>
      <c r="P10973" t="s">
        <v>963</v>
      </c>
      <c r="V10973">
        <v>96</v>
      </c>
    </row>
    <row r="10974" spans="1:22" customFormat="1" ht="15" x14ac:dyDescent="0.25">
      <c r="A10974" t="s">
        <v>297</v>
      </c>
      <c r="E10974" s="1508" t="s">
        <v>6957</v>
      </c>
      <c r="F10974" s="1507"/>
      <c r="G10974" s="617" t="s">
        <v>845</v>
      </c>
      <c r="H10974" s="619">
        <v>-1.0699999999999999E-2</v>
      </c>
      <c r="K10974" t="s">
        <v>947</v>
      </c>
      <c r="L10974" t="s">
        <v>692</v>
      </c>
      <c r="P10974" t="s">
        <v>6958</v>
      </c>
      <c r="T10974">
        <v>46142</v>
      </c>
      <c r="V10974">
        <v>71</v>
      </c>
    </row>
    <row r="10975" spans="1:22" customFormat="1" ht="15" x14ac:dyDescent="0.25">
      <c r="A10975" t="s">
        <v>297</v>
      </c>
      <c r="E10975" s="1508" t="s">
        <v>243</v>
      </c>
      <c r="F10975" s="1507"/>
      <c r="G10975" s="617" t="s">
        <v>845</v>
      </c>
      <c r="H10975" s="577">
        <v>9.9000000000000008E-3</v>
      </c>
      <c r="K10975" t="s">
        <v>947</v>
      </c>
      <c r="L10975" t="s">
        <v>694</v>
      </c>
      <c r="P10975" t="s">
        <v>964</v>
      </c>
      <c r="V10975">
        <v>47</v>
      </c>
    </row>
    <row r="10976" spans="1:22" customFormat="1" ht="15" x14ac:dyDescent="0.25">
      <c r="A10976" t="s">
        <v>297</v>
      </c>
      <c r="E10976" s="1508" t="s">
        <v>175</v>
      </c>
      <c r="F10976" s="1507"/>
      <c r="G10976" s="617" t="s">
        <v>845</v>
      </c>
      <c r="H10976" s="577">
        <v>8.0000000000000002E-3</v>
      </c>
      <c r="K10976" t="s">
        <v>947</v>
      </c>
      <c r="L10976" t="s">
        <v>694</v>
      </c>
      <c r="P10976" t="s">
        <v>965</v>
      </c>
      <c r="V10976">
        <v>74</v>
      </c>
    </row>
    <row r="10977" spans="1:22" customFormat="1" ht="15" x14ac:dyDescent="0.25">
      <c r="A10977" t="s">
        <v>297</v>
      </c>
      <c r="E10977" s="1523" t="s">
        <v>967</v>
      </c>
      <c r="F10977" s="1522"/>
      <c r="G10977" s="617"/>
      <c r="H10977" s="617"/>
      <c r="K10977" t="s">
        <v>966</v>
      </c>
      <c r="V10977">
        <v>48</v>
      </c>
    </row>
    <row r="10978" spans="1:22" customFormat="1" ht="15" x14ac:dyDescent="0.25">
      <c r="A10978" t="s">
        <v>297</v>
      </c>
      <c r="E10978" s="1508" t="s">
        <v>844</v>
      </c>
      <c r="F10978" s="1508"/>
      <c r="G10978" s="617" t="s">
        <v>845</v>
      </c>
      <c r="H10978" s="485">
        <v>4.1000000000000003E-3</v>
      </c>
      <c r="K10978" t="s">
        <v>947</v>
      </c>
      <c r="L10978" t="s">
        <v>968</v>
      </c>
      <c r="P10978" t="s">
        <v>969</v>
      </c>
      <c r="V10978">
        <v>55</v>
      </c>
    </row>
    <row r="10979" spans="1:22" customFormat="1" ht="15" x14ac:dyDescent="0.25">
      <c r="A10979" t="s">
        <v>297</v>
      </c>
      <c r="E10979" s="1508" t="s">
        <v>846</v>
      </c>
      <c r="F10979" s="1508"/>
      <c r="G10979" s="617" t="s">
        <v>845</v>
      </c>
      <c r="H10979" s="485">
        <v>4.0000000000000002E-4</v>
      </c>
      <c r="K10979" t="s">
        <v>947</v>
      </c>
      <c r="L10979" t="s">
        <v>968</v>
      </c>
      <c r="P10979" t="s">
        <v>969</v>
      </c>
      <c r="V10979">
        <v>65</v>
      </c>
    </row>
    <row r="10980" spans="1:22" customFormat="1" ht="15" x14ac:dyDescent="0.25">
      <c r="A10980" t="s">
        <v>297</v>
      </c>
      <c r="E10980" s="1508" t="s">
        <v>847</v>
      </c>
      <c r="F10980" s="1508"/>
      <c r="G10980" s="617" t="s">
        <v>845</v>
      </c>
      <c r="H10980" s="485">
        <v>1.5E-3</v>
      </c>
      <c r="K10980" t="s">
        <v>947</v>
      </c>
      <c r="L10980" t="s">
        <v>968</v>
      </c>
      <c r="P10980" t="s">
        <v>970</v>
      </c>
      <c r="V10980">
        <v>57</v>
      </c>
    </row>
    <row r="10981" spans="1:22" customFormat="1" ht="15" x14ac:dyDescent="0.25">
      <c r="A10981" t="s">
        <v>297</v>
      </c>
      <c r="E10981" s="1508" t="s">
        <v>848</v>
      </c>
      <c r="F10981" s="1508"/>
      <c r="G10981" s="617" t="s">
        <v>777</v>
      </c>
      <c r="H10981" s="484">
        <v>0.25</v>
      </c>
      <c r="K10981" t="s">
        <v>947</v>
      </c>
      <c r="L10981" t="s">
        <v>968</v>
      </c>
      <c r="P10981" t="s">
        <v>971</v>
      </c>
      <c r="V10981">
        <v>63</v>
      </c>
    </row>
    <row r="10982" spans="1:22" customFormat="1" x14ac:dyDescent="0.25">
      <c r="A10982" t="s">
        <v>297</v>
      </c>
      <c r="E10982" s="1642" t="s">
        <v>174</v>
      </c>
      <c r="F10982" s="1691"/>
      <c r="G10982" s="1691"/>
      <c r="H10982" s="1691"/>
      <c r="K10982" t="s">
        <v>972</v>
      </c>
      <c r="V10982">
        <v>54</v>
      </c>
    </row>
    <row r="10983" spans="1:22" customFormat="1" ht="15" x14ac:dyDescent="0.25">
      <c r="A10983" t="s">
        <v>297</v>
      </c>
      <c r="E10983" s="1518" t="s">
        <v>5587</v>
      </c>
      <c r="F10983" s="1518"/>
      <c r="G10983" s="1518"/>
      <c r="H10983" s="1518"/>
      <c r="K10983" t="s">
        <v>972</v>
      </c>
      <c r="V10983">
        <v>833</v>
      </c>
    </row>
    <row r="10984" spans="1:22" customFormat="1" ht="15" x14ac:dyDescent="0.25">
      <c r="A10984" t="s">
        <v>297</v>
      </c>
      <c r="E10984" s="1520" t="s">
        <v>950</v>
      </c>
      <c r="F10984" s="1521"/>
      <c r="G10984" s="1521"/>
      <c r="H10984" s="1521"/>
      <c r="K10984" t="s">
        <v>974</v>
      </c>
      <c r="V10984">
        <v>11</v>
      </c>
    </row>
    <row r="10985" spans="1:22" customFormat="1" ht="15" x14ac:dyDescent="0.25">
      <c r="A10985" t="s">
        <v>297</v>
      </c>
      <c r="E10985" s="1518" t="s">
        <v>5588</v>
      </c>
      <c r="F10985" s="1518"/>
      <c r="G10985" s="1518"/>
      <c r="H10985" s="1518"/>
      <c r="K10985" t="s">
        <v>972</v>
      </c>
      <c r="V10985">
        <v>281</v>
      </c>
    </row>
    <row r="10986" spans="1:22" customFormat="1" ht="15" x14ac:dyDescent="0.25">
      <c r="A10986" t="s">
        <v>297</v>
      </c>
      <c r="E10986" s="1518" t="s">
        <v>952</v>
      </c>
      <c r="F10986" s="1518"/>
      <c r="G10986" s="1518"/>
      <c r="H10986" s="1518"/>
      <c r="K10986" t="s">
        <v>972</v>
      </c>
      <c r="V10986">
        <v>411</v>
      </c>
    </row>
    <row r="10987" spans="1:22" customFormat="1" ht="15" x14ac:dyDescent="0.25">
      <c r="A10987" t="s">
        <v>297</v>
      </c>
      <c r="E10987" s="1518" t="s">
        <v>4814</v>
      </c>
      <c r="F10987" s="1518"/>
      <c r="G10987" s="1518"/>
      <c r="H10987" s="1518"/>
      <c r="K10987" t="s">
        <v>972</v>
      </c>
      <c r="V10987">
        <v>385</v>
      </c>
    </row>
    <row r="10988" spans="1:22" customFormat="1" ht="15" x14ac:dyDescent="0.25">
      <c r="A10988" t="s">
        <v>297</v>
      </c>
      <c r="E10988" s="1518" t="s">
        <v>954</v>
      </c>
      <c r="F10988" s="1518"/>
      <c r="G10988" s="1518"/>
      <c r="H10988" s="1518"/>
      <c r="K10988" t="s">
        <v>972</v>
      </c>
      <c r="V10988">
        <v>246</v>
      </c>
    </row>
    <row r="10989" spans="1:22" customFormat="1" ht="15" x14ac:dyDescent="0.25">
      <c r="A10989" t="s">
        <v>297</v>
      </c>
      <c r="E10989" s="1520" t="s">
        <v>956</v>
      </c>
      <c r="F10989" s="1521"/>
      <c r="G10989" s="1521"/>
      <c r="H10989" s="1521"/>
      <c r="K10989" t="s">
        <v>975</v>
      </c>
      <c r="V10989">
        <v>46</v>
      </c>
    </row>
    <row r="10990" spans="1:22" customFormat="1" ht="15" x14ac:dyDescent="0.25">
      <c r="A10990" t="s">
        <v>297</v>
      </c>
      <c r="E10990" s="1508" t="s">
        <v>3773</v>
      </c>
      <c r="F10990" s="1508"/>
      <c r="G10990" s="617" t="s">
        <v>777</v>
      </c>
      <c r="H10990" s="576">
        <v>26.69</v>
      </c>
      <c r="K10990" t="s">
        <v>972</v>
      </c>
      <c r="L10990" t="s">
        <v>690</v>
      </c>
      <c r="P10990" t="s">
        <v>976</v>
      </c>
      <c r="V10990">
        <v>14</v>
      </c>
    </row>
    <row r="10991" spans="1:22" customFormat="1" ht="15" x14ac:dyDescent="0.25">
      <c r="A10991" t="s">
        <v>297</v>
      </c>
      <c r="E10991" s="1508" t="s">
        <v>960</v>
      </c>
      <c r="F10991" s="1522"/>
      <c r="G10991" s="617" t="s">
        <v>777</v>
      </c>
      <c r="H10991" s="618">
        <v>0.42</v>
      </c>
      <c r="K10991" t="s">
        <v>972</v>
      </c>
      <c r="L10991" t="s">
        <v>692</v>
      </c>
      <c r="P10991" t="s">
        <v>977</v>
      </c>
      <c r="V10991">
        <v>64</v>
      </c>
    </row>
    <row r="10992" spans="1:22" customFormat="1" ht="15" x14ac:dyDescent="0.25">
      <c r="A10992" t="s">
        <v>297</v>
      </c>
      <c r="E10992" s="1508" t="s">
        <v>3688</v>
      </c>
      <c r="F10992" s="1508"/>
      <c r="G10992" s="617" t="s">
        <v>845</v>
      </c>
      <c r="H10992" s="577">
        <v>1.5699999999999999E-2</v>
      </c>
      <c r="K10992" t="s">
        <v>972</v>
      </c>
      <c r="L10992" t="s">
        <v>690</v>
      </c>
      <c r="P10992" t="s">
        <v>978</v>
      </c>
      <c r="V10992">
        <v>28</v>
      </c>
    </row>
    <row r="10993" spans="1:22" customFormat="1" ht="15" x14ac:dyDescent="0.25">
      <c r="A10993" t="s">
        <v>297</v>
      </c>
      <c r="E10993" s="1508" t="s">
        <v>910</v>
      </c>
      <c r="F10993" s="1508"/>
      <c r="G10993" s="617" t="s">
        <v>845</v>
      </c>
      <c r="H10993" s="619">
        <v>2.8E-3</v>
      </c>
      <c r="K10993" t="s">
        <v>972</v>
      </c>
      <c r="L10993" t="s">
        <v>692</v>
      </c>
      <c r="P10993" t="s">
        <v>980</v>
      </c>
      <c r="V10993">
        <v>24</v>
      </c>
    </row>
    <row r="10994" spans="1:22" customFormat="1" ht="15" x14ac:dyDescent="0.25">
      <c r="A10994" t="s">
        <v>297</v>
      </c>
      <c r="E10994" s="1508" t="s">
        <v>6849</v>
      </c>
      <c r="F10994" s="1510"/>
      <c r="G10994" s="617" t="s">
        <v>845</v>
      </c>
      <c r="H10994" s="619">
        <v>4.1999999999999997E-3</v>
      </c>
      <c r="K10994" t="s">
        <v>972</v>
      </c>
      <c r="L10994" t="s">
        <v>692</v>
      </c>
      <c r="P10994" t="s">
        <v>981</v>
      </c>
      <c r="T10994">
        <v>46142</v>
      </c>
      <c r="V10994">
        <v>139</v>
      </c>
    </row>
    <row r="10995" spans="1:22" customFormat="1" ht="15" x14ac:dyDescent="0.25">
      <c r="A10995" t="s">
        <v>297</v>
      </c>
      <c r="E10995" s="1508" t="s">
        <v>6959</v>
      </c>
      <c r="F10995" s="1510"/>
      <c r="G10995" s="617" t="s">
        <v>845</v>
      </c>
      <c r="H10995" s="619">
        <v>1.6999999999999999E-3</v>
      </c>
      <c r="K10995" t="s">
        <v>972</v>
      </c>
      <c r="L10995" t="s">
        <v>690</v>
      </c>
      <c r="P10995" t="s">
        <v>3931</v>
      </c>
      <c r="T10995">
        <v>46142</v>
      </c>
      <c r="V10995">
        <v>136</v>
      </c>
    </row>
    <row r="10996" spans="1:22" customFormat="1" ht="15" x14ac:dyDescent="0.25">
      <c r="A10996" t="s">
        <v>297</v>
      </c>
      <c r="E10996" s="1508" t="s">
        <v>6850</v>
      </c>
      <c r="F10996" s="1510"/>
      <c r="G10996" s="617" t="s">
        <v>845</v>
      </c>
      <c r="H10996" s="619">
        <v>2E-3</v>
      </c>
      <c r="K10996" t="s">
        <v>972</v>
      </c>
      <c r="L10996" t="s">
        <v>692</v>
      </c>
      <c r="P10996" t="s">
        <v>982</v>
      </c>
      <c r="T10996">
        <v>46142</v>
      </c>
      <c r="V10996">
        <v>96</v>
      </c>
    </row>
    <row r="10997" spans="1:22" customFormat="1" ht="15" x14ac:dyDescent="0.25">
      <c r="A10997" t="s">
        <v>297</v>
      </c>
      <c r="E10997" s="1508" t="s">
        <v>6955</v>
      </c>
      <c r="F10997" s="1507"/>
      <c r="G10997" s="617" t="s">
        <v>845</v>
      </c>
      <c r="H10997" s="619">
        <v>-1.3299999999999999E-2</v>
      </c>
      <c r="K10997" t="s">
        <v>972</v>
      </c>
      <c r="L10997" t="s">
        <v>692</v>
      </c>
      <c r="P10997" t="s">
        <v>981</v>
      </c>
      <c r="V10997">
        <v>140</v>
      </c>
    </row>
    <row r="10998" spans="1:22" customFormat="1" ht="15" x14ac:dyDescent="0.25">
      <c r="A10998" t="s">
        <v>297</v>
      </c>
      <c r="E10998" s="1508" t="s">
        <v>6960</v>
      </c>
      <c r="F10998" s="1507"/>
      <c r="G10998" s="617" t="s">
        <v>845</v>
      </c>
      <c r="H10998" s="619">
        <v>-2.8999999999999998E-3</v>
      </c>
      <c r="K10998" t="s">
        <v>972</v>
      </c>
      <c r="L10998" t="s">
        <v>692</v>
      </c>
      <c r="P10998" t="s">
        <v>982</v>
      </c>
      <c r="V10998">
        <v>97</v>
      </c>
    </row>
    <row r="10999" spans="1:22" customFormat="1" ht="15" x14ac:dyDescent="0.25">
      <c r="A10999" t="s">
        <v>297</v>
      </c>
      <c r="E10999" s="1508" t="s">
        <v>6957</v>
      </c>
      <c r="F10999" s="1507"/>
      <c r="G10999" s="617" t="s">
        <v>845</v>
      </c>
      <c r="H10999" s="619">
        <v>-1.0699999999999999E-2</v>
      </c>
      <c r="K10999" t="s">
        <v>972</v>
      </c>
      <c r="L10999" t="s">
        <v>692</v>
      </c>
      <c r="P10999" t="s">
        <v>6961</v>
      </c>
      <c r="T10999">
        <v>46142</v>
      </c>
      <c r="V10999">
        <v>71</v>
      </c>
    </row>
    <row r="11000" spans="1:22" customFormat="1" ht="15" x14ac:dyDescent="0.25">
      <c r="A11000" t="s">
        <v>297</v>
      </c>
      <c r="E11000" s="1508" t="s">
        <v>243</v>
      </c>
      <c r="F11000" s="1508"/>
      <c r="G11000" s="617" t="s">
        <v>845</v>
      </c>
      <c r="H11000" s="577">
        <v>8.8999999999999999E-3</v>
      </c>
      <c r="K11000" t="s">
        <v>972</v>
      </c>
      <c r="L11000" t="s">
        <v>694</v>
      </c>
      <c r="P11000" t="s">
        <v>983</v>
      </c>
      <c r="V11000">
        <v>47</v>
      </c>
    </row>
    <row r="11001" spans="1:22" customFormat="1" ht="15" x14ac:dyDescent="0.25">
      <c r="A11001" t="s">
        <v>297</v>
      </c>
      <c r="E11001" s="1508" t="s">
        <v>175</v>
      </c>
      <c r="F11001" s="1508"/>
      <c r="G11001" s="617" t="s">
        <v>845</v>
      </c>
      <c r="H11001" s="577">
        <v>7.1000000000000004E-3</v>
      </c>
      <c r="K11001" t="s">
        <v>972</v>
      </c>
      <c r="L11001" t="s">
        <v>694</v>
      </c>
      <c r="P11001" t="s">
        <v>984</v>
      </c>
      <c r="V11001">
        <v>74</v>
      </c>
    </row>
    <row r="11002" spans="1:22" customFormat="1" ht="15" x14ac:dyDescent="0.25">
      <c r="A11002" t="s">
        <v>297</v>
      </c>
      <c r="E11002" s="1523" t="s">
        <v>967</v>
      </c>
      <c r="F11002" s="1522"/>
      <c r="G11002" s="617"/>
      <c r="H11002" s="617"/>
      <c r="K11002" t="s">
        <v>985</v>
      </c>
      <c r="V11002">
        <v>48</v>
      </c>
    </row>
    <row r="11003" spans="1:22" customFormat="1" ht="15" x14ac:dyDescent="0.25">
      <c r="A11003" t="s">
        <v>297</v>
      </c>
      <c r="E11003" s="1508" t="s">
        <v>844</v>
      </c>
      <c r="F11003" s="1508"/>
      <c r="G11003" s="617" t="s">
        <v>845</v>
      </c>
      <c r="H11003" s="485">
        <v>4.1000000000000003E-3</v>
      </c>
      <c r="K11003" t="s">
        <v>972</v>
      </c>
      <c r="L11003" t="s">
        <v>968</v>
      </c>
      <c r="P11003" t="s">
        <v>986</v>
      </c>
      <c r="V11003">
        <v>55</v>
      </c>
    </row>
    <row r="11004" spans="1:22" customFormat="1" ht="15" x14ac:dyDescent="0.25">
      <c r="A11004" t="s">
        <v>297</v>
      </c>
      <c r="E11004" s="1508" t="s">
        <v>846</v>
      </c>
      <c r="F11004" s="1508"/>
      <c r="G11004" s="617" t="s">
        <v>845</v>
      </c>
      <c r="H11004" s="485">
        <v>4.0000000000000002E-4</v>
      </c>
      <c r="K11004" t="s">
        <v>972</v>
      </c>
      <c r="L11004" t="s">
        <v>968</v>
      </c>
      <c r="P11004" t="s">
        <v>986</v>
      </c>
      <c r="V11004">
        <v>65</v>
      </c>
    </row>
    <row r="11005" spans="1:22" customFormat="1" ht="15" x14ac:dyDescent="0.25">
      <c r="A11005" t="s">
        <v>297</v>
      </c>
      <c r="E11005" s="1508" t="s">
        <v>847</v>
      </c>
      <c r="F11005" s="1508"/>
      <c r="G11005" s="617" t="s">
        <v>845</v>
      </c>
      <c r="H11005" s="485">
        <v>1.5E-3</v>
      </c>
      <c r="K11005" t="s">
        <v>972</v>
      </c>
      <c r="L11005" t="s">
        <v>968</v>
      </c>
      <c r="P11005" t="s">
        <v>987</v>
      </c>
      <c r="V11005">
        <v>57</v>
      </c>
    </row>
    <row r="11006" spans="1:22" customFormat="1" ht="15" x14ac:dyDescent="0.25">
      <c r="A11006" t="s">
        <v>297</v>
      </c>
      <c r="E11006" s="1508" t="s">
        <v>848</v>
      </c>
      <c r="F11006" s="1508"/>
      <c r="G11006" s="617" t="s">
        <v>777</v>
      </c>
      <c r="H11006" s="484">
        <v>0.25</v>
      </c>
      <c r="K11006" t="s">
        <v>972</v>
      </c>
      <c r="L11006" t="s">
        <v>968</v>
      </c>
      <c r="P11006" t="s">
        <v>988</v>
      </c>
      <c r="V11006">
        <v>63</v>
      </c>
    </row>
    <row r="11007" spans="1:22" customFormat="1" x14ac:dyDescent="0.25">
      <c r="A11007" t="s">
        <v>297</v>
      </c>
      <c r="E11007" s="1642" t="s">
        <v>3767</v>
      </c>
      <c r="F11007" s="1642"/>
      <c r="G11007" s="1642"/>
      <c r="H11007" s="1642"/>
      <c r="K11007" t="s">
        <v>3768</v>
      </c>
      <c r="V11007">
        <v>53</v>
      </c>
    </row>
    <row r="11008" spans="1:22" customFormat="1" ht="15" x14ac:dyDescent="0.25">
      <c r="A11008" t="s">
        <v>297</v>
      </c>
      <c r="E11008" s="1518" t="s">
        <v>5589</v>
      </c>
      <c r="F11008" s="1518"/>
      <c r="G11008" s="1518"/>
      <c r="H11008" s="1518"/>
      <c r="K11008" t="s">
        <v>3768</v>
      </c>
      <c r="V11008">
        <v>854</v>
      </c>
    </row>
    <row r="11009" spans="1:22" customFormat="1" ht="15" x14ac:dyDescent="0.25">
      <c r="A11009" t="s">
        <v>297</v>
      </c>
      <c r="E11009" s="1520" t="s">
        <v>950</v>
      </c>
      <c r="F11009" s="1521"/>
      <c r="G11009" s="1521"/>
      <c r="H11009" s="1521"/>
      <c r="K11009" t="s">
        <v>992</v>
      </c>
      <c r="V11009">
        <v>11</v>
      </c>
    </row>
    <row r="11010" spans="1:22" customFormat="1" ht="15" x14ac:dyDescent="0.25">
      <c r="A11010" t="s">
        <v>297</v>
      </c>
      <c r="E11010" s="1518" t="s">
        <v>5588</v>
      </c>
      <c r="F11010" s="1518"/>
      <c r="G11010" s="1518"/>
      <c r="H11010" s="1518"/>
      <c r="K11010" t="s">
        <v>3768</v>
      </c>
      <c r="V11010">
        <v>281</v>
      </c>
    </row>
    <row r="11011" spans="1:22" customFormat="1" ht="15" x14ac:dyDescent="0.25">
      <c r="A11011" t="s">
        <v>297</v>
      </c>
      <c r="E11011" s="1518" t="s">
        <v>952</v>
      </c>
      <c r="F11011" s="1518"/>
      <c r="G11011" s="1518"/>
      <c r="H11011" s="1518"/>
      <c r="K11011" t="s">
        <v>3768</v>
      </c>
      <c r="V11011">
        <v>411</v>
      </c>
    </row>
    <row r="11012" spans="1:22" customFormat="1" ht="15" x14ac:dyDescent="0.25">
      <c r="A11012" t="s">
        <v>297</v>
      </c>
      <c r="E11012" s="1518" t="s">
        <v>4814</v>
      </c>
      <c r="F11012" s="1518"/>
      <c r="G11012" s="1518"/>
      <c r="H11012" s="1518"/>
      <c r="K11012" t="s">
        <v>3768</v>
      </c>
      <c r="V11012">
        <v>385</v>
      </c>
    </row>
    <row r="11013" spans="1:22" customFormat="1" ht="15" x14ac:dyDescent="0.25">
      <c r="A11013" t="s">
        <v>297</v>
      </c>
      <c r="E11013" s="1516" t="s">
        <v>4741</v>
      </c>
      <c r="F11013" s="1516"/>
      <c r="G11013" s="1516"/>
      <c r="H11013" s="1516"/>
      <c r="K11013" t="s">
        <v>3768</v>
      </c>
      <c r="V11013">
        <v>684</v>
      </c>
    </row>
    <row r="11014" spans="1:22" customFormat="1" ht="15" x14ac:dyDescent="0.25">
      <c r="A11014" t="s">
        <v>297</v>
      </c>
      <c r="E11014" s="1516" t="s">
        <v>3771</v>
      </c>
      <c r="F11014" s="1516"/>
      <c r="G11014" s="1516"/>
      <c r="H11014" s="1516"/>
      <c r="K11014" t="s">
        <v>3768</v>
      </c>
      <c r="V11014">
        <v>677</v>
      </c>
    </row>
    <row r="11015" spans="1:22" customFormat="1" ht="15" x14ac:dyDescent="0.25">
      <c r="A11015" t="s">
        <v>297</v>
      </c>
      <c r="E11015" s="1518" t="s">
        <v>954</v>
      </c>
      <c r="F11015" s="1518"/>
      <c r="G11015" s="1518"/>
      <c r="H11015" s="1518"/>
      <c r="K11015" t="s">
        <v>3768</v>
      </c>
      <c r="V11015">
        <v>246</v>
      </c>
    </row>
    <row r="11016" spans="1:22" customFormat="1" ht="15" x14ac:dyDescent="0.25">
      <c r="A11016" t="s">
        <v>297</v>
      </c>
      <c r="E11016" s="1520" t="s">
        <v>956</v>
      </c>
      <c r="F11016" s="1521"/>
      <c r="G11016" s="1521"/>
      <c r="H11016" s="1521"/>
      <c r="K11016" t="s">
        <v>995</v>
      </c>
      <c r="V11016">
        <v>46</v>
      </c>
    </row>
    <row r="11017" spans="1:22" customFormat="1" ht="15" x14ac:dyDescent="0.25">
      <c r="A11017" t="s">
        <v>297</v>
      </c>
      <c r="E11017" s="1508" t="s">
        <v>3773</v>
      </c>
      <c r="F11017" s="1508"/>
      <c r="G11017" s="617" t="s">
        <v>777</v>
      </c>
      <c r="H11017" s="576">
        <v>100.44</v>
      </c>
      <c r="K11017" t="s">
        <v>3768</v>
      </c>
      <c r="L11017" t="s">
        <v>690</v>
      </c>
      <c r="P11017" t="s">
        <v>3774</v>
      </c>
      <c r="V11017">
        <v>14</v>
      </c>
    </row>
    <row r="11018" spans="1:22" customFormat="1" ht="15" x14ac:dyDescent="0.25">
      <c r="A11018" t="s">
        <v>297</v>
      </c>
      <c r="E11018" s="1508" t="s">
        <v>3688</v>
      </c>
      <c r="F11018" s="1508"/>
      <c r="G11018" s="617" t="s">
        <v>3775</v>
      </c>
      <c r="H11018" s="577">
        <v>3.8441000000000001</v>
      </c>
      <c r="K11018" t="s">
        <v>3768</v>
      </c>
      <c r="L11018" t="s">
        <v>690</v>
      </c>
      <c r="P11018" t="s">
        <v>3776</v>
      </c>
      <c r="V11018">
        <v>28</v>
      </c>
    </row>
    <row r="11019" spans="1:22" customFormat="1" ht="15" x14ac:dyDescent="0.25">
      <c r="A11019" t="s">
        <v>297</v>
      </c>
      <c r="E11019" s="1508" t="s">
        <v>910</v>
      </c>
      <c r="F11019" s="1508"/>
      <c r="G11019" s="617" t="s">
        <v>3775</v>
      </c>
      <c r="H11019" s="619">
        <v>1.0829</v>
      </c>
      <c r="K11019" t="s">
        <v>3768</v>
      </c>
      <c r="L11019" t="s">
        <v>692</v>
      </c>
      <c r="P11019" t="s">
        <v>3777</v>
      </c>
      <c r="V11019">
        <v>24</v>
      </c>
    </row>
    <row r="11020" spans="1:22" customFormat="1" ht="15" x14ac:dyDescent="0.25">
      <c r="A11020" t="s">
        <v>297</v>
      </c>
      <c r="E11020" s="1508" t="s">
        <v>6849</v>
      </c>
      <c r="F11020" s="1510"/>
      <c r="G11020" s="617" t="s">
        <v>845</v>
      </c>
      <c r="H11020" s="619">
        <v>4.1999999999999997E-3</v>
      </c>
      <c r="K11020" t="s">
        <v>3768</v>
      </c>
      <c r="L11020" t="s">
        <v>692</v>
      </c>
      <c r="P11020" t="s">
        <v>4232</v>
      </c>
      <c r="T11020">
        <v>46142</v>
      </c>
      <c r="V11020">
        <v>139</v>
      </c>
    </row>
    <row r="11021" spans="1:22" customFormat="1" ht="15" x14ac:dyDescent="0.25">
      <c r="A11021" t="s">
        <v>297</v>
      </c>
      <c r="E11021" s="1508" t="s">
        <v>6959</v>
      </c>
      <c r="F11021" s="1510"/>
      <c r="G11021" s="617" t="s">
        <v>3775</v>
      </c>
      <c r="H11021" s="619">
        <v>4.5600000000000002E-2</v>
      </c>
      <c r="K11021" t="s">
        <v>3768</v>
      </c>
      <c r="L11021" t="s">
        <v>690</v>
      </c>
      <c r="P11021" t="s">
        <v>4233</v>
      </c>
      <c r="T11021">
        <v>46142</v>
      </c>
      <c r="V11021">
        <v>136</v>
      </c>
    </row>
    <row r="11022" spans="1:22" customFormat="1" ht="15" x14ac:dyDescent="0.25">
      <c r="A11022" t="s">
        <v>297</v>
      </c>
      <c r="E11022" s="1508" t="s">
        <v>6850</v>
      </c>
      <c r="F11022" s="1510"/>
      <c r="G11022" s="617" t="s">
        <v>3775</v>
      </c>
      <c r="H11022" s="619">
        <v>0.6643</v>
      </c>
      <c r="K11022" t="s">
        <v>3768</v>
      </c>
      <c r="L11022" t="s">
        <v>692</v>
      </c>
      <c r="P11022" t="s">
        <v>3779</v>
      </c>
      <c r="T11022">
        <v>46142</v>
      </c>
      <c r="V11022">
        <v>96</v>
      </c>
    </row>
    <row r="11023" spans="1:22" customFormat="1" ht="15" x14ac:dyDescent="0.25">
      <c r="A11023" t="s">
        <v>297</v>
      </c>
      <c r="E11023" s="1508" t="s">
        <v>6962</v>
      </c>
      <c r="F11023" s="1507"/>
      <c r="G11023" s="617" t="s">
        <v>845</v>
      </c>
      <c r="H11023" s="619">
        <v>-1.3299999999999999E-2</v>
      </c>
      <c r="K11023" t="s">
        <v>3768</v>
      </c>
      <c r="L11023" t="s">
        <v>692</v>
      </c>
      <c r="P11023" t="s">
        <v>4232</v>
      </c>
      <c r="V11023">
        <v>139</v>
      </c>
    </row>
    <row r="11024" spans="1:22" customFormat="1" ht="15" x14ac:dyDescent="0.25">
      <c r="A11024" t="s">
        <v>297</v>
      </c>
      <c r="E11024" s="1508" t="s">
        <v>6960</v>
      </c>
      <c r="F11024" s="1507"/>
      <c r="G11024" s="617" t="s">
        <v>3775</v>
      </c>
      <c r="H11024" s="619">
        <v>-0.94189999999999996</v>
      </c>
      <c r="K11024" t="s">
        <v>3768</v>
      </c>
      <c r="L11024" t="s">
        <v>692</v>
      </c>
      <c r="P11024" t="s">
        <v>3779</v>
      </c>
      <c r="V11024">
        <v>97</v>
      </c>
    </row>
    <row r="11025" spans="1:22" customFormat="1" ht="15" x14ac:dyDescent="0.25">
      <c r="A11025" t="s">
        <v>297</v>
      </c>
      <c r="E11025" s="1508" t="s">
        <v>6957</v>
      </c>
      <c r="F11025" s="1507"/>
      <c r="G11025" s="617" t="s">
        <v>845</v>
      </c>
      <c r="H11025" s="619">
        <v>-1.0699999999999999E-2</v>
      </c>
      <c r="K11025" t="s">
        <v>3768</v>
      </c>
      <c r="L11025" t="s">
        <v>692</v>
      </c>
      <c r="P11025" t="s">
        <v>6963</v>
      </c>
      <c r="T11025">
        <v>46142</v>
      </c>
      <c r="V11025">
        <v>71</v>
      </c>
    </row>
    <row r="11026" spans="1:22" customFormat="1" ht="15" x14ac:dyDescent="0.25">
      <c r="A11026" t="s">
        <v>297</v>
      </c>
      <c r="E11026" s="1508" t="s">
        <v>243</v>
      </c>
      <c r="F11026" s="1507"/>
      <c r="G11026" s="617" t="s">
        <v>3775</v>
      </c>
      <c r="H11026" s="577">
        <v>3.6956000000000002</v>
      </c>
      <c r="K11026" t="s">
        <v>3768</v>
      </c>
      <c r="L11026" t="s">
        <v>694</v>
      </c>
      <c r="P11026" t="s">
        <v>3780</v>
      </c>
      <c r="V11026">
        <v>47</v>
      </c>
    </row>
    <row r="11027" spans="1:22" customFormat="1" ht="15" x14ac:dyDescent="0.25">
      <c r="A11027" t="s">
        <v>297</v>
      </c>
      <c r="E11027" s="1508" t="s">
        <v>175</v>
      </c>
      <c r="F11027" s="1507"/>
      <c r="G11027" s="617" t="s">
        <v>3775</v>
      </c>
      <c r="H11027" s="577">
        <v>2.8616999999999999</v>
      </c>
      <c r="K11027" t="s">
        <v>3768</v>
      </c>
      <c r="L11027" t="s">
        <v>694</v>
      </c>
      <c r="P11027" t="s">
        <v>3781</v>
      </c>
      <c r="V11027">
        <v>74</v>
      </c>
    </row>
    <row r="11028" spans="1:22" customFormat="1" ht="15" x14ac:dyDescent="0.25">
      <c r="A11028" t="s">
        <v>297</v>
      </c>
      <c r="E11028" s="1523" t="s">
        <v>967</v>
      </c>
      <c r="F11028" s="1522"/>
      <c r="G11028" s="617"/>
      <c r="H11028" s="617"/>
      <c r="K11028" t="s">
        <v>1003</v>
      </c>
      <c r="V11028">
        <v>48</v>
      </c>
    </row>
    <row r="11029" spans="1:22" customFormat="1" ht="15" x14ac:dyDescent="0.25">
      <c r="A11029" t="s">
        <v>297</v>
      </c>
      <c r="E11029" s="1508" t="s">
        <v>844</v>
      </c>
      <c r="F11029" s="1507"/>
      <c r="G11029" s="617" t="s">
        <v>845</v>
      </c>
      <c r="H11029" s="619">
        <v>4.1000000000000003E-3</v>
      </c>
      <c r="K11029" t="s">
        <v>3768</v>
      </c>
      <c r="L11029" t="s">
        <v>968</v>
      </c>
      <c r="P11029" t="s">
        <v>3782</v>
      </c>
      <c r="V11029">
        <v>55</v>
      </c>
    </row>
    <row r="11030" spans="1:22" customFormat="1" ht="15" x14ac:dyDescent="0.25">
      <c r="A11030" t="s">
        <v>297</v>
      </c>
      <c r="E11030" s="1508" t="s">
        <v>846</v>
      </c>
      <c r="F11030" s="1507"/>
      <c r="G11030" s="617" t="s">
        <v>845</v>
      </c>
      <c r="H11030" s="619">
        <v>4.0000000000000002E-4</v>
      </c>
      <c r="K11030" t="s">
        <v>3768</v>
      </c>
      <c r="L11030" t="s">
        <v>968</v>
      </c>
      <c r="P11030" t="s">
        <v>3782</v>
      </c>
      <c r="V11030">
        <v>65</v>
      </c>
    </row>
    <row r="11031" spans="1:22" customFormat="1" ht="15" x14ac:dyDescent="0.25">
      <c r="A11031" t="s">
        <v>297</v>
      </c>
      <c r="E11031" s="1508" t="s">
        <v>847</v>
      </c>
      <c r="F11031" s="1507"/>
      <c r="G11031" s="617" t="s">
        <v>845</v>
      </c>
      <c r="H11031" s="619">
        <v>1.5E-3</v>
      </c>
      <c r="K11031" t="s">
        <v>3768</v>
      </c>
      <c r="L11031" t="s">
        <v>968</v>
      </c>
      <c r="P11031" t="s">
        <v>3783</v>
      </c>
      <c r="V11031">
        <v>57</v>
      </c>
    </row>
    <row r="11032" spans="1:22" customFormat="1" ht="15" x14ac:dyDescent="0.25">
      <c r="A11032" t="s">
        <v>297</v>
      </c>
      <c r="E11032" s="1508" t="s">
        <v>848</v>
      </c>
      <c r="F11032" s="1508"/>
      <c r="G11032" s="617" t="s">
        <v>777</v>
      </c>
      <c r="H11032" s="484">
        <v>0.25</v>
      </c>
      <c r="K11032" t="s">
        <v>3768</v>
      </c>
      <c r="L11032" t="s">
        <v>968</v>
      </c>
      <c r="P11032" t="s">
        <v>3784</v>
      </c>
      <c r="V11032">
        <v>63</v>
      </c>
    </row>
    <row r="11033" spans="1:22" customFormat="1" x14ac:dyDescent="0.25">
      <c r="A11033" t="s">
        <v>297</v>
      </c>
      <c r="E11033" s="1642" t="s">
        <v>198</v>
      </c>
      <c r="F11033" s="1642"/>
      <c r="G11033" s="1642"/>
      <c r="H11033" s="1643"/>
      <c r="K11033" t="s">
        <v>4607</v>
      </c>
      <c r="V11033">
        <v>40</v>
      </c>
    </row>
    <row r="11034" spans="1:22" customFormat="1" ht="15" x14ac:dyDescent="0.25">
      <c r="A11034" t="s">
        <v>297</v>
      </c>
      <c r="E11034" s="1518" t="s">
        <v>5590</v>
      </c>
      <c r="F11034" s="1518"/>
      <c r="G11034" s="1518"/>
      <c r="H11034" s="1519"/>
      <c r="K11034" t="s">
        <v>4607</v>
      </c>
      <c r="V11034">
        <v>323</v>
      </c>
    </row>
    <row r="11035" spans="1:22" customFormat="1" ht="15" x14ac:dyDescent="0.25">
      <c r="A11035" t="s">
        <v>297</v>
      </c>
      <c r="E11035" s="1520" t="s">
        <v>950</v>
      </c>
      <c r="F11035" s="1521"/>
      <c r="G11035" s="1521"/>
      <c r="H11035" s="1521"/>
      <c r="K11035" t="s">
        <v>1010</v>
      </c>
      <c r="V11035">
        <v>11</v>
      </c>
    </row>
    <row r="11036" spans="1:22" customFormat="1" ht="15" x14ac:dyDescent="0.25">
      <c r="A11036" t="s">
        <v>297</v>
      </c>
      <c r="E11036" s="1518" t="s">
        <v>5588</v>
      </c>
      <c r="F11036" s="1518"/>
      <c r="G11036" s="1518"/>
      <c r="H11036" s="1519"/>
      <c r="K11036" t="s">
        <v>4607</v>
      </c>
      <c r="V11036">
        <v>281</v>
      </c>
    </row>
    <row r="11037" spans="1:22" customFormat="1" ht="15" x14ac:dyDescent="0.25">
      <c r="A11037" t="s">
        <v>297</v>
      </c>
      <c r="E11037" s="1518" t="s">
        <v>952</v>
      </c>
      <c r="F11037" s="1518"/>
      <c r="G11037" s="1518"/>
      <c r="H11037" s="1519"/>
      <c r="K11037" t="s">
        <v>4607</v>
      </c>
      <c r="V11037">
        <v>411</v>
      </c>
    </row>
    <row r="11038" spans="1:22" customFormat="1" ht="15" x14ac:dyDescent="0.25">
      <c r="A11038" t="s">
        <v>297</v>
      </c>
      <c r="E11038" s="1518" t="s">
        <v>4814</v>
      </c>
      <c r="F11038" s="1518"/>
      <c r="G11038" s="1518"/>
      <c r="H11038" s="1519"/>
      <c r="K11038" t="s">
        <v>4607</v>
      </c>
      <c r="V11038">
        <v>385</v>
      </c>
    </row>
    <row r="11039" spans="1:22" customFormat="1" ht="15" x14ac:dyDescent="0.25">
      <c r="A11039" t="s">
        <v>297</v>
      </c>
      <c r="E11039" s="1518" t="s">
        <v>954</v>
      </c>
      <c r="F11039" s="1518"/>
      <c r="G11039" s="1518"/>
      <c r="H11039" s="1519"/>
      <c r="K11039" t="s">
        <v>4607</v>
      </c>
      <c r="V11039">
        <v>246</v>
      </c>
    </row>
    <row r="11040" spans="1:22" customFormat="1" ht="15" x14ac:dyDescent="0.25">
      <c r="A11040" t="s">
        <v>297</v>
      </c>
      <c r="E11040" s="1520" t="s">
        <v>956</v>
      </c>
      <c r="F11040" s="1521"/>
      <c r="G11040" s="1521"/>
      <c r="H11040" s="1521"/>
      <c r="K11040" t="s">
        <v>1011</v>
      </c>
      <c r="V11040">
        <v>46</v>
      </c>
    </row>
    <row r="11041" spans="1:22" customFormat="1" ht="15" x14ac:dyDescent="0.25">
      <c r="A11041" t="s">
        <v>297</v>
      </c>
      <c r="E11041" s="1508" t="s">
        <v>3874</v>
      </c>
      <c r="F11041" s="1508"/>
      <c r="G11041" s="617" t="s">
        <v>777</v>
      </c>
      <c r="H11041" s="576">
        <v>4.21</v>
      </c>
      <c r="K11041" t="s">
        <v>4607</v>
      </c>
      <c r="L11041" t="s">
        <v>690</v>
      </c>
      <c r="P11041" t="s">
        <v>4609</v>
      </c>
      <c r="V11041">
        <v>31</v>
      </c>
    </row>
    <row r="11042" spans="1:22" customFormat="1" ht="15" x14ac:dyDescent="0.25">
      <c r="A11042" t="s">
        <v>297</v>
      </c>
      <c r="E11042" s="1508" t="s">
        <v>3688</v>
      </c>
      <c r="F11042" s="1508"/>
      <c r="G11042" s="617" t="s">
        <v>3775</v>
      </c>
      <c r="H11042" s="577">
        <v>12.966799999999999</v>
      </c>
      <c r="K11042" t="s">
        <v>4607</v>
      </c>
      <c r="L11042" t="s">
        <v>690</v>
      </c>
      <c r="P11042" t="s">
        <v>4610</v>
      </c>
      <c r="V11042">
        <v>28</v>
      </c>
    </row>
    <row r="11043" spans="1:22" customFormat="1" ht="15" x14ac:dyDescent="0.25">
      <c r="A11043" t="s">
        <v>297</v>
      </c>
      <c r="E11043" s="1508" t="s">
        <v>910</v>
      </c>
      <c r="F11043" s="1508"/>
      <c r="G11043" s="617" t="s">
        <v>3775</v>
      </c>
      <c r="H11043" s="485">
        <v>0.85489999999999999</v>
      </c>
      <c r="K11043" t="s">
        <v>4607</v>
      </c>
      <c r="L11043" t="s">
        <v>692</v>
      </c>
      <c r="P11043" t="s">
        <v>5573</v>
      </c>
      <c r="V11043">
        <v>24</v>
      </c>
    </row>
    <row r="11044" spans="1:22" customFormat="1" ht="15" x14ac:dyDescent="0.25">
      <c r="A11044" t="s">
        <v>297</v>
      </c>
      <c r="E11044" s="1508" t="s">
        <v>6849</v>
      </c>
      <c r="F11044" s="1510"/>
      <c r="G11044" s="617" t="s">
        <v>845</v>
      </c>
      <c r="H11044" s="485">
        <v>4.1999999999999997E-3</v>
      </c>
      <c r="K11044" t="s">
        <v>4607</v>
      </c>
      <c r="L11044" t="s">
        <v>692</v>
      </c>
      <c r="P11044" t="s">
        <v>4611</v>
      </c>
      <c r="T11044">
        <v>46142</v>
      </c>
      <c r="V11044">
        <v>139</v>
      </c>
    </row>
    <row r="11045" spans="1:22" customFormat="1" ht="15" x14ac:dyDescent="0.25">
      <c r="A11045" t="s">
        <v>297</v>
      </c>
      <c r="E11045" s="1508" t="s">
        <v>6959</v>
      </c>
      <c r="F11045" s="1510"/>
      <c r="G11045" s="617" t="s">
        <v>3775</v>
      </c>
      <c r="H11045" s="485">
        <v>-0.1037</v>
      </c>
      <c r="K11045" t="s">
        <v>4607</v>
      </c>
      <c r="L11045" t="s">
        <v>690</v>
      </c>
      <c r="P11045" t="s">
        <v>6964</v>
      </c>
      <c r="T11045">
        <v>46142</v>
      </c>
      <c r="V11045">
        <v>136</v>
      </c>
    </row>
    <row r="11046" spans="1:22" customFormat="1" ht="15" x14ac:dyDescent="0.25">
      <c r="A11046" t="s">
        <v>297</v>
      </c>
      <c r="E11046" s="1508" t="s">
        <v>6850</v>
      </c>
      <c r="F11046" s="1510"/>
      <c r="G11046" s="617" t="s">
        <v>3775</v>
      </c>
      <c r="H11046" s="485">
        <v>0.77270000000000005</v>
      </c>
      <c r="K11046" t="s">
        <v>4607</v>
      </c>
      <c r="L11046" t="s">
        <v>692</v>
      </c>
      <c r="P11046" t="s">
        <v>4612</v>
      </c>
      <c r="T11046">
        <v>46142</v>
      </c>
      <c r="V11046">
        <v>96</v>
      </c>
    </row>
    <row r="11047" spans="1:22" customFormat="1" ht="15" x14ac:dyDescent="0.25">
      <c r="A11047" t="s">
        <v>297</v>
      </c>
      <c r="E11047" s="1508" t="s">
        <v>6962</v>
      </c>
      <c r="F11047" s="1507"/>
      <c r="G11047" s="617" t="s">
        <v>845</v>
      </c>
      <c r="H11047" s="485">
        <v>-1.3299999999999999E-2</v>
      </c>
      <c r="K11047" t="s">
        <v>4607</v>
      </c>
      <c r="L11047" t="s">
        <v>692</v>
      </c>
      <c r="P11047" t="s">
        <v>4611</v>
      </c>
      <c r="V11047">
        <v>139</v>
      </c>
    </row>
    <row r="11048" spans="1:22" customFormat="1" ht="15" x14ac:dyDescent="0.25">
      <c r="A11048" t="s">
        <v>297</v>
      </c>
      <c r="E11048" s="1508" t="s">
        <v>6956</v>
      </c>
      <c r="F11048" s="1507"/>
      <c r="G11048" s="617" t="s">
        <v>3775</v>
      </c>
      <c r="H11048" s="485">
        <v>-1.0196000000000001</v>
      </c>
      <c r="K11048" t="s">
        <v>4607</v>
      </c>
      <c r="L11048" t="s">
        <v>692</v>
      </c>
      <c r="P11048" t="s">
        <v>4612</v>
      </c>
      <c r="V11048">
        <v>96</v>
      </c>
    </row>
    <row r="11049" spans="1:22" customFormat="1" ht="15" x14ac:dyDescent="0.25">
      <c r="A11049" t="s">
        <v>297</v>
      </c>
      <c r="E11049" s="1508" t="s">
        <v>6957</v>
      </c>
      <c r="F11049" s="1507"/>
      <c r="G11049" s="617" t="s">
        <v>845</v>
      </c>
      <c r="H11049" s="485">
        <v>-1.0699999999999999E-2</v>
      </c>
      <c r="K11049" t="s">
        <v>4607</v>
      </c>
      <c r="L11049" t="s">
        <v>692</v>
      </c>
      <c r="P11049" t="s">
        <v>6965</v>
      </c>
      <c r="T11049">
        <v>46142</v>
      </c>
      <c r="V11049">
        <v>71</v>
      </c>
    </row>
    <row r="11050" spans="1:22" customFormat="1" ht="15" x14ac:dyDescent="0.25">
      <c r="A11050" t="s">
        <v>297</v>
      </c>
      <c r="E11050" s="1508" t="s">
        <v>243</v>
      </c>
      <c r="F11050" s="1507"/>
      <c r="G11050" s="617" t="s">
        <v>3775</v>
      </c>
      <c r="H11050" s="577">
        <v>2.8010000000000002</v>
      </c>
      <c r="K11050" t="s">
        <v>4607</v>
      </c>
      <c r="L11050" t="s">
        <v>694</v>
      </c>
      <c r="P11050" t="s">
        <v>4614</v>
      </c>
      <c r="V11050">
        <v>47</v>
      </c>
    </row>
    <row r="11051" spans="1:22" customFormat="1" ht="15" x14ac:dyDescent="0.25">
      <c r="A11051" t="s">
        <v>297</v>
      </c>
      <c r="E11051" s="1508" t="s">
        <v>175</v>
      </c>
      <c r="F11051" s="1507"/>
      <c r="G11051" s="617" t="s">
        <v>3775</v>
      </c>
      <c r="H11051" s="577">
        <v>2.2591999999999999</v>
      </c>
      <c r="K11051" t="s">
        <v>4607</v>
      </c>
      <c r="L11051" t="s">
        <v>694</v>
      </c>
      <c r="P11051" t="s">
        <v>4615</v>
      </c>
      <c r="V11051">
        <v>74</v>
      </c>
    </row>
    <row r="11052" spans="1:22" customFormat="1" ht="15" x14ac:dyDescent="0.25">
      <c r="A11052" t="s">
        <v>297</v>
      </c>
      <c r="E11052" s="1523" t="s">
        <v>967</v>
      </c>
      <c r="F11052" s="1522"/>
      <c r="G11052" s="617"/>
      <c r="H11052" s="617"/>
      <c r="K11052" t="s">
        <v>1019</v>
      </c>
      <c r="V11052">
        <v>48</v>
      </c>
    </row>
    <row r="11053" spans="1:22" customFormat="1" ht="15" x14ac:dyDescent="0.25">
      <c r="A11053" t="s">
        <v>297</v>
      </c>
      <c r="E11053" s="1508" t="s">
        <v>844</v>
      </c>
      <c r="F11053" s="1507"/>
      <c r="G11053" s="617" t="s">
        <v>845</v>
      </c>
      <c r="H11053" s="485">
        <v>4.1000000000000003E-3</v>
      </c>
      <c r="K11053" t="s">
        <v>4607</v>
      </c>
      <c r="L11053" t="s">
        <v>968</v>
      </c>
      <c r="P11053" t="s">
        <v>4616</v>
      </c>
      <c r="V11053">
        <v>55</v>
      </c>
    </row>
    <row r="11054" spans="1:22" customFormat="1" ht="15" x14ac:dyDescent="0.25">
      <c r="A11054" t="s">
        <v>297</v>
      </c>
      <c r="E11054" s="1508" t="s">
        <v>846</v>
      </c>
      <c r="F11054" s="1507"/>
      <c r="G11054" s="617" t="s">
        <v>845</v>
      </c>
      <c r="H11054" s="485">
        <v>4.0000000000000002E-4</v>
      </c>
      <c r="K11054" t="s">
        <v>4607</v>
      </c>
      <c r="L11054" t="s">
        <v>968</v>
      </c>
      <c r="P11054" t="s">
        <v>4616</v>
      </c>
      <c r="V11054">
        <v>65</v>
      </c>
    </row>
    <row r="11055" spans="1:22" customFormat="1" ht="15" x14ac:dyDescent="0.25">
      <c r="A11055" t="s">
        <v>297</v>
      </c>
      <c r="E11055" s="1508" t="s">
        <v>847</v>
      </c>
      <c r="F11055" s="1507"/>
      <c r="G11055" s="617" t="s">
        <v>845</v>
      </c>
      <c r="H11055" s="485">
        <v>1.5E-3</v>
      </c>
      <c r="K11055" t="s">
        <v>4607</v>
      </c>
      <c r="L11055" t="s">
        <v>968</v>
      </c>
      <c r="P11055" t="s">
        <v>4617</v>
      </c>
      <c r="V11055">
        <v>57</v>
      </c>
    </row>
    <row r="11056" spans="1:22" customFormat="1" ht="15" x14ac:dyDescent="0.25">
      <c r="A11056" t="s">
        <v>297</v>
      </c>
      <c r="E11056" s="1508" t="s">
        <v>848</v>
      </c>
      <c r="F11056" s="1508"/>
      <c r="G11056" s="617" t="s">
        <v>777</v>
      </c>
      <c r="H11056" s="484">
        <v>0.25</v>
      </c>
      <c r="K11056" t="s">
        <v>4607</v>
      </c>
      <c r="L11056" t="s">
        <v>968</v>
      </c>
      <c r="P11056" t="s">
        <v>4618</v>
      </c>
      <c r="V11056">
        <v>63</v>
      </c>
    </row>
    <row r="11057" spans="1:22" customFormat="1" x14ac:dyDescent="0.25">
      <c r="A11057" t="s">
        <v>297</v>
      </c>
      <c r="E11057" s="1642" t="s">
        <v>202</v>
      </c>
      <c r="F11057" s="1642"/>
      <c r="G11057" s="1642"/>
      <c r="H11057" s="1643"/>
      <c r="K11057" t="s">
        <v>4447</v>
      </c>
      <c r="V11057">
        <v>38</v>
      </c>
    </row>
    <row r="11058" spans="1:22" customFormat="1" ht="15" x14ac:dyDescent="0.25">
      <c r="A11058" t="s">
        <v>297</v>
      </c>
      <c r="E11058" s="1518" t="s">
        <v>5591</v>
      </c>
      <c r="F11058" s="1518"/>
      <c r="G11058" s="1518"/>
      <c r="H11058" s="1519"/>
      <c r="K11058" t="s">
        <v>4447</v>
      </c>
      <c r="V11058">
        <v>474</v>
      </c>
    </row>
    <row r="11059" spans="1:22" customFormat="1" ht="15" x14ac:dyDescent="0.25">
      <c r="A11059" t="s">
        <v>297</v>
      </c>
      <c r="E11059" s="1520" t="s">
        <v>950</v>
      </c>
      <c r="F11059" s="1521"/>
      <c r="G11059" s="1521"/>
      <c r="H11059" s="1521"/>
      <c r="K11059" t="s">
        <v>1025</v>
      </c>
      <c r="V11059">
        <v>11</v>
      </c>
    </row>
    <row r="11060" spans="1:22" customFormat="1" ht="15" x14ac:dyDescent="0.25">
      <c r="A11060" t="s">
        <v>297</v>
      </c>
      <c r="E11060" s="1518" t="s">
        <v>5592</v>
      </c>
      <c r="F11060" s="1518"/>
      <c r="G11060" s="1518"/>
      <c r="H11060" s="1519"/>
      <c r="K11060" t="s">
        <v>4447</v>
      </c>
      <c r="V11060">
        <v>265</v>
      </c>
    </row>
    <row r="11061" spans="1:22" customFormat="1" ht="15" x14ac:dyDescent="0.25">
      <c r="A11061" t="s">
        <v>297</v>
      </c>
      <c r="E11061" s="1518" t="s">
        <v>952</v>
      </c>
      <c r="F11061" s="1518"/>
      <c r="G11061" s="1518"/>
      <c r="H11061" s="1519"/>
      <c r="K11061" t="s">
        <v>4447</v>
      </c>
      <c r="V11061">
        <v>411</v>
      </c>
    </row>
    <row r="11062" spans="1:22" customFormat="1" ht="15" x14ac:dyDescent="0.25">
      <c r="A11062" t="s">
        <v>297</v>
      </c>
      <c r="E11062" s="1518" t="s">
        <v>4814</v>
      </c>
      <c r="F11062" s="1518"/>
      <c r="G11062" s="1518"/>
      <c r="H11062" s="1519"/>
      <c r="K11062" t="s">
        <v>4447</v>
      </c>
      <c r="V11062">
        <v>385</v>
      </c>
    </row>
    <row r="11063" spans="1:22" customFormat="1" ht="15" x14ac:dyDescent="0.25">
      <c r="A11063" t="s">
        <v>297</v>
      </c>
      <c r="E11063" s="1518" t="s">
        <v>5520</v>
      </c>
      <c r="F11063" s="1518"/>
      <c r="G11063" s="1518"/>
      <c r="H11063" s="1519"/>
      <c r="K11063" t="s">
        <v>4447</v>
      </c>
      <c r="V11063">
        <v>231</v>
      </c>
    </row>
    <row r="11064" spans="1:22" customFormat="1" ht="15" x14ac:dyDescent="0.25">
      <c r="A11064" t="s">
        <v>297</v>
      </c>
      <c r="E11064" s="1520" t="s">
        <v>956</v>
      </c>
      <c r="F11064" s="1521"/>
      <c r="G11064" s="1521"/>
      <c r="H11064" s="1521"/>
      <c r="K11064" t="s">
        <v>1026</v>
      </c>
      <c r="V11064">
        <v>46</v>
      </c>
    </row>
    <row r="11065" spans="1:22" customFormat="1" ht="15" x14ac:dyDescent="0.25">
      <c r="A11065" t="s">
        <v>297</v>
      </c>
      <c r="E11065" s="1508" t="s">
        <v>3874</v>
      </c>
      <c r="F11065" s="1508"/>
      <c r="G11065" s="617" t="s">
        <v>777</v>
      </c>
      <c r="H11065" s="576">
        <v>2.87</v>
      </c>
      <c r="K11065" t="s">
        <v>4447</v>
      </c>
      <c r="L11065" t="s">
        <v>690</v>
      </c>
      <c r="P11065" t="s">
        <v>4450</v>
      </c>
      <c r="V11065">
        <v>31</v>
      </c>
    </row>
    <row r="11066" spans="1:22" customFormat="1" ht="15" x14ac:dyDescent="0.25">
      <c r="A11066" t="s">
        <v>297</v>
      </c>
      <c r="E11066" s="1508" t="s">
        <v>3688</v>
      </c>
      <c r="F11066" s="1508"/>
      <c r="G11066" s="617" t="s">
        <v>3775</v>
      </c>
      <c r="H11066" s="577">
        <v>15.7326</v>
      </c>
      <c r="K11066" t="s">
        <v>4447</v>
      </c>
      <c r="L11066" t="s">
        <v>690</v>
      </c>
      <c r="P11066" t="s">
        <v>4451</v>
      </c>
      <c r="V11066">
        <v>28</v>
      </c>
    </row>
    <row r="11067" spans="1:22" customFormat="1" ht="15" x14ac:dyDescent="0.25">
      <c r="A11067" t="s">
        <v>297</v>
      </c>
      <c r="E11067" s="1508" t="s">
        <v>910</v>
      </c>
      <c r="F11067" s="1508"/>
      <c r="G11067" s="617" t="s">
        <v>3775</v>
      </c>
      <c r="H11067" s="485">
        <v>0.83720000000000006</v>
      </c>
      <c r="K11067" t="s">
        <v>4447</v>
      </c>
      <c r="L11067" t="s">
        <v>692</v>
      </c>
      <c r="P11067" t="s">
        <v>4484</v>
      </c>
      <c r="V11067">
        <v>24</v>
      </c>
    </row>
    <row r="11068" spans="1:22" customFormat="1" ht="15" x14ac:dyDescent="0.25">
      <c r="A11068" t="s">
        <v>297</v>
      </c>
      <c r="E11068" s="1508" t="s">
        <v>6849</v>
      </c>
      <c r="F11068" s="1510"/>
      <c r="G11068" s="617" t="s">
        <v>845</v>
      </c>
      <c r="H11068" s="485">
        <v>4.1999999999999997E-3</v>
      </c>
      <c r="K11068" t="s">
        <v>4447</v>
      </c>
      <c r="L11068" t="s">
        <v>692</v>
      </c>
      <c r="P11068" t="s">
        <v>4452</v>
      </c>
      <c r="T11068">
        <v>46142</v>
      </c>
      <c r="V11068">
        <v>139</v>
      </c>
    </row>
    <row r="11069" spans="1:22" customFormat="1" ht="15" x14ac:dyDescent="0.25">
      <c r="A11069" t="s">
        <v>297</v>
      </c>
      <c r="E11069" s="1508" t="s">
        <v>6850</v>
      </c>
      <c r="F11069" s="1510"/>
      <c r="G11069" s="617" t="s">
        <v>3775</v>
      </c>
      <c r="H11069" s="485">
        <v>0.75609999999999999</v>
      </c>
      <c r="K11069" t="s">
        <v>4447</v>
      </c>
      <c r="L11069" t="s">
        <v>692</v>
      </c>
      <c r="P11069" t="s">
        <v>4453</v>
      </c>
      <c r="T11069">
        <v>46142</v>
      </c>
      <c r="V11069">
        <v>96</v>
      </c>
    </row>
    <row r="11070" spans="1:22" customFormat="1" ht="15" x14ac:dyDescent="0.25">
      <c r="A11070" t="s">
        <v>297</v>
      </c>
      <c r="E11070" s="1508" t="s">
        <v>6962</v>
      </c>
      <c r="F11070" s="1507"/>
      <c r="G11070" s="617" t="s">
        <v>845</v>
      </c>
      <c r="H11070" s="485">
        <v>-1.3299999999999999E-2</v>
      </c>
      <c r="K11070" t="s">
        <v>4447</v>
      </c>
      <c r="L11070" t="s">
        <v>692</v>
      </c>
      <c r="P11070" t="s">
        <v>4452</v>
      </c>
      <c r="V11070">
        <v>139</v>
      </c>
    </row>
    <row r="11071" spans="1:22" customFormat="1" ht="15" x14ac:dyDescent="0.25">
      <c r="A11071" t="s">
        <v>297</v>
      </c>
      <c r="E11071" s="1508" t="s">
        <v>6960</v>
      </c>
      <c r="F11071" s="1507"/>
      <c r="G11071" s="617" t="s">
        <v>3775</v>
      </c>
      <c r="H11071" s="485">
        <v>-1.2030000000000001</v>
      </c>
      <c r="K11071" t="s">
        <v>4447</v>
      </c>
      <c r="L11071" t="s">
        <v>692</v>
      </c>
      <c r="P11071" t="s">
        <v>4453</v>
      </c>
      <c r="V11071">
        <v>97</v>
      </c>
    </row>
    <row r="11072" spans="1:22" customFormat="1" ht="15" x14ac:dyDescent="0.25">
      <c r="A11072" t="s">
        <v>297</v>
      </c>
      <c r="E11072" s="1508" t="s">
        <v>6957</v>
      </c>
      <c r="F11072" s="1507"/>
      <c r="G11072" s="617" t="s">
        <v>845</v>
      </c>
      <c r="H11072" s="485">
        <v>-1.0699999999999999E-2</v>
      </c>
      <c r="K11072" t="s">
        <v>4447</v>
      </c>
      <c r="L11072" t="s">
        <v>692</v>
      </c>
      <c r="P11072" t="s">
        <v>6966</v>
      </c>
      <c r="T11072">
        <v>46142</v>
      </c>
      <c r="V11072">
        <v>71</v>
      </c>
    </row>
    <row r="11073" spans="1:22" customFormat="1" ht="15" x14ac:dyDescent="0.25">
      <c r="A11073" t="s">
        <v>297</v>
      </c>
      <c r="E11073" s="1508" t="s">
        <v>243</v>
      </c>
      <c r="F11073" s="1507"/>
      <c r="G11073" s="617" t="s">
        <v>3775</v>
      </c>
      <c r="H11073" s="577">
        <v>2.7871999999999999</v>
      </c>
      <c r="K11073" t="s">
        <v>4447</v>
      </c>
      <c r="L11073" t="s">
        <v>694</v>
      </c>
      <c r="P11073" t="s">
        <v>4456</v>
      </c>
      <c r="V11073">
        <v>47</v>
      </c>
    </row>
    <row r="11074" spans="1:22" customFormat="1" ht="15" x14ac:dyDescent="0.25">
      <c r="A11074" t="s">
        <v>297</v>
      </c>
      <c r="E11074" s="1508" t="s">
        <v>175</v>
      </c>
      <c r="F11074" s="1507"/>
      <c r="G11074" s="617" t="s">
        <v>3775</v>
      </c>
      <c r="H11074" s="577">
        <v>2.2126000000000001</v>
      </c>
      <c r="K11074" t="s">
        <v>4447</v>
      </c>
      <c r="L11074" t="s">
        <v>694</v>
      </c>
      <c r="P11074" t="s">
        <v>4485</v>
      </c>
      <c r="V11074">
        <v>74</v>
      </c>
    </row>
    <row r="11075" spans="1:22" customFormat="1" ht="15" x14ac:dyDescent="0.25">
      <c r="A11075" t="s">
        <v>297</v>
      </c>
      <c r="E11075" s="1523" t="s">
        <v>967</v>
      </c>
      <c r="F11075" s="1522"/>
      <c r="G11075" s="617"/>
      <c r="H11075" s="617"/>
      <c r="K11075" t="s">
        <v>1035</v>
      </c>
      <c r="V11075">
        <v>48</v>
      </c>
    </row>
    <row r="11076" spans="1:22" customFormat="1" ht="15" x14ac:dyDescent="0.25">
      <c r="A11076" t="s">
        <v>297</v>
      </c>
      <c r="E11076" s="1508" t="s">
        <v>844</v>
      </c>
      <c r="F11076" s="1507"/>
      <c r="G11076" s="617" t="s">
        <v>845</v>
      </c>
      <c r="H11076" s="485">
        <v>4.1000000000000003E-3</v>
      </c>
      <c r="K11076" t="s">
        <v>4447</v>
      </c>
      <c r="L11076" t="s">
        <v>968</v>
      </c>
      <c r="P11076" t="s">
        <v>4458</v>
      </c>
      <c r="V11076">
        <v>55</v>
      </c>
    </row>
    <row r="11077" spans="1:22" customFormat="1" ht="15" x14ac:dyDescent="0.25">
      <c r="A11077" t="s">
        <v>297</v>
      </c>
      <c r="E11077" s="1508" t="s">
        <v>846</v>
      </c>
      <c r="F11077" s="1507"/>
      <c r="G11077" s="617" t="s">
        <v>845</v>
      </c>
      <c r="H11077" s="485">
        <v>4.0000000000000002E-4</v>
      </c>
      <c r="K11077" t="s">
        <v>4447</v>
      </c>
      <c r="L11077" t="s">
        <v>968</v>
      </c>
      <c r="P11077" t="s">
        <v>4458</v>
      </c>
      <c r="V11077">
        <v>65</v>
      </c>
    </row>
    <row r="11078" spans="1:22" customFormat="1" ht="15" x14ac:dyDescent="0.25">
      <c r="A11078" t="s">
        <v>297</v>
      </c>
      <c r="E11078" s="1508" t="s">
        <v>847</v>
      </c>
      <c r="F11078" s="1507"/>
      <c r="G11078" s="617" t="s">
        <v>845</v>
      </c>
      <c r="H11078" s="485">
        <v>1.5E-3</v>
      </c>
      <c r="K11078" t="s">
        <v>4447</v>
      </c>
      <c r="L11078" t="s">
        <v>968</v>
      </c>
      <c r="P11078" t="s">
        <v>4459</v>
      </c>
      <c r="V11078">
        <v>57</v>
      </c>
    </row>
    <row r="11079" spans="1:22" customFormat="1" ht="15" x14ac:dyDescent="0.25">
      <c r="A11079" t="s">
        <v>297</v>
      </c>
      <c r="E11079" s="1508" t="s">
        <v>848</v>
      </c>
      <c r="F11079" s="1508"/>
      <c r="G11079" s="617" t="s">
        <v>777</v>
      </c>
      <c r="H11079" s="484">
        <v>0.25</v>
      </c>
      <c r="K11079" t="s">
        <v>4447</v>
      </c>
      <c r="L11079" t="s">
        <v>968</v>
      </c>
      <c r="P11079" t="s">
        <v>4460</v>
      </c>
      <c r="V11079">
        <v>63</v>
      </c>
    </row>
    <row r="11080" spans="1:22" customFormat="1" x14ac:dyDescent="0.25">
      <c r="A11080" t="s">
        <v>297</v>
      </c>
      <c r="E11080" s="1642" t="s">
        <v>194</v>
      </c>
      <c r="F11080" s="1642"/>
      <c r="G11080" s="1642"/>
      <c r="H11080" s="1643"/>
      <c r="K11080" t="s">
        <v>3872</v>
      </c>
      <c r="V11080">
        <v>47</v>
      </c>
    </row>
    <row r="11081" spans="1:22" customFormat="1" ht="15" x14ac:dyDescent="0.25">
      <c r="A11081" t="s">
        <v>297</v>
      </c>
      <c r="E11081" s="1518" t="s">
        <v>4541</v>
      </c>
      <c r="F11081" s="1518"/>
      <c r="G11081" s="1518"/>
      <c r="H11081" s="1519"/>
      <c r="K11081" t="s">
        <v>3872</v>
      </c>
      <c r="V11081">
        <v>720</v>
      </c>
    </row>
    <row r="11082" spans="1:22" customFormat="1" ht="15" x14ac:dyDescent="0.25">
      <c r="A11082" t="s">
        <v>297</v>
      </c>
      <c r="E11082" s="1520" t="s">
        <v>950</v>
      </c>
      <c r="F11082" s="1521"/>
      <c r="G11082" s="1521"/>
      <c r="H11082" s="1521"/>
      <c r="K11082" t="s">
        <v>1041</v>
      </c>
      <c r="V11082">
        <v>11</v>
      </c>
    </row>
    <row r="11083" spans="1:22" customFormat="1" ht="15" x14ac:dyDescent="0.25">
      <c r="A11083" t="s">
        <v>297</v>
      </c>
      <c r="E11083" s="1518" t="s">
        <v>951</v>
      </c>
      <c r="F11083" s="1518"/>
      <c r="G11083" s="1518"/>
      <c r="H11083" s="1519"/>
      <c r="K11083" t="s">
        <v>3872</v>
      </c>
      <c r="V11083">
        <v>280</v>
      </c>
    </row>
    <row r="11084" spans="1:22" customFormat="1" ht="15" x14ac:dyDescent="0.25">
      <c r="A11084" t="s">
        <v>297</v>
      </c>
      <c r="E11084" s="1518" t="s">
        <v>952</v>
      </c>
      <c r="F11084" s="1518"/>
      <c r="G11084" s="1518"/>
      <c r="H11084" s="1519"/>
      <c r="K11084" t="s">
        <v>3872</v>
      </c>
      <c r="V11084">
        <v>411</v>
      </c>
    </row>
    <row r="11085" spans="1:22" customFormat="1" ht="15" x14ac:dyDescent="0.25">
      <c r="A11085" t="s">
        <v>297</v>
      </c>
      <c r="E11085" s="1518" t="s">
        <v>4814</v>
      </c>
      <c r="F11085" s="1518"/>
      <c r="G11085" s="1518"/>
      <c r="H11085" s="1519"/>
      <c r="K11085" t="s">
        <v>3872</v>
      </c>
      <c r="V11085">
        <v>385</v>
      </c>
    </row>
    <row r="11086" spans="1:22" customFormat="1" ht="15" x14ac:dyDescent="0.25">
      <c r="A11086" t="s">
        <v>297</v>
      </c>
      <c r="E11086" s="1518" t="s">
        <v>954</v>
      </c>
      <c r="F11086" s="1518"/>
      <c r="G11086" s="1518"/>
      <c r="H11086" s="1519"/>
      <c r="K11086" t="s">
        <v>3872</v>
      </c>
      <c r="V11086">
        <v>246</v>
      </c>
    </row>
    <row r="11087" spans="1:22" customFormat="1" ht="15" x14ac:dyDescent="0.25">
      <c r="A11087" t="s">
        <v>297</v>
      </c>
      <c r="E11087" s="1520" t="s">
        <v>956</v>
      </c>
      <c r="F11087" s="1521"/>
      <c r="G11087" s="1521"/>
      <c r="H11087" s="1521"/>
      <c r="K11087" t="s">
        <v>1042</v>
      </c>
      <c r="V11087">
        <v>46</v>
      </c>
    </row>
    <row r="11088" spans="1:22" customFormat="1" ht="15" x14ac:dyDescent="0.25">
      <c r="A11088" t="s">
        <v>297</v>
      </c>
      <c r="E11088" s="1508" t="s">
        <v>3893</v>
      </c>
      <c r="F11088" s="1508"/>
      <c r="G11088" s="617" t="s">
        <v>777</v>
      </c>
      <c r="H11088" s="576">
        <v>27.63</v>
      </c>
      <c r="K11088" t="s">
        <v>3872</v>
      </c>
      <c r="L11088" t="s">
        <v>690</v>
      </c>
      <c r="P11088" t="s">
        <v>3875</v>
      </c>
      <c r="V11088">
        <v>29</v>
      </c>
    </row>
    <row r="11089" spans="1:22" customFormat="1" ht="15" x14ac:dyDescent="0.25">
      <c r="A11089" t="s">
        <v>297</v>
      </c>
      <c r="E11089" s="1508" t="s">
        <v>3688</v>
      </c>
      <c r="F11089" s="1508"/>
      <c r="G11089" s="617" t="s">
        <v>845</v>
      </c>
      <c r="H11089" s="577">
        <v>9.2999999999999992E-3</v>
      </c>
      <c r="K11089" t="s">
        <v>3872</v>
      </c>
      <c r="L11089" t="s">
        <v>690</v>
      </c>
      <c r="P11089" t="s">
        <v>3876</v>
      </c>
      <c r="V11089">
        <v>28</v>
      </c>
    </row>
    <row r="11090" spans="1:22" customFormat="1" ht="15" x14ac:dyDescent="0.25">
      <c r="A11090" t="s">
        <v>297</v>
      </c>
      <c r="E11090" s="1508" t="s">
        <v>910</v>
      </c>
      <c r="F11090" s="1508"/>
      <c r="G11090" s="617" t="s">
        <v>845</v>
      </c>
      <c r="H11090" s="577">
        <v>2.8E-3</v>
      </c>
      <c r="K11090" t="s">
        <v>3872</v>
      </c>
      <c r="L11090" t="s">
        <v>692</v>
      </c>
      <c r="P11090" t="s">
        <v>3986</v>
      </c>
      <c r="V11090">
        <v>24</v>
      </c>
    </row>
    <row r="11091" spans="1:22" customFormat="1" ht="15" x14ac:dyDescent="0.25">
      <c r="A11091" t="s">
        <v>297</v>
      </c>
      <c r="E11091" s="1508" t="s">
        <v>6849</v>
      </c>
      <c r="F11091" s="1510"/>
      <c r="G11091" s="617" t="s">
        <v>845</v>
      </c>
      <c r="H11091" s="577">
        <v>4.1999999999999997E-3</v>
      </c>
      <c r="K11091" t="s">
        <v>3872</v>
      </c>
      <c r="L11091" t="s">
        <v>692</v>
      </c>
      <c r="P11091" t="s">
        <v>3987</v>
      </c>
      <c r="T11091">
        <v>46142</v>
      </c>
      <c r="V11091">
        <v>139</v>
      </c>
    </row>
    <row r="11092" spans="1:22" customFormat="1" ht="15" x14ac:dyDescent="0.25">
      <c r="A11092" t="s">
        <v>297</v>
      </c>
      <c r="E11092" s="1508" t="s">
        <v>6959</v>
      </c>
      <c r="F11092" s="1510"/>
      <c r="G11092" s="617" t="s">
        <v>845</v>
      </c>
      <c r="H11092" s="577">
        <v>-1E-4</v>
      </c>
      <c r="K11092" t="s">
        <v>3872</v>
      </c>
      <c r="L11092" t="s">
        <v>690</v>
      </c>
      <c r="P11092" t="s">
        <v>3989</v>
      </c>
      <c r="T11092">
        <v>46142</v>
      </c>
      <c r="V11092">
        <v>136</v>
      </c>
    </row>
    <row r="11093" spans="1:22" customFormat="1" ht="15" x14ac:dyDescent="0.25">
      <c r="A11093" t="s">
        <v>297</v>
      </c>
      <c r="E11093" s="1508" t="s">
        <v>6850</v>
      </c>
      <c r="F11093" s="1510"/>
      <c r="G11093" s="617" t="s">
        <v>845</v>
      </c>
      <c r="H11093" s="577">
        <v>2.0999999999999999E-3</v>
      </c>
      <c r="K11093" t="s">
        <v>3872</v>
      </c>
      <c r="L11093" t="s">
        <v>692</v>
      </c>
      <c r="P11093" t="s">
        <v>3990</v>
      </c>
      <c r="T11093">
        <v>46142</v>
      </c>
      <c r="V11093">
        <v>96</v>
      </c>
    </row>
    <row r="11094" spans="1:22" customFormat="1" ht="15" x14ac:dyDescent="0.25">
      <c r="A11094" t="s">
        <v>297</v>
      </c>
      <c r="E11094" s="1508" t="s">
        <v>6955</v>
      </c>
      <c r="F11094" s="1507"/>
      <c r="G11094" s="617" t="s">
        <v>845</v>
      </c>
      <c r="H11094" s="577">
        <v>-1.3299999999999999E-2</v>
      </c>
      <c r="K11094" t="s">
        <v>3872</v>
      </c>
      <c r="L11094" t="s">
        <v>692</v>
      </c>
      <c r="P11094" t="s">
        <v>3987</v>
      </c>
      <c r="V11094">
        <v>140</v>
      </c>
    </row>
    <row r="11095" spans="1:22" customFormat="1" ht="15" x14ac:dyDescent="0.25">
      <c r="A11095" t="s">
        <v>297</v>
      </c>
      <c r="E11095" s="1508" t="s">
        <v>6960</v>
      </c>
      <c r="F11095" s="1507"/>
      <c r="G11095" s="617" t="s">
        <v>845</v>
      </c>
      <c r="H11095" s="577">
        <v>-2.8E-3</v>
      </c>
      <c r="K11095" t="s">
        <v>3872</v>
      </c>
      <c r="L11095" t="s">
        <v>692</v>
      </c>
      <c r="P11095" t="s">
        <v>3990</v>
      </c>
      <c r="V11095">
        <v>97</v>
      </c>
    </row>
    <row r="11096" spans="1:22" customFormat="1" ht="15" x14ac:dyDescent="0.25">
      <c r="A11096" t="s">
        <v>297</v>
      </c>
      <c r="E11096" s="1508" t="s">
        <v>6957</v>
      </c>
      <c r="F11096" s="1507"/>
      <c r="G11096" s="617" t="s">
        <v>845</v>
      </c>
      <c r="H11096" s="577">
        <v>-1.0699999999999999E-2</v>
      </c>
      <c r="K11096" t="s">
        <v>3872</v>
      </c>
      <c r="L11096" t="s">
        <v>692</v>
      </c>
      <c r="P11096" t="s">
        <v>6967</v>
      </c>
      <c r="T11096">
        <v>46142</v>
      </c>
      <c r="V11096">
        <v>71</v>
      </c>
    </row>
    <row r="11097" spans="1:22" customFormat="1" ht="15" x14ac:dyDescent="0.25">
      <c r="A11097" t="s">
        <v>297</v>
      </c>
      <c r="E11097" s="1508" t="s">
        <v>243</v>
      </c>
      <c r="F11097" s="1507"/>
      <c r="G11097" s="617" t="s">
        <v>845</v>
      </c>
      <c r="H11097" s="577">
        <v>8.8999999999999999E-3</v>
      </c>
      <c r="K11097" t="s">
        <v>3872</v>
      </c>
      <c r="L11097" t="s">
        <v>694</v>
      </c>
      <c r="P11097" t="s">
        <v>3877</v>
      </c>
      <c r="V11097">
        <v>47</v>
      </c>
    </row>
    <row r="11098" spans="1:22" customFormat="1" ht="15" x14ac:dyDescent="0.25">
      <c r="A11098" t="s">
        <v>297</v>
      </c>
      <c r="E11098" s="1508" t="s">
        <v>175</v>
      </c>
      <c r="F11098" s="1507"/>
      <c r="G11098" s="617" t="s">
        <v>845</v>
      </c>
      <c r="H11098" s="577">
        <v>7.1000000000000004E-3</v>
      </c>
      <c r="K11098" t="s">
        <v>3872</v>
      </c>
      <c r="L11098" t="s">
        <v>694</v>
      </c>
      <c r="P11098" t="s">
        <v>3878</v>
      </c>
      <c r="V11098">
        <v>74</v>
      </c>
    </row>
    <row r="11099" spans="1:22" customFormat="1" ht="15" x14ac:dyDescent="0.25">
      <c r="A11099" t="s">
        <v>297</v>
      </c>
      <c r="E11099" s="1523" t="s">
        <v>967</v>
      </c>
      <c r="F11099" s="1522"/>
      <c r="G11099" s="617"/>
      <c r="H11099" s="617"/>
      <c r="K11099" t="s">
        <v>1049</v>
      </c>
      <c r="V11099">
        <v>48</v>
      </c>
    </row>
    <row r="11100" spans="1:22" customFormat="1" ht="15" x14ac:dyDescent="0.25">
      <c r="A11100" t="s">
        <v>297</v>
      </c>
      <c r="E11100" s="1508" t="s">
        <v>844</v>
      </c>
      <c r="F11100" s="1507"/>
      <c r="G11100" s="617" t="s">
        <v>845</v>
      </c>
      <c r="H11100" s="485">
        <v>4.1000000000000003E-3</v>
      </c>
      <c r="K11100" t="s">
        <v>3872</v>
      </c>
      <c r="L11100" t="s">
        <v>968</v>
      </c>
      <c r="P11100" t="s">
        <v>3879</v>
      </c>
      <c r="V11100">
        <v>55</v>
      </c>
    </row>
    <row r="11101" spans="1:22" customFormat="1" ht="15" x14ac:dyDescent="0.25">
      <c r="A11101" t="s">
        <v>297</v>
      </c>
      <c r="E11101" s="1508" t="s">
        <v>846</v>
      </c>
      <c r="F11101" s="1507"/>
      <c r="G11101" s="617" t="s">
        <v>845</v>
      </c>
      <c r="H11101" s="485">
        <v>4.0000000000000002E-4</v>
      </c>
      <c r="K11101" t="s">
        <v>3872</v>
      </c>
      <c r="L11101" t="s">
        <v>968</v>
      </c>
      <c r="P11101" t="s">
        <v>3879</v>
      </c>
      <c r="V11101">
        <v>65</v>
      </c>
    </row>
    <row r="11102" spans="1:22" customFormat="1" ht="15" x14ac:dyDescent="0.25">
      <c r="A11102" t="s">
        <v>297</v>
      </c>
      <c r="E11102" s="1508" t="s">
        <v>847</v>
      </c>
      <c r="F11102" s="1507"/>
      <c r="G11102" s="617" t="s">
        <v>845</v>
      </c>
      <c r="H11102" s="485">
        <v>1.5E-3</v>
      </c>
      <c r="K11102" t="s">
        <v>3872</v>
      </c>
      <c r="L11102" t="s">
        <v>968</v>
      </c>
      <c r="P11102" t="s">
        <v>3880</v>
      </c>
      <c r="V11102">
        <v>57</v>
      </c>
    </row>
    <row r="11103" spans="1:22" customFormat="1" ht="15" x14ac:dyDescent="0.25">
      <c r="A11103" t="s">
        <v>297</v>
      </c>
      <c r="E11103" s="1508" t="s">
        <v>848</v>
      </c>
      <c r="F11103" s="1508"/>
      <c r="G11103" s="617" t="s">
        <v>777</v>
      </c>
      <c r="H11103" s="484">
        <v>0.25</v>
      </c>
      <c r="K11103" t="s">
        <v>3872</v>
      </c>
      <c r="L11103" t="s">
        <v>968</v>
      </c>
      <c r="P11103" t="s">
        <v>3881</v>
      </c>
      <c r="V11103">
        <v>63</v>
      </c>
    </row>
    <row r="11104" spans="1:22" customFormat="1" x14ac:dyDescent="0.25">
      <c r="A11104" t="s">
        <v>297</v>
      </c>
      <c r="E11104" s="1642" t="s">
        <v>207</v>
      </c>
      <c r="F11104" s="1642"/>
      <c r="G11104" s="1642"/>
      <c r="H11104" s="1643"/>
      <c r="K11104" t="s">
        <v>3823</v>
      </c>
      <c r="V11104">
        <v>31</v>
      </c>
    </row>
    <row r="11105" spans="1:22" customFormat="1" ht="15" x14ac:dyDescent="0.25">
      <c r="A11105" t="s">
        <v>297</v>
      </c>
      <c r="E11105" s="1518" t="s">
        <v>4829</v>
      </c>
      <c r="F11105" s="1518"/>
      <c r="G11105" s="1518"/>
      <c r="H11105" s="1519"/>
      <c r="K11105" t="s">
        <v>3823</v>
      </c>
      <c r="V11105">
        <v>287</v>
      </c>
    </row>
    <row r="11106" spans="1:22" customFormat="1" ht="15" x14ac:dyDescent="0.25">
      <c r="A11106" t="s">
        <v>297</v>
      </c>
      <c r="E11106" s="1520" t="s">
        <v>950</v>
      </c>
      <c r="F11106" s="1521"/>
      <c r="G11106" s="1521"/>
      <c r="H11106" s="1521"/>
      <c r="K11106" t="s">
        <v>1055</v>
      </c>
      <c r="V11106">
        <v>11</v>
      </c>
    </row>
    <row r="11107" spans="1:22" customFormat="1" ht="15" x14ac:dyDescent="0.25">
      <c r="A11107" t="s">
        <v>297</v>
      </c>
      <c r="E11107" s="1518" t="s">
        <v>951</v>
      </c>
      <c r="F11107" s="1518"/>
      <c r="G11107" s="1518"/>
      <c r="H11107" s="1519"/>
      <c r="K11107" t="s">
        <v>3823</v>
      </c>
      <c r="V11107">
        <v>280</v>
      </c>
    </row>
    <row r="11108" spans="1:22" customFormat="1" ht="15" x14ac:dyDescent="0.25">
      <c r="A11108" t="s">
        <v>297</v>
      </c>
      <c r="E11108" s="1518" t="s">
        <v>952</v>
      </c>
      <c r="F11108" s="1518"/>
      <c r="G11108" s="1518"/>
      <c r="H11108" s="1519"/>
      <c r="K11108" t="s">
        <v>3823</v>
      </c>
      <c r="V11108">
        <v>411</v>
      </c>
    </row>
    <row r="11109" spans="1:22" customFormat="1" ht="15" x14ac:dyDescent="0.25">
      <c r="A11109" t="s">
        <v>297</v>
      </c>
      <c r="E11109" s="1518" t="s">
        <v>4814</v>
      </c>
      <c r="F11109" s="1518"/>
      <c r="G11109" s="1518"/>
      <c r="H11109" s="1519"/>
      <c r="K11109" t="s">
        <v>3823</v>
      </c>
      <c r="V11109">
        <v>385</v>
      </c>
    </row>
    <row r="11110" spans="1:22" customFormat="1" ht="15" x14ac:dyDescent="0.25">
      <c r="A11110" t="s">
        <v>297</v>
      </c>
      <c r="E11110" s="1518" t="s">
        <v>5520</v>
      </c>
      <c r="F11110" s="1518"/>
      <c r="G11110" s="1518"/>
      <c r="H11110" s="1519"/>
      <c r="K11110" t="s">
        <v>3823</v>
      </c>
      <c r="V11110">
        <v>231</v>
      </c>
    </row>
    <row r="11111" spans="1:22" customFormat="1" ht="15" x14ac:dyDescent="0.25">
      <c r="A11111" t="s">
        <v>297</v>
      </c>
      <c r="E11111" s="1520" t="s">
        <v>956</v>
      </c>
      <c r="F11111" s="1521"/>
      <c r="G11111" s="1521"/>
      <c r="H11111" s="1521"/>
      <c r="K11111" t="s">
        <v>1056</v>
      </c>
      <c r="V11111">
        <v>46</v>
      </c>
    </row>
    <row r="11112" spans="1:22" customFormat="1" ht="15" x14ac:dyDescent="0.25">
      <c r="A11112" t="s">
        <v>297</v>
      </c>
      <c r="E11112" s="1508" t="s">
        <v>3773</v>
      </c>
      <c r="F11112" s="1508"/>
      <c r="G11112" s="617" t="s">
        <v>777</v>
      </c>
      <c r="H11112" s="576">
        <v>5</v>
      </c>
      <c r="K11112" t="s">
        <v>3823</v>
      </c>
      <c r="L11112" t="s">
        <v>690</v>
      </c>
      <c r="P11112" t="s">
        <v>3824</v>
      </c>
      <c r="V11112">
        <v>14</v>
      </c>
    </row>
    <row r="11113" spans="1:22" customFormat="1" x14ac:dyDescent="0.25">
      <c r="A11113" t="s">
        <v>297</v>
      </c>
      <c r="E11113" s="858" t="s">
        <v>3825</v>
      </c>
      <c r="F11113" s="732"/>
      <c r="G11113" s="732"/>
      <c r="H11113" s="732"/>
      <c r="K11113" t="s">
        <v>5593</v>
      </c>
      <c r="V11113">
        <v>10</v>
      </c>
    </row>
    <row r="11114" spans="1:22" customFormat="1" ht="15" x14ac:dyDescent="0.25">
      <c r="A11114" t="s">
        <v>297</v>
      </c>
      <c r="E11114" s="1522" t="s">
        <v>1078</v>
      </c>
      <c r="F11114" s="1522"/>
      <c r="G11114" s="780" t="s">
        <v>3775</v>
      </c>
      <c r="H11114" s="868">
        <v>-0.6</v>
      </c>
      <c r="V11114">
        <v>68</v>
      </c>
    </row>
    <row r="11115" spans="1:22" customFormat="1" ht="15" x14ac:dyDescent="0.25">
      <c r="A11115" t="s">
        <v>297</v>
      </c>
      <c r="E11115" s="1508" t="s">
        <v>1079</v>
      </c>
      <c r="F11115" s="1508"/>
      <c r="G11115" s="780" t="s">
        <v>1118</v>
      </c>
      <c r="H11115" s="869">
        <v>-1</v>
      </c>
      <c r="V11115">
        <v>87</v>
      </c>
    </row>
    <row r="11116" spans="1:22" customFormat="1" x14ac:dyDescent="0.25">
      <c r="A11116" t="s">
        <v>297</v>
      </c>
      <c r="E11116" s="858" t="s">
        <v>3828</v>
      </c>
      <c r="F11116" s="732"/>
      <c r="G11116" s="732"/>
      <c r="H11116" s="733"/>
      <c r="K11116" t="s">
        <v>5594</v>
      </c>
      <c r="V11116">
        <v>24</v>
      </c>
    </row>
    <row r="11117" spans="1:22" customFormat="1" ht="15" x14ac:dyDescent="0.25">
      <c r="A11117" t="s">
        <v>297</v>
      </c>
      <c r="E11117" s="1535" t="s">
        <v>950</v>
      </c>
      <c r="F11117" s="1583"/>
      <c r="G11117" s="1583"/>
      <c r="H11117" s="1583"/>
      <c r="V11117">
        <v>11</v>
      </c>
    </row>
    <row r="11118" spans="1:22" customFormat="1" ht="15" x14ac:dyDescent="0.25">
      <c r="A11118" t="s">
        <v>297</v>
      </c>
      <c r="E11118" s="1587" t="s">
        <v>951</v>
      </c>
      <c r="F11118" s="1587"/>
      <c r="G11118" s="1587"/>
      <c r="H11118" s="1588"/>
      <c r="V11118">
        <v>280</v>
      </c>
    </row>
    <row r="11119" spans="1:22" customFormat="1" ht="15" x14ac:dyDescent="0.25">
      <c r="A11119" t="s">
        <v>297</v>
      </c>
      <c r="E11119" s="1587" t="s">
        <v>1081</v>
      </c>
      <c r="F11119" s="1587"/>
      <c r="G11119" s="1587"/>
      <c r="H11119" s="1588"/>
      <c r="V11119">
        <v>353</v>
      </c>
    </row>
    <row r="11120" spans="1:22" customFormat="1" ht="15" x14ac:dyDescent="0.25">
      <c r="A11120" t="s">
        <v>297</v>
      </c>
      <c r="E11120" s="1587" t="s">
        <v>954</v>
      </c>
      <c r="F11120" s="1587"/>
      <c r="G11120" s="1587"/>
      <c r="H11120" s="1588"/>
      <c r="V11120">
        <v>246</v>
      </c>
    </row>
    <row r="11121" spans="1:22" customFormat="1" ht="15" x14ac:dyDescent="0.25">
      <c r="A11121" t="s">
        <v>297</v>
      </c>
      <c r="E11121" s="626" t="s">
        <v>3830</v>
      </c>
      <c r="F11121" s="722"/>
      <c r="G11121" s="722"/>
      <c r="H11121" s="723"/>
      <c r="K11121" t="s">
        <v>5595</v>
      </c>
      <c r="V11121">
        <v>23</v>
      </c>
    </row>
    <row r="11122" spans="1:22" customFormat="1" ht="15" x14ac:dyDescent="0.25">
      <c r="A11122" t="s">
        <v>297</v>
      </c>
      <c r="E11122" s="1509" t="s">
        <v>3832</v>
      </c>
      <c r="F11122" s="1509"/>
      <c r="G11122" s="617" t="s">
        <v>777</v>
      </c>
      <c r="H11122" s="638">
        <v>15</v>
      </c>
      <c r="V11122">
        <v>19</v>
      </c>
    </row>
    <row r="11123" spans="1:22" customFormat="1" ht="15" x14ac:dyDescent="0.25">
      <c r="A11123" t="s">
        <v>297</v>
      </c>
      <c r="E11123" s="1509" t="s">
        <v>4058</v>
      </c>
      <c r="F11123" s="1509"/>
      <c r="G11123" s="617" t="s">
        <v>777</v>
      </c>
      <c r="H11123" s="638">
        <v>15</v>
      </c>
      <c r="V11123">
        <v>15</v>
      </c>
    </row>
    <row r="11124" spans="1:22" customFormat="1" ht="15" x14ac:dyDescent="0.25">
      <c r="A11124" t="s">
        <v>297</v>
      </c>
      <c r="E11124" s="1509" t="s">
        <v>4802</v>
      </c>
      <c r="F11124" s="1509"/>
      <c r="G11124" s="617" t="s">
        <v>777</v>
      </c>
      <c r="H11124" s="638">
        <v>20</v>
      </c>
      <c r="V11124">
        <v>35</v>
      </c>
    </row>
    <row r="11125" spans="1:22" customFormat="1" ht="15" x14ac:dyDescent="0.25">
      <c r="A11125" t="s">
        <v>297</v>
      </c>
      <c r="E11125" s="1509" t="s">
        <v>3837</v>
      </c>
      <c r="F11125" s="1509"/>
      <c r="G11125" s="617" t="s">
        <v>777</v>
      </c>
      <c r="H11125" s="638">
        <v>30</v>
      </c>
      <c r="V11125">
        <v>89</v>
      </c>
    </row>
    <row r="11126" spans="1:22" customFormat="1" ht="15" x14ac:dyDescent="0.25">
      <c r="A11126" t="s">
        <v>297</v>
      </c>
      <c r="E11126" s="1509" t="s">
        <v>3838</v>
      </c>
      <c r="F11126" s="1509"/>
      <c r="G11126" s="617" t="s">
        <v>777</v>
      </c>
      <c r="H11126" s="638">
        <v>45</v>
      </c>
      <c r="V11126">
        <v>74</v>
      </c>
    </row>
    <row r="11127" spans="1:22" customFormat="1" ht="15" x14ac:dyDescent="0.25">
      <c r="A11127" t="s">
        <v>297</v>
      </c>
      <c r="E11127" s="847" t="s">
        <v>4062</v>
      </c>
      <c r="F11127" s="627"/>
      <c r="G11127" s="781"/>
      <c r="H11127" s="734"/>
      <c r="K11127" t="s">
        <v>5596</v>
      </c>
      <c r="V11127">
        <v>22</v>
      </c>
    </row>
    <row r="11128" spans="1:22" customFormat="1" ht="15" x14ac:dyDescent="0.25">
      <c r="A11128" t="s">
        <v>297</v>
      </c>
      <c r="E11128" s="1509" t="s">
        <v>6968</v>
      </c>
      <c r="F11128" s="1509"/>
      <c r="G11128" s="617" t="s">
        <v>1118</v>
      </c>
      <c r="H11128" s="638">
        <v>1.5</v>
      </c>
      <c r="V11128">
        <v>108</v>
      </c>
    </row>
    <row r="11129" spans="1:22" customFormat="1" ht="15" x14ac:dyDescent="0.25">
      <c r="A11129" t="s">
        <v>297</v>
      </c>
      <c r="E11129" s="1509" t="s">
        <v>6969</v>
      </c>
      <c r="F11129" s="1509"/>
      <c r="G11129" s="617" t="s">
        <v>1118</v>
      </c>
      <c r="H11129" s="638">
        <v>19.559999999999999</v>
      </c>
      <c r="V11129">
        <v>24</v>
      </c>
    </row>
    <row r="11130" spans="1:22" customFormat="1" ht="15" x14ac:dyDescent="0.25">
      <c r="A11130" t="s">
        <v>297</v>
      </c>
      <c r="E11130" s="1509" t="s">
        <v>6970</v>
      </c>
      <c r="F11130" s="1509"/>
      <c r="G11130" s="617" t="s">
        <v>777</v>
      </c>
      <c r="H11130" s="638">
        <v>30</v>
      </c>
      <c r="V11130">
        <v>47</v>
      </c>
    </row>
    <row r="11131" spans="1:22" customFormat="1" ht="15" x14ac:dyDescent="0.25">
      <c r="A11131" t="s">
        <v>297</v>
      </c>
      <c r="E11131" s="1509" t="s">
        <v>3842</v>
      </c>
      <c r="F11131" s="1509"/>
      <c r="G11131" s="617" t="s">
        <v>777</v>
      </c>
      <c r="H11131" s="638">
        <v>65</v>
      </c>
      <c r="V11131">
        <v>44</v>
      </c>
    </row>
    <row r="11132" spans="1:22" customFormat="1" ht="15" x14ac:dyDescent="0.25">
      <c r="A11132" t="s">
        <v>297</v>
      </c>
      <c r="E11132" s="1509" t="s">
        <v>6971</v>
      </c>
      <c r="F11132" s="1509"/>
      <c r="G11132" s="617" t="s">
        <v>777</v>
      </c>
      <c r="H11132" s="638">
        <v>185</v>
      </c>
      <c r="V11132">
        <v>42</v>
      </c>
    </row>
    <row r="11133" spans="1:22" customFormat="1" ht="15" x14ac:dyDescent="0.25">
      <c r="A11133" t="s">
        <v>297</v>
      </c>
      <c r="E11133" s="844" t="s">
        <v>3846</v>
      </c>
      <c r="F11133" s="949"/>
      <c r="G11133" s="781"/>
      <c r="H11133" s="979"/>
      <c r="V11133">
        <v>5</v>
      </c>
    </row>
    <row r="11134" spans="1:22" customFormat="1" ht="15" x14ac:dyDescent="0.25">
      <c r="A11134" t="s">
        <v>297</v>
      </c>
      <c r="E11134" s="1517" t="s">
        <v>5023</v>
      </c>
      <c r="F11134" s="1517"/>
      <c r="G11134" s="584" t="s">
        <v>777</v>
      </c>
      <c r="H11134" s="576">
        <v>39.14</v>
      </c>
      <c r="V11134">
        <v>104</v>
      </c>
    </row>
    <row r="11135" spans="1:22" customFormat="1" x14ac:dyDescent="0.25">
      <c r="A11135" t="s">
        <v>297</v>
      </c>
      <c r="E11135" s="858" t="s">
        <v>3851</v>
      </c>
      <c r="F11135" s="732"/>
      <c r="G11135" s="732"/>
      <c r="H11135" s="733"/>
      <c r="K11135" t="s">
        <v>5597</v>
      </c>
      <c r="V11135">
        <v>38</v>
      </c>
    </row>
    <row r="11136" spans="1:22" customFormat="1" ht="15" x14ac:dyDescent="0.25">
      <c r="A11136" t="s">
        <v>297</v>
      </c>
      <c r="E11136" s="1587" t="s">
        <v>951</v>
      </c>
      <c r="F11136" s="1587"/>
      <c r="G11136" s="1587"/>
      <c r="H11136" s="1588"/>
      <c r="V11136">
        <v>280</v>
      </c>
    </row>
    <row r="11137" spans="1:22" customFormat="1" ht="15" x14ac:dyDescent="0.25">
      <c r="A11137" t="s">
        <v>297</v>
      </c>
      <c r="E11137" s="1587" t="s">
        <v>952</v>
      </c>
      <c r="F11137" s="1587"/>
      <c r="G11137" s="1587"/>
      <c r="H11137" s="1588"/>
      <c r="V11137">
        <v>411</v>
      </c>
    </row>
    <row r="11138" spans="1:22" customFormat="1" ht="15" x14ac:dyDescent="0.25">
      <c r="A11138" t="s">
        <v>297</v>
      </c>
      <c r="E11138" s="1587" t="s">
        <v>1103</v>
      </c>
      <c r="F11138" s="1587"/>
      <c r="G11138" s="1587"/>
      <c r="H11138" s="1588"/>
      <c r="V11138">
        <v>211</v>
      </c>
    </row>
    <row r="11139" spans="1:22" customFormat="1" ht="15" x14ac:dyDescent="0.25">
      <c r="A11139" t="s">
        <v>297</v>
      </c>
      <c r="E11139" s="1587" t="s">
        <v>954</v>
      </c>
      <c r="F11139" s="1587"/>
      <c r="G11139" s="1587"/>
      <c r="H11139" s="1588"/>
      <c r="V11139">
        <v>246</v>
      </c>
    </row>
    <row r="11140" spans="1:22" customFormat="1" ht="15" x14ac:dyDescent="0.25">
      <c r="A11140" t="s">
        <v>297</v>
      </c>
      <c r="E11140" s="1587" t="s">
        <v>1104</v>
      </c>
      <c r="F11140" s="1587"/>
      <c r="G11140" s="1587"/>
      <c r="H11140" s="1588"/>
      <c r="V11140">
        <v>142</v>
      </c>
    </row>
    <row r="11141" spans="1:22" customFormat="1" ht="15" x14ac:dyDescent="0.25">
      <c r="A11141" t="s">
        <v>297</v>
      </c>
      <c r="E11141" s="1508" t="s">
        <v>849</v>
      </c>
      <c r="F11141" s="1508"/>
      <c r="G11141" s="633" t="s">
        <v>777</v>
      </c>
      <c r="H11141" s="634">
        <v>121.23</v>
      </c>
      <c r="V11141">
        <v>106</v>
      </c>
    </row>
    <row r="11142" spans="1:22" customFormat="1" ht="15" x14ac:dyDescent="0.25">
      <c r="A11142" t="s">
        <v>297</v>
      </c>
      <c r="E11142" s="1508" t="s">
        <v>4471</v>
      </c>
      <c r="F11142" s="1508"/>
      <c r="G11142" s="633" t="s">
        <v>777</v>
      </c>
      <c r="H11142" s="634">
        <v>48.5</v>
      </c>
      <c r="V11142">
        <v>34</v>
      </c>
    </row>
    <row r="11143" spans="1:22" customFormat="1" ht="15" x14ac:dyDescent="0.25">
      <c r="A11143" t="s">
        <v>297</v>
      </c>
      <c r="E11143" s="1508" t="s">
        <v>4472</v>
      </c>
      <c r="F11143" s="1508"/>
      <c r="G11143" s="633" t="s">
        <v>852</v>
      </c>
      <c r="H11143" s="634">
        <v>1.2</v>
      </c>
      <c r="V11143">
        <v>51</v>
      </c>
    </row>
    <row r="11144" spans="1:22" customFormat="1" ht="15" x14ac:dyDescent="0.25">
      <c r="A11144" t="s">
        <v>297</v>
      </c>
      <c r="E11144" s="1508" t="s">
        <v>853</v>
      </c>
      <c r="F11144" s="1508"/>
      <c r="G11144" s="633" t="s">
        <v>852</v>
      </c>
      <c r="H11144" s="634">
        <v>0.71</v>
      </c>
      <c r="V11144">
        <v>75</v>
      </c>
    </row>
    <row r="11145" spans="1:22" customFormat="1" ht="15" x14ac:dyDescent="0.25">
      <c r="A11145" t="s">
        <v>297</v>
      </c>
      <c r="E11145" s="1508" t="s">
        <v>854</v>
      </c>
      <c r="F11145" s="1508"/>
      <c r="G11145" s="633" t="s">
        <v>852</v>
      </c>
      <c r="H11145" s="634">
        <v>-0.71</v>
      </c>
      <c r="V11145">
        <v>72</v>
      </c>
    </row>
    <row r="11146" spans="1:22" customFormat="1" ht="15" x14ac:dyDescent="0.25">
      <c r="A11146" t="s">
        <v>297</v>
      </c>
      <c r="E11146" s="1508" t="s">
        <v>1105</v>
      </c>
      <c r="F11146" s="1508"/>
      <c r="G11146" s="635"/>
      <c r="H11146" s="635"/>
      <c r="V11146">
        <v>35</v>
      </c>
    </row>
    <row r="11147" spans="1:22" customFormat="1" ht="15" x14ac:dyDescent="0.25">
      <c r="A11147" t="s">
        <v>297</v>
      </c>
      <c r="E11147" s="1586" t="s">
        <v>1106</v>
      </c>
      <c r="F11147" s="1586"/>
      <c r="G11147" s="633" t="s">
        <v>777</v>
      </c>
      <c r="H11147" s="634">
        <v>0.61</v>
      </c>
      <c r="V11147">
        <v>57</v>
      </c>
    </row>
    <row r="11148" spans="1:22" customFormat="1" ht="15" x14ac:dyDescent="0.25">
      <c r="A11148" t="s">
        <v>297</v>
      </c>
      <c r="E11148" s="1586" t="s">
        <v>1107</v>
      </c>
      <c r="F11148" s="1586"/>
      <c r="G11148" s="633" t="s">
        <v>777</v>
      </c>
      <c r="H11148" s="634">
        <v>1.2</v>
      </c>
      <c r="V11148">
        <v>60</v>
      </c>
    </row>
    <row r="11149" spans="1:22" customFormat="1" ht="15" x14ac:dyDescent="0.25">
      <c r="A11149" t="s">
        <v>297</v>
      </c>
      <c r="E11149" s="1508" t="s">
        <v>1108</v>
      </c>
      <c r="F11149" s="1508"/>
      <c r="G11149" s="635"/>
      <c r="H11149" s="635"/>
      <c r="V11149">
        <v>91</v>
      </c>
    </row>
    <row r="11150" spans="1:22" customFormat="1" ht="15" x14ac:dyDescent="0.25">
      <c r="A11150" t="s">
        <v>297</v>
      </c>
      <c r="E11150" s="1508" t="s">
        <v>1109</v>
      </c>
      <c r="F11150" s="1508"/>
      <c r="G11150" s="635"/>
      <c r="H11150" s="635"/>
      <c r="V11150">
        <v>96</v>
      </c>
    </row>
    <row r="11151" spans="1:22" customFormat="1" ht="15" x14ac:dyDescent="0.25">
      <c r="A11151" t="s">
        <v>297</v>
      </c>
      <c r="E11151" s="1508" t="s">
        <v>1110</v>
      </c>
      <c r="F11151" s="1508"/>
      <c r="G11151" s="635"/>
      <c r="H11151" s="635"/>
      <c r="V11151">
        <v>78</v>
      </c>
    </row>
    <row r="11152" spans="1:22" customFormat="1" ht="15" x14ac:dyDescent="0.25">
      <c r="A11152" t="s">
        <v>297</v>
      </c>
      <c r="E11152" s="1586" t="s">
        <v>1111</v>
      </c>
      <c r="F11152" s="1586"/>
      <c r="G11152" s="633" t="s">
        <v>777</v>
      </c>
      <c r="H11152" s="636" t="s">
        <v>857</v>
      </c>
      <c r="V11152">
        <v>18</v>
      </c>
    </row>
    <row r="11153" spans="1:22" customFormat="1" ht="15" x14ac:dyDescent="0.25">
      <c r="A11153" t="s">
        <v>297</v>
      </c>
      <c r="E11153" s="1586" t="s">
        <v>1112</v>
      </c>
      <c r="F11153" s="1586"/>
      <c r="G11153" s="633" t="s">
        <v>777</v>
      </c>
      <c r="H11153" s="634">
        <v>4.8499999999999996</v>
      </c>
      <c r="V11153">
        <v>69</v>
      </c>
    </row>
    <row r="11154" spans="1:22" customFormat="1" ht="15" x14ac:dyDescent="0.25">
      <c r="A11154" t="s">
        <v>297</v>
      </c>
      <c r="E11154" s="1507" t="s">
        <v>858</v>
      </c>
      <c r="F11154" s="1507"/>
      <c r="G11154" s="268" t="s">
        <v>777</v>
      </c>
      <c r="H11154" s="576">
        <v>2.42</v>
      </c>
      <c r="V11154">
        <v>199</v>
      </c>
    </row>
    <row r="11155" spans="1:22" customFormat="1" x14ac:dyDescent="0.25">
      <c r="A11155" t="s">
        <v>297</v>
      </c>
      <c r="E11155" s="858" t="s">
        <v>3853</v>
      </c>
      <c r="F11155" s="732"/>
      <c r="G11155" s="732"/>
      <c r="H11155" s="733"/>
      <c r="K11155" t="s">
        <v>5598</v>
      </c>
      <c r="V11155">
        <v>12</v>
      </c>
    </row>
    <row r="11156" spans="1:22" customFormat="1" ht="15" x14ac:dyDescent="0.25">
      <c r="A11156" t="s">
        <v>297</v>
      </c>
      <c r="E11156" s="1508" t="s">
        <v>1114</v>
      </c>
      <c r="F11156" s="1508"/>
      <c r="G11156" s="1508"/>
      <c r="H11156" s="1589"/>
      <c r="V11156">
        <v>203</v>
      </c>
    </row>
    <row r="11157" spans="1:22" customFormat="1" ht="15" x14ac:dyDescent="0.25">
      <c r="A11157" t="s">
        <v>297</v>
      </c>
      <c r="E11157" s="1508" t="s">
        <v>1115</v>
      </c>
      <c r="F11157" s="1508"/>
      <c r="G11157" s="620"/>
      <c r="H11157" s="630">
        <v>1.0409999999999999</v>
      </c>
      <c r="V11157">
        <v>57</v>
      </c>
    </row>
    <row r="11158" spans="1:22" customFormat="1" ht="15" x14ac:dyDescent="0.25">
      <c r="A11158" t="s">
        <v>297</v>
      </c>
      <c r="E11158" s="1508" t="s">
        <v>1117</v>
      </c>
      <c r="F11158" s="1508"/>
      <c r="G11158" s="620"/>
      <c r="H11158" s="630">
        <v>1.0348999999999999</v>
      </c>
      <c r="J11158" t="s">
        <v>5599</v>
      </c>
      <c r="V11158">
        <v>55</v>
      </c>
    </row>
    <row r="11159" spans="1:22" customFormat="1" ht="23.25" x14ac:dyDescent="0.25">
      <c r="A11159" t="s">
        <v>317</v>
      </c>
      <c r="C11159" t="s">
        <v>3755</v>
      </c>
      <c r="E11159" s="1688" t="s">
        <v>317</v>
      </c>
      <c r="F11159" s="1688"/>
      <c r="G11159" s="1688"/>
      <c r="H11159" s="1688"/>
      <c r="I11159" t="s">
        <v>94</v>
      </c>
      <c r="J11159" t="s">
        <v>943</v>
      </c>
      <c r="K11159" t="s">
        <v>317</v>
      </c>
      <c r="M11159">
        <v>8</v>
      </c>
      <c r="V11159">
        <v>27</v>
      </c>
    </row>
    <row r="11160" spans="1:22" customFormat="1" x14ac:dyDescent="0.25">
      <c r="A11160" t="s">
        <v>317</v>
      </c>
      <c r="C11160" t="s">
        <v>3757</v>
      </c>
      <c r="E11160" s="1689" t="s">
        <v>944</v>
      </c>
      <c r="F11160" s="1689"/>
      <c r="G11160" s="1689"/>
      <c r="H11160" s="1689"/>
      <c r="V11160">
        <v>27</v>
      </c>
    </row>
    <row r="11161" spans="1:22" customFormat="1" ht="15.75" x14ac:dyDescent="0.25">
      <c r="A11161" t="s">
        <v>317</v>
      </c>
      <c r="C11161" t="s">
        <v>3758</v>
      </c>
      <c r="E11161" s="1690" t="s">
        <v>6847</v>
      </c>
      <c r="F11161" s="1690"/>
      <c r="G11161" s="1690"/>
      <c r="H11161" s="1690"/>
      <c r="S11161">
        <v>45778</v>
      </c>
      <c r="V11161">
        <v>45</v>
      </c>
    </row>
    <row r="11162" spans="1:22" customFormat="1" ht="15" x14ac:dyDescent="0.25">
      <c r="A11162" t="s">
        <v>317</v>
      </c>
      <c r="C11162" t="s">
        <v>3759</v>
      </c>
      <c r="E11162" s="1512" t="s">
        <v>945</v>
      </c>
      <c r="F11162" s="1512"/>
      <c r="G11162" s="1512"/>
      <c r="H11162" s="1512"/>
      <c r="V11162">
        <v>52</v>
      </c>
    </row>
    <row r="11163" spans="1:22" customFormat="1" ht="15" x14ac:dyDescent="0.25">
      <c r="A11163" t="s">
        <v>317</v>
      </c>
      <c r="E11163" s="1512" t="s">
        <v>946</v>
      </c>
      <c r="F11163" s="1512"/>
      <c r="G11163" s="1512"/>
      <c r="H11163" s="1512"/>
      <c r="V11163">
        <v>53</v>
      </c>
    </row>
    <row r="11164" spans="1:22" customFormat="1" ht="15" x14ac:dyDescent="0.25">
      <c r="A11164" t="s">
        <v>317</v>
      </c>
      <c r="E11164" s="1758" t="s">
        <v>6972</v>
      </c>
      <c r="F11164" s="1758"/>
      <c r="G11164" s="1758"/>
      <c r="H11164" s="1758"/>
      <c r="K11164" t="s">
        <v>6972</v>
      </c>
      <c r="V11164">
        <v>12</v>
      </c>
    </row>
    <row r="11165" spans="1:22" customFormat="1" ht="15" x14ac:dyDescent="0.25">
      <c r="A11165" t="s">
        <v>317</v>
      </c>
      <c r="E11165" s="1642" t="s">
        <v>170</v>
      </c>
      <c r="F11165" s="1582"/>
      <c r="G11165" s="1582"/>
      <c r="H11165" s="1582"/>
      <c r="K11165" t="s">
        <v>947</v>
      </c>
      <c r="V11165">
        <v>34</v>
      </c>
    </row>
    <row r="11166" spans="1:22" customFormat="1" ht="15" x14ac:dyDescent="0.25">
      <c r="A11166" t="s">
        <v>317</v>
      </c>
      <c r="E11166" s="1759" t="s">
        <v>948</v>
      </c>
      <c r="F11166" s="1759"/>
      <c r="G11166" s="1759"/>
      <c r="H11166" s="1759"/>
      <c r="K11166" t="s">
        <v>947</v>
      </c>
      <c r="V11166">
        <v>373</v>
      </c>
    </row>
    <row r="11167" spans="1:22" customFormat="1" ht="15" x14ac:dyDescent="0.25">
      <c r="A11167" t="s">
        <v>317</v>
      </c>
      <c r="E11167" s="1523" t="s">
        <v>950</v>
      </c>
      <c r="F11167" s="1583"/>
      <c r="G11167" s="1583"/>
      <c r="H11167" s="1583"/>
      <c r="K11167" t="s">
        <v>949</v>
      </c>
      <c r="V11167">
        <v>11</v>
      </c>
    </row>
    <row r="11168" spans="1:22" customFormat="1" ht="15" x14ac:dyDescent="0.25">
      <c r="A11168" t="s">
        <v>317</v>
      </c>
      <c r="E11168" s="1652" t="s">
        <v>951</v>
      </c>
      <c r="F11168" s="1652"/>
      <c r="G11168" s="1652"/>
      <c r="H11168" s="1652"/>
      <c r="K11168" t="s">
        <v>947</v>
      </c>
      <c r="V11168">
        <v>280</v>
      </c>
    </row>
    <row r="11169" spans="1:22" customFormat="1" ht="15" x14ac:dyDescent="0.25">
      <c r="A11169" t="s">
        <v>317</v>
      </c>
      <c r="E11169" s="1692" t="s">
        <v>952</v>
      </c>
      <c r="F11169" s="1692"/>
      <c r="G11169" s="1692"/>
      <c r="H11169" s="1692"/>
      <c r="K11169" t="s">
        <v>947</v>
      </c>
      <c r="V11169">
        <v>411</v>
      </c>
    </row>
    <row r="11170" spans="1:22" customFormat="1" ht="15" x14ac:dyDescent="0.25">
      <c r="A11170" t="s">
        <v>317</v>
      </c>
      <c r="E11170" s="1695" t="s">
        <v>953</v>
      </c>
      <c r="F11170" s="1695"/>
      <c r="G11170" s="1695"/>
      <c r="H11170" s="1695"/>
      <c r="K11170" t="s">
        <v>947</v>
      </c>
      <c r="V11170">
        <v>386</v>
      </c>
    </row>
    <row r="11171" spans="1:22" customFormat="1" ht="15" x14ac:dyDescent="0.25">
      <c r="A11171" t="s">
        <v>317</v>
      </c>
      <c r="E11171" s="1653" t="s">
        <v>954</v>
      </c>
      <c r="F11171" s="1653"/>
      <c r="G11171" s="1653"/>
      <c r="H11171" s="1653"/>
      <c r="K11171" t="s">
        <v>947</v>
      </c>
      <c r="V11171">
        <v>246</v>
      </c>
    </row>
    <row r="11172" spans="1:22" customFormat="1" ht="15" x14ac:dyDescent="0.25">
      <c r="A11172" t="s">
        <v>317</v>
      </c>
      <c r="E11172" s="1523" t="s">
        <v>956</v>
      </c>
      <c r="F11172" s="1583"/>
      <c r="G11172" s="1583"/>
      <c r="H11172" s="1583"/>
      <c r="K11172" t="s">
        <v>955</v>
      </c>
      <c r="V11172">
        <v>46</v>
      </c>
    </row>
    <row r="11173" spans="1:22" customFormat="1" ht="15" x14ac:dyDescent="0.25">
      <c r="A11173" t="s">
        <v>317</v>
      </c>
      <c r="E11173" s="1508" t="s">
        <v>958</v>
      </c>
      <c r="F11173" s="1508"/>
      <c r="G11173" s="617" t="s">
        <v>777</v>
      </c>
      <c r="H11173" s="484">
        <v>43.41</v>
      </c>
      <c r="K11173" t="s">
        <v>947</v>
      </c>
      <c r="L11173" t="s">
        <v>690</v>
      </c>
      <c r="P11173" t="s">
        <v>957</v>
      </c>
      <c r="V11173">
        <v>22</v>
      </c>
    </row>
    <row r="11174" spans="1:22" customFormat="1" ht="15" x14ac:dyDescent="0.25">
      <c r="A11174" t="s">
        <v>317</v>
      </c>
      <c r="E11174" s="1508" t="s">
        <v>960</v>
      </c>
      <c r="F11174" s="1508"/>
      <c r="G11174" s="617" t="s">
        <v>777</v>
      </c>
      <c r="H11174" s="484">
        <v>0.42</v>
      </c>
      <c r="K11174" t="s">
        <v>947</v>
      </c>
      <c r="L11174" t="s">
        <v>692</v>
      </c>
      <c r="P11174" t="s">
        <v>959</v>
      </c>
      <c r="V11174">
        <v>64</v>
      </c>
    </row>
    <row r="11175" spans="1:22" customFormat="1" ht="15" x14ac:dyDescent="0.25">
      <c r="A11175" t="s">
        <v>317</v>
      </c>
      <c r="E11175" s="1508" t="s">
        <v>910</v>
      </c>
      <c r="F11175" s="1508"/>
      <c r="G11175" s="617" t="s">
        <v>845</v>
      </c>
      <c r="H11175" s="619">
        <v>4.0000000000000001E-3</v>
      </c>
      <c r="K11175" t="s">
        <v>947</v>
      </c>
      <c r="L11175" t="s">
        <v>692</v>
      </c>
      <c r="P11175" t="s">
        <v>961</v>
      </c>
      <c r="V11175">
        <v>24</v>
      </c>
    </row>
    <row r="11176" spans="1:22" customFormat="1" ht="15" x14ac:dyDescent="0.25">
      <c r="A11176" t="s">
        <v>317</v>
      </c>
      <c r="E11176" s="1508" t="s">
        <v>6849</v>
      </c>
      <c r="F11176" s="1510"/>
      <c r="G11176" s="617" t="s">
        <v>845</v>
      </c>
      <c r="H11176" s="619">
        <v>1E-4</v>
      </c>
      <c r="K11176" t="s">
        <v>947</v>
      </c>
      <c r="L11176" t="s">
        <v>692</v>
      </c>
      <c r="P11176" t="s">
        <v>962</v>
      </c>
      <c r="T11176">
        <v>46142</v>
      </c>
      <c r="V11176">
        <v>139</v>
      </c>
    </row>
    <row r="11177" spans="1:22" customFormat="1" ht="15" x14ac:dyDescent="0.25">
      <c r="A11177" t="s">
        <v>317</v>
      </c>
      <c r="E11177" s="1508" t="s">
        <v>6850</v>
      </c>
      <c r="F11177" s="1510"/>
      <c r="G11177" s="617" t="s">
        <v>845</v>
      </c>
      <c r="H11177" s="619">
        <v>4.0000000000000002E-4</v>
      </c>
      <c r="K11177" t="s">
        <v>947</v>
      </c>
      <c r="L11177" t="s">
        <v>692</v>
      </c>
      <c r="P11177" t="s">
        <v>963</v>
      </c>
      <c r="T11177">
        <v>46142</v>
      </c>
      <c r="V11177">
        <v>96</v>
      </c>
    </row>
    <row r="11178" spans="1:22" customFormat="1" ht="15" x14ac:dyDescent="0.25">
      <c r="A11178" t="s">
        <v>317</v>
      </c>
      <c r="E11178" s="1508" t="s">
        <v>6853</v>
      </c>
      <c r="F11178" s="1510"/>
      <c r="G11178" s="617" t="s">
        <v>845</v>
      </c>
      <c r="H11178" s="619">
        <v>1E-4</v>
      </c>
      <c r="K11178" t="s">
        <v>947</v>
      </c>
      <c r="L11178" t="s">
        <v>692</v>
      </c>
      <c r="P11178" t="s">
        <v>3764</v>
      </c>
      <c r="T11178">
        <v>46142</v>
      </c>
      <c r="V11178">
        <v>146</v>
      </c>
    </row>
    <row r="11179" spans="1:22" customFormat="1" ht="15" x14ac:dyDescent="0.25">
      <c r="A11179" t="s">
        <v>317</v>
      </c>
      <c r="E11179" s="1508" t="s">
        <v>243</v>
      </c>
      <c r="F11179" s="1508"/>
      <c r="G11179" s="617" t="s">
        <v>845</v>
      </c>
      <c r="H11179" s="577">
        <v>1.1599999999999999E-2</v>
      </c>
      <c r="K11179" t="s">
        <v>947</v>
      </c>
      <c r="L11179" t="s">
        <v>694</v>
      </c>
      <c r="P11179" t="s">
        <v>964</v>
      </c>
      <c r="V11179">
        <v>47</v>
      </c>
    </row>
    <row r="11180" spans="1:22" customFormat="1" ht="15" x14ac:dyDescent="0.25">
      <c r="A11180" t="s">
        <v>317</v>
      </c>
      <c r="E11180" s="1508" t="s">
        <v>175</v>
      </c>
      <c r="F11180" s="1508"/>
      <c r="G11180" s="617" t="s">
        <v>845</v>
      </c>
      <c r="H11180" s="577">
        <v>9.4999999999999998E-3</v>
      </c>
      <c r="K11180" t="s">
        <v>947</v>
      </c>
      <c r="L11180" t="s">
        <v>694</v>
      </c>
      <c r="P11180" t="s">
        <v>965</v>
      </c>
      <c r="V11180">
        <v>74</v>
      </c>
    </row>
    <row r="11181" spans="1:22" customFormat="1" ht="15" x14ac:dyDescent="0.25">
      <c r="A11181" t="s">
        <v>317</v>
      </c>
      <c r="E11181" s="1523" t="s">
        <v>967</v>
      </c>
      <c r="F11181" s="1522"/>
      <c r="G11181" s="1522"/>
      <c r="H11181" s="1522"/>
      <c r="K11181" t="s">
        <v>966</v>
      </c>
      <c r="V11181">
        <v>48</v>
      </c>
    </row>
    <row r="11182" spans="1:22" customFormat="1" ht="15" x14ac:dyDescent="0.25">
      <c r="A11182" t="s">
        <v>317</v>
      </c>
      <c r="E11182" s="1508" t="s">
        <v>844</v>
      </c>
      <c r="F11182" s="1508"/>
      <c r="G11182" s="620" t="s">
        <v>845</v>
      </c>
      <c r="H11182" s="621">
        <v>4.1000000000000003E-3</v>
      </c>
      <c r="K11182" t="s">
        <v>947</v>
      </c>
      <c r="L11182" t="s">
        <v>968</v>
      </c>
      <c r="P11182" t="s">
        <v>969</v>
      </c>
      <c r="V11182">
        <v>55</v>
      </c>
    </row>
    <row r="11183" spans="1:22" customFormat="1" ht="15" x14ac:dyDescent="0.25">
      <c r="A11183" t="s">
        <v>317</v>
      </c>
      <c r="E11183" s="1508" t="s">
        <v>846</v>
      </c>
      <c r="F11183" s="1508"/>
      <c r="G11183" s="620" t="s">
        <v>845</v>
      </c>
      <c r="H11183" s="621">
        <v>4.0000000000000002E-4</v>
      </c>
      <c r="K11183" t="s">
        <v>947</v>
      </c>
      <c r="L11183" t="s">
        <v>968</v>
      </c>
      <c r="P11183" t="s">
        <v>969</v>
      </c>
      <c r="V11183">
        <v>65</v>
      </c>
    </row>
    <row r="11184" spans="1:22" customFormat="1" ht="15" x14ac:dyDescent="0.25">
      <c r="A11184" t="s">
        <v>317</v>
      </c>
      <c r="E11184" s="1508" t="s">
        <v>847</v>
      </c>
      <c r="F11184" s="1508"/>
      <c r="G11184" s="620" t="s">
        <v>845</v>
      </c>
      <c r="H11184" s="621">
        <v>1.5E-3</v>
      </c>
      <c r="K11184" t="s">
        <v>947</v>
      </c>
      <c r="L11184" t="s">
        <v>968</v>
      </c>
      <c r="P11184" t="s">
        <v>970</v>
      </c>
      <c r="V11184">
        <v>57</v>
      </c>
    </row>
    <row r="11185" spans="1:22" customFormat="1" ht="15" x14ac:dyDescent="0.25">
      <c r="A11185" t="s">
        <v>317</v>
      </c>
      <c r="E11185" s="1508" t="s">
        <v>848</v>
      </c>
      <c r="F11185" s="1508"/>
      <c r="G11185" s="620" t="s">
        <v>777</v>
      </c>
      <c r="H11185" s="622">
        <v>0.25</v>
      </c>
      <c r="K11185" t="s">
        <v>947</v>
      </c>
      <c r="L11185" t="s">
        <v>968</v>
      </c>
      <c r="P11185" t="s">
        <v>971</v>
      </c>
      <c r="V11185">
        <v>63</v>
      </c>
    </row>
    <row r="11186" spans="1:22" customFormat="1" x14ac:dyDescent="0.25">
      <c r="A11186" t="s">
        <v>317</v>
      </c>
      <c r="E11186" s="1642" t="s">
        <v>174</v>
      </c>
      <c r="F11186" s="1642"/>
      <c r="G11186" s="1642"/>
      <c r="H11186" s="1643"/>
      <c r="K11186" t="s">
        <v>972</v>
      </c>
      <c r="V11186">
        <v>54</v>
      </c>
    </row>
    <row r="11187" spans="1:22" customFormat="1" ht="15" x14ac:dyDescent="0.25">
      <c r="A11187" t="s">
        <v>317</v>
      </c>
      <c r="E11187" s="1652" t="s">
        <v>973</v>
      </c>
      <c r="F11187" s="1652"/>
      <c r="G11187" s="1652"/>
      <c r="H11187" s="1652"/>
      <c r="K11187" t="s">
        <v>972</v>
      </c>
      <c r="V11187">
        <v>444</v>
      </c>
    </row>
    <row r="11188" spans="1:22" customFormat="1" ht="15" x14ac:dyDescent="0.25">
      <c r="A11188" t="s">
        <v>317</v>
      </c>
      <c r="E11188" s="1523" t="s">
        <v>950</v>
      </c>
      <c r="F11188" s="1583"/>
      <c r="G11188" s="1583"/>
      <c r="H11188" s="1583"/>
      <c r="K11188" t="s">
        <v>974</v>
      </c>
      <c r="V11188">
        <v>11</v>
      </c>
    </row>
    <row r="11189" spans="1:22" customFormat="1" ht="15" x14ac:dyDescent="0.25">
      <c r="A11189" t="s">
        <v>317</v>
      </c>
      <c r="E11189" s="1652" t="s">
        <v>951</v>
      </c>
      <c r="F11189" s="1652"/>
      <c r="G11189" s="1652"/>
      <c r="H11189" s="1652"/>
      <c r="K11189" t="s">
        <v>972</v>
      </c>
      <c r="V11189">
        <v>280</v>
      </c>
    </row>
    <row r="11190" spans="1:22" customFormat="1" ht="15" x14ac:dyDescent="0.25">
      <c r="A11190" t="s">
        <v>317</v>
      </c>
      <c r="E11190" s="1692" t="s">
        <v>952</v>
      </c>
      <c r="F11190" s="1692"/>
      <c r="G11190" s="1692"/>
      <c r="H11190" s="1692"/>
      <c r="K11190" t="s">
        <v>972</v>
      </c>
      <c r="V11190">
        <v>411</v>
      </c>
    </row>
    <row r="11191" spans="1:22" customFormat="1" ht="15" x14ac:dyDescent="0.25">
      <c r="A11191" t="s">
        <v>317</v>
      </c>
      <c r="E11191" s="1695" t="s">
        <v>953</v>
      </c>
      <c r="F11191" s="1695"/>
      <c r="G11191" s="1695"/>
      <c r="H11191" s="1695"/>
      <c r="K11191" t="s">
        <v>972</v>
      </c>
      <c r="V11191">
        <v>386</v>
      </c>
    </row>
    <row r="11192" spans="1:22" customFormat="1" ht="15" x14ac:dyDescent="0.25">
      <c r="A11192" t="s">
        <v>317</v>
      </c>
      <c r="E11192" s="1653" t="s">
        <v>954</v>
      </c>
      <c r="F11192" s="1653"/>
      <c r="G11192" s="1653"/>
      <c r="H11192" s="1653"/>
      <c r="K11192" t="s">
        <v>972</v>
      </c>
      <c r="V11192">
        <v>246</v>
      </c>
    </row>
    <row r="11193" spans="1:22" customFormat="1" ht="15" x14ac:dyDescent="0.25">
      <c r="A11193" t="s">
        <v>317</v>
      </c>
      <c r="E11193" s="1523" t="s">
        <v>956</v>
      </c>
      <c r="F11193" s="1583"/>
      <c r="G11193" s="1583"/>
      <c r="H11193" s="1583"/>
      <c r="K11193" t="s">
        <v>975</v>
      </c>
      <c r="V11193">
        <v>46</v>
      </c>
    </row>
    <row r="11194" spans="1:22" customFormat="1" ht="15" x14ac:dyDescent="0.25">
      <c r="A11194" t="s">
        <v>317</v>
      </c>
      <c r="E11194" s="1508" t="s">
        <v>958</v>
      </c>
      <c r="F11194" s="1508"/>
      <c r="G11194" s="617" t="s">
        <v>777</v>
      </c>
      <c r="H11194" s="484">
        <v>51.63</v>
      </c>
      <c r="K11194" t="s">
        <v>972</v>
      </c>
      <c r="L11194" t="s">
        <v>690</v>
      </c>
      <c r="P11194" t="s">
        <v>976</v>
      </c>
      <c r="V11194">
        <v>22</v>
      </c>
    </row>
    <row r="11195" spans="1:22" customFormat="1" ht="15" x14ac:dyDescent="0.25">
      <c r="A11195" t="s">
        <v>317</v>
      </c>
      <c r="E11195" s="1508" t="s">
        <v>960</v>
      </c>
      <c r="F11195" s="1508"/>
      <c r="G11195" s="617" t="s">
        <v>777</v>
      </c>
      <c r="H11195" s="484">
        <v>0.42</v>
      </c>
      <c r="K11195" t="s">
        <v>972</v>
      </c>
      <c r="L11195" t="s">
        <v>692</v>
      </c>
      <c r="P11195" t="s">
        <v>977</v>
      </c>
      <c r="V11195">
        <v>64</v>
      </c>
    </row>
    <row r="11196" spans="1:22" customFormat="1" ht="15" x14ac:dyDescent="0.25">
      <c r="A11196" t="s">
        <v>317</v>
      </c>
      <c r="E11196" s="1508" t="s">
        <v>979</v>
      </c>
      <c r="F11196" s="1508"/>
      <c r="G11196" s="617" t="s">
        <v>845</v>
      </c>
      <c r="H11196" s="577">
        <v>2.12E-2</v>
      </c>
      <c r="K11196" t="s">
        <v>972</v>
      </c>
      <c r="L11196" t="s">
        <v>690</v>
      </c>
      <c r="P11196" t="s">
        <v>978</v>
      </c>
      <c r="V11196">
        <v>29</v>
      </c>
    </row>
    <row r="11197" spans="1:22" customFormat="1" ht="15" x14ac:dyDescent="0.25">
      <c r="A11197" t="s">
        <v>317</v>
      </c>
      <c r="E11197" s="1508" t="s">
        <v>910</v>
      </c>
      <c r="F11197" s="1508"/>
      <c r="G11197" s="617" t="s">
        <v>845</v>
      </c>
      <c r="H11197" s="619">
        <v>3.3E-3</v>
      </c>
      <c r="K11197" t="s">
        <v>972</v>
      </c>
      <c r="L11197" t="s">
        <v>692</v>
      </c>
      <c r="P11197" t="s">
        <v>980</v>
      </c>
      <c r="V11197">
        <v>24</v>
      </c>
    </row>
    <row r="11198" spans="1:22" customFormat="1" ht="15" x14ac:dyDescent="0.25">
      <c r="A11198" t="s">
        <v>317</v>
      </c>
      <c r="E11198" s="1508" t="s">
        <v>6849</v>
      </c>
      <c r="F11198" s="1510"/>
      <c r="G11198" s="617" t="s">
        <v>845</v>
      </c>
      <c r="H11198" s="619">
        <v>1E-4</v>
      </c>
      <c r="K11198" t="s">
        <v>972</v>
      </c>
      <c r="L11198" t="s">
        <v>692</v>
      </c>
      <c r="P11198" t="s">
        <v>981</v>
      </c>
      <c r="T11198">
        <v>46142</v>
      </c>
      <c r="V11198">
        <v>139</v>
      </c>
    </row>
    <row r="11199" spans="1:22" customFormat="1" ht="15" x14ac:dyDescent="0.25">
      <c r="A11199" t="s">
        <v>317</v>
      </c>
      <c r="E11199" s="1508" t="s">
        <v>6850</v>
      </c>
      <c r="F11199" s="1510"/>
      <c r="G11199" s="617" t="s">
        <v>845</v>
      </c>
      <c r="H11199" s="619">
        <v>5.9999999999999995E-4</v>
      </c>
      <c r="K11199" t="s">
        <v>972</v>
      </c>
      <c r="L11199" t="s">
        <v>692</v>
      </c>
      <c r="P11199" t="s">
        <v>982</v>
      </c>
      <c r="T11199">
        <v>46142</v>
      </c>
      <c r="V11199">
        <v>96</v>
      </c>
    </row>
    <row r="11200" spans="1:22" customFormat="1" ht="15" x14ac:dyDescent="0.25">
      <c r="A11200" t="s">
        <v>317</v>
      </c>
      <c r="E11200" s="1508" t="s">
        <v>6853</v>
      </c>
      <c r="F11200" s="1510"/>
      <c r="G11200" s="617" t="s">
        <v>845</v>
      </c>
      <c r="H11200" s="619">
        <v>1E-4</v>
      </c>
      <c r="K11200" t="s">
        <v>972</v>
      </c>
      <c r="L11200" t="s">
        <v>692</v>
      </c>
      <c r="P11200" t="s">
        <v>3766</v>
      </c>
      <c r="T11200">
        <v>46142</v>
      </c>
      <c r="V11200">
        <v>146</v>
      </c>
    </row>
    <row r="11201" spans="1:22" customFormat="1" ht="15" x14ac:dyDescent="0.25">
      <c r="A11201" t="s">
        <v>317</v>
      </c>
      <c r="E11201" s="1508" t="s">
        <v>243</v>
      </c>
      <c r="F11201" s="1508"/>
      <c r="G11201" s="617" t="s">
        <v>845</v>
      </c>
      <c r="H11201" s="577">
        <v>1.0800000000000001E-2</v>
      </c>
      <c r="K11201" t="s">
        <v>972</v>
      </c>
      <c r="L11201" t="s">
        <v>694</v>
      </c>
      <c r="P11201" t="s">
        <v>983</v>
      </c>
      <c r="V11201">
        <v>47</v>
      </c>
    </row>
    <row r="11202" spans="1:22" customFormat="1" ht="15" x14ac:dyDescent="0.25">
      <c r="A11202" t="s">
        <v>317</v>
      </c>
      <c r="E11202" s="1508" t="s">
        <v>175</v>
      </c>
      <c r="F11202" s="1508"/>
      <c r="G11202" s="617" t="s">
        <v>845</v>
      </c>
      <c r="H11202" s="577">
        <v>7.9000000000000008E-3</v>
      </c>
      <c r="K11202" t="s">
        <v>972</v>
      </c>
      <c r="L11202" t="s">
        <v>694</v>
      </c>
      <c r="P11202" t="s">
        <v>984</v>
      </c>
      <c r="V11202">
        <v>74</v>
      </c>
    </row>
    <row r="11203" spans="1:22" customFormat="1" ht="15" x14ac:dyDescent="0.25">
      <c r="A11203" t="s">
        <v>317</v>
      </c>
      <c r="E11203" s="1523" t="s">
        <v>967</v>
      </c>
      <c r="F11203" s="1522"/>
      <c r="G11203" s="1522"/>
      <c r="H11203" s="1522"/>
      <c r="K11203" t="s">
        <v>985</v>
      </c>
      <c r="V11203">
        <v>48</v>
      </c>
    </row>
    <row r="11204" spans="1:22" customFormat="1" ht="15" x14ac:dyDescent="0.25">
      <c r="A11204" t="s">
        <v>317</v>
      </c>
      <c r="E11204" s="1508" t="s">
        <v>844</v>
      </c>
      <c r="F11204" s="1508"/>
      <c r="G11204" s="620" t="s">
        <v>845</v>
      </c>
      <c r="H11204" s="621">
        <v>4.1000000000000003E-3</v>
      </c>
      <c r="K11204" t="s">
        <v>972</v>
      </c>
      <c r="L11204" t="s">
        <v>968</v>
      </c>
      <c r="P11204" t="s">
        <v>986</v>
      </c>
      <c r="V11204">
        <v>55</v>
      </c>
    </row>
    <row r="11205" spans="1:22" customFormat="1" ht="15" x14ac:dyDescent="0.25">
      <c r="A11205" t="s">
        <v>317</v>
      </c>
      <c r="E11205" s="1508" t="s">
        <v>846</v>
      </c>
      <c r="F11205" s="1508"/>
      <c r="G11205" s="620" t="s">
        <v>845</v>
      </c>
      <c r="H11205" s="621">
        <v>4.0000000000000002E-4</v>
      </c>
      <c r="K11205" t="s">
        <v>972</v>
      </c>
      <c r="L11205" t="s">
        <v>968</v>
      </c>
      <c r="P11205" t="s">
        <v>986</v>
      </c>
      <c r="V11205">
        <v>65</v>
      </c>
    </row>
    <row r="11206" spans="1:22" customFormat="1" ht="15" x14ac:dyDescent="0.25">
      <c r="A11206" t="s">
        <v>317</v>
      </c>
      <c r="E11206" s="1508" t="s">
        <v>847</v>
      </c>
      <c r="F11206" s="1508"/>
      <c r="G11206" s="620" t="s">
        <v>845</v>
      </c>
      <c r="H11206" s="621">
        <v>1.5E-3</v>
      </c>
      <c r="K11206" t="s">
        <v>972</v>
      </c>
      <c r="L11206" t="s">
        <v>968</v>
      </c>
      <c r="P11206" t="s">
        <v>987</v>
      </c>
      <c r="V11206">
        <v>57</v>
      </c>
    </row>
    <row r="11207" spans="1:22" customFormat="1" ht="15" x14ac:dyDescent="0.25">
      <c r="A11207" t="s">
        <v>317</v>
      </c>
      <c r="E11207" s="1508" t="s">
        <v>848</v>
      </c>
      <c r="F11207" s="1508"/>
      <c r="G11207" s="620" t="s">
        <v>777</v>
      </c>
      <c r="H11207" s="622">
        <v>0.25</v>
      </c>
      <c r="K11207" t="s">
        <v>972</v>
      </c>
      <c r="L11207" t="s">
        <v>968</v>
      </c>
      <c r="P11207" t="s">
        <v>988</v>
      </c>
      <c r="V11207">
        <v>63</v>
      </c>
    </row>
    <row r="11208" spans="1:22" customFormat="1" x14ac:dyDescent="0.25">
      <c r="A11208" t="s">
        <v>317</v>
      </c>
      <c r="E11208" s="1642" t="s">
        <v>990</v>
      </c>
      <c r="F11208" s="1642"/>
      <c r="G11208" s="1642"/>
      <c r="H11208" s="1643"/>
      <c r="K11208" t="s">
        <v>989</v>
      </c>
      <c r="V11208">
        <v>51</v>
      </c>
    </row>
    <row r="11209" spans="1:22" customFormat="1" ht="15" x14ac:dyDescent="0.25">
      <c r="A11209" t="s">
        <v>317</v>
      </c>
      <c r="E11209" s="1652" t="s">
        <v>991</v>
      </c>
      <c r="F11209" s="1652"/>
      <c r="G11209" s="1652"/>
      <c r="H11209" s="1652"/>
      <c r="K11209" t="s">
        <v>989</v>
      </c>
      <c r="V11209">
        <v>374</v>
      </c>
    </row>
    <row r="11210" spans="1:22" customFormat="1" ht="15" x14ac:dyDescent="0.25">
      <c r="A11210" t="s">
        <v>317</v>
      </c>
      <c r="E11210" s="1523" t="s">
        <v>950</v>
      </c>
      <c r="F11210" s="1583"/>
      <c r="G11210" s="1583"/>
      <c r="H11210" s="1583"/>
      <c r="K11210" t="s">
        <v>992</v>
      </c>
      <c r="V11210">
        <v>11</v>
      </c>
    </row>
    <row r="11211" spans="1:22" customFormat="1" ht="15" x14ac:dyDescent="0.25">
      <c r="A11211" t="s">
        <v>317</v>
      </c>
      <c r="E11211" s="1652" t="s">
        <v>951</v>
      </c>
      <c r="F11211" s="1652"/>
      <c r="G11211" s="1652"/>
      <c r="H11211" s="1652"/>
      <c r="K11211" t="s">
        <v>989</v>
      </c>
      <c r="V11211">
        <v>280</v>
      </c>
    </row>
    <row r="11212" spans="1:22" customFormat="1" ht="15" x14ac:dyDescent="0.25">
      <c r="A11212" t="s">
        <v>317</v>
      </c>
      <c r="E11212" s="1692" t="s">
        <v>952</v>
      </c>
      <c r="F11212" s="1692"/>
      <c r="G11212" s="1692"/>
      <c r="H11212" s="1692"/>
      <c r="K11212" t="s">
        <v>989</v>
      </c>
      <c r="V11212">
        <v>411</v>
      </c>
    </row>
    <row r="11213" spans="1:22" customFormat="1" ht="15" x14ac:dyDescent="0.25">
      <c r="A11213" t="s">
        <v>317</v>
      </c>
      <c r="E11213" s="1695" t="s">
        <v>953</v>
      </c>
      <c r="F11213" s="1695"/>
      <c r="G11213" s="1695"/>
      <c r="H11213" s="1695"/>
      <c r="K11213" t="s">
        <v>989</v>
      </c>
      <c r="V11213">
        <v>386</v>
      </c>
    </row>
    <row r="11214" spans="1:22" customFormat="1" ht="15" x14ac:dyDescent="0.25">
      <c r="A11214" t="s">
        <v>317</v>
      </c>
      <c r="E11214" s="1583" t="s">
        <v>993</v>
      </c>
      <c r="F11214" s="1583"/>
      <c r="G11214" s="1583"/>
      <c r="H11214" s="1583"/>
      <c r="K11214" t="s">
        <v>989</v>
      </c>
      <c r="V11214">
        <v>680</v>
      </c>
    </row>
    <row r="11215" spans="1:22" customFormat="1" ht="15" x14ac:dyDescent="0.25">
      <c r="A11215" t="s">
        <v>317</v>
      </c>
      <c r="E11215" s="1583" t="s">
        <v>994</v>
      </c>
      <c r="F11215" s="1583"/>
      <c r="G11215" s="1583"/>
      <c r="H11215" s="1583"/>
      <c r="K11215" t="s">
        <v>989</v>
      </c>
      <c r="V11215">
        <v>725</v>
      </c>
    </row>
    <row r="11216" spans="1:22" customFormat="1" ht="15" x14ac:dyDescent="0.25">
      <c r="A11216" t="s">
        <v>317</v>
      </c>
      <c r="E11216" s="1653" t="s">
        <v>954</v>
      </c>
      <c r="F11216" s="1653"/>
      <c r="G11216" s="1653"/>
      <c r="H11216" s="1653"/>
      <c r="K11216" t="s">
        <v>989</v>
      </c>
      <c r="V11216">
        <v>246</v>
      </c>
    </row>
    <row r="11217" spans="1:22" customFormat="1" ht="15" x14ac:dyDescent="0.25">
      <c r="A11217" t="s">
        <v>317</v>
      </c>
      <c r="E11217" s="1523" t="s">
        <v>956</v>
      </c>
      <c r="F11217" s="1583"/>
      <c r="G11217" s="1583"/>
      <c r="H11217" s="1583"/>
      <c r="K11217" t="s">
        <v>995</v>
      </c>
      <c r="V11217">
        <v>46</v>
      </c>
    </row>
    <row r="11218" spans="1:22" customFormat="1" ht="15" x14ac:dyDescent="0.25">
      <c r="A11218" t="s">
        <v>317</v>
      </c>
      <c r="E11218" s="1508" t="s">
        <v>958</v>
      </c>
      <c r="F11218" s="1508"/>
      <c r="G11218" s="617" t="s">
        <v>777</v>
      </c>
      <c r="H11218" s="484">
        <v>308.19</v>
      </c>
      <c r="K11218" t="s">
        <v>989</v>
      </c>
      <c r="L11218" t="s">
        <v>690</v>
      </c>
      <c r="P11218" t="s">
        <v>996</v>
      </c>
      <c r="V11218">
        <v>22</v>
      </c>
    </row>
    <row r="11219" spans="1:22" customFormat="1" ht="15" x14ac:dyDescent="0.25">
      <c r="A11219" t="s">
        <v>317</v>
      </c>
      <c r="E11219" s="1508" t="s">
        <v>979</v>
      </c>
      <c r="F11219" s="1508"/>
      <c r="G11219" s="617" t="s">
        <v>3775</v>
      </c>
      <c r="H11219" s="577">
        <v>3.5741999999999998</v>
      </c>
      <c r="K11219" t="s">
        <v>989</v>
      </c>
      <c r="L11219" t="s">
        <v>690</v>
      </c>
      <c r="P11219" t="s">
        <v>997</v>
      </c>
      <c r="V11219">
        <v>29</v>
      </c>
    </row>
    <row r="11220" spans="1:22" customFormat="1" ht="15" x14ac:dyDescent="0.25">
      <c r="A11220" t="s">
        <v>317</v>
      </c>
      <c r="E11220" s="1508" t="s">
        <v>910</v>
      </c>
      <c r="F11220" s="1508"/>
      <c r="G11220" s="617" t="s">
        <v>3775</v>
      </c>
      <c r="H11220" s="619">
        <v>1.2569999999999999</v>
      </c>
      <c r="K11220" t="s">
        <v>989</v>
      </c>
      <c r="L11220" t="s">
        <v>692</v>
      </c>
      <c r="P11220" t="s">
        <v>998</v>
      </c>
      <c r="V11220">
        <v>24</v>
      </c>
    </row>
    <row r="11221" spans="1:22" customFormat="1" ht="15" x14ac:dyDescent="0.25">
      <c r="A11221" t="s">
        <v>317</v>
      </c>
      <c r="E11221" s="1508" t="s">
        <v>6849</v>
      </c>
      <c r="F11221" s="1510"/>
      <c r="G11221" s="617" t="s">
        <v>845</v>
      </c>
      <c r="H11221" s="619">
        <v>1E-4</v>
      </c>
      <c r="K11221" t="s">
        <v>989</v>
      </c>
      <c r="L11221" t="s">
        <v>692</v>
      </c>
      <c r="P11221" t="s">
        <v>999</v>
      </c>
      <c r="T11221">
        <v>46142</v>
      </c>
      <c r="V11221">
        <v>139</v>
      </c>
    </row>
    <row r="11222" spans="1:22" customFormat="1" ht="15" x14ac:dyDescent="0.25">
      <c r="A11222" t="s">
        <v>317</v>
      </c>
      <c r="E11222" s="1508" t="s">
        <v>6850</v>
      </c>
      <c r="F11222" s="1510"/>
      <c r="G11222" s="617" t="s">
        <v>3775</v>
      </c>
      <c r="H11222" s="619">
        <v>0.2089</v>
      </c>
      <c r="K11222" t="s">
        <v>989</v>
      </c>
      <c r="L11222" t="s">
        <v>692</v>
      </c>
      <c r="P11222" t="s">
        <v>1000</v>
      </c>
      <c r="T11222">
        <v>46142</v>
      </c>
      <c r="V11222">
        <v>96</v>
      </c>
    </row>
    <row r="11223" spans="1:22" customFormat="1" ht="15" x14ac:dyDescent="0.25">
      <c r="A11223" t="s">
        <v>317</v>
      </c>
      <c r="E11223" s="1508" t="s">
        <v>6973</v>
      </c>
      <c r="F11223" s="1510"/>
      <c r="G11223" s="617" t="s">
        <v>3775</v>
      </c>
      <c r="H11223" s="619">
        <v>2.1399999999999999E-2</v>
      </c>
      <c r="K11223" t="s">
        <v>989</v>
      </c>
      <c r="L11223" t="s">
        <v>692</v>
      </c>
      <c r="P11223" t="s">
        <v>4166</v>
      </c>
      <c r="T11223">
        <v>46142</v>
      </c>
      <c r="V11223">
        <v>145</v>
      </c>
    </row>
    <row r="11224" spans="1:22" customFormat="1" ht="15" x14ac:dyDescent="0.25">
      <c r="A11224" t="s">
        <v>317</v>
      </c>
      <c r="E11224" s="1508" t="s">
        <v>243</v>
      </c>
      <c r="F11224" s="1508"/>
      <c r="G11224" s="617" t="s">
        <v>3775</v>
      </c>
      <c r="H11224" s="577">
        <v>4.4743000000000004</v>
      </c>
      <c r="K11224" t="s">
        <v>989</v>
      </c>
      <c r="L11224" t="s">
        <v>694</v>
      </c>
      <c r="P11224" t="s">
        <v>1001</v>
      </c>
      <c r="V11224">
        <v>47</v>
      </c>
    </row>
    <row r="11225" spans="1:22" customFormat="1" ht="15" x14ac:dyDescent="0.25">
      <c r="A11225" t="s">
        <v>317</v>
      </c>
      <c r="E11225" s="1508" t="s">
        <v>175</v>
      </c>
      <c r="F11225" s="1508"/>
      <c r="G11225" s="617" t="s">
        <v>3775</v>
      </c>
      <c r="H11225" s="577">
        <v>3.2078000000000002</v>
      </c>
      <c r="K11225" t="s">
        <v>989</v>
      </c>
      <c r="L11225" t="s">
        <v>694</v>
      </c>
      <c r="P11225" t="s">
        <v>1002</v>
      </c>
      <c r="V11225">
        <v>74</v>
      </c>
    </row>
    <row r="11226" spans="1:22" customFormat="1" ht="15" x14ac:dyDescent="0.25">
      <c r="A11226" t="s">
        <v>317</v>
      </c>
      <c r="E11226" s="1523" t="s">
        <v>967</v>
      </c>
      <c r="F11226" s="1522"/>
      <c r="G11226" s="1522"/>
      <c r="H11226" s="1522"/>
      <c r="K11226" t="s">
        <v>1003</v>
      </c>
      <c r="V11226">
        <v>48</v>
      </c>
    </row>
    <row r="11227" spans="1:22" customFormat="1" ht="15" x14ac:dyDescent="0.25">
      <c r="A11227" t="s">
        <v>317</v>
      </c>
      <c r="E11227" s="1508" t="s">
        <v>844</v>
      </c>
      <c r="F11227" s="1508"/>
      <c r="G11227" s="617" t="s">
        <v>845</v>
      </c>
      <c r="H11227" s="485">
        <v>4.1000000000000003E-3</v>
      </c>
      <c r="K11227" t="s">
        <v>989</v>
      </c>
      <c r="L11227" t="s">
        <v>968</v>
      </c>
      <c r="P11227" t="s">
        <v>1004</v>
      </c>
      <c r="V11227">
        <v>55</v>
      </c>
    </row>
    <row r="11228" spans="1:22" customFormat="1" ht="15" x14ac:dyDescent="0.25">
      <c r="A11228" t="s">
        <v>317</v>
      </c>
      <c r="E11228" s="1508" t="s">
        <v>846</v>
      </c>
      <c r="F11228" s="1508"/>
      <c r="G11228" s="617" t="s">
        <v>845</v>
      </c>
      <c r="H11228" s="485">
        <v>4.0000000000000002E-4</v>
      </c>
      <c r="K11228" t="s">
        <v>989</v>
      </c>
      <c r="L11228" t="s">
        <v>968</v>
      </c>
      <c r="P11228" t="s">
        <v>1004</v>
      </c>
      <c r="V11228">
        <v>65</v>
      </c>
    </row>
    <row r="11229" spans="1:22" customFormat="1" ht="15" x14ac:dyDescent="0.25">
      <c r="A11229" t="s">
        <v>317</v>
      </c>
      <c r="E11229" s="1508" t="s">
        <v>847</v>
      </c>
      <c r="F11229" s="1508"/>
      <c r="G11229" s="617" t="s">
        <v>845</v>
      </c>
      <c r="H11229" s="485">
        <v>1.5E-3</v>
      </c>
      <c r="K11229" t="s">
        <v>989</v>
      </c>
      <c r="L11229" t="s">
        <v>968</v>
      </c>
      <c r="P11229" t="s">
        <v>1005</v>
      </c>
      <c r="V11229">
        <v>57</v>
      </c>
    </row>
    <row r="11230" spans="1:22" customFormat="1" ht="15" x14ac:dyDescent="0.25">
      <c r="A11230" t="s">
        <v>317</v>
      </c>
      <c r="E11230" s="1508" t="s">
        <v>848</v>
      </c>
      <c r="F11230" s="1508"/>
      <c r="G11230" s="620" t="s">
        <v>777</v>
      </c>
      <c r="H11230" s="622">
        <v>0.25</v>
      </c>
      <c r="K11230" t="s">
        <v>989</v>
      </c>
      <c r="L11230" t="s">
        <v>968</v>
      </c>
      <c r="P11230" t="s">
        <v>1006</v>
      </c>
      <c r="V11230">
        <v>63</v>
      </c>
    </row>
    <row r="11231" spans="1:22" customFormat="1" x14ac:dyDescent="0.25">
      <c r="A11231" t="s">
        <v>317</v>
      </c>
      <c r="E11231" s="1642" t="s">
        <v>1008</v>
      </c>
      <c r="F11231" s="1642"/>
      <c r="G11231" s="1642"/>
      <c r="H11231" s="1643"/>
      <c r="K11231" t="s">
        <v>1007</v>
      </c>
      <c r="V11231">
        <v>56</v>
      </c>
    </row>
    <row r="11232" spans="1:22" customFormat="1" ht="15" x14ac:dyDescent="0.25">
      <c r="A11232" t="s">
        <v>317</v>
      </c>
      <c r="E11232" s="1652" t="s">
        <v>1009</v>
      </c>
      <c r="F11232" s="1652"/>
      <c r="G11232" s="1652"/>
      <c r="H11232" s="1652"/>
      <c r="K11232" t="s">
        <v>1007</v>
      </c>
      <c r="V11232">
        <v>389</v>
      </c>
    </row>
    <row r="11233" spans="1:22" customFormat="1" ht="15" x14ac:dyDescent="0.25">
      <c r="A11233" t="s">
        <v>317</v>
      </c>
      <c r="E11233" s="1520" t="s">
        <v>950</v>
      </c>
      <c r="F11233" s="1521"/>
      <c r="G11233" s="1521"/>
      <c r="H11233" s="1521"/>
      <c r="K11233" t="s">
        <v>1010</v>
      </c>
      <c r="V11233">
        <v>11</v>
      </c>
    </row>
    <row r="11234" spans="1:22" customFormat="1" ht="15" x14ac:dyDescent="0.25">
      <c r="A11234" t="s">
        <v>317</v>
      </c>
      <c r="E11234" s="1652" t="s">
        <v>951</v>
      </c>
      <c r="F11234" s="1652"/>
      <c r="G11234" s="1652"/>
      <c r="H11234" s="1652"/>
      <c r="K11234" t="s">
        <v>1007</v>
      </c>
      <c r="V11234">
        <v>280</v>
      </c>
    </row>
    <row r="11235" spans="1:22" customFormat="1" ht="15" x14ac:dyDescent="0.25">
      <c r="A11235" t="s">
        <v>317</v>
      </c>
      <c r="E11235" s="1692" t="s">
        <v>952</v>
      </c>
      <c r="F11235" s="1692"/>
      <c r="G11235" s="1692"/>
      <c r="H11235" s="1692"/>
      <c r="K11235" t="s">
        <v>1007</v>
      </c>
      <c r="V11235">
        <v>411</v>
      </c>
    </row>
    <row r="11236" spans="1:22" customFormat="1" ht="15" x14ac:dyDescent="0.25">
      <c r="A11236" t="s">
        <v>317</v>
      </c>
      <c r="E11236" s="1695" t="s">
        <v>953</v>
      </c>
      <c r="F11236" s="1695"/>
      <c r="G11236" s="1695"/>
      <c r="H11236" s="1695"/>
      <c r="K11236" t="s">
        <v>1007</v>
      </c>
      <c r="V11236">
        <v>386</v>
      </c>
    </row>
    <row r="11237" spans="1:22" customFormat="1" ht="15" x14ac:dyDescent="0.25">
      <c r="A11237" t="s">
        <v>317</v>
      </c>
      <c r="E11237" s="1583" t="s">
        <v>993</v>
      </c>
      <c r="F11237" s="1583"/>
      <c r="G11237" s="1583"/>
      <c r="H11237" s="1583"/>
      <c r="K11237" t="s">
        <v>1007</v>
      </c>
      <c r="V11237">
        <v>680</v>
      </c>
    </row>
    <row r="11238" spans="1:22" customFormat="1" ht="15" x14ac:dyDescent="0.25">
      <c r="A11238" t="s">
        <v>317</v>
      </c>
      <c r="E11238" s="1583" t="s">
        <v>994</v>
      </c>
      <c r="F11238" s="1583"/>
      <c r="G11238" s="1583"/>
      <c r="H11238" s="1583"/>
      <c r="K11238" t="s">
        <v>1007</v>
      </c>
      <c r="V11238">
        <v>725</v>
      </c>
    </row>
    <row r="11239" spans="1:22" customFormat="1" ht="15" x14ac:dyDescent="0.25">
      <c r="A11239" t="s">
        <v>317</v>
      </c>
      <c r="E11239" s="1653" t="s">
        <v>954</v>
      </c>
      <c r="F11239" s="1653"/>
      <c r="G11239" s="1653"/>
      <c r="H11239" s="1653"/>
      <c r="K11239" t="s">
        <v>1007</v>
      </c>
      <c r="V11239">
        <v>246</v>
      </c>
    </row>
    <row r="11240" spans="1:22" customFormat="1" ht="15" x14ac:dyDescent="0.25">
      <c r="A11240" t="s">
        <v>317</v>
      </c>
      <c r="E11240" s="1520" t="s">
        <v>956</v>
      </c>
      <c r="F11240" s="1521"/>
      <c r="G11240" s="1521"/>
      <c r="H11240" s="1521"/>
      <c r="K11240" t="s">
        <v>1011</v>
      </c>
      <c r="V11240">
        <v>46</v>
      </c>
    </row>
    <row r="11241" spans="1:22" customFormat="1" ht="15" x14ac:dyDescent="0.25">
      <c r="A11241" t="s">
        <v>317</v>
      </c>
      <c r="E11241" s="1508" t="s">
        <v>958</v>
      </c>
      <c r="F11241" s="1508"/>
      <c r="G11241" s="617" t="s">
        <v>777</v>
      </c>
      <c r="H11241" s="484">
        <v>2518.88</v>
      </c>
      <c r="K11241" t="s">
        <v>1007</v>
      </c>
      <c r="L11241" t="s">
        <v>690</v>
      </c>
      <c r="P11241" t="s">
        <v>1012</v>
      </c>
      <c r="V11241">
        <v>22</v>
      </c>
    </row>
    <row r="11242" spans="1:22" customFormat="1" ht="15" x14ac:dyDescent="0.25">
      <c r="A11242" t="s">
        <v>317</v>
      </c>
      <c r="E11242" s="1508" t="s">
        <v>979</v>
      </c>
      <c r="F11242" s="1508"/>
      <c r="G11242" s="617" t="s">
        <v>3775</v>
      </c>
      <c r="H11242" s="577">
        <v>3.9617</v>
      </c>
      <c r="K11242" t="s">
        <v>1007</v>
      </c>
      <c r="L11242" t="s">
        <v>690</v>
      </c>
      <c r="P11242" t="s">
        <v>1013</v>
      </c>
      <c r="V11242">
        <v>29</v>
      </c>
    </row>
    <row r="11243" spans="1:22" customFormat="1" ht="15" x14ac:dyDescent="0.25">
      <c r="A11243" t="s">
        <v>317</v>
      </c>
      <c r="E11243" s="1508" t="s">
        <v>910</v>
      </c>
      <c r="F11243" s="1508"/>
      <c r="G11243" s="617" t="s">
        <v>3775</v>
      </c>
      <c r="H11243" s="485">
        <v>1.3781000000000001</v>
      </c>
      <c r="K11243" t="s">
        <v>1007</v>
      </c>
      <c r="L11243" t="s">
        <v>692</v>
      </c>
      <c r="P11243" t="s">
        <v>1014</v>
      </c>
      <c r="V11243">
        <v>24</v>
      </c>
    </row>
    <row r="11244" spans="1:22" customFormat="1" ht="15" x14ac:dyDescent="0.25">
      <c r="A11244" t="s">
        <v>317</v>
      </c>
      <c r="E11244" s="1508" t="s">
        <v>6850</v>
      </c>
      <c r="F11244" s="1510"/>
      <c r="G11244" s="617" t="s">
        <v>3775</v>
      </c>
      <c r="H11244" s="485">
        <v>0.30349999999999999</v>
      </c>
      <c r="K11244" t="s">
        <v>1007</v>
      </c>
      <c r="L11244" t="s">
        <v>692</v>
      </c>
      <c r="P11244" t="s">
        <v>1016</v>
      </c>
      <c r="T11244">
        <v>46142</v>
      </c>
      <c r="V11244">
        <v>96</v>
      </c>
    </row>
    <row r="11245" spans="1:22" customFormat="1" ht="15" x14ac:dyDescent="0.25">
      <c r="A11245" t="s">
        <v>317</v>
      </c>
      <c r="E11245" s="1508" t="s">
        <v>243</v>
      </c>
      <c r="F11245" s="1508"/>
      <c r="G11245" s="617" t="s">
        <v>3775</v>
      </c>
      <c r="H11245" s="577">
        <v>4.7523999999999997</v>
      </c>
      <c r="K11245" t="s">
        <v>1007</v>
      </c>
      <c r="L11245" t="s">
        <v>694</v>
      </c>
      <c r="P11245" t="s">
        <v>1017</v>
      </c>
      <c r="V11245">
        <v>47</v>
      </c>
    </row>
    <row r="11246" spans="1:22" customFormat="1" ht="15" x14ac:dyDescent="0.25">
      <c r="A11246" t="s">
        <v>317</v>
      </c>
      <c r="E11246" s="1508" t="s">
        <v>175</v>
      </c>
      <c r="F11246" s="1508"/>
      <c r="G11246" s="617" t="s">
        <v>3775</v>
      </c>
      <c r="H11246" s="577">
        <v>3.5169000000000001</v>
      </c>
      <c r="K11246" t="s">
        <v>1007</v>
      </c>
      <c r="L11246" t="s">
        <v>694</v>
      </c>
      <c r="P11246" t="s">
        <v>1018</v>
      </c>
      <c r="V11246">
        <v>74</v>
      </c>
    </row>
    <row r="11247" spans="1:22" customFormat="1" ht="15" x14ac:dyDescent="0.25">
      <c r="A11247" t="s">
        <v>317</v>
      </c>
      <c r="E11247" s="1523" t="s">
        <v>967</v>
      </c>
      <c r="F11247" s="1522"/>
      <c r="G11247" s="1522"/>
      <c r="H11247" s="1522"/>
      <c r="K11247" t="s">
        <v>1019</v>
      </c>
      <c r="V11247">
        <v>48</v>
      </c>
    </row>
    <row r="11248" spans="1:22" customFormat="1" ht="15" x14ac:dyDescent="0.25">
      <c r="A11248" t="s">
        <v>317</v>
      </c>
      <c r="E11248" s="1508" t="s">
        <v>844</v>
      </c>
      <c r="F11248" s="1508"/>
      <c r="G11248" s="620" t="s">
        <v>845</v>
      </c>
      <c r="H11248" s="621">
        <v>4.1000000000000003E-3</v>
      </c>
      <c r="K11248" t="s">
        <v>1007</v>
      </c>
      <c r="L11248" t="s">
        <v>968</v>
      </c>
      <c r="P11248" t="s">
        <v>1020</v>
      </c>
      <c r="V11248">
        <v>55</v>
      </c>
    </row>
    <row r="11249" spans="1:22" customFormat="1" ht="15" x14ac:dyDescent="0.25">
      <c r="A11249" t="s">
        <v>317</v>
      </c>
      <c r="E11249" s="1508" t="s">
        <v>846</v>
      </c>
      <c r="F11249" s="1508"/>
      <c r="G11249" s="620" t="s">
        <v>845</v>
      </c>
      <c r="H11249" s="621">
        <v>4.0000000000000002E-4</v>
      </c>
      <c r="K11249" t="s">
        <v>1007</v>
      </c>
      <c r="L11249" t="s">
        <v>968</v>
      </c>
      <c r="P11249" t="s">
        <v>1020</v>
      </c>
      <c r="V11249">
        <v>65</v>
      </c>
    </row>
    <row r="11250" spans="1:22" customFormat="1" ht="15" x14ac:dyDescent="0.25">
      <c r="A11250" t="s">
        <v>317</v>
      </c>
      <c r="E11250" s="1508" t="s">
        <v>847</v>
      </c>
      <c r="F11250" s="1508"/>
      <c r="G11250" s="620" t="s">
        <v>845</v>
      </c>
      <c r="H11250" s="621">
        <v>1.5E-3</v>
      </c>
      <c r="K11250" t="s">
        <v>1007</v>
      </c>
      <c r="L11250" t="s">
        <v>968</v>
      </c>
      <c r="P11250" t="s">
        <v>1021</v>
      </c>
      <c r="V11250">
        <v>57</v>
      </c>
    </row>
    <row r="11251" spans="1:22" customFormat="1" ht="15" x14ac:dyDescent="0.25">
      <c r="A11251" t="s">
        <v>317</v>
      </c>
      <c r="E11251" s="1508" t="s">
        <v>848</v>
      </c>
      <c r="F11251" s="1508"/>
      <c r="G11251" s="620" t="s">
        <v>777</v>
      </c>
      <c r="H11251" s="622">
        <v>0.25</v>
      </c>
      <c r="K11251" t="s">
        <v>1007</v>
      </c>
      <c r="L11251" t="s">
        <v>968</v>
      </c>
      <c r="P11251" t="s">
        <v>1022</v>
      </c>
      <c r="V11251">
        <v>63</v>
      </c>
    </row>
    <row r="11252" spans="1:22" customFormat="1" x14ac:dyDescent="0.25">
      <c r="A11252" t="s">
        <v>317</v>
      </c>
      <c r="E11252" s="1642" t="s">
        <v>194</v>
      </c>
      <c r="F11252" s="1642"/>
      <c r="G11252" s="1642"/>
      <c r="H11252" s="1643"/>
      <c r="K11252" t="s">
        <v>1023</v>
      </c>
      <c r="V11252">
        <v>47</v>
      </c>
    </row>
    <row r="11253" spans="1:22" customFormat="1" ht="15" x14ac:dyDescent="0.25">
      <c r="A11253" t="s">
        <v>317</v>
      </c>
      <c r="E11253" s="1652" t="s">
        <v>1024</v>
      </c>
      <c r="F11253" s="1652"/>
      <c r="G11253" s="1652"/>
      <c r="H11253" s="1652"/>
      <c r="K11253" t="s">
        <v>1023</v>
      </c>
      <c r="V11253">
        <v>721</v>
      </c>
    </row>
    <row r="11254" spans="1:22" customFormat="1" ht="15" x14ac:dyDescent="0.25">
      <c r="A11254" t="s">
        <v>317</v>
      </c>
      <c r="E11254" s="1520" t="s">
        <v>950</v>
      </c>
      <c r="F11254" s="1521"/>
      <c r="G11254" s="1521"/>
      <c r="H11254" s="1521"/>
      <c r="K11254" t="s">
        <v>1025</v>
      </c>
      <c r="V11254">
        <v>11</v>
      </c>
    </row>
    <row r="11255" spans="1:22" customFormat="1" ht="15" x14ac:dyDescent="0.25">
      <c r="A11255" t="s">
        <v>317</v>
      </c>
      <c r="E11255" s="1652" t="s">
        <v>951</v>
      </c>
      <c r="F11255" s="1652"/>
      <c r="G11255" s="1652"/>
      <c r="H11255" s="1652"/>
      <c r="K11255" t="s">
        <v>1023</v>
      </c>
      <c r="V11255">
        <v>280</v>
      </c>
    </row>
    <row r="11256" spans="1:22" customFormat="1" ht="15" x14ac:dyDescent="0.25">
      <c r="A11256" t="s">
        <v>317</v>
      </c>
      <c r="E11256" s="1692" t="s">
        <v>952</v>
      </c>
      <c r="F11256" s="1692"/>
      <c r="G11256" s="1692"/>
      <c r="H11256" s="1692"/>
      <c r="K11256" t="s">
        <v>1023</v>
      </c>
      <c r="V11256">
        <v>411</v>
      </c>
    </row>
    <row r="11257" spans="1:22" customFormat="1" ht="15" x14ac:dyDescent="0.25">
      <c r="A11257" t="s">
        <v>317</v>
      </c>
      <c r="E11257" s="1695" t="s">
        <v>953</v>
      </c>
      <c r="F11257" s="1695"/>
      <c r="G11257" s="1695"/>
      <c r="H11257" s="1695"/>
      <c r="K11257" t="s">
        <v>1023</v>
      </c>
      <c r="V11257">
        <v>386</v>
      </c>
    </row>
    <row r="11258" spans="1:22" customFormat="1" ht="15" x14ac:dyDescent="0.25">
      <c r="A11258" t="s">
        <v>317</v>
      </c>
      <c r="E11258" s="1653" t="s">
        <v>954</v>
      </c>
      <c r="F11258" s="1653"/>
      <c r="G11258" s="1653"/>
      <c r="H11258" s="1653"/>
      <c r="K11258" t="s">
        <v>1023</v>
      </c>
      <c r="V11258">
        <v>246</v>
      </c>
    </row>
    <row r="11259" spans="1:22" customFormat="1" ht="15" x14ac:dyDescent="0.25">
      <c r="A11259" t="s">
        <v>317</v>
      </c>
      <c r="E11259" s="1520" t="s">
        <v>956</v>
      </c>
      <c r="F11259" s="1521"/>
      <c r="G11259" s="1521"/>
      <c r="H11259" s="1521"/>
      <c r="K11259" t="s">
        <v>1026</v>
      </c>
      <c r="V11259">
        <v>46</v>
      </c>
    </row>
    <row r="11260" spans="1:22" customFormat="1" ht="15" x14ac:dyDescent="0.25">
      <c r="A11260" t="s">
        <v>317</v>
      </c>
      <c r="E11260" s="1508" t="s">
        <v>1028</v>
      </c>
      <c r="F11260" s="1508"/>
      <c r="G11260" s="617" t="s">
        <v>777</v>
      </c>
      <c r="H11260" s="484">
        <v>24.69</v>
      </c>
      <c r="K11260" t="s">
        <v>1023</v>
      </c>
      <c r="L11260" t="s">
        <v>690</v>
      </c>
      <c r="P11260" t="s">
        <v>1027</v>
      </c>
      <c r="V11260">
        <v>39</v>
      </c>
    </row>
    <row r="11261" spans="1:22" customFormat="1" ht="15" x14ac:dyDescent="0.25">
      <c r="A11261" t="s">
        <v>317</v>
      </c>
      <c r="E11261" s="1508" t="s">
        <v>979</v>
      </c>
      <c r="F11261" s="1508"/>
      <c r="G11261" s="617" t="s">
        <v>845</v>
      </c>
      <c r="H11261" s="577">
        <v>1.1599999999999999E-2</v>
      </c>
      <c r="K11261" t="s">
        <v>1023</v>
      </c>
      <c r="L11261" t="s">
        <v>690</v>
      </c>
      <c r="P11261" t="s">
        <v>1029</v>
      </c>
      <c r="V11261">
        <v>29</v>
      </c>
    </row>
    <row r="11262" spans="1:22" customFormat="1" ht="15" x14ac:dyDescent="0.25">
      <c r="A11262" t="s">
        <v>317</v>
      </c>
      <c r="E11262" s="1508" t="s">
        <v>910</v>
      </c>
      <c r="F11262" s="1508"/>
      <c r="G11262" s="617" t="s">
        <v>845</v>
      </c>
      <c r="H11262" s="485">
        <v>3.3E-3</v>
      </c>
      <c r="K11262" t="s">
        <v>1023</v>
      </c>
      <c r="L11262" t="s">
        <v>692</v>
      </c>
      <c r="P11262" t="s">
        <v>1030</v>
      </c>
      <c r="V11262">
        <v>24</v>
      </c>
    </row>
    <row r="11263" spans="1:22" customFormat="1" ht="15" x14ac:dyDescent="0.25">
      <c r="A11263" t="s">
        <v>317</v>
      </c>
      <c r="E11263" s="1508" t="s">
        <v>6853</v>
      </c>
      <c r="F11263" s="1510"/>
      <c r="G11263" s="617" t="s">
        <v>845</v>
      </c>
      <c r="H11263" s="485">
        <v>1E-4</v>
      </c>
      <c r="K11263" t="s">
        <v>1023</v>
      </c>
      <c r="L11263" t="s">
        <v>692</v>
      </c>
      <c r="P11263" t="s">
        <v>4520</v>
      </c>
      <c r="T11263">
        <v>46142</v>
      </c>
      <c r="V11263">
        <v>146</v>
      </c>
    </row>
    <row r="11264" spans="1:22" customFormat="1" ht="15" x14ac:dyDescent="0.25">
      <c r="A11264" t="s">
        <v>317</v>
      </c>
      <c r="E11264" s="1508" t="s">
        <v>6850</v>
      </c>
      <c r="F11264" s="1510"/>
      <c r="G11264" s="617" t="s">
        <v>845</v>
      </c>
      <c r="H11264" s="485">
        <v>6.9999999999999999E-4</v>
      </c>
      <c r="K11264" t="s">
        <v>1023</v>
      </c>
      <c r="L11264" t="s">
        <v>692</v>
      </c>
      <c r="P11264" t="s">
        <v>1032</v>
      </c>
      <c r="T11264">
        <v>46142</v>
      </c>
      <c r="V11264">
        <v>96</v>
      </c>
    </row>
    <row r="11265" spans="1:22" customFormat="1" ht="15" x14ac:dyDescent="0.25">
      <c r="A11265" t="s">
        <v>317</v>
      </c>
      <c r="E11265" s="1508" t="s">
        <v>243</v>
      </c>
      <c r="F11265" s="1508"/>
      <c r="G11265" s="617" t="s">
        <v>845</v>
      </c>
      <c r="H11265" s="577">
        <v>1.0800000000000001E-2</v>
      </c>
      <c r="K11265" t="s">
        <v>1023</v>
      </c>
      <c r="L11265" t="s">
        <v>694</v>
      </c>
      <c r="P11265" t="s">
        <v>1033</v>
      </c>
      <c r="V11265">
        <v>47</v>
      </c>
    </row>
    <row r="11266" spans="1:22" customFormat="1" ht="15" x14ac:dyDescent="0.25">
      <c r="A11266" t="s">
        <v>317</v>
      </c>
      <c r="E11266" s="1508" t="s">
        <v>175</v>
      </c>
      <c r="F11266" s="1508"/>
      <c r="G11266" s="617" t="s">
        <v>845</v>
      </c>
      <c r="H11266" s="577">
        <v>7.9000000000000008E-3</v>
      </c>
      <c r="K11266" t="s">
        <v>1023</v>
      </c>
      <c r="L11266" t="s">
        <v>694</v>
      </c>
      <c r="P11266" t="s">
        <v>1034</v>
      </c>
      <c r="V11266">
        <v>74</v>
      </c>
    </row>
    <row r="11267" spans="1:22" customFormat="1" ht="15" x14ac:dyDescent="0.25">
      <c r="A11267" t="s">
        <v>317</v>
      </c>
      <c r="E11267" s="1523" t="s">
        <v>967</v>
      </c>
      <c r="F11267" s="1522"/>
      <c r="G11267" s="617"/>
      <c r="H11267" s="617"/>
      <c r="K11267" t="s">
        <v>1035</v>
      </c>
      <c r="V11267">
        <v>48</v>
      </c>
    </row>
    <row r="11268" spans="1:22" customFormat="1" ht="15" x14ac:dyDescent="0.25">
      <c r="A11268" t="s">
        <v>317</v>
      </c>
      <c r="E11268" s="1508" t="s">
        <v>844</v>
      </c>
      <c r="F11268" s="1508"/>
      <c r="G11268" s="617" t="s">
        <v>845</v>
      </c>
      <c r="H11268" s="485">
        <v>4.1000000000000003E-3</v>
      </c>
      <c r="K11268" t="s">
        <v>1023</v>
      </c>
      <c r="L11268" t="s">
        <v>968</v>
      </c>
      <c r="P11268" t="s">
        <v>1036</v>
      </c>
      <c r="V11268">
        <v>55</v>
      </c>
    </row>
    <row r="11269" spans="1:22" customFormat="1" ht="15" x14ac:dyDescent="0.25">
      <c r="A11269" t="s">
        <v>317</v>
      </c>
      <c r="E11269" s="1508" t="s">
        <v>846</v>
      </c>
      <c r="F11269" s="1508"/>
      <c r="G11269" s="617" t="s">
        <v>845</v>
      </c>
      <c r="H11269" s="485">
        <v>4.0000000000000002E-4</v>
      </c>
      <c r="K11269" t="s">
        <v>1023</v>
      </c>
      <c r="L11269" t="s">
        <v>968</v>
      </c>
      <c r="P11269" t="s">
        <v>1036</v>
      </c>
      <c r="V11269">
        <v>65</v>
      </c>
    </row>
    <row r="11270" spans="1:22" customFormat="1" ht="15" x14ac:dyDescent="0.25">
      <c r="A11270" t="s">
        <v>317</v>
      </c>
      <c r="E11270" s="1508" t="s">
        <v>847</v>
      </c>
      <c r="F11270" s="1508"/>
      <c r="G11270" s="617" t="s">
        <v>845</v>
      </c>
      <c r="H11270" s="485">
        <v>1.5E-3</v>
      </c>
      <c r="K11270" t="s">
        <v>1023</v>
      </c>
      <c r="L11270" t="s">
        <v>968</v>
      </c>
      <c r="P11270" t="s">
        <v>1037</v>
      </c>
      <c r="V11270">
        <v>57</v>
      </c>
    </row>
    <row r="11271" spans="1:22" customFormat="1" ht="15" x14ac:dyDescent="0.25">
      <c r="A11271" t="s">
        <v>317</v>
      </c>
      <c r="E11271" s="1508" t="s">
        <v>848</v>
      </c>
      <c r="F11271" s="1508"/>
      <c r="G11271" s="620" t="s">
        <v>777</v>
      </c>
      <c r="H11271" s="622">
        <v>0.25</v>
      </c>
      <c r="K11271" t="s">
        <v>1023</v>
      </c>
      <c r="L11271" t="s">
        <v>968</v>
      </c>
      <c r="P11271" t="s">
        <v>1038</v>
      </c>
      <c r="V11271">
        <v>63</v>
      </c>
    </row>
    <row r="11272" spans="1:22" customFormat="1" x14ac:dyDescent="0.25">
      <c r="A11272" t="s">
        <v>317</v>
      </c>
      <c r="E11272" s="1642" t="s">
        <v>198</v>
      </c>
      <c r="F11272" s="1642"/>
      <c r="G11272" s="1642"/>
      <c r="H11272" s="1643"/>
      <c r="K11272" t="s">
        <v>1039</v>
      </c>
      <c r="V11272">
        <v>40</v>
      </c>
    </row>
    <row r="11273" spans="1:22" customFormat="1" ht="15" x14ac:dyDescent="0.25">
      <c r="A11273" t="s">
        <v>317</v>
      </c>
      <c r="E11273" s="1652" t="s">
        <v>1040</v>
      </c>
      <c r="F11273" s="1652"/>
      <c r="G11273" s="1652"/>
      <c r="H11273" s="1652"/>
      <c r="K11273" t="s">
        <v>1039</v>
      </c>
      <c r="V11273">
        <v>246</v>
      </c>
    </row>
    <row r="11274" spans="1:22" customFormat="1" ht="15" x14ac:dyDescent="0.25">
      <c r="A11274" t="s">
        <v>317</v>
      </c>
      <c r="E11274" s="1520" t="s">
        <v>950</v>
      </c>
      <c r="F11274" s="1521"/>
      <c r="G11274" s="1521"/>
      <c r="H11274" s="1521"/>
      <c r="K11274" t="s">
        <v>1041</v>
      </c>
      <c r="V11274">
        <v>11</v>
      </c>
    </row>
    <row r="11275" spans="1:22" customFormat="1" ht="15" x14ac:dyDescent="0.25">
      <c r="A11275" t="s">
        <v>317</v>
      </c>
      <c r="E11275" s="1652" t="s">
        <v>951</v>
      </c>
      <c r="F11275" s="1652"/>
      <c r="G11275" s="1652"/>
      <c r="H11275" s="1652"/>
      <c r="K11275" t="s">
        <v>1039</v>
      </c>
      <c r="V11275">
        <v>280</v>
      </c>
    </row>
    <row r="11276" spans="1:22" customFormat="1" ht="15" x14ac:dyDescent="0.25">
      <c r="A11276" t="s">
        <v>317</v>
      </c>
      <c r="E11276" s="1692" t="s">
        <v>952</v>
      </c>
      <c r="F11276" s="1692"/>
      <c r="G11276" s="1692"/>
      <c r="H11276" s="1692"/>
      <c r="K11276" t="s">
        <v>1039</v>
      </c>
      <c r="V11276">
        <v>411</v>
      </c>
    </row>
    <row r="11277" spans="1:22" customFormat="1" ht="15" x14ac:dyDescent="0.25">
      <c r="A11277" t="s">
        <v>317</v>
      </c>
      <c r="E11277" s="1695" t="s">
        <v>953</v>
      </c>
      <c r="F11277" s="1695"/>
      <c r="G11277" s="1695"/>
      <c r="H11277" s="1695"/>
      <c r="K11277" t="s">
        <v>1039</v>
      </c>
      <c r="V11277">
        <v>386</v>
      </c>
    </row>
    <row r="11278" spans="1:22" customFormat="1" ht="15" x14ac:dyDescent="0.25">
      <c r="A11278" t="s">
        <v>317</v>
      </c>
      <c r="E11278" s="1653" t="s">
        <v>954</v>
      </c>
      <c r="F11278" s="1653"/>
      <c r="G11278" s="1653"/>
      <c r="H11278" s="1653"/>
      <c r="K11278" t="s">
        <v>1039</v>
      </c>
      <c r="V11278">
        <v>246</v>
      </c>
    </row>
    <row r="11279" spans="1:22" customFormat="1" ht="15" x14ac:dyDescent="0.25">
      <c r="A11279" t="s">
        <v>317</v>
      </c>
      <c r="E11279" s="1520" t="s">
        <v>956</v>
      </c>
      <c r="F11279" s="1521"/>
      <c r="G11279" s="1521"/>
      <c r="H11279" s="1521"/>
      <c r="K11279" t="s">
        <v>1042</v>
      </c>
      <c r="V11279">
        <v>46</v>
      </c>
    </row>
    <row r="11280" spans="1:22" customFormat="1" ht="15" x14ac:dyDescent="0.25">
      <c r="A11280" t="s">
        <v>317</v>
      </c>
      <c r="E11280" s="1508" t="s">
        <v>1028</v>
      </c>
      <c r="F11280" s="1508"/>
      <c r="G11280" s="617" t="s">
        <v>777</v>
      </c>
      <c r="H11280" s="484">
        <v>9.24</v>
      </c>
      <c r="K11280" t="s">
        <v>1039</v>
      </c>
      <c r="L11280" t="s">
        <v>690</v>
      </c>
      <c r="P11280" t="s">
        <v>1043</v>
      </c>
      <c r="V11280">
        <v>39</v>
      </c>
    </row>
    <row r="11281" spans="1:22" customFormat="1" ht="15" x14ac:dyDescent="0.25">
      <c r="A11281" t="s">
        <v>317</v>
      </c>
      <c r="E11281" s="1508" t="s">
        <v>979</v>
      </c>
      <c r="F11281" s="1508"/>
      <c r="G11281" s="617" t="s">
        <v>3775</v>
      </c>
      <c r="H11281" s="577">
        <v>34.1614</v>
      </c>
      <c r="K11281" t="s">
        <v>1039</v>
      </c>
      <c r="L11281" t="s">
        <v>690</v>
      </c>
      <c r="P11281" t="s">
        <v>1044</v>
      </c>
      <c r="V11281">
        <v>29</v>
      </c>
    </row>
    <row r="11282" spans="1:22" customFormat="1" ht="15" x14ac:dyDescent="0.25">
      <c r="A11282" t="s">
        <v>317</v>
      </c>
      <c r="E11282" s="1508" t="s">
        <v>910</v>
      </c>
      <c r="F11282" s="1508"/>
      <c r="G11282" s="617" t="s">
        <v>3775</v>
      </c>
      <c r="H11282" s="485">
        <v>0.99209999999999998</v>
      </c>
      <c r="K11282" t="s">
        <v>1039</v>
      </c>
      <c r="L11282" t="s">
        <v>692</v>
      </c>
      <c r="P11282" t="s">
        <v>1045</v>
      </c>
      <c r="V11282">
        <v>24</v>
      </c>
    </row>
    <row r="11283" spans="1:22" customFormat="1" ht="15" x14ac:dyDescent="0.25">
      <c r="A11283" t="s">
        <v>317</v>
      </c>
      <c r="E11283" s="1508" t="s">
        <v>6853</v>
      </c>
      <c r="F11283" s="1510"/>
      <c r="G11283" s="617" t="s">
        <v>3775</v>
      </c>
      <c r="H11283" s="485">
        <v>2.5999999999999999E-2</v>
      </c>
      <c r="K11283" t="s">
        <v>1039</v>
      </c>
      <c r="L11283" t="s">
        <v>692</v>
      </c>
      <c r="P11283" t="s">
        <v>4523</v>
      </c>
      <c r="T11283">
        <v>46142</v>
      </c>
      <c r="V11283">
        <v>146</v>
      </c>
    </row>
    <row r="11284" spans="1:22" customFormat="1" ht="15" x14ac:dyDescent="0.25">
      <c r="A11284" t="s">
        <v>317</v>
      </c>
      <c r="E11284" s="1508" t="s">
        <v>6850</v>
      </c>
      <c r="F11284" s="1510"/>
      <c r="G11284" s="617" t="s">
        <v>3775</v>
      </c>
      <c r="H11284" s="485">
        <v>0.2392</v>
      </c>
      <c r="K11284" t="s">
        <v>1039</v>
      </c>
      <c r="L11284" t="s">
        <v>692</v>
      </c>
      <c r="P11284" t="s">
        <v>1046</v>
      </c>
      <c r="T11284">
        <v>46142</v>
      </c>
      <c r="V11284">
        <v>96</v>
      </c>
    </row>
    <row r="11285" spans="1:22" customFormat="1" ht="15" x14ac:dyDescent="0.25">
      <c r="A11285" t="s">
        <v>317</v>
      </c>
      <c r="E11285" s="1508" t="s">
        <v>243</v>
      </c>
      <c r="F11285" s="1508"/>
      <c r="G11285" s="617" t="s">
        <v>3775</v>
      </c>
      <c r="H11285" s="577">
        <v>3.3914</v>
      </c>
      <c r="K11285" t="s">
        <v>1039</v>
      </c>
      <c r="L11285" t="s">
        <v>694</v>
      </c>
      <c r="P11285" t="s">
        <v>1047</v>
      </c>
      <c r="V11285">
        <v>47</v>
      </c>
    </row>
    <row r="11286" spans="1:22" customFormat="1" ht="15" x14ac:dyDescent="0.25">
      <c r="A11286" t="s">
        <v>317</v>
      </c>
      <c r="E11286" s="1508" t="s">
        <v>175</v>
      </c>
      <c r="F11286" s="1508"/>
      <c r="G11286" s="617" t="s">
        <v>3775</v>
      </c>
      <c r="H11286" s="577">
        <v>2.5316999999999998</v>
      </c>
      <c r="K11286" t="s">
        <v>1039</v>
      </c>
      <c r="L11286" t="s">
        <v>694</v>
      </c>
      <c r="P11286" t="s">
        <v>1048</v>
      </c>
      <c r="V11286">
        <v>74</v>
      </c>
    </row>
    <row r="11287" spans="1:22" customFormat="1" ht="15" x14ac:dyDescent="0.25">
      <c r="A11287" t="s">
        <v>317</v>
      </c>
      <c r="E11287" s="1523" t="s">
        <v>967</v>
      </c>
      <c r="F11287" s="1522"/>
      <c r="G11287" s="1522"/>
      <c r="H11287" s="1522"/>
      <c r="K11287" t="s">
        <v>1049</v>
      </c>
      <c r="V11287">
        <v>48</v>
      </c>
    </row>
    <row r="11288" spans="1:22" customFormat="1" ht="15" x14ac:dyDescent="0.25">
      <c r="A11288" t="s">
        <v>317</v>
      </c>
      <c r="E11288" s="1508" t="s">
        <v>844</v>
      </c>
      <c r="F11288" s="1508"/>
      <c r="G11288" s="620" t="s">
        <v>845</v>
      </c>
      <c r="H11288" s="621">
        <v>4.1000000000000003E-3</v>
      </c>
      <c r="K11288" t="s">
        <v>1039</v>
      </c>
      <c r="L11288" t="s">
        <v>968</v>
      </c>
      <c r="P11288" t="s">
        <v>1050</v>
      </c>
      <c r="V11288">
        <v>55</v>
      </c>
    </row>
    <row r="11289" spans="1:22" customFormat="1" ht="15" x14ac:dyDescent="0.25">
      <c r="A11289" t="s">
        <v>317</v>
      </c>
      <c r="E11289" s="1508" t="s">
        <v>846</v>
      </c>
      <c r="F11289" s="1508"/>
      <c r="G11289" s="620" t="s">
        <v>845</v>
      </c>
      <c r="H11289" s="621">
        <v>4.0000000000000002E-4</v>
      </c>
      <c r="K11289" t="s">
        <v>1039</v>
      </c>
      <c r="L11289" t="s">
        <v>968</v>
      </c>
      <c r="P11289" t="s">
        <v>1050</v>
      </c>
      <c r="V11289">
        <v>65</v>
      </c>
    </row>
    <row r="11290" spans="1:22" customFormat="1" ht="15" x14ac:dyDescent="0.25">
      <c r="A11290" t="s">
        <v>317</v>
      </c>
      <c r="E11290" s="1508" t="s">
        <v>847</v>
      </c>
      <c r="F11290" s="1508"/>
      <c r="G11290" s="620" t="s">
        <v>845</v>
      </c>
      <c r="H11290" s="621">
        <v>1.5E-3</v>
      </c>
      <c r="K11290" t="s">
        <v>1039</v>
      </c>
      <c r="L11290" t="s">
        <v>968</v>
      </c>
      <c r="P11290" t="s">
        <v>1051</v>
      </c>
      <c r="V11290">
        <v>57</v>
      </c>
    </row>
    <row r="11291" spans="1:22" customFormat="1" ht="15" x14ac:dyDescent="0.25">
      <c r="A11291" t="s">
        <v>317</v>
      </c>
      <c r="E11291" s="1508" t="s">
        <v>848</v>
      </c>
      <c r="F11291" s="1508"/>
      <c r="G11291" s="620" t="s">
        <v>777</v>
      </c>
      <c r="H11291" s="622">
        <v>0.25</v>
      </c>
      <c r="K11291" t="s">
        <v>1039</v>
      </c>
      <c r="L11291" t="s">
        <v>968</v>
      </c>
      <c r="P11291" t="s">
        <v>1052</v>
      </c>
      <c r="V11291">
        <v>63</v>
      </c>
    </row>
    <row r="11292" spans="1:22" customFormat="1" x14ac:dyDescent="0.25">
      <c r="A11292" t="s">
        <v>317</v>
      </c>
      <c r="E11292" s="1642" t="s">
        <v>202</v>
      </c>
      <c r="F11292" s="1642"/>
      <c r="G11292" s="1642"/>
      <c r="H11292" s="1643"/>
      <c r="K11292" t="s">
        <v>1053</v>
      </c>
      <c r="V11292">
        <v>38</v>
      </c>
    </row>
    <row r="11293" spans="1:22" customFormat="1" ht="15" x14ac:dyDescent="0.25">
      <c r="A11293" t="s">
        <v>317</v>
      </c>
      <c r="E11293" s="1652" t="s">
        <v>1054</v>
      </c>
      <c r="F11293" s="1652"/>
      <c r="G11293" s="1652"/>
      <c r="H11293" s="1652"/>
      <c r="K11293" t="s">
        <v>1053</v>
      </c>
      <c r="V11293">
        <v>488</v>
      </c>
    </row>
    <row r="11294" spans="1:22" customFormat="1" ht="15" x14ac:dyDescent="0.25">
      <c r="A11294" t="s">
        <v>317</v>
      </c>
      <c r="E11294" s="1520" t="s">
        <v>950</v>
      </c>
      <c r="F11294" s="1521"/>
      <c r="G11294" s="1521"/>
      <c r="H11294" s="1521"/>
      <c r="K11294" t="s">
        <v>1055</v>
      </c>
      <c r="V11294">
        <v>11</v>
      </c>
    </row>
    <row r="11295" spans="1:22" customFormat="1" ht="15" x14ac:dyDescent="0.25">
      <c r="A11295" t="s">
        <v>317</v>
      </c>
      <c r="E11295" s="1652" t="s">
        <v>951</v>
      </c>
      <c r="F11295" s="1652"/>
      <c r="G11295" s="1652"/>
      <c r="H11295" s="1652"/>
      <c r="K11295" t="s">
        <v>1053</v>
      </c>
      <c r="V11295">
        <v>280</v>
      </c>
    </row>
    <row r="11296" spans="1:22" customFormat="1" ht="15" x14ac:dyDescent="0.25">
      <c r="A11296" t="s">
        <v>317</v>
      </c>
      <c r="E11296" s="1692" t="s">
        <v>952</v>
      </c>
      <c r="F11296" s="1692"/>
      <c r="G11296" s="1692"/>
      <c r="H11296" s="1692"/>
      <c r="K11296" t="s">
        <v>1053</v>
      </c>
      <c r="V11296">
        <v>411</v>
      </c>
    </row>
    <row r="11297" spans="1:22" customFormat="1" ht="15" x14ac:dyDescent="0.25">
      <c r="A11297" t="s">
        <v>317</v>
      </c>
      <c r="E11297" s="1695" t="s">
        <v>953</v>
      </c>
      <c r="F11297" s="1695"/>
      <c r="G11297" s="1695"/>
      <c r="H11297" s="1695"/>
      <c r="K11297" t="s">
        <v>1053</v>
      </c>
      <c r="V11297">
        <v>386</v>
      </c>
    </row>
    <row r="11298" spans="1:22" customFormat="1" ht="15" x14ac:dyDescent="0.25">
      <c r="A11298" t="s">
        <v>317</v>
      </c>
      <c r="E11298" s="1653" t="s">
        <v>954</v>
      </c>
      <c r="F11298" s="1653"/>
      <c r="G11298" s="1653"/>
      <c r="H11298" s="1653"/>
      <c r="K11298" t="s">
        <v>1053</v>
      </c>
      <c r="V11298">
        <v>246</v>
      </c>
    </row>
    <row r="11299" spans="1:22" customFormat="1" ht="15" x14ac:dyDescent="0.25">
      <c r="A11299" t="s">
        <v>317</v>
      </c>
      <c r="E11299" s="1520" t="s">
        <v>956</v>
      </c>
      <c r="F11299" s="1521"/>
      <c r="G11299" s="1521"/>
      <c r="H11299" s="1521"/>
      <c r="K11299" t="s">
        <v>1056</v>
      </c>
      <c r="V11299">
        <v>46</v>
      </c>
    </row>
    <row r="11300" spans="1:22" customFormat="1" ht="15" x14ac:dyDescent="0.25">
      <c r="A11300" t="s">
        <v>317</v>
      </c>
      <c r="E11300" s="1508" t="s">
        <v>1058</v>
      </c>
      <c r="F11300" s="1508"/>
      <c r="G11300" s="617" t="s">
        <v>777</v>
      </c>
      <c r="H11300" s="484">
        <v>3.78</v>
      </c>
      <c r="K11300" t="s">
        <v>1053</v>
      </c>
      <c r="L11300" t="s">
        <v>690</v>
      </c>
      <c r="P11300" t="s">
        <v>1057</v>
      </c>
      <c r="V11300">
        <v>35</v>
      </c>
    </row>
    <row r="11301" spans="1:22" customFormat="1" ht="15" x14ac:dyDescent="0.25">
      <c r="A11301" t="s">
        <v>317</v>
      </c>
      <c r="E11301" s="1508" t="s">
        <v>979</v>
      </c>
      <c r="F11301" s="1508"/>
      <c r="G11301" s="617" t="s">
        <v>3775</v>
      </c>
      <c r="H11301" s="577">
        <v>4.1566999999999998</v>
      </c>
      <c r="K11301" t="s">
        <v>1053</v>
      </c>
      <c r="L11301" t="s">
        <v>690</v>
      </c>
      <c r="P11301" t="s">
        <v>1059</v>
      </c>
      <c r="V11301">
        <v>29</v>
      </c>
    </row>
    <row r="11302" spans="1:22" customFormat="1" ht="15" x14ac:dyDescent="0.25">
      <c r="A11302" t="s">
        <v>317</v>
      </c>
      <c r="E11302" s="1508" t="s">
        <v>910</v>
      </c>
      <c r="F11302" s="1508"/>
      <c r="G11302" s="617" t="s">
        <v>3775</v>
      </c>
      <c r="H11302" s="485">
        <v>0.97189999999999999</v>
      </c>
      <c r="K11302" t="s">
        <v>1053</v>
      </c>
      <c r="L11302" t="s">
        <v>692</v>
      </c>
      <c r="P11302" t="s">
        <v>1060</v>
      </c>
      <c r="V11302">
        <v>24</v>
      </c>
    </row>
    <row r="11303" spans="1:22" customFormat="1" ht="15" x14ac:dyDescent="0.25">
      <c r="A11303" t="s">
        <v>317</v>
      </c>
      <c r="E11303" s="1508" t="s">
        <v>6849</v>
      </c>
      <c r="F11303" s="1510"/>
      <c r="G11303" s="617" t="s">
        <v>845</v>
      </c>
      <c r="H11303" s="485">
        <v>1E-4</v>
      </c>
      <c r="K11303" t="s">
        <v>1053</v>
      </c>
      <c r="L11303" t="s">
        <v>692</v>
      </c>
      <c r="P11303" t="s">
        <v>1061</v>
      </c>
      <c r="T11303">
        <v>46142</v>
      </c>
      <c r="V11303">
        <v>139</v>
      </c>
    </row>
    <row r="11304" spans="1:22" customFormat="1" ht="15" x14ac:dyDescent="0.25">
      <c r="A11304" t="s">
        <v>317</v>
      </c>
      <c r="E11304" s="1508" t="s">
        <v>6850</v>
      </c>
      <c r="F11304" s="1510"/>
      <c r="G11304" s="617" t="s">
        <v>3775</v>
      </c>
      <c r="H11304" s="485">
        <v>0.24129999999999999</v>
      </c>
      <c r="K11304" t="s">
        <v>1053</v>
      </c>
      <c r="L11304" t="s">
        <v>692</v>
      </c>
      <c r="P11304" t="s">
        <v>1062</v>
      </c>
      <c r="T11304">
        <v>46142</v>
      </c>
      <c r="V11304">
        <v>96</v>
      </c>
    </row>
    <row r="11305" spans="1:22" customFormat="1" ht="15" x14ac:dyDescent="0.25">
      <c r="A11305" t="s">
        <v>317</v>
      </c>
      <c r="E11305" s="1508" t="s">
        <v>6853</v>
      </c>
      <c r="F11305" s="1510"/>
      <c r="G11305" s="617" t="s">
        <v>3775</v>
      </c>
      <c r="H11305" s="485">
        <v>2.75E-2</v>
      </c>
      <c r="K11305" t="s">
        <v>1053</v>
      </c>
      <c r="L11305" t="s">
        <v>692</v>
      </c>
      <c r="P11305" t="s">
        <v>3997</v>
      </c>
      <c r="T11305">
        <v>46142</v>
      </c>
      <c r="V11305">
        <v>146</v>
      </c>
    </row>
    <row r="11306" spans="1:22" customFormat="1" ht="15" x14ac:dyDescent="0.25">
      <c r="A11306" t="s">
        <v>317</v>
      </c>
      <c r="E11306" s="1508" t="s">
        <v>243</v>
      </c>
      <c r="F11306" s="1508"/>
      <c r="G11306" s="617" t="s">
        <v>3775</v>
      </c>
      <c r="H11306" s="577">
        <v>3.3742999999999999</v>
      </c>
      <c r="K11306" t="s">
        <v>1053</v>
      </c>
      <c r="L11306" t="s">
        <v>694</v>
      </c>
      <c r="P11306" t="s">
        <v>1063</v>
      </c>
      <c r="V11306">
        <v>47</v>
      </c>
    </row>
    <row r="11307" spans="1:22" customFormat="1" ht="15" x14ac:dyDescent="0.25">
      <c r="A11307" t="s">
        <v>317</v>
      </c>
      <c r="E11307" s="1508" t="s">
        <v>175</v>
      </c>
      <c r="F11307" s="1508"/>
      <c r="G11307" s="617" t="s">
        <v>3775</v>
      </c>
      <c r="H11307" s="577">
        <v>2.4803000000000002</v>
      </c>
      <c r="K11307" t="s">
        <v>1053</v>
      </c>
      <c r="L11307" t="s">
        <v>694</v>
      </c>
      <c r="P11307" t="s">
        <v>1064</v>
      </c>
      <c r="V11307">
        <v>74</v>
      </c>
    </row>
    <row r="11308" spans="1:22" customFormat="1" ht="15" x14ac:dyDescent="0.25">
      <c r="A11308" t="s">
        <v>317</v>
      </c>
      <c r="E11308" s="1523" t="s">
        <v>967</v>
      </c>
      <c r="F11308" s="1522"/>
      <c r="G11308" s="617"/>
      <c r="H11308" s="617"/>
      <c r="K11308" t="s">
        <v>1065</v>
      </c>
      <c r="V11308">
        <v>48</v>
      </c>
    </row>
    <row r="11309" spans="1:22" customFormat="1" ht="15" x14ac:dyDescent="0.25">
      <c r="A11309" t="s">
        <v>317</v>
      </c>
      <c r="E11309" s="1508" t="s">
        <v>844</v>
      </c>
      <c r="F11309" s="1508"/>
      <c r="G11309" s="617" t="s">
        <v>845</v>
      </c>
      <c r="H11309" s="485">
        <v>4.1000000000000003E-3</v>
      </c>
      <c r="K11309" t="s">
        <v>1053</v>
      </c>
      <c r="L11309" t="s">
        <v>968</v>
      </c>
      <c r="P11309" t="s">
        <v>1066</v>
      </c>
      <c r="V11309">
        <v>55</v>
      </c>
    </row>
    <row r="11310" spans="1:22" customFormat="1" ht="15" x14ac:dyDescent="0.25">
      <c r="A11310" t="s">
        <v>317</v>
      </c>
      <c r="E11310" s="1508" t="s">
        <v>846</v>
      </c>
      <c r="F11310" s="1508"/>
      <c r="G11310" s="617" t="s">
        <v>845</v>
      </c>
      <c r="H11310" s="485">
        <v>4.0000000000000002E-4</v>
      </c>
      <c r="K11310" t="s">
        <v>1053</v>
      </c>
      <c r="L11310" t="s">
        <v>968</v>
      </c>
      <c r="P11310" t="s">
        <v>1066</v>
      </c>
      <c r="V11310">
        <v>65</v>
      </c>
    </row>
    <row r="11311" spans="1:22" customFormat="1" ht="15" x14ac:dyDescent="0.25">
      <c r="A11311" t="s">
        <v>317</v>
      </c>
      <c r="E11311" s="1508" t="s">
        <v>847</v>
      </c>
      <c r="F11311" s="1508"/>
      <c r="G11311" s="617" t="s">
        <v>845</v>
      </c>
      <c r="H11311" s="485">
        <v>1.5E-3</v>
      </c>
      <c r="K11311" t="s">
        <v>1053</v>
      </c>
      <c r="L11311" t="s">
        <v>968</v>
      </c>
      <c r="P11311" t="s">
        <v>1067</v>
      </c>
      <c r="V11311">
        <v>57</v>
      </c>
    </row>
    <row r="11312" spans="1:22" customFormat="1" ht="15" x14ac:dyDescent="0.25">
      <c r="A11312" t="s">
        <v>317</v>
      </c>
      <c r="E11312" s="1508" t="s">
        <v>848</v>
      </c>
      <c r="F11312" s="1508"/>
      <c r="G11312" s="620" t="s">
        <v>777</v>
      </c>
      <c r="H11312" s="622">
        <v>0.25</v>
      </c>
      <c r="K11312" t="s">
        <v>1053</v>
      </c>
      <c r="L11312" t="s">
        <v>968</v>
      </c>
      <c r="P11312" t="s">
        <v>1068</v>
      </c>
      <c r="V11312">
        <v>63</v>
      </c>
    </row>
    <row r="11313" spans="1:22" customFormat="1" x14ac:dyDescent="0.25">
      <c r="A11313" t="s">
        <v>317</v>
      </c>
      <c r="E11313" s="1693" t="s">
        <v>207</v>
      </c>
      <c r="F11313" s="1694"/>
      <c r="G11313" s="1694"/>
      <c r="H11313" s="1694"/>
      <c r="K11313" t="s">
        <v>1069</v>
      </c>
      <c r="V11313">
        <v>31</v>
      </c>
    </row>
    <row r="11314" spans="1:22" customFormat="1" ht="15" x14ac:dyDescent="0.25">
      <c r="A11314" t="s">
        <v>317</v>
      </c>
      <c r="E11314" s="1652" t="s">
        <v>1070</v>
      </c>
      <c r="F11314" s="1652"/>
      <c r="G11314" s="1652"/>
      <c r="H11314" s="1652"/>
      <c r="K11314" t="s">
        <v>1069</v>
      </c>
      <c r="V11314">
        <v>285</v>
      </c>
    </row>
    <row r="11315" spans="1:22" customFormat="1" ht="15" x14ac:dyDescent="0.25">
      <c r="A11315" t="s">
        <v>317</v>
      </c>
      <c r="E11315" s="1520" t="s">
        <v>950</v>
      </c>
      <c r="F11315" s="1521"/>
      <c r="G11315" s="1521"/>
      <c r="H11315" s="1521"/>
      <c r="K11315" t="s">
        <v>1071</v>
      </c>
      <c r="V11315">
        <v>11</v>
      </c>
    </row>
    <row r="11316" spans="1:22" customFormat="1" ht="15" x14ac:dyDescent="0.25">
      <c r="A11316" t="s">
        <v>317</v>
      </c>
      <c r="E11316" s="1652" t="s">
        <v>951</v>
      </c>
      <c r="F11316" s="1652"/>
      <c r="G11316" s="1652"/>
      <c r="H11316" s="1652"/>
      <c r="K11316" t="s">
        <v>1069</v>
      </c>
      <c r="V11316">
        <v>280</v>
      </c>
    </row>
    <row r="11317" spans="1:22" customFormat="1" ht="15" x14ac:dyDescent="0.25">
      <c r="A11317" t="s">
        <v>317</v>
      </c>
      <c r="E11317" s="1652" t="s">
        <v>1072</v>
      </c>
      <c r="F11317" s="1652"/>
      <c r="G11317" s="1652"/>
      <c r="H11317" s="1652"/>
      <c r="K11317" t="s">
        <v>1069</v>
      </c>
      <c r="V11317">
        <v>411</v>
      </c>
    </row>
    <row r="11318" spans="1:22" customFormat="1" ht="15" x14ac:dyDescent="0.25">
      <c r="A11318" t="s">
        <v>317</v>
      </c>
      <c r="E11318" s="1652" t="s">
        <v>1073</v>
      </c>
      <c r="F11318" s="1652"/>
      <c r="G11318" s="1652"/>
      <c r="H11318" s="1652"/>
      <c r="K11318" t="s">
        <v>1069</v>
      </c>
      <c r="V11318">
        <v>212</v>
      </c>
    </row>
    <row r="11319" spans="1:22" customFormat="1" ht="15" x14ac:dyDescent="0.25">
      <c r="A11319" t="s">
        <v>317</v>
      </c>
      <c r="E11319" s="1652" t="s">
        <v>1074</v>
      </c>
      <c r="F11319" s="1652"/>
      <c r="G11319" s="1652"/>
      <c r="H11319" s="1652"/>
      <c r="K11319" t="s">
        <v>1069</v>
      </c>
      <c r="V11319">
        <v>238</v>
      </c>
    </row>
    <row r="11320" spans="1:22" customFormat="1" ht="15" x14ac:dyDescent="0.25">
      <c r="A11320" t="s">
        <v>317</v>
      </c>
      <c r="E11320" s="1696" t="s">
        <v>956</v>
      </c>
      <c r="F11320" s="1521"/>
      <c r="G11320" s="1521"/>
      <c r="H11320" s="1521"/>
      <c r="K11320" t="s">
        <v>1075</v>
      </c>
      <c r="V11320">
        <v>46</v>
      </c>
    </row>
    <row r="11321" spans="1:22" customFormat="1" ht="15" x14ac:dyDescent="0.25">
      <c r="A11321" t="s">
        <v>317</v>
      </c>
      <c r="E11321" s="1508" t="s">
        <v>958</v>
      </c>
      <c r="F11321" s="1508"/>
      <c r="G11321" s="617" t="s">
        <v>777</v>
      </c>
      <c r="H11321" s="618">
        <v>16.329999999999998</v>
      </c>
      <c r="K11321" t="s">
        <v>1069</v>
      </c>
      <c r="L11321" t="s">
        <v>690</v>
      </c>
      <c r="P11321" t="s">
        <v>1076</v>
      </c>
      <c r="V11321">
        <v>22</v>
      </c>
    </row>
    <row r="11322" spans="1:22" customFormat="1" x14ac:dyDescent="0.25">
      <c r="A11322" t="s">
        <v>317</v>
      </c>
      <c r="E11322" s="858" t="s">
        <v>3825</v>
      </c>
      <c r="F11322" s="732"/>
      <c r="G11322" s="732"/>
      <c r="H11322" s="732"/>
      <c r="K11322" t="s">
        <v>1077</v>
      </c>
      <c r="V11322">
        <v>10</v>
      </c>
    </row>
    <row r="11323" spans="1:22" customFormat="1" ht="15" x14ac:dyDescent="0.25">
      <c r="A11323" t="s">
        <v>317</v>
      </c>
      <c r="E11323" s="1508" t="s">
        <v>1078</v>
      </c>
      <c r="F11323" s="1508"/>
      <c r="G11323" s="624" t="s">
        <v>3775</v>
      </c>
      <c r="H11323" s="621">
        <v>-0.6</v>
      </c>
      <c r="V11323">
        <v>68</v>
      </c>
    </row>
    <row r="11324" spans="1:22" customFormat="1" ht="15" x14ac:dyDescent="0.25">
      <c r="A11324" t="s">
        <v>317</v>
      </c>
      <c r="E11324" s="1508" t="s">
        <v>1079</v>
      </c>
      <c r="F11324" s="1508"/>
      <c r="G11324" s="624" t="s">
        <v>1118</v>
      </c>
      <c r="H11324" s="618">
        <v>-1</v>
      </c>
      <c r="V11324">
        <v>87</v>
      </c>
    </row>
    <row r="11325" spans="1:22" customFormat="1" x14ac:dyDescent="0.25">
      <c r="A11325" t="s">
        <v>317</v>
      </c>
      <c r="E11325" s="858" t="s">
        <v>3828</v>
      </c>
      <c r="F11325" s="623"/>
      <c r="G11325" s="623"/>
      <c r="H11325" s="625"/>
      <c r="K11325" t="s">
        <v>1080</v>
      </c>
      <c r="V11325">
        <v>24</v>
      </c>
    </row>
    <row r="11326" spans="1:22" customFormat="1" ht="15" x14ac:dyDescent="0.25">
      <c r="A11326" t="s">
        <v>317</v>
      </c>
      <c r="E11326" s="1582" t="s">
        <v>950</v>
      </c>
      <c r="F11326" s="1583"/>
      <c r="G11326" s="1583"/>
      <c r="H11326" s="1583"/>
      <c r="V11326">
        <v>11</v>
      </c>
    </row>
    <row r="11327" spans="1:22" customFormat="1" ht="15" x14ac:dyDescent="0.25">
      <c r="A11327" t="s">
        <v>317</v>
      </c>
      <c r="E11327" s="1587" t="s">
        <v>951</v>
      </c>
      <c r="F11327" s="1587"/>
      <c r="G11327" s="1587"/>
      <c r="H11327" s="1588"/>
      <c r="V11327">
        <v>280</v>
      </c>
    </row>
    <row r="11328" spans="1:22" customFormat="1" ht="15" x14ac:dyDescent="0.25">
      <c r="A11328" t="s">
        <v>317</v>
      </c>
      <c r="E11328" s="1587" t="s">
        <v>1081</v>
      </c>
      <c r="F11328" s="1587"/>
      <c r="G11328" s="1587"/>
      <c r="H11328" s="1588"/>
      <c r="V11328">
        <v>353</v>
      </c>
    </row>
    <row r="11329" spans="1:22" customFormat="1" ht="15" x14ac:dyDescent="0.25">
      <c r="A11329" t="s">
        <v>317</v>
      </c>
      <c r="E11329" s="1587" t="s">
        <v>954</v>
      </c>
      <c r="F11329" s="1587"/>
      <c r="G11329" s="1587"/>
      <c r="H11329" s="1588"/>
      <c r="V11329">
        <v>246</v>
      </c>
    </row>
    <row r="11330" spans="1:22" customFormat="1" ht="15" x14ac:dyDescent="0.25">
      <c r="A11330" t="s">
        <v>317</v>
      </c>
      <c r="E11330" s="626" t="s">
        <v>3830</v>
      </c>
      <c r="F11330" s="627"/>
      <c r="G11330" s="627"/>
      <c r="H11330" s="628"/>
      <c r="K11330" t="s">
        <v>1082</v>
      </c>
      <c r="V11330">
        <v>23</v>
      </c>
    </row>
    <row r="11331" spans="1:22" customFormat="1" ht="15" x14ac:dyDescent="0.25">
      <c r="A11331" t="s">
        <v>317</v>
      </c>
      <c r="E11331" s="1509" t="s">
        <v>1083</v>
      </c>
      <c r="F11331" s="1584"/>
      <c r="G11331" s="617" t="s">
        <v>777</v>
      </c>
      <c r="H11331" s="618">
        <v>15</v>
      </c>
      <c r="V11331">
        <v>25</v>
      </c>
    </row>
    <row r="11332" spans="1:22" customFormat="1" ht="15" x14ac:dyDescent="0.25">
      <c r="A11332" t="s">
        <v>317</v>
      </c>
      <c r="E11332" s="1509" t="s">
        <v>1084</v>
      </c>
      <c r="F11332" s="1584"/>
      <c r="G11332" s="617" t="s">
        <v>777</v>
      </c>
      <c r="H11332" s="618">
        <v>15</v>
      </c>
      <c r="V11332">
        <v>21</v>
      </c>
    </row>
    <row r="11333" spans="1:22" customFormat="1" ht="15" x14ac:dyDescent="0.25">
      <c r="A11333" t="s">
        <v>317</v>
      </c>
      <c r="E11333" s="1509" t="s">
        <v>1085</v>
      </c>
      <c r="F11333" s="1584"/>
      <c r="G11333" s="617" t="s">
        <v>777</v>
      </c>
      <c r="H11333" s="618">
        <v>15</v>
      </c>
      <c r="V11333">
        <v>41</v>
      </c>
    </row>
    <row r="11334" spans="1:22" customFormat="1" ht="15" x14ac:dyDescent="0.25">
      <c r="A11334" t="s">
        <v>317</v>
      </c>
      <c r="E11334" s="1509" t="s">
        <v>1086</v>
      </c>
      <c r="F11334" s="1584"/>
      <c r="G11334" s="617" t="s">
        <v>777</v>
      </c>
      <c r="H11334" s="618">
        <v>15</v>
      </c>
      <c r="V11334">
        <v>25</v>
      </c>
    </row>
    <row r="11335" spans="1:22" customFormat="1" ht="15" x14ac:dyDescent="0.25">
      <c r="A11335" t="s">
        <v>317</v>
      </c>
      <c r="E11335" s="1509" t="s">
        <v>1087</v>
      </c>
      <c r="F11335" s="1584"/>
      <c r="G11335" s="617" t="s">
        <v>777</v>
      </c>
      <c r="H11335" s="618">
        <v>30</v>
      </c>
      <c r="V11335">
        <v>95</v>
      </c>
    </row>
    <row r="11336" spans="1:22" customFormat="1" ht="15" x14ac:dyDescent="0.25">
      <c r="A11336" t="s">
        <v>317</v>
      </c>
      <c r="E11336" s="1509" t="s">
        <v>1088</v>
      </c>
      <c r="F11336" s="1584"/>
      <c r="G11336" s="617" t="s">
        <v>777</v>
      </c>
      <c r="H11336" s="618">
        <v>30</v>
      </c>
      <c r="V11336">
        <v>25</v>
      </c>
    </row>
    <row r="11337" spans="1:22" customFormat="1" ht="15" x14ac:dyDescent="0.25">
      <c r="A11337" t="s">
        <v>317</v>
      </c>
      <c r="E11337" s="1509" t="s">
        <v>1089</v>
      </c>
      <c r="F11337" s="1584"/>
      <c r="G11337" s="617" t="s">
        <v>777</v>
      </c>
      <c r="H11337" s="618">
        <v>30</v>
      </c>
      <c r="V11337">
        <v>80</v>
      </c>
    </row>
    <row r="11338" spans="1:22" customFormat="1" ht="15" x14ac:dyDescent="0.25">
      <c r="A11338" t="s">
        <v>317</v>
      </c>
      <c r="E11338" s="626" t="s">
        <v>4665</v>
      </c>
      <c r="F11338" s="722"/>
      <c r="G11338" s="722"/>
      <c r="H11338" s="735"/>
      <c r="V11338">
        <v>23</v>
      </c>
    </row>
    <row r="11339" spans="1:22" customFormat="1" ht="15" x14ac:dyDescent="0.25">
      <c r="A11339" t="s">
        <v>317</v>
      </c>
      <c r="E11339" s="1509" t="s">
        <v>1090</v>
      </c>
      <c r="F11339" s="1509"/>
      <c r="G11339" s="617"/>
      <c r="H11339" s="630"/>
      <c r="V11339">
        <v>30</v>
      </c>
    </row>
    <row r="11340" spans="1:22" customFormat="1" ht="15" x14ac:dyDescent="0.25">
      <c r="A11340" t="s">
        <v>317</v>
      </c>
      <c r="E11340" s="1509" t="s">
        <v>1091</v>
      </c>
      <c r="F11340" s="1509"/>
      <c r="G11340" s="617" t="s">
        <v>1118</v>
      </c>
      <c r="H11340" s="618">
        <v>1.5</v>
      </c>
      <c r="V11340">
        <v>80</v>
      </c>
    </row>
    <row r="11341" spans="1:22" customFormat="1" ht="15" x14ac:dyDescent="0.25">
      <c r="A11341" t="s">
        <v>317</v>
      </c>
      <c r="E11341" s="1509" t="s">
        <v>1092</v>
      </c>
      <c r="F11341" s="1509"/>
      <c r="G11341" s="617" t="s">
        <v>777</v>
      </c>
      <c r="H11341" s="618">
        <v>65</v>
      </c>
      <c r="V11341">
        <v>50</v>
      </c>
    </row>
    <row r="11342" spans="1:22" customFormat="1" ht="15" x14ac:dyDescent="0.25">
      <c r="A11342" t="s">
        <v>317</v>
      </c>
      <c r="E11342" s="1509" t="s">
        <v>1093</v>
      </c>
      <c r="F11342" s="1509"/>
      <c r="G11342" s="617" t="s">
        <v>777</v>
      </c>
      <c r="H11342" s="618">
        <v>185</v>
      </c>
      <c r="V11342">
        <v>49</v>
      </c>
    </row>
    <row r="11343" spans="1:22" customFormat="1" ht="15" x14ac:dyDescent="0.25">
      <c r="A11343" t="s">
        <v>317</v>
      </c>
      <c r="E11343" s="1509" t="s">
        <v>1094</v>
      </c>
      <c r="F11343" s="1509"/>
      <c r="G11343" s="617" t="s">
        <v>777</v>
      </c>
      <c r="H11343" s="618">
        <v>185</v>
      </c>
      <c r="V11343">
        <v>49</v>
      </c>
    </row>
    <row r="11344" spans="1:22" customFormat="1" ht="15" x14ac:dyDescent="0.25">
      <c r="A11344" t="s">
        <v>317</v>
      </c>
      <c r="E11344" s="1509" t="s">
        <v>1095</v>
      </c>
      <c r="F11344" s="1509"/>
      <c r="G11344" s="617" t="s">
        <v>777</v>
      </c>
      <c r="H11344" s="618">
        <v>415</v>
      </c>
      <c r="V11344">
        <v>48</v>
      </c>
    </row>
    <row r="11345" spans="1:22" customFormat="1" ht="15" x14ac:dyDescent="0.25">
      <c r="A11345" t="s">
        <v>317</v>
      </c>
      <c r="E11345" s="809" t="s">
        <v>3846</v>
      </c>
      <c r="F11345" s="784"/>
      <c r="G11345" s="631"/>
      <c r="H11345" s="632"/>
      <c r="V11345">
        <v>5</v>
      </c>
    </row>
    <row r="11346" spans="1:22" customFormat="1" ht="15" x14ac:dyDescent="0.25">
      <c r="A11346" t="s">
        <v>317</v>
      </c>
      <c r="E11346" s="1509" t="s">
        <v>1096</v>
      </c>
      <c r="F11346" s="1509"/>
      <c r="G11346" s="617" t="s">
        <v>777</v>
      </c>
      <c r="H11346" s="618">
        <v>50</v>
      </c>
      <c r="V11346">
        <v>56</v>
      </c>
    </row>
    <row r="11347" spans="1:22" customFormat="1" ht="15" x14ac:dyDescent="0.25">
      <c r="A11347" t="s">
        <v>317</v>
      </c>
      <c r="E11347" s="1509" t="s">
        <v>1097</v>
      </c>
      <c r="F11347" s="1509"/>
      <c r="G11347" s="617" t="s">
        <v>777</v>
      </c>
      <c r="H11347" s="618">
        <v>30</v>
      </c>
      <c r="V11347">
        <v>45</v>
      </c>
    </row>
    <row r="11348" spans="1:22" customFormat="1" ht="15" x14ac:dyDescent="0.25">
      <c r="A11348" t="s">
        <v>317</v>
      </c>
      <c r="E11348" s="1509" t="s">
        <v>1098</v>
      </c>
      <c r="F11348" s="1509"/>
      <c r="G11348" s="617" t="s">
        <v>777</v>
      </c>
      <c r="H11348" s="618">
        <v>165</v>
      </c>
      <c r="V11348">
        <v>67</v>
      </c>
    </row>
    <row r="11349" spans="1:22" customFormat="1" ht="15" x14ac:dyDescent="0.25">
      <c r="A11349" t="s">
        <v>317</v>
      </c>
      <c r="E11349" s="1509" t="s">
        <v>1099</v>
      </c>
      <c r="F11349" s="1509"/>
      <c r="G11349" s="617" t="s">
        <v>777</v>
      </c>
      <c r="H11349" s="618">
        <v>500</v>
      </c>
      <c r="V11349">
        <v>70</v>
      </c>
    </row>
    <row r="11350" spans="1:22" customFormat="1" ht="15" x14ac:dyDescent="0.25">
      <c r="A11350" t="s">
        <v>317</v>
      </c>
      <c r="E11350" s="1509" t="s">
        <v>1100</v>
      </c>
      <c r="F11350" s="1509"/>
      <c r="G11350" s="617"/>
      <c r="H11350" s="630"/>
      <c r="V11350">
        <v>65</v>
      </c>
    </row>
    <row r="11351" spans="1:22" customFormat="1" ht="15" x14ac:dyDescent="0.25">
      <c r="A11351" t="s">
        <v>317</v>
      </c>
      <c r="E11351" s="1509" t="s">
        <v>1101</v>
      </c>
      <c r="F11351" s="1509"/>
      <c r="G11351" s="617" t="s">
        <v>777</v>
      </c>
      <c r="H11351" s="618">
        <v>39.14</v>
      </c>
      <c r="V11351">
        <v>50</v>
      </c>
    </row>
    <row r="11352" spans="1:22" customFormat="1" x14ac:dyDescent="0.25">
      <c r="A11352" t="s">
        <v>317</v>
      </c>
      <c r="E11352" s="858" t="s">
        <v>3851</v>
      </c>
      <c r="F11352" s="623"/>
      <c r="G11352" s="623"/>
      <c r="H11352" s="625"/>
      <c r="K11352" t="s">
        <v>1102</v>
      </c>
      <c r="V11352">
        <v>38</v>
      </c>
    </row>
    <row r="11353" spans="1:22" customFormat="1" ht="15" x14ac:dyDescent="0.25">
      <c r="A11353" t="s">
        <v>317</v>
      </c>
      <c r="E11353" s="1587" t="s">
        <v>951</v>
      </c>
      <c r="F11353" s="1587"/>
      <c r="G11353" s="1587"/>
      <c r="H11353" s="1588"/>
      <c r="V11353">
        <v>280</v>
      </c>
    </row>
    <row r="11354" spans="1:22" customFormat="1" ht="15" x14ac:dyDescent="0.25">
      <c r="A11354" t="s">
        <v>317</v>
      </c>
      <c r="E11354" s="1587" t="s">
        <v>952</v>
      </c>
      <c r="F11354" s="1587"/>
      <c r="G11354" s="1587"/>
      <c r="H11354" s="1588"/>
      <c r="V11354">
        <v>411</v>
      </c>
    </row>
    <row r="11355" spans="1:22" customFormat="1" ht="15" x14ac:dyDescent="0.25">
      <c r="A11355" t="s">
        <v>317</v>
      </c>
      <c r="E11355" s="1587" t="s">
        <v>1103</v>
      </c>
      <c r="F11355" s="1587"/>
      <c r="G11355" s="1587"/>
      <c r="H11355" s="1588"/>
      <c r="V11355">
        <v>211</v>
      </c>
    </row>
    <row r="11356" spans="1:22" customFormat="1" ht="15" x14ac:dyDescent="0.25">
      <c r="A11356" t="s">
        <v>317</v>
      </c>
      <c r="E11356" s="1587" t="s">
        <v>954</v>
      </c>
      <c r="F11356" s="1587"/>
      <c r="G11356" s="1587"/>
      <c r="H11356" s="1588"/>
      <c r="V11356">
        <v>246</v>
      </c>
    </row>
    <row r="11357" spans="1:22" customFormat="1" ht="15" x14ac:dyDescent="0.25">
      <c r="A11357" t="s">
        <v>317</v>
      </c>
      <c r="E11357" s="1587" t="s">
        <v>1104</v>
      </c>
      <c r="F11357" s="1587"/>
      <c r="G11357" s="1587"/>
      <c r="H11357" s="1588"/>
      <c r="V11357">
        <v>142</v>
      </c>
    </row>
    <row r="11358" spans="1:22" customFormat="1" ht="15" x14ac:dyDescent="0.25">
      <c r="A11358" t="s">
        <v>317</v>
      </c>
      <c r="E11358" s="1508" t="s">
        <v>849</v>
      </c>
      <c r="F11358" s="1508"/>
      <c r="G11358" s="633" t="s">
        <v>777</v>
      </c>
      <c r="H11358" s="634">
        <v>121.23</v>
      </c>
      <c r="V11358">
        <v>106</v>
      </c>
    </row>
    <row r="11359" spans="1:22" customFormat="1" ht="15" x14ac:dyDescent="0.25">
      <c r="A11359" t="s">
        <v>317</v>
      </c>
      <c r="E11359" s="1508" t="s">
        <v>850</v>
      </c>
      <c r="F11359" s="1508"/>
      <c r="G11359" s="633" t="s">
        <v>777</v>
      </c>
      <c r="H11359" s="634">
        <v>48.5</v>
      </c>
      <c r="V11359">
        <v>34</v>
      </c>
    </row>
    <row r="11360" spans="1:22" customFormat="1" ht="15" x14ac:dyDescent="0.25">
      <c r="A11360" t="s">
        <v>317</v>
      </c>
      <c r="E11360" s="1508" t="s">
        <v>851</v>
      </c>
      <c r="F11360" s="1508"/>
      <c r="G11360" s="633" t="s">
        <v>852</v>
      </c>
      <c r="H11360" s="634">
        <v>1.2</v>
      </c>
      <c r="V11360">
        <v>51</v>
      </c>
    </row>
    <row r="11361" spans="1:22" customFormat="1" ht="15" x14ac:dyDescent="0.25">
      <c r="A11361" t="s">
        <v>317</v>
      </c>
      <c r="E11361" s="1508" t="s">
        <v>853</v>
      </c>
      <c r="F11361" s="1508"/>
      <c r="G11361" s="633" t="s">
        <v>852</v>
      </c>
      <c r="H11361" s="634">
        <v>0.71</v>
      </c>
      <c r="V11361">
        <v>75</v>
      </c>
    </row>
    <row r="11362" spans="1:22" customFormat="1" ht="15" x14ac:dyDescent="0.25">
      <c r="A11362" t="s">
        <v>317</v>
      </c>
      <c r="E11362" s="1508" t="s">
        <v>854</v>
      </c>
      <c r="F11362" s="1508"/>
      <c r="G11362" s="633" t="s">
        <v>852</v>
      </c>
      <c r="H11362" s="634">
        <v>-0.71</v>
      </c>
      <c r="V11362">
        <v>72</v>
      </c>
    </row>
    <row r="11363" spans="1:22" customFormat="1" ht="15" x14ac:dyDescent="0.25">
      <c r="A11363" t="s">
        <v>317</v>
      </c>
      <c r="E11363" s="1508" t="s">
        <v>1105</v>
      </c>
      <c r="F11363" s="1508"/>
      <c r="G11363" s="635"/>
      <c r="H11363" s="635"/>
      <c r="V11363">
        <v>35</v>
      </c>
    </row>
    <row r="11364" spans="1:22" customFormat="1" ht="15" x14ac:dyDescent="0.25">
      <c r="A11364" t="s">
        <v>317</v>
      </c>
      <c r="E11364" s="1586" t="s">
        <v>1106</v>
      </c>
      <c r="F11364" s="1586"/>
      <c r="G11364" s="633" t="s">
        <v>777</v>
      </c>
      <c r="H11364" s="634">
        <v>0.61</v>
      </c>
      <c r="V11364">
        <v>57</v>
      </c>
    </row>
    <row r="11365" spans="1:22" customFormat="1" ht="15" x14ac:dyDescent="0.25">
      <c r="A11365" t="s">
        <v>317</v>
      </c>
      <c r="E11365" s="1586" t="s">
        <v>1107</v>
      </c>
      <c r="F11365" s="1586"/>
      <c r="G11365" s="633" t="s">
        <v>777</v>
      </c>
      <c r="H11365" s="634">
        <v>1.2</v>
      </c>
      <c r="V11365">
        <v>60</v>
      </c>
    </row>
    <row r="11366" spans="1:22" customFormat="1" ht="15" x14ac:dyDescent="0.25">
      <c r="A11366" t="s">
        <v>317</v>
      </c>
      <c r="E11366" s="1508" t="s">
        <v>1108</v>
      </c>
      <c r="F11366" s="1508"/>
      <c r="G11366" s="635"/>
      <c r="H11366" s="635"/>
      <c r="V11366">
        <v>91</v>
      </c>
    </row>
    <row r="11367" spans="1:22" customFormat="1" ht="15" x14ac:dyDescent="0.25">
      <c r="A11367" t="s">
        <v>317</v>
      </c>
      <c r="E11367" s="1508" t="s">
        <v>1109</v>
      </c>
      <c r="F11367" s="1508"/>
      <c r="G11367" s="635"/>
      <c r="H11367" s="635"/>
      <c r="V11367">
        <v>96</v>
      </c>
    </row>
    <row r="11368" spans="1:22" customFormat="1" ht="15" x14ac:dyDescent="0.25">
      <c r="A11368" t="s">
        <v>317</v>
      </c>
      <c r="E11368" s="1508" t="s">
        <v>1110</v>
      </c>
      <c r="F11368" s="1508"/>
      <c r="G11368" s="635"/>
      <c r="H11368" s="635"/>
      <c r="V11368">
        <v>78</v>
      </c>
    </row>
    <row r="11369" spans="1:22" customFormat="1" ht="15" x14ac:dyDescent="0.25">
      <c r="A11369" t="s">
        <v>317</v>
      </c>
      <c r="E11369" s="1586" t="s">
        <v>1111</v>
      </c>
      <c r="F11369" s="1586"/>
      <c r="G11369" s="633" t="s">
        <v>777</v>
      </c>
      <c r="H11369" s="636" t="s">
        <v>857</v>
      </c>
      <c r="V11369">
        <v>18</v>
      </c>
    </row>
    <row r="11370" spans="1:22" customFormat="1" ht="15" x14ac:dyDescent="0.25">
      <c r="A11370" t="s">
        <v>317</v>
      </c>
      <c r="E11370" s="1586" t="s">
        <v>1112</v>
      </c>
      <c r="F11370" s="1586"/>
      <c r="G11370" s="633" t="s">
        <v>777</v>
      </c>
      <c r="H11370" s="634">
        <v>4.8499999999999996</v>
      </c>
      <c r="V11370">
        <v>69</v>
      </c>
    </row>
    <row r="11371" spans="1:22" customFormat="1" ht="15" x14ac:dyDescent="0.25">
      <c r="A11371" t="s">
        <v>317</v>
      </c>
      <c r="E11371" s="1508" t="s">
        <v>858</v>
      </c>
      <c r="F11371" s="1508"/>
      <c r="G11371" s="637" t="s">
        <v>777</v>
      </c>
      <c r="H11371" s="638">
        <v>2.42</v>
      </c>
      <c r="V11371">
        <v>199</v>
      </c>
    </row>
    <row r="11372" spans="1:22" customFormat="1" x14ac:dyDescent="0.25">
      <c r="A11372" t="s">
        <v>317</v>
      </c>
      <c r="E11372" s="858" t="s">
        <v>3853</v>
      </c>
      <c r="F11372" s="732"/>
      <c r="G11372" s="732"/>
      <c r="H11372" s="733"/>
      <c r="K11372" t="s">
        <v>1113</v>
      </c>
      <c r="V11372">
        <v>12</v>
      </c>
    </row>
    <row r="11373" spans="1:22" customFormat="1" ht="15" x14ac:dyDescent="0.25">
      <c r="A11373" t="s">
        <v>317</v>
      </c>
      <c r="E11373" s="1508" t="s">
        <v>1114</v>
      </c>
      <c r="F11373" s="1508"/>
      <c r="G11373" s="1508"/>
      <c r="H11373" s="1589"/>
      <c r="V11373">
        <v>203</v>
      </c>
    </row>
    <row r="11374" spans="1:22" customFormat="1" ht="15" x14ac:dyDescent="0.25">
      <c r="A11374" t="s">
        <v>317</v>
      </c>
      <c r="E11374" s="1508" t="s">
        <v>1115</v>
      </c>
      <c r="F11374" s="1508"/>
      <c r="G11374" s="620"/>
      <c r="H11374" s="630">
        <v>1.0608</v>
      </c>
      <c r="V11374">
        <v>57</v>
      </c>
    </row>
    <row r="11375" spans="1:22" customFormat="1" ht="15" x14ac:dyDescent="0.25">
      <c r="A11375" t="s">
        <v>317</v>
      </c>
      <c r="E11375" s="1508" t="s">
        <v>1117</v>
      </c>
      <c r="F11375" s="1508"/>
      <c r="G11375" s="620"/>
      <c r="H11375" s="630">
        <v>1.0502</v>
      </c>
      <c r="J11375" t="s">
        <v>1116</v>
      </c>
      <c r="V11375">
        <v>55</v>
      </c>
    </row>
    <row r="11376" spans="1:22" customFormat="1" ht="23.25" x14ac:dyDescent="0.25">
      <c r="A11376" t="s">
        <v>309</v>
      </c>
      <c r="C11376" t="s">
        <v>3755</v>
      </c>
      <c r="E11376" s="1576" t="s">
        <v>309</v>
      </c>
      <c r="F11376" s="1576"/>
      <c r="G11376" s="1576"/>
      <c r="H11376" s="1576"/>
      <c r="I11376" t="s">
        <v>94</v>
      </c>
      <c r="J11376" t="s">
        <v>3856</v>
      </c>
      <c r="K11376" t="s">
        <v>309</v>
      </c>
      <c r="M11376">
        <v>8</v>
      </c>
      <c r="V11376">
        <v>22</v>
      </c>
    </row>
    <row r="11377" spans="1:22" customFormat="1" x14ac:dyDescent="0.25">
      <c r="A11377" t="s">
        <v>309</v>
      </c>
      <c r="C11377" t="s">
        <v>3757</v>
      </c>
      <c r="E11377" s="1577" t="s">
        <v>944</v>
      </c>
      <c r="F11377" s="1577"/>
      <c r="G11377" s="1577"/>
      <c r="H11377" s="1577"/>
      <c r="V11377">
        <v>27</v>
      </c>
    </row>
    <row r="11378" spans="1:22" customFormat="1" ht="15.75" x14ac:dyDescent="0.25">
      <c r="A11378" t="s">
        <v>309</v>
      </c>
      <c r="C11378" t="s">
        <v>3758</v>
      </c>
      <c r="E11378" s="1585" t="s">
        <v>6847</v>
      </c>
      <c r="F11378" s="1585"/>
      <c r="G11378" s="1585"/>
      <c r="H11378" s="1585"/>
      <c r="S11378">
        <v>45778</v>
      </c>
      <c r="V11378">
        <v>45</v>
      </c>
    </row>
    <row r="11379" spans="1:22" customFormat="1" ht="15" x14ac:dyDescent="0.25">
      <c r="A11379" t="s">
        <v>309</v>
      </c>
      <c r="C11379" t="s">
        <v>3759</v>
      </c>
      <c r="E11379" s="1575" t="s">
        <v>945</v>
      </c>
      <c r="F11379" s="1575"/>
      <c r="G11379" s="1575"/>
      <c r="H11379" s="1575"/>
      <c r="V11379">
        <v>52</v>
      </c>
    </row>
    <row r="11380" spans="1:22" customFormat="1" ht="15" x14ac:dyDescent="0.25">
      <c r="A11380" t="s">
        <v>309</v>
      </c>
      <c r="E11380" s="1575" t="s">
        <v>946</v>
      </c>
      <c r="F11380" s="1575"/>
      <c r="G11380" s="1575"/>
      <c r="H11380" s="1575"/>
      <c r="V11380">
        <v>53</v>
      </c>
    </row>
    <row r="11381" spans="1:22" customFormat="1" ht="15" x14ac:dyDescent="0.25">
      <c r="A11381" t="s">
        <v>309</v>
      </c>
      <c r="E11381" s="1534" t="s">
        <v>6974</v>
      </c>
      <c r="F11381" s="1534"/>
      <c r="G11381" s="1534"/>
      <c r="H11381" s="1534"/>
      <c r="K11381" t="s">
        <v>6974</v>
      </c>
      <c r="V11381">
        <v>12</v>
      </c>
    </row>
    <row r="11382" spans="1:22" customFormat="1" ht="15" x14ac:dyDescent="0.25">
      <c r="A11382" t="s">
        <v>309</v>
      </c>
      <c r="E11382" s="1538" t="s">
        <v>170</v>
      </c>
      <c r="F11382" s="1496"/>
      <c r="G11382" s="1496"/>
      <c r="H11382" s="1496"/>
      <c r="K11382" t="s">
        <v>947</v>
      </c>
      <c r="V11382">
        <v>34</v>
      </c>
    </row>
    <row r="11383" spans="1:22" customFormat="1" ht="15" x14ac:dyDescent="0.25">
      <c r="A11383" t="s">
        <v>309</v>
      </c>
      <c r="E11383" s="1496" t="s">
        <v>3857</v>
      </c>
      <c r="F11383" s="1496"/>
      <c r="G11383" s="1496"/>
      <c r="H11383" s="1496"/>
      <c r="K11383" t="s">
        <v>947</v>
      </c>
      <c r="V11383">
        <v>334</v>
      </c>
    </row>
    <row r="11384" spans="1:22" customFormat="1" ht="15" x14ac:dyDescent="0.25">
      <c r="A11384" t="s">
        <v>309</v>
      </c>
      <c r="E11384" s="1533" t="s">
        <v>950</v>
      </c>
      <c r="F11384" s="1496"/>
      <c r="G11384" s="1496"/>
      <c r="H11384" s="1496"/>
      <c r="K11384" t="s">
        <v>949</v>
      </c>
      <c r="V11384">
        <v>11</v>
      </c>
    </row>
    <row r="11385" spans="1:22" customFormat="1" ht="15" x14ac:dyDescent="0.25">
      <c r="A11385" t="s">
        <v>309</v>
      </c>
      <c r="E11385" s="1496" t="s">
        <v>951</v>
      </c>
      <c r="F11385" s="1496"/>
      <c r="G11385" s="1496"/>
      <c r="H11385" s="1496"/>
      <c r="K11385" t="s">
        <v>947</v>
      </c>
      <c r="V11385">
        <v>280</v>
      </c>
    </row>
    <row r="11386" spans="1:22" customFormat="1" ht="15" x14ac:dyDescent="0.25">
      <c r="A11386" t="s">
        <v>309</v>
      </c>
      <c r="E11386" s="1496" t="s">
        <v>952</v>
      </c>
      <c r="F11386" s="1496"/>
      <c r="G11386" s="1496"/>
      <c r="H11386" s="1496"/>
      <c r="K11386" t="s">
        <v>947</v>
      </c>
      <c r="V11386">
        <v>411</v>
      </c>
    </row>
    <row r="11387" spans="1:22" customFormat="1" ht="15" x14ac:dyDescent="0.25">
      <c r="A11387" t="s">
        <v>309</v>
      </c>
      <c r="E11387" s="1496" t="s">
        <v>3761</v>
      </c>
      <c r="F11387" s="1496"/>
      <c r="G11387" s="1496"/>
      <c r="H11387" s="1496"/>
      <c r="K11387" t="s">
        <v>947</v>
      </c>
      <c r="V11387">
        <v>387</v>
      </c>
    </row>
    <row r="11388" spans="1:22" customFormat="1" ht="15" x14ac:dyDescent="0.25">
      <c r="A11388" t="s">
        <v>309</v>
      </c>
      <c r="E11388" s="1496" t="s">
        <v>3762</v>
      </c>
      <c r="F11388" s="1496"/>
      <c r="G11388" s="1496"/>
      <c r="H11388" s="1496"/>
      <c r="K11388" t="s">
        <v>947</v>
      </c>
      <c r="V11388">
        <v>247</v>
      </c>
    </row>
    <row r="11389" spans="1:22" customFormat="1" ht="15" x14ac:dyDescent="0.25">
      <c r="A11389" t="s">
        <v>309</v>
      </c>
      <c r="E11389" s="1533" t="s">
        <v>956</v>
      </c>
      <c r="F11389" s="1496"/>
      <c r="G11389" s="1496"/>
      <c r="H11389" s="1496"/>
      <c r="K11389" t="s">
        <v>955</v>
      </c>
      <c r="V11389">
        <v>46</v>
      </c>
    </row>
    <row r="11390" spans="1:22" customFormat="1" ht="15" x14ac:dyDescent="0.25">
      <c r="A11390" t="s">
        <v>309</v>
      </c>
      <c r="E11390" s="1524" t="s">
        <v>3773</v>
      </c>
      <c r="F11390" s="1524"/>
      <c r="G11390" s="360" t="s">
        <v>777</v>
      </c>
      <c r="H11390" s="576">
        <v>37.58</v>
      </c>
      <c r="K11390" t="s">
        <v>947</v>
      </c>
      <c r="L11390" t="s">
        <v>690</v>
      </c>
      <c r="P11390" t="s">
        <v>957</v>
      </c>
      <c r="V11390">
        <v>14</v>
      </c>
    </row>
    <row r="11391" spans="1:22" customFormat="1" ht="15" x14ac:dyDescent="0.25">
      <c r="A11391" t="s">
        <v>309</v>
      </c>
      <c r="E11391" s="1524" t="s">
        <v>6975</v>
      </c>
      <c r="F11391" s="1507"/>
      <c r="G11391" s="360" t="s">
        <v>777</v>
      </c>
      <c r="H11391" s="576">
        <v>-0.25</v>
      </c>
      <c r="K11391" t="s">
        <v>947</v>
      </c>
      <c r="L11391" t="s">
        <v>690</v>
      </c>
      <c r="P11391" t="s">
        <v>963</v>
      </c>
      <c r="T11391">
        <v>46326</v>
      </c>
      <c r="V11391">
        <v>99</v>
      </c>
    </row>
    <row r="11392" spans="1:22" customFormat="1" ht="15" x14ac:dyDescent="0.25">
      <c r="A11392" t="s">
        <v>309</v>
      </c>
      <c r="E11392" s="1524" t="s">
        <v>960</v>
      </c>
      <c r="F11392" s="1524"/>
      <c r="G11392" s="360" t="s">
        <v>777</v>
      </c>
      <c r="H11392" s="604">
        <v>0.42</v>
      </c>
      <c r="K11392" t="s">
        <v>947</v>
      </c>
      <c r="L11392" t="s">
        <v>692</v>
      </c>
      <c r="P11392" t="s">
        <v>959</v>
      </c>
      <c r="V11392">
        <v>64</v>
      </c>
    </row>
    <row r="11393" spans="1:22" customFormat="1" ht="15" x14ac:dyDescent="0.25">
      <c r="A11393" t="s">
        <v>309</v>
      </c>
      <c r="E11393" s="1486" t="s">
        <v>6976</v>
      </c>
      <c r="F11393" s="1468"/>
      <c r="G11393" s="360" t="s">
        <v>845</v>
      </c>
      <c r="H11393" s="605">
        <v>2.0000000000000001E-4</v>
      </c>
      <c r="K11393" t="s">
        <v>947</v>
      </c>
      <c r="L11393" t="s">
        <v>692</v>
      </c>
      <c r="P11393" t="s">
        <v>962</v>
      </c>
      <c r="T11393">
        <v>46142</v>
      </c>
      <c r="V11393">
        <v>147</v>
      </c>
    </row>
    <row r="11394" spans="1:22" customFormat="1" ht="15" x14ac:dyDescent="0.25">
      <c r="A11394" t="s">
        <v>309</v>
      </c>
      <c r="E11394" s="1486" t="s">
        <v>6850</v>
      </c>
      <c r="F11394" s="1468"/>
      <c r="G11394" s="360" t="s">
        <v>845</v>
      </c>
      <c r="H11394" s="605">
        <v>1E-3</v>
      </c>
      <c r="K11394" t="s">
        <v>947</v>
      </c>
      <c r="L11394" t="s">
        <v>692</v>
      </c>
      <c r="P11394" t="s">
        <v>963</v>
      </c>
      <c r="T11394">
        <v>46142</v>
      </c>
      <c r="V11394">
        <v>96</v>
      </c>
    </row>
    <row r="11395" spans="1:22" customFormat="1" ht="15" x14ac:dyDescent="0.25">
      <c r="A11395" t="s">
        <v>309</v>
      </c>
      <c r="E11395" s="1486" t="s">
        <v>6853</v>
      </c>
      <c r="F11395" s="1468"/>
      <c r="G11395" s="360" t="s">
        <v>845</v>
      </c>
      <c r="H11395" s="605">
        <v>-1E-4</v>
      </c>
      <c r="K11395" t="s">
        <v>947</v>
      </c>
      <c r="L11395" t="s">
        <v>692</v>
      </c>
      <c r="P11395" t="s">
        <v>3764</v>
      </c>
      <c r="T11395">
        <v>46142</v>
      </c>
      <c r="V11395">
        <v>146</v>
      </c>
    </row>
    <row r="11396" spans="1:22" customFormat="1" ht="15" x14ac:dyDescent="0.25">
      <c r="A11396" t="s">
        <v>309</v>
      </c>
      <c r="E11396" s="1486" t="s">
        <v>6977</v>
      </c>
      <c r="F11396" s="1467"/>
      <c r="G11396" s="360" t="s">
        <v>845</v>
      </c>
      <c r="H11396" s="605">
        <v>6.4999999999999997E-3</v>
      </c>
      <c r="K11396" t="s">
        <v>947</v>
      </c>
      <c r="L11396" t="s">
        <v>692</v>
      </c>
      <c r="P11396" t="s">
        <v>962</v>
      </c>
      <c r="T11396">
        <v>46326</v>
      </c>
      <c r="V11396">
        <v>150</v>
      </c>
    </row>
    <row r="11397" spans="1:22" customFormat="1" ht="15" x14ac:dyDescent="0.25">
      <c r="A11397" t="s">
        <v>309</v>
      </c>
      <c r="E11397" s="1524" t="s">
        <v>6978</v>
      </c>
      <c r="F11397" s="1507"/>
      <c r="G11397" s="360" t="s">
        <v>845</v>
      </c>
      <c r="H11397" s="605">
        <v>1.6999999999999999E-3</v>
      </c>
      <c r="K11397" t="s">
        <v>947</v>
      </c>
      <c r="L11397" t="s">
        <v>692</v>
      </c>
      <c r="P11397" t="s">
        <v>963</v>
      </c>
      <c r="T11397">
        <v>46326</v>
      </c>
      <c r="V11397">
        <v>99</v>
      </c>
    </row>
    <row r="11398" spans="1:22" customFormat="1" ht="15" x14ac:dyDescent="0.25">
      <c r="A11398" t="s">
        <v>309</v>
      </c>
      <c r="E11398" s="1524" t="s">
        <v>6979</v>
      </c>
      <c r="F11398" s="1507"/>
      <c r="G11398" s="360" t="s">
        <v>845</v>
      </c>
      <c r="H11398" s="605">
        <v>-1E-4</v>
      </c>
      <c r="K11398" t="s">
        <v>947</v>
      </c>
      <c r="L11398" t="s">
        <v>692</v>
      </c>
      <c r="P11398" t="s">
        <v>6980</v>
      </c>
      <c r="T11398">
        <v>46326</v>
      </c>
      <c r="V11398">
        <v>103</v>
      </c>
    </row>
    <row r="11399" spans="1:22" customFormat="1" ht="15" x14ac:dyDescent="0.25">
      <c r="A11399" t="s">
        <v>309</v>
      </c>
      <c r="E11399" s="1524" t="s">
        <v>243</v>
      </c>
      <c r="F11399" s="1524"/>
      <c r="G11399" s="360" t="s">
        <v>845</v>
      </c>
      <c r="H11399" s="577">
        <v>1.17E-2</v>
      </c>
      <c r="K11399" t="s">
        <v>947</v>
      </c>
      <c r="L11399" t="s">
        <v>694</v>
      </c>
      <c r="P11399" t="s">
        <v>964</v>
      </c>
      <c r="V11399">
        <v>47</v>
      </c>
    </row>
    <row r="11400" spans="1:22" customFormat="1" ht="15" x14ac:dyDescent="0.25">
      <c r="A11400" t="s">
        <v>309</v>
      </c>
      <c r="E11400" s="1524" t="s">
        <v>175</v>
      </c>
      <c r="F11400" s="1524"/>
      <c r="G11400" s="360" t="s">
        <v>845</v>
      </c>
      <c r="H11400" s="577">
        <v>8.5000000000000006E-3</v>
      </c>
      <c r="K11400" t="s">
        <v>947</v>
      </c>
      <c r="L11400" t="s">
        <v>694</v>
      </c>
      <c r="P11400" t="s">
        <v>965</v>
      </c>
      <c r="V11400">
        <v>74</v>
      </c>
    </row>
    <row r="11401" spans="1:22" customFormat="1" ht="15" x14ac:dyDescent="0.25">
      <c r="A11401" t="s">
        <v>309</v>
      </c>
      <c r="E11401" s="1533" t="s">
        <v>967</v>
      </c>
      <c r="F11401" s="1524"/>
      <c r="G11401" s="360"/>
      <c r="H11401" s="360"/>
      <c r="K11401" t="s">
        <v>966</v>
      </c>
      <c r="V11401">
        <v>48</v>
      </c>
    </row>
    <row r="11402" spans="1:22" customFormat="1" ht="15" x14ac:dyDescent="0.25">
      <c r="A11402" t="s">
        <v>309</v>
      </c>
      <c r="E11402" s="1524" t="s">
        <v>844</v>
      </c>
      <c r="F11402" s="1524"/>
      <c r="G11402" s="360" t="s">
        <v>845</v>
      </c>
      <c r="H11402" s="605">
        <v>4.1000000000000003E-3</v>
      </c>
      <c r="K11402" t="s">
        <v>947</v>
      </c>
      <c r="L11402" t="s">
        <v>968</v>
      </c>
      <c r="P11402" t="s">
        <v>969</v>
      </c>
      <c r="V11402">
        <v>55</v>
      </c>
    </row>
    <row r="11403" spans="1:22" customFormat="1" ht="15" x14ac:dyDescent="0.25">
      <c r="A11403" t="s">
        <v>309</v>
      </c>
      <c r="E11403" s="1524" t="s">
        <v>846</v>
      </c>
      <c r="F11403" s="1524"/>
      <c r="G11403" s="360" t="s">
        <v>845</v>
      </c>
      <c r="H11403" s="605">
        <v>4.0000000000000002E-4</v>
      </c>
      <c r="K11403" t="s">
        <v>947</v>
      </c>
      <c r="L11403" t="s">
        <v>968</v>
      </c>
      <c r="P11403" t="s">
        <v>969</v>
      </c>
      <c r="V11403">
        <v>65</v>
      </c>
    </row>
    <row r="11404" spans="1:22" customFormat="1" ht="15" x14ac:dyDescent="0.25">
      <c r="A11404" t="s">
        <v>309</v>
      </c>
      <c r="E11404" s="1524" t="s">
        <v>847</v>
      </c>
      <c r="F11404" s="1524"/>
      <c r="G11404" s="360" t="s">
        <v>845</v>
      </c>
      <c r="H11404" s="605">
        <v>1.5E-3</v>
      </c>
      <c r="K11404" t="s">
        <v>947</v>
      </c>
      <c r="L11404" t="s">
        <v>968</v>
      </c>
      <c r="P11404" t="s">
        <v>970</v>
      </c>
      <c r="V11404">
        <v>57</v>
      </c>
    </row>
    <row r="11405" spans="1:22" customFormat="1" ht="15" x14ac:dyDescent="0.25">
      <c r="A11405" t="s">
        <v>309</v>
      </c>
      <c r="E11405" s="1524" t="s">
        <v>848</v>
      </c>
      <c r="F11405" s="1524"/>
      <c r="G11405" s="360" t="s">
        <v>777</v>
      </c>
      <c r="H11405" s="604">
        <v>0.25</v>
      </c>
      <c r="K11405" t="s">
        <v>947</v>
      </c>
      <c r="L11405" t="s">
        <v>968</v>
      </c>
      <c r="P11405" t="s">
        <v>971</v>
      </c>
      <c r="V11405">
        <v>63</v>
      </c>
    </row>
    <row r="11406" spans="1:22" customFormat="1" x14ac:dyDescent="0.25">
      <c r="A11406" t="s">
        <v>309</v>
      </c>
      <c r="E11406" s="1538" t="s">
        <v>174</v>
      </c>
      <c r="F11406" s="1571"/>
      <c r="G11406" s="1571"/>
      <c r="H11406" s="1571"/>
      <c r="K11406" t="s">
        <v>972</v>
      </c>
      <c r="V11406">
        <v>54</v>
      </c>
    </row>
    <row r="11407" spans="1:22" customFormat="1" ht="15" x14ac:dyDescent="0.25">
      <c r="A11407" t="s">
        <v>309</v>
      </c>
      <c r="E11407" s="1496" t="s">
        <v>3858</v>
      </c>
      <c r="F11407" s="1496"/>
      <c r="G11407" s="1496"/>
      <c r="H11407" s="1496"/>
      <c r="K11407" t="s">
        <v>972</v>
      </c>
      <c r="V11407">
        <v>295</v>
      </c>
    </row>
    <row r="11408" spans="1:22" customFormat="1" ht="15" x14ac:dyDescent="0.25">
      <c r="A11408" t="s">
        <v>309</v>
      </c>
      <c r="E11408" s="1533" t="s">
        <v>950</v>
      </c>
      <c r="F11408" s="1496"/>
      <c r="G11408" s="1496"/>
      <c r="H11408" s="1496"/>
      <c r="K11408" t="s">
        <v>974</v>
      </c>
      <c r="V11408">
        <v>11</v>
      </c>
    </row>
    <row r="11409" spans="1:22" customFormat="1" ht="15" x14ac:dyDescent="0.25">
      <c r="A11409" t="s">
        <v>309</v>
      </c>
      <c r="E11409" s="1496" t="s">
        <v>951</v>
      </c>
      <c r="F11409" s="1496"/>
      <c r="G11409" s="1496"/>
      <c r="H11409" s="1496"/>
      <c r="K11409" t="s">
        <v>972</v>
      </c>
      <c r="V11409">
        <v>280</v>
      </c>
    </row>
    <row r="11410" spans="1:22" customFormat="1" ht="15" x14ac:dyDescent="0.25">
      <c r="A11410" t="s">
        <v>309</v>
      </c>
      <c r="E11410" s="1496" t="s">
        <v>952</v>
      </c>
      <c r="F11410" s="1496"/>
      <c r="G11410" s="1496"/>
      <c r="H11410" s="1496"/>
      <c r="K11410" t="s">
        <v>972</v>
      </c>
      <c r="V11410">
        <v>411</v>
      </c>
    </row>
    <row r="11411" spans="1:22" customFormat="1" ht="15" x14ac:dyDescent="0.25">
      <c r="A11411" t="s">
        <v>309</v>
      </c>
      <c r="E11411" s="1496" t="s">
        <v>3761</v>
      </c>
      <c r="F11411" s="1496"/>
      <c r="G11411" s="1496"/>
      <c r="H11411" s="1496"/>
      <c r="K11411" t="s">
        <v>972</v>
      </c>
      <c r="V11411">
        <v>387</v>
      </c>
    </row>
    <row r="11412" spans="1:22" customFormat="1" ht="15" x14ac:dyDescent="0.25">
      <c r="A11412" t="s">
        <v>309</v>
      </c>
      <c r="E11412" s="1496" t="s">
        <v>3762</v>
      </c>
      <c r="F11412" s="1496"/>
      <c r="G11412" s="1496"/>
      <c r="H11412" s="1496"/>
      <c r="K11412" t="s">
        <v>972</v>
      </c>
      <c r="V11412">
        <v>247</v>
      </c>
    </row>
    <row r="11413" spans="1:22" customFormat="1" ht="15" x14ac:dyDescent="0.25">
      <c r="A11413" t="s">
        <v>309</v>
      </c>
      <c r="E11413" s="1533" t="s">
        <v>956</v>
      </c>
      <c r="F11413" s="1496"/>
      <c r="G11413" s="1496"/>
      <c r="H11413" s="1496"/>
      <c r="K11413" t="s">
        <v>975</v>
      </c>
      <c r="V11413">
        <v>46</v>
      </c>
    </row>
    <row r="11414" spans="1:22" customFormat="1" ht="15" x14ac:dyDescent="0.25">
      <c r="A11414" t="s">
        <v>309</v>
      </c>
      <c r="E11414" s="1524" t="s">
        <v>3773</v>
      </c>
      <c r="F11414" s="1524"/>
      <c r="G11414" s="360" t="s">
        <v>777</v>
      </c>
      <c r="H11414" s="576">
        <v>30.19</v>
      </c>
      <c r="K11414" t="s">
        <v>972</v>
      </c>
      <c r="L11414" t="s">
        <v>690</v>
      </c>
      <c r="P11414" t="s">
        <v>976</v>
      </c>
      <c r="V11414">
        <v>14</v>
      </c>
    </row>
    <row r="11415" spans="1:22" customFormat="1" ht="15" x14ac:dyDescent="0.25">
      <c r="A11415" t="s">
        <v>309</v>
      </c>
      <c r="E11415" s="1524" t="s">
        <v>960</v>
      </c>
      <c r="F11415" s="1524"/>
      <c r="G11415" s="360" t="s">
        <v>777</v>
      </c>
      <c r="H11415" s="604">
        <v>0.42</v>
      </c>
      <c r="K11415" t="s">
        <v>972</v>
      </c>
      <c r="L11415" t="s">
        <v>692</v>
      </c>
      <c r="P11415" t="s">
        <v>977</v>
      </c>
      <c r="V11415">
        <v>64</v>
      </c>
    </row>
    <row r="11416" spans="1:22" customFormat="1" ht="15" x14ac:dyDescent="0.25">
      <c r="A11416" t="s">
        <v>309</v>
      </c>
      <c r="E11416" s="1524" t="s">
        <v>3688</v>
      </c>
      <c r="F11416" s="1524"/>
      <c r="G11416" s="360" t="s">
        <v>845</v>
      </c>
      <c r="H11416" s="577">
        <v>1.9400000000000001E-2</v>
      </c>
      <c r="K11416" t="s">
        <v>972</v>
      </c>
      <c r="L11416" t="s">
        <v>690</v>
      </c>
      <c r="P11416" t="s">
        <v>978</v>
      </c>
      <c r="V11416">
        <v>28</v>
      </c>
    </row>
    <row r="11417" spans="1:22" customFormat="1" ht="15" x14ac:dyDescent="0.25">
      <c r="A11417" t="s">
        <v>309</v>
      </c>
      <c r="E11417" s="1486" t="s">
        <v>6976</v>
      </c>
      <c r="F11417" s="1468"/>
      <c r="G11417" s="360" t="s">
        <v>845</v>
      </c>
      <c r="H11417" s="577">
        <v>2.0000000000000001E-4</v>
      </c>
      <c r="K11417" t="s">
        <v>972</v>
      </c>
      <c r="L11417" t="s">
        <v>692</v>
      </c>
      <c r="P11417" t="s">
        <v>981</v>
      </c>
      <c r="T11417">
        <v>46142</v>
      </c>
      <c r="V11417">
        <v>147</v>
      </c>
    </row>
    <row r="11418" spans="1:22" customFormat="1" ht="15" x14ac:dyDescent="0.25">
      <c r="A11418" t="s">
        <v>309</v>
      </c>
      <c r="E11418" s="1524" t="s">
        <v>6850</v>
      </c>
      <c r="F11418" s="1510"/>
      <c r="G11418" s="360" t="s">
        <v>845</v>
      </c>
      <c r="H11418" s="577">
        <v>1.1999999999999999E-3</v>
      </c>
      <c r="K11418" t="s">
        <v>972</v>
      </c>
      <c r="L11418" t="s">
        <v>692</v>
      </c>
      <c r="P11418" t="s">
        <v>982</v>
      </c>
      <c r="T11418">
        <v>46142</v>
      </c>
      <c r="V11418">
        <v>96</v>
      </c>
    </row>
    <row r="11419" spans="1:22" customFormat="1" ht="15" x14ac:dyDescent="0.25">
      <c r="A11419" t="s">
        <v>309</v>
      </c>
      <c r="E11419" s="1524" t="s">
        <v>6853</v>
      </c>
      <c r="F11419" s="1510"/>
      <c r="G11419" s="360" t="s">
        <v>845</v>
      </c>
      <c r="H11419" s="577">
        <v>-1E-4</v>
      </c>
      <c r="K11419" t="s">
        <v>972</v>
      </c>
      <c r="L11419" t="s">
        <v>692</v>
      </c>
      <c r="P11419" t="s">
        <v>3766</v>
      </c>
      <c r="T11419">
        <v>46142</v>
      </c>
      <c r="V11419">
        <v>146</v>
      </c>
    </row>
    <row r="11420" spans="1:22" customFormat="1" ht="15" x14ac:dyDescent="0.25">
      <c r="A11420" t="s">
        <v>309</v>
      </c>
      <c r="E11420" s="1524" t="s">
        <v>6981</v>
      </c>
      <c r="F11420" s="1507"/>
      <c r="G11420" s="360" t="s">
        <v>845</v>
      </c>
      <c r="H11420" s="605">
        <v>6.4999999999999997E-3</v>
      </c>
      <c r="K11420" t="s">
        <v>972</v>
      </c>
      <c r="L11420" t="s">
        <v>692</v>
      </c>
      <c r="P11420" t="s">
        <v>982</v>
      </c>
      <c r="T11420">
        <v>46326</v>
      </c>
      <c r="V11420">
        <v>134</v>
      </c>
    </row>
    <row r="11421" spans="1:22" customFormat="1" ht="15" x14ac:dyDescent="0.25">
      <c r="A11421" t="s">
        <v>309</v>
      </c>
      <c r="E11421" s="1524" t="s">
        <v>6978</v>
      </c>
      <c r="F11421" s="1507"/>
      <c r="G11421" s="360" t="s">
        <v>845</v>
      </c>
      <c r="H11421" s="605">
        <v>2.0999999999999999E-3</v>
      </c>
      <c r="K11421" t="s">
        <v>972</v>
      </c>
      <c r="L11421" t="s">
        <v>692</v>
      </c>
      <c r="P11421" t="s">
        <v>982</v>
      </c>
      <c r="T11421">
        <v>46326</v>
      </c>
      <c r="V11421">
        <v>99</v>
      </c>
    </row>
    <row r="11422" spans="1:22" customFormat="1" ht="15" x14ac:dyDescent="0.25">
      <c r="A11422" t="s">
        <v>309</v>
      </c>
      <c r="E11422" s="1524" t="s">
        <v>6982</v>
      </c>
      <c r="F11422" s="1524"/>
      <c r="G11422" s="360" t="s">
        <v>845</v>
      </c>
      <c r="H11422" s="605">
        <v>-1E-4</v>
      </c>
      <c r="K11422" t="s">
        <v>972</v>
      </c>
      <c r="L11422" t="s">
        <v>692</v>
      </c>
      <c r="P11422" t="s">
        <v>6983</v>
      </c>
      <c r="V11422">
        <v>102</v>
      </c>
    </row>
    <row r="11423" spans="1:22" customFormat="1" ht="15" x14ac:dyDescent="0.25">
      <c r="A11423" t="s">
        <v>309</v>
      </c>
      <c r="E11423" s="1524" t="s">
        <v>6975</v>
      </c>
      <c r="F11423" s="1507"/>
      <c r="G11423" s="360" t="s">
        <v>845</v>
      </c>
      <c r="H11423" s="605">
        <v>-1E-4</v>
      </c>
      <c r="K11423" t="s">
        <v>972</v>
      </c>
      <c r="L11423" t="s">
        <v>690</v>
      </c>
      <c r="P11423" t="s">
        <v>982</v>
      </c>
      <c r="T11423">
        <v>46326</v>
      </c>
      <c r="V11423">
        <v>99</v>
      </c>
    </row>
    <row r="11424" spans="1:22" customFormat="1" ht="15" x14ac:dyDescent="0.25">
      <c r="A11424" t="s">
        <v>309</v>
      </c>
      <c r="E11424" s="1524" t="s">
        <v>243</v>
      </c>
      <c r="F11424" s="1524"/>
      <c r="G11424" s="360" t="s">
        <v>845</v>
      </c>
      <c r="H11424" s="577">
        <v>1.0699999999999999E-2</v>
      </c>
      <c r="K11424" t="s">
        <v>972</v>
      </c>
      <c r="L11424" t="s">
        <v>694</v>
      </c>
      <c r="P11424" t="s">
        <v>983</v>
      </c>
      <c r="V11424">
        <v>47</v>
      </c>
    </row>
    <row r="11425" spans="1:22" customFormat="1" ht="15" x14ac:dyDescent="0.25">
      <c r="A11425" t="s">
        <v>309</v>
      </c>
      <c r="E11425" s="1524" t="s">
        <v>175</v>
      </c>
      <c r="F11425" s="1524"/>
      <c r="G11425" s="360" t="s">
        <v>845</v>
      </c>
      <c r="H11425" s="577">
        <v>7.6E-3</v>
      </c>
      <c r="K11425" t="s">
        <v>972</v>
      </c>
      <c r="L11425" t="s">
        <v>694</v>
      </c>
      <c r="P11425" t="s">
        <v>984</v>
      </c>
      <c r="V11425">
        <v>74</v>
      </c>
    </row>
    <row r="11426" spans="1:22" customFormat="1" ht="15" x14ac:dyDescent="0.25">
      <c r="A11426" t="s">
        <v>309</v>
      </c>
      <c r="E11426" s="1533" t="s">
        <v>967</v>
      </c>
      <c r="F11426" s="1524"/>
      <c r="G11426" s="360"/>
      <c r="H11426" s="360"/>
      <c r="K11426" t="s">
        <v>985</v>
      </c>
      <c r="V11426">
        <v>48</v>
      </c>
    </row>
    <row r="11427" spans="1:22" customFormat="1" ht="15" x14ac:dyDescent="0.25">
      <c r="A11427" t="s">
        <v>309</v>
      </c>
      <c r="E11427" s="1524" t="s">
        <v>844</v>
      </c>
      <c r="F11427" s="1524"/>
      <c r="G11427" s="360" t="s">
        <v>845</v>
      </c>
      <c r="H11427" s="605">
        <v>4.1000000000000003E-3</v>
      </c>
      <c r="K11427" t="s">
        <v>972</v>
      </c>
      <c r="L11427" t="s">
        <v>968</v>
      </c>
      <c r="P11427" t="s">
        <v>986</v>
      </c>
      <c r="V11427">
        <v>55</v>
      </c>
    </row>
    <row r="11428" spans="1:22" customFormat="1" ht="15" x14ac:dyDescent="0.25">
      <c r="A11428" t="s">
        <v>309</v>
      </c>
      <c r="E11428" s="1524" t="s">
        <v>846</v>
      </c>
      <c r="F11428" s="1524"/>
      <c r="G11428" s="360" t="s">
        <v>845</v>
      </c>
      <c r="H11428" s="605">
        <v>4.0000000000000002E-4</v>
      </c>
      <c r="K11428" t="s">
        <v>972</v>
      </c>
      <c r="L11428" t="s">
        <v>968</v>
      </c>
      <c r="P11428" t="s">
        <v>986</v>
      </c>
      <c r="V11428">
        <v>65</v>
      </c>
    </row>
    <row r="11429" spans="1:22" customFormat="1" ht="15" x14ac:dyDescent="0.25">
      <c r="A11429" t="s">
        <v>309</v>
      </c>
      <c r="E11429" s="1524" t="s">
        <v>847</v>
      </c>
      <c r="F11429" s="1524"/>
      <c r="G11429" s="360" t="s">
        <v>845</v>
      </c>
      <c r="H11429" s="605">
        <v>1.5E-3</v>
      </c>
      <c r="K11429" t="s">
        <v>972</v>
      </c>
      <c r="L11429" t="s">
        <v>968</v>
      </c>
      <c r="P11429" t="s">
        <v>987</v>
      </c>
      <c r="V11429">
        <v>57</v>
      </c>
    </row>
    <row r="11430" spans="1:22" customFormat="1" ht="15" x14ac:dyDescent="0.25">
      <c r="A11430" t="s">
        <v>309</v>
      </c>
      <c r="E11430" s="1524" t="s">
        <v>848</v>
      </c>
      <c r="F11430" s="1524"/>
      <c r="G11430" s="360" t="s">
        <v>777</v>
      </c>
      <c r="H11430" s="604">
        <v>0.25</v>
      </c>
      <c r="K11430" t="s">
        <v>972</v>
      </c>
      <c r="L11430" t="s">
        <v>968</v>
      </c>
      <c r="P11430" t="s">
        <v>988</v>
      </c>
      <c r="V11430">
        <v>63</v>
      </c>
    </row>
    <row r="11431" spans="1:22" customFormat="1" x14ac:dyDescent="0.25">
      <c r="A11431" t="s">
        <v>309</v>
      </c>
      <c r="E11431" s="1538" t="s">
        <v>179</v>
      </c>
      <c r="F11431" s="1571"/>
      <c r="G11431" s="1571"/>
      <c r="H11431" s="1571"/>
      <c r="K11431" t="s">
        <v>3859</v>
      </c>
      <c r="V11431">
        <v>51</v>
      </c>
    </row>
    <row r="11432" spans="1:22" customFormat="1" ht="15" x14ac:dyDescent="0.25">
      <c r="A11432" t="s">
        <v>309</v>
      </c>
      <c r="E11432" s="1496" t="s">
        <v>3860</v>
      </c>
      <c r="F11432" s="1496"/>
      <c r="G11432" s="1496"/>
      <c r="H11432" s="1496"/>
      <c r="K11432" t="s">
        <v>3859</v>
      </c>
      <c r="V11432">
        <v>375</v>
      </c>
    </row>
    <row r="11433" spans="1:22" customFormat="1" ht="15" x14ac:dyDescent="0.25">
      <c r="A11433" t="s">
        <v>309</v>
      </c>
      <c r="E11433" s="1533" t="s">
        <v>950</v>
      </c>
      <c r="F11433" s="1496"/>
      <c r="G11433" s="1496"/>
      <c r="H11433" s="1496"/>
      <c r="K11433" t="s">
        <v>992</v>
      </c>
      <c r="V11433">
        <v>11</v>
      </c>
    </row>
    <row r="11434" spans="1:22" customFormat="1" ht="15" x14ac:dyDescent="0.25">
      <c r="A11434" t="s">
        <v>309</v>
      </c>
      <c r="E11434" s="1496" t="s">
        <v>951</v>
      </c>
      <c r="F11434" s="1496"/>
      <c r="G11434" s="1496"/>
      <c r="H11434" s="1496"/>
      <c r="K11434" t="s">
        <v>3859</v>
      </c>
      <c r="V11434">
        <v>280</v>
      </c>
    </row>
    <row r="11435" spans="1:22" customFormat="1" ht="15" x14ac:dyDescent="0.25">
      <c r="A11435" t="s">
        <v>309</v>
      </c>
      <c r="E11435" s="1496" t="s">
        <v>952</v>
      </c>
      <c r="F11435" s="1496"/>
      <c r="G11435" s="1496"/>
      <c r="H11435" s="1496"/>
      <c r="K11435" t="s">
        <v>3859</v>
      </c>
      <c r="V11435">
        <v>411</v>
      </c>
    </row>
    <row r="11436" spans="1:22" customFormat="1" ht="15" x14ac:dyDescent="0.25">
      <c r="A11436" t="s">
        <v>309</v>
      </c>
      <c r="E11436" s="1496" t="s">
        <v>3761</v>
      </c>
      <c r="F11436" s="1496"/>
      <c r="G11436" s="1496"/>
      <c r="H11436" s="1496"/>
      <c r="K11436" t="s">
        <v>3859</v>
      </c>
      <c r="V11436">
        <v>387</v>
      </c>
    </row>
    <row r="11437" spans="1:22" customFormat="1" ht="15" x14ac:dyDescent="0.25">
      <c r="A11437" t="s">
        <v>309</v>
      </c>
      <c r="E11437" s="1496" t="s">
        <v>3861</v>
      </c>
      <c r="F11437" s="1496"/>
      <c r="G11437" s="1496"/>
      <c r="H11437" s="1496"/>
      <c r="K11437" t="s">
        <v>3859</v>
      </c>
      <c r="V11437">
        <v>1372</v>
      </c>
    </row>
    <row r="11438" spans="1:22" customFormat="1" ht="15" x14ac:dyDescent="0.25">
      <c r="A11438" t="s">
        <v>309</v>
      </c>
      <c r="E11438" s="1496" t="s">
        <v>3762</v>
      </c>
      <c r="F11438" s="1496"/>
      <c r="G11438" s="1496"/>
      <c r="H11438" s="1496"/>
      <c r="K11438" t="s">
        <v>3859</v>
      </c>
      <c r="V11438">
        <v>247</v>
      </c>
    </row>
    <row r="11439" spans="1:22" customFormat="1" ht="15" x14ac:dyDescent="0.25">
      <c r="A11439" t="s">
        <v>309</v>
      </c>
      <c r="E11439" s="1533" t="s">
        <v>956</v>
      </c>
      <c r="F11439" s="1496"/>
      <c r="G11439" s="1496"/>
      <c r="H11439" s="1496"/>
      <c r="K11439" t="s">
        <v>995</v>
      </c>
      <c r="V11439">
        <v>46</v>
      </c>
    </row>
    <row r="11440" spans="1:22" customFormat="1" ht="15" x14ac:dyDescent="0.25">
      <c r="A11440" t="s">
        <v>309</v>
      </c>
      <c r="E11440" s="1524" t="s">
        <v>3773</v>
      </c>
      <c r="F11440" s="1524"/>
      <c r="G11440" s="360" t="s">
        <v>777</v>
      </c>
      <c r="H11440" s="576">
        <v>157.04</v>
      </c>
      <c r="K11440" t="s">
        <v>3859</v>
      </c>
      <c r="L11440" t="s">
        <v>690</v>
      </c>
      <c r="P11440" t="s">
        <v>3862</v>
      </c>
      <c r="V11440">
        <v>14</v>
      </c>
    </row>
    <row r="11441" spans="1:22" customFormat="1" ht="15" x14ac:dyDescent="0.25">
      <c r="A11441" t="s">
        <v>309</v>
      </c>
      <c r="E11441" s="1524" t="s">
        <v>3688</v>
      </c>
      <c r="F11441" s="1524"/>
      <c r="G11441" s="360" t="s">
        <v>3775</v>
      </c>
      <c r="H11441" s="577">
        <v>3.1612</v>
      </c>
      <c r="K11441" t="s">
        <v>3859</v>
      </c>
      <c r="L11441" t="s">
        <v>690</v>
      </c>
      <c r="P11441" t="s">
        <v>3863</v>
      </c>
      <c r="V11441">
        <v>28</v>
      </c>
    </row>
    <row r="11442" spans="1:22" customFormat="1" ht="15" x14ac:dyDescent="0.25">
      <c r="A11442" t="s">
        <v>309</v>
      </c>
      <c r="E11442" s="1486" t="s">
        <v>6976</v>
      </c>
      <c r="F11442" s="1468"/>
      <c r="G11442" s="360" t="s">
        <v>845</v>
      </c>
      <c r="H11442" s="577">
        <v>2.0000000000000001E-4</v>
      </c>
      <c r="K11442" t="s">
        <v>3859</v>
      </c>
      <c r="L11442" t="s">
        <v>692</v>
      </c>
      <c r="P11442" t="s">
        <v>4101</v>
      </c>
      <c r="T11442">
        <v>46142</v>
      </c>
      <c r="V11442">
        <v>147</v>
      </c>
    </row>
    <row r="11443" spans="1:22" customFormat="1" ht="15" x14ac:dyDescent="0.25">
      <c r="A11443" t="s">
        <v>309</v>
      </c>
      <c r="E11443" s="1524" t="s">
        <v>6850</v>
      </c>
      <c r="F11443" s="1510"/>
      <c r="G11443" s="360" t="s">
        <v>3775</v>
      </c>
      <c r="H11443" s="577">
        <v>0.45519999999999999</v>
      </c>
      <c r="K11443" t="s">
        <v>3859</v>
      </c>
      <c r="L11443" t="s">
        <v>692</v>
      </c>
      <c r="P11443" t="s">
        <v>4103</v>
      </c>
      <c r="T11443">
        <v>46142</v>
      </c>
      <c r="V11443">
        <v>96</v>
      </c>
    </row>
    <row r="11444" spans="1:22" customFormat="1" ht="15" x14ac:dyDescent="0.25">
      <c r="A11444" t="s">
        <v>309</v>
      </c>
      <c r="E11444" s="1524" t="s">
        <v>6853</v>
      </c>
      <c r="F11444" s="1510"/>
      <c r="G11444" s="360" t="s">
        <v>3775</v>
      </c>
      <c r="H11444" s="577">
        <v>-2.4400000000000002E-2</v>
      </c>
      <c r="K11444" t="s">
        <v>3859</v>
      </c>
      <c r="L11444" t="s">
        <v>692</v>
      </c>
      <c r="P11444" t="s">
        <v>4104</v>
      </c>
      <c r="T11444">
        <v>46142</v>
      </c>
      <c r="V11444">
        <v>146</v>
      </c>
    </row>
    <row r="11445" spans="1:22" customFormat="1" ht="15" x14ac:dyDescent="0.25">
      <c r="A11445" t="s">
        <v>309</v>
      </c>
      <c r="E11445" s="1524" t="s">
        <v>6981</v>
      </c>
      <c r="F11445" s="1507"/>
      <c r="G11445" s="360" t="s">
        <v>845</v>
      </c>
      <c r="H11445" s="605">
        <v>6.4999999999999997E-3</v>
      </c>
      <c r="K11445" t="s">
        <v>3859</v>
      </c>
      <c r="L11445" t="s">
        <v>692</v>
      </c>
      <c r="P11445" t="s">
        <v>4103</v>
      </c>
      <c r="T11445">
        <v>46326</v>
      </c>
      <c r="V11445">
        <v>134</v>
      </c>
    </row>
    <row r="11446" spans="1:22" customFormat="1" ht="15" x14ac:dyDescent="0.25">
      <c r="A11446" t="s">
        <v>309</v>
      </c>
      <c r="E11446" s="1524" t="s">
        <v>6978</v>
      </c>
      <c r="F11446" s="1507"/>
      <c r="G11446" s="360" t="s">
        <v>3775</v>
      </c>
      <c r="H11446" s="605">
        <v>0.7127</v>
      </c>
      <c r="K11446" t="s">
        <v>3859</v>
      </c>
      <c r="L11446" t="s">
        <v>692</v>
      </c>
      <c r="P11446" t="s">
        <v>4103</v>
      </c>
      <c r="T11446">
        <v>46326</v>
      </c>
      <c r="V11446">
        <v>99</v>
      </c>
    </row>
    <row r="11447" spans="1:22" customFormat="1" ht="15" x14ac:dyDescent="0.25">
      <c r="A11447" t="s">
        <v>309</v>
      </c>
      <c r="E11447" s="1524" t="s">
        <v>6979</v>
      </c>
      <c r="F11447" s="1507"/>
      <c r="G11447" s="360" t="s">
        <v>3775</v>
      </c>
      <c r="H11447" s="605">
        <v>-2.58E-2</v>
      </c>
      <c r="K11447" t="s">
        <v>3859</v>
      </c>
      <c r="L11447" t="s">
        <v>692</v>
      </c>
      <c r="P11447" t="s">
        <v>6984</v>
      </c>
      <c r="T11447">
        <v>46326</v>
      </c>
      <c r="V11447">
        <v>103</v>
      </c>
    </row>
    <row r="11448" spans="1:22" customFormat="1" ht="15" x14ac:dyDescent="0.25">
      <c r="A11448" t="s">
        <v>309</v>
      </c>
      <c r="E11448" s="1524" t="s">
        <v>6975</v>
      </c>
      <c r="F11448" s="1507"/>
      <c r="G11448" s="360" t="s">
        <v>3775</v>
      </c>
      <c r="H11448" s="605">
        <v>3.3399999999999999E-2</v>
      </c>
      <c r="K11448" t="s">
        <v>3859</v>
      </c>
      <c r="L11448" t="s">
        <v>690</v>
      </c>
      <c r="P11448" t="s">
        <v>4103</v>
      </c>
      <c r="T11448">
        <v>46326</v>
      </c>
      <c r="V11448">
        <v>99</v>
      </c>
    </row>
    <row r="11449" spans="1:22" customFormat="1" ht="15" x14ac:dyDescent="0.25">
      <c r="A11449" t="s">
        <v>309</v>
      </c>
      <c r="E11449" s="1524" t="s">
        <v>243</v>
      </c>
      <c r="F11449" s="1524"/>
      <c r="G11449" s="360" t="s">
        <v>3775</v>
      </c>
      <c r="H11449" s="577">
        <v>4.1332000000000004</v>
      </c>
      <c r="K11449" t="s">
        <v>3859</v>
      </c>
      <c r="L11449" t="s">
        <v>694</v>
      </c>
      <c r="P11449" t="s">
        <v>3864</v>
      </c>
      <c r="V11449">
        <v>47</v>
      </c>
    </row>
    <row r="11450" spans="1:22" customFormat="1" ht="15" x14ac:dyDescent="0.25">
      <c r="A11450" t="s">
        <v>309</v>
      </c>
      <c r="E11450" s="1524" t="s">
        <v>175</v>
      </c>
      <c r="F11450" s="1524"/>
      <c r="G11450" s="360" t="s">
        <v>3775</v>
      </c>
      <c r="H11450" s="577">
        <v>2.9325999999999999</v>
      </c>
      <c r="K11450" t="s">
        <v>3859</v>
      </c>
      <c r="L11450" t="s">
        <v>694</v>
      </c>
      <c r="P11450" t="s">
        <v>3865</v>
      </c>
      <c r="V11450">
        <v>74</v>
      </c>
    </row>
    <row r="11451" spans="1:22" customFormat="1" ht="15" x14ac:dyDescent="0.25">
      <c r="A11451" t="s">
        <v>309</v>
      </c>
      <c r="E11451" s="1533" t="s">
        <v>967</v>
      </c>
      <c r="F11451" s="1524"/>
      <c r="G11451" s="360"/>
      <c r="H11451" s="360"/>
      <c r="K11451" t="s">
        <v>1003</v>
      </c>
      <c r="V11451">
        <v>48</v>
      </c>
    </row>
    <row r="11452" spans="1:22" customFormat="1" ht="15" x14ac:dyDescent="0.25">
      <c r="A11452" t="s">
        <v>309</v>
      </c>
      <c r="E11452" s="1524" t="s">
        <v>844</v>
      </c>
      <c r="F11452" s="1524"/>
      <c r="G11452" s="360" t="s">
        <v>845</v>
      </c>
      <c r="H11452" s="605">
        <v>4.1000000000000003E-3</v>
      </c>
      <c r="K11452" t="s">
        <v>3859</v>
      </c>
      <c r="L11452" t="s">
        <v>968</v>
      </c>
      <c r="P11452" t="s">
        <v>3866</v>
      </c>
      <c r="V11452">
        <v>55</v>
      </c>
    </row>
    <row r="11453" spans="1:22" customFormat="1" ht="15" x14ac:dyDescent="0.25">
      <c r="A11453" t="s">
        <v>309</v>
      </c>
      <c r="E11453" s="1524" t="s">
        <v>846</v>
      </c>
      <c r="F11453" s="1524"/>
      <c r="G11453" s="360" t="s">
        <v>845</v>
      </c>
      <c r="H11453" s="605">
        <v>4.0000000000000002E-4</v>
      </c>
      <c r="K11453" t="s">
        <v>3859</v>
      </c>
      <c r="L11453" t="s">
        <v>968</v>
      </c>
      <c r="P11453" t="s">
        <v>3866</v>
      </c>
      <c r="V11453">
        <v>65</v>
      </c>
    </row>
    <row r="11454" spans="1:22" customFormat="1" ht="15" x14ac:dyDescent="0.25">
      <c r="A11454" t="s">
        <v>309</v>
      </c>
      <c r="E11454" s="1524" t="s">
        <v>847</v>
      </c>
      <c r="F11454" s="1524"/>
      <c r="G11454" s="360" t="s">
        <v>845</v>
      </c>
      <c r="H11454" s="605">
        <v>1.5E-3</v>
      </c>
      <c r="K11454" t="s">
        <v>3859</v>
      </c>
      <c r="L11454" t="s">
        <v>968</v>
      </c>
      <c r="P11454" t="s">
        <v>3867</v>
      </c>
      <c r="V11454">
        <v>57</v>
      </c>
    </row>
    <row r="11455" spans="1:22" customFormat="1" ht="15" x14ac:dyDescent="0.25">
      <c r="A11455" t="s">
        <v>309</v>
      </c>
      <c r="E11455" s="1524" t="s">
        <v>848</v>
      </c>
      <c r="F11455" s="1524"/>
      <c r="G11455" s="360" t="s">
        <v>777</v>
      </c>
      <c r="H11455" s="604">
        <v>0.25</v>
      </c>
      <c r="K11455" t="s">
        <v>3859</v>
      </c>
      <c r="L11455" t="s">
        <v>968</v>
      </c>
      <c r="P11455" t="s">
        <v>3868</v>
      </c>
      <c r="V11455">
        <v>63</v>
      </c>
    </row>
    <row r="11456" spans="1:22" customFormat="1" ht="15" x14ac:dyDescent="0.25">
      <c r="A11456" t="s">
        <v>309</v>
      </c>
      <c r="E11456" s="1538" t="s">
        <v>6985</v>
      </c>
      <c r="F11456" s="1496"/>
      <c r="G11456" s="1496"/>
      <c r="H11456" s="1496"/>
      <c r="K11456" t="s">
        <v>3859</v>
      </c>
      <c r="V11456">
        <v>53</v>
      </c>
    </row>
    <row r="11457" spans="1:22" customFormat="1" ht="15" x14ac:dyDescent="0.25">
      <c r="A11457" t="s">
        <v>309</v>
      </c>
      <c r="E11457" s="1496" t="s">
        <v>3870</v>
      </c>
      <c r="F11457" s="1496"/>
      <c r="G11457" s="1496"/>
      <c r="H11457" s="1496"/>
      <c r="K11457" t="s">
        <v>3859</v>
      </c>
      <c r="V11457">
        <v>392</v>
      </c>
    </row>
    <row r="11458" spans="1:22" customFormat="1" ht="15" x14ac:dyDescent="0.25">
      <c r="A11458" t="s">
        <v>309</v>
      </c>
      <c r="E11458" s="1533" t="s">
        <v>950</v>
      </c>
      <c r="F11458" s="1496"/>
      <c r="G11458" s="1496"/>
      <c r="H11458" s="1496"/>
      <c r="K11458" t="s">
        <v>992</v>
      </c>
      <c r="V11458">
        <v>11</v>
      </c>
    </row>
    <row r="11459" spans="1:22" customFormat="1" ht="15" x14ac:dyDescent="0.25">
      <c r="A11459" t="s">
        <v>309</v>
      </c>
      <c r="E11459" s="1496" t="s">
        <v>951</v>
      </c>
      <c r="F11459" s="1496"/>
      <c r="G11459" s="1496"/>
      <c r="H11459" s="1496"/>
      <c r="K11459" t="s">
        <v>3859</v>
      </c>
      <c r="V11459">
        <v>280</v>
      </c>
    </row>
    <row r="11460" spans="1:22" customFormat="1" ht="15" x14ac:dyDescent="0.25">
      <c r="A11460" t="s">
        <v>309</v>
      </c>
      <c r="E11460" s="1496" t="s">
        <v>952</v>
      </c>
      <c r="F11460" s="1496"/>
      <c r="G11460" s="1496"/>
      <c r="H11460" s="1496"/>
      <c r="K11460" t="s">
        <v>3859</v>
      </c>
      <c r="V11460">
        <v>411</v>
      </c>
    </row>
    <row r="11461" spans="1:22" customFormat="1" ht="15" x14ac:dyDescent="0.25">
      <c r="A11461" t="s">
        <v>309</v>
      </c>
      <c r="E11461" s="1496" t="s">
        <v>3761</v>
      </c>
      <c r="F11461" s="1496"/>
      <c r="G11461" s="1496"/>
      <c r="H11461" s="1496"/>
      <c r="K11461" t="s">
        <v>3859</v>
      </c>
      <c r="V11461">
        <v>387</v>
      </c>
    </row>
    <row r="11462" spans="1:22" customFormat="1" ht="15" x14ac:dyDescent="0.25">
      <c r="A11462" t="s">
        <v>309</v>
      </c>
      <c r="E11462" s="1496" t="s">
        <v>3861</v>
      </c>
      <c r="F11462" s="1496"/>
      <c r="G11462" s="1496"/>
      <c r="H11462" s="1496"/>
      <c r="K11462" t="s">
        <v>3859</v>
      </c>
      <c r="V11462">
        <v>1372</v>
      </c>
    </row>
    <row r="11463" spans="1:22" customFormat="1" ht="15" x14ac:dyDescent="0.25">
      <c r="A11463" t="s">
        <v>309</v>
      </c>
      <c r="E11463" s="1496" t="s">
        <v>3762</v>
      </c>
      <c r="F11463" s="1496"/>
      <c r="G11463" s="1496"/>
      <c r="H11463" s="1496"/>
      <c r="K11463" t="s">
        <v>3859</v>
      </c>
      <c r="V11463">
        <v>247</v>
      </c>
    </row>
    <row r="11464" spans="1:22" customFormat="1" ht="15" x14ac:dyDescent="0.25">
      <c r="A11464" t="s">
        <v>309</v>
      </c>
      <c r="E11464" s="1533" t="s">
        <v>956</v>
      </c>
      <c r="F11464" s="1496"/>
      <c r="G11464" s="1496"/>
      <c r="H11464" s="1496"/>
      <c r="K11464" t="s">
        <v>995</v>
      </c>
      <c r="V11464">
        <v>46</v>
      </c>
    </row>
    <row r="11465" spans="1:22" customFormat="1" ht="15" x14ac:dyDescent="0.25">
      <c r="A11465" t="s">
        <v>309</v>
      </c>
      <c r="E11465" s="1524" t="s">
        <v>3773</v>
      </c>
      <c r="F11465" s="1524"/>
      <c r="G11465" s="360" t="s">
        <v>777</v>
      </c>
      <c r="H11465" s="576">
        <v>1633.19</v>
      </c>
      <c r="K11465" t="s">
        <v>3859</v>
      </c>
      <c r="L11465" t="s">
        <v>690</v>
      </c>
      <c r="P11465" t="s">
        <v>3862</v>
      </c>
      <c r="V11465">
        <v>14</v>
      </c>
    </row>
    <row r="11466" spans="1:22" customFormat="1" ht="15" x14ac:dyDescent="0.25">
      <c r="A11466" t="s">
        <v>309</v>
      </c>
      <c r="E11466" s="1524" t="s">
        <v>3688</v>
      </c>
      <c r="F11466" s="1524"/>
      <c r="G11466" s="360" t="s">
        <v>3775</v>
      </c>
      <c r="H11466" s="577">
        <v>1.0170999999999999</v>
      </c>
      <c r="K11466" t="s">
        <v>3859</v>
      </c>
      <c r="L11466" t="s">
        <v>690</v>
      </c>
      <c r="P11466" t="s">
        <v>3863</v>
      </c>
      <c r="V11466">
        <v>28</v>
      </c>
    </row>
    <row r="11467" spans="1:22" customFormat="1" ht="15" x14ac:dyDescent="0.25">
      <c r="A11467" t="s">
        <v>309</v>
      </c>
      <c r="E11467" s="1486" t="s">
        <v>6976</v>
      </c>
      <c r="F11467" s="1468"/>
      <c r="G11467" s="360" t="s">
        <v>845</v>
      </c>
      <c r="H11467" s="577">
        <v>2.0000000000000001E-4</v>
      </c>
      <c r="K11467" t="s">
        <v>3859</v>
      </c>
      <c r="L11467" t="s">
        <v>692</v>
      </c>
      <c r="P11467" t="s">
        <v>4101</v>
      </c>
      <c r="T11467">
        <v>46142</v>
      </c>
      <c r="V11467">
        <v>147</v>
      </c>
    </row>
    <row r="11468" spans="1:22" customFormat="1" ht="15" x14ac:dyDescent="0.25">
      <c r="A11468" t="s">
        <v>309</v>
      </c>
      <c r="E11468" s="1524" t="s">
        <v>6850</v>
      </c>
      <c r="F11468" s="1510"/>
      <c r="G11468" s="360" t="s">
        <v>3775</v>
      </c>
      <c r="H11468" s="577">
        <v>0.47349999999999998</v>
      </c>
      <c r="K11468" t="s">
        <v>3859</v>
      </c>
      <c r="L11468" t="s">
        <v>692</v>
      </c>
      <c r="P11468" t="s">
        <v>4103</v>
      </c>
      <c r="T11468">
        <v>46142</v>
      </c>
      <c r="V11468">
        <v>96</v>
      </c>
    </row>
    <row r="11469" spans="1:22" customFormat="1" ht="15" x14ac:dyDescent="0.25">
      <c r="A11469" t="s">
        <v>309</v>
      </c>
      <c r="E11469" s="1524" t="s">
        <v>6853</v>
      </c>
      <c r="F11469" s="1510"/>
      <c r="G11469" s="360" t="s">
        <v>3775</v>
      </c>
      <c r="H11469" s="577">
        <v>-1.78E-2</v>
      </c>
      <c r="K11469" t="s">
        <v>3859</v>
      </c>
      <c r="L11469" t="s">
        <v>692</v>
      </c>
      <c r="P11469" t="s">
        <v>4104</v>
      </c>
      <c r="T11469">
        <v>46142</v>
      </c>
      <c r="V11469">
        <v>146</v>
      </c>
    </row>
    <row r="11470" spans="1:22" customFormat="1" ht="15" x14ac:dyDescent="0.25">
      <c r="A11470" t="s">
        <v>309</v>
      </c>
      <c r="E11470" s="1524" t="s">
        <v>6981</v>
      </c>
      <c r="F11470" s="1507"/>
      <c r="G11470" s="360" t="s">
        <v>845</v>
      </c>
      <c r="H11470" s="605">
        <v>6.4999999999999997E-3</v>
      </c>
      <c r="K11470" t="s">
        <v>3859</v>
      </c>
      <c r="L11470" t="s">
        <v>692</v>
      </c>
      <c r="P11470" t="s">
        <v>4103</v>
      </c>
      <c r="T11470">
        <v>46326</v>
      </c>
      <c r="V11470">
        <v>134</v>
      </c>
    </row>
    <row r="11471" spans="1:22" customFormat="1" ht="15" x14ac:dyDescent="0.25">
      <c r="A11471" t="s">
        <v>309</v>
      </c>
      <c r="E11471" s="1524" t="s">
        <v>6978</v>
      </c>
      <c r="F11471" s="1507"/>
      <c r="G11471" s="360" t="s">
        <v>3775</v>
      </c>
      <c r="H11471" s="605">
        <v>0.73899999999999999</v>
      </c>
      <c r="K11471" t="s">
        <v>3859</v>
      </c>
      <c r="L11471" t="s">
        <v>692</v>
      </c>
      <c r="P11471" t="s">
        <v>4103</v>
      </c>
      <c r="T11471">
        <v>46326</v>
      </c>
      <c r="V11471">
        <v>99</v>
      </c>
    </row>
    <row r="11472" spans="1:22" customFormat="1" ht="15" x14ac:dyDescent="0.25">
      <c r="A11472" t="s">
        <v>309</v>
      </c>
      <c r="E11472" s="1524" t="s">
        <v>6979</v>
      </c>
      <c r="F11472" s="1507"/>
      <c r="G11472" s="360" t="s">
        <v>3775</v>
      </c>
      <c r="H11472" s="605">
        <v>-2.6800000000000001E-2</v>
      </c>
      <c r="K11472" t="s">
        <v>3859</v>
      </c>
      <c r="L11472" t="s">
        <v>692</v>
      </c>
      <c r="P11472" t="s">
        <v>6986</v>
      </c>
      <c r="T11472">
        <v>46326</v>
      </c>
      <c r="V11472">
        <v>103</v>
      </c>
    </row>
    <row r="11473" spans="1:22" customFormat="1" ht="15" x14ac:dyDescent="0.25">
      <c r="A11473" t="s">
        <v>309</v>
      </c>
      <c r="E11473" s="1524" t="s">
        <v>6975</v>
      </c>
      <c r="F11473" s="1507"/>
      <c r="G11473" s="360" t="s">
        <v>3775</v>
      </c>
      <c r="H11473" s="605">
        <v>4.9299999999999997E-2</v>
      </c>
      <c r="K11473" t="s">
        <v>3859</v>
      </c>
      <c r="L11473" t="s">
        <v>690</v>
      </c>
      <c r="P11473" t="s">
        <v>4103</v>
      </c>
      <c r="T11473">
        <v>46326</v>
      </c>
      <c r="V11473">
        <v>99</v>
      </c>
    </row>
    <row r="11474" spans="1:22" customFormat="1" ht="15" x14ac:dyDescent="0.25">
      <c r="A11474" t="s">
        <v>309</v>
      </c>
      <c r="E11474" s="1524" t="s">
        <v>251</v>
      </c>
      <c r="F11474" s="1524"/>
      <c r="G11474" s="360" t="s">
        <v>3775</v>
      </c>
      <c r="H11474" s="577">
        <v>5.4160000000000004</v>
      </c>
      <c r="K11474" t="s">
        <v>3859</v>
      </c>
      <c r="L11474" t="s">
        <v>694</v>
      </c>
      <c r="P11474" t="s">
        <v>3864</v>
      </c>
      <c r="V11474">
        <v>66</v>
      </c>
    </row>
    <row r="11475" spans="1:22" customFormat="1" ht="15" x14ac:dyDescent="0.25">
      <c r="A11475" t="s">
        <v>309</v>
      </c>
      <c r="E11475" s="1524" t="s">
        <v>185</v>
      </c>
      <c r="F11475" s="1524"/>
      <c r="G11475" s="360" t="s">
        <v>3775</v>
      </c>
      <c r="H11475" s="577">
        <v>3.9965000000000002</v>
      </c>
      <c r="K11475" t="s">
        <v>3859</v>
      </c>
      <c r="L11475" t="s">
        <v>694</v>
      </c>
      <c r="P11475" t="s">
        <v>3865</v>
      </c>
      <c r="V11475">
        <v>93</v>
      </c>
    </row>
    <row r="11476" spans="1:22" customFormat="1" ht="15" x14ac:dyDescent="0.25">
      <c r="A11476" t="s">
        <v>309</v>
      </c>
      <c r="E11476" s="1533" t="s">
        <v>967</v>
      </c>
      <c r="F11476" s="1524"/>
      <c r="G11476" s="360"/>
      <c r="H11476" s="360"/>
      <c r="K11476" t="s">
        <v>1003</v>
      </c>
      <c r="V11476">
        <v>48</v>
      </c>
    </row>
    <row r="11477" spans="1:22" customFormat="1" ht="15" x14ac:dyDescent="0.25">
      <c r="A11477" t="s">
        <v>309</v>
      </c>
      <c r="E11477" s="1524" t="s">
        <v>844</v>
      </c>
      <c r="F11477" s="1524"/>
      <c r="G11477" s="360" t="s">
        <v>845</v>
      </c>
      <c r="H11477" s="605">
        <v>4.1000000000000003E-3</v>
      </c>
      <c r="K11477" t="s">
        <v>3859</v>
      </c>
      <c r="L11477" t="s">
        <v>968</v>
      </c>
      <c r="P11477" t="s">
        <v>3866</v>
      </c>
      <c r="V11477">
        <v>55</v>
      </c>
    </row>
    <row r="11478" spans="1:22" customFormat="1" ht="15" x14ac:dyDescent="0.25">
      <c r="A11478" t="s">
        <v>309</v>
      </c>
      <c r="E11478" s="1524" t="s">
        <v>846</v>
      </c>
      <c r="F11478" s="1524"/>
      <c r="G11478" s="360" t="s">
        <v>845</v>
      </c>
      <c r="H11478" s="605">
        <v>4.0000000000000002E-4</v>
      </c>
      <c r="K11478" t="s">
        <v>3859</v>
      </c>
      <c r="L11478" t="s">
        <v>968</v>
      </c>
      <c r="P11478" t="s">
        <v>3866</v>
      </c>
      <c r="V11478">
        <v>65</v>
      </c>
    </row>
    <row r="11479" spans="1:22" customFormat="1" ht="15" x14ac:dyDescent="0.25">
      <c r="A11479" t="s">
        <v>309</v>
      </c>
      <c r="E11479" s="1524" t="s">
        <v>847</v>
      </c>
      <c r="F11479" s="1524"/>
      <c r="G11479" s="360" t="s">
        <v>845</v>
      </c>
      <c r="H11479" s="605">
        <v>1.5E-3</v>
      </c>
      <c r="K11479" t="s">
        <v>3859</v>
      </c>
      <c r="L11479" t="s">
        <v>968</v>
      </c>
      <c r="P11479" t="s">
        <v>3867</v>
      </c>
      <c r="V11479">
        <v>57</v>
      </c>
    </row>
    <row r="11480" spans="1:22" customFormat="1" ht="15" x14ac:dyDescent="0.25">
      <c r="A11480" t="s">
        <v>309</v>
      </c>
      <c r="E11480" s="1524" t="s">
        <v>848</v>
      </c>
      <c r="F11480" s="1524"/>
      <c r="G11480" s="360" t="s">
        <v>777</v>
      </c>
      <c r="H11480" s="604">
        <v>0.25</v>
      </c>
      <c r="K11480" t="s">
        <v>3859</v>
      </c>
      <c r="L11480" t="s">
        <v>968</v>
      </c>
      <c r="P11480" t="s">
        <v>3868</v>
      </c>
      <c r="V11480">
        <v>63</v>
      </c>
    </row>
    <row r="11481" spans="1:22" customFormat="1" x14ac:dyDescent="0.25">
      <c r="A11481" t="s">
        <v>309</v>
      </c>
      <c r="E11481" s="1538" t="s">
        <v>3871</v>
      </c>
      <c r="F11481" s="1571"/>
      <c r="G11481" s="1571"/>
      <c r="H11481" s="1571"/>
      <c r="K11481" t="s">
        <v>6987</v>
      </c>
      <c r="V11481">
        <v>72</v>
      </c>
    </row>
    <row r="11482" spans="1:22" customFormat="1" ht="15" x14ac:dyDescent="0.25">
      <c r="A11482" t="s">
        <v>309</v>
      </c>
      <c r="E11482" s="1496" t="s">
        <v>6988</v>
      </c>
      <c r="F11482" s="1496"/>
      <c r="G11482" s="1496"/>
      <c r="H11482" s="1496"/>
      <c r="K11482" t="s">
        <v>6987</v>
      </c>
      <c r="V11482">
        <v>393</v>
      </c>
    </row>
    <row r="11483" spans="1:22" customFormat="1" ht="15" x14ac:dyDescent="0.25">
      <c r="A11483" t="s">
        <v>309</v>
      </c>
      <c r="E11483" s="1533" t="s">
        <v>950</v>
      </c>
      <c r="F11483" s="1496"/>
      <c r="G11483" s="1496"/>
      <c r="H11483" s="1496"/>
      <c r="K11483" t="s">
        <v>1010</v>
      </c>
      <c r="V11483">
        <v>11</v>
      </c>
    </row>
    <row r="11484" spans="1:22" customFormat="1" ht="15" x14ac:dyDescent="0.25">
      <c r="A11484" t="s">
        <v>309</v>
      </c>
      <c r="E11484" s="1496" t="s">
        <v>951</v>
      </c>
      <c r="F11484" s="1496"/>
      <c r="G11484" s="1496"/>
      <c r="H11484" s="1496"/>
      <c r="K11484" t="s">
        <v>6987</v>
      </c>
      <c r="V11484">
        <v>280</v>
      </c>
    </row>
    <row r="11485" spans="1:22" customFormat="1" ht="15" x14ac:dyDescent="0.25">
      <c r="A11485" t="s">
        <v>309</v>
      </c>
      <c r="E11485" s="1496" t="s">
        <v>952</v>
      </c>
      <c r="F11485" s="1496"/>
      <c r="G11485" s="1496"/>
      <c r="H11485" s="1496"/>
      <c r="K11485" t="s">
        <v>6987</v>
      </c>
      <c r="V11485">
        <v>411</v>
      </c>
    </row>
    <row r="11486" spans="1:22" customFormat="1" ht="15" x14ac:dyDescent="0.25">
      <c r="A11486" t="s">
        <v>309</v>
      </c>
      <c r="E11486" s="1496" t="s">
        <v>3761</v>
      </c>
      <c r="F11486" s="1496"/>
      <c r="G11486" s="1496"/>
      <c r="H11486" s="1496"/>
      <c r="K11486" t="s">
        <v>6987</v>
      </c>
      <c r="V11486">
        <v>387</v>
      </c>
    </row>
    <row r="11487" spans="1:22" customFormat="1" ht="15" x14ac:dyDescent="0.25">
      <c r="A11487" t="s">
        <v>309</v>
      </c>
      <c r="E11487" s="1496" t="s">
        <v>3861</v>
      </c>
      <c r="F11487" s="1496"/>
      <c r="G11487" s="1496"/>
      <c r="H11487" s="1496"/>
      <c r="K11487" t="s">
        <v>6987</v>
      </c>
      <c r="V11487">
        <v>1372</v>
      </c>
    </row>
    <row r="11488" spans="1:22" customFormat="1" ht="15" x14ac:dyDescent="0.25">
      <c r="A11488" t="s">
        <v>309</v>
      </c>
      <c r="E11488" s="1496" t="s">
        <v>3762</v>
      </c>
      <c r="F11488" s="1496"/>
      <c r="G11488" s="1496"/>
      <c r="H11488" s="1496"/>
      <c r="K11488" t="s">
        <v>6987</v>
      </c>
      <c r="V11488">
        <v>247</v>
      </c>
    </row>
    <row r="11489" spans="1:22" customFormat="1" ht="15" x14ac:dyDescent="0.25">
      <c r="A11489" t="s">
        <v>309</v>
      </c>
      <c r="E11489" s="1533" t="s">
        <v>956</v>
      </c>
      <c r="F11489" s="1496"/>
      <c r="G11489" s="1496"/>
      <c r="H11489" s="1496"/>
      <c r="K11489" t="s">
        <v>1011</v>
      </c>
      <c r="V11489">
        <v>46</v>
      </c>
    </row>
    <row r="11490" spans="1:22" customFormat="1" ht="15" x14ac:dyDescent="0.25">
      <c r="A11490" t="s">
        <v>309</v>
      </c>
      <c r="E11490" s="1524" t="s">
        <v>3773</v>
      </c>
      <c r="F11490" s="1524"/>
      <c r="G11490" s="360" t="s">
        <v>777</v>
      </c>
      <c r="H11490" s="576">
        <v>2299.25</v>
      </c>
      <c r="K11490" t="s">
        <v>6987</v>
      </c>
      <c r="L11490" t="s">
        <v>690</v>
      </c>
      <c r="P11490" t="s">
        <v>6989</v>
      </c>
      <c r="V11490">
        <v>14</v>
      </c>
    </row>
    <row r="11491" spans="1:22" customFormat="1" ht="15" x14ac:dyDescent="0.25">
      <c r="A11491" t="s">
        <v>309</v>
      </c>
      <c r="E11491" s="1524" t="s">
        <v>6990</v>
      </c>
      <c r="F11491" s="1507"/>
      <c r="G11491" s="360" t="s">
        <v>845</v>
      </c>
      <c r="H11491" s="605">
        <v>6.4999999999999997E-3</v>
      </c>
      <c r="K11491" t="s">
        <v>6987</v>
      </c>
      <c r="L11491" t="s">
        <v>692</v>
      </c>
      <c r="P11491" t="s">
        <v>6991</v>
      </c>
      <c r="T11491">
        <v>46326</v>
      </c>
      <c r="V11491">
        <v>133</v>
      </c>
    </row>
    <row r="11492" spans="1:22" customFormat="1" ht="15" x14ac:dyDescent="0.25">
      <c r="A11492" t="s">
        <v>309</v>
      </c>
      <c r="E11492" s="1524" t="s">
        <v>6978</v>
      </c>
      <c r="F11492" s="1507"/>
      <c r="G11492" s="360" t="s">
        <v>3775</v>
      </c>
      <c r="H11492" s="605">
        <v>0.90310000000000001</v>
      </c>
      <c r="K11492" t="s">
        <v>6987</v>
      </c>
      <c r="L11492" t="s">
        <v>692</v>
      </c>
      <c r="P11492" t="s">
        <v>6991</v>
      </c>
      <c r="T11492">
        <v>46326</v>
      </c>
      <c r="V11492">
        <v>99</v>
      </c>
    </row>
    <row r="11493" spans="1:22" customFormat="1" ht="15" x14ac:dyDescent="0.25">
      <c r="A11493" t="s">
        <v>309</v>
      </c>
      <c r="E11493" s="1524" t="s">
        <v>6979</v>
      </c>
      <c r="F11493" s="1507"/>
      <c r="G11493" s="360" t="s">
        <v>3775</v>
      </c>
      <c r="H11493" s="605">
        <v>-3.27E-2</v>
      </c>
      <c r="K11493" t="s">
        <v>6987</v>
      </c>
      <c r="L11493" t="s">
        <v>692</v>
      </c>
      <c r="P11493" t="s">
        <v>6992</v>
      </c>
      <c r="T11493">
        <v>46326</v>
      </c>
      <c r="V11493">
        <v>103</v>
      </c>
    </row>
    <row r="11494" spans="1:22" customFormat="1" ht="15" x14ac:dyDescent="0.25">
      <c r="A11494" t="s">
        <v>309</v>
      </c>
      <c r="E11494" s="1524" t="s">
        <v>6975</v>
      </c>
      <c r="F11494" s="1507"/>
      <c r="G11494" s="360" t="s">
        <v>3775</v>
      </c>
      <c r="H11494" s="605">
        <v>5.8299999999999998E-2</v>
      </c>
      <c r="K11494" t="s">
        <v>6987</v>
      </c>
      <c r="L11494" t="s">
        <v>690</v>
      </c>
      <c r="P11494" t="s">
        <v>6991</v>
      </c>
      <c r="T11494">
        <v>46326</v>
      </c>
      <c r="V11494">
        <v>99</v>
      </c>
    </row>
    <row r="11495" spans="1:22" customFormat="1" ht="15" x14ac:dyDescent="0.25">
      <c r="A11495" t="s">
        <v>309</v>
      </c>
      <c r="E11495" s="1524" t="s">
        <v>3688</v>
      </c>
      <c r="F11495" s="1524"/>
      <c r="G11495" s="360" t="s">
        <v>3775</v>
      </c>
      <c r="H11495" s="577">
        <v>2.5767000000000002</v>
      </c>
      <c r="K11495" t="s">
        <v>6987</v>
      </c>
      <c r="L11495" t="s">
        <v>690</v>
      </c>
      <c r="P11495" t="s">
        <v>6993</v>
      </c>
      <c r="V11495">
        <v>28</v>
      </c>
    </row>
    <row r="11496" spans="1:22" customFormat="1" ht="15" x14ac:dyDescent="0.25">
      <c r="A11496" t="s">
        <v>309</v>
      </c>
      <c r="E11496" s="1524" t="s">
        <v>6850</v>
      </c>
      <c r="F11496" s="1510"/>
      <c r="G11496" s="360" t="s">
        <v>3775</v>
      </c>
      <c r="H11496" s="577">
        <v>0.53820000000000001</v>
      </c>
      <c r="K11496" t="s">
        <v>6987</v>
      </c>
      <c r="L11496" t="s">
        <v>692</v>
      </c>
      <c r="P11496" t="s">
        <v>6991</v>
      </c>
      <c r="T11496">
        <v>46142</v>
      </c>
      <c r="V11496">
        <v>96</v>
      </c>
    </row>
    <row r="11497" spans="1:22" customFormat="1" ht="15" x14ac:dyDescent="0.25">
      <c r="A11497" t="s">
        <v>309</v>
      </c>
      <c r="E11497" s="1524" t="s">
        <v>251</v>
      </c>
      <c r="F11497" s="1524"/>
      <c r="G11497" s="360" t="s">
        <v>3775</v>
      </c>
      <c r="H11497" s="577">
        <v>5.4160000000000004</v>
      </c>
      <c r="K11497" t="s">
        <v>6987</v>
      </c>
      <c r="L11497" t="s">
        <v>694</v>
      </c>
      <c r="P11497" t="s">
        <v>6994</v>
      </c>
      <c r="V11497">
        <v>66</v>
      </c>
    </row>
    <row r="11498" spans="1:22" customFormat="1" ht="15" x14ac:dyDescent="0.25">
      <c r="A11498" t="s">
        <v>309</v>
      </c>
      <c r="E11498" s="1524" t="s">
        <v>185</v>
      </c>
      <c r="F11498" s="1524"/>
      <c r="G11498" s="360" t="s">
        <v>3775</v>
      </c>
      <c r="H11498" s="577">
        <v>3.9965000000000002</v>
      </c>
      <c r="K11498" t="s">
        <v>6987</v>
      </c>
      <c r="L11498" t="s">
        <v>694</v>
      </c>
      <c r="P11498" t="s">
        <v>6995</v>
      </c>
      <c r="V11498">
        <v>93</v>
      </c>
    </row>
    <row r="11499" spans="1:22" customFormat="1" ht="15" x14ac:dyDescent="0.25">
      <c r="A11499" t="s">
        <v>309</v>
      </c>
      <c r="E11499" s="1533" t="s">
        <v>967</v>
      </c>
      <c r="F11499" s="1524"/>
      <c r="G11499" s="360"/>
      <c r="H11499" s="360"/>
      <c r="K11499" t="s">
        <v>1019</v>
      </c>
      <c r="V11499">
        <v>48</v>
      </c>
    </row>
    <row r="11500" spans="1:22" customFormat="1" ht="15" x14ac:dyDescent="0.25">
      <c r="A11500" t="s">
        <v>309</v>
      </c>
      <c r="E11500" s="1524" t="s">
        <v>844</v>
      </c>
      <c r="F11500" s="1524"/>
      <c r="G11500" s="360" t="s">
        <v>845</v>
      </c>
      <c r="H11500" s="605">
        <v>4.1000000000000003E-3</v>
      </c>
      <c r="K11500" t="s">
        <v>6987</v>
      </c>
      <c r="L11500" t="s">
        <v>968</v>
      </c>
      <c r="P11500" t="s">
        <v>6996</v>
      </c>
      <c r="V11500">
        <v>55</v>
      </c>
    </row>
    <row r="11501" spans="1:22" customFormat="1" ht="15" x14ac:dyDescent="0.25">
      <c r="A11501" t="s">
        <v>309</v>
      </c>
      <c r="E11501" s="1524" t="s">
        <v>846</v>
      </c>
      <c r="F11501" s="1524"/>
      <c r="G11501" s="360" t="s">
        <v>845</v>
      </c>
      <c r="H11501" s="605">
        <v>4.0000000000000002E-4</v>
      </c>
      <c r="K11501" t="s">
        <v>6987</v>
      </c>
      <c r="L11501" t="s">
        <v>968</v>
      </c>
      <c r="P11501" t="s">
        <v>6996</v>
      </c>
      <c r="V11501">
        <v>65</v>
      </c>
    </row>
    <row r="11502" spans="1:22" customFormat="1" ht="15" x14ac:dyDescent="0.25">
      <c r="A11502" t="s">
        <v>309</v>
      </c>
      <c r="E11502" s="1524" t="s">
        <v>847</v>
      </c>
      <c r="F11502" s="1524"/>
      <c r="G11502" s="360" t="s">
        <v>845</v>
      </c>
      <c r="H11502" s="605">
        <v>1.5E-3</v>
      </c>
      <c r="K11502" t="s">
        <v>6987</v>
      </c>
      <c r="L11502" t="s">
        <v>968</v>
      </c>
      <c r="P11502" t="s">
        <v>6997</v>
      </c>
      <c r="V11502">
        <v>57</v>
      </c>
    </row>
    <row r="11503" spans="1:22" customFormat="1" ht="15" x14ac:dyDescent="0.25">
      <c r="A11503" t="s">
        <v>309</v>
      </c>
      <c r="E11503" s="1524" t="s">
        <v>848</v>
      </c>
      <c r="F11503" s="1524"/>
      <c r="G11503" s="360" t="s">
        <v>777</v>
      </c>
      <c r="H11503" s="604">
        <v>0.25</v>
      </c>
      <c r="K11503" t="s">
        <v>6987</v>
      </c>
      <c r="L11503" t="s">
        <v>968</v>
      </c>
      <c r="P11503" t="s">
        <v>6998</v>
      </c>
      <c r="V11503">
        <v>63</v>
      </c>
    </row>
    <row r="11504" spans="1:22" customFormat="1" x14ac:dyDescent="0.25">
      <c r="A11504" t="s">
        <v>309</v>
      </c>
      <c r="E11504" s="1538" t="s">
        <v>194</v>
      </c>
      <c r="F11504" s="1538"/>
      <c r="G11504" s="1538"/>
      <c r="H11504" s="1538"/>
      <c r="K11504" t="s">
        <v>1023</v>
      </c>
      <c r="V11504">
        <v>47</v>
      </c>
    </row>
    <row r="11505" spans="1:22" customFormat="1" ht="15" x14ac:dyDescent="0.25">
      <c r="A11505" t="s">
        <v>309</v>
      </c>
      <c r="E11505" s="1496" t="s">
        <v>3873</v>
      </c>
      <c r="F11505" s="1496"/>
      <c r="G11505" s="1496"/>
      <c r="H11505" s="1496"/>
      <c r="K11505" t="s">
        <v>1023</v>
      </c>
      <c r="V11505">
        <v>682</v>
      </c>
    </row>
    <row r="11506" spans="1:22" customFormat="1" ht="15" x14ac:dyDescent="0.25">
      <c r="A11506" t="s">
        <v>309</v>
      </c>
      <c r="E11506" s="1533" t="s">
        <v>950</v>
      </c>
      <c r="F11506" s="1496"/>
      <c r="G11506" s="1496"/>
      <c r="H11506" s="1496"/>
      <c r="K11506" t="s">
        <v>1025</v>
      </c>
      <c r="V11506">
        <v>11</v>
      </c>
    </row>
    <row r="11507" spans="1:22" customFormat="1" ht="15" x14ac:dyDescent="0.25">
      <c r="A11507" t="s">
        <v>309</v>
      </c>
      <c r="E11507" s="1496" t="s">
        <v>951</v>
      </c>
      <c r="F11507" s="1496"/>
      <c r="G11507" s="1496"/>
      <c r="H11507" s="1496"/>
      <c r="K11507" t="s">
        <v>1023</v>
      </c>
      <c r="V11507">
        <v>280</v>
      </c>
    </row>
    <row r="11508" spans="1:22" customFormat="1" ht="15" x14ac:dyDescent="0.25">
      <c r="A11508" t="s">
        <v>309</v>
      </c>
      <c r="E11508" s="1496" t="s">
        <v>952</v>
      </c>
      <c r="F11508" s="1496"/>
      <c r="G11508" s="1496"/>
      <c r="H11508" s="1496"/>
      <c r="K11508" t="s">
        <v>1023</v>
      </c>
      <c r="V11508">
        <v>411</v>
      </c>
    </row>
    <row r="11509" spans="1:22" customFormat="1" ht="15" x14ac:dyDescent="0.25">
      <c r="A11509" t="s">
        <v>309</v>
      </c>
      <c r="E11509" s="1496" t="s">
        <v>3761</v>
      </c>
      <c r="F11509" s="1496"/>
      <c r="G11509" s="1496"/>
      <c r="H11509" s="1496"/>
      <c r="K11509" t="s">
        <v>1023</v>
      </c>
      <c r="V11509">
        <v>387</v>
      </c>
    </row>
    <row r="11510" spans="1:22" customFormat="1" ht="15" x14ac:dyDescent="0.25">
      <c r="A11510" t="s">
        <v>309</v>
      </c>
      <c r="E11510" s="1496" t="s">
        <v>3762</v>
      </c>
      <c r="F11510" s="1496"/>
      <c r="G11510" s="1496"/>
      <c r="H11510" s="1496"/>
      <c r="K11510" t="s">
        <v>1023</v>
      </c>
      <c r="V11510">
        <v>247</v>
      </c>
    </row>
    <row r="11511" spans="1:22" customFormat="1" ht="15" x14ac:dyDescent="0.25">
      <c r="A11511" t="s">
        <v>309</v>
      </c>
      <c r="E11511" s="1533" t="s">
        <v>956</v>
      </c>
      <c r="F11511" s="1496"/>
      <c r="G11511" s="1496"/>
      <c r="H11511" s="1496"/>
      <c r="K11511" t="s">
        <v>1026</v>
      </c>
      <c r="V11511">
        <v>46</v>
      </c>
    </row>
    <row r="11512" spans="1:22" customFormat="1" ht="15" x14ac:dyDescent="0.25">
      <c r="A11512" t="s">
        <v>309</v>
      </c>
      <c r="E11512" s="1524" t="s">
        <v>3874</v>
      </c>
      <c r="F11512" s="1524"/>
      <c r="G11512" s="360" t="s">
        <v>777</v>
      </c>
      <c r="H11512" s="576">
        <v>8.3800000000000008</v>
      </c>
      <c r="K11512" t="s">
        <v>1023</v>
      </c>
      <c r="L11512" t="s">
        <v>690</v>
      </c>
      <c r="P11512" t="s">
        <v>1027</v>
      </c>
      <c r="V11512">
        <v>31</v>
      </c>
    </row>
    <row r="11513" spans="1:22" customFormat="1" ht="15" x14ac:dyDescent="0.25">
      <c r="A11513" t="s">
        <v>309</v>
      </c>
      <c r="E11513" s="1524" t="s">
        <v>3688</v>
      </c>
      <c r="F11513" s="1524"/>
      <c r="G11513" s="360" t="s">
        <v>845</v>
      </c>
      <c r="H11513" s="577">
        <v>1.7500000000000002E-2</v>
      </c>
      <c r="K11513" t="s">
        <v>1023</v>
      </c>
      <c r="L11513" t="s">
        <v>690</v>
      </c>
      <c r="P11513" t="s">
        <v>1029</v>
      </c>
      <c r="V11513">
        <v>28</v>
      </c>
    </row>
    <row r="11514" spans="1:22" customFormat="1" ht="15" x14ac:dyDescent="0.25">
      <c r="A11514" t="s">
        <v>309</v>
      </c>
      <c r="E11514" s="1486" t="s">
        <v>6976</v>
      </c>
      <c r="F11514" s="1468"/>
      <c r="G11514" s="360" t="s">
        <v>845</v>
      </c>
      <c r="H11514" s="577">
        <v>2.0000000000000001E-4</v>
      </c>
      <c r="K11514" t="s">
        <v>1023</v>
      </c>
      <c r="L11514" t="s">
        <v>692</v>
      </c>
      <c r="P11514" t="s">
        <v>1031</v>
      </c>
      <c r="T11514">
        <v>46142</v>
      </c>
      <c r="V11514">
        <v>147</v>
      </c>
    </row>
    <row r="11515" spans="1:22" customFormat="1" ht="15" x14ac:dyDescent="0.25">
      <c r="A11515" t="s">
        <v>309</v>
      </c>
      <c r="E11515" s="1524" t="s">
        <v>6850</v>
      </c>
      <c r="F11515" s="1510"/>
      <c r="G11515" s="360" t="s">
        <v>845</v>
      </c>
      <c r="H11515" s="577">
        <v>1.2999999999999999E-3</v>
      </c>
      <c r="K11515" t="s">
        <v>1023</v>
      </c>
      <c r="L11515" t="s">
        <v>692</v>
      </c>
      <c r="P11515" t="s">
        <v>1032</v>
      </c>
      <c r="T11515">
        <v>46142</v>
      </c>
      <c r="V11515">
        <v>96</v>
      </c>
    </row>
    <row r="11516" spans="1:22" customFormat="1" ht="15" x14ac:dyDescent="0.25">
      <c r="A11516" t="s">
        <v>309</v>
      </c>
      <c r="E11516" s="1524" t="s">
        <v>6853</v>
      </c>
      <c r="F11516" s="1510"/>
      <c r="G11516" s="360" t="s">
        <v>845</v>
      </c>
      <c r="H11516" s="577">
        <v>-1E-4</v>
      </c>
      <c r="K11516" t="s">
        <v>1023</v>
      </c>
      <c r="L11516" t="s">
        <v>692</v>
      </c>
      <c r="P11516" t="s">
        <v>4520</v>
      </c>
      <c r="T11516">
        <v>46142</v>
      </c>
      <c r="V11516">
        <v>146</v>
      </c>
    </row>
    <row r="11517" spans="1:22" customFormat="1" ht="15" x14ac:dyDescent="0.25">
      <c r="A11517" t="s">
        <v>309</v>
      </c>
      <c r="E11517" s="1524" t="s">
        <v>6978</v>
      </c>
      <c r="F11517" s="1507"/>
      <c r="G11517" s="360" t="s">
        <v>845</v>
      </c>
      <c r="H11517" s="577">
        <v>2.2000000000000001E-3</v>
      </c>
      <c r="K11517" t="s">
        <v>1023</v>
      </c>
      <c r="L11517" t="s">
        <v>692</v>
      </c>
      <c r="P11517" t="s">
        <v>1032</v>
      </c>
      <c r="T11517">
        <v>46326</v>
      </c>
      <c r="V11517">
        <v>99</v>
      </c>
    </row>
    <row r="11518" spans="1:22" customFormat="1" ht="15" x14ac:dyDescent="0.25">
      <c r="A11518" t="s">
        <v>309</v>
      </c>
      <c r="E11518" s="1524" t="s">
        <v>6979</v>
      </c>
      <c r="F11518" s="1507"/>
      <c r="G11518" s="360" t="s">
        <v>845</v>
      </c>
      <c r="H11518" s="577">
        <v>-1E-4</v>
      </c>
      <c r="K11518" t="s">
        <v>1023</v>
      </c>
      <c r="L11518" t="s">
        <v>692</v>
      </c>
      <c r="P11518" t="s">
        <v>6999</v>
      </c>
      <c r="T11518">
        <v>46326</v>
      </c>
      <c r="V11518">
        <v>103</v>
      </c>
    </row>
    <row r="11519" spans="1:22" customFormat="1" ht="15" x14ac:dyDescent="0.25">
      <c r="A11519" t="s">
        <v>309</v>
      </c>
      <c r="E11519" s="1524" t="s">
        <v>6975</v>
      </c>
      <c r="F11519" s="1507"/>
      <c r="G11519" s="360" t="s">
        <v>845</v>
      </c>
      <c r="H11519" s="577">
        <v>-1E-4</v>
      </c>
      <c r="K11519" t="s">
        <v>1023</v>
      </c>
      <c r="L11519" t="s">
        <v>690</v>
      </c>
      <c r="P11519" t="s">
        <v>1032</v>
      </c>
      <c r="T11519">
        <v>46326</v>
      </c>
      <c r="V11519">
        <v>99</v>
      </c>
    </row>
    <row r="11520" spans="1:22" customFormat="1" ht="15" x14ac:dyDescent="0.25">
      <c r="A11520" t="s">
        <v>309</v>
      </c>
      <c r="E11520" s="1524" t="s">
        <v>243</v>
      </c>
      <c r="F11520" s="1524"/>
      <c r="G11520" s="360" t="s">
        <v>845</v>
      </c>
      <c r="H11520" s="577">
        <v>1.0699999999999999E-2</v>
      </c>
      <c r="K11520" t="s">
        <v>1023</v>
      </c>
      <c r="L11520" t="s">
        <v>694</v>
      </c>
      <c r="P11520" t="s">
        <v>1033</v>
      </c>
      <c r="V11520">
        <v>47</v>
      </c>
    </row>
    <row r="11521" spans="1:22" customFormat="1" ht="15" x14ac:dyDescent="0.25">
      <c r="A11521" t="s">
        <v>309</v>
      </c>
      <c r="E11521" s="1524" t="s">
        <v>175</v>
      </c>
      <c r="F11521" s="1524"/>
      <c r="G11521" s="360" t="s">
        <v>845</v>
      </c>
      <c r="H11521" s="577">
        <v>7.6E-3</v>
      </c>
      <c r="K11521" t="s">
        <v>1023</v>
      </c>
      <c r="L11521" t="s">
        <v>694</v>
      </c>
      <c r="P11521" t="s">
        <v>1034</v>
      </c>
      <c r="V11521">
        <v>74</v>
      </c>
    </row>
    <row r="11522" spans="1:22" customFormat="1" ht="15" x14ac:dyDescent="0.25">
      <c r="A11522" t="s">
        <v>309</v>
      </c>
      <c r="E11522" s="1533" t="s">
        <v>967</v>
      </c>
      <c r="F11522" s="1524"/>
      <c r="G11522" s="360"/>
      <c r="H11522" s="360"/>
      <c r="K11522" t="s">
        <v>1035</v>
      </c>
      <c r="V11522">
        <v>48</v>
      </c>
    </row>
    <row r="11523" spans="1:22" customFormat="1" ht="15" x14ac:dyDescent="0.25">
      <c r="A11523" t="s">
        <v>309</v>
      </c>
      <c r="E11523" s="1524" t="s">
        <v>844</v>
      </c>
      <c r="F11523" s="1524"/>
      <c r="G11523" s="360" t="s">
        <v>845</v>
      </c>
      <c r="H11523" s="605">
        <v>4.1000000000000003E-3</v>
      </c>
      <c r="K11523" t="s">
        <v>1023</v>
      </c>
      <c r="L11523" t="s">
        <v>968</v>
      </c>
      <c r="P11523" t="s">
        <v>1036</v>
      </c>
      <c r="V11523">
        <v>55</v>
      </c>
    </row>
    <row r="11524" spans="1:22" customFormat="1" ht="15" x14ac:dyDescent="0.25">
      <c r="A11524" t="s">
        <v>309</v>
      </c>
      <c r="E11524" s="1524" t="s">
        <v>846</v>
      </c>
      <c r="F11524" s="1524"/>
      <c r="G11524" s="360" t="s">
        <v>845</v>
      </c>
      <c r="H11524" s="605">
        <v>4.0000000000000002E-4</v>
      </c>
      <c r="K11524" t="s">
        <v>1023</v>
      </c>
      <c r="L11524" t="s">
        <v>968</v>
      </c>
      <c r="P11524" t="s">
        <v>1036</v>
      </c>
      <c r="V11524">
        <v>65</v>
      </c>
    </row>
    <row r="11525" spans="1:22" customFormat="1" ht="15" x14ac:dyDescent="0.25">
      <c r="A11525" t="s">
        <v>309</v>
      </c>
      <c r="E11525" s="1524" t="s">
        <v>847</v>
      </c>
      <c r="F11525" s="1524"/>
      <c r="G11525" s="360" t="s">
        <v>845</v>
      </c>
      <c r="H11525" s="605">
        <v>1.5E-3</v>
      </c>
      <c r="K11525" t="s">
        <v>1023</v>
      </c>
      <c r="L11525" t="s">
        <v>968</v>
      </c>
      <c r="P11525" t="s">
        <v>1037</v>
      </c>
      <c r="V11525">
        <v>57</v>
      </c>
    </row>
    <row r="11526" spans="1:22" customFormat="1" ht="15" x14ac:dyDescent="0.25">
      <c r="A11526" t="s">
        <v>309</v>
      </c>
      <c r="E11526" s="1524" t="s">
        <v>848</v>
      </c>
      <c r="F11526" s="1524"/>
      <c r="G11526" s="360" t="s">
        <v>777</v>
      </c>
      <c r="H11526" s="604">
        <v>0.25</v>
      </c>
      <c r="K11526" t="s">
        <v>1023</v>
      </c>
      <c r="L11526" t="s">
        <v>968</v>
      </c>
      <c r="P11526" t="s">
        <v>1038</v>
      </c>
      <c r="V11526">
        <v>63</v>
      </c>
    </row>
    <row r="11527" spans="1:22" customFormat="1" x14ac:dyDescent="0.25">
      <c r="A11527" t="s">
        <v>309</v>
      </c>
      <c r="E11527" s="1538" t="s">
        <v>198</v>
      </c>
      <c r="F11527" s="1571"/>
      <c r="G11527" s="1571"/>
      <c r="H11527" s="1571"/>
      <c r="K11527" t="s">
        <v>1039</v>
      </c>
      <c r="V11527">
        <v>40</v>
      </c>
    </row>
    <row r="11528" spans="1:22" customFormat="1" ht="15" x14ac:dyDescent="0.25">
      <c r="A11528" t="s">
        <v>309</v>
      </c>
      <c r="E11528" s="1496" t="s">
        <v>3883</v>
      </c>
      <c r="F11528" s="1496"/>
      <c r="G11528" s="1496"/>
      <c r="H11528" s="1496"/>
      <c r="K11528" t="s">
        <v>1039</v>
      </c>
      <c r="V11528">
        <v>255</v>
      </c>
    </row>
    <row r="11529" spans="1:22" customFormat="1" ht="15" x14ac:dyDescent="0.25">
      <c r="A11529" t="s">
        <v>309</v>
      </c>
      <c r="E11529" s="1533" t="s">
        <v>950</v>
      </c>
      <c r="F11529" s="1496"/>
      <c r="G11529" s="1496"/>
      <c r="H11529" s="1496"/>
      <c r="K11529" t="s">
        <v>1041</v>
      </c>
      <c r="V11529">
        <v>11</v>
      </c>
    </row>
    <row r="11530" spans="1:22" customFormat="1" ht="15" x14ac:dyDescent="0.25">
      <c r="A11530" t="s">
        <v>309</v>
      </c>
      <c r="E11530" s="1496" t="s">
        <v>951</v>
      </c>
      <c r="F11530" s="1496"/>
      <c r="G11530" s="1496"/>
      <c r="H11530" s="1496"/>
      <c r="K11530" t="s">
        <v>1039</v>
      </c>
      <c r="V11530">
        <v>280</v>
      </c>
    </row>
    <row r="11531" spans="1:22" customFormat="1" ht="15" x14ac:dyDescent="0.25">
      <c r="A11531" t="s">
        <v>309</v>
      </c>
      <c r="E11531" s="1496" t="s">
        <v>952</v>
      </c>
      <c r="F11531" s="1496"/>
      <c r="G11531" s="1496"/>
      <c r="H11531" s="1496"/>
      <c r="K11531" t="s">
        <v>1039</v>
      </c>
      <c r="V11531">
        <v>411</v>
      </c>
    </row>
    <row r="11532" spans="1:22" customFormat="1" ht="15" x14ac:dyDescent="0.25">
      <c r="A11532" t="s">
        <v>309</v>
      </c>
      <c r="E11532" s="1496" t="s">
        <v>3761</v>
      </c>
      <c r="F11532" s="1496"/>
      <c r="G11532" s="1496"/>
      <c r="H11532" s="1496"/>
      <c r="K11532" t="s">
        <v>1039</v>
      </c>
      <c r="V11532">
        <v>387</v>
      </c>
    </row>
    <row r="11533" spans="1:22" customFormat="1" ht="15" x14ac:dyDescent="0.25">
      <c r="A11533" t="s">
        <v>309</v>
      </c>
      <c r="E11533" s="1496" t="s">
        <v>3762</v>
      </c>
      <c r="F11533" s="1496"/>
      <c r="G11533" s="1496"/>
      <c r="H11533" s="1496"/>
      <c r="K11533" t="s">
        <v>1039</v>
      </c>
      <c r="V11533">
        <v>247</v>
      </c>
    </row>
    <row r="11534" spans="1:22" customFormat="1" ht="15" x14ac:dyDescent="0.25">
      <c r="A11534" t="s">
        <v>309</v>
      </c>
      <c r="E11534" s="1533" t="s">
        <v>956</v>
      </c>
      <c r="F11534" s="1496"/>
      <c r="G11534" s="1496"/>
      <c r="H11534" s="1496"/>
      <c r="K11534" t="s">
        <v>1042</v>
      </c>
      <c r="V11534">
        <v>46</v>
      </c>
    </row>
    <row r="11535" spans="1:22" customFormat="1" ht="15" x14ac:dyDescent="0.25">
      <c r="A11535" t="s">
        <v>309</v>
      </c>
      <c r="E11535" s="1524" t="s">
        <v>3874</v>
      </c>
      <c r="F11535" s="1524"/>
      <c r="G11535" s="360" t="s">
        <v>777</v>
      </c>
      <c r="H11535" s="576">
        <v>2.87</v>
      </c>
      <c r="K11535" t="s">
        <v>1039</v>
      </c>
      <c r="L11535" t="s">
        <v>690</v>
      </c>
      <c r="P11535" t="s">
        <v>1043</v>
      </c>
      <c r="V11535">
        <v>31</v>
      </c>
    </row>
    <row r="11536" spans="1:22" customFormat="1" ht="15" x14ac:dyDescent="0.25">
      <c r="A11536" t="s">
        <v>309</v>
      </c>
      <c r="E11536" s="1524" t="s">
        <v>3688</v>
      </c>
      <c r="F11536" s="1524"/>
      <c r="G11536" s="360" t="s">
        <v>3775</v>
      </c>
      <c r="H11536" s="577">
        <v>66.902699999999996</v>
      </c>
      <c r="K11536" t="s">
        <v>1039</v>
      </c>
      <c r="L11536" t="s">
        <v>690</v>
      </c>
      <c r="P11536" t="s">
        <v>1044</v>
      </c>
      <c r="V11536">
        <v>28</v>
      </c>
    </row>
    <row r="11537" spans="1:22" customFormat="1" ht="15" x14ac:dyDescent="0.25">
      <c r="A11537" t="s">
        <v>309</v>
      </c>
      <c r="E11537" s="1524" t="s">
        <v>6853</v>
      </c>
      <c r="F11537" s="1510"/>
      <c r="G11537" s="360" t="s">
        <v>3775</v>
      </c>
      <c r="H11537" s="577">
        <v>-9.5999999999999992E-3</v>
      </c>
      <c r="K11537" t="s">
        <v>1039</v>
      </c>
      <c r="L11537" t="s">
        <v>692</v>
      </c>
      <c r="P11537" t="s">
        <v>4523</v>
      </c>
      <c r="T11537">
        <v>46142</v>
      </c>
      <c r="V11537">
        <v>146</v>
      </c>
    </row>
    <row r="11538" spans="1:22" customFormat="1" ht="15" x14ac:dyDescent="0.25">
      <c r="A11538" t="s">
        <v>309</v>
      </c>
      <c r="E11538" s="1524" t="s">
        <v>6850</v>
      </c>
      <c r="F11538" s="1510"/>
      <c r="G11538" s="360" t="s">
        <v>3775</v>
      </c>
      <c r="H11538" s="577">
        <v>6.1999999999999998E-3</v>
      </c>
      <c r="K11538" t="s">
        <v>1039</v>
      </c>
      <c r="L11538" t="s">
        <v>692</v>
      </c>
      <c r="P11538" t="s">
        <v>1046</v>
      </c>
      <c r="T11538">
        <v>46142</v>
      </c>
      <c r="V11538">
        <v>96</v>
      </c>
    </row>
    <row r="11539" spans="1:22" customFormat="1" ht="15" x14ac:dyDescent="0.25">
      <c r="A11539" t="s">
        <v>309</v>
      </c>
      <c r="E11539" s="1524" t="s">
        <v>6978</v>
      </c>
      <c r="F11539" s="1507"/>
      <c r="G11539" s="360" t="s">
        <v>3775</v>
      </c>
      <c r="H11539" s="577">
        <v>0.80269999999999997</v>
      </c>
      <c r="K11539" t="s">
        <v>1039</v>
      </c>
      <c r="L11539" t="s">
        <v>692</v>
      </c>
      <c r="P11539" t="s">
        <v>1046</v>
      </c>
      <c r="T11539">
        <v>46326</v>
      </c>
      <c r="V11539">
        <v>99</v>
      </c>
    </row>
    <row r="11540" spans="1:22" customFormat="1" ht="15" x14ac:dyDescent="0.25">
      <c r="A11540" t="s">
        <v>309</v>
      </c>
      <c r="E11540" s="1524" t="s">
        <v>6979</v>
      </c>
      <c r="F11540" s="1507"/>
      <c r="G11540" s="360" t="s">
        <v>3775</v>
      </c>
      <c r="H11540" s="577">
        <v>-2.9100000000000001E-2</v>
      </c>
      <c r="K11540" t="s">
        <v>1039</v>
      </c>
      <c r="L11540" t="s">
        <v>692</v>
      </c>
      <c r="P11540" t="s">
        <v>7000</v>
      </c>
      <c r="T11540">
        <v>46326</v>
      </c>
      <c r="V11540">
        <v>103</v>
      </c>
    </row>
    <row r="11541" spans="1:22" customFormat="1" ht="15" x14ac:dyDescent="0.25">
      <c r="A11541" t="s">
        <v>309</v>
      </c>
      <c r="E11541" s="1524" t="s">
        <v>6975</v>
      </c>
      <c r="F11541" s="1507"/>
      <c r="G11541" s="360" t="s">
        <v>3775</v>
      </c>
      <c r="H11541" s="577">
        <v>-0.84589999999999999</v>
      </c>
      <c r="K11541" t="s">
        <v>1039</v>
      </c>
      <c r="L11541" t="s">
        <v>690</v>
      </c>
      <c r="P11541" t="s">
        <v>1046</v>
      </c>
      <c r="T11541">
        <v>46326</v>
      </c>
      <c r="V11541">
        <v>99</v>
      </c>
    </row>
    <row r="11542" spans="1:22" customFormat="1" ht="15" x14ac:dyDescent="0.25">
      <c r="A11542" t="s">
        <v>309</v>
      </c>
      <c r="E11542" s="1524" t="s">
        <v>243</v>
      </c>
      <c r="F11542" s="1524"/>
      <c r="G11542" s="360" t="s">
        <v>3775</v>
      </c>
      <c r="H11542" s="577">
        <v>3.4113000000000002</v>
      </c>
      <c r="K11542" t="s">
        <v>1039</v>
      </c>
      <c r="L11542" t="s">
        <v>694</v>
      </c>
      <c r="P11542" t="s">
        <v>1047</v>
      </c>
      <c r="V11542">
        <v>47</v>
      </c>
    </row>
    <row r="11543" spans="1:22" customFormat="1" ht="15" x14ac:dyDescent="0.25">
      <c r="A11543" t="s">
        <v>309</v>
      </c>
      <c r="E11543" s="1524" t="s">
        <v>175</v>
      </c>
      <c r="F11543" s="1524"/>
      <c r="G11543" s="360" t="s">
        <v>3775</v>
      </c>
      <c r="H11543" s="577">
        <v>2.4293</v>
      </c>
      <c r="K11543" t="s">
        <v>1039</v>
      </c>
      <c r="L11543" t="s">
        <v>694</v>
      </c>
      <c r="P11543" t="s">
        <v>1048</v>
      </c>
      <c r="V11543">
        <v>74</v>
      </c>
    </row>
    <row r="11544" spans="1:22" customFormat="1" ht="15" x14ac:dyDescent="0.25">
      <c r="A11544" t="s">
        <v>309</v>
      </c>
      <c r="E11544" s="1533" t="s">
        <v>967</v>
      </c>
      <c r="F11544" s="1524"/>
      <c r="G11544" s="360"/>
      <c r="H11544" s="360"/>
      <c r="K11544" t="s">
        <v>1049</v>
      </c>
      <c r="V11544">
        <v>48</v>
      </c>
    </row>
    <row r="11545" spans="1:22" customFormat="1" ht="15" x14ac:dyDescent="0.25">
      <c r="A11545" t="s">
        <v>309</v>
      </c>
      <c r="E11545" s="1524" t="s">
        <v>844</v>
      </c>
      <c r="F11545" s="1524"/>
      <c r="G11545" s="360" t="s">
        <v>845</v>
      </c>
      <c r="H11545" s="605">
        <v>4.1000000000000003E-3</v>
      </c>
      <c r="K11545" t="s">
        <v>1039</v>
      </c>
      <c r="L11545" t="s">
        <v>968</v>
      </c>
      <c r="P11545" t="s">
        <v>1050</v>
      </c>
      <c r="V11545">
        <v>55</v>
      </c>
    </row>
    <row r="11546" spans="1:22" customFormat="1" ht="15" x14ac:dyDescent="0.25">
      <c r="A11546" t="s">
        <v>309</v>
      </c>
      <c r="E11546" s="1524" t="s">
        <v>846</v>
      </c>
      <c r="F11546" s="1524"/>
      <c r="G11546" s="360" t="s">
        <v>845</v>
      </c>
      <c r="H11546" s="605">
        <v>4.0000000000000002E-4</v>
      </c>
      <c r="K11546" t="s">
        <v>1039</v>
      </c>
      <c r="L11546" t="s">
        <v>968</v>
      </c>
      <c r="P11546" t="s">
        <v>1050</v>
      </c>
      <c r="V11546">
        <v>65</v>
      </c>
    </row>
    <row r="11547" spans="1:22" customFormat="1" ht="15" x14ac:dyDescent="0.25">
      <c r="A11547" t="s">
        <v>309</v>
      </c>
      <c r="E11547" s="1524" t="s">
        <v>847</v>
      </c>
      <c r="F11547" s="1524"/>
      <c r="G11547" s="360" t="s">
        <v>845</v>
      </c>
      <c r="H11547" s="605">
        <v>1.5E-3</v>
      </c>
      <c r="K11547" t="s">
        <v>1039</v>
      </c>
      <c r="L11547" t="s">
        <v>968</v>
      </c>
      <c r="P11547" t="s">
        <v>1051</v>
      </c>
      <c r="V11547">
        <v>57</v>
      </c>
    </row>
    <row r="11548" spans="1:22" customFormat="1" ht="15" x14ac:dyDescent="0.25">
      <c r="A11548" t="s">
        <v>309</v>
      </c>
      <c r="E11548" s="1524" t="s">
        <v>848</v>
      </c>
      <c r="F11548" s="1524"/>
      <c r="G11548" s="360" t="s">
        <v>777</v>
      </c>
      <c r="H11548" s="604">
        <v>0.25</v>
      </c>
      <c r="K11548" t="s">
        <v>1039</v>
      </c>
      <c r="L11548" t="s">
        <v>968</v>
      </c>
      <c r="P11548" t="s">
        <v>1052</v>
      </c>
      <c r="V11548">
        <v>63</v>
      </c>
    </row>
    <row r="11549" spans="1:22" customFormat="1" x14ac:dyDescent="0.25">
      <c r="A11549" t="s">
        <v>309</v>
      </c>
      <c r="E11549" s="1538" t="s">
        <v>202</v>
      </c>
      <c r="F11549" s="1571"/>
      <c r="G11549" s="1571"/>
      <c r="H11549" s="1571"/>
      <c r="K11549" t="s">
        <v>1053</v>
      </c>
      <c r="V11549">
        <v>38</v>
      </c>
    </row>
    <row r="11550" spans="1:22" customFormat="1" ht="15" x14ac:dyDescent="0.25">
      <c r="A11550" t="s">
        <v>309</v>
      </c>
      <c r="E11550" s="1496" t="s">
        <v>3892</v>
      </c>
      <c r="F11550" s="1496"/>
      <c r="G11550" s="1496"/>
      <c r="H11550" s="1496"/>
      <c r="K11550" t="s">
        <v>1053</v>
      </c>
      <c r="V11550">
        <v>546</v>
      </c>
    </row>
    <row r="11551" spans="1:22" customFormat="1" ht="15" x14ac:dyDescent="0.25">
      <c r="A11551" t="s">
        <v>309</v>
      </c>
      <c r="E11551" s="1533" t="s">
        <v>950</v>
      </c>
      <c r="F11551" s="1496"/>
      <c r="G11551" s="1496"/>
      <c r="H11551" s="1496"/>
      <c r="K11551" t="s">
        <v>1055</v>
      </c>
      <c r="V11551">
        <v>11</v>
      </c>
    </row>
    <row r="11552" spans="1:22" customFormat="1" ht="15" x14ac:dyDescent="0.25">
      <c r="A11552" t="s">
        <v>309</v>
      </c>
      <c r="E11552" s="1496" t="s">
        <v>951</v>
      </c>
      <c r="F11552" s="1496"/>
      <c r="G11552" s="1496"/>
      <c r="H11552" s="1496"/>
      <c r="K11552" t="s">
        <v>1053</v>
      </c>
      <c r="V11552">
        <v>280</v>
      </c>
    </row>
    <row r="11553" spans="1:22" customFormat="1" ht="15" x14ac:dyDescent="0.25">
      <c r="A11553" t="s">
        <v>309</v>
      </c>
      <c r="E11553" s="1496" t="s">
        <v>952</v>
      </c>
      <c r="F11553" s="1496"/>
      <c r="G11553" s="1496"/>
      <c r="H11553" s="1496"/>
      <c r="K11553" t="s">
        <v>1053</v>
      </c>
      <c r="V11553">
        <v>411</v>
      </c>
    </row>
    <row r="11554" spans="1:22" customFormat="1" ht="15" x14ac:dyDescent="0.25">
      <c r="A11554" t="s">
        <v>309</v>
      </c>
      <c r="E11554" s="1496" t="s">
        <v>3761</v>
      </c>
      <c r="F11554" s="1496"/>
      <c r="G11554" s="1496"/>
      <c r="H11554" s="1496"/>
      <c r="K11554" t="s">
        <v>1053</v>
      </c>
      <c r="V11554">
        <v>387</v>
      </c>
    </row>
    <row r="11555" spans="1:22" customFormat="1" ht="15" x14ac:dyDescent="0.25">
      <c r="A11555" t="s">
        <v>309</v>
      </c>
      <c r="E11555" s="1496" t="s">
        <v>3762</v>
      </c>
      <c r="F11555" s="1496"/>
      <c r="G11555" s="1496"/>
      <c r="H11555" s="1496"/>
      <c r="K11555" t="s">
        <v>1053</v>
      </c>
      <c r="V11555">
        <v>247</v>
      </c>
    </row>
    <row r="11556" spans="1:22" customFormat="1" ht="15" x14ac:dyDescent="0.25">
      <c r="A11556" t="s">
        <v>309</v>
      </c>
      <c r="E11556" s="1533" t="s">
        <v>956</v>
      </c>
      <c r="F11556" s="1496"/>
      <c r="G11556" s="1496"/>
      <c r="H11556" s="1496"/>
      <c r="K11556" t="s">
        <v>1056</v>
      </c>
      <c r="V11556">
        <v>46</v>
      </c>
    </row>
    <row r="11557" spans="1:22" customFormat="1" ht="15" x14ac:dyDescent="0.25">
      <c r="A11557" t="s">
        <v>309</v>
      </c>
      <c r="E11557" s="1524" t="s">
        <v>3893</v>
      </c>
      <c r="F11557" s="1524"/>
      <c r="G11557" s="360" t="s">
        <v>777</v>
      </c>
      <c r="H11557" s="576">
        <v>2037.06</v>
      </c>
      <c r="K11557" t="s">
        <v>1053</v>
      </c>
      <c r="L11557" t="s">
        <v>690</v>
      </c>
      <c r="P11557" t="s">
        <v>1057</v>
      </c>
      <c r="V11557">
        <v>29</v>
      </c>
    </row>
    <row r="11558" spans="1:22" customFormat="1" ht="15" x14ac:dyDescent="0.25">
      <c r="A11558" t="s">
        <v>309</v>
      </c>
      <c r="E11558" s="1524" t="s">
        <v>3688</v>
      </c>
      <c r="F11558" s="1524"/>
      <c r="G11558" s="360" t="s">
        <v>3775</v>
      </c>
      <c r="H11558" s="577">
        <v>7.3116000000000003</v>
      </c>
      <c r="K11558" t="s">
        <v>1053</v>
      </c>
      <c r="L11558" t="s">
        <v>690</v>
      </c>
      <c r="P11558" t="s">
        <v>1059</v>
      </c>
      <c r="V11558">
        <v>28</v>
      </c>
    </row>
    <row r="11559" spans="1:22" customFormat="1" ht="15" x14ac:dyDescent="0.25">
      <c r="A11559" t="s">
        <v>309</v>
      </c>
      <c r="E11559" s="1486" t="s">
        <v>6976</v>
      </c>
      <c r="F11559" s="1468"/>
      <c r="G11559" s="360" t="s">
        <v>845</v>
      </c>
      <c r="H11559" s="577">
        <v>2.0000000000000001E-4</v>
      </c>
      <c r="K11559" t="s">
        <v>1053</v>
      </c>
      <c r="L11559" t="s">
        <v>692</v>
      </c>
      <c r="P11559" t="s">
        <v>1061</v>
      </c>
      <c r="T11559">
        <v>46142</v>
      </c>
      <c r="V11559">
        <v>147</v>
      </c>
    </row>
    <row r="11560" spans="1:22" customFormat="1" ht="15" x14ac:dyDescent="0.25">
      <c r="A11560" t="s">
        <v>309</v>
      </c>
      <c r="E11560" s="1524" t="s">
        <v>6850</v>
      </c>
      <c r="F11560" s="1510"/>
      <c r="G11560" s="360" t="s">
        <v>3775</v>
      </c>
      <c r="H11560" s="577">
        <v>0.55549999999999999</v>
      </c>
      <c r="K11560" t="s">
        <v>1053</v>
      </c>
      <c r="L11560" t="s">
        <v>692</v>
      </c>
      <c r="P11560" t="s">
        <v>1062</v>
      </c>
      <c r="T11560">
        <v>46142</v>
      </c>
      <c r="V11560">
        <v>96</v>
      </c>
    </row>
    <row r="11561" spans="1:22" customFormat="1" ht="15" x14ac:dyDescent="0.25">
      <c r="A11561" t="s">
        <v>309</v>
      </c>
      <c r="E11561" s="1524" t="s">
        <v>6973</v>
      </c>
      <c r="F11561" s="1510"/>
      <c r="G11561" s="360" t="s">
        <v>3775</v>
      </c>
      <c r="H11561" s="577">
        <v>-2.6800000000000001E-2</v>
      </c>
      <c r="K11561" t="s">
        <v>1053</v>
      </c>
      <c r="L11561" t="s">
        <v>692</v>
      </c>
      <c r="P11561" t="s">
        <v>3997</v>
      </c>
      <c r="T11561">
        <v>46142</v>
      </c>
      <c r="V11561">
        <v>145</v>
      </c>
    </row>
    <row r="11562" spans="1:22" customFormat="1" ht="15" x14ac:dyDescent="0.25">
      <c r="A11562" t="s">
        <v>309</v>
      </c>
      <c r="E11562" s="1524" t="s">
        <v>6990</v>
      </c>
      <c r="F11562" s="1507"/>
      <c r="G11562" s="360" t="s">
        <v>845</v>
      </c>
      <c r="H11562" s="605">
        <v>6.4999999999999997E-3</v>
      </c>
      <c r="K11562" t="s">
        <v>1053</v>
      </c>
      <c r="L11562" t="s">
        <v>692</v>
      </c>
      <c r="P11562" t="s">
        <v>1062</v>
      </c>
      <c r="T11562">
        <v>46326</v>
      </c>
      <c r="V11562">
        <v>133</v>
      </c>
    </row>
    <row r="11563" spans="1:22" customFormat="1" ht="15" x14ac:dyDescent="0.25">
      <c r="A11563" t="s">
        <v>309</v>
      </c>
      <c r="E11563" s="1524" t="s">
        <v>6978</v>
      </c>
      <c r="F11563" s="1507"/>
      <c r="G11563" s="360" t="s">
        <v>3775</v>
      </c>
      <c r="H11563" s="605">
        <v>0.8135</v>
      </c>
      <c r="K11563" t="s">
        <v>1053</v>
      </c>
      <c r="L11563" t="s">
        <v>692</v>
      </c>
      <c r="P11563" t="s">
        <v>1062</v>
      </c>
      <c r="T11563">
        <v>46326</v>
      </c>
      <c r="V11563">
        <v>99</v>
      </c>
    </row>
    <row r="11564" spans="1:22" customFormat="1" ht="15" x14ac:dyDescent="0.25">
      <c r="A11564" t="s">
        <v>309</v>
      </c>
      <c r="E11564" s="1524" t="s">
        <v>6979</v>
      </c>
      <c r="F11564" s="1507"/>
      <c r="G11564" s="360" t="s">
        <v>3775</v>
      </c>
      <c r="H11564" s="605">
        <v>-2.9499999999999998E-2</v>
      </c>
      <c r="K11564" t="s">
        <v>1053</v>
      </c>
      <c r="L11564" t="s">
        <v>692</v>
      </c>
      <c r="P11564" t="s">
        <v>7001</v>
      </c>
      <c r="T11564">
        <v>46326</v>
      </c>
      <c r="V11564">
        <v>103</v>
      </c>
    </row>
    <row r="11565" spans="1:22" customFormat="1" ht="15" x14ac:dyDescent="0.25">
      <c r="A11565" t="s">
        <v>309</v>
      </c>
      <c r="E11565" s="1486" t="s">
        <v>6975</v>
      </c>
      <c r="F11565" s="1467"/>
      <c r="G11565" s="360" t="s">
        <v>3775</v>
      </c>
      <c r="H11565" s="605">
        <v>-0.14560000000000001</v>
      </c>
      <c r="K11565" t="s">
        <v>1053</v>
      </c>
      <c r="L11565" t="s">
        <v>690</v>
      </c>
      <c r="P11565" t="s">
        <v>1062</v>
      </c>
      <c r="T11565">
        <v>46326</v>
      </c>
      <c r="V11565">
        <v>99</v>
      </c>
    </row>
    <row r="11566" spans="1:22" customFormat="1" ht="15" x14ac:dyDescent="0.25">
      <c r="A11566" t="s">
        <v>309</v>
      </c>
      <c r="E11566" s="1524" t="s">
        <v>243</v>
      </c>
      <c r="F11566" s="1524"/>
      <c r="G11566" s="360" t="s">
        <v>3775</v>
      </c>
      <c r="H11566" s="577">
        <v>3.3944000000000001</v>
      </c>
      <c r="K11566" t="s">
        <v>1053</v>
      </c>
      <c r="L11566" t="s">
        <v>694</v>
      </c>
      <c r="P11566" t="s">
        <v>1063</v>
      </c>
      <c r="V11566">
        <v>47</v>
      </c>
    </row>
    <row r="11567" spans="1:22" customFormat="1" ht="15" x14ac:dyDescent="0.25">
      <c r="A11567" t="s">
        <v>309</v>
      </c>
      <c r="E11567" s="1524" t="s">
        <v>175</v>
      </c>
      <c r="F11567" s="1524"/>
      <c r="G11567" s="360" t="s">
        <v>3775</v>
      </c>
      <c r="H11567" s="577">
        <v>2.4093</v>
      </c>
      <c r="K11567" t="s">
        <v>1053</v>
      </c>
      <c r="L11567" t="s">
        <v>694</v>
      </c>
      <c r="P11567" t="s">
        <v>1064</v>
      </c>
      <c r="V11567">
        <v>74</v>
      </c>
    </row>
    <row r="11568" spans="1:22" customFormat="1" ht="15" x14ac:dyDescent="0.25">
      <c r="A11568" t="s">
        <v>309</v>
      </c>
      <c r="E11568" s="1533" t="s">
        <v>967</v>
      </c>
      <c r="F11568" s="1524"/>
      <c r="G11568" s="360"/>
      <c r="H11568" s="360"/>
      <c r="K11568" t="s">
        <v>1065</v>
      </c>
      <c r="V11568">
        <v>48</v>
      </c>
    </row>
    <row r="11569" spans="1:22" customFormat="1" ht="15" x14ac:dyDescent="0.25">
      <c r="A11569" t="s">
        <v>309</v>
      </c>
      <c r="E11569" s="1524" t="s">
        <v>844</v>
      </c>
      <c r="F11569" s="1524"/>
      <c r="G11569" s="360" t="s">
        <v>845</v>
      </c>
      <c r="H11569" s="605">
        <v>4.1000000000000003E-3</v>
      </c>
      <c r="K11569" t="s">
        <v>1053</v>
      </c>
      <c r="L11569" t="s">
        <v>968</v>
      </c>
      <c r="P11569" t="s">
        <v>1066</v>
      </c>
      <c r="V11569">
        <v>55</v>
      </c>
    </row>
    <row r="11570" spans="1:22" customFormat="1" ht="15" x14ac:dyDescent="0.25">
      <c r="A11570" t="s">
        <v>309</v>
      </c>
      <c r="E11570" s="1524" t="s">
        <v>846</v>
      </c>
      <c r="F11570" s="1524"/>
      <c r="G11570" s="360" t="s">
        <v>845</v>
      </c>
      <c r="H11570" s="605">
        <v>4.0000000000000002E-4</v>
      </c>
      <c r="K11570" t="s">
        <v>1053</v>
      </c>
      <c r="L11570" t="s">
        <v>968</v>
      </c>
      <c r="P11570" t="s">
        <v>1066</v>
      </c>
      <c r="V11570">
        <v>65</v>
      </c>
    </row>
    <row r="11571" spans="1:22" customFormat="1" ht="15" x14ac:dyDescent="0.25">
      <c r="A11571" t="s">
        <v>309</v>
      </c>
      <c r="E11571" s="1524" t="s">
        <v>847</v>
      </c>
      <c r="F11571" s="1524"/>
      <c r="G11571" s="360" t="s">
        <v>845</v>
      </c>
      <c r="H11571" s="605">
        <v>1.5E-3</v>
      </c>
      <c r="K11571" t="s">
        <v>1053</v>
      </c>
      <c r="L11571" t="s">
        <v>968</v>
      </c>
      <c r="P11571" t="s">
        <v>1067</v>
      </c>
      <c r="V11571">
        <v>57</v>
      </c>
    </row>
    <row r="11572" spans="1:22" customFormat="1" ht="15" x14ac:dyDescent="0.25">
      <c r="A11572" t="s">
        <v>309</v>
      </c>
      <c r="E11572" s="1524" t="s">
        <v>848</v>
      </c>
      <c r="F11572" s="1524"/>
      <c r="G11572" s="360" t="s">
        <v>777</v>
      </c>
      <c r="H11572" s="604">
        <v>0.25</v>
      </c>
      <c r="K11572" t="s">
        <v>1053</v>
      </c>
      <c r="L11572" t="s">
        <v>968</v>
      </c>
      <c r="P11572" t="s">
        <v>1068</v>
      </c>
      <c r="V11572">
        <v>63</v>
      </c>
    </row>
    <row r="11573" spans="1:22" customFormat="1" x14ac:dyDescent="0.25">
      <c r="A11573" t="s">
        <v>309</v>
      </c>
      <c r="E11573" s="1538" t="s">
        <v>207</v>
      </c>
      <c r="F11573" s="1571"/>
      <c r="G11573" s="1571"/>
      <c r="H11573" s="1571"/>
      <c r="K11573" t="s">
        <v>1069</v>
      </c>
      <c r="V11573">
        <v>31</v>
      </c>
    </row>
    <row r="11574" spans="1:22" customFormat="1" ht="15" x14ac:dyDescent="0.25">
      <c r="A11574" t="s">
        <v>309</v>
      </c>
      <c r="E11574" s="1496" t="s">
        <v>3903</v>
      </c>
      <c r="F11574" s="1496"/>
      <c r="G11574" s="1496"/>
      <c r="H11574" s="1496"/>
      <c r="K11574" t="s">
        <v>1069</v>
      </c>
      <c r="V11574">
        <v>288</v>
      </c>
    </row>
    <row r="11575" spans="1:22" customFormat="1" ht="15" x14ac:dyDescent="0.25">
      <c r="A11575" t="s">
        <v>309</v>
      </c>
      <c r="E11575" s="1533" t="s">
        <v>950</v>
      </c>
      <c r="F11575" s="1496"/>
      <c r="G11575" s="1496"/>
      <c r="H11575" s="1496"/>
      <c r="K11575" t="s">
        <v>1071</v>
      </c>
      <c r="V11575">
        <v>11</v>
      </c>
    </row>
    <row r="11576" spans="1:22" customFormat="1" ht="15" x14ac:dyDescent="0.25">
      <c r="A11576" t="s">
        <v>309</v>
      </c>
      <c r="E11576" s="1496" t="s">
        <v>951</v>
      </c>
      <c r="F11576" s="1496"/>
      <c r="G11576" s="1496"/>
      <c r="H11576" s="1496"/>
      <c r="K11576" t="s">
        <v>1069</v>
      </c>
      <c r="V11576">
        <v>280</v>
      </c>
    </row>
    <row r="11577" spans="1:22" customFormat="1" ht="15" x14ac:dyDescent="0.25">
      <c r="A11577" t="s">
        <v>309</v>
      </c>
      <c r="E11577" s="1496" t="s">
        <v>952</v>
      </c>
      <c r="F11577" s="1496"/>
      <c r="G11577" s="1496"/>
      <c r="H11577" s="1496"/>
      <c r="K11577" t="s">
        <v>1069</v>
      </c>
      <c r="V11577">
        <v>411</v>
      </c>
    </row>
    <row r="11578" spans="1:22" customFormat="1" ht="15" x14ac:dyDescent="0.25">
      <c r="A11578" t="s">
        <v>309</v>
      </c>
      <c r="E11578" s="1496" t="s">
        <v>1103</v>
      </c>
      <c r="F11578" s="1496"/>
      <c r="G11578" s="1496"/>
      <c r="H11578" s="1496"/>
      <c r="K11578" t="s">
        <v>1069</v>
      </c>
      <c r="V11578">
        <v>211</v>
      </c>
    </row>
    <row r="11579" spans="1:22" customFormat="1" ht="15" x14ac:dyDescent="0.25">
      <c r="A11579" t="s">
        <v>309</v>
      </c>
      <c r="E11579" s="1496" t="s">
        <v>3762</v>
      </c>
      <c r="F11579" s="1496"/>
      <c r="G11579" s="1496"/>
      <c r="H11579" s="1496"/>
      <c r="K11579" t="s">
        <v>1069</v>
      </c>
      <c r="V11579">
        <v>247</v>
      </c>
    </row>
    <row r="11580" spans="1:22" customFormat="1" ht="15" x14ac:dyDescent="0.25">
      <c r="A11580" t="s">
        <v>309</v>
      </c>
      <c r="E11580" s="1533" t="s">
        <v>956</v>
      </c>
      <c r="F11580" s="1496"/>
      <c r="G11580" s="1496"/>
      <c r="H11580" s="1496"/>
      <c r="K11580" t="s">
        <v>1075</v>
      </c>
      <c r="V11580">
        <v>46</v>
      </c>
    </row>
    <row r="11581" spans="1:22" customFormat="1" ht="15" x14ac:dyDescent="0.25">
      <c r="A11581" t="s">
        <v>309</v>
      </c>
      <c r="E11581" s="1524" t="s">
        <v>3773</v>
      </c>
      <c r="F11581" s="1524"/>
      <c r="G11581" s="360" t="s">
        <v>777</v>
      </c>
      <c r="H11581" s="576">
        <v>5</v>
      </c>
      <c r="K11581" t="s">
        <v>1069</v>
      </c>
      <c r="L11581" t="s">
        <v>690</v>
      </c>
      <c r="P11581" t="s">
        <v>1076</v>
      </c>
      <c r="V11581">
        <v>14</v>
      </c>
    </row>
    <row r="11582" spans="1:22" customFormat="1" ht="18.75" x14ac:dyDescent="0.3">
      <c r="A11582" t="s">
        <v>309</v>
      </c>
      <c r="E11582" s="842" t="s">
        <v>3825</v>
      </c>
      <c r="F11582" s="639"/>
      <c r="G11582" s="639"/>
      <c r="H11582" s="640"/>
      <c r="K11582" t="s">
        <v>3907</v>
      </c>
      <c r="V11582">
        <v>10</v>
      </c>
    </row>
    <row r="11583" spans="1:22" customFormat="1" ht="15" x14ac:dyDescent="0.25">
      <c r="A11583" t="s">
        <v>309</v>
      </c>
      <c r="E11583" s="1524" t="s">
        <v>1078</v>
      </c>
      <c r="F11583" s="1524"/>
      <c r="G11583" s="360" t="s">
        <v>3775</v>
      </c>
      <c r="H11583" s="608">
        <v>-0.6</v>
      </c>
      <c r="V11583">
        <v>68</v>
      </c>
    </row>
    <row r="11584" spans="1:22" customFormat="1" ht="15" x14ac:dyDescent="0.25">
      <c r="A11584" t="s">
        <v>309</v>
      </c>
      <c r="E11584" s="1524" t="s">
        <v>1079</v>
      </c>
      <c r="F11584" s="1524"/>
      <c r="G11584" s="360" t="s">
        <v>1118</v>
      </c>
      <c r="H11584" s="604">
        <v>-1</v>
      </c>
      <c r="V11584">
        <v>87</v>
      </c>
    </row>
    <row r="11585" spans="1:22" customFormat="1" ht="36" x14ac:dyDescent="0.3">
      <c r="A11585" t="s">
        <v>309</v>
      </c>
      <c r="E11585" s="842" t="s">
        <v>3828</v>
      </c>
      <c r="F11585" s="639"/>
      <c r="G11585" s="639"/>
      <c r="H11585" s="640"/>
      <c r="K11585" t="s">
        <v>3908</v>
      </c>
      <c r="V11585">
        <v>24</v>
      </c>
    </row>
    <row r="11586" spans="1:22" customFormat="1" ht="15" x14ac:dyDescent="0.25">
      <c r="A11586" t="s">
        <v>309</v>
      </c>
      <c r="E11586" s="1496" t="s">
        <v>951</v>
      </c>
      <c r="F11586" s="1496"/>
      <c r="G11586" s="1496"/>
      <c r="H11586" s="1496"/>
      <c r="V11586">
        <v>280</v>
      </c>
    </row>
    <row r="11587" spans="1:22" customFormat="1" ht="15" x14ac:dyDescent="0.25">
      <c r="A11587" t="s">
        <v>309</v>
      </c>
      <c r="E11587" s="1496" t="s">
        <v>1081</v>
      </c>
      <c r="F11587" s="1496"/>
      <c r="G11587" s="1496"/>
      <c r="H11587" s="1496"/>
      <c r="V11587">
        <v>353</v>
      </c>
    </row>
    <row r="11588" spans="1:22" customFormat="1" ht="15" x14ac:dyDescent="0.25">
      <c r="A11588" t="s">
        <v>309</v>
      </c>
      <c r="E11588" s="1496" t="s">
        <v>3762</v>
      </c>
      <c r="F11588" s="1496"/>
      <c r="G11588" s="1496"/>
      <c r="H11588" s="1496"/>
      <c r="V11588">
        <v>247</v>
      </c>
    </row>
    <row r="11589" spans="1:22" customFormat="1" ht="15" x14ac:dyDescent="0.25">
      <c r="A11589" t="s">
        <v>309</v>
      </c>
      <c r="E11589" s="844" t="s">
        <v>3830</v>
      </c>
      <c r="F11589" s="276"/>
      <c r="G11589" s="276"/>
      <c r="H11589" s="641"/>
      <c r="K11589" t="s">
        <v>3909</v>
      </c>
      <c r="V11589">
        <v>23</v>
      </c>
    </row>
    <row r="11590" spans="1:22" customFormat="1" ht="15" x14ac:dyDescent="0.25">
      <c r="A11590" t="s">
        <v>309</v>
      </c>
      <c r="E11590" s="1525" t="s">
        <v>3836</v>
      </c>
      <c r="F11590" s="1525"/>
      <c r="G11590" s="360" t="s">
        <v>777</v>
      </c>
      <c r="H11590" s="604">
        <v>15</v>
      </c>
      <c r="V11590">
        <v>35</v>
      </c>
    </row>
    <row r="11591" spans="1:22" customFormat="1" ht="15" x14ac:dyDescent="0.25">
      <c r="A11591" t="s">
        <v>309</v>
      </c>
      <c r="E11591" s="1525" t="s">
        <v>3837</v>
      </c>
      <c r="F11591" s="1525"/>
      <c r="G11591" s="360" t="s">
        <v>777</v>
      </c>
      <c r="H11591" s="604">
        <v>30</v>
      </c>
      <c r="V11591">
        <v>89</v>
      </c>
    </row>
    <row r="11592" spans="1:22" customFormat="1" ht="15" x14ac:dyDescent="0.25">
      <c r="A11592" t="s">
        <v>309</v>
      </c>
      <c r="E11592" s="844" t="s">
        <v>4062</v>
      </c>
      <c r="F11592" s="276"/>
      <c r="G11592" s="276"/>
      <c r="H11592" s="641"/>
      <c r="K11592" t="s">
        <v>7002</v>
      </c>
      <c r="V11592">
        <v>22</v>
      </c>
    </row>
    <row r="11593" spans="1:22" customFormat="1" ht="15" x14ac:dyDescent="0.25">
      <c r="A11593" t="s">
        <v>309</v>
      </c>
      <c r="E11593" s="1525" t="s">
        <v>3910</v>
      </c>
      <c r="F11593" s="1525"/>
      <c r="G11593" s="360" t="s">
        <v>1118</v>
      </c>
      <c r="H11593" s="604">
        <v>1.5</v>
      </c>
      <c r="V11593">
        <v>100</v>
      </c>
    </row>
    <row r="11594" spans="1:22" customFormat="1" ht="15" x14ac:dyDescent="0.25">
      <c r="A11594" t="s">
        <v>309</v>
      </c>
      <c r="E11594" s="1525" t="s">
        <v>3911</v>
      </c>
      <c r="F11594" s="1525"/>
      <c r="G11594" s="360" t="s">
        <v>777</v>
      </c>
      <c r="H11594" s="604">
        <v>65</v>
      </c>
      <c r="V11594">
        <v>41</v>
      </c>
    </row>
    <row r="11595" spans="1:22" customFormat="1" ht="15" x14ac:dyDescent="0.25">
      <c r="A11595" t="s">
        <v>309</v>
      </c>
      <c r="E11595" s="1525" t="s">
        <v>3912</v>
      </c>
      <c r="F11595" s="1525"/>
      <c r="G11595" s="360" t="s">
        <v>777</v>
      </c>
      <c r="H11595" s="604">
        <v>185</v>
      </c>
      <c r="V11595">
        <v>40</v>
      </c>
    </row>
    <row r="11596" spans="1:22" customFormat="1" ht="15" x14ac:dyDescent="0.25">
      <c r="A11596" t="s">
        <v>309</v>
      </c>
      <c r="E11596" s="1525" t="s">
        <v>3913</v>
      </c>
      <c r="F11596" s="1525"/>
      <c r="G11596" s="360" t="s">
        <v>777</v>
      </c>
      <c r="H11596" s="604">
        <v>185</v>
      </c>
      <c r="V11596">
        <v>40</v>
      </c>
    </row>
    <row r="11597" spans="1:22" customFormat="1" ht="15" x14ac:dyDescent="0.25">
      <c r="A11597" t="s">
        <v>309</v>
      </c>
      <c r="E11597" s="844" t="s">
        <v>3846</v>
      </c>
      <c r="F11597" s="654"/>
      <c r="G11597" s="615"/>
      <c r="H11597" s="616"/>
      <c r="V11597">
        <v>5</v>
      </c>
    </row>
    <row r="11598" spans="1:22" customFormat="1" ht="15" x14ac:dyDescent="0.25">
      <c r="A11598" t="s">
        <v>309</v>
      </c>
      <c r="E11598" s="1525" t="s">
        <v>3914</v>
      </c>
      <c r="F11598" s="1525"/>
      <c r="G11598" s="360" t="s">
        <v>777</v>
      </c>
      <c r="H11598" s="604">
        <v>30</v>
      </c>
      <c r="V11598">
        <v>19</v>
      </c>
    </row>
    <row r="11599" spans="1:22" customFormat="1" ht="15" x14ac:dyDescent="0.25">
      <c r="A11599" t="s">
        <v>309</v>
      </c>
      <c r="E11599" s="1525" t="s">
        <v>3847</v>
      </c>
      <c r="F11599" s="1525"/>
      <c r="G11599" s="360" t="s">
        <v>777</v>
      </c>
      <c r="H11599" s="604">
        <v>165</v>
      </c>
      <c r="V11599">
        <v>34</v>
      </c>
    </row>
    <row r="11600" spans="1:22" customFormat="1" ht="15" x14ac:dyDescent="0.25">
      <c r="A11600" t="s">
        <v>309</v>
      </c>
      <c r="E11600" s="1525" t="s">
        <v>3915</v>
      </c>
      <c r="F11600" s="1525"/>
      <c r="G11600" s="360" t="s">
        <v>777</v>
      </c>
      <c r="H11600" s="604">
        <v>39.14</v>
      </c>
      <c r="V11600">
        <v>105</v>
      </c>
    </row>
    <row r="11601" spans="1:22" customFormat="1" x14ac:dyDescent="0.25">
      <c r="A11601" t="s">
        <v>309</v>
      </c>
      <c r="E11601" s="1538" t="s">
        <v>3851</v>
      </c>
      <c r="F11601" s="1538"/>
      <c r="G11601" s="1538"/>
      <c r="H11601" s="1538"/>
      <c r="K11601" t="s">
        <v>3916</v>
      </c>
      <c r="V11601">
        <v>38</v>
      </c>
    </row>
    <row r="11602" spans="1:22" customFormat="1" ht="15" x14ac:dyDescent="0.25">
      <c r="A11602" t="s">
        <v>309</v>
      </c>
      <c r="E11602" s="1496" t="s">
        <v>951</v>
      </c>
      <c r="F11602" s="1496"/>
      <c r="G11602" s="1496"/>
      <c r="H11602" s="1496"/>
      <c r="V11602">
        <v>280</v>
      </c>
    </row>
    <row r="11603" spans="1:22" customFormat="1" ht="15" x14ac:dyDescent="0.25">
      <c r="A11603" t="s">
        <v>309</v>
      </c>
      <c r="E11603" s="1496" t="s">
        <v>952</v>
      </c>
      <c r="F11603" s="1496"/>
      <c r="G11603" s="1496"/>
      <c r="H11603" s="1496"/>
      <c r="V11603">
        <v>411</v>
      </c>
    </row>
    <row r="11604" spans="1:22" customFormat="1" ht="15" x14ac:dyDescent="0.25">
      <c r="A11604" t="s">
        <v>309</v>
      </c>
      <c r="E11604" s="1496" t="s">
        <v>1103</v>
      </c>
      <c r="F11604" s="1496"/>
      <c r="G11604" s="1496"/>
      <c r="H11604" s="1496"/>
      <c r="V11604">
        <v>211</v>
      </c>
    </row>
    <row r="11605" spans="1:22" customFormat="1" ht="15" x14ac:dyDescent="0.25">
      <c r="A11605" t="s">
        <v>309</v>
      </c>
      <c r="E11605" s="1496" t="s">
        <v>3762</v>
      </c>
      <c r="F11605" s="1496"/>
      <c r="G11605" s="1496"/>
      <c r="H11605" s="1496"/>
      <c r="V11605">
        <v>247</v>
      </c>
    </row>
    <row r="11606" spans="1:22" customFormat="1" ht="15" x14ac:dyDescent="0.25">
      <c r="A11606" t="s">
        <v>309</v>
      </c>
      <c r="E11606" s="1496" t="s">
        <v>1104</v>
      </c>
      <c r="F11606" s="1496"/>
      <c r="G11606" s="1496"/>
      <c r="H11606" s="1496"/>
      <c r="V11606">
        <v>142</v>
      </c>
    </row>
    <row r="11607" spans="1:22" customFormat="1" ht="15" x14ac:dyDescent="0.25">
      <c r="A11607" t="s">
        <v>309</v>
      </c>
      <c r="E11607" s="1524" t="s">
        <v>849</v>
      </c>
      <c r="F11607" s="1524"/>
      <c r="G11607" s="615" t="s">
        <v>777</v>
      </c>
      <c r="H11607" s="604">
        <v>121.23</v>
      </c>
      <c r="V11607">
        <v>106</v>
      </c>
    </row>
    <row r="11608" spans="1:22" customFormat="1" ht="15" x14ac:dyDescent="0.25">
      <c r="A11608" t="s">
        <v>309</v>
      </c>
      <c r="E11608" s="1524" t="s">
        <v>850</v>
      </c>
      <c r="F11608" s="1524"/>
      <c r="G11608" s="615" t="s">
        <v>777</v>
      </c>
      <c r="H11608" s="604">
        <v>48.5</v>
      </c>
      <c r="V11608">
        <v>34</v>
      </c>
    </row>
    <row r="11609" spans="1:22" customFormat="1" ht="15" x14ac:dyDescent="0.25">
      <c r="A11609" t="s">
        <v>309</v>
      </c>
      <c r="E11609" s="1524" t="s">
        <v>851</v>
      </c>
      <c r="F11609" s="1524"/>
      <c r="G11609" s="615" t="s">
        <v>852</v>
      </c>
      <c r="H11609" s="604">
        <v>1.2</v>
      </c>
      <c r="V11609">
        <v>51</v>
      </c>
    </row>
    <row r="11610" spans="1:22" customFormat="1" ht="15" x14ac:dyDescent="0.25">
      <c r="A11610" t="s">
        <v>309</v>
      </c>
      <c r="E11610" s="1524" t="s">
        <v>853</v>
      </c>
      <c r="F11610" s="1524"/>
      <c r="G11610" s="615" t="s">
        <v>852</v>
      </c>
      <c r="H11610" s="604">
        <v>0.71</v>
      </c>
      <c r="V11610">
        <v>75</v>
      </c>
    </row>
    <row r="11611" spans="1:22" customFormat="1" ht="15" x14ac:dyDescent="0.25">
      <c r="A11611" t="s">
        <v>309</v>
      </c>
      <c r="E11611" s="1524" t="s">
        <v>854</v>
      </c>
      <c r="F11611" s="1524"/>
      <c r="G11611" s="615" t="s">
        <v>852</v>
      </c>
      <c r="H11611" s="652">
        <v>-0.71</v>
      </c>
      <c r="V11611">
        <v>72</v>
      </c>
    </row>
    <row r="11612" spans="1:22" customFormat="1" ht="15" x14ac:dyDescent="0.25">
      <c r="A11612" t="s">
        <v>309</v>
      </c>
      <c r="E11612" s="1524" t="s">
        <v>855</v>
      </c>
      <c r="F11612" s="1524"/>
      <c r="G11612" s="615"/>
      <c r="H11612" s="616"/>
      <c r="V11612">
        <v>34</v>
      </c>
    </row>
    <row r="11613" spans="1:22" customFormat="1" ht="15" x14ac:dyDescent="0.25">
      <c r="A11613" t="s">
        <v>309</v>
      </c>
      <c r="E11613" s="1557" t="s">
        <v>1106</v>
      </c>
      <c r="F11613" s="1557"/>
      <c r="G11613" s="615" t="s">
        <v>777</v>
      </c>
      <c r="H11613" s="604">
        <v>0.61</v>
      </c>
      <c r="V11613">
        <v>57</v>
      </c>
    </row>
    <row r="11614" spans="1:22" customFormat="1" ht="15" x14ac:dyDescent="0.25">
      <c r="A11614" t="s">
        <v>309</v>
      </c>
      <c r="E11614" s="1557" t="s">
        <v>1107</v>
      </c>
      <c r="F11614" s="1557"/>
      <c r="G11614" s="615" t="s">
        <v>777</v>
      </c>
      <c r="H11614" s="604">
        <v>1.2</v>
      </c>
      <c r="V11614">
        <v>60</v>
      </c>
    </row>
    <row r="11615" spans="1:22" customFormat="1" ht="15" x14ac:dyDescent="0.25">
      <c r="A11615" t="s">
        <v>309</v>
      </c>
      <c r="E11615" s="1524" t="s">
        <v>1108</v>
      </c>
      <c r="F11615" s="1524"/>
      <c r="G11615" s="615"/>
      <c r="H11615" s="616"/>
      <c r="V11615">
        <v>91</v>
      </c>
    </row>
    <row r="11616" spans="1:22" customFormat="1" ht="15" x14ac:dyDescent="0.25">
      <c r="A11616" t="s">
        <v>309</v>
      </c>
      <c r="E11616" s="1524" t="s">
        <v>1109</v>
      </c>
      <c r="F11616" s="1524"/>
      <c r="G11616" s="615"/>
      <c r="H11616" s="616"/>
      <c r="V11616">
        <v>96</v>
      </c>
    </row>
    <row r="11617" spans="1:22" customFormat="1" ht="15" x14ac:dyDescent="0.25">
      <c r="A11617" t="s">
        <v>309</v>
      </c>
      <c r="E11617" s="1524" t="s">
        <v>856</v>
      </c>
      <c r="F11617" s="1524"/>
      <c r="G11617" s="615"/>
      <c r="H11617" s="616"/>
      <c r="V11617">
        <v>77</v>
      </c>
    </row>
    <row r="11618" spans="1:22" customFormat="1" ht="15" x14ac:dyDescent="0.25">
      <c r="A11618" t="s">
        <v>309</v>
      </c>
      <c r="E11618" s="1557" t="s">
        <v>1111</v>
      </c>
      <c r="F11618" s="1557"/>
      <c r="G11618" s="615" t="s">
        <v>777</v>
      </c>
      <c r="H11618" s="616" t="s">
        <v>857</v>
      </c>
      <c r="V11618">
        <v>18</v>
      </c>
    </row>
    <row r="11619" spans="1:22" customFormat="1" ht="15" x14ac:dyDescent="0.25">
      <c r="A11619" t="s">
        <v>309</v>
      </c>
      <c r="E11619" s="1557" t="s">
        <v>1112</v>
      </c>
      <c r="F11619" s="1557"/>
      <c r="G11619" s="615" t="s">
        <v>777</v>
      </c>
      <c r="H11619" s="604">
        <v>4.8499999999999996</v>
      </c>
      <c r="V11619">
        <v>69</v>
      </c>
    </row>
    <row r="11620" spans="1:22" customFormat="1" ht="15" x14ac:dyDescent="0.25">
      <c r="A11620" t="s">
        <v>309</v>
      </c>
      <c r="E11620" s="1524" t="s">
        <v>858</v>
      </c>
      <c r="F11620" s="1524"/>
      <c r="G11620" s="615" t="s">
        <v>777</v>
      </c>
      <c r="H11620" s="604">
        <v>2.42</v>
      </c>
      <c r="V11620">
        <v>199</v>
      </c>
    </row>
    <row r="11621" spans="1:22" customFormat="1" ht="18.75" x14ac:dyDescent="0.3">
      <c r="A11621" t="s">
        <v>309</v>
      </c>
      <c r="E11621" s="842" t="s">
        <v>3853</v>
      </c>
      <c r="F11621" s="639"/>
      <c r="G11621" s="639"/>
      <c r="H11621" s="640"/>
      <c r="K11621" t="s">
        <v>3917</v>
      </c>
      <c r="V11621">
        <v>12</v>
      </c>
    </row>
    <row r="11622" spans="1:22" customFormat="1" ht="15" x14ac:dyDescent="0.25">
      <c r="A11622" t="s">
        <v>309</v>
      </c>
      <c r="E11622" s="1524" t="s">
        <v>1114</v>
      </c>
      <c r="F11622" s="1524"/>
      <c r="G11622" s="1524"/>
      <c r="H11622" s="1524"/>
      <c r="V11622">
        <v>203</v>
      </c>
    </row>
    <row r="11623" spans="1:22" customFormat="1" ht="15" x14ac:dyDescent="0.25">
      <c r="A11623" t="s">
        <v>309</v>
      </c>
      <c r="E11623" s="1524" t="s">
        <v>1115</v>
      </c>
      <c r="F11623" s="1524"/>
      <c r="G11623" s="360"/>
      <c r="H11623" s="616">
        <v>1.0344</v>
      </c>
      <c r="V11623">
        <v>57</v>
      </c>
    </row>
    <row r="11624" spans="1:22" customFormat="1" ht="15" x14ac:dyDescent="0.25">
      <c r="A11624" t="s">
        <v>309</v>
      </c>
      <c r="E11624" s="1524" t="s">
        <v>1117</v>
      </c>
      <c r="F11624" s="1524"/>
      <c r="G11624" s="360"/>
      <c r="H11624" s="616">
        <v>1.0241</v>
      </c>
      <c r="J11624" t="s">
        <v>3918</v>
      </c>
      <c r="V11624">
        <v>55</v>
      </c>
    </row>
    <row r="11625" spans="1:22" customFormat="1" ht="23.25" x14ac:dyDescent="0.25">
      <c r="A11625" t="s">
        <v>313</v>
      </c>
      <c r="C11625" t="s">
        <v>3755</v>
      </c>
      <c r="E11625" s="1576" t="s">
        <v>313</v>
      </c>
      <c r="F11625" s="1576"/>
      <c r="G11625" s="1576"/>
      <c r="H11625" s="1576"/>
      <c r="I11625" t="s">
        <v>94</v>
      </c>
      <c r="J11625" t="s">
        <v>5969</v>
      </c>
      <c r="K11625" t="s">
        <v>313</v>
      </c>
      <c r="M11625">
        <v>6</v>
      </c>
      <c r="V11625">
        <v>24</v>
      </c>
    </row>
    <row r="11626" spans="1:22" customFormat="1" x14ac:dyDescent="0.25">
      <c r="A11626" t="s">
        <v>313</v>
      </c>
      <c r="C11626" t="s">
        <v>3757</v>
      </c>
      <c r="E11626" s="1577" t="s">
        <v>944</v>
      </c>
      <c r="F11626" s="1577"/>
      <c r="G11626" s="1577"/>
      <c r="H11626" s="1577"/>
      <c r="V11626">
        <v>27</v>
      </c>
    </row>
    <row r="11627" spans="1:22" customFormat="1" ht="15.75" x14ac:dyDescent="0.25">
      <c r="A11627" t="s">
        <v>313</v>
      </c>
      <c r="C11627" t="s">
        <v>3758</v>
      </c>
      <c r="E11627" s="1585" t="s">
        <v>6847</v>
      </c>
      <c r="F11627" s="1585"/>
      <c r="G11627" s="1585"/>
      <c r="H11627" s="1585"/>
      <c r="S11627">
        <v>45778</v>
      </c>
      <c r="V11627">
        <v>45</v>
      </c>
    </row>
    <row r="11628" spans="1:22" customFormat="1" ht="15" x14ac:dyDescent="0.25">
      <c r="A11628" t="s">
        <v>313</v>
      </c>
      <c r="C11628" t="s">
        <v>3759</v>
      </c>
      <c r="E11628" s="1575" t="s">
        <v>945</v>
      </c>
      <c r="F11628" s="1575"/>
      <c r="G11628" s="1575"/>
      <c r="H11628" s="1575"/>
      <c r="V11628">
        <v>52</v>
      </c>
    </row>
    <row r="11629" spans="1:22" customFormat="1" ht="15" x14ac:dyDescent="0.25">
      <c r="A11629" t="s">
        <v>313</v>
      </c>
      <c r="E11629" s="1575" t="s">
        <v>946</v>
      </c>
      <c r="F11629" s="1575"/>
      <c r="G11629" s="1575"/>
      <c r="H11629" s="1575"/>
      <c r="V11629">
        <v>53</v>
      </c>
    </row>
    <row r="11630" spans="1:22" customFormat="1" ht="15" x14ac:dyDescent="0.25">
      <c r="A11630" t="s">
        <v>313</v>
      </c>
      <c r="E11630" s="1534" t="s">
        <v>7003</v>
      </c>
      <c r="F11630" s="1534"/>
      <c r="G11630" s="1534"/>
      <c r="H11630" s="1534"/>
      <c r="K11630" t="s">
        <v>7003</v>
      </c>
      <c r="V11630">
        <v>12</v>
      </c>
    </row>
    <row r="11631" spans="1:22" customFormat="1" ht="15" x14ac:dyDescent="0.25">
      <c r="A11631" t="s">
        <v>313</v>
      </c>
      <c r="E11631" s="1538" t="s">
        <v>170</v>
      </c>
      <c r="F11631" s="1496"/>
      <c r="G11631" s="1496"/>
      <c r="H11631" s="1496"/>
      <c r="K11631" t="s">
        <v>947</v>
      </c>
      <c r="V11631">
        <v>34</v>
      </c>
    </row>
    <row r="11632" spans="1:22" customFormat="1" ht="15" x14ac:dyDescent="0.25">
      <c r="A11632" t="s">
        <v>313</v>
      </c>
      <c r="E11632" s="1496" t="s">
        <v>5970</v>
      </c>
      <c r="F11632" s="1496"/>
      <c r="G11632" s="1496"/>
      <c r="H11632" s="1496"/>
      <c r="K11632" t="s">
        <v>947</v>
      </c>
      <c r="V11632">
        <v>665</v>
      </c>
    </row>
    <row r="11633" spans="1:22" customFormat="1" ht="15" x14ac:dyDescent="0.25">
      <c r="A11633" t="s">
        <v>313</v>
      </c>
      <c r="E11633" s="1533" t="s">
        <v>950</v>
      </c>
      <c r="F11633" s="1496"/>
      <c r="G11633" s="1496"/>
      <c r="H11633" s="1496"/>
      <c r="K11633" t="s">
        <v>949</v>
      </c>
      <c r="V11633">
        <v>11</v>
      </c>
    </row>
    <row r="11634" spans="1:22" customFormat="1" ht="15" x14ac:dyDescent="0.25">
      <c r="A11634" t="s">
        <v>313</v>
      </c>
      <c r="E11634" s="1496" t="s">
        <v>951</v>
      </c>
      <c r="F11634" s="1496"/>
      <c r="G11634" s="1496"/>
      <c r="H11634" s="1496"/>
      <c r="K11634" t="s">
        <v>947</v>
      </c>
      <c r="V11634">
        <v>280</v>
      </c>
    </row>
    <row r="11635" spans="1:22" customFormat="1" ht="15" x14ac:dyDescent="0.25">
      <c r="A11635" t="s">
        <v>313</v>
      </c>
      <c r="E11635" s="1496" t="s">
        <v>1072</v>
      </c>
      <c r="F11635" s="1496"/>
      <c r="G11635" s="1496"/>
      <c r="H11635" s="1496"/>
      <c r="K11635" t="s">
        <v>947</v>
      </c>
      <c r="V11635">
        <v>411</v>
      </c>
    </row>
    <row r="11636" spans="1:22" customFormat="1" ht="15" x14ac:dyDescent="0.25">
      <c r="A11636" t="s">
        <v>313</v>
      </c>
      <c r="E11636" s="1496" t="s">
        <v>5971</v>
      </c>
      <c r="F11636" s="1496"/>
      <c r="G11636" s="1496"/>
      <c r="H11636" s="1496"/>
      <c r="K11636" t="s">
        <v>947</v>
      </c>
      <c r="V11636">
        <v>385</v>
      </c>
    </row>
    <row r="11637" spans="1:22" customFormat="1" ht="15" x14ac:dyDescent="0.25">
      <c r="A11637" t="s">
        <v>313</v>
      </c>
      <c r="E11637" s="1496" t="s">
        <v>1074</v>
      </c>
      <c r="F11637" s="1496"/>
      <c r="G11637" s="1496"/>
      <c r="H11637" s="1496"/>
      <c r="K11637" t="s">
        <v>947</v>
      </c>
      <c r="V11637">
        <v>238</v>
      </c>
    </row>
    <row r="11638" spans="1:22" customFormat="1" ht="15" x14ac:dyDescent="0.25">
      <c r="A11638" t="s">
        <v>313</v>
      </c>
      <c r="E11638" s="1533" t="s">
        <v>956</v>
      </c>
      <c r="F11638" s="1496"/>
      <c r="G11638" s="1496"/>
      <c r="H11638" s="1496"/>
      <c r="K11638" t="s">
        <v>955</v>
      </c>
      <c r="V11638">
        <v>46</v>
      </c>
    </row>
    <row r="11639" spans="1:22" customFormat="1" ht="15" x14ac:dyDescent="0.25">
      <c r="A11639" t="s">
        <v>313</v>
      </c>
      <c r="E11639" s="1524" t="s">
        <v>3773</v>
      </c>
      <c r="F11639" s="1524"/>
      <c r="G11639" s="360" t="s">
        <v>777</v>
      </c>
      <c r="H11639" s="576">
        <v>28.68</v>
      </c>
      <c r="K11639" t="s">
        <v>947</v>
      </c>
      <c r="L11639" t="s">
        <v>690</v>
      </c>
      <c r="P11639" t="s">
        <v>957</v>
      </c>
      <c r="V11639">
        <v>14</v>
      </c>
    </row>
    <row r="11640" spans="1:22" customFormat="1" ht="15" x14ac:dyDescent="0.25">
      <c r="A11640" t="s">
        <v>313</v>
      </c>
      <c r="E11640" s="1524" t="s">
        <v>960</v>
      </c>
      <c r="F11640" s="1524"/>
      <c r="G11640" s="360" t="s">
        <v>777</v>
      </c>
      <c r="H11640" s="604">
        <v>0.42</v>
      </c>
      <c r="K11640" t="s">
        <v>947</v>
      </c>
      <c r="L11640" t="s">
        <v>692</v>
      </c>
      <c r="P11640" t="s">
        <v>959</v>
      </c>
      <c r="V11640">
        <v>64</v>
      </c>
    </row>
    <row r="11641" spans="1:22" customFormat="1" ht="15" x14ac:dyDescent="0.25">
      <c r="A11641" t="s">
        <v>313</v>
      </c>
      <c r="E11641" s="1524" t="s">
        <v>910</v>
      </c>
      <c r="F11641" s="1524"/>
      <c r="G11641" s="360" t="s">
        <v>845</v>
      </c>
      <c r="H11641" s="605">
        <v>4.0000000000000001E-3</v>
      </c>
      <c r="K11641" t="s">
        <v>947</v>
      </c>
      <c r="L11641" t="s">
        <v>692</v>
      </c>
      <c r="P11641" t="s">
        <v>961</v>
      </c>
      <c r="V11641">
        <v>24</v>
      </c>
    </row>
    <row r="11642" spans="1:22" customFormat="1" ht="15" x14ac:dyDescent="0.25">
      <c r="A11642" t="s">
        <v>313</v>
      </c>
      <c r="E11642" s="1524" t="s">
        <v>243</v>
      </c>
      <c r="F11642" s="1524"/>
      <c r="G11642" s="360" t="s">
        <v>845</v>
      </c>
      <c r="H11642" s="577">
        <v>1.17E-2</v>
      </c>
      <c r="K11642" t="s">
        <v>947</v>
      </c>
      <c r="L11642" t="s">
        <v>694</v>
      </c>
      <c r="P11642" t="s">
        <v>964</v>
      </c>
      <c r="V11642">
        <v>47</v>
      </c>
    </row>
    <row r="11643" spans="1:22" customFormat="1" ht="15" x14ac:dyDescent="0.25">
      <c r="A11643" t="s">
        <v>313</v>
      </c>
      <c r="E11643" s="1524" t="s">
        <v>175</v>
      </c>
      <c r="F11643" s="1524"/>
      <c r="G11643" s="360" t="s">
        <v>845</v>
      </c>
      <c r="H11643" s="577">
        <v>8.0000000000000002E-3</v>
      </c>
      <c r="K11643" t="s">
        <v>947</v>
      </c>
      <c r="L11643" t="s">
        <v>694</v>
      </c>
      <c r="P11643" t="s">
        <v>965</v>
      </c>
      <c r="V11643">
        <v>74</v>
      </c>
    </row>
    <row r="11644" spans="1:22" customFormat="1" ht="15" x14ac:dyDescent="0.25">
      <c r="A11644" t="s">
        <v>313</v>
      </c>
      <c r="E11644" s="1533" t="s">
        <v>967</v>
      </c>
      <c r="F11644" s="1524"/>
      <c r="G11644" s="360"/>
      <c r="H11644" s="360"/>
      <c r="K11644" t="s">
        <v>966</v>
      </c>
      <c r="V11644">
        <v>48</v>
      </c>
    </row>
    <row r="11645" spans="1:22" customFormat="1" ht="15" x14ac:dyDescent="0.25">
      <c r="A11645" t="s">
        <v>313</v>
      </c>
      <c r="E11645" s="1524" t="s">
        <v>844</v>
      </c>
      <c r="F11645" s="1524"/>
      <c r="G11645" s="360" t="s">
        <v>845</v>
      </c>
      <c r="H11645" s="605">
        <v>4.1000000000000003E-3</v>
      </c>
      <c r="K11645" t="s">
        <v>947</v>
      </c>
      <c r="L11645" t="s">
        <v>968</v>
      </c>
      <c r="P11645" t="s">
        <v>969</v>
      </c>
      <c r="V11645">
        <v>55</v>
      </c>
    </row>
    <row r="11646" spans="1:22" customFormat="1" ht="15" x14ac:dyDescent="0.25">
      <c r="A11646" t="s">
        <v>313</v>
      </c>
      <c r="E11646" s="1524" t="s">
        <v>846</v>
      </c>
      <c r="F11646" s="1524"/>
      <c r="G11646" s="360" t="s">
        <v>845</v>
      </c>
      <c r="H11646" s="605">
        <v>4.0000000000000002E-4</v>
      </c>
      <c r="K11646" t="s">
        <v>947</v>
      </c>
      <c r="L11646" t="s">
        <v>968</v>
      </c>
      <c r="P11646" t="s">
        <v>969</v>
      </c>
      <c r="V11646">
        <v>65</v>
      </c>
    </row>
    <row r="11647" spans="1:22" customFormat="1" ht="15" x14ac:dyDescent="0.25">
      <c r="A11647" t="s">
        <v>313</v>
      </c>
      <c r="E11647" s="1524" t="s">
        <v>847</v>
      </c>
      <c r="F11647" s="1524"/>
      <c r="G11647" s="360" t="s">
        <v>845</v>
      </c>
      <c r="H11647" s="605">
        <v>1.5E-3</v>
      </c>
      <c r="K11647" t="s">
        <v>947</v>
      </c>
      <c r="L11647" t="s">
        <v>968</v>
      </c>
      <c r="P11647" t="s">
        <v>970</v>
      </c>
      <c r="V11647">
        <v>57</v>
      </c>
    </row>
    <row r="11648" spans="1:22" customFormat="1" ht="15" x14ac:dyDescent="0.25">
      <c r="A11648" t="s">
        <v>313</v>
      </c>
      <c r="E11648" s="1524" t="s">
        <v>848</v>
      </c>
      <c r="F11648" s="1524"/>
      <c r="G11648" s="360" t="s">
        <v>777</v>
      </c>
      <c r="H11648" s="604">
        <v>0.25</v>
      </c>
      <c r="K11648" t="s">
        <v>947</v>
      </c>
      <c r="L11648" t="s">
        <v>968</v>
      </c>
      <c r="P11648" t="s">
        <v>971</v>
      </c>
      <c r="V11648">
        <v>63</v>
      </c>
    </row>
    <row r="11649" spans="1:22" customFormat="1" x14ac:dyDescent="0.25">
      <c r="A11649" t="s">
        <v>313</v>
      </c>
      <c r="E11649" s="1538" t="s">
        <v>174</v>
      </c>
      <c r="F11649" s="1571"/>
      <c r="G11649" s="1571"/>
      <c r="H11649" s="1571"/>
      <c r="K11649" t="s">
        <v>972</v>
      </c>
      <c r="V11649">
        <v>54</v>
      </c>
    </row>
    <row r="11650" spans="1:22" customFormat="1" ht="15" x14ac:dyDescent="0.25">
      <c r="A11650" t="s">
        <v>313</v>
      </c>
      <c r="E11650" s="1496" t="s">
        <v>4960</v>
      </c>
      <c r="F11650" s="1496"/>
      <c r="G11650" s="1496"/>
      <c r="H11650" s="1496"/>
      <c r="K11650" t="s">
        <v>972</v>
      </c>
      <c r="V11650">
        <v>331</v>
      </c>
    </row>
    <row r="11651" spans="1:22" customFormat="1" ht="15" x14ac:dyDescent="0.25">
      <c r="A11651" t="s">
        <v>313</v>
      </c>
      <c r="E11651" s="1533" t="s">
        <v>950</v>
      </c>
      <c r="F11651" s="1496"/>
      <c r="G11651" s="1496"/>
      <c r="H11651" s="1496"/>
      <c r="K11651" t="s">
        <v>974</v>
      </c>
      <c r="V11651">
        <v>11</v>
      </c>
    </row>
    <row r="11652" spans="1:22" customFormat="1" ht="15" x14ac:dyDescent="0.25">
      <c r="A11652" t="s">
        <v>313</v>
      </c>
      <c r="E11652" s="1496" t="s">
        <v>951</v>
      </c>
      <c r="F11652" s="1496"/>
      <c r="G11652" s="1496"/>
      <c r="H11652" s="1496"/>
      <c r="K11652" t="s">
        <v>972</v>
      </c>
      <c r="V11652">
        <v>280</v>
      </c>
    </row>
    <row r="11653" spans="1:22" customFormat="1" ht="15" x14ac:dyDescent="0.25">
      <c r="A11653" t="s">
        <v>313</v>
      </c>
      <c r="E11653" s="1496" t="s">
        <v>1072</v>
      </c>
      <c r="F11653" s="1496"/>
      <c r="G11653" s="1496"/>
      <c r="H11653" s="1496"/>
      <c r="K11653" t="s">
        <v>972</v>
      </c>
      <c r="V11653">
        <v>411</v>
      </c>
    </row>
    <row r="11654" spans="1:22" customFormat="1" ht="15" x14ac:dyDescent="0.25">
      <c r="A11654" t="s">
        <v>313</v>
      </c>
      <c r="E11654" s="1496" t="s">
        <v>5972</v>
      </c>
      <c r="F11654" s="1496"/>
      <c r="G11654" s="1496"/>
      <c r="H11654" s="1496"/>
      <c r="K11654" t="s">
        <v>972</v>
      </c>
      <c r="V11654">
        <v>386</v>
      </c>
    </row>
    <row r="11655" spans="1:22" customFormat="1" ht="15" x14ac:dyDescent="0.25">
      <c r="A11655" t="s">
        <v>313</v>
      </c>
      <c r="E11655" s="1496" t="s">
        <v>1074</v>
      </c>
      <c r="F11655" s="1496"/>
      <c r="G11655" s="1496"/>
      <c r="H11655" s="1496"/>
      <c r="K11655" t="s">
        <v>972</v>
      </c>
      <c r="V11655">
        <v>238</v>
      </c>
    </row>
    <row r="11656" spans="1:22" customFormat="1" ht="15" x14ac:dyDescent="0.25">
      <c r="A11656" t="s">
        <v>313</v>
      </c>
      <c r="E11656" s="1533" t="s">
        <v>956</v>
      </c>
      <c r="F11656" s="1496"/>
      <c r="G11656" s="1496"/>
      <c r="H11656" s="1496"/>
      <c r="K11656" t="s">
        <v>975</v>
      </c>
      <c r="V11656">
        <v>46</v>
      </c>
    </row>
    <row r="11657" spans="1:22" customFormat="1" ht="15" x14ac:dyDescent="0.25">
      <c r="A11657" t="s">
        <v>313</v>
      </c>
      <c r="E11657" s="1524" t="s">
        <v>3773</v>
      </c>
      <c r="F11657" s="1524"/>
      <c r="G11657" s="360" t="s">
        <v>777</v>
      </c>
      <c r="H11657" s="576">
        <v>19.350000000000001</v>
      </c>
      <c r="K11657" t="s">
        <v>972</v>
      </c>
      <c r="L11657" t="s">
        <v>690</v>
      </c>
      <c r="P11657" t="s">
        <v>976</v>
      </c>
      <c r="V11657">
        <v>14</v>
      </c>
    </row>
    <row r="11658" spans="1:22" customFormat="1" ht="15" x14ac:dyDescent="0.25">
      <c r="A11658" t="s">
        <v>313</v>
      </c>
      <c r="E11658" s="1524" t="s">
        <v>960</v>
      </c>
      <c r="F11658" s="1524"/>
      <c r="G11658" s="360" t="s">
        <v>777</v>
      </c>
      <c r="H11658" s="604">
        <v>0.42</v>
      </c>
      <c r="K11658" t="s">
        <v>972</v>
      </c>
      <c r="L11658" t="s">
        <v>692</v>
      </c>
      <c r="P11658" t="s">
        <v>977</v>
      </c>
      <c r="V11658">
        <v>64</v>
      </c>
    </row>
    <row r="11659" spans="1:22" customFormat="1" ht="15" x14ac:dyDescent="0.25">
      <c r="A11659" t="s">
        <v>313</v>
      </c>
      <c r="E11659" s="1524" t="s">
        <v>3688</v>
      </c>
      <c r="F11659" s="1524"/>
      <c r="G11659" s="360" t="s">
        <v>845</v>
      </c>
      <c r="H11659" s="577">
        <v>1.9400000000000001E-2</v>
      </c>
      <c r="K11659" t="s">
        <v>972</v>
      </c>
      <c r="L11659" t="s">
        <v>690</v>
      </c>
      <c r="P11659" t="s">
        <v>978</v>
      </c>
      <c r="V11659">
        <v>28</v>
      </c>
    </row>
    <row r="11660" spans="1:22" customFormat="1" ht="15" x14ac:dyDescent="0.25">
      <c r="A11660" t="s">
        <v>313</v>
      </c>
      <c r="E11660" s="1524" t="s">
        <v>910</v>
      </c>
      <c r="F11660" s="1524"/>
      <c r="G11660" s="360" t="s">
        <v>845</v>
      </c>
      <c r="H11660" s="605">
        <v>3.5000000000000001E-3</v>
      </c>
      <c r="K11660" t="s">
        <v>972</v>
      </c>
      <c r="L11660" t="s">
        <v>692</v>
      </c>
      <c r="P11660" t="s">
        <v>980</v>
      </c>
      <c r="V11660">
        <v>24</v>
      </c>
    </row>
    <row r="11661" spans="1:22" customFormat="1" ht="15" x14ac:dyDescent="0.25">
      <c r="A11661" t="s">
        <v>313</v>
      </c>
      <c r="E11661" s="1524" t="s">
        <v>243</v>
      </c>
      <c r="F11661" s="1524"/>
      <c r="G11661" s="360" t="s">
        <v>845</v>
      </c>
      <c r="H11661" s="577">
        <v>1.0699999999999999E-2</v>
      </c>
      <c r="K11661" t="s">
        <v>972</v>
      </c>
      <c r="L11661" t="s">
        <v>694</v>
      </c>
      <c r="P11661" t="s">
        <v>983</v>
      </c>
      <c r="V11661">
        <v>47</v>
      </c>
    </row>
    <row r="11662" spans="1:22" customFormat="1" ht="15" x14ac:dyDescent="0.25">
      <c r="A11662" t="s">
        <v>313</v>
      </c>
      <c r="E11662" s="1524" t="s">
        <v>175</v>
      </c>
      <c r="F11662" s="1524"/>
      <c r="G11662" s="360" t="s">
        <v>845</v>
      </c>
      <c r="H11662" s="577">
        <v>7.0000000000000001E-3</v>
      </c>
      <c r="K11662" t="s">
        <v>972</v>
      </c>
      <c r="L11662" t="s">
        <v>694</v>
      </c>
      <c r="P11662" t="s">
        <v>984</v>
      </c>
      <c r="V11662">
        <v>74</v>
      </c>
    </row>
    <row r="11663" spans="1:22" customFormat="1" ht="15" x14ac:dyDescent="0.25">
      <c r="A11663" t="s">
        <v>313</v>
      </c>
      <c r="E11663" s="1533" t="s">
        <v>967</v>
      </c>
      <c r="F11663" s="1524"/>
      <c r="G11663" s="360"/>
      <c r="H11663" s="360"/>
      <c r="K11663" t="s">
        <v>985</v>
      </c>
      <c r="V11663">
        <v>48</v>
      </c>
    </row>
    <row r="11664" spans="1:22" customFormat="1" ht="15" x14ac:dyDescent="0.25">
      <c r="A11664" t="s">
        <v>313</v>
      </c>
      <c r="E11664" s="1524" t="s">
        <v>844</v>
      </c>
      <c r="F11664" s="1524"/>
      <c r="G11664" s="360" t="s">
        <v>845</v>
      </c>
      <c r="H11664" s="605">
        <v>4.1000000000000003E-3</v>
      </c>
      <c r="K11664" t="s">
        <v>972</v>
      </c>
      <c r="L11664" t="s">
        <v>968</v>
      </c>
      <c r="P11664" t="s">
        <v>986</v>
      </c>
      <c r="V11664">
        <v>55</v>
      </c>
    </row>
    <row r="11665" spans="1:22" customFormat="1" ht="15" x14ac:dyDescent="0.25">
      <c r="A11665" t="s">
        <v>313</v>
      </c>
      <c r="E11665" s="1524" t="s">
        <v>846</v>
      </c>
      <c r="F11665" s="1524"/>
      <c r="G11665" s="360" t="s">
        <v>845</v>
      </c>
      <c r="H11665" s="605">
        <v>4.0000000000000002E-4</v>
      </c>
      <c r="K11665" t="s">
        <v>972</v>
      </c>
      <c r="L11665" t="s">
        <v>968</v>
      </c>
      <c r="P11665" t="s">
        <v>986</v>
      </c>
      <c r="V11665">
        <v>65</v>
      </c>
    </row>
    <row r="11666" spans="1:22" customFormat="1" ht="15" x14ac:dyDescent="0.25">
      <c r="A11666" t="s">
        <v>313</v>
      </c>
      <c r="E11666" s="1524" t="s">
        <v>847</v>
      </c>
      <c r="F11666" s="1524"/>
      <c r="G11666" s="360" t="s">
        <v>845</v>
      </c>
      <c r="H11666" s="605">
        <v>1.5E-3</v>
      </c>
      <c r="K11666" t="s">
        <v>972</v>
      </c>
      <c r="L11666" t="s">
        <v>968</v>
      </c>
      <c r="P11666" t="s">
        <v>987</v>
      </c>
      <c r="V11666">
        <v>57</v>
      </c>
    </row>
    <row r="11667" spans="1:22" customFormat="1" ht="15" x14ac:dyDescent="0.25">
      <c r="A11667" t="s">
        <v>313</v>
      </c>
      <c r="E11667" s="1524" t="s">
        <v>848</v>
      </c>
      <c r="F11667" s="1524"/>
      <c r="G11667" s="360" t="s">
        <v>777</v>
      </c>
      <c r="H11667" s="604">
        <v>0.25</v>
      </c>
      <c r="K11667" t="s">
        <v>972</v>
      </c>
      <c r="L11667" t="s">
        <v>968</v>
      </c>
      <c r="P11667" t="s">
        <v>988</v>
      </c>
      <c r="V11667">
        <v>63</v>
      </c>
    </row>
    <row r="11668" spans="1:22" customFormat="1" x14ac:dyDescent="0.25">
      <c r="A11668" t="s">
        <v>313</v>
      </c>
      <c r="E11668" s="1538" t="s">
        <v>3767</v>
      </c>
      <c r="F11668" s="1571"/>
      <c r="G11668" s="1571"/>
      <c r="H11668" s="1571"/>
      <c r="K11668" t="s">
        <v>3768</v>
      </c>
      <c r="V11668">
        <v>53</v>
      </c>
    </row>
    <row r="11669" spans="1:22" customFormat="1" ht="15" x14ac:dyDescent="0.25">
      <c r="A11669" t="s">
        <v>313</v>
      </c>
      <c r="E11669" s="1496" t="s">
        <v>4962</v>
      </c>
      <c r="F11669" s="1496"/>
      <c r="G11669" s="1496"/>
      <c r="H11669" s="1496"/>
      <c r="K11669" t="s">
        <v>3768</v>
      </c>
      <c r="V11669">
        <v>356</v>
      </c>
    </row>
    <row r="11670" spans="1:22" customFormat="1" ht="15" x14ac:dyDescent="0.25">
      <c r="A11670" t="s">
        <v>313</v>
      </c>
      <c r="E11670" s="1533" t="s">
        <v>950</v>
      </c>
      <c r="F11670" s="1496"/>
      <c r="G11670" s="1496"/>
      <c r="H11670" s="1496"/>
      <c r="K11670" t="s">
        <v>992</v>
      </c>
      <c r="V11670">
        <v>11</v>
      </c>
    </row>
    <row r="11671" spans="1:22" customFormat="1" ht="15" x14ac:dyDescent="0.25">
      <c r="A11671" t="s">
        <v>313</v>
      </c>
      <c r="E11671" s="1496" t="s">
        <v>951</v>
      </c>
      <c r="F11671" s="1496"/>
      <c r="G11671" s="1496"/>
      <c r="H11671" s="1496"/>
      <c r="K11671" t="s">
        <v>3768</v>
      </c>
      <c r="V11671">
        <v>280</v>
      </c>
    </row>
    <row r="11672" spans="1:22" customFormat="1" ht="15" x14ac:dyDescent="0.25">
      <c r="A11672" t="s">
        <v>313</v>
      </c>
      <c r="E11672" s="1496" t="s">
        <v>1072</v>
      </c>
      <c r="F11672" s="1496"/>
      <c r="G11672" s="1496"/>
      <c r="H11672" s="1496"/>
      <c r="K11672" t="s">
        <v>3768</v>
      </c>
      <c r="V11672">
        <v>411</v>
      </c>
    </row>
    <row r="11673" spans="1:22" customFormat="1" ht="15" x14ac:dyDescent="0.25">
      <c r="A11673" t="s">
        <v>313</v>
      </c>
      <c r="E11673" s="1496" t="s">
        <v>5972</v>
      </c>
      <c r="F11673" s="1496"/>
      <c r="G11673" s="1496"/>
      <c r="H11673" s="1496"/>
      <c r="K11673" t="s">
        <v>3768</v>
      </c>
      <c r="V11673">
        <v>386</v>
      </c>
    </row>
    <row r="11674" spans="1:22" customFormat="1" ht="15" x14ac:dyDescent="0.25">
      <c r="A11674" t="s">
        <v>313</v>
      </c>
      <c r="E11674" s="1496" t="s">
        <v>993</v>
      </c>
      <c r="F11674" s="1496"/>
      <c r="G11674" s="1496"/>
      <c r="H11674" s="1496"/>
      <c r="K11674" t="s">
        <v>3768</v>
      </c>
      <c r="V11674">
        <v>680</v>
      </c>
    </row>
    <row r="11675" spans="1:22" customFormat="1" ht="15" x14ac:dyDescent="0.25">
      <c r="A11675" t="s">
        <v>313</v>
      </c>
      <c r="E11675" s="1496" t="s">
        <v>3772</v>
      </c>
      <c r="F11675" s="1496"/>
      <c r="G11675" s="1496"/>
      <c r="H11675" s="1496"/>
      <c r="K11675" t="s">
        <v>3768</v>
      </c>
      <c r="V11675">
        <v>693</v>
      </c>
    </row>
    <row r="11676" spans="1:22" customFormat="1" ht="15" x14ac:dyDescent="0.25">
      <c r="A11676" t="s">
        <v>313</v>
      </c>
      <c r="E11676" s="1496" t="s">
        <v>1074</v>
      </c>
      <c r="F11676" s="1496"/>
      <c r="G11676" s="1496"/>
      <c r="H11676" s="1496"/>
      <c r="K11676" t="s">
        <v>3768</v>
      </c>
      <c r="V11676">
        <v>238</v>
      </c>
    </row>
    <row r="11677" spans="1:22" customFormat="1" ht="15" x14ac:dyDescent="0.25">
      <c r="A11677" t="s">
        <v>313</v>
      </c>
      <c r="E11677" s="1533" t="s">
        <v>956</v>
      </c>
      <c r="F11677" s="1496"/>
      <c r="G11677" s="1496"/>
      <c r="H11677" s="1496"/>
      <c r="K11677" t="s">
        <v>995</v>
      </c>
      <c r="V11677">
        <v>46</v>
      </c>
    </row>
    <row r="11678" spans="1:22" customFormat="1" ht="15" x14ac:dyDescent="0.25">
      <c r="A11678" t="s">
        <v>313</v>
      </c>
      <c r="E11678" s="1524" t="s">
        <v>3773</v>
      </c>
      <c r="F11678" s="1524"/>
      <c r="G11678" s="360" t="s">
        <v>777</v>
      </c>
      <c r="H11678" s="576">
        <v>42.77</v>
      </c>
      <c r="K11678" t="s">
        <v>3768</v>
      </c>
      <c r="L11678" t="s">
        <v>690</v>
      </c>
      <c r="P11678" t="s">
        <v>3774</v>
      </c>
      <c r="V11678">
        <v>14</v>
      </c>
    </row>
    <row r="11679" spans="1:22" customFormat="1" ht="15" x14ac:dyDescent="0.25">
      <c r="A11679" t="s">
        <v>313</v>
      </c>
      <c r="E11679" s="1524" t="s">
        <v>3688</v>
      </c>
      <c r="F11679" s="1524"/>
      <c r="G11679" s="360" t="s">
        <v>3775</v>
      </c>
      <c r="H11679" s="577">
        <v>6.6468999999999996</v>
      </c>
      <c r="K11679" t="s">
        <v>3768</v>
      </c>
      <c r="L11679" t="s">
        <v>690</v>
      </c>
      <c r="P11679" t="s">
        <v>3776</v>
      </c>
      <c r="V11679">
        <v>28</v>
      </c>
    </row>
    <row r="11680" spans="1:22" customFormat="1" ht="15" x14ac:dyDescent="0.25">
      <c r="A11680" t="s">
        <v>313</v>
      </c>
      <c r="E11680" s="1524" t="s">
        <v>910</v>
      </c>
      <c r="F11680" s="1524"/>
      <c r="G11680" s="360" t="s">
        <v>3775</v>
      </c>
      <c r="H11680" s="605">
        <v>1.2608999999999999</v>
      </c>
      <c r="K11680" t="s">
        <v>3768</v>
      </c>
      <c r="L11680" t="s">
        <v>692</v>
      </c>
      <c r="P11680" t="s">
        <v>3777</v>
      </c>
      <c r="V11680">
        <v>24</v>
      </c>
    </row>
    <row r="11681" spans="1:22" customFormat="1" ht="15" x14ac:dyDescent="0.25">
      <c r="A11681" t="s">
        <v>313</v>
      </c>
      <c r="E11681" s="1524" t="s">
        <v>243</v>
      </c>
      <c r="F11681" s="1524"/>
      <c r="G11681" s="360" t="s">
        <v>3775</v>
      </c>
      <c r="H11681" s="577">
        <v>4.3659999999999997</v>
      </c>
      <c r="K11681" t="s">
        <v>3768</v>
      </c>
      <c r="L11681" t="s">
        <v>694</v>
      </c>
      <c r="P11681" t="s">
        <v>3780</v>
      </c>
      <c r="V11681">
        <v>47</v>
      </c>
    </row>
    <row r="11682" spans="1:22" customFormat="1" ht="15" x14ac:dyDescent="0.25">
      <c r="A11682" t="s">
        <v>313</v>
      </c>
      <c r="E11682" s="1524" t="s">
        <v>175</v>
      </c>
      <c r="F11682" s="1524"/>
      <c r="G11682" s="360" t="s">
        <v>3775</v>
      </c>
      <c r="H11682" s="577">
        <v>2.7155999999999998</v>
      </c>
      <c r="K11682" t="s">
        <v>3768</v>
      </c>
      <c r="L11682" t="s">
        <v>694</v>
      </c>
      <c r="P11682" t="s">
        <v>3781</v>
      </c>
      <c r="V11682">
        <v>74</v>
      </c>
    </row>
    <row r="11683" spans="1:22" customFormat="1" ht="15" x14ac:dyDescent="0.25">
      <c r="A11683" t="s">
        <v>313</v>
      </c>
      <c r="E11683" s="1533" t="s">
        <v>967</v>
      </c>
      <c r="F11683" s="1524"/>
      <c r="G11683" s="360"/>
      <c r="H11683" s="360"/>
      <c r="K11683" t="s">
        <v>1003</v>
      </c>
      <c r="V11683">
        <v>48</v>
      </c>
    </row>
    <row r="11684" spans="1:22" customFormat="1" ht="15" x14ac:dyDescent="0.25">
      <c r="A11684" t="s">
        <v>313</v>
      </c>
      <c r="E11684" s="1524" t="s">
        <v>844</v>
      </c>
      <c r="F11684" s="1524"/>
      <c r="G11684" s="360" t="s">
        <v>845</v>
      </c>
      <c r="H11684" s="605">
        <v>4.1000000000000003E-3</v>
      </c>
      <c r="K11684" t="s">
        <v>3768</v>
      </c>
      <c r="L11684" t="s">
        <v>968</v>
      </c>
      <c r="P11684" t="s">
        <v>3782</v>
      </c>
      <c r="V11684">
        <v>55</v>
      </c>
    </row>
    <row r="11685" spans="1:22" customFormat="1" ht="15" x14ac:dyDescent="0.25">
      <c r="A11685" t="s">
        <v>313</v>
      </c>
      <c r="E11685" s="1524" t="s">
        <v>846</v>
      </c>
      <c r="F11685" s="1524"/>
      <c r="G11685" s="360" t="s">
        <v>845</v>
      </c>
      <c r="H11685" s="605">
        <v>4.0000000000000002E-4</v>
      </c>
      <c r="K11685" t="s">
        <v>3768</v>
      </c>
      <c r="L11685" t="s">
        <v>968</v>
      </c>
      <c r="P11685" t="s">
        <v>3782</v>
      </c>
      <c r="V11685">
        <v>65</v>
      </c>
    </row>
    <row r="11686" spans="1:22" customFormat="1" ht="15" x14ac:dyDescent="0.25">
      <c r="A11686" t="s">
        <v>313</v>
      </c>
      <c r="E11686" s="1524" t="s">
        <v>847</v>
      </c>
      <c r="F11686" s="1524"/>
      <c r="G11686" s="360" t="s">
        <v>845</v>
      </c>
      <c r="H11686" s="605">
        <v>1.5E-3</v>
      </c>
      <c r="K11686" t="s">
        <v>3768</v>
      </c>
      <c r="L11686" t="s">
        <v>968</v>
      </c>
      <c r="P11686" t="s">
        <v>3783</v>
      </c>
      <c r="V11686">
        <v>57</v>
      </c>
    </row>
    <row r="11687" spans="1:22" customFormat="1" ht="15" x14ac:dyDescent="0.25">
      <c r="A11687" t="s">
        <v>313</v>
      </c>
      <c r="E11687" s="1524" t="s">
        <v>848</v>
      </c>
      <c r="F11687" s="1524"/>
      <c r="G11687" s="360" t="s">
        <v>777</v>
      </c>
      <c r="H11687" s="604">
        <v>0.25</v>
      </c>
      <c r="K11687" t="s">
        <v>3768</v>
      </c>
      <c r="L11687" t="s">
        <v>968</v>
      </c>
      <c r="P11687" t="s">
        <v>3784</v>
      </c>
      <c r="V11687">
        <v>63</v>
      </c>
    </row>
    <row r="11688" spans="1:22" customFormat="1" x14ac:dyDescent="0.25">
      <c r="A11688" t="s">
        <v>313</v>
      </c>
      <c r="E11688" s="1538" t="s">
        <v>194</v>
      </c>
      <c r="F11688" s="1571"/>
      <c r="G11688" s="1571"/>
      <c r="H11688" s="1571"/>
      <c r="K11688" t="s">
        <v>3785</v>
      </c>
      <c r="V11688">
        <v>47</v>
      </c>
    </row>
    <row r="11689" spans="1:22" customFormat="1" ht="15" x14ac:dyDescent="0.25">
      <c r="A11689" t="s">
        <v>313</v>
      </c>
      <c r="E11689" s="1496" t="s">
        <v>5974</v>
      </c>
      <c r="F11689" s="1496"/>
      <c r="G11689" s="1496"/>
      <c r="H11689" s="1496"/>
      <c r="K11689" t="s">
        <v>3785</v>
      </c>
      <c r="V11689">
        <v>621</v>
      </c>
    </row>
    <row r="11690" spans="1:22" customFormat="1" ht="15" x14ac:dyDescent="0.25">
      <c r="A11690" t="s">
        <v>313</v>
      </c>
      <c r="E11690" s="1533" t="s">
        <v>950</v>
      </c>
      <c r="F11690" s="1496"/>
      <c r="G11690" s="1496"/>
      <c r="H11690" s="1496"/>
      <c r="K11690" t="s">
        <v>1010</v>
      </c>
      <c r="V11690">
        <v>11</v>
      </c>
    </row>
    <row r="11691" spans="1:22" customFormat="1" ht="15" x14ac:dyDescent="0.25">
      <c r="A11691" t="s">
        <v>313</v>
      </c>
      <c r="E11691" s="1496" t="s">
        <v>951</v>
      </c>
      <c r="F11691" s="1496"/>
      <c r="G11691" s="1496"/>
      <c r="H11691" s="1496"/>
      <c r="K11691" t="s">
        <v>3785</v>
      </c>
      <c r="V11691">
        <v>280</v>
      </c>
    </row>
    <row r="11692" spans="1:22" customFormat="1" ht="15" x14ac:dyDescent="0.25">
      <c r="A11692" t="s">
        <v>313</v>
      </c>
      <c r="E11692" s="1496" t="s">
        <v>1072</v>
      </c>
      <c r="F11692" s="1496"/>
      <c r="G11692" s="1496"/>
      <c r="H11692" s="1496"/>
      <c r="K11692" t="s">
        <v>3785</v>
      </c>
      <c r="V11692">
        <v>411</v>
      </c>
    </row>
    <row r="11693" spans="1:22" customFormat="1" ht="15" x14ac:dyDescent="0.25">
      <c r="A11693" t="s">
        <v>313</v>
      </c>
      <c r="E11693" s="1496" t="s">
        <v>5972</v>
      </c>
      <c r="F11693" s="1496"/>
      <c r="G11693" s="1496"/>
      <c r="H11693" s="1496"/>
      <c r="K11693" t="s">
        <v>3785</v>
      </c>
      <c r="V11693">
        <v>386</v>
      </c>
    </row>
    <row r="11694" spans="1:22" customFormat="1" ht="15" x14ac:dyDescent="0.25">
      <c r="A11694" t="s">
        <v>313</v>
      </c>
      <c r="E11694" s="1496" t="s">
        <v>1074</v>
      </c>
      <c r="F11694" s="1496"/>
      <c r="G11694" s="1496"/>
      <c r="H11694" s="1496"/>
      <c r="K11694" t="s">
        <v>3785</v>
      </c>
      <c r="V11694">
        <v>238</v>
      </c>
    </row>
    <row r="11695" spans="1:22" customFormat="1" ht="15" x14ac:dyDescent="0.25">
      <c r="A11695" t="s">
        <v>313</v>
      </c>
      <c r="E11695" s="1533" t="s">
        <v>956</v>
      </c>
      <c r="F11695" s="1496"/>
      <c r="G11695" s="1496"/>
      <c r="H11695" s="1496"/>
      <c r="K11695" t="s">
        <v>1011</v>
      </c>
      <c r="V11695">
        <v>46</v>
      </c>
    </row>
    <row r="11696" spans="1:22" customFormat="1" ht="15" x14ac:dyDescent="0.25">
      <c r="A11696" t="s">
        <v>313</v>
      </c>
      <c r="E11696" s="1524" t="s">
        <v>3874</v>
      </c>
      <c r="F11696" s="1524"/>
      <c r="G11696" s="360" t="s">
        <v>777</v>
      </c>
      <c r="H11696" s="576">
        <v>5.57</v>
      </c>
      <c r="K11696" t="s">
        <v>3785</v>
      </c>
      <c r="L11696" t="s">
        <v>690</v>
      </c>
      <c r="P11696" t="s">
        <v>3788</v>
      </c>
      <c r="V11696">
        <v>31</v>
      </c>
    </row>
    <row r="11697" spans="1:22" customFormat="1" ht="15" x14ac:dyDescent="0.25">
      <c r="A11697" t="s">
        <v>313</v>
      </c>
      <c r="E11697" s="1524" t="s">
        <v>3688</v>
      </c>
      <c r="F11697" s="1524"/>
      <c r="G11697" s="360" t="s">
        <v>845</v>
      </c>
      <c r="H11697" s="577">
        <v>1.12E-2</v>
      </c>
      <c r="K11697" t="s">
        <v>3785</v>
      </c>
      <c r="L11697" t="s">
        <v>690</v>
      </c>
      <c r="P11697" t="s">
        <v>3789</v>
      </c>
      <c r="V11697">
        <v>28</v>
      </c>
    </row>
    <row r="11698" spans="1:22" customFormat="1" ht="15" x14ac:dyDescent="0.25">
      <c r="A11698" t="s">
        <v>313</v>
      </c>
      <c r="E11698" s="1524" t="s">
        <v>910</v>
      </c>
      <c r="F11698" s="1524"/>
      <c r="G11698" s="360" t="s">
        <v>845</v>
      </c>
      <c r="H11698" s="605">
        <v>3.5000000000000001E-3</v>
      </c>
      <c r="K11698" t="s">
        <v>3785</v>
      </c>
      <c r="L11698" t="s">
        <v>692</v>
      </c>
      <c r="P11698" t="s">
        <v>3790</v>
      </c>
      <c r="V11698">
        <v>24</v>
      </c>
    </row>
    <row r="11699" spans="1:22" customFormat="1" ht="15" x14ac:dyDescent="0.25">
      <c r="A11699" t="s">
        <v>313</v>
      </c>
      <c r="E11699" s="1524" t="s">
        <v>243</v>
      </c>
      <c r="F11699" s="1524"/>
      <c r="G11699" s="360" t="s">
        <v>845</v>
      </c>
      <c r="H11699" s="577">
        <v>1.0699999999999999E-2</v>
      </c>
      <c r="K11699" t="s">
        <v>3785</v>
      </c>
      <c r="L11699" t="s">
        <v>694</v>
      </c>
      <c r="P11699" t="s">
        <v>3793</v>
      </c>
      <c r="V11699">
        <v>47</v>
      </c>
    </row>
    <row r="11700" spans="1:22" customFormat="1" ht="15" x14ac:dyDescent="0.25">
      <c r="A11700" t="s">
        <v>313</v>
      </c>
      <c r="E11700" s="1524" t="s">
        <v>175</v>
      </c>
      <c r="F11700" s="1524"/>
      <c r="G11700" s="360" t="s">
        <v>845</v>
      </c>
      <c r="H11700" s="577">
        <v>7.0000000000000001E-3</v>
      </c>
      <c r="K11700" t="s">
        <v>3785</v>
      </c>
      <c r="L11700" t="s">
        <v>694</v>
      </c>
      <c r="P11700" t="s">
        <v>3794</v>
      </c>
      <c r="V11700">
        <v>74</v>
      </c>
    </row>
    <row r="11701" spans="1:22" customFormat="1" ht="15" x14ac:dyDescent="0.25">
      <c r="A11701" t="s">
        <v>313</v>
      </c>
      <c r="E11701" s="1533" t="s">
        <v>967</v>
      </c>
      <c r="F11701" s="1524"/>
      <c r="G11701" s="360"/>
      <c r="H11701" s="360"/>
      <c r="K11701" t="s">
        <v>1019</v>
      </c>
      <c r="V11701">
        <v>48</v>
      </c>
    </row>
    <row r="11702" spans="1:22" customFormat="1" ht="15" x14ac:dyDescent="0.25">
      <c r="A11702" t="s">
        <v>313</v>
      </c>
      <c r="E11702" s="1524" t="s">
        <v>844</v>
      </c>
      <c r="F11702" s="1524"/>
      <c r="G11702" s="360" t="s">
        <v>845</v>
      </c>
      <c r="H11702" s="605">
        <v>4.1000000000000003E-3</v>
      </c>
      <c r="K11702" t="s">
        <v>3785</v>
      </c>
      <c r="L11702" t="s">
        <v>968</v>
      </c>
      <c r="P11702" t="s">
        <v>3795</v>
      </c>
      <c r="V11702">
        <v>55</v>
      </c>
    </row>
    <row r="11703" spans="1:22" customFormat="1" ht="15" x14ac:dyDescent="0.25">
      <c r="A11703" t="s">
        <v>313</v>
      </c>
      <c r="E11703" s="1524" t="s">
        <v>846</v>
      </c>
      <c r="F11703" s="1524"/>
      <c r="G11703" s="360" t="s">
        <v>845</v>
      </c>
      <c r="H11703" s="605">
        <v>4.0000000000000002E-4</v>
      </c>
      <c r="K11703" t="s">
        <v>3785</v>
      </c>
      <c r="L11703" t="s">
        <v>968</v>
      </c>
      <c r="P11703" t="s">
        <v>3795</v>
      </c>
      <c r="V11703">
        <v>65</v>
      </c>
    </row>
    <row r="11704" spans="1:22" customFormat="1" ht="15" x14ac:dyDescent="0.25">
      <c r="A11704" t="s">
        <v>313</v>
      </c>
      <c r="E11704" s="1524" t="s">
        <v>847</v>
      </c>
      <c r="F11704" s="1524"/>
      <c r="G11704" s="360" t="s">
        <v>845</v>
      </c>
      <c r="H11704" s="605">
        <v>1.5E-3</v>
      </c>
      <c r="K11704" t="s">
        <v>3785</v>
      </c>
      <c r="L11704" t="s">
        <v>968</v>
      </c>
      <c r="P11704" t="s">
        <v>3796</v>
      </c>
      <c r="V11704">
        <v>57</v>
      </c>
    </row>
    <row r="11705" spans="1:22" customFormat="1" ht="15" x14ac:dyDescent="0.25">
      <c r="A11705" t="s">
        <v>313</v>
      </c>
      <c r="E11705" s="1524" t="s">
        <v>848</v>
      </c>
      <c r="F11705" s="1524"/>
      <c r="G11705" s="360" t="s">
        <v>777</v>
      </c>
      <c r="H11705" s="604">
        <v>0.25</v>
      </c>
      <c r="K11705" t="s">
        <v>3785</v>
      </c>
      <c r="L11705" t="s">
        <v>968</v>
      </c>
      <c r="P11705" t="s">
        <v>3797</v>
      </c>
      <c r="V11705">
        <v>63</v>
      </c>
    </row>
    <row r="11706" spans="1:22" customFormat="1" x14ac:dyDescent="0.25">
      <c r="A11706" t="s">
        <v>313</v>
      </c>
      <c r="E11706" s="1538" t="s">
        <v>202</v>
      </c>
      <c r="F11706" s="1571"/>
      <c r="G11706" s="1571"/>
      <c r="H11706" s="1571"/>
      <c r="K11706" t="s">
        <v>4447</v>
      </c>
      <c r="V11706">
        <v>38</v>
      </c>
    </row>
    <row r="11707" spans="1:22" customFormat="1" ht="15" x14ac:dyDescent="0.25">
      <c r="A11707" t="s">
        <v>313</v>
      </c>
      <c r="E11707" s="1496" t="s">
        <v>5975</v>
      </c>
      <c r="F11707" s="1496"/>
      <c r="G11707" s="1496"/>
      <c r="H11707" s="1496"/>
      <c r="K11707" t="s">
        <v>4447</v>
      </c>
      <c r="V11707">
        <v>552</v>
      </c>
    </row>
    <row r="11708" spans="1:22" customFormat="1" ht="15" x14ac:dyDescent="0.25">
      <c r="A11708" t="s">
        <v>313</v>
      </c>
      <c r="E11708" s="1533" t="s">
        <v>950</v>
      </c>
      <c r="F11708" s="1496"/>
      <c r="G11708" s="1496"/>
      <c r="H11708" s="1496"/>
      <c r="K11708" t="s">
        <v>1025</v>
      </c>
      <c r="V11708">
        <v>11</v>
      </c>
    </row>
    <row r="11709" spans="1:22" customFormat="1" ht="15" x14ac:dyDescent="0.25">
      <c r="A11709" t="s">
        <v>313</v>
      </c>
      <c r="E11709" s="1496" t="s">
        <v>951</v>
      </c>
      <c r="F11709" s="1496"/>
      <c r="G11709" s="1496"/>
      <c r="H11709" s="1496"/>
      <c r="K11709" t="s">
        <v>4447</v>
      </c>
      <c r="V11709">
        <v>280</v>
      </c>
    </row>
    <row r="11710" spans="1:22" customFormat="1" ht="15" x14ac:dyDescent="0.25">
      <c r="A11710" t="s">
        <v>313</v>
      </c>
      <c r="E11710" s="1496" t="s">
        <v>1072</v>
      </c>
      <c r="F11710" s="1496"/>
      <c r="G11710" s="1496"/>
      <c r="H11710" s="1496"/>
      <c r="K11710" t="s">
        <v>4447</v>
      </c>
      <c r="V11710">
        <v>411</v>
      </c>
    </row>
    <row r="11711" spans="1:22" customFormat="1" ht="15" x14ac:dyDescent="0.25">
      <c r="A11711" t="s">
        <v>313</v>
      </c>
      <c r="E11711" s="1496" t="s">
        <v>5972</v>
      </c>
      <c r="F11711" s="1496"/>
      <c r="G11711" s="1496"/>
      <c r="H11711" s="1496"/>
      <c r="K11711" t="s">
        <v>4447</v>
      </c>
      <c r="V11711">
        <v>386</v>
      </c>
    </row>
    <row r="11712" spans="1:22" customFormat="1" ht="15" x14ac:dyDescent="0.25">
      <c r="A11712" t="s">
        <v>313</v>
      </c>
      <c r="E11712" s="1496" t="s">
        <v>1074</v>
      </c>
      <c r="F11712" s="1496"/>
      <c r="G11712" s="1496"/>
      <c r="H11712" s="1496"/>
      <c r="K11712" t="s">
        <v>4447</v>
      </c>
      <c r="V11712">
        <v>238</v>
      </c>
    </row>
    <row r="11713" spans="1:22" customFormat="1" ht="15" x14ac:dyDescent="0.25">
      <c r="A11713" t="s">
        <v>313</v>
      </c>
      <c r="E11713" s="1533" t="s">
        <v>956</v>
      </c>
      <c r="F11713" s="1496"/>
      <c r="G11713" s="1496"/>
      <c r="H11713" s="1496"/>
      <c r="K11713" t="s">
        <v>1026</v>
      </c>
      <c r="V11713">
        <v>46</v>
      </c>
    </row>
    <row r="11714" spans="1:22" customFormat="1" ht="15" x14ac:dyDescent="0.25">
      <c r="A11714" t="s">
        <v>313</v>
      </c>
      <c r="E11714" s="1524" t="s">
        <v>3874</v>
      </c>
      <c r="F11714" s="1524"/>
      <c r="G11714" s="360" t="s">
        <v>777</v>
      </c>
      <c r="H11714" s="576">
        <v>2.06</v>
      </c>
      <c r="K11714" t="s">
        <v>4447</v>
      </c>
      <c r="L11714" t="s">
        <v>690</v>
      </c>
      <c r="P11714" t="s">
        <v>4450</v>
      </c>
      <c r="V11714">
        <v>31</v>
      </c>
    </row>
    <row r="11715" spans="1:22" customFormat="1" ht="15" x14ac:dyDescent="0.25">
      <c r="A11715" t="s">
        <v>313</v>
      </c>
      <c r="E11715" s="1524" t="s">
        <v>3688</v>
      </c>
      <c r="F11715" s="1524"/>
      <c r="G11715" s="360" t="s">
        <v>3775</v>
      </c>
      <c r="H11715" s="577">
        <v>1.2272000000000001</v>
      </c>
      <c r="K11715" t="s">
        <v>4447</v>
      </c>
      <c r="L11715" t="s">
        <v>690</v>
      </c>
      <c r="P11715" t="s">
        <v>4451</v>
      </c>
      <c r="V11715">
        <v>28</v>
      </c>
    </row>
    <row r="11716" spans="1:22" customFormat="1" ht="15" x14ac:dyDescent="0.25">
      <c r="A11716" t="s">
        <v>313</v>
      </c>
      <c r="E11716" s="1524" t="s">
        <v>910</v>
      </c>
      <c r="F11716" s="1524"/>
      <c r="G11716" s="360" t="s">
        <v>3775</v>
      </c>
      <c r="H11716" s="605">
        <v>0.9748</v>
      </c>
      <c r="K11716" t="s">
        <v>4447</v>
      </c>
      <c r="L11716" t="s">
        <v>692</v>
      </c>
      <c r="P11716" t="s">
        <v>4484</v>
      </c>
      <c r="V11716">
        <v>24</v>
      </c>
    </row>
    <row r="11717" spans="1:22" customFormat="1" ht="15" x14ac:dyDescent="0.25">
      <c r="A11717" t="s">
        <v>313</v>
      </c>
      <c r="E11717" s="1524" t="s">
        <v>243</v>
      </c>
      <c r="F11717" s="1524"/>
      <c r="G11717" s="360" t="s">
        <v>3775</v>
      </c>
      <c r="H11717" s="577">
        <v>3.2932000000000001</v>
      </c>
      <c r="K11717" t="s">
        <v>4447</v>
      </c>
      <c r="L11717" t="s">
        <v>694</v>
      </c>
      <c r="P11717" t="s">
        <v>4456</v>
      </c>
      <c r="V11717">
        <v>47</v>
      </c>
    </row>
    <row r="11718" spans="1:22" customFormat="1" ht="15" x14ac:dyDescent="0.25">
      <c r="A11718" t="s">
        <v>313</v>
      </c>
      <c r="E11718" s="1524" t="s">
        <v>175</v>
      </c>
      <c r="F11718" s="1524"/>
      <c r="G11718" s="360" t="s">
        <v>3775</v>
      </c>
      <c r="H11718" s="577">
        <v>2.0994000000000002</v>
      </c>
      <c r="K11718" t="s">
        <v>4447</v>
      </c>
      <c r="L11718" t="s">
        <v>694</v>
      </c>
      <c r="P11718" t="s">
        <v>4485</v>
      </c>
      <c r="V11718">
        <v>74</v>
      </c>
    </row>
    <row r="11719" spans="1:22" customFormat="1" ht="15" x14ac:dyDescent="0.25">
      <c r="A11719" t="s">
        <v>313</v>
      </c>
      <c r="E11719" s="1533" t="s">
        <v>967</v>
      </c>
      <c r="F11719" s="1524"/>
      <c r="G11719" s="360"/>
      <c r="H11719" s="360"/>
      <c r="K11719" t="s">
        <v>1035</v>
      </c>
      <c r="V11719">
        <v>48</v>
      </c>
    </row>
    <row r="11720" spans="1:22" customFormat="1" ht="15" x14ac:dyDescent="0.25">
      <c r="A11720" t="s">
        <v>313</v>
      </c>
      <c r="E11720" s="1524" t="s">
        <v>844</v>
      </c>
      <c r="F11720" s="1524"/>
      <c r="G11720" s="360" t="s">
        <v>845</v>
      </c>
      <c r="H11720" s="605">
        <v>4.1000000000000003E-3</v>
      </c>
      <c r="K11720" t="s">
        <v>4447</v>
      </c>
      <c r="L11720" t="s">
        <v>968</v>
      </c>
      <c r="P11720" t="s">
        <v>4458</v>
      </c>
      <c r="V11720">
        <v>55</v>
      </c>
    </row>
    <row r="11721" spans="1:22" customFormat="1" ht="15" x14ac:dyDescent="0.25">
      <c r="A11721" t="s">
        <v>313</v>
      </c>
      <c r="E11721" s="1524" t="s">
        <v>846</v>
      </c>
      <c r="F11721" s="1524"/>
      <c r="G11721" s="360" t="s">
        <v>845</v>
      </c>
      <c r="H11721" s="605">
        <v>4.0000000000000002E-4</v>
      </c>
      <c r="K11721" t="s">
        <v>4447</v>
      </c>
      <c r="L11721" t="s">
        <v>968</v>
      </c>
      <c r="P11721" t="s">
        <v>4458</v>
      </c>
      <c r="V11721">
        <v>65</v>
      </c>
    </row>
    <row r="11722" spans="1:22" customFormat="1" ht="15" x14ac:dyDescent="0.25">
      <c r="A11722" t="s">
        <v>313</v>
      </c>
      <c r="E11722" s="1524" t="s">
        <v>847</v>
      </c>
      <c r="F11722" s="1524"/>
      <c r="G11722" s="360" t="s">
        <v>845</v>
      </c>
      <c r="H11722" s="605">
        <v>1.5E-3</v>
      </c>
      <c r="K11722" t="s">
        <v>4447</v>
      </c>
      <c r="L11722" t="s">
        <v>968</v>
      </c>
      <c r="P11722" t="s">
        <v>4459</v>
      </c>
      <c r="V11722">
        <v>57</v>
      </c>
    </row>
    <row r="11723" spans="1:22" customFormat="1" ht="15" x14ac:dyDescent="0.25">
      <c r="A11723" t="s">
        <v>313</v>
      </c>
      <c r="E11723" s="1524" t="s">
        <v>848</v>
      </c>
      <c r="F11723" s="1524"/>
      <c r="G11723" s="360" t="s">
        <v>777</v>
      </c>
      <c r="H11723" s="604">
        <v>0.25</v>
      </c>
      <c r="K11723" t="s">
        <v>4447</v>
      </c>
      <c r="L11723" t="s">
        <v>968</v>
      </c>
      <c r="P11723" t="s">
        <v>4460</v>
      </c>
      <c r="V11723">
        <v>63</v>
      </c>
    </row>
    <row r="11724" spans="1:22" customFormat="1" x14ac:dyDescent="0.25">
      <c r="A11724" t="s">
        <v>313</v>
      </c>
      <c r="E11724" s="1538" t="s">
        <v>207</v>
      </c>
      <c r="F11724" s="1571"/>
      <c r="G11724" s="1571"/>
      <c r="H11724" s="1571"/>
      <c r="K11724" t="s">
        <v>4461</v>
      </c>
      <c r="V11724">
        <v>31</v>
      </c>
    </row>
    <row r="11725" spans="1:22" customFormat="1" ht="15" x14ac:dyDescent="0.25">
      <c r="A11725" t="s">
        <v>313</v>
      </c>
      <c r="E11725" s="1496" t="s">
        <v>1070</v>
      </c>
      <c r="F11725" s="1496"/>
      <c r="G11725" s="1496"/>
      <c r="H11725" s="1496"/>
      <c r="K11725" t="s">
        <v>4461</v>
      </c>
      <c r="V11725">
        <v>285</v>
      </c>
    </row>
    <row r="11726" spans="1:22" customFormat="1" ht="15" x14ac:dyDescent="0.25">
      <c r="A11726" t="s">
        <v>313</v>
      </c>
      <c r="E11726" s="1533" t="s">
        <v>950</v>
      </c>
      <c r="F11726" s="1496"/>
      <c r="G11726" s="1496"/>
      <c r="H11726" s="1496"/>
      <c r="K11726" t="s">
        <v>1041</v>
      </c>
      <c r="V11726">
        <v>11</v>
      </c>
    </row>
    <row r="11727" spans="1:22" customFormat="1" ht="15" x14ac:dyDescent="0.25">
      <c r="A11727" t="s">
        <v>313</v>
      </c>
      <c r="E11727" s="1496" t="s">
        <v>951</v>
      </c>
      <c r="F11727" s="1496"/>
      <c r="G11727" s="1496"/>
      <c r="H11727" s="1496"/>
      <c r="K11727" t="s">
        <v>4461</v>
      </c>
      <c r="V11727">
        <v>280</v>
      </c>
    </row>
    <row r="11728" spans="1:22" customFormat="1" ht="15" x14ac:dyDescent="0.25">
      <c r="A11728" t="s">
        <v>313</v>
      </c>
      <c r="E11728" s="1496" t="s">
        <v>1072</v>
      </c>
      <c r="F11728" s="1496"/>
      <c r="G11728" s="1496"/>
      <c r="H11728" s="1496"/>
      <c r="K11728" t="s">
        <v>4461</v>
      </c>
      <c r="V11728">
        <v>411</v>
      </c>
    </row>
    <row r="11729" spans="1:22" customFormat="1" ht="15" x14ac:dyDescent="0.25">
      <c r="A11729" t="s">
        <v>313</v>
      </c>
      <c r="E11729" s="1496" t="s">
        <v>1073</v>
      </c>
      <c r="F11729" s="1496"/>
      <c r="G11729" s="1496"/>
      <c r="H11729" s="1496"/>
      <c r="K11729" t="s">
        <v>4461</v>
      </c>
      <c r="V11729">
        <v>212</v>
      </c>
    </row>
    <row r="11730" spans="1:22" customFormat="1" ht="15" x14ac:dyDescent="0.25">
      <c r="A11730" t="s">
        <v>313</v>
      </c>
      <c r="E11730" s="1496" t="s">
        <v>1074</v>
      </c>
      <c r="F11730" s="1496"/>
      <c r="G11730" s="1496"/>
      <c r="H11730" s="1496"/>
      <c r="K11730" t="s">
        <v>4461</v>
      </c>
      <c r="V11730">
        <v>238</v>
      </c>
    </row>
    <row r="11731" spans="1:22" customFormat="1" ht="15" x14ac:dyDescent="0.25">
      <c r="A11731" t="s">
        <v>313</v>
      </c>
      <c r="E11731" s="1533" t="s">
        <v>956</v>
      </c>
      <c r="F11731" s="1496"/>
      <c r="G11731" s="1496"/>
      <c r="H11731" s="1496"/>
      <c r="K11731" t="s">
        <v>1042</v>
      </c>
      <c r="V11731">
        <v>46</v>
      </c>
    </row>
    <row r="11732" spans="1:22" customFormat="1" ht="15" x14ac:dyDescent="0.25">
      <c r="A11732" t="s">
        <v>313</v>
      </c>
      <c r="E11732" s="1524" t="s">
        <v>3773</v>
      </c>
      <c r="F11732" s="1524"/>
      <c r="G11732" s="360" t="s">
        <v>777</v>
      </c>
      <c r="H11732" s="576">
        <v>10</v>
      </c>
      <c r="K11732" t="s">
        <v>4461</v>
      </c>
      <c r="L11732" t="s">
        <v>690</v>
      </c>
      <c r="P11732" t="s">
        <v>4462</v>
      </c>
      <c r="V11732">
        <v>14</v>
      </c>
    </row>
    <row r="11733" spans="1:22" customFormat="1" ht="18.75" x14ac:dyDescent="0.3">
      <c r="A11733" t="s">
        <v>313</v>
      </c>
      <c r="E11733" s="1538" t="s">
        <v>3825</v>
      </c>
      <c r="F11733" s="1592"/>
      <c r="G11733" s="639"/>
      <c r="H11733" s="639"/>
      <c r="K11733" t="s">
        <v>5976</v>
      </c>
      <c r="V11733">
        <v>10</v>
      </c>
    </row>
    <row r="11734" spans="1:22" customFormat="1" ht="15" x14ac:dyDescent="0.25">
      <c r="A11734" t="s">
        <v>313</v>
      </c>
      <c r="E11734" s="1524" t="s">
        <v>1078</v>
      </c>
      <c r="F11734" s="1524"/>
      <c r="G11734" s="360" t="s">
        <v>3775</v>
      </c>
      <c r="H11734" s="608">
        <v>-0.6</v>
      </c>
      <c r="V11734">
        <v>68</v>
      </c>
    </row>
    <row r="11735" spans="1:22" customFormat="1" ht="15" x14ac:dyDescent="0.25">
      <c r="A11735" t="s">
        <v>313</v>
      </c>
      <c r="E11735" s="1524" t="s">
        <v>1079</v>
      </c>
      <c r="F11735" s="1524"/>
      <c r="G11735" s="360" t="s">
        <v>1118</v>
      </c>
      <c r="H11735" s="663">
        <v>-1</v>
      </c>
      <c r="V11735">
        <v>87</v>
      </c>
    </row>
    <row r="11736" spans="1:22" customFormat="1" ht="18.75" x14ac:dyDescent="0.3">
      <c r="A11736" t="s">
        <v>313</v>
      </c>
      <c r="E11736" s="1538" t="s">
        <v>3828</v>
      </c>
      <c r="F11736" s="1592"/>
      <c r="G11736" s="639"/>
      <c r="H11736" s="639"/>
      <c r="K11736" t="s">
        <v>5977</v>
      </c>
      <c r="V11736">
        <v>24</v>
      </c>
    </row>
    <row r="11737" spans="1:22" customFormat="1" ht="15" x14ac:dyDescent="0.25">
      <c r="A11737" t="s">
        <v>313</v>
      </c>
      <c r="E11737" s="1496" t="s">
        <v>951</v>
      </c>
      <c r="F11737" s="1496"/>
      <c r="G11737" s="1496"/>
      <c r="H11737" s="1496"/>
      <c r="V11737">
        <v>280</v>
      </c>
    </row>
    <row r="11738" spans="1:22" customFormat="1" ht="15" x14ac:dyDescent="0.25">
      <c r="A11738" t="s">
        <v>313</v>
      </c>
      <c r="E11738" s="1496" t="s">
        <v>5017</v>
      </c>
      <c r="F11738" s="1496"/>
      <c r="G11738" s="1496"/>
      <c r="H11738" s="1496"/>
      <c r="V11738">
        <v>355</v>
      </c>
    </row>
    <row r="11739" spans="1:22" customFormat="1" ht="15" x14ac:dyDescent="0.25">
      <c r="A11739" t="s">
        <v>313</v>
      </c>
      <c r="E11739" s="1496" t="s">
        <v>1074</v>
      </c>
      <c r="F11739" s="1496"/>
      <c r="G11739" s="1496"/>
      <c r="H11739" s="1496"/>
      <c r="V11739">
        <v>238</v>
      </c>
    </row>
    <row r="11740" spans="1:22" customFormat="1" ht="15" x14ac:dyDescent="0.25">
      <c r="A11740" t="s">
        <v>313</v>
      </c>
      <c r="E11740" s="1533" t="s">
        <v>3830</v>
      </c>
      <c r="F11740" s="1593"/>
      <c r="G11740" s="276"/>
      <c r="H11740" s="276"/>
      <c r="K11740" t="s">
        <v>5978</v>
      </c>
      <c r="V11740">
        <v>23</v>
      </c>
    </row>
    <row r="11741" spans="1:22" customFormat="1" ht="15" x14ac:dyDescent="0.25">
      <c r="A11741" t="s">
        <v>313</v>
      </c>
      <c r="E11741" s="1525" t="s">
        <v>5338</v>
      </c>
      <c r="F11741" s="1525"/>
      <c r="G11741" s="360" t="s">
        <v>777</v>
      </c>
      <c r="H11741" s="604">
        <v>15</v>
      </c>
      <c r="V11741">
        <v>27</v>
      </c>
    </row>
    <row r="11742" spans="1:22" customFormat="1" ht="15" x14ac:dyDescent="0.25">
      <c r="A11742" t="s">
        <v>313</v>
      </c>
      <c r="E11742" s="1525" t="s">
        <v>5339</v>
      </c>
      <c r="F11742" s="1525"/>
      <c r="G11742" s="360" t="s">
        <v>777</v>
      </c>
      <c r="H11742" s="604">
        <v>15</v>
      </c>
      <c r="V11742">
        <v>28</v>
      </c>
    </row>
    <row r="11743" spans="1:22" customFormat="1" ht="15" x14ac:dyDescent="0.25">
      <c r="A11743" t="s">
        <v>313</v>
      </c>
      <c r="E11743" s="1525" t="s">
        <v>5341</v>
      </c>
      <c r="F11743" s="1525"/>
      <c r="G11743" s="360" t="s">
        <v>777</v>
      </c>
      <c r="H11743" s="604">
        <v>15</v>
      </c>
      <c r="V11743">
        <v>45</v>
      </c>
    </row>
    <row r="11744" spans="1:22" customFormat="1" ht="15" x14ac:dyDescent="0.25">
      <c r="A11744" t="s">
        <v>313</v>
      </c>
      <c r="E11744" s="1525" t="s">
        <v>5219</v>
      </c>
      <c r="F11744" s="1525"/>
      <c r="G11744" s="360" t="s">
        <v>777</v>
      </c>
      <c r="H11744" s="604">
        <v>15</v>
      </c>
      <c r="V11744">
        <v>23</v>
      </c>
    </row>
    <row r="11745" spans="1:22" customFormat="1" ht="15" x14ac:dyDescent="0.25">
      <c r="A11745" t="s">
        <v>313</v>
      </c>
      <c r="E11745" s="1525" t="s">
        <v>5342</v>
      </c>
      <c r="F11745" s="1525"/>
      <c r="G11745" s="360" t="s">
        <v>777</v>
      </c>
      <c r="H11745" s="604">
        <v>15</v>
      </c>
      <c r="V11745">
        <v>25</v>
      </c>
    </row>
    <row r="11746" spans="1:22" customFormat="1" ht="15" x14ac:dyDescent="0.25">
      <c r="A11746" t="s">
        <v>313</v>
      </c>
      <c r="E11746" s="1525" t="s">
        <v>5343</v>
      </c>
      <c r="F11746" s="1525"/>
      <c r="G11746" s="360" t="s">
        <v>777</v>
      </c>
      <c r="H11746" s="604">
        <v>15</v>
      </c>
      <c r="V11746">
        <v>23</v>
      </c>
    </row>
    <row r="11747" spans="1:22" customFormat="1" ht="15" x14ac:dyDescent="0.25">
      <c r="A11747" t="s">
        <v>313</v>
      </c>
      <c r="E11747" s="1525" t="s">
        <v>5220</v>
      </c>
      <c r="F11747" s="1525"/>
      <c r="G11747" s="360" t="s">
        <v>777</v>
      </c>
      <c r="H11747" s="604">
        <v>15</v>
      </c>
      <c r="V11747">
        <v>64</v>
      </c>
    </row>
    <row r="11748" spans="1:22" customFormat="1" ht="15" x14ac:dyDescent="0.25">
      <c r="A11748" t="s">
        <v>313</v>
      </c>
      <c r="E11748" s="1525" t="s">
        <v>5221</v>
      </c>
      <c r="F11748" s="1525"/>
      <c r="G11748" s="360" t="s">
        <v>777</v>
      </c>
      <c r="H11748" s="604">
        <v>15</v>
      </c>
      <c r="V11748">
        <v>43</v>
      </c>
    </row>
    <row r="11749" spans="1:22" customFormat="1" ht="15" x14ac:dyDescent="0.25">
      <c r="A11749" t="s">
        <v>313</v>
      </c>
      <c r="E11749" s="1525" t="s">
        <v>5344</v>
      </c>
      <c r="F11749" s="1525"/>
      <c r="G11749" s="360" t="s">
        <v>777</v>
      </c>
      <c r="H11749" s="604">
        <v>15</v>
      </c>
      <c r="V11749">
        <v>27</v>
      </c>
    </row>
    <row r="11750" spans="1:22" customFormat="1" ht="15" x14ac:dyDescent="0.25">
      <c r="A11750" t="s">
        <v>313</v>
      </c>
      <c r="E11750" s="1525" t="s">
        <v>5222</v>
      </c>
      <c r="F11750" s="1525"/>
      <c r="G11750" s="360" t="s">
        <v>777</v>
      </c>
      <c r="H11750" s="604">
        <v>30</v>
      </c>
      <c r="V11750">
        <v>97</v>
      </c>
    </row>
    <row r="11751" spans="1:22" customFormat="1" ht="15" x14ac:dyDescent="0.25">
      <c r="A11751" t="s">
        <v>313</v>
      </c>
      <c r="E11751" s="1525" t="s">
        <v>5345</v>
      </c>
      <c r="F11751" s="1525"/>
      <c r="G11751" s="360" t="s">
        <v>777</v>
      </c>
      <c r="H11751" s="604">
        <v>30</v>
      </c>
      <c r="V11751">
        <v>27</v>
      </c>
    </row>
    <row r="11752" spans="1:22" customFormat="1" ht="15" x14ac:dyDescent="0.25">
      <c r="A11752" t="s">
        <v>313</v>
      </c>
      <c r="E11752" s="1525" t="s">
        <v>5223</v>
      </c>
      <c r="F11752" s="1525"/>
      <c r="G11752" s="360" t="s">
        <v>777</v>
      </c>
      <c r="H11752" s="604">
        <v>30</v>
      </c>
      <c r="V11752">
        <v>82</v>
      </c>
    </row>
    <row r="11753" spans="1:22" customFormat="1" ht="15" x14ac:dyDescent="0.25">
      <c r="A11753" t="s">
        <v>313</v>
      </c>
      <c r="E11753" s="1533" t="s">
        <v>4062</v>
      </c>
      <c r="F11753" s="1593"/>
      <c r="G11753" s="276"/>
      <c r="H11753" s="276"/>
      <c r="K11753" t="s">
        <v>5979</v>
      </c>
      <c r="V11753">
        <v>22</v>
      </c>
    </row>
    <row r="11754" spans="1:22" customFormat="1" ht="15" x14ac:dyDescent="0.25">
      <c r="A11754" t="s">
        <v>313</v>
      </c>
      <c r="E11754" s="1525" t="s">
        <v>5154</v>
      </c>
      <c r="F11754" s="1525"/>
      <c r="G11754" s="360" t="s">
        <v>1118</v>
      </c>
      <c r="H11754" s="604">
        <v>1.5</v>
      </c>
      <c r="V11754">
        <v>115</v>
      </c>
    </row>
    <row r="11755" spans="1:22" customFormat="1" ht="15" x14ac:dyDescent="0.25">
      <c r="A11755" t="s">
        <v>313</v>
      </c>
      <c r="E11755" s="1525" t="s">
        <v>5155</v>
      </c>
      <c r="F11755" s="1525"/>
      <c r="G11755" s="360" t="s">
        <v>777</v>
      </c>
      <c r="H11755" s="604">
        <v>65</v>
      </c>
      <c r="V11755">
        <v>52</v>
      </c>
    </row>
    <row r="11756" spans="1:22" customFormat="1" ht="15" x14ac:dyDescent="0.25">
      <c r="A11756" t="s">
        <v>313</v>
      </c>
      <c r="E11756" s="1525" t="s">
        <v>5156</v>
      </c>
      <c r="F11756" s="1525"/>
      <c r="G11756" s="360" t="s">
        <v>777</v>
      </c>
      <c r="H11756" s="604">
        <v>185</v>
      </c>
      <c r="V11756">
        <v>51</v>
      </c>
    </row>
    <row r="11757" spans="1:22" customFormat="1" ht="15" x14ac:dyDescent="0.25">
      <c r="A11757" t="s">
        <v>313</v>
      </c>
      <c r="E11757" s="1525" t="s">
        <v>5157</v>
      </c>
      <c r="F11757" s="1525"/>
      <c r="G11757" s="360" t="s">
        <v>777</v>
      </c>
      <c r="H11757" s="604">
        <v>185</v>
      </c>
      <c r="V11757">
        <v>51</v>
      </c>
    </row>
    <row r="11758" spans="1:22" customFormat="1" ht="15" x14ac:dyDescent="0.25">
      <c r="A11758" t="s">
        <v>313</v>
      </c>
      <c r="E11758" s="1525" t="s">
        <v>5158</v>
      </c>
      <c r="F11758" s="1525"/>
      <c r="G11758" s="360" t="s">
        <v>777</v>
      </c>
      <c r="H11758" s="604">
        <v>415</v>
      </c>
      <c r="V11758">
        <v>50</v>
      </c>
    </row>
    <row r="11759" spans="1:22" customFormat="1" ht="15" x14ac:dyDescent="0.25">
      <c r="A11759" t="s">
        <v>313</v>
      </c>
      <c r="E11759" s="1533" t="s">
        <v>3846</v>
      </c>
      <c r="F11759" s="1593"/>
      <c r="G11759" s="276"/>
      <c r="H11759" s="276"/>
      <c r="V11759">
        <v>5</v>
      </c>
    </row>
    <row r="11760" spans="1:22" customFormat="1" ht="15" x14ac:dyDescent="0.25">
      <c r="A11760" t="s">
        <v>313</v>
      </c>
      <c r="E11760" s="1525" t="s">
        <v>5159</v>
      </c>
      <c r="F11760" s="1525"/>
      <c r="G11760" s="360" t="s">
        <v>777</v>
      </c>
      <c r="H11760" s="604">
        <v>30</v>
      </c>
      <c r="V11760">
        <v>47</v>
      </c>
    </row>
    <row r="11761" spans="1:22" customFormat="1" ht="15" x14ac:dyDescent="0.25">
      <c r="A11761" t="s">
        <v>313</v>
      </c>
      <c r="E11761" s="1525" t="s">
        <v>5160</v>
      </c>
      <c r="F11761" s="1525"/>
      <c r="G11761" s="360" t="s">
        <v>777</v>
      </c>
      <c r="H11761" s="604">
        <v>165</v>
      </c>
      <c r="V11761">
        <v>42</v>
      </c>
    </row>
    <row r="11762" spans="1:22" customFormat="1" ht="15" x14ac:dyDescent="0.25">
      <c r="A11762" t="s">
        <v>313</v>
      </c>
      <c r="E11762" s="1525" t="s">
        <v>5980</v>
      </c>
      <c r="F11762" s="1525"/>
      <c r="G11762" s="360" t="s">
        <v>777</v>
      </c>
      <c r="H11762" s="604">
        <v>39.14</v>
      </c>
      <c r="V11762">
        <v>121</v>
      </c>
    </row>
    <row r="11763" spans="1:22" customFormat="1" ht="18.75" x14ac:dyDescent="0.3">
      <c r="A11763" t="s">
        <v>313</v>
      </c>
      <c r="E11763" s="1538" t="s">
        <v>3851</v>
      </c>
      <c r="F11763" s="1592"/>
      <c r="G11763" s="639"/>
      <c r="H11763" s="639"/>
      <c r="K11763" t="s">
        <v>5981</v>
      </c>
      <c r="V11763">
        <v>38</v>
      </c>
    </row>
    <row r="11764" spans="1:22" customFormat="1" ht="15" x14ac:dyDescent="0.25">
      <c r="A11764" t="s">
        <v>313</v>
      </c>
      <c r="E11764" s="1496" t="s">
        <v>5026</v>
      </c>
      <c r="F11764" s="1496"/>
      <c r="G11764" s="1496"/>
      <c r="H11764" s="1496"/>
      <c r="V11764">
        <v>281</v>
      </c>
    </row>
    <row r="11765" spans="1:22" customFormat="1" ht="15" x14ac:dyDescent="0.25">
      <c r="A11765" t="s">
        <v>313</v>
      </c>
      <c r="E11765" s="1496" t="s">
        <v>5027</v>
      </c>
      <c r="F11765" s="1496"/>
      <c r="G11765" s="1496"/>
      <c r="H11765" s="1496"/>
      <c r="V11765">
        <v>414</v>
      </c>
    </row>
    <row r="11766" spans="1:22" customFormat="1" ht="15" x14ac:dyDescent="0.25">
      <c r="A11766" t="s">
        <v>313</v>
      </c>
      <c r="E11766" s="1496" t="s">
        <v>1103</v>
      </c>
      <c r="F11766" s="1496"/>
      <c r="G11766" s="1496"/>
      <c r="H11766" s="1496"/>
      <c r="V11766">
        <v>211</v>
      </c>
    </row>
    <row r="11767" spans="1:22" customFormat="1" ht="15" x14ac:dyDescent="0.25">
      <c r="A11767" t="s">
        <v>313</v>
      </c>
      <c r="E11767" s="1496" t="s">
        <v>1074</v>
      </c>
      <c r="F11767" s="1496"/>
      <c r="G11767" s="1496"/>
      <c r="H11767" s="1496"/>
      <c r="V11767">
        <v>238</v>
      </c>
    </row>
    <row r="11768" spans="1:22" customFormat="1" ht="15" x14ac:dyDescent="0.25">
      <c r="A11768" t="s">
        <v>313</v>
      </c>
      <c r="E11768" s="1496" t="s">
        <v>1104</v>
      </c>
      <c r="F11768" s="1496"/>
      <c r="G11768" s="1496"/>
      <c r="H11768" s="1496"/>
      <c r="V11768">
        <v>142</v>
      </c>
    </row>
    <row r="11769" spans="1:22" customFormat="1" ht="15" x14ac:dyDescent="0.25">
      <c r="A11769" t="s">
        <v>313</v>
      </c>
      <c r="E11769" s="1524" t="s">
        <v>849</v>
      </c>
      <c r="F11769" s="1524"/>
      <c r="G11769" s="643" t="s">
        <v>777</v>
      </c>
      <c r="H11769" s="642">
        <v>121.23</v>
      </c>
      <c r="V11769">
        <v>106</v>
      </c>
    </row>
    <row r="11770" spans="1:22" customFormat="1" ht="15" x14ac:dyDescent="0.25">
      <c r="A11770" t="s">
        <v>313</v>
      </c>
      <c r="E11770" s="1524" t="s">
        <v>850</v>
      </c>
      <c r="F11770" s="1524"/>
      <c r="G11770" s="643" t="s">
        <v>777</v>
      </c>
      <c r="H11770" s="642">
        <v>48.5</v>
      </c>
      <c r="V11770">
        <v>34</v>
      </c>
    </row>
    <row r="11771" spans="1:22" customFormat="1" ht="15" x14ac:dyDescent="0.25">
      <c r="A11771" t="s">
        <v>313</v>
      </c>
      <c r="E11771" s="1524" t="s">
        <v>851</v>
      </c>
      <c r="F11771" s="1524"/>
      <c r="G11771" s="643" t="s">
        <v>852</v>
      </c>
      <c r="H11771" s="642">
        <v>1.2</v>
      </c>
      <c r="V11771">
        <v>51</v>
      </c>
    </row>
    <row r="11772" spans="1:22" customFormat="1" ht="15" x14ac:dyDescent="0.25">
      <c r="A11772" t="s">
        <v>313</v>
      </c>
      <c r="E11772" s="1524" t="s">
        <v>853</v>
      </c>
      <c r="F11772" s="1524"/>
      <c r="G11772" s="643" t="s">
        <v>852</v>
      </c>
      <c r="H11772" s="642">
        <v>0.71</v>
      </c>
      <c r="V11772">
        <v>75</v>
      </c>
    </row>
    <row r="11773" spans="1:22" customFormat="1" ht="15" x14ac:dyDescent="0.25">
      <c r="A11773" t="s">
        <v>313</v>
      </c>
      <c r="E11773" s="1524" t="s">
        <v>854</v>
      </c>
      <c r="F11773" s="1524"/>
      <c r="G11773" s="643" t="s">
        <v>852</v>
      </c>
      <c r="H11773" s="642">
        <v>-0.71</v>
      </c>
      <c r="V11773">
        <v>72</v>
      </c>
    </row>
    <row r="11774" spans="1:22" customFormat="1" ht="15" x14ac:dyDescent="0.25">
      <c r="A11774" t="s">
        <v>313</v>
      </c>
      <c r="E11774" s="1524" t="s">
        <v>7004</v>
      </c>
      <c r="F11774" s="1524"/>
      <c r="G11774" s="643"/>
      <c r="H11774" s="644"/>
      <c r="V11774">
        <v>55</v>
      </c>
    </row>
    <row r="11775" spans="1:22" customFormat="1" ht="15" x14ac:dyDescent="0.25">
      <c r="A11775" t="s">
        <v>313</v>
      </c>
      <c r="E11775" s="1557" t="s">
        <v>5982</v>
      </c>
      <c r="F11775" s="1557"/>
      <c r="G11775" s="643" t="s">
        <v>777</v>
      </c>
      <c r="H11775" s="642">
        <v>0.61</v>
      </c>
      <c r="V11775">
        <v>61</v>
      </c>
    </row>
    <row r="11776" spans="1:22" customFormat="1" ht="15" x14ac:dyDescent="0.25">
      <c r="A11776" t="s">
        <v>313</v>
      </c>
      <c r="E11776" s="1557" t="s">
        <v>5983</v>
      </c>
      <c r="F11776" s="1557"/>
      <c r="G11776" s="643" t="s">
        <v>777</v>
      </c>
      <c r="H11776" s="642">
        <v>1.2</v>
      </c>
      <c r="V11776">
        <v>64</v>
      </c>
    </row>
    <row r="11777" spans="1:22" customFormat="1" ht="15" x14ac:dyDescent="0.25">
      <c r="A11777" t="s">
        <v>313</v>
      </c>
      <c r="E11777" s="1524" t="s">
        <v>5984</v>
      </c>
      <c r="F11777" s="1524"/>
      <c r="G11777" s="643"/>
      <c r="H11777" s="644"/>
      <c r="V11777">
        <v>267</v>
      </c>
    </row>
    <row r="11778" spans="1:22" customFormat="1" ht="15" x14ac:dyDescent="0.25">
      <c r="A11778" t="s">
        <v>313</v>
      </c>
      <c r="E11778" s="1557" t="s">
        <v>5965</v>
      </c>
      <c r="F11778" s="1557"/>
      <c r="G11778" s="643" t="s">
        <v>777</v>
      </c>
      <c r="H11778" s="644" t="s">
        <v>857</v>
      </c>
      <c r="V11778">
        <v>23</v>
      </c>
    </row>
    <row r="11779" spans="1:22" customFormat="1" ht="15" x14ac:dyDescent="0.25">
      <c r="A11779" t="s">
        <v>313</v>
      </c>
      <c r="E11779" s="1557" t="s">
        <v>5966</v>
      </c>
      <c r="F11779" s="1557"/>
      <c r="G11779" s="643" t="s">
        <v>777</v>
      </c>
      <c r="H11779" s="642">
        <v>4.8499999999999996</v>
      </c>
      <c r="V11779">
        <v>74</v>
      </c>
    </row>
    <row r="11780" spans="1:22" customFormat="1" ht="15" x14ac:dyDescent="0.25">
      <c r="A11780" t="s">
        <v>313</v>
      </c>
      <c r="E11780" s="1524" t="s">
        <v>858</v>
      </c>
      <c r="F11780" s="1524"/>
      <c r="G11780" s="643" t="s">
        <v>777</v>
      </c>
      <c r="H11780" s="642">
        <v>2.42</v>
      </c>
      <c r="V11780">
        <v>199</v>
      </c>
    </row>
    <row r="11781" spans="1:22" customFormat="1" ht="18.75" x14ac:dyDescent="0.25">
      <c r="A11781" t="s">
        <v>313</v>
      </c>
      <c r="E11781" s="1552" t="s">
        <v>3853</v>
      </c>
      <c r="F11781" s="1524"/>
      <c r="G11781" s="660"/>
      <c r="H11781" s="660"/>
      <c r="K11781" t="s">
        <v>5985</v>
      </c>
      <c r="V11781">
        <v>12</v>
      </c>
    </row>
    <row r="11782" spans="1:22" customFormat="1" ht="15" x14ac:dyDescent="0.25">
      <c r="A11782" t="s">
        <v>313</v>
      </c>
      <c r="E11782" s="1524" t="s">
        <v>1114</v>
      </c>
      <c r="F11782" s="1524"/>
      <c r="G11782" s="1524"/>
      <c r="H11782" s="1524"/>
      <c r="V11782">
        <v>203</v>
      </c>
    </row>
    <row r="11783" spans="1:22" customFormat="1" ht="15" x14ac:dyDescent="0.25">
      <c r="A11783" t="s">
        <v>313</v>
      </c>
      <c r="E11783" s="1524" t="s">
        <v>1115</v>
      </c>
      <c r="F11783" s="1524"/>
      <c r="G11783" s="360"/>
      <c r="H11783" s="616">
        <v>1.0798000000000001</v>
      </c>
      <c r="V11783">
        <v>57</v>
      </c>
    </row>
    <row r="11784" spans="1:22" customFormat="1" ht="15" x14ac:dyDescent="0.25">
      <c r="A11784" t="s">
        <v>313</v>
      </c>
      <c r="E11784" s="1524" t="s">
        <v>1117</v>
      </c>
      <c r="F11784" s="1524"/>
      <c r="G11784" s="360"/>
      <c r="H11784" s="616">
        <v>1.069</v>
      </c>
      <c r="J11784" t="s">
        <v>5986</v>
      </c>
      <c r="V11784">
        <v>55</v>
      </c>
    </row>
    <row r="11785" spans="1:22" customFormat="1" ht="23.25" x14ac:dyDescent="0.25">
      <c r="A11785" t="s">
        <v>315</v>
      </c>
      <c r="C11785" t="s">
        <v>3755</v>
      </c>
      <c r="E11785" s="1576" t="s">
        <v>315</v>
      </c>
      <c r="F11785" s="1576"/>
      <c r="G11785" s="1576"/>
      <c r="H11785" s="1576"/>
      <c r="I11785" t="s">
        <v>94</v>
      </c>
      <c r="J11785" t="s">
        <v>5753</v>
      </c>
      <c r="K11785" t="s">
        <v>315</v>
      </c>
      <c r="M11785">
        <v>7</v>
      </c>
      <c r="V11785">
        <v>35</v>
      </c>
    </row>
    <row r="11786" spans="1:22" customFormat="1" x14ac:dyDescent="0.25">
      <c r="A11786" t="s">
        <v>315</v>
      </c>
      <c r="C11786" t="s">
        <v>3757</v>
      </c>
      <c r="E11786" s="1577" t="s">
        <v>944</v>
      </c>
      <c r="F11786" s="1577"/>
      <c r="G11786" s="1577"/>
      <c r="H11786" s="1577"/>
      <c r="V11786">
        <v>27</v>
      </c>
    </row>
    <row r="11787" spans="1:22" customFormat="1" ht="15.75" x14ac:dyDescent="0.25">
      <c r="A11787" t="s">
        <v>315</v>
      </c>
      <c r="C11787" t="s">
        <v>3758</v>
      </c>
      <c r="E11787" s="1585" t="s">
        <v>6847</v>
      </c>
      <c r="F11787" s="1585"/>
      <c r="G11787" s="1585"/>
      <c r="H11787" s="1585"/>
      <c r="S11787">
        <v>45778</v>
      </c>
      <c r="V11787">
        <v>45</v>
      </c>
    </row>
    <row r="11788" spans="1:22" customFormat="1" ht="15" x14ac:dyDescent="0.25">
      <c r="A11788" t="s">
        <v>315</v>
      </c>
      <c r="C11788" t="s">
        <v>3759</v>
      </c>
      <c r="E11788" s="1575" t="s">
        <v>945</v>
      </c>
      <c r="F11788" s="1575"/>
      <c r="G11788" s="1575"/>
      <c r="H11788" s="1575"/>
      <c r="V11788">
        <v>52</v>
      </c>
    </row>
    <row r="11789" spans="1:22" customFormat="1" ht="15" x14ac:dyDescent="0.25">
      <c r="A11789" t="s">
        <v>315</v>
      </c>
      <c r="E11789" s="1575" t="s">
        <v>946</v>
      </c>
      <c r="F11789" s="1575"/>
      <c r="G11789" s="1575"/>
      <c r="H11789" s="1575"/>
      <c r="V11789">
        <v>53</v>
      </c>
    </row>
    <row r="11790" spans="1:22" customFormat="1" ht="15" x14ac:dyDescent="0.25">
      <c r="A11790" t="s">
        <v>315</v>
      </c>
      <c r="E11790" s="1534" t="s">
        <v>7005</v>
      </c>
      <c r="F11790" s="1534"/>
      <c r="G11790" s="1534"/>
      <c r="H11790" s="1534"/>
      <c r="K11790" t="s">
        <v>7005</v>
      </c>
      <c r="V11790">
        <v>12</v>
      </c>
    </row>
    <row r="11791" spans="1:22" customFormat="1" ht="15" x14ac:dyDescent="0.25">
      <c r="A11791" t="s">
        <v>315</v>
      </c>
      <c r="E11791" s="1538" t="s">
        <v>170</v>
      </c>
      <c r="F11791" s="1496"/>
      <c r="G11791" s="1496"/>
      <c r="H11791" s="1496"/>
      <c r="K11791" t="s">
        <v>947</v>
      </c>
      <c r="V11791">
        <v>34</v>
      </c>
    </row>
    <row r="11792" spans="1:22" customFormat="1" ht="15" x14ac:dyDescent="0.25">
      <c r="A11792" t="s">
        <v>315</v>
      </c>
      <c r="E11792" s="1496" t="s">
        <v>5754</v>
      </c>
      <c r="F11792" s="1496"/>
      <c r="G11792" s="1496"/>
      <c r="H11792" s="1496"/>
      <c r="K11792" t="s">
        <v>947</v>
      </c>
      <c r="V11792">
        <v>319</v>
      </c>
    </row>
    <row r="11793" spans="1:22" customFormat="1" ht="15" x14ac:dyDescent="0.25">
      <c r="A11793" t="s">
        <v>315</v>
      </c>
      <c r="E11793" s="1533" t="s">
        <v>950</v>
      </c>
      <c r="F11793" s="1537"/>
      <c r="G11793" s="1537"/>
      <c r="H11793" s="1537"/>
      <c r="K11793" t="s">
        <v>949</v>
      </c>
      <c r="V11793">
        <v>11</v>
      </c>
    </row>
    <row r="11794" spans="1:22" customFormat="1" ht="15" x14ac:dyDescent="0.25">
      <c r="A11794" t="s">
        <v>315</v>
      </c>
      <c r="E11794" s="1496" t="s">
        <v>951</v>
      </c>
      <c r="F11794" s="1496"/>
      <c r="G11794" s="1496"/>
      <c r="H11794" s="1496"/>
      <c r="K11794" t="s">
        <v>947</v>
      </c>
      <c r="V11794">
        <v>280</v>
      </c>
    </row>
    <row r="11795" spans="1:22" customFormat="1" ht="15" x14ac:dyDescent="0.25">
      <c r="A11795" t="s">
        <v>315</v>
      </c>
      <c r="E11795" s="1496" t="s">
        <v>952</v>
      </c>
      <c r="F11795" s="1496"/>
      <c r="G11795" s="1496"/>
      <c r="H11795" s="1496"/>
      <c r="K11795" t="s">
        <v>947</v>
      </c>
      <c r="V11795">
        <v>411</v>
      </c>
    </row>
    <row r="11796" spans="1:22" customFormat="1" ht="15" x14ac:dyDescent="0.25">
      <c r="A11796" t="s">
        <v>315</v>
      </c>
      <c r="E11796" s="1496" t="s">
        <v>3761</v>
      </c>
      <c r="F11796" s="1496"/>
      <c r="G11796" s="1496"/>
      <c r="H11796" s="1496"/>
      <c r="K11796" t="s">
        <v>947</v>
      </c>
      <c r="V11796">
        <v>387</v>
      </c>
    </row>
    <row r="11797" spans="1:22" customFormat="1" ht="15" x14ac:dyDescent="0.25">
      <c r="A11797" t="s">
        <v>315</v>
      </c>
      <c r="E11797" s="1496" t="s">
        <v>3762</v>
      </c>
      <c r="F11797" s="1496"/>
      <c r="G11797" s="1496"/>
      <c r="H11797" s="1496"/>
      <c r="K11797" t="s">
        <v>947</v>
      </c>
      <c r="V11797">
        <v>247</v>
      </c>
    </row>
    <row r="11798" spans="1:22" customFormat="1" ht="15" x14ac:dyDescent="0.25">
      <c r="A11798" t="s">
        <v>315</v>
      </c>
      <c r="E11798" s="1488" t="s">
        <v>956</v>
      </c>
      <c r="F11798" s="1590"/>
      <c r="G11798" s="1590"/>
      <c r="H11798" s="1590"/>
      <c r="K11798" t="s">
        <v>955</v>
      </c>
      <c r="V11798">
        <v>46</v>
      </c>
    </row>
    <row r="11799" spans="1:22" customFormat="1" ht="15" x14ac:dyDescent="0.25">
      <c r="A11799" t="s">
        <v>315</v>
      </c>
      <c r="E11799" s="1495" t="s">
        <v>3773</v>
      </c>
      <c r="F11799" s="1495"/>
      <c r="G11799" s="658" t="s">
        <v>777</v>
      </c>
      <c r="H11799" s="576">
        <v>31.55</v>
      </c>
      <c r="K11799" t="s">
        <v>947</v>
      </c>
      <c r="L11799" t="s">
        <v>690</v>
      </c>
      <c r="P11799" t="s">
        <v>957</v>
      </c>
      <c r="V11799">
        <v>14</v>
      </c>
    </row>
    <row r="11800" spans="1:22" customFormat="1" ht="15" x14ac:dyDescent="0.25">
      <c r="A11800" t="s">
        <v>315</v>
      </c>
      <c r="E11800" s="1495" t="s">
        <v>7006</v>
      </c>
      <c r="F11800" s="1561"/>
      <c r="G11800" s="658" t="s">
        <v>777</v>
      </c>
      <c r="H11800" s="576">
        <v>-2.94</v>
      </c>
      <c r="K11800" t="s">
        <v>947</v>
      </c>
      <c r="L11800" t="s">
        <v>690</v>
      </c>
      <c r="P11800" t="s">
        <v>963</v>
      </c>
      <c r="V11800">
        <v>110</v>
      </c>
    </row>
    <row r="11801" spans="1:22" customFormat="1" ht="15" x14ac:dyDescent="0.25">
      <c r="A11801" t="s">
        <v>315</v>
      </c>
      <c r="E11801" s="1495" t="s">
        <v>960</v>
      </c>
      <c r="F11801" s="1495"/>
      <c r="G11801" s="658" t="s">
        <v>777</v>
      </c>
      <c r="H11801" s="576">
        <v>0.42</v>
      </c>
      <c r="K11801" t="s">
        <v>947</v>
      </c>
      <c r="L11801" t="s">
        <v>692</v>
      </c>
      <c r="P11801" t="s">
        <v>959</v>
      </c>
      <c r="V11801">
        <v>64</v>
      </c>
    </row>
    <row r="11802" spans="1:22" customFormat="1" ht="15" x14ac:dyDescent="0.25">
      <c r="A11802" t="s">
        <v>315</v>
      </c>
      <c r="E11802" s="1495" t="s">
        <v>7007</v>
      </c>
      <c r="F11802" s="1561"/>
      <c r="G11802" s="658" t="s">
        <v>845</v>
      </c>
      <c r="H11802" s="577">
        <v>-8.9999999999999998E-4</v>
      </c>
      <c r="K11802" t="s">
        <v>947</v>
      </c>
      <c r="L11802" t="s">
        <v>692</v>
      </c>
      <c r="P11802" t="s">
        <v>963</v>
      </c>
      <c r="V11802">
        <v>110</v>
      </c>
    </row>
    <row r="11803" spans="1:22" customFormat="1" ht="15" x14ac:dyDescent="0.25">
      <c r="A11803" t="s">
        <v>315</v>
      </c>
      <c r="E11803" s="1495" t="s">
        <v>7008</v>
      </c>
      <c r="F11803" s="1561"/>
      <c r="G11803" s="658" t="s">
        <v>845</v>
      </c>
      <c r="H11803" s="577">
        <v>2.0000000000000001E-4</v>
      </c>
      <c r="K11803" t="s">
        <v>947</v>
      </c>
      <c r="L11803" t="s">
        <v>692</v>
      </c>
      <c r="P11803" t="s">
        <v>3764</v>
      </c>
      <c r="T11803">
        <v>46142</v>
      </c>
      <c r="V11803">
        <v>147</v>
      </c>
    </row>
    <row r="11804" spans="1:22" customFormat="1" ht="15" x14ac:dyDescent="0.25">
      <c r="A11804" t="s">
        <v>315</v>
      </c>
      <c r="E11804" s="1495" t="s">
        <v>7009</v>
      </c>
      <c r="F11804" s="1561"/>
      <c r="G11804" s="658" t="s">
        <v>845</v>
      </c>
      <c r="H11804" s="577">
        <v>-4.0000000000000002E-4</v>
      </c>
      <c r="K11804" t="s">
        <v>947</v>
      </c>
      <c r="L11804" t="s">
        <v>692</v>
      </c>
      <c r="P11804" t="s">
        <v>962</v>
      </c>
      <c r="T11804">
        <v>46142</v>
      </c>
      <c r="V11804">
        <v>142</v>
      </c>
    </row>
    <row r="11805" spans="1:22" customFormat="1" ht="15" x14ac:dyDescent="0.25">
      <c r="A11805" t="s">
        <v>315</v>
      </c>
      <c r="E11805" s="1495" t="s">
        <v>243</v>
      </c>
      <c r="F11805" s="1495"/>
      <c r="G11805" s="360" t="s">
        <v>845</v>
      </c>
      <c r="H11805" s="577">
        <v>1.37E-2</v>
      </c>
      <c r="K11805" t="s">
        <v>947</v>
      </c>
      <c r="L11805" t="s">
        <v>694</v>
      </c>
      <c r="P11805" t="s">
        <v>964</v>
      </c>
      <c r="V11805">
        <v>47</v>
      </c>
    </row>
    <row r="11806" spans="1:22" customFormat="1" ht="15" x14ac:dyDescent="0.25">
      <c r="A11806" t="s">
        <v>315</v>
      </c>
      <c r="E11806" s="1495" t="s">
        <v>175</v>
      </c>
      <c r="F11806" s="1495"/>
      <c r="G11806" s="360" t="s">
        <v>845</v>
      </c>
      <c r="H11806" s="577">
        <v>9.4999999999999998E-3</v>
      </c>
      <c r="K11806" t="s">
        <v>947</v>
      </c>
      <c r="L11806" t="s">
        <v>694</v>
      </c>
      <c r="P11806" t="s">
        <v>965</v>
      </c>
      <c r="V11806">
        <v>74</v>
      </c>
    </row>
    <row r="11807" spans="1:22" customFormat="1" ht="15" x14ac:dyDescent="0.25">
      <c r="A11807" t="s">
        <v>315</v>
      </c>
      <c r="E11807" s="1488" t="s">
        <v>967</v>
      </c>
      <c r="F11807" s="1594"/>
      <c r="G11807" s="360"/>
      <c r="H11807" s="360"/>
      <c r="K11807" t="s">
        <v>966</v>
      </c>
      <c r="V11807">
        <v>48</v>
      </c>
    </row>
    <row r="11808" spans="1:22" customFormat="1" ht="15" x14ac:dyDescent="0.25">
      <c r="A11808" t="s">
        <v>315</v>
      </c>
      <c r="E11808" s="1495" t="s">
        <v>844</v>
      </c>
      <c r="F11808" s="1495"/>
      <c r="G11808" s="658" t="s">
        <v>845</v>
      </c>
      <c r="H11808" s="605">
        <v>4.1000000000000003E-3</v>
      </c>
      <c r="K11808" t="s">
        <v>947</v>
      </c>
      <c r="L11808" t="s">
        <v>968</v>
      </c>
      <c r="P11808" t="s">
        <v>969</v>
      </c>
      <c r="V11808">
        <v>55</v>
      </c>
    </row>
    <row r="11809" spans="1:22" customFormat="1" ht="15" x14ac:dyDescent="0.25">
      <c r="A11809" t="s">
        <v>315</v>
      </c>
      <c r="E11809" s="1495" t="s">
        <v>846</v>
      </c>
      <c r="F11809" s="1495"/>
      <c r="G11809" s="658" t="s">
        <v>845</v>
      </c>
      <c r="H11809" s="605">
        <v>4.0000000000000002E-4</v>
      </c>
      <c r="K11809" t="s">
        <v>947</v>
      </c>
      <c r="L11809" t="s">
        <v>968</v>
      </c>
      <c r="P11809" t="s">
        <v>969</v>
      </c>
      <c r="V11809">
        <v>65</v>
      </c>
    </row>
    <row r="11810" spans="1:22" customFormat="1" ht="15" x14ac:dyDescent="0.25">
      <c r="A11810" t="s">
        <v>315</v>
      </c>
      <c r="E11810" s="1495" t="s">
        <v>847</v>
      </c>
      <c r="F11810" s="1495"/>
      <c r="G11810" s="658" t="s">
        <v>845</v>
      </c>
      <c r="H11810" s="605">
        <v>1.5E-3</v>
      </c>
      <c r="K11810" t="s">
        <v>947</v>
      </c>
      <c r="L11810" t="s">
        <v>968</v>
      </c>
      <c r="P11810" t="s">
        <v>970</v>
      </c>
      <c r="V11810">
        <v>57</v>
      </c>
    </row>
    <row r="11811" spans="1:22" customFormat="1" ht="15" x14ac:dyDescent="0.25">
      <c r="A11811" t="s">
        <v>315</v>
      </c>
      <c r="E11811" s="1495" t="s">
        <v>848</v>
      </c>
      <c r="F11811" s="1495"/>
      <c r="G11811" s="360" t="s">
        <v>777</v>
      </c>
      <c r="H11811" s="604">
        <v>0.25</v>
      </c>
      <c r="K11811" t="s">
        <v>947</v>
      </c>
      <c r="L11811" t="s">
        <v>968</v>
      </c>
      <c r="P11811" t="s">
        <v>971</v>
      </c>
      <c r="V11811">
        <v>63</v>
      </c>
    </row>
    <row r="11812" spans="1:22" customFormat="1" x14ac:dyDescent="0.25">
      <c r="A11812" t="s">
        <v>315</v>
      </c>
      <c r="E11812" s="1538" t="s">
        <v>174</v>
      </c>
      <c r="F11812" s="1538"/>
      <c r="G11812" s="1538"/>
      <c r="H11812" s="1571"/>
      <c r="K11812" t="s">
        <v>972</v>
      </c>
      <c r="V11812">
        <v>54</v>
      </c>
    </row>
    <row r="11813" spans="1:22" customFormat="1" ht="15" x14ac:dyDescent="0.25">
      <c r="A11813" t="s">
        <v>315</v>
      </c>
      <c r="E11813" s="1496" t="s">
        <v>5755</v>
      </c>
      <c r="F11813" s="1496"/>
      <c r="G11813" s="1496"/>
      <c r="H11813" s="1496"/>
      <c r="K11813" t="s">
        <v>972</v>
      </c>
      <c r="V11813">
        <v>468</v>
      </c>
    </row>
    <row r="11814" spans="1:22" customFormat="1" ht="15" x14ac:dyDescent="0.25">
      <c r="A11814" t="s">
        <v>315</v>
      </c>
      <c r="E11814" s="1533" t="s">
        <v>950</v>
      </c>
      <c r="F11814" s="1537"/>
      <c r="G11814" s="1537"/>
      <c r="H11814" s="1496"/>
      <c r="K11814" t="s">
        <v>974</v>
      </c>
      <c r="V11814">
        <v>11</v>
      </c>
    </row>
    <row r="11815" spans="1:22" customFormat="1" ht="15" x14ac:dyDescent="0.25">
      <c r="A11815" t="s">
        <v>315</v>
      </c>
      <c r="E11815" s="1496" t="s">
        <v>951</v>
      </c>
      <c r="F11815" s="1496"/>
      <c r="G11815" s="1496"/>
      <c r="H11815" s="1496"/>
      <c r="K11815" t="s">
        <v>972</v>
      </c>
      <c r="V11815">
        <v>280</v>
      </c>
    </row>
    <row r="11816" spans="1:22" customFormat="1" ht="15" x14ac:dyDescent="0.25">
      <c r="A11816" t="s">
        <v>315</v>
      </c>
      <c r="E11816" s="1496" t="s">
        <v>952</v>
      </c>
      <c r="F11816" s="1496"/>
      <c r="G11816" s="1496"/>
      <c r="H11816" s="1496"/>
      <c r="K11816" t="s">
        <v>972</v>
      </c>
      <c r="V11816">
        <v>411</v>
      </c>
    </row>
    <row r="11817" spans="1:22" customFormat="1" ht="15" x14ac:dyDescent="0.25">
      <c r="A11817" t="s">
        <v>315</v>
      </c>
      <c r="E11817" s="1496" t="s">
        <v>3761</v>
      </c>
      <c r="F11817" s="1496"/>
      <c r="G11817" s="1496"/>
      <c r="H11817" s="1496"/>
      <c r="K11817" t="s">
        <v>972</v>
      </c>
      <c r="V11817">
        <v>387</v>
      </c>
    </row>
    <row r="11818" spans="1:22" customFormat="1" ht="15" x14ac:dyDescent="0.25">
      <c r="A11818" t="s">
        <v>315</v>
      </c>
      <c r="E11818" s="1496" t="s">
        <v>3762</v>
      </c>
      <c r="F11818" s="1496"/>
      <c r="G11818" s="1496"/>
      <c r="H11818" s="1496"/>
      <c r="K11818" t="s">
        <v>972</v>
      </c>
      <c r="V11818">
        <v>247</v>
      </c>
    </row>
    <row r="11819" spans="1:22" customFormat="1" ht="15" x14ac:dyDescent="0.25">
      <c r="A11819" t="s">
        <v>315</v>
      </c>
      <c r="E11819" s="1488" t="s">
        <v>956</v>
      </c>
      <c r="F11819" s="1607"/>
      <c r="G11819" s="1607"/>
      <c r="H11819" s="1590"/>
      <c r="K11819" t="s">
        <v>975</v>
      </c>
      <c r="V11819">
        <v>46</v>
      </c>
    </row>
    <row r="11820" spans="1:22" customFormat="1" ht="15" x14ac:dyDescent="0.25">
      <c r="A11820" t="s">
        <v>315</v>
      </c>
      <c r="E11820" s="1495" t="s">
        <v>3773</v>
      </c>
      <c r="F11820" s="1495"/>
      <c r="G11820" s="658" t="s">
        <v>777</v>
      </c>
      <c r="H11820" s="576">
        <v>36.94</v>
      </c>
      <c r="K11820" t="s">
        <v>972</v>
      </c>
      <c r="L11820" t="s">
        <v>690</v>
      </c>
      <c r="P11820" t="s">
        <v>976</v>
      </c>
      <c r="V11820">
        <v>14</v>
      </c>
    </row>
    <row r="11821" spans="1:22" customFormat="1" ht="15" x14ac:dyDescent="0.25">
      <c r="A11821" t="s">
        <v>315</v>
      </c>
      <c r="E11821" s="1495" t="s">
        <v>960</v>
      </c>
      <c r="F11821" s="1495"/>
      <c r="G11821" s="658" t="s">
        <v>777</v>
      </c>
      <c r="H11821" s="576">
        <v>0.42</v>
      </c>
      <c r="K11821" t="s">
        <v>972</v>
      </c>
      <c r="L11821" t="s">
        <v>692</v>
      </c>
      <c r="P11821" t="s">
        <v>977</v>
      </c>
      <c r="V11821">
        <v>64</v>
      </c>
    </row>
    <row r="11822" spans="1:22" customFormat="1" ht="15" x14ac:dyDescent="0.25">
      <c r="A11822" t="s">
        <v>315</v>
      </c>
      <c r="E11822" s="1495" t="s">
        <v>3688</v>
      </c>
      <c r="F11822" s="1495"/>
      <c r="G11822" s="658" t="s">
        <v>845</v>
      </c>
      <c r="H11822" s="577">
        <v>1.03E-2</v>
      </c>
      <c r="K11822" t="s">
        <v>972</v>
      </c>
      <c r="L11822" t="s">
        <v>690</v>
      </c>
      <c r="P11822" t="s">
        <v>978</v>
      </c>
      <c r="V11822">
        <v>28</v>
      </c>
    </row>
    <row r="11823" spans="1:22" customFormat="1" ht="15" x14ac:dyDescent="0.25">
      <c r="A11823" t="s">
        <v>315</v>
      </c>
      <c r="E11823" s="1495" t="s">
        <v>7007</v>
      </c>
      <c r="F11823" s="1561"/>
      <c r="G11823" s="658" t="s">
        <v>845</v>
      </c>
      <c r="H11823" s="577">
        <v>-6.9999999999999999E-4</v>
      </c>
      <c r="K11823" t="s">
        <v>972</v>
      </c>
      <c r="L11823" t="s">
        <v>692</v>
      </c>
      <c r="P11823" t="s">
        <v>982</v>
      </c>
      <c r="V11823">
        <v>110</v>
      </c>
    </row>
    <row r="11824" spans="1:22" customFormat="1" ht="15" x14ac:dyDescent="0.25">
      <c r="A11824" t="s">
        <v>315</v>
      </c>
      <c r="E11824" s="1495" t="s">
        <v>7008</v>
      </c>
      <c r="F11824" s="1561"/>
      <c r="G11824" s="658" t="s">
        <v>845</v>
      </c>
      <c r="H11824" s="577">
        <v>2.0000000000000001E-4</v>
      </c>
      <c r="K11824" t="s">
        <v>972</v>
      </c>
      <c r="L11824" t="s">
        <v>692</v>
      </c>
      <c r="P11824" t="s">
        <v>3766</v>
      </c>
      <c r="T11824">
        <v>46142</v>
      </c>
      <c r="V11824">
        <v>147</v>
      </c>
    </row>
    <row r="11825" spans="1:22" customFormat="1" ht="15" x14ac:dyDescent="0.25">
      <c r="A11825" t="s">
        <v>315</v>
      </c>
      <c r="E11825" s="1495" t="s">
        <v>7009</v>
      </c>
      <c r="F11825" s="1561"/>
      <c r="G11825" s="658" t="s">
        <v>845</v>
      </c>
      <c r="H11825" s="577">
        <v>-4.0000000000000002E-4</v>
      </c>
      <c r="K11825" t="s">
        <v>972</v>
      </c>
      <c r="L11825" t="s">
        <v>692</v>
      </c>
      <c r="P11825" t="s">
        <v>981</v>
      </c>
      <c r="T11825">
        <v>46142</v>
      </c>
      <c r="V11825">
        <v>142</v>
      </c>
    </row>
    <row r="11826" spans="1:22" customFormat="1" ht="15" x14ac:dyDescent="0.25">
      <c r="A11826" t="s">
        <v>315</v>
      </c>
      <c r="E11826" s="1495" t="s">
        <v>7006</v>
      </c>
      <c r="F11826" s="1561"/>
      <c r="G11826" s="658" t="s">
        <v>845</v>
      </c>
      <c r="H11826" s="577">
        <v>-2.8E-3</v>
      </c>
      <c r="K11826" t="s">
        <v>972</v>
      </c>
      <c r="L11826" t="s">
        <v>690</v>
      </c>
      <c r="P11826" t="s">
        <v>982</v>
      </c>
      <c r="V11826">
        <v>110</v>
      </c>
    </row>
    <row r="11827" spans="1:22" customFormat="1" ht="15" x14ac:dyDescent="0.25">
      <c r="A11827" t="s">
        <v>315</v>
      </c>
      <c r="E11827" s="1495" t="s">
        <v>243</v>
      </c>
      <c r="F11827" s="1495"/>
      <c r="G11827" s="360" t="s">
        <v>845</v>
      </c>
      <c r="H11827" s="577">
        <v>1.2E-2</v>
      </c>
      <c r="K11827" t="s">
        <v>972</v>
      </c>
      <c r="L11827" t="s">
        <v>694</v>
      </c>
      <c r="P11827" t="s">
        <v>983</v>
      </c>
      <c r="V11827">
        <v>47</v>
      </c>
    </row>
    <row r="11828" spans="1:22" customFormat="1" ht="15" x14ac:dyDescent="0.25">
      <c r="A11828" t="s">
        <v>315</v>
      </c>
      <c r="E11828" s="1495" t="s">
        <v>175</v>
      </c>
      <c r="F11828" s="1495"/>
      <c r="G11828" s="360" t="s">
        <v>845</v>
      </c>
      <c r="H11828" s="577">
        <v>8.0000000000000002E-3</v>
      </c>
      <c r="K11828" t="s">
        <v>972</v>
      </c>
      <c r="L11828" t="s">
        <v>694</v>
      </c>
      <c r="P11828" t="s">
        <v>984</v>
      </c>
      <c r="V11828">
        <v>74</v>
      </c>
    </row>
    <row r="11829" spans="1:22" customFormat="1" ht="15" x14ac:dyDescent="0.25">
      <c r="A11829" t="s">
        <v>315</v>
      </c>
      <c r="E11829" s="1488" t="s">
        <v>967</v>
      </c>
      <c r="F11829" s="1594"/>
      <c r="G11829" s="1594"/>
      <c r="H11829" s="1495"/>
      <c r="K11829" t="s">
        <v>985</v>
      </c>
      <c r="V11829">
        <v>48</v>
      </c>
    </row>
    <row r="11830" spans="1:22" customFormat="1" ht="15" x14ac:dyDescent="0.25">
      <c r="A11830" t="s">
        <v>315</v>
      </c>
      <c r="E11830" s="1495" t="s">
        <v>844</v>
      </c>
      <c r="F11830" s="1495"/>
      <c r="G11830" s="658" t="s">
        <v>845</v>
      </c>
      <c r="H11830" s="605">
        <v>4.1000000000000003E-3</v>
      </c>
      <c r="K11830" t="s">
        <v>972</v>
      </c>
      <c r="L11830" t="s">
        <v>968</v>
      </c>
      <c r="P11830" t="s">
        <v>986</v>
      </c>
      <c r="V11830">
        <v>55</v>
      </c>
    </row>
    <row r="11831" spans="1:22" customFormat="1" ht="15" x14ac:dyDescent="0.25">
      <c r="A11831" t="s">
        <v>315</v>
      </c>
      <c r="E11831" s="1495" t="s">
        <v>846</v>
      </c>
      <c r="F11831" s="1495"/>
      <c r="G11831" s="360" t="s">
        <v>845</v>
      </c>
      <c r="H11831" s="605">
        <v>4.0000000000000002E-4</v>
      </c>
      <c r="K11831" t="s">
        <v>972</v>
      </c>
      <c r="L11831" t="s">
        <v>968</v>
      </c>
      <c r="P11831" t="s">
        <v>986</v>
      </c>
      <c r="V11831">
        <v>65</v>
      </c>
    </row>
    <row r="11832" spans="1:22" customFormat="1" ht="15" x14ac:dyDescent="0.25">
      <c r="A11832" t="s">
        <v>315</v>
      </c>
      <c r="E11832" s="1495" t="s">
        <v>847</v>
      </c>
      <c r="F11832" s="1495"/>
      <c r="G11832" s="658" t="s">
        <v>845</v>
      </c>
      <c r="H11832" s="605">
        <v>1.5E-3</v>
      </c>
      <c r="K11832" t="s">
        <v>972</v>
      </c>
      <c r="L11832" t="s">
        <v>968</v>
      </c>
      <c r="P11832" t="s">
        <v>987</v>
      </c>
      <c r="V11832">
        <v>57</v>
      </c>
    </row>
    <row r="11833" spans="1:22" customFormat="1" ht="15" x14ac:dyDescent="0.25">
      <c r="A11833" t="s">
        <v>315</v>
      </c>
      <c r="E11833" s="1495" t="s">
        <v>848</v>
      </c>
      <c r="F11833" s="1495"/>
      <c r="G11833" s="360" t="s">
        <v>777</v>
      </c>
      <c r="H11833" s="604">
        <v>0.25</v>
      </c>
      <c r="K11833" t="s">
        <v>972</v>
      </c>
      <c r="L11833" t="s">
        <v>968</v>
      </c>
      <c r="P11833" t="s">
        <v>988</v>
      </c>
      <c r="V11833">
        <v>63</v>
      </c>
    </row>
    <row r="11834" spans="1:22" customFormat="1" x14ac:dyDescent="0.25">
      <c r="A11834" t="s">
        <v>315</v>
      </c>
      <c r="E11834" s="1538" t="s">
        <v>3767</v>
      </c>
      <c r="F11834" s="1538"/>
      <c r="G11834" s="1538"/>
      <c r="H11834" s="1571"/>
      <c r="K11834" t="s">
        <v>3768</v>
      </c>
      <c r="V11834">
        <v>53</v>
      </c>
    </row>
    <row r="11835" spans="1:22" customFormat="1" ht="15" x14ac:dyDescent="0.25">
      <c r="A11835" t="s">
        <v>315</v>
      </c>
      <c r="E11835" s="1496" t="s">
        <v>5756</v>
      </c>
      <c r="F11835" s="1496"/>
      <c r="G11835" s="1496"/>
      <c r="H11835" s="1496"/>
      <c r="K11835" t="s">
        <v>3768</v>
      </c>
      <c r="V11835">
        <v>493</v>
      </c>
    </row>
    <row r="11836" spans="1:22" customFormat="1" ht="15" x14ac:dyDescent="0.25">
      <c r="A11836" t="s">
        <v>315</v>
      </c>
      <c r="E11836" s="1533" t="s">
        <v>950</v>
      </c>
      <c r="F11836" s="1537"/>
      <c r="G11836" s="1537"/>
      <c r="H11836" s="1496"/>
      <c r="K11836" t="s">
        <v>992</v>
      </c>
      <c r="V11836">
        <v>11</v>
      </c>
    </row>
    <row r="11837" spans="1:22" customFormat="1" ht="15" x14ac:dyDescent="0.25">
      <c r="A11837" t="s">
        <v>315</v>
      </c>
      <c r="E11837" s="1496" t="s">
        <v>951</v>
      </c>
      <c r="F11837" s="1496"/>
      <c r="G11837" s="1496"/>
      <c r="H11837" s="1496"/>
      <c r="K11837" t="s">
        <v>3768</v>
      </c>
      <c r="V11837">
        <v>280</v>
      </c>
    </row>
    <row r="11838" spans="1:22" customFormat="1" ht="15" x14ac:dyDescent="0.25">
      <c r="A11838" t="s">
        <v>315</v>
      </c>
      <c r="E11838" s="1496" t="s">
        <v>952</v>
      </c>
      <c r="F11838" s="1496"/>
      <c r="G11838" s="1496"/>
      <c r="H11838" s="1496"/>
      <c r="K11838" t="s">
        <v>3768</v>
      </c>
      <c r="V11838">
        <v>411</v>
      </c>
    </row>
    <row r="11839" spans="1:22" customFormat="1" ht="15" x14ac:dyDescent="0.25">
      <c r="A11839" t="s">
        <v>315</v>
      </c>
      <c r="E11839" s="1496" t="s">
        <v>3761</v>
      </c>
      <c r="F11839" s="1496"/>
      <c r="G11839" s="1496"/>
      <c r="H11839" s="1496"/>
      <c r="K11839" t="s">
        <v>3768</v>
      </c>
      <c r="V11839">
        <v>387</v>
      </c>
    </row>
    <row r="11840" spans="1:22" customFormat="1" ht="15" x14ac:dyDescent="0.25">
      <c r="A11840" t="s">
        <v>315</v>
      </c>
      <c r="E11840" s="1496" t="s">
        <v>993</v>
      </c>
      <c r="F11840" s="1496"/>
      <c r="G11840" s="1496"/>
      <c r="H11840" s="1496"/>
      <c r="K11840" t="s">
        <v>3768</v>
      </c>
      <c r="V11840">
        <v>680</v>
      </c>
    </row>
    <row r="11841" spans="1:22" customFormat="1" ht="15" x14ac:dyDescent="0.25">
      <c r="A11841" t="s">
        <v>315</v>
      </c>
      <c r="E11841" s="1496" t="s">
        <v>994</v>
      </c>
      <c r="F11841" s="1496"/>
      <c r="G11841" s="1496"/>
      <c r="H11841" s="1496"/>
      <c r="K11841" t="s">
        <v>3768</v>
      </c>
      <c r="V11841">
        <v>725</v>
      </c>
    </row>
    <row r="11842" spans="1:22" customFormat="1" ht="15" x14ac:dyDescent="0.25">
      <c r="A11842" t="s">
        <v>315</v>
      </c>
      <c r="E11842" s="1496" t="s">
        <v>3762</v>
      </c>
      <c r="F11842" s="1496"/>
      <c r="G11842" s="1496"/>
      <c r="H11842" s="1496"/>
      <c r="K11842" t="s">
        <v>3768</v>
      </c>
      <c r="V11842">
        <v>247</v>
      </c>
    </row>
    <row r="11843" spans="1:22" customFormat="1" ht="15" x14ac:dyDescent="0.25">
      <c r="A11843" t="s">
        <v>315</v>
      </c>
      <c r="E11843" s="1488" t="s">
        <v>956</v>
      </c>
      <c r="F11843" s="1590"/>
      <c r="G11843" s="1590"/>
      <c r="H11843" s="1590"/>
      <c r="K11843" t="s">
        <v>995</v>
      </c>
      <c r="V11843">
        <v>46</v>
      </c>
    </row>
    <row r="11844" spans="1:22" customFormat="1" ht="15" x14ac:dyDescent="0.25">
      <c r="A11844" t="s">
        <v>315</v>
      </c>
      <c r="E11844" s="1495" t="s">
        <v>3773</v>
      </c>
      <c r="F11844" s="1495"/>
      <c r="G11844" s="658" t="s">
        <v>777</v>
      </c>
      <c r="H11844" s="576">
        <v>336.3</v>
      </c>
      <c r="K11844" t="s">
        <v>3768</v>
      </c>
      <c r="L11844" t="s">
        <v>690</v>
      </c>
      <c r="P11844" t="s">
        <v>3774</v>
      </c>
      <c r="V11844">
        <v>14</v>
      </c>
    </row>
    <row r="11845" spans="1:22" customFormat="1" ht="15" x14ac:dyDescent="0.25">
      <c r="A11845" t="s">
        <v>315</v>
      </c>
      <c r="E11845" s="1495" t="s">
        <v>3688</v>
      </c>
      <c r="F11845" s="1495"/>
      <c r="G11845" s="658" t="s">
        <v>3775</v>
      </c>
      <c r="H11845" s="577">
        <v>3.5074000000000001</v>
      </c>
      <c r="K11845" t="s">
        <v>3768</v>
      </c>
      <c r="L11845" t="s">
        <v>690</v>
      </c>
      <c r="P11845" t="s">
        <v>3776</v>
      </c>
      <c r="V11845">
        <v>28</v>
      </c>
    </row>
    <row r="11846" spans="1:22" customFormat="1" ht="15" x14ac:dyDescent="0.25">
      <c r="A11846" t="s">
        <v>315</v>
      </c>
      <c r="E11846" s="1495" t="s">
        <v>7010</v>
      </c>
      <c r="F11846" s="1561"/>
      <c r="G11846" s="658" t="s">
        <v>3775</v>
      </c>
      <c r="H11846" s="577">
        <v>-0.58209999999999995</v>
      </c>
      <c r="K11846" t="s">
        <v>3768</v>
      </c>
      <c r="L11846" t="s">
        <v>692</v>
      </c>
      <c r="P11846" t="s">
        <v>3779</v>
      </c>
      <c r="T11846">
        <v>46142</v>
      </c>
      <c r="V11846">
        <v>158</v>
      </c>
    </row>
    <row r="11847" spans="1:22" customFormat="1" ht="15" x14ac:dyDescent="0.25">
      <c r="A11847" t="s">
        <v>315</v>
      </c>
      <c r="E11847" s="1495" t="s">
        <v>7007</v>
      </c>
      <c r="F11847" s="1561"/>
      <c r="G11847" s="658" t="s">
        <v>3775</v>
      </c>
      <c r="H11847" s="577">
        <v>0.3538</v>
      </c>
      <c r="K11847" t="s">
        <v>3768</v>
      </c>
      <c r="L11847" t="s">
        <v>692</v>
      </c>
      <c r="P11847" t="s">
        <v>3779</v>
      </c>
      <c r="V11847">
        <v>110</v>
      </c>
    </row>
    <row r="11848" spans="1:22" customFormat="1" ht="15" x14ac:dyDescent="0.25">
      <c r="A11848" t="s">
        <v>315</v>
      </c>
      <c r="E11848" s="1495" t="s">
        <v>7008</v>
      </c>
      <c r="F11848" s="1561"/>
      <c r="G11848" s="658" t="s">
        <v>3775</v>
      </c>
      <c r="H11848" s="577">
        <v>6.7599999999999993E-2</v>
      </c>
      <c r="K11848" t="s">
        <v>3768</v>
      </c>
      <c r="L11848" t="s">
        <v>692</v>
      </c>
      <c r="P11848" t="s">
        <v>3778</v>
      </c>
      <c r="T11848">
        <v>46142</v>
      </c>
      <c r="V11848">
        <v>147</v>
      </c>
    </row>
    <row r="11849" spans="1:22" customFormat="1" ht="15" x14ac:dyDescent="0.25">
      <c r="A11849" t="s">
        <v>315</v>
      </c>
      <c r="E11849" s="1495" t="s">
        <v>7009</v>
      </c>
      <c r="F11849" s="1561"/>
      <c r="G11849" s="658" t="s">
        <v>845</v>
      </c>
      <c r="H11849" s="577">
        <v>-4.0000000000000002E-4</v>
      </c>
      <c r="K11849" t="s">
        <v>3768</v>
      </c>
      <c r="L11849" t="s">
        <v>692</v>
      </c>
      <c r="P11849" t="s">
        <v>4232</v>
      </c>
      <c r="T11849">
        <v>46142</v>
      </c>
      <c r="V11849">
        <v>142</v>
      </c>
    </row>
    <row r="11850" spans="1:22" customFormat="1" ht="15" x14ac:dyDescent="0.25">
      <c r="A11850" t="s">
        <v>315</v>
      </c>
      <c r="E11850" s="1495" t="s">
        <v>7006</v>
      </c>
      <c r="F11850" s="1561"/>
      <c r="G11850" s="658" t="s">
        <v>3775</v>
      </c>
      <c r="H11850" s="577">
        <v>-0.75439999999999996</v>
      </c>
      <c r="K11850" t="s">
        <v>3768</v>
      </c>
      <c r="L11850" t="s">
        <v>690</v>
      </c>
      <c r="P11850" t="s">
        <v>3779</v>
      </c>
      <c r="V11850">
        <v>110</v>
      </c>
    </row>
    <row r="11851" spans="1:22" customFormat="1" ht="15" x14ac:dyDescent="0.25">
      <c r="A11851" t="s">
        <v>315</v>
      </c>
      <c r="E11851" s="1495" t="s">
        <v>7011</v>
      </c>
      <c r="F11851" s="1561"/>
      <c r="G11851" s="658" t="s">
        <v>3775</v>
      </c>
      <c r="H11851" s="577">
        <v>0.59650000000000003</v>
      </c>
      <c r="K11851" t="s">
        <v>3768</v>
      </c>
      <c r="L11851" t="s">
        <v>690</v>
      </c>
      <c r="P11851" t="s">
        <v>7012</v>
      </c>
      <c r="T11851">
        <v>46142</v>
      </c>
      <c r="V11851">
        <v>82</v>
      </c>
    </row>
    <row r="11852" spans="1:22" customFormat="1" ht="15" x14ac:dyDescent="0.25">
      <c r="A11852" t="s">
        <v>315</v>
      </c>
      <c r="E11852" s="1495" t="s">
        <v>243</v>
      </c>
      <c r="F11852" s="1495"/>
      <c r="G11852" s="360" t="s">
        <v>3775</v>
      </c>
      <c r="H11852" s="577">
        <v>4.0801999999999996</v>
      </c>
      <c r="K11852" t="s">
        <v>3768</v>
      </c>
      <c r="L11852" t="s">
        <v>694</v>
      </c>
      <c r="P11852" t="s">
        <v>3780</v>
      </c>
      <c r="V11852">
        <v>47</v>
      </c>
    </row>
    <row r="11853" spans="1:22" customFormat="1" ht="15" x14ac:dyDescent="0.25">
      <c r="A11853" t="s">
        <v>315</v>
      </c>
      <c r="E11853" s="1495" t="s">
        <v>175</v>
      </c>
      <c r="F11853" s="1495"/>
      <c r="G11853" s="360" t="s">
        <v>3775</v>
      </c>
      <c r="H11853" s="577">
        <v>3.1387999999999998</v>
      </c>
      <c r="K11853" t="s">
        <v>3768</v>
      </c>
      <c r="L11853" t="s">
        <v>694</v>
      </c>
      <c r="P11853" t="s">
        <v>3781</v>
      </c>
      <c r="V11853">
        <v>74</v>
      </c>
    </row>
    <row r="11854" spans="1:22" customFormat="1" ht="15" x14ac:dyDescent="0.25">
      <c r="A11854" t="s">
        <v>315</v>
      </c>
      <c r="E11854" s="1488" t="s">
        <v>967</v>
      </c>
      <c r="F11854" s="1594"/>
      <c r="G11854" s="360"/>
      <c r="H11854" s="360"/>
      <c r="K11854" t="s">
        <v>1003</v>
      </c>
      <c r="V11854">
        <v>48</v>
      </c>
    </row>
    <row r="11855" spans="1:22" customFormat="1" ht="15" x14ac:dyDescent="0.25">
      <c r="A11855" t="s">
        <v>315</v>
      </c>
      <c r="E11855" s="1495" t="s">
        <v>844</v>
      </c>
      <c r="F11855" s="1495"/>
      <c r="G11855" s="658" t="s">
        <v>845</v>
      </c>
      <c r="H11855" s="605">
        <v>4.1000000000000003E-3</v>
      </c>
      <c r="K11855" t="s">
        <v>3768</v>
      </c>
      <c r="L11855" t="s">
        <v>968</v>
      </c>
      <c r="P11855" t="s">
        <v>3782</v>
      </c>
      <c r="V11855">
        <v>55</v>
      </c>
    </row>
    <row r="11856" spans="1:22" customFormat="1" ht="15" x14ac:dyDescent="0.25">
      <c r="A11856" t="s">
        <v>315</v>
      </c>
      <c r="E11856" s="1495" t="s">
        <v>846</v>
      </c>
      <c r="F11856" s="1495"/>
      <c r="G11856" s="658" t="s">
        <v>845</v>
      </c>
      <c r="H11856" s="605">
        <v>4.0000000000000002E-4</v>
      </c>
      <c r="K11856" t="s">
        <v>3768</v>
      </c>
      <c r="L11856" t="s">
        <v>968</v>
      </c>
      <c r="P11856" t="s">
        <v>3782</v>
      </c>
      <c r="V11856">
        <v>65</v>
      </c>
    </row>
    <row r="11857" spans="1:22" customFormat="1" ht="15" x14ac:dyDescent="0.25">
      <c r="A11857" t="s">
        <v>315</v>
      </c>
      <c r="E11857" s="1495" t="s">
        <v>847</v>
      </c>
      <c r="F11857" s="1495"/>
      <c r="G11857" s="658" t="s">
        <v>845</v>
      </c>
      <c r="H11857" s="605">
        <v>1.5E-3</v>
      </c>
      <c r="K11857" t="s">
        <v>3768</v>
      </c>
      <c r="L11857" t="s">
        <v>968</v>
      </c>
      <c r="P11857" t="s">
        <v>3783</v>
      </c>
      <c r="V11857">
        <v>57</v>
      </c>
    </row>
    <row r="11858" spans="1:22" customFormat="1" ht="15" x14ac:dyDescent="0.25">
      <c r="A11858" t="s">
        <v>315</v>
      </c>
      <c r="E11858" s="1495" t="s">
        <v>848</v>
      </c>
      <c r="F11858" s="1495"/>
      <c r="G11858" s="360" t="s">
        <v>777</v>
      </c>
      <c r="H11858" s="604">
        <v>0.25</v>
      </c>
      <c r="K11858" t="s">
        <v>3768</v>
      </c>
      <c r="L11858" t="s">
        <v>968</v>
      </c>
      <c r="P11858" t="s">
        <v>3784</v>
      </c>
      <c r="V11858">
        <v>63</v>
      </c>
    </row>
    <row r="11859" spans="1:22" customFormat="1" x14ac:dyDescent="0.25">
      <c r="A11859" t="s">
        <v>315</v>
      </c>
      <c r="E11859" s="1538" t="s">
        <v>194</v>
      </c>
      <c r="F11859" s="1571"/>
      <c r="G11859" s="1571"/>
      <c r="H11859" s="1571"/>
      <c r="K11859" t="s">
        <v>3785</v>
      </c>
      <c r="V11859">
        <v>47</v>
      </c>
    </row>
    <row r="11860" spans="1:22" customFormat="1" ht="15" x14ac:dyDescent="0.25">
      <c r="A11860" t="s">
        <v>315</v>
      </c>
      <c r="E11860" s="1496" t="s">
        <v>5757</v>
      </c>
      <c r="F11860" s="1496"/>
      <c r="G11860" s="1496"/>
      <c r="H11860" s="1496"/>
      <c r="K11860" t="s">
        <v>3785</v>
      </c>
      <c r="V11860">
        <v>774</v>
      </c>
    </row>
    <row r="11861" spans="1:22" customFormat="1" ht="15" x14ac:dyDescent="0.25">
      <c r="A11861" t="s">
        <v>315</v>
      </c>
      <c r="E11861" s="1533" t="s">
        <v>950</v>
      </c>
      <c r="F11861" s="1496"/>
      <c r="G11861" s="1496"/>
      <c r="H11861" s="1496"/>
      <c r="K11861" t="s">
        <v>1010</v>
      </c>
      <c r="V11861">
        <v>11</v>
      </c>
    </row>
    <row r="11862" spans="1:22" customFormat="1" ht="15" x14ac:dyDescent="0.25">
      <c r="A11862" t="s">
        <v>315</v>
      </c>
      <c r="E11862" s="1496" t="s">
        <v>951</v>
      </c>
      <c r="F11862" s="1496"/>
      <c r="G11862" s="1496"/>
      <c r="H11862" s="1496"/>
      <c r="K11862" t="s">
        <v>3785</v>
      </c>
      <c r="V11862">
        <v>280</v>
      </c>
    </row>
    <row r="11863" spans="1:22" customFormat="1" ht="15" x14ac:dyDescent="0.25">
      <c r="A11863" t="s">
        <v>315</v>
      </c>
      <c r="E11863" s="1496" t="s">
        <v>952</v>
      </c>
      <c r="F11863" s="1496"/>
      <c r="G11863" s="1496"/>
      <c r="H11863" s="1496"/>
      <c r="K11863" t="s">
        <v>3785</v>
      </c>
      <c r="V11863">
        <v>411</v>
      </c>
    </row>
    <row r="11864" spans="1:22" customFormat="1" ht="15" x14ac:dyDescent="0.25">
      <c r="A11864" t="s">
        <v>315</v>
      </c>
      <c r="E11864" s="1496" t="s">
        <v>3761</v>
      </c>
      <c r="F11864" s="1496"/>
      <c r="G11864" s="1496"/>
      <c r="H11864" s="1496"/>
      <c r="K11864" t="s">
        <v>3785</v>
      </c>
      <c r="V11864">
        <v>387</v>
      </c>
    </row>
    <row r="11865" spans="1:22" customFormat="1" ht="15" x14ac:dyDescent="0.25">
      <c r="A11865" t="s">
        <v>315</v>
      </c>
      <c r="E11865" s="1496" t="s">
        <v>3762</v>
      </c>
      <c r="F11865" s="1496"/>
      <c r="G11865" s="1496"/>
      <c r="H11865" s="1496"/>
      <c r="K11865" t="s">
        <v>3785</v>
      </c>
      <c r="V11865">
        <v>247</v>
      </c>
    </row>
    <row r="11866" spans="1:22" customFormat="1" ht="15" x14ac:dyDescent="0.25">
      <c r="A11866" t="s">
        <v>315</v>
      </c>
      <c r="E11866" s="1488" t="s">
        <v>956</v>
      </c>
      <c r="F11866" s="1590"/>
      <c r="G11866" s="1590"/>
      <c r="H11866" s="1590"/>
      <c r="K11866" t="s">
        <v>1011</v>
      </c>
      <c r="V11866">
        <v>46</v>
      </c>
    </row>
    <row r="11867" spans="1:22" customFormat="1" ht="15" x14ac:dyDescent="0.25">
      <c r="A11867" t="s">
        <v>315</v>
      </c>
      <c r="E11867" s="1495" t="s">
        <v>3874</v>
      </c>
      <c r="F11867" s="1495"/>
      <c r="G11867" s="658" t="s">
        <v>777</v>
      </c>
      <c r="H11867" s="576">
        <v>12.02</v>
      </c>
      <c r="K11867" t="s">
        <v>3785</v>
      </c>
      <c r="L11867" t="s">
        <v>690</v>
      </c>
      <c r="P11867" t="s">
        <v>3788</v>
      </c>
      <c r="V11867">
        <v>31</v>
      </c>
    </row>
    <row r="11868" spans="1:22" customFormat="1" ht="15" x14ac:dyDescent="0.25">
      <c r="A11868" t="s">
        <v>315</v>
      </c>
      <c r="E11868" s="1495" t="s">
        <v>3688</v>
      </c>
      <c r="F11868" s="1495"/>
      <c r="G11868" s="658" t="s">
        <v>845</v>
      </c>
      <c r="H11868" s="577">
        <v>7.9000000000000008E-3</v>
      </c>
      <c r="K11868" t="s">
        <v>3785</v>
      </c>
      <c r="L11868" t="s">
        <v>690</v>
      </c>
      <c r="P11868" t="s">
        <v>3789</v>
      </c>
      <c r="V11868">
        <v>28</v>
      </c>
    </row>
    <row r="11869" spans="1:22" customFormat="1" ht="15" x14ac:dyDescent="0.25">
      <c r="A11869" t="s">
        <v>315</v>
      </c>
      <c r="E11869" s="1495" t="s">
        <v>7007</v>
      </c>
      <c r="F11869" s="1561"/>
      <c r="G11869" s="658" t="s">
        <v>845</v>
      </c>
      <c r="H11869" s="577">
        <v>-5.9999999999999995E-4</v>
      </c>
      <c r="K11869" t="s">
        <v>3785</v>
      </c>
      <c r="L11869" t="s">
        <v>692</v>
      </c>
      <c r="P11869" t="s">
        <v>3792</v>
      </c>
      <c r="V11869">
        <v>110</v>
      </c>
    </row>
    <row r="11870" spans="1:22" customFormat="1" ht="15" x14ac:dyDescent="0.25">
      <c r="A11870" t="s">
        <v>315</v>
      </c>
      <c r="E11870" s="1495" t="s">
        <v>7008</v>
      </c>
      <c r="F11870" s="1561"/>
      <c r="G11870" s="658" t="s">
        <v>845</v>
      </c>
      <c r="H11870" s="577">
        <v>2.0000000000000001E-4</v>
      </c>
      <c r="K11870" t="s">
        <v>3785</v>
      </c>
      <c r="L11870" t="s">
        <v>692</v>
      </c>
      <c r="P11870" t="s">
        <v>3791</v>
      </c>
      <c r="T11870">
        <v>46142</v>
      </c>
      <c r="V11870">
        <v>147</v>
      </c>
    </row>
    <row r="11871" spans="1:22" customFormat="1" ht="15" x14ac:dyDescent="0.25">
      <c r="A11871" t="s">
        <v>315</v>
      </c>
      <c r="E11871" s="1495" t="s">
        <v>7009</v>
      </c>
      <c r="F11871" s="1561"/>
      <c r="G11871" s="658" t="s">
        <v>845</v>
      </c>
      <c r="H11871" s="577">
        <v>-4.0000000000000002E-4</v>
      </c>
      <c r="K11871" t="s">
        <v>3785</v>
      </c>
      <c r="L11871" t="s">
        <v>692</v>
      </c>
      <c r="P11871" t="s">
        <v>4818</v>
      </c>
      <c r="T11871">
        <v>46142</v>
      </c>
      <c r="V11871">
        <v>142</v>
      </c>
    </row>
    <row r="11872" spans="1:22" customFormat="1" ht="15" x14ac:dyDescent="0.25">
      <c r="A11872" t="s">
        <v>315</v>
      </c>
      <c r="E11872" s="1495" t="s">
        <v>7006</v>
      </c>
      <c r="F11872" s="1561"/>
      <c r="G11872" s="658" t="s">
        <v>845</v>
      </c>
      <c r="H11872" s="577">
        <v>-4.3E-3</v>
      </c>
      <c r="K11872" t="s">
        <v>3785</v>
      </c>
      <c r="L11872" t="s">
        <v>690</v>
      </c>
      <c r="P11872" t="s">
        <v>3792</v>
      </c>
      <c r="V11872">
        <v>110</v>
      </c>
    </row>
    <row r="11873" spans="1:22" customFormat="1" ht="15" x14ac:dyDescent="0.25">
      <c r="A11873" t="s">
        <v>315</v>
      </c>
      <c r="E11873" s="1495" t="s">
        <v>243</v>
      </c>
      <c r="F11873" s="1495"/>
      <c r="G11873" s="360" t="s">
        <v>845</v>
      </c>
      <c r="H11873" s="577">
        <v>1.2E-2</v>
      </c>
      <c r="K11873" t="s">
        <v>3785</v>
      </c>
      <c r="L11873" t="s">
        <v>694</v>
      </c>
      <c r="P11873" t="s">
        <v>3793</v>
      </c>
      <c r="V11873">
        <v>47</v>
      </c>
    </row>
    <row r="11874" spans="1:22" customFormat="1" ht="15" x14ac:dyDescent="0.25">
      <c r="A11874" t="s">
        <v>315</v>
      </c>
      <c r="E11874" s="1495" t="s">
        <v>175</v>
      </c>
      <c r="F11874" s="1495"/>
      <c r="G11874" s="360" t="s">
        <v>845</v>
      </c>
      <c r="H11874" s="577">
        <v>8.0000000000000002E-3</v>
      </c>
      <c r="K11874" t="s">
        <v>3785</v>
      </c>
      <c r="L11874" t="s">
        <v>694</v>
      </c>
      <c r="P11874" t="s">
        <v>3794</v>
      </c>
      <c r="V11874">
        <v>74</v>
      </c>
    </row>
    <row r="11875" spans="1:22" customFormat="1" ht="15" x14ac:dyDescent="0.25">
      <c r="A11875" t="s">
        <v>315</v>
      </c>
      <c r="E11875" s="1488" t="s">
        <v>967</v>
      </c>
      <c r="F11875" s="1594"/>
      <c r="G11875" s="360"/>
      <c r="H11875" s="360"/>
      <c r="K11875" t="s">
        <v>1019</v>
      </c>
      <c r="V11875">
        <v>48</v>
      </c>
    </row>
    <row r="11876" spans="1:22" customFormat="1" ht="15" x14ac:dyDescent="0.25">
      <c r="A11876" t="s">
        <v>315</v>
      </c>
      <c r="E11876" s="1495" t="s">
        <v>844</v>
      </c>
      <c r="F11876" s="1495"/>
      <c r="G11876" s="658" t="s">
        <v>845</v>
      </c>
      <c r="H11876" s="605">
        <v>4.1000000000000003E-3</v>
      </c>
      <c r="K11876" t="s">
        <v>3785</v>
      </c>
      <c r="L11876" t="s">
        <v>968</v>
      </c>
      <c r="P11876" t="s">
        <v>3795</v>
      </c>
      <c r="V11876">
        <v>55</v>
      </c>
    </row>
    <row r="11877" spans="1:22" customFormat="1" ht="15" x14ac:dyDescent="0.25">
      <c r="A11877" t="s">
        <v>315</v>
      </c>
      <c r="E11877" s="1495" t="s">
        <v>846</v>
      </c>
      <c r="F11877" s="1495"/>
      <c r="G11877" s="658" t="s">
        <v>845</v>
      </c>
      <c r="H11877" s="605">
        <v>4.0000000000000002E-4</v>
      </c>
      <c r="K11877" t="s">
        <v>3785</v>
      </c>
      <c r="L11877" t="s">
        <v>968</v>
      </c>
      <c r="P11877" t="s">
        <v>3795</v>
      </c>
      <c r="V11877">
        <v>65</v>
      </c>
    </row>
    <row r="11878" spans="1:22" customFormat="1" ht="15" x14ac:dyDescent="0.25">
      <c r="A11878" t="s">
        <v>315</v>
      </c>
      <c r="E11878" s="1495" t="s">
        <v>847</v>
      </c>
      <c r="F11878" s="1495"/>
      <c r="G11878" s="658" t="s">
        <v>845</v>
      </c>
      <c r="H11878" s="605">
        <v>1.5E-3</v>
      </c>
      <c r="K11878" t="s">
        <v>3785</v>
      </c>
      <c r="L11878" t="s">
        <v>968</v>
      </c>
      <c r="P11878" t="s">
        <v>3796</v>
      </c>
      <c r="V11878">
        <v>57</v>
      </c>
    </row>
    <row r="11879" spans="1:22" customFormat="1" ht="15" x14ac:dyDescent="0.25">
      <c r="A11879" t="s">
        <v>315</v>
      </c>
      <c r="E11879" s="1495" t="s">
        <v>848</v>
      </c>
      <c r="F11879" s="1495"/>
      <c r="G11879" s="360" t="s">
        <v>777</v>
      </c>
      <c r="H11879" s="604">
        <v>0.25</v>
      </c>
      <c r="K11879" t="s">
        <v>3785</v>
      </c>
      <c r="L11879" t="s">
        <v>968</v>
      </c>
      <c r="P11879" t="s">
        <v>3797</v>
      </c>
      <c r="V11879">
        <v>63</v>
      </c>
    </row>
    <row r="11880" spans="1:22" customFormat="1" x14ac:dyDescent="0.25">
      <c r="A11880" t="s">
        <v>315</v>
      </c>
      <c r="E11880" s="1538" t="s">
        <v>198</v>
      </c>
      <c r="F11880" s="1571"/>
      <c r="G11880" s="1571"/>
      <c r="H11880" s="1571"/>
      <c r="K11880" t="s">
        <v>3798</v>
      </c>
      <c r="V11880">
        <v>40</v>
      </c>
    </row>
    <row r="11881" spans="1:22" customFormat="1" ht="15" x14ac:dyDescent="0.25">
      <c r="A11881" t="s">
        <v>315</v>
      </c>
      <c r="E11881" s="1496" t="s">
        <v>5758</v>
      </c>
      <c r="F11881" s="1496"/>
      <c r="G11881" s="1496"/>
      <c r="H11881" s="1496"/>
      <c r="K11881" t="s">
        <v>3798</v>
      </c>
      <c r="V11881">
        <v>401</v>
      </c>
    </row>
    <row r="11882" spans="1:22" customFormat="1" ht="15" x14ac:dyDescent="0.25">
      <c r="A11882" t="s">
        <v>315</v>
      </c>
      <c r="E11882" s="1533" t="s">
        <v>950</v>
      </c>
      <c r="F11882" s="1496"/>
      <c r="G11882" s="1496"/>
      <c r="H11882" s="1496"/>
      <c r="K11882" t="s">
        <v>1025</v>
      </c>
      <c r="V11882">
        <v>11</v>
      </c>
    </row>
    <row r="11883" spans="1:22" customFormat="1" ht="15" x14ac:dyDescent="0.25">
      <c r="A11883" t="s">
        <v>315</v>
      </c>
      <c r="E11883" s="1496" t="s">
        <v>951</v>
      </c>
      <c r="F11883" s="1496"/>
      <c r="G11883" s="1496"/>
      <c r="H11883" s="1496"/>
      <c r="K11883" t="s">
        <v>3798</v>
      </c>
      <c r="V11883">
        <v>280</v>
      </c>
    </row>
    <row r="11884" spans="1:22" customFormat="1" ht="15" x14ac:dyDescent="0.25">
      <c r="A11884" t="s">
        <v>315</v>
      </c>
      <c r="E11884" s="1496" t="s">
        <v>952</v>
      </c>
      <c r="F11884" s="1496"/>
      <c r="G11884" s="1496"/>
      <c r="H11884" s="1496"/>
      <c r="K11884" t="s">
        <v>3798</v>
      </c>
      <c r="V11884">
        <v>411</v>
      </c>
    </row>
    <row r="11885" spans="1:22" customFormat="1" ht="15" x14ac:dyDescent="0.25">
      <c r="A11885" t="s">
        <v>315</v>
      </c>
      <c r="E11885" s="1496" t="s">
        <v>3761</v>
      </c>
      <c r="F11885" s="1496"/>
      <c r="G11885" s="1496"/>
      <c r="H11885" s="1496"/>
      <c r="K11885" t="s">
        <v>3798</v>
      </c>
      <c r="V11885">
        <v>387</v>
      </c>
    </row>
    <row r="11886" spans="1:22" customFormat="1" ht="15" x14ac:dyDescent="0.25">
      <c r="A11886" t="s">
        <v>315</v>
      </c>
      <c r="E11886" s="1496" t="s">
        <v>3762</v>
      </c>
      <c r="F11886" s="1496"/>
      <c r="G11886" s="1496"/>
      <c r="H11886" s="1496"/>
      <c r="K11886" t="s">
        <v>3798</v>
      </c>
      <c r="V11886">
        <v>247</v>
      </c>
    </row>
    <row r="11887" spans="1:22" customFormat="1" ht="15" x14ac:dyDescent="0.25">
      <c r="A11887" t="s">
        <v>315</v>
      </c>
      <c r="E11887" s="1488" t="s">
        <v>956</v>
      </c>
      <c r="F11887" s="1590"/>
      <c r="G11887" s="1590"/>
      <c r="H11887" s="1590"/>
      <c r="K11887" t="s">
        <v>1026</v>
      </c>
      <c r="V11887">
        <v>46</v>
      </c>
    </row>
    <row r="11888" spans="1:22" customFormat="1" ht="15" x14ac:dyDescent="0.25">
      <c r="A11888" t="s">
        <v>315</v>
      </c>
      <c r="E11888" s="1495" t="s">
        <v>3874</v>
      </c>
      <c r="F11888" s="1495"/>
      <c r="G11888" s="658" t="s">
        <v>777</v>
      </c>
      <c r="H11888" s="576">
        <v>4.9000000000000004</v>
      </c>
      <c r="K11888" t="s">
        <v>3798</v>
      </c>
      <c r="L11888" t="s">
        <v>690</v>
      </c>
      <c r="P11888" t="s">
        <v>3801</v>
      </c>
      <c r="V11888">
        <v>31</v>
      </c>
    </row>
    <row r="11889" spans="1:22" customFormat="1" ht="15" x14ac:dyDescent="0.25">
      <c r="A11889" t="s">
        <v>315</v>
      </c>
      <c r="E11889" s="1495" t="s">
        <v>3688</v>
      </c>
      <c r="F11889" s="1495"/>
      <c r="G11889" s="658" t="s">
        <v>3775</v>
      </c>
      <c r="H11889" s="577">
        <v>11.0024</v>
      </c>
      <c r="K11889" t="s">
        <v>3798</v>
      </c>
      <c r="L11889" t="s">
        <v>690</v>
      </c>
      <c r="P11889" t="s">
        <v>3802</v>
      </c>
      <c r="V11889">
        <v>28</v>
      </c>
    </row>
    <row r="11890" spans="1:22" customFormat="1" ht="15" x14ac:dyDescent="0.25">
      <c r="A11890" t="s">
        <v>315</v>
      </c>
      <c r="E11890" s="1495" t="s">
        <v>7007</v>
      </c>
      <c r="F11890" s="1561"/>
      <c r="G11890" s="658" t="s">
        <v>3775</v>
      </c>
      <c r="H11890" s="577">
        <v>-0.23519999999999999</v>
      </c>
      <c r="K11890" t="s">
        <v>3798</v>
      </c>
      <c r="L11890" t="s">
        <v>692</v>
      </c>
      <c r="P11890" t="s">
        <v>3805</v>
      </c>
      <c r="V11890">
        <v>110</v>
      </c>
    </row>
    <row r="11891" spans="1:22" customFormat="1" ht="15" x14ac:dyDescent="0.25">
      <c r="A11891" t="s">
        <v>315</v>
      </c>
      <c r="E11891" s="1495" t="s">
        <v>7008</v>
      </c>
      <c r="F11891" s="1561"/>
      <c r="G11891" s="658" t="s">
        <v>3775</v>
      </c>
      <c r="H11891" s="577">
        <v>6.6699999999999995E-2</v>
      </c>
      <c r="K11891" t="s">
        <v>3798</v>
      </c>
      <c r="L11891" t="s">
        <v>692</v>
      </c>
      <c r="P11891" t="s">
        <v>3804</v>
      </c>
      <c r="T11891">
        <v>46142</v>
      </c>
      <c r="V11891">
        <v>147</v>
      </c>
    </row>
    <row r="11892" spans="1:22" customFormat="1" ht="15" x14ac:dyDescent="0.25">
      <c r="A11892" t="s">
        <v>315</v>
      </c>
      <c r="E11892" s="1495" t="s">
        <v>7013</v>
      </c>
      <c r="F11892" s="1561"/>
      <c r="G11892" s="658" t="s">
        <v>845</v>
      </c>
      <c r="H11892" s="577">
        <v>-4.0000000000000002E-4</v>
      </c>
      <c r="K11892" t="s">
        <v>3798</v>
      </c>
      <c r="L11892" t="s">
        <v>692</v>
      </c>
      <c r="P11892" t="s">
        <v>5137</v>
      </c>
      <c r="T11892">
        <v>46142</v>
      </c>
      <c r="V11892">
        <v>141</v>
      </c>
    </row>
    <row r="11893" spans="1:22" customFormat="1" ht="15" x14ac:dyDescent="0.25">
      <c r="A11893" t="s">
        <v>315</v>
      </c>
      <c r="E11893" s="1495" t="s">
        <v>7006</v>
      </c>
      <c r="F11893" s="1561"/>
      <c r="G11893" s="658" t="s">
        <v>3775</v>
      </c>
      <c r="H11893" s="577">
        <v>-2.7778999999999998</v>
      </c>
      <c r="K11893" t="s">
        <v>3798</v>
      </c>
      <c r="L11893" t="s">
        <v>690</v>
      </c>
      <c r="P11893" t="s">
        <v>3805</v>
      </c>
      <c r="V11893">
        <v>110</v>
      </c>
    </row>
    <row r="11894" spans="1:22" customFormat="1" ht="15" x14ac:dyDescent="0.25">
      <c r="A11894" t="s">
        <v>315</v>
      </c>
      <c r="E11894" s="1495" t="s">
        <v>243</v>
      </c>
      <c r="F11894" s="1561"/>
      <c r="G11894" s="658" t="s">
        <v>3775</v>
      </c>
      <c r="H11894" s="577">
        <v>3.8201000000000001</v>
      </c>
      <c r="K11894" t="s">
        <v>3798</v>
      </c>
      <c r="L11894" t="s">
        <v>694</v>
      </c>
      <c r="P11894" t="s">
        <v>3806</v>
      </c>
      <c r="V11894">
        <v>47</v>
      </c>
    </row>
    <row r="11895" spans="1:22" customFormat="1" ht="15" x14ac:dyDescent="0.25">
      <c r="A11895" t="s">
        <v>315</v>
      </c>
      <c r="E11895" s="1495" t="s">
        <v>175</v>
      </c>
      <c r="F11895" s="1561"/>
      <c r="G11895" s="658" t="s">
        <v>3775</v>
      </c>
      <c r="H11895" s="577">
        <v>2.5880000000000001</v>
      </c>
      <c r="K11895" t="s">
        <v>3798</v>
      </c>
      <c r="L11895" t="s">
        <v>694</v>
      </c>
      <c r="P11895" t="s">
        <v>3807</v>
      </c>
      <c r="V11895">
        <v>74</v>
      </c>
    </row>
    <row r="11896" spans="1:22" customFormat="1" ht="15" x14ac:dyDescent="0.25">
      <c r="A11896" t="s">
        <v>315</v>
      </c>
      <c r="E11896" s="1488" t="s">
        <v>967</v>
      </c>
      <c r="F11896" s="1495"/>
      <c r="G11896" s="360"/>
      <c r="H11896" s="360"/>
      <c r="K11896" t="s">
        <v>1035</v>
      </c>
      <c r="V11896">
        <v>48</v>
      </c>
    </row>
    <row r="11897" spans="1:22" customFormat="1" ht="15" x14ac:dyDescent="0.25">
      <c r="A11897" t="s">
        <v>315</v>
      </c>
      <c r="E11897" s="1495" t="s">
        <v>844</v>
      </c>
      <c r="F11897" s="1561"/>
      <c r="G11897" s="658" t="s">
        <v>845</v>
      </c>
      <c r="H11897" s="577">
        <v>4.1000000000000003E-3</v>
      </c>
      <c r="K11897" t="s">
        <v>3798</v>
      </c>
      <c r="L11897" t="s">
        <v>968</v>
      </c>
      <c r="P11897" t="s">
        <v>3808</v>
      </c>
      <c r="V11897">
        <v>55</v>
      </c>
    </row>
    <row r="11898" spans="1:22" customFormat="1" ht="15" x14ac:dyDescent="0.25">
      <c r="A11898" t="s">
        <v>315</v>
      </c>
      <c r="E11898" s="1495" t="s">
        <v>846</v>
      </c>
      <c r="F11898" s="1561"/>
      <c r="G11898" s="658" t="s">
        <v>845</v>
      </c>
      <c r="H11898" s="577">
        <v>4.0000000000000002E-4</v>
      </c>
      <c r="K11898" t="s">
        <v>3798</v>
      </c>
      <c r="L11898" t="s">
        <v>968</v>
      </c>
      <c r="P11898" t="s">
        <v>3808</v>
      </c>
      <c r="V11898">
        <v>65</v>
      </c>
    </row>
    <row r="11899" spans="1:22" customFormat="1" ht="15" x14ac:dyDescent="0.25">
      <c r="A11899" t="s">
        <v>315</v>
      </c>
      <c r="E11899" s="1495" t="s">
        <v>847</v>
      </c>
      <c r="F11899" s="1561"/>
      <c r="G11899" s="658" t="s">
        <v>845</v>
      </c>
      <c r="H11899" s="577">
        <v>1.5E-3</v>
      </c>
      <c r="K11899" t="s">
        <v>3798</v>
      </c>
      <c r="L11899" t="s">
        <v>968</v>
      </c>
      <c r="P11899" t="s">
        <v>3809</v>
      </c>
      <c r="V11899">
        <v>57</v>
      </c>
    </row>
    <row r="11900" spans="1:22" customFormat="1" ht="15" x14ac:dyDescent="0.25">
      <c r="A11900" t="s">
        <v>315</v>
      </c>
      <c r="E11900" s="1495" t="s">
        <v>848</v>
      </c>
      <c r="F11900" s="1495"/>
      <c r="G11900" s="360" t="s">
        <v>777</v>
      </c>
      <c r="H11900" s="604">
        <v>0.25</v>
      </c>
      <c r="K11900" t="s">
        <v>3798</v>
      </c>
      <c r="L11900" t="s">
        <v>968</v>
      </c>
      <c r="P11900" t="s">
        <v>3810</v>
      </c>
      <c r="V11900">
        <v>63</v>
      </c>
    </row>
    <row r="11901" spans="1:22" customFormat="1" x14ac:dyDescent="0.25">
      <c r="A11901" t="s">
        <v>315</v>
      </c>
      <c r="E11901" s="1538" t="s">
        <v>202</v>
      </c>
      <c r="F11901" s="1571"/>
      <c r="G11901" s="1571"/>
      <c r="H11901" s="1571"/>
      <c r="K11901" t="s">
        <v>3811</v>
      </c>
      <c r="V11901">
        <v>38</v>
      </c>
    </row>
    <row r="11902" spans="1:22" customFormat="1" ht="15" x14ac:dyDescent="0.25">
      <c r="A11902" t="s">
        <v>315</v>
      </c>
      <c r="E11902" s="1496" t="s">
        <v>5759</v>
      </c>
      <c r="F11902" s="1496"/>
      <c r="G11902" s="1496"/>
      <c r="H11902" s="1496"/>
      <c r="K11902" t="s">
        <v>3811</v>
      </c>
      <c r="V11902">
        <v>383</v>
      </c>
    </row>
    <row r="11903" spans="1:22" customFormat="1" ht="15" x14ac:dyDescent="0.25">
      <c r="A11903" t="s">
        <v>315</v>
      </c>
      <c r="E11903" s="1533" t="s">
        <v>950</v>
      </c>
      <c r="F11903" s="1496"/>
      <c r="G11903" s="1496"/>
      <c r="H11903" s="1496"/>
      <c r="K11903" t="s">
        <v>1041</v>
      </c>
      <c r="V11903">
        <v>11</v>
      </c>
    </row>
    <row r="11904" spans="1:22" customFormat="1" ht="15" x14ac:dyDescent="0.25">
      <c r="A11904" t="s">
        <v>315</v>
      </c>
      <c r="E11904" s="1496" t="s">
        <v>951</v>
      </c>
      <c r="F11904" s="1496"/>
      <c r="G11904" s="1496"/>
      <c r="H11904" s="1496"/>
      <c r="K11904" t="s">
        <v>3811</v>
      </c>
      <c r="V11904">
        <v>280</v>
      </c>
    </row>
    <row r="11905" spans="1:22" customFormat="1" ht="15" x14ac:dyDescent="0.25">
      <c r="A11905" t="s">
        <v>315</v>
      </c>
      <c r="E11905" s="1496" t="s">
        <v>952</v>
      </c>
      <c r="F11905" s="1496"/>
      <c r="G11905" s="1496"/>
      <c r="H11905" s="1496"/>
      <c r="K11905" t="s">
        <v>3811</v>
      </c>
      <c r="V11905">
        <v>411</v>
      </c>
    </row>
    <row r="11906" spans="1:22" customFormat="1" ht="15" x14ac:dyDescent="0.25">
      <c r="A11906" t="s">
        <v>315</v>
      </c>
      <c r="E11906" s="1496" t="s">
        <v>3761</v>
      </c>
      <c r="F11906" s="1496"/>
      <c r="G11906" s="1496"/>
      <c r="H11906" s="1496"/>
      <c r="K11906" t="s">
        <v>3811</v>
      </c>
      <c r="V11906">
        <v>387</v>
      </c>
    </row>
    <row r="11907" spans="1:22" customFormat="1" ht="15" x14ac:dyDescent="0.25">
      <c r="A11907" t="s">
        <v>315</v>
      </c>
      <c r="E11907" s="1496" t="s">
        <v>3762</v>
      </c>
      <c r="F11907" s="1496"/>
      <c r="G11907" s="1496"/>
      <c r="H11907" s="1496"/>
      <c r="K11907" t="s">
        <v>3811</v>
      </c>
      <c r="V11907">
        <v>247</v>
      </c>
    </row>
    <row r="11908" spans="1:22" customFormat="1" ht="15" x14ac:dyDescent="0.25">
      <c r="A11908" t="s">
        <v>315</v>
      </c>
      <c r="E11908" s="1488" t="s">
        <v>956</v>
      </c>
      <c r="F11908" s="1590"/>
      <c r="G11908" s="1590"/>
      <c r="H11908" s="1590"/>
      <c r="K11908" t="s">
        <v>1042</v>
      </c>
      <c r="V11908">
        <v>46</v>
      </c>
    </row>
    <row r="11909" spans="1:22" customFormat="1" ht="15" x14ac:dyDescent="0.25">
      <c r="A11909" t="s">
        <v>315</v>
      </c>
      <c r="E11909" s="1495" t="s">
        <v>4449</v>
      </c>
      <c r="F11909" s="1495"/>
      <c r="G11909" s="658" t="s">
        <v>777</v>
      </c>
      <c r="H11909" s="576">
        <v>0.69</v>
      </c>
      <c r="K11909" t="s">
        <v>3811</v>
      </c>
      <c r="L11909" t="s">
        <v>690</v>
      </c>
      <c r="P11909" t="s">
        <v>3813</v>
      </c>
      <c r="V11909">
        <v>27</v>
      </c>
    </row>
    <row r="11910" spans="1:22" customFormat="1" ht="15" x14ac:dyDescent="0.25">
      <c r="A11910" t="s">
        <v>315</v>
      </c>
      <c r="E11910" s="1495" t="s">
        <v>3688</v>
      </c>
      <c r="F11910" s="1495"/>
      <c r="G11910" s="658" t="s">
        <v>3775</v>
      </c>
      <c r="H11910" s="577">
        <v>2.9367999999999999</v>
      </c>
      <c r="K11910" t="s">
        <v>3811</v>
      </c>
      <c r="L11910" t="s">
        <v>690</v>
      </c>
      <c r="P11910" t="s">
        <v>3814</v>
      </c>
      <c r="V11910">
        <v>28</v>
      </c>
    </row>
    <row r="11911" spans="1:22" customFormat="1" ht="15" x14ac:dyDescent="0.25">
      <c r="A11911" t="s">
        <v>315</v>
      </c>
      <c r="E11911" s="1495" t="s">
        <v>7007</v>
      </c>
      <c r="F11911" s="1561"/>
      <c r="G11911" s="658" t="s">
        <v>3775</v>
      </c>
      <c r="H11911" s="577">
        <v>-0.21920000000000001</v>
      </c>
      <c r="K11911" t="s">
        <v>3811</v>
      </c>
      <c r="L11911" t="s">
        <v>692</v>
      </c>
      <c r="P11911" t="s">
        <v>3817</v>
      </c>
      <c r="V11911">
        <v>110</v>
      </c>
    </row>
    <row r="11912" spans="1:22" customFormat="1" ht="15" x14ac:dyDescent="0.25">
      <c r="A11912" t="s">
        <v>315</v>
      </c>
      <c r="E11912" s="1495" t="s">
        <v>7008</v>
      </c>
      <c r="F11912" s="1561"/>
      <c r="G11912" s="658" t="s">
        <v>3775</v>
      </c>
      <c r="H11912" s="577">
        <v>6.4799999999999996E-2</v>
      </c>
      <c r="K11912" t="s">
        <v>3811</v>
      </c>
      <c r="L11912" t="s">
        <v>692</v>
      </c>
      <c r="P11912" t="s">
        <v>3816</v>
      </c>
      <c r="T11912">
        <v>46142</v>
      </c>
      <c r="V11912">
        <v>147</v>
      </c>
    </row>
    <row r="11913" spans="1:22" customFormat="1" ht="15" x14ac:dyDescent="0.25">
      <c r="A11913" t="s">
        <v>315</v>
      </c>
      <c r="E11913" s="1495" t="s">
        <v>7009</v>
      </c>
      <c r="F11913" s="1561"/>
      <c r="G11913" s="658" t="s">
        <v>845</v>
      </c>
      <c r="H11913" s="577">
        <v>-4.0000000000000002E-4</v>
      </c>
      <c r="K11913" t="s">
        <v>3811</v>
      </c>
      <c r="L11913" t="s">
        <v>692</v>
      </c>
      <c r="P11913" t="s">
        <v>4543</v>
      </c>
      <c r="T11913">
        <v>46142</v>
      </c>
      <c r="V11913">
        <v>142</v>
      </c>
    </row>
    <row r="11914" spans="1:22" customFormat="1" ht="15" x14ac:dyDescent="0.25">
      <c r="A11914" t="s">
        <v>315</v>
      </c>
      <c r="E11914" s="1495" t="s">
        <v>7006</v>
      </c>
      <c r="F11914" s="1561"/>
      <c r="G11914" s="658" t="s">
        <v>3775</v>
      </c>
      <c r="H11914" s="577">
        <v>-4.5877999999999997</v>
      </c>
      <c r="K11914" t="s">
        <v>3811</v>
      </c>
      <c r="L11914" t="s">
        <v>690</v>
      </c>
      <c r="P11914" t="s">
        <v>3817</v>
      </c>
      <c r="V11914">
        <v>110</v>
      </c>
    </row>
    <row r="11915" spans="1:22" customFormat="1" ht="15" x14ac:dyDescent="0.25">
      <c r="A11915" t="s">
        <v>315</v>
      </c>
      <c r="E11915" s="1495" t="s">
        <v>243</v>
      </c>
      <c r="F11915" s="1495"/>
      <c r="G11915" s="360" t="s">
        <v>3775</v>
      </c>
      <c r="H11915" s="577">
        <v>3.8117000000000001</v>
      </c>
      <c r="K11915" t="s">
        <v>3811</v>
      </c>
      <c r="L11915" t="s">
        <v>694</v>
      </c>
      <c r="P11915" t="s">
        <v>3818</v>
      </c>
      <c r="V11915">
        <v>47</v>
      </c>
    </row>
    <row r="11916" spans="1:22" customFormat="1" ht="15" x14ac:dyDescent="0.25">
      <c r="A11916" t="s">
        <v>315</v>
      </c>
      <c r="E11916" s="1495" t="s">
        <v>175</v>
      </c>
      <c r="F11916" s="1495"/>
      <c r="G11916" s="360" t="s">
        <v>3775</v>
      </c>
      <c r="H11916" s="577">
        <v>2.5821999999999998</v>
      </c>
      <c r="K11916" t="s">
        <v>3811</v>
      </c>
      <c r="L11916" t="s">
        <v>694</v>
      </c>
      <c r="P11916" t="s">
        <v>3819</v>
      </c>
      <c r="V11916">
        <v>74</v>
      </c>
    </row>
    <row r="11917" spans="1:22" customFormat="1" ht="15" x14ac:dyDescent="0.25">
      <c r="A11917" t="s">
        <v>315</v>
      </c>
      <c r="E11917" s="1488" t="s">
        <v>967</v>
      </c>
      <c r="F11917" s="1594"/>
      <c r="G11917" s="360"/>
      <c r="H11917" s="360"/>
      <c r="K11917" t="s">
        <v>1049</v>
      </c>
      <c r="V11917">
        <v>48</v>
      </c>
    </row>
    <row r="11918" spans="1:22" customFormat="1" ht="15" x14ac:dyDescent="0.25">
      <c r="A11918" t="s">
        <v>315</v>
      </c>
      <c r="E11918" s="1495" t="s">
        <v>844</v>
      </c>
      <c r="F11918" s="1495"/>
      <c r="G11918" s="658" t="s">
        <v>845</v>
      </c>
      <c r="H11918" s="605">
        <v>4.1000000000000003E-3</v>
      </c>
      <c r="K11918" t="s">
        <v>3811</v>
      </c>
      <c r="L11918" t="s">
        <v>968</v>
      </c>
      <c r="P11918" t="s">
        <v>3820</v>
      </c>
      <c r="V11918">
        <v>55</v>
      </c>
    </row>
    <row r="11919" spans="1:22" customFormat="1" ht="15" x14ac:dyDescent="0.25">
      <c r="A11919" t="s">
        <v>315</v>
      </c>
      <c r="E11919" s="1495" t="s">
        <v>846</v>
      </c>
      <c r="F11919" s="1495"/>
      <c r="G11919" s="658" t="s">
        <v>845</v>
      </c>
      <c r="H11919" s="605">
        <v>4.0000000000000002E-4</v>
      </c>
      <c r="K11919" t="s">
        <v>3811</v>
      </c>
      <c r="L11919" t="s">
        <v>968</v>
      </c>
      <c r="P11919" t="s">
        <v>3820</v>
      </c>
      <c r="V11919">
        <v>65</v>
      </c>
    </row>
    <row r="11920" spans="1:22" customFormat="1" ht="15" x14ac:dyDescent="0.25">
      <c r="A11920" t="s">
        <v>315</v>
      </c>
      <c r="E11920" s="1495" t="s">
        <v>847</v>
      </c>
      <c r="F11920" s="1495"/>
      <c r="G11920" s="658" t="s">
        <v>845</v>
      </c>
      <c r="H11920" s="605">
        <v>1.5E-3</v>
      </c>
      <c r="K11920" t="s">
        <v>3811</v>
      </c>
      <c r="L11920" t="s">
        <v>968</v>
      </c>
      <c r="P11920" t="s">
        <v>3821</v>
      </c>
      <c r="V11920">
        <v>57</v>
      </c>
    </row>
    <row r="11921" spans="1:22" customFormat="1" ht="15" x14ac:dyDescent="0.25">
      <c r="A11921" t="s">
        <v>315</v>
      </c>
      <c r="E11921" s="1495" t="s">
        <v>848</v>
      </c>
      <c r="F11921" s="1495"/>
      <c r="G11921" s="360" t="s">
        <v>777</v>
      </c>
      <c r="H11921" s="604">
        <v>0.25</v>
      </c>
      <c r="K11921" t="s">
        <v>3811</v>
      </c>
      <c r="L11921" t="s">
        <v>968</v>
      </c>
      <c r="P11921" t="s">
        <v>3822</v>
      </c>
      <c r="V11921">
        <v>63</v>
      </c>
    </row>
    <row r="11922" spans="1:22" customFormat="1" x14ac:dyDescent="0.25">
      <c r="A11922" t="s">
        <v>315</v>
      </c>
      <c r="E11922" s="1538" t="s">
        <v>207</v>
      </c>
      <c r="F11922" s="1538"/>
      <c r="G11922" s="1571"/>
      <c r="H11922" s="1571"/>
      <c r="K11922" t="s">
        <v>3823</v>
      </c>
      <c r="V11922">
        <v>31</v>
      </c>
    </row>
    <row r="11923" spans="1:22" customFormat="1" ht="15" x14ac:dyDescent="0.25">
      <c r="A11923" t="s">
        <v>315</v>
      </c>
      <c r="E11923" s="1496" t="s">
        <v>4775</v>
      </c>
      <c r="F11923" s="1496"/>
      <c r="G11923" s="1496"/>
      <c r="H11923" s="1496"/>
      <c r="K11923" t="s">
        <v>3823</v>
      </c>
      <c r="V11923">
        <v>286</v>
      </c>
    </row>
    <row r="11924" spans="1:22" customFormat="1" ht="15" x14ac:dyDescent="0.25">
      <c r="A11924" t="s">
        <v>315</v>
      </c>
      <c r="E11924" s="1533" t="s">
        <v>950</v>
      </c>
      <c r="F11924" s="1496"/>
      <c r="G11924" s="1496"/>
      <c r="H11924" s="1496"/>
      <c r="K11924" t="s">
        <v>1055</v>
      </c>
      <c r="V11924">
        <v>11</v>
      </c>
    </row>
    <row r="11925" spans="1:22" customFormat="1" ht="15" x14ac:dyDescent="0.25">
      <c r="A11925" t="s">
        <v>315</v>
      </c>
      <c r="E11925" s="1496" t="s">
        <v>951</v>
      </c>
      <c r="F11925" s="1496"/>
      <c r="G11925" s="1496"/>
      <c r="H11925" s="1496"/>
      <c r="K11925" t="s">
        <v>3823</v>
      </c>
      <c r="V11925">
        <v>280</v>
      </c>
    </row>
    <row r="11926" spans="1:22" customFormat="1" ht="15" x14ac:dyDescent="0.25">
      <c r="A11926" t="s">
        <v>315</v>
      </c>
      <c r="E11926" s="1496" t="s">
        <v>952</v>
      </c>
      <c r="F11926" s="1496"/>
      <c r="G11926" s="1496"/>
      <c r="H11926" s="1496"/>
      <c r="K11926" t="s">
        <v>3823</v>
      </c>
      <c r="V11926">
        <v>411</v>
      </c>
    </row>
    <row r="11927" spans="1:22" customFormat="1" ht="15" x14ac:dyDescent="0.25">
      <c r="A11927" t="s">
        <v>315</v>
      </c>
      <c r="E11927" s="1496" t="s">
        <v>1103</v>
      </c>
      <c r="F11927" s="1496"/>
      <c r="G11927" s="1496"/>
      <c r="H11927" s="1496"/>
      <c r="K11927" t="s">
        <v>3823</v>
      </c>
      <c r="V11927">
        <v>211</v>
      </c>
    </row>
    <row r="11928" spans="1:22" customFormat="1" ht="15" x14ac:dyDescent="0.25">
      <c r="A11928" t="s">
        <v>315</v>
      </c>
      <c r="E11928" s="1496" t="s">
        <v>3762</v>
      </c>
      <c r="F11928" s="1496"/>
      <c r="G11928" s="1496"/>
      <c r="H11928" s="1496"/>
      <c r="K11928" t="s">
        <v>3823</v>
      </c>
      <c r="V11928">
        <v>247</v>
      </c>
    </row>
    <row r="11929" spans="1:22" customFormat="1" ht="15" x14ac:dyDescent="0.25">
      <c r="A11929" t="s">
        <v>315</v>
      </c>
      <c r="E11929" s="1488" t="s">
        <v>956</v>
      </c>
      <c r="F11929" s="1590"/>
      <c r="G11929" s="1590"/>
      <c r="H11929" s="1590"/>
      <c r="K11929" t="s">
        <v>1056</v>
      </c>
      <c r="V11929">
        <v>46</v>
      </c>
    </row>
    <row r="11930" spans="1:22" customFormat="1" ht="15" x14ac:dyDescent="0.25">
      <c r="A11930" t="s">
        <v>315</v>
      </c>
      <c r="E11930" s="1495" t="s">
        <v>3773</v>
      </c>
      <c r="F11930" s="1495"/>
      <c r="G11930" s="658" t="s">
        <v>777</v>
      </c>
      <c r="H11930" s="576">
        <v>11</v>
      </c>
      <c r="K11930" t="s">
        <v>3823</v>
      </c>
      <c r="L11930" t="s">
        <v>690</v>
      </c>
      <c r="P11930" t="s">
        <v>3824</v>
      </c>
      <c r="V11930">
        <v>14</v>
      </c>
    </row>
    <row r="11931" spans="1:22" customFormat="1" ht="18.75" x14ac:dyDescent="0.3">
      <c r="A11931" t="s">
        <v>315</v>
      </c>
      <c r="E11931" s="1490" t="s">
        <v>3825</v>
      </c>
      <c r="F11931" s="1490"/>
      <c r="G11931" s="640"/>
      <c r="H11931" s="639"/>
      <c r="K11931" t="s">
        <v>5760</v>
      </c>
      <c r="V11931">
        <v>10</v>
      </c>
    </row>
    <row r="11932" spans="1:22" customFormat="1" ht="15" x14ac:dyDescent="0.25">
      <c r="A11932" t="s">
        <v>315</v>
      </c>
      <c r="E11932" s="1495" t="s">
        <v>1078</v>
      </c>
      <c r="F11932" s="1495"/>
      <c r="G11932" s="360" t="s">
        <v>3775</v>
      </c>
      <c r="H11932" s="605">
        <v>-0.7</v>
      </c>
      <c r="V11932">
        <v>68</v>
      </c>
    </row>
    <row r="11933" spans="1:22" customFormat="1" ht="15" x14ac:dyDescent="0.25">
      <c r="A11933" t="s">
        <v>315</v>
      </c>
      <c r="E11933" s="1495" t="s">
        <v>1079</v>
      </c>
      <c r="F11933" s="1495"/>
      <c r="G11933" s="360" t="s">
        <v>1118</v>
      </c>
      <c r="H11933" s="604">
        <v>-1</v>
      </c>
      <c r="V11933">
        <v>87</v>
      </c>
    </row>
    <row r="11934" spans="1:22" customFormat="1" ht="18.75" x14ac:dyDescent="0.3">
      <c r="A11934" t="s">
        <v>315</v>
      </c>
      <c r="E11934" s="1490" t="s">
        <v>3828</v>
      </c>
      <c r="F11934" s="1490"/>
      <c r="G11934" s="640"/>
      <c r="H11934" s="639"/>
      <c r="K11934" t="s">
        <v>5761</v>
      </c>
      <c r="V11934">
        <v>24</v>
      </c>
    </row>
    <row r="11935" spans="1:22" customFormat="1" ht="15" x14ac:dyDescent="0.25">
      <c r="A11935" t="s">
        <v>315</v>
      </c>
      <c r="E11935" s="1496" t="s">
        <v>951</v>
      </c>
      <c r="F11935" s="1496"/>
      <c r="G11935" s="1496"/>
      <c r="H11935" s="1496"/>
      <c r="V11935">
        <v>280</v>
      </c>
    </row>
    <row r="11936" spans="1:22" customFormat="1" ht="15" x14ac:dyDescent="0.25">
      <c r="A11936" t="s">
        <v>315</v>
      </c>
      <c r="E11936" s="1496" t="s">
        <v>1081</v>
      </c>
      <c r="F11936" s="1496"/>
      <c r="G11936" s="1496"/>
      <c r="H11936" s="1496"/>
      <c r="V11936">
        <v>353</v>
      </c>
    </row>
    <row r="11937" spans="1:22" customFormat="1" ht="15" x14ac:dyDescent="0.25">
      <c r="A11937" t="s">
        <v>315</v>
      </c>
      <c r="E11937" s="1496" t="s">
        <v>3762</v>
      </c>
      <c r="F11937" s="1496"/>
      <c r="G11937" s="1496"/>
      <c r="H11937" s="1496"/>
      <c r="V11937">
        <v>247</v>
      </c>
    </row>
    <row r="11938" spans="1:22" customFormat="1" ht="15" x14ac:dyDescent="0.25">
      <c r="A11938" t="s">
        <v>315</v>
      </c>
      <c r="E11938" s="849" t="s">
        <v>3830</v>
      </c>
      <c r="F11938" s="659"/>
      <c r="G11938" s="664"/>
      <c r="H11938" s="659"/>
      <c r="K11938" t="s">
        <v>5762</v>
      </c>
      <c r="V11938">
        <v>23</v>
      </c>
    </row>
    <row r="11939" spans="1:22" customFormat="1" ht="15" x14ac:dyDescent="0.25">
      <c r="A11939" t="s">
        <v>315</v>
      </c>
      <c r="E11939" s="1487" t="s">
        <v>3832</v>
      </c>
      <c r="F11939" s="1487"/>
      <c r="G11939" s="360" t="s">
        <v>777</v>
      </c>
      <c r="H11939" s="604">
        <v>15</v>
      </c>
      <c r="V11939">
        <v>19</v>
      </c>
    </row>
    <row r="11940" spans="1:22" customFormat="1" ht="15" x14ac:dyDescent="0.25">
      <c r="A11940" t="s">
        <v>315</v>
      </c>
      <c r="E11940" s="1487" t="s">
        <v>3833</v>
      </c>
      <c r="F11940" s="1487"/>
      <c r="G11940" s="360" t="s">
        <v>777</v>
      </c>
      <c r="H11940" s="604">
        <v>15</v>
      </c>
      <c r="V11940">
        <v>20</v>
      </c>
    </row>
    <row r="11941" spans="1:22" customFormat="1" ht="15" x14ac:dyDescent="0.25">
      <c r="A11941" t="s">
        <v>315</v>
      </c>
      <c r="E11941" s="1487" t="s">
        <v>4055</v>
      </c>
      <c r="F11941" s="1487"/>
      <c r="G11941" s="360" t="s">
        <v>777</v>
      </c>
      <c r="H11941" s="604">
        <v>15</v>
      </c>
      <c r="V11941">
        <v>37</v>
      </c>
    </row>
    <row r="11942" spans="1:22" customFormat="1" ht="15" x14ac:dyDescent="0.25">
      <c r="A11942" t="s">
        <v>315</v>
      </c>
      <c r="E11942" s="1487" t="s">
        <v>4056</v>
      </c>
      <c r="F11942" s="1487"/>
      <c r="G11942" s="360" t="s">
        <v>777</v>
      </c>
      <c r="H11942" s="604">
        <v>15</v>
      </c>
      <c r="V11942">
        <v>15</v>
      </c>
    </row>
    <row r="11943" spans="1:22" customFormat="1" ht="15" x14ac:dyDescent="0.25">
      <c r="A11943" t="s">
        <v>315</v>
      </c>
      <c r="E11943" s="1487" t="s">
        <v>4058</v>
      </c>
      <c r="F11943" s="1487"/>
      <c r="G11943" s="360" t="s">
        <v>777</v>
      </c>
      <c r="H11943" s="604">
        <v>15</v>
      </c>
      <c r="V11943">
        <v>15</v>
      </c>
    </row>
    <row r="11944" spans="1:22" customFormat="1" ht="15" x14ac:dyDescent="0.25">
      <c r="A11944" t="s">
        <v>315</v>
      </c>
      <c r="E11944" s="1487" t="s">
        <v>3836</v>
      </c>
      <c r="F11944" s="1487"/>
      <c r="G11944" s="360" t="s">
        <v>777</v>
      </c>
      <c r="H11944" s="604">
        <v>15</v>
      </c>
      <c r="V11944">
        <v>35</v>
      </c>
    </row>
    <row r="11945" spans="1:22" customFormat="1" ht="15" x14ac:dyDescent="0.25">
      <c r="A11945" t="s">
        <v>315</v>
      </c>
      <c r="E11945" s="1487" t="s">
        <v>4420</v>
      </c>
      <c r="F11945" s="1487"/>
      <c r="G11945" s="360" t="s">
        <v>777</v>
      </c>
      <c r="H11945" s="604">
        <v>15</v>
      </c>
      <c r="V11945">
        <v>24</v>
      </c>
    </row>
    <row r="11946" spans="1:22" customFormat="1" ht="15" x14ac:dyDescent="0.25">
      <c r="A11946" t="s">
        <v>315</v>
      </c>
      <c r="E11946" s="1487" t="s">
        <v>4059</v>
      </c>
      <c r="F11946" s="1487"/>
      <c r="G11946" s="360" t="s">
        <v>777</v>
      </c>
      <c r="H11946" s="604">
        <v>15</v>
      </c>
      <c r="V11946">
        <v>19</v>
      </c>
    </row>
    <row r="11947" spans="1:22" customFormat="1" ht="15" x14ac:dyDescent="0.25">
      <c r="A11947" t="s">
        <v>315</v>
      </c>
      <c r="E11947" s="1487" t="s">
        <v>3837</v>
      </c>
      <c r="F11947" s="1487"/>
      <c r="G11947" s="360" t="s">
        <v>777</v>
      </c>
      <c r="H11947" s="604">
        <v>30</v>
      </c>
      <c r="V11947">
        <v>89</v>
      </c>
    </row>
    <row r="11948" spans="1:22" customFormat="1" ht="15" x14ac:dyDescent="0.25">
      <c r="A11948" t="s">
        <v>315</v>
      </c>
      <c r="E11948" s="1487" t="s">
        <v>3914</v>
      </c>
      <c r="F11948" s="1487"/>
      <c r="G11948" s="360" t="s">
        <v>777</v>
      </c>
      <c r="H11948" s="604">
        <v>30</v>
      </c>
      <c r="V11948">
        <v>19</v>
      </c>
    </row>
    <row r="11949" spans="1:22" customFormat="1" ht="15" x14ac:dyDescent="0.25">
      <c r="A11949" t="s">
        <v>315</v>
      </c>
      <c r="E11949" s="1487" t="s">
        <v>3838</v>
      </c>
      <c r="F11949" s="1487"/>
      <c r="G11949" s="360" t="s">
        <v>777</v>
      </c>
      <c r="H11949" s="604">
        <v>30</v>
      </c>
      <c r="V11949">
        <v>74</v>
      </c>
    </row>
    <row r="11950" spans="1:22" customFormat="1" ht="15" x14ac:dyDescent="0.25">
      <c r="A11950" t="s">
        <v>315</v>
      </c>
      <c r="E11950" s="849" t="s">
        <v>4062</v>
      </c>
      <c r="F11950" s="659"/>
      <c r="G11950" s="659"/>
      <c r="H11950" s="664"/>
      <c r="K11950" t="s">
        <v>5763</v>
      </c>
      <c r="V11950">
        <v>22</v>
      </c>
    </row>
    <row r="11951" spans="1:22" customFormat="1" ht="15" x14ac:dyDescent="0.25">
      <c r="A11951" t="s">
        <v>315</v>
      </c>
      <c r="E11951" s="1487" t="s">
        <v>7014</v>
      </c>
      <c r="F11951" s="1487"/>
      <c r="G11951" s="360" t="s">
        <v>1118</v>
      </c>
      <c r="H11951" s="604">
        <v>1.5</v>
      </c>
      <c r="V11951">
        <v>105</v>
      </c>
    </row>
    <row r="11952" spans="1:22" customFormat="1" ht="15" x14ac:dyDescent="0.25">
      <c r="A11952" t="s">
        <v>315</v>
      </c>
      <c r="E11952" s="1487" t="s">
        <v>3842</v>
      </c>
      <c r="F11952" s="1487"/>
      <c r="G11952" s="360" t="s">
        <v>777</v>
      </c>
      <c r="H11952" s="604">
        <v>65</v>
      </c>
      <c r="V11952">
        <v>44</v>
      </c>
    </row>
    <row r="11953" spans="1:22" customFormat="1" ht="15" x14ac:dyDescent="0.25">
      <c r="A11953" t="s">
        <v>315</v>
      </c>
      <c r="E11953" s="1487" t="s">
        <v>3843</v>
      </c>
      <c r="F11953" s="1487"/>
      <c r="G11953" s="360" t="s">
        <v>777</v>
      </c>
      <c r="H11953" s="604">
        <v>185</v>
      </c>
      <c r="V11953">
        <v>43</v>
      </c>
    </row>
    <row r="11954" spans="1:22" customFormat="1" ht="15" x14ac:dyDescent="0.25">
      <c r="A11954" t="s">
        <v>315</v>
      </c>
      <c r="E11954" s="849" t="s">
        <v>3846</v>
      </c>
      <c r="F11954" s="659"/>
      <c r="G11954" s="659"/>
      <c r="H11954" s="664"/>
      <c r="V11954">
        <v>5</v>
      </c>
    </row>
    <row r="11955" spans="1:22" customFormat="1" ht="15" x14ac:dyDescent="0.25">
      <c r="A11955" t="s">
        <v>315</v>
      </c>
      <c r="E11955" s="1487" t="s">
        <v>7015</v>
      </c>
      <c r="F11955" s="1487"/>
      <c r="G11955" s="360" t="s">
        <v>777</v>
      </c>
      <c r="H11955" s="604">
        <v>39.14</v>
      </c>
      <c r="V11955">
        <v>111</v>
      </c>
    </row>
    <row r="11956" spans="1:22" customFormat="1" ht="15" x14ac:dyDescent="0.25">
      <c r="A11956" t="s">
        <v>315</v>
      </c>
      <c r="E11956" s="1487" t="s">
        <v>7016</v>
      </c>
      <c r="F11956" s="1487"/>
      <c r="G11956" s="360" t="s">
        <v>777</v>
      </c>
      <c r="H11956" s="604">
        <v>10</v>
      </c>
      <c r="V11956">
        <v>116</v>
      </c>
    </row>
    <row r="11957" spans="1:22" customFormat="1" ht="18.75" x14ac:dyDescent="0.3">
      <c r="A11957" t="s">
        <v>315</v>
      </c>
      <c r="E11957" s="1490" t="s">
        <v>3851</v>
      </c>
      <c r="F11957" s="1491"/>
      <c r="G11957" s="661"/>
      <c r="H11957" s="660"/>
      <c r="K11957" t="s">
        <v>5764</v>
      </c>
      <c r="V11957">
        <v>38</v>
      </c>
    </row>
    <row r="11958" spans="1:22" customFormat="1" ht="15" x14ac:dyDescent="0.25">
      <c r="A11958" t="s">
        <v>315</v>
      </c>
      <c r="E11958" s="1496" t="s">
        <v>951</v>
      </c>
      <c r="F11958" s="1496"/>
      <c r="G11958" s="1496"/>
      <c r="H11958" s="1496"/>
      <c r="V11958">
        <v>280</v>
      </c>
    </row>
    <row r="11959" spans="1:22" customFormat="1" ht="15" x14ac:dyDescent="0.25">
      <c r="A11959" t="s">
        <v>315</v>
      </c>
      <c r="E11959" s="1496" t="s">
        <v>952</v>
      </c>
      <c r="F11959" s="1496"/>
      <c r="G11959" s="1496"/>
      <c r="H11959" s="1496"/>
      <c r="V11959">
        <v>411</v>
      </c>
    </row>
    <row r="11960" spans="1:22" customFormat="1" ht="15" x14ac:dyDescent="0.25">
      <c r="A11960" t="s">
        <v>315</v>
      </c>
      <c r="E11960" s="1496" t="s">
        <v>1103</v>
      </c>
      <c r="F11960" s="1496"/>
      <c r="G11960" s="1496"/>
      <c r="H11960" s="1496"/>
      <c r="V11960">
        <v>211</v>
      </c>
    </row>
    <row r="11961" spans="1:22" customFormat="1" ht="15" x14ac:dyDescent="0.25">
      <c r="A11961" t="s">
        <v>315</v>
      </c>
      <c r="E11961" s="1496" t="s">
        <v>3762</v>
      </c>
      <c r="F11961" s="1496"/>
      <c r="G11961" s="1496"/>
      <c r="H11961" s="1496"/>
      <c r="V11961">
        <v>247</v>
      </c>
    </row>
    <row r="11962" spans="1:22" customFormat="1" ht="15" x14ac:dyDescent="0.25">
      <c r="A11962" t="s">
        <v>315</v>
      </c>
      <c r="E11962" s="1496" t="s">
        <v>1104</v>
      </c>
      <c r="F11962" s="1496"/>
      <c r="G11962" s="1496"/>
      <c r="H11962" s="1496"/>
      <c r="V11962">
        <v>142</v>
      </c>
    </row>
    <row r="11963" spans="1:22" customFormat="1" ht="15" x14ac:dyDescent="0.25">
      <c r="A11963" t="s">
        <v>315</v>
      </c>
      <c r="E11963" s="1495" t="s">
        <v>849</v>
      </c>
      <c r="F11963" s="1495"/>
      <c r="G11963" s="615" t="s">
        <v>777</v>
      </c>
      <c r="H11963" s="604">
        <v>121.23</v>
      </c>
      <c r="V11963">
        <v>106</v>
      </c>
    </row>
    <row r="11964" spans="1:22" customFormat="1" ht="15" x14ac:dyDescent="0.25">
      <c r="A11964" t="s">
        <v>315</v>
      </c>
      <c r="E11964" s="1495" t="s">
        <v>4471</v>
      </c>
      <c r="F11964" s="1495"/>
      <c r="G11964" s="615" t="s">
        <v>777</v>
      </c>
      <c r="H11964" s="604">
        <v>48.5</v>
      </c>
      <c r="V11964">
        <v>34</v>
      </c>
    </row>
    <row r="11965" spans="1:22" customFormat="1" ht="15" x14ac:dyDescent="0.25">
      <c r="A11965" t="s">
        <v>315</v>
      </c>
      <c r="E11965" s="1495" t="s">
        <v>4472</v>
      </c>
      <c r="F11965" s="1495"/>
      <c r="G11965" s="615" t="s">
        <v>852</v>
      </c>
      <c r="H11965" s="604">
        <v>1.2</v>
      </c>
      <c r="V11965">
        <v>51</v>
      </c>
    </row>
    <row r="11966" spans="1:22" customFormat="1" ht="15" x14ac:dyDescent="0.25">
      <c r="A11966" t="s">
        <v>315</v>
      </c>
      <c r="E11966" s="1495" t="s">
        <v>853</v>
      </c>
      <c r="F11966" s="1495"/>
      <c r="G11966" s="615" t="s">
        <v>852</v>
      </c>
      <c r="H11966" s="604">
        <v>0.71</v>
      </c>
      <c r="V11966">
        <v>75</v>
      </c>
    </row>
    <row r="11967" spans="1:22" customFormat="1" ht="15" x14ac:dyDescent="0.25">
      <c r="A11967" t="s">
        <v>315</v>
      </c>
      <c r="E11967" s="1495" t="s">
        <v>854</v>
      </c>
      <c r="F11967" s="1495"/>
      <c r="G11967" s="615" t="s">
        <v>852</v>
      </c>
      <c r="H11967" s="604">
        <v>-0.71</v>
      </c>
      <c r="V11967">
        <v>72</v>
      </c>
    </row>
    <row r="11968" spans="1:22" customFormat="1" ht="15" x14ac:dyDescent="0.25">
      <c r="A11968" t="s">
        <v>315</v>
      </c>
      <c r="E11968" s="1495" t="s">
        <v>855</v>
      </c>
      <c r="F11968" s="1495"/>
      <c r="G11968" s="615"/>
      <c r="H11968" s="616"/>
      <c r="V11968">
        <v>34</v>
      </c>
    </row>
    <row r="11969" spans="1:22" customFormat="1" ht="15" x14ac:dyDescent="0.25">
      <c r="A11969" t="s">
        <v>315</v>
      </c>
      <c r="E11969" s="1591" t="s">
        <v>1106</v>
      </c>
      <c r="F11969" s="1591"/>
      <c r="G11969" s="615" t="s">
        <v>777</v>
      </c>
      <c r="H11969" s="604">
        <v>0.61</v>
      </c>
      <c r="V11969">
        <v>57</v>
      </c>
    </row>
    <row r="11970" spans="1:22" customFormat="1" ht="15" x14ac:dyDescent="0.25">
      <c r="A11970" t="s">
        <v>315</v>
      </c>
      <c r="E11970" s="1591" t="s">
        <v>1107</v>
      </c>
      <c r="F11970" s="1591"/>
      <c r="G11970" s="615" t="s">
        <v>777</v>
      </c>
      <c r="H11970" s="604">
        <v>1.2</v>
      </c>
      <c r="V11970">
        <v>60</v>
      </c>
    </row>
    <row r="11971" spans="1:22" customFormat="1" ht="15" x14ac:dyDescent="0.25">
      <c r="A11971" t="s">
        <v>315</v>
      </c>
      <c r="E11971" s="1495" t="s">
        <v>4222</v>
      </c>
      <c r="F11971" s="1495"/>
      <c r="G11971" s="615"/>
      <c r="H11971" s="616"/>
      <c r="V11971">
        <v>266</v>
      </c>
    </row>
    <row r="11972" spans="1:22" customFormat="1" ht="15" x14ac:dyDescent="0.25">
      <c r="A11972" t="s">
        <v>315</v>
      </c>
      <c r="E11972" s="1591" t="s">
        <v>1111</v>
      </c>
      <c r="F11972" s="1591"/>
      <c r="G11972" s="615" t="s">
        <v>777</v>
      </c>
      <c r="H11972" s="616" t="s">
        <v>857</v>
      </c>
      <c r="V11972">
        <v>18</v>
      </c>
    </row>
    <row r="11973" spans="1:22" customFormat="1" ht="15" x14ac:dyDescent="0.25">
      <c r="A11973" t="s">
        <v>315</v>
      </c>
      <c r="E11973" s="1591" t="s">
        <v>1112</v>
      </c>
      <c r="F11973" s="1591"/>
      <c r="G11973" s="615" t="s">
        <v>777</v>
      </c>
      <c r="H11973" s="604">
        <v>4.8499999999999996</v>
      </c>
      <c r="V11973">
        <v>69</v>
      </c>
    </row>
    <row r="11974" spans="1:22" customFormat="1" ht="15" x14ac:dyDescent="0.25">
      <c r="A11974" t="s">
        <v>315</v>
      </c>
      <c r="E11974" s="1591" t="s">
        <v>7017</v>
      </c>
      <c r="F11974" s="1591"/>
      <c r="G11974" s="615" t="s">
        <v>777</v>
      </c>
      <c r="H11974" s="604">
        <v>2.42</v>
      </c>
      <c r="V11974">
        <v>211</v>
      </c>
    </row>
    <row r="11975" spans="1:22" customFormat="1" ht="18.75" x14ac:dyDescent="0.25">
      <c r="A11975" t="s">
        <v>315</v>
      </c>
      <c r="E11975" s="1594" t="s">
        <v>3853</v>
      </c>
      <c r="F11975" s="1495"/>
      <c r="G11975" s="661"/>
      <c r="H11975" s="660"/>
      <c r="K11975" t="s">
        <v>5765</v>
      </c>
      <c r="V11975">
        <v>12</v>
      </c>
    </row>
    <row r="11976" spans="1:22" customFormat="1" ht="15" x14ac:dyDescent="0.25">
      <c r="A11976" t="s">
        <v>315</v>
      </c>
      <c r="E11976" s="1524" t="s">
        <v>1114</v>
      </c>
      <c r="F11976" s="1524"/>
      <c r="G11976" s="1524"/>
      <c r="H11976" s="1524"/>
      <c r="V11976">
        <v>203</v>
      </c>
    </row>
    <row r="11977" spans="1:22" customFormat="1" ht="15" x14ac:dyDescent="0.25">
      <c r="A11977" t="s">
        <v>315</v>
      </c>
      <c r="E11977" s="1495" t="s">
        <v>1115</v>
      </c>
      <c r="F11977" s="1495"/>
      <c r="G11977" s="360"/>
      <c r="H11977" s="616">
        <v>1.0415000000000001</v>
      </c>
      <c r="V11977">
        <v>57</v>
      </c>
    </row>
    <row r="11978" spans="1:22" customFormat="1" ht="15" x14ac:dyDescent="0.25">
      <c r="A11978" t="s">
        <v>315</v>
      </c>
      <c r="E11978" s="1495" t="s">
        <v>1117</v>
      </c>
      <c r="F11978" s="1495"/>
      <c r="G11978" s="360"/>
      <c r="H11978" s="616">
        <v>1.0310999999999999</v>
      </c>
      <c r="J11978" t="s">
        <v>5766</v>
      </c>
      <c r="V11978">
        <v>55</v>
      </c>
    </row>
    <row r="11979" spans="1:22" customFormat="1" ht="23.25" x14ac:dyDescent="0.25">
      <c r="A11979" t="s">
        <v>191</v>
      </c>
      <c r="C11979" t="s">
        <v>3755</v>
      </c>
      <c r="E11979" s="1550" t="s">
        <v>191</v>
      </c>
      <c r="F11979" s="1550"/>
      <c r="G11979" s="1550"/>
      <c r="H11979" s="1550"/>
      <c r="I11979" t="s">
        <v>94</v>
      </c>
      <c r="J11979" t="s">
        <v>4440</v>
      </c>
      <c r="K11979" t="s">
        <v>191</v>
      </c>
      <c r="M11979">
        <v>6</v>
      </c>
      <c r="V11979">
        <v>21</v>
      </c>
    </row>
    <row r="11980" spans="1:22" customFormat="1" x14ac:dyDescent="0.25">
      <c r="A11980" t="s">
        <v>191</v>
      </c>
      <c r="C11980" t="s">
        <v>3757</v>
      </c>
      <c r="E11980" s="1551" t="s">
        <v>944</v>
      </c>
      <c r="F11980" s="1551"/>
      <c r="G11980" s="1551"/>
      <c r="H11980" s="1551"/>
      <c r="V11980">
        <v>27</v>
      </c>
    </row>
    <row r="11981" spans="1:22" customFormat="1" ht="15.75" x14ac:dyDescent="0.25">
      <c r="A11981" t="s">
        <v>191</v>
      </c>
      <c r="C11981" t="s">
        <v>3758</v>
      </c>
      <c r="E11981" s="1543" t="s">
        <v>6511</v>
      </c>
      <c r="F11981" s="1543"/>
      <c r="G11981" s="1543"/>
      <c r="H11981" s="1543"/>
      <c r="S11981">
        <v>45658</v>
      </c>
      <c r="V11981">
        <v>49</v>
      </c>
    </row>
    <row r="11982" spans="1:22" customFormat="1" ht="15" x14ac:dyDescent="0.25">
      <c r="A11982" t="s">
        <v>191</v>
      </c>
      <c r="C11982" t="s">
        <v>3759</v>
      </c>
      <c r="E11982" s="1544" t="s">
        <v>945</v>
      </c>
      <c r="F11982" s="1544"/>
      <c r="G11982" s="1544"/>
      <c r="H11982" s="1544"/>
      <c r="V11982">
        <v>52</v>
      </c>
    </row>
    <row r="11983" spans="1:22" customFormat="1" ht="15" x14ac:dyDescent="0.25">
      <c r="A11983" t="s">
        <v>191</v>
      </c>
      <c r="E11983" s="1544" t="s">
        <v>946</v>
      </c>
      <c r="F11983" s="1544"/>
      <c r="G11983" s="1544"/>
      <c r="H11983" s="1544"/>
      <c r="V11983">
        <v>53</v>
      </c>
    </row>
    <row r="11984" spans="1:22" customFormat="1" ht="15" x14ac:dyDescent="0.25">
      <c r="A11984" t="s">
        <v>191</v>
      </c>
      <c r="E11984" s="1513" t="s">
        <v>7018</v>
      </c>
      <c r="F11984" s="1513"/>
      <c r="G11984" s="1513"/>
      <c r="H11984" s="1513"/>
      <c r="K11984" t="s">
        <v>7018</v>
      </c>
      <c r="V11984">
        <v>12</v>
      </c>
    </row>
    <row r="11985" spans="1:22" customFormat="1" ht="15" x14ac:dyDescent="0.25">
      <c r="A11985" t="s">
        <v>191</v>
      </c>
      <c r="E11985" s="1492" t="s">
        <v>170</v>
      </c>
      <c r="F11985" s="1516"/>
      <c r="G11985" s="1516"/>
      <c r="H11985" s="1516"/>
      <c r="K11985" t="s">
        <v>947</v>
      </c>
      <c r="V11985">
        <v>34</v>
      </c>
    </row>
    <row r="11986" spans="1:22" customFormat="1" ht="15" x14ac:dyDescent="0.25">
      <c r="A11986" t="s">
        <v>191</v>
      </c>
      <c r="E11986" s="1516" t="s">
        <v>4441</v>
      </c>
      <c r="F11986" s="1516"/>
      <c r="G11986" s="1516"/>
      <c r="H11986" s="1516"/>
      <c r="K11986" t="s">
        <v>947</v>
      </c>
      <c r="V11986">
        <v>679</v>
      </c>
    </row>
    <row r="11987" spans="1:22" customFormat="1" ht="15" x14ac:dyDescent="0.25">
      <c r="A11987" t="s">
        <v>191</v>
      </c>
      <c r="E11987" s="1515" t="s">
        <v>950</v>
      </c>
      <c r="F11987" s="1516"/>
      <c r="G11987" s="1516"/>
      <c r="H11987" s="1516"/>
      <c r="K11987" t="s">
        <v>949</v>
      </c>
      <c r="V11987">
        <v>11</v>
      </c>
    </row>
    <row r="11988" spans="1:22" customFormat="1" ht="15" x14ac:dyDescent="0.25">
      <c r="A11988" t="s">
        <v>191</v>
      </c>
      <c r="E11988" s="1516" t="s">
        <v>951</v>
      </c>
      <c r="F11988" s="1516"/>
      <c r="G11988" s="1516"/>
      <c r="H11988" s="1516"/>
      <c r="K11988" t="s">
        <v>947</v>
      </c>
      <c r="V11988">
        <v>280</v>
      </c>
    </row>
    <row r="11989" spans="1:22" customFormat="1" ht="15" x14ac:dyDescent="0.25">
      <c r="A11989" t="s">
        <v>191</v>
      </c>
      <c r="E11989" s="1516" t="s">
        <v>952</v>
      </c>
      <c r="F11989" s="1516"/>
      <c r="G11989" s="1516"/>
      <c r="H11989" s="1516"/>
      <c r="K11989" t="s">
        <v>947</v>
      </c>
      <c r="V11989">
        <v>411</v>
      </c>
    </row>
    <row r="11990" spans="1:22" customFormat="1" ht="15" x14ac:dyDescent="0.25">
      <c r="A11990" t="s">
        <v>191</v>
      </c>
      <c r="E11990" s="1516" t="s">
        <v>953</v>
      </c>
      <c r="F11990" s="1516"/>
      <c r="G11990" s="1516"/>
      <c r="H11990" s="1516"/>
      <c r="K11990" t="s">
        <v>947</v>
      </c>
      <c r="V11990">
        <v>386</v>
      </c>
    </row>
    <row r="11991" spans="1:22" customFormat="1" ht="15" x14ac:dyDescent="0.25">
      <c r="A11991" t="s">
        <v>191</v>
      </c>
      <c r="E11991" s="1516" t="s">
        <v>3762</v>
      </c>
      <c r="F11991" s="1516"/>
      <c r="G11991" s="1516"/>
      <c r="H11991" s="1516"/>
      <c r="K11991" t="s">
        <v>947</v>
      </c>
      <c r="V11991">
        <v>247</v>
      </c>
    </row>
    <row r="11992" spans="1:22" customFormat="1" ht="15" x14ac:dyDescent="0.25">
      <c r="A11992" t="s">
        <v>191</v>
      </c>
      <c r="E11992" s="1515" t="s">
        <v>956</v>
      </c>
      <c r="F11992" s="1516"/>
      <c r="G11992" s="1516"/>
      <c r="H11992" s="1516"/>
      <c r="K11992" t="s">
        <v>955</v>
      </c>
      <c r="V11992">
        <v>46</v>
      </c>
    </row>
    <row r="11993" spans="1:22" customFormat="1" ht="15" x14ac:dyDescent="0.25">
      <c r="A11993" t="s">
        <v>191</v>
      </c>
      <c r="E11993" s="1507" t="s">
        <v>3773</v>
      </c>
      <c r="F11993" s="1507"/>
      <c r="G11993" s="584" t="s">
        <v>777</v>
      </c>
      <c r="H11993" s="576">
        <v>32.64</v>
      </c>
      <c r="K11993" t="s">
        <v>947</v>
      </c>
      <c r="L11993" t="s">
        <v>690</v>
      </c>
      <c r="P11993" t="s">
        <v>957</v>
      </c>
      <c r="V11993">
        <v>14</v>
      </c>
    </row>
    <row r="11994" spans="1:22" customFormat="1" ht="15" x14ac:dyDescent="0.25">
      <c r="A11994" t="s">
        <v>191</v>
      </c>
      <c r="E11994" s="1507" t="s">
        <v>7019</v>
      </c>
      <c r="F11994" s="1507"/>
      <c r="G11994" s="584" t="s">
        <v>777</v>
      </c>
      <c r="H11994" s="576">
        <v>0.1</v>
      </c>
      <c r="K11994" t="s">
        <v>947</v>
      </c>
      <c r="L11994" t="s">
        <v>690</v>
      </c>
      <c r="P11994" t="s">
        <v>3925</v>
      </c>
      <c r="T11994">
        <v>46022</v>
      </c>
      <c r="V11994">
        <v>103</v>
      </c>
    </row>
    <row r="11995" spans="1:22" customFormat="1" ht="15" x14ac:dyDescent="0.25">
      <c r="A11995" t="s">
        <v>191</v>
      </c>
      <c r="E11995" s="1507" t="s">
        <v>960</v>
      </c>
      <c r="F11995" s="1507"/>
      <c r="G11995" s="584" t="s">
        <v>777</v>
      </c>
      <c r="H11995" s="576">
        <v>0.42</v>
      </c>
      <c r="K11995" t="s">
        <v>947</v>
      </c>
      <c r="L11995" t="s">
        <v>692</v>
      </c>
      <c r="P11995" t="s">
        <v>959</v>
      </c>
      <c r="V11995">
        <v>64</v>
      </c>
    </row>
    <row r="11996" spans="1:22" customFormat="1" ht="15" x14ac:dyDescent="0.25">
      <c r="A11996" t="s">
        <v>191</v>
      </c>
      <c r="E11996" s="1507" t="s">
        <v>6519</v>
      </c>
      <c r="F11996" s="1510"/>
      <c r="G11996" s="584" t="s">
        <v>845</v>
      </c>
      <c r="H11996" s="577">
        <v>1.2999999999999999E-3</v>
      </c>
      <c r="K11996" t="s">
        <v>947</v>
      </c>
      <c r="L11996" t="s">
        <v>692</v>
      </c>
      <c r="P11996" t="s">
        <v>962</v>
      </c>
      <c r="T11996">
        <v>46022</v>
      </c>
      <c r="V11996">
        <v>142</v>
      </c>
    </row>
    <row r="11997" spans="1:22" customFormat="1" ht="15" x14ac:dyDescent="0.25">
      <c r="A11997" t="s">
        <v>191</v>
      </c>
      <c r="E11997" s="1507" t="s">
        <v>6520</v>
      </c>
      <c r="F11997" s="1510"/>
      <c r="G11997" s="584" t="s">
        <v>845</v>
      </c>
      <c r="H11997" s="577">
        <v>6.9999999999999999E-4</v>
      </c>
      <c r="K11997" t="s">
        <v>947</v>
      </c>
      <c r="L11997" t="s">
        <v>692</v>
      </c>
      <c r="P11997" t="s">
        <v>963</v>
      </c>
      <c r="T11997">
        <v>46022</v>
      </c>
      <c r="V11997">
        <v>99</v>
      </c>
    </row>
    <row r="11998" spans="1:22" customFormat="1" ht="15" x14ac:dyDescent="0.25">
      <c r="A11998" t="s">
        <v>191</v>
      </c>
      <c r="E11998" s="1507" t="s">
        <v>7020</v>
      </c>
      <c r="F11998" s="1510"/>
      <c r="G11998" s="584" t="s">
        <v>845</v>
      </c>
      <c r="H11998" s="577">
        <v>2.0000000000000001E-4</v>
      </c>
      <c r="K11998" t="s">
        <v>947</v>
      </c>
      <c r="L11998" t="s">
        <v>692</v>
      </c>
      <c r="P11998" t="s">
        <v>3764</v>
      </c>
      <c r="V11998">
        <v>148</v>
      </c>
    </row>
    <row r="11999" spans="1:22" customFormat="1" ht="15" x14ac:dyDescent="0.25">
      <c r="A11999" t="s">
        <v>191</v>
      </c>
      <c r="E11999" s="1507" t="s">
        <v>243</v>
      </c>
      <c r="F11999" s="1507"/>
      <c r="G11999" s="584" t="s">
        <v>845</v>
      </c>
      <c r="H11999" s="577">
        <v>1.2800000000000001E-2</v>
      </c>
      <c r="K11999" t="s">
        <v>947</v>
      </c>
      <c r="L11999" t="s">
        <v>694</v>
      </c>
      <c r="P11999" t="s">
        <v>964</v>
      </c>
      <c r="V11999">
        <v>47</v>
      </c>
    </row>
    <row r="12000" spans="1:22" customFormat="1" ht="15" x14ac:dyDescent="0.25">
      <c r="A12000" t="s">
        <v>191</v>
      </c>
      <c r="E12000" s="1507" t="s">
        <v>175</v>
      </c>
      <c r="F12000" s="1507"/>
      <c r="G12000" s="584" t="s">
        <v>845</v>
      </c>
      <c r="H12000" s="577">
        <v>9.5999999999999992E-3</v>
      </c>
      <c r="K12000" t="s">
        <v>947</v>
      </c>
      <c r="L12000" t="s">
        <v>694</v>
      </c>
      <c r="P12000" t="s">
        <v>965</v>
      </c>
      <c r="V12000">
        <v>74</v>
      </c>
    </row>
    <row r="12001" spans="1:22" customFormat="1" ht="15" x14ac:dyDescent="0.25">
      <c r="A12001" t="s">
        <v>191</v>
      </c>
      <c r="E12001" s="1515" t="s">
        <v>967</v>
      </c>
      <c r="F12001" s="1507"/>
      <c r="G12001" s="584"/>
      <c r="H12001" s="584"/>
      <c r="K12001" t="s">
        <v>966</v>
      </c>
      <c r="V12001">
        <v>48</v>
      </c>
    </row>
    <row r="12002" spans="1:22" customFormat="1" ht="15" x14ac:dyDescent="0.25">
      <c r="A12002" t="s">
        <v>191</v>
      </c>
      <c r="E12002" s="1507" t="s">
        <v>844</v>
      </c>
      <c r="F12002" s="1507"/>
      <c r="G12002" s="584" t="s">
        <v>845</v>
      </c>
      <c r="H12002" s="577">
        <v>4.1000000000000003E-3</v>
      </c>
      <c r="K12002" t="s">
        <v>947</v>
      </c>
      <c r="L12002" t="s">
        <v>968</v>
      </c>
      <c r="P12002" t="s">
        <v>969</v>
      </c>
      <c r="V12002">
        <v>55</v>
      </c>
    </row>
    <row r="12003" spans="1:22" customFormat="1" ht="15" x14ac:dyDescent="0.25">
      <c r="A12003" t="s">
        <v>191</v>
      </c>
      <c r="E12003" s="1507" t="s">
        <v>846</v>
      </c>
      <c r="F12003" s="1507"/>
      <c r="G12003" s="584" t="s">
        <v>845</v>
      </c>
      <c r="H12003" s="577">
        <v>4.0000000000000002E-4</v>
      </c>
      <c r="K12003" t="s">
        <v>947</v>
      </c>
      <c r="L12003" t="s">
        <v>968</v>
      </c>
      <c r="P12003" t="s">
        <v>969</v>
      </c>
      <c r="V12003">
        <v>65</v>
      </c>
    </row>
    <row r="12004" spans="1:22" customFormat="1" ht="15" x14ac:dyDescent="0.25">
      <c r="A12004" t="s">
        <v>191</v>
      </c>
      <c r="E12004" s="1507" t="s">
        <v>847</v>
      </c>
      <c r="F12004" s="1507"/>
      <c r="G12004" s="584" t="s">
        <v>845</v>
      </c>
      <c r="H12004" s="577">
        <v>1.5E-3</v>
      </c>
      <c r="K12004" t="s">
        <v>947</v>
      </c>
      <c r="L12004" t="s">
        <v>968</v>
      </c>
      <c r="P12004" t="s">
        <v>970</v>
      </c>
      <c r="V12004">
        <v>57</v>
      </c>
    </row>
    <row r="12005" spans="1:22" customFormat="1" ht="15" x14ac:dyDescent="0.25">
      <c r="A12005" t="s">
        <v>191</v>
      </c>
      <c r="E12005" s="1507" t="s">
        <v>848</v>
      </c>
      <c r="F12005" s="1507"/>
      <c r="G12005" s="584" t="s">
        <v>777</v>
      </c>
      <c r="H12005" s="576">
        <v>0.25</v>
      </c>
      <c r="K12005" t="s">
        <v>947</v>
      </c>
      <c r="L12005" t="s">
        <v>968</v>
      </c>
      <c r="P12005" t="s">
        <v>971</v>
      </c>
      <c r="V12005">
        <v>63</v>
      </c>
    </row>
    <row r="12006" spans="1:22" customFormat="1" x14ac:dyDescent="0.25">
      <c r="A12006" t="s">
        <v>191</v>
      </c>
      <c r="E12006" s="1492" t="s">
        <v>174</v>
      </c>
      <c r="F12006" s="1493"/>
      <c r="G12006" s="1493"/>
      <c r="H12006" s="1493"/>
      <c r="K12006" t="s">
        <v>972</v>
      </c>
      <c r="V12006">
        <v>54</v>
      </c>
    </row>
    <row r="12007" spans="1:22" customFormat="1" ht="15" x14ac:dyDescent="0.25">
      <c r="A12007" t="s">
        <v>191</v>
      </c>
      <c r="E12007" s="1516" t="s">
        <v>4442</v>
      </c>
      <c r="F12007" s="1516"/>
      <c r="G12007" s="1516"/>
      <c r="H12007" s="1516"/>
      <c r="K12007" t="s">
        <v>972</v>
      </c>
      <c r="V12007">
        <v>409</v>
      </c>
    </row>
    <row r="12008" spans="1:22" customFormat="1" ht="15" x14ac:dyDescent="0.25">
      <c r="A12008" t="s">
        <v>191</v>
      </c>
      <c r="E12008" s="1515" t="s">
        <v>950</v>
      </c>
      <c r="F12008" s="1516"/>
      <c r="G12008" s="1516"/>
      <c r="H12008" s="1516"/>
      <c r="K12008" t="s">
        <v>974</v>
      </c>
      <c r="V12008">
        <v>11</v>
      </c>
    </row>
    <row r="12009" spans="1:22" customFormat="1" ht="15" x14ac:dyDescent="0.25">
      <c r="A12009" t="s">
        <v>191</v>
      </c>
      <c r="E12009" s="1516" t="s">
        <v>951</v>
      </c>
      <c r="F12009" s="1516"/>
      <c r="G12009" s="1516"/>
      <c r="H12009" s="1516"/>
      <c r="K12009" t="s">
        <v>972</v>
      </c>
      <c r="V12009">
        <v>280</v>
      </c>
    </row>
    <row r="12010" spans="1:22" customFormat="1" ht="15" x14ac:dyDescent="0.25">
      <c r="A12010" t="s">
        <v>191</v>
      </c>
      <c r="E12010" s="1516" t="s">
        <v>952</v>
      </c>
      <c r="F12010" s="1516"/>
      <c r="G12010" s="1516"/>
      <c r="H12010" s="1516"/>
      <c r="K12010" t="s">
        <v>972</v>
      </c>
      <c r="V12010">
        <v>411</v>
      </c>
    </row>
    <row r="12011" spans="1:22" customFormat="1" ht="15" x14ac:dyDescent="0.25">
      <c r="A12011" t="s">
        <v>191</v>
      </c>
      <c r="E12011" s="1516" t="s">
        <v>3761</v>
      </c>
      <c r="F12011" s="1516"/>
      <c r="G12011" s="1516"/>
      <c r="H12011" s="1516"/>
      <c r="K12011" t="s">
        <v>972</v>
      </c>
      <c r="V12011">
        <v>387</v>
      </c>
    </row>
    <row r="12012" spans="1:22" customFormat="1" ht="15" x14ac:dyDescent="0.25">
      <c r="A12012" t="s">
        <v>191</v>
      </c>
      <c r="E12012" s="1516" t="s">
        <v>3762</v>
      </c>
      <c r="F12012" s="1516"/>
      <c r="G12012" s="1516"/>
      <c r="H12012" s="1516"/>
      <c r="K12012" t="s">
        <v>972</v>
      </c>
      <c r="V12012">
        <v>247</v>
      </c>
    </row>
    <row r="12013" spans="1:22" customFormat="1" ht="15" x14ac:dyDescent="0.25">
      <c r="A12013" t="s">
        <v>191</v>
      </c>
      <c r="E12013" s="1515" t="s">
        <v>956</v>
      </c>
      <c r="F12013" s="1516"/>
      <c r="G12013" s="1516"/>
      <c r="H12013" s="1516"/>
      <c r="K12013" t="s">
        <v>975</v>
      </c>
      <c r="V12013">
        <v>46</v>
      </c>
    </row>
    <row r="12014" spans="1:22" customFormat="1" ht="15" x14ac:dyDescent="0.25">
      <c r="A12014" t="s">
        <v>191</v>
      </c>
      <c r="E12014" s="1507" t="s">
        <v>3773</v>
      </c>
      <c r="F12014" s="1507"/>
      <c r="G12014" s="584" t="s">
        <v>777</v>
      </c>
      <c r="H12014" s="576">
        <v>29.29</v>
      </c>
      <c r="K12014" t="s">
        <v>972</v>
      </c>
      <c r="L12014" t="s">
        <v>690</v>
      </c>
      <c r="P12014" t="s">
        <v>976</v>
      </c>
      <c r="V12014">
        <v>14</v>
      </c>
    </row>
    <row r="12015" spans="1:22" customFormat="1" ht="15" x14ac:dyDescent="0.25">
      <c r="A12015" t="s">
        <v>191</v>
      </c>
      <c r="E12015" s="1507" t="s">
        <v>7019</v>
      </c>
      <c r="F12015" s="1507"/>
      <c r="G12015" s="584" t="s">
        <v>777</v>
      </c>
      <c r="H12015" s="576">
        <v>0.09</v>
      </c>
      <c r="K12015" t="s">
        <v>972</v>
      </c>
      <c r="L12015" t="s">
        <v>690</v>
      </c>
      <c r="P12015" t="s">
        <v>5790</v>
      </c>
      <c r="T12015">
        <v>46022</v>
      </c>
      <c r="V12015">
        <v>103</v>
      </c>
    </row>
    <row r="12016" spans="1:22" customFormat="1" ht="15" x14ac:dyDescent="0.25">
      <c r="A12016" t="s">
        <v>191</v>
      </c>
      <c r="E12016" s="1507" t="s">
        <v>960</v>
      </c>
      <c r="F12016" s="1507"/>
      <c r="G12016" s="584" t="s">
        <v>777</v>
      </c>
      <c r="H12016" s="576">
        <v>0.42</v>
      </c>
      <c r="K12016" t="s">
        <v>972</v>
      </c>
      <c r="L12016" t="s">
        <v>692</v>
      </c>
      <c r="P12016" t="s">
        <v>977</v>
      </c>
      <c r="V12016">
        <v>64</v>
      </c>
    </row>
    <row r="12017" spans="1:22" customFormat="1" ht="15" x14ac:dyDescent="0.25">
      <c r="A12017" t="s">
        <v>191</v>
      </c>
      <c r="E12017" s="1507" t="s">
        <v>3688</v>
      </c>
      <c r="F12017" s="1507"/>
      <c r="G12017" s="584" t="s">
        <v>845</v>
      </c>
      <c r="H12017" s="577">
        <v>1.9300000000000001E-2</v>
      </c>
      <c r="K12017" t="s">
        <v>972</v>
      </c>
      <c r="L12017" t="s">
        <v>690</v>
      </c>
      <c r="P12017" t="s">
        <v>978</v>
      </c>
      <c r="V12017">
        <v>28</v>
      </c>
    </row>
    <row r="12018" spans="1:22" customFormat="1" ht="15" x14ac:dyDescent="0.25">
      <c r="A12018" t="s">
        <v>191</v>
      </c>
      <c r="E12018" s="1507" t="s">
        <v>6519</v>
      </c>
      <c r="F12018" s="1510"/>
      <c r="G12018" s="584" t="s">
        <v>845</v>
      </c>
      <c r="H12018" s="577">
        <v>1.2999999999999999E-3</v>
      </c>
      <c r="K12018" t="s">
        <v>972</v>
      </c>
      <c r="L12018" t="s">
        <v>692</v>
      </c>
      <c r="P12018" t="s">
        <v>981</v>
      </c>
      <c r="T12018">
        <v>46022</v>
      </c>
      <c r="V12018">
        <v>142</v>
      </c>
    </row>
    <row r="12019" spans="1:22" customFormat="1" ht="15" x14ac:dyDescent="0.25">
      <c r="A12019" t="s">
        <v>191</v>
      </c>
      <c r="E12019" s="1507" t="s">
        <v>6520</v>
      </c>
      <c r="F12019" s="1510"/>
      <c r="G12019" s="584" t="s">
        <v>845</v>
      </c>
      <c r="H12019" s="577">
        <v>8.9999999999999998E-4</v>
      </c>
      <c r="K12019" t="s">
        <v>972</v>
      </c>
      <c r="L12019" t="s">
        <v>692</v>
      </c>
      <c r="P12019" t="s">
        <v>982</v>
      </c>
      <c r="T12019">
        <v>46022</v>
      </c>
      <c r="V12019">
        <v>99</v>
      </c>
    </row>
    <row r="12020" spans="1:22" customFormat="1" ht="15" x14ac:dyDescent="0.25">
      <c r="A12020" t="s">
        <v>191</v>
      </c>
      <c r="E12020" s="1507" t="s">
        <v>6617</v>
      </c>
      <c r="F12020" s="1510"/>
      <c r="G12020" s="584" t="s">
        <v>845</v>
      </c>
      <c r="H12020" s="577">
        <v>2.0000000000000001E-4</v>
      </c>
      <c r="K12020" t="s">
        <v>972</v>
      </c>
      <c r="L12020" t="s">
        <v>692</v>
      </c>
      <c r="P12020" t="s">
        <v>3766</v>
      </c>
      <c r="V12020">
        <v>149</v>
      </c>
    </row>
    <row r="12021" spans="1:22" customFormat="1" ht="15" x14ac:dyDescent="0.25">
      <c r="A12021" t="s">
        <v>191</v>
      </c>
      <c r="E12021" s="1507" t="s">
        <v>7019</v>
      </c>
      <c r="F12021" s="1507"/>
      <c r="G12021" s="584" t="s">
        <v>845</v>
      </c>
      <c r="H12021" s="577">
        <v>1E-4</v>
      </c>
      <c r="K12021" t="s">
        <v>972</v>
      </c>
      <c r="L12021" t="s">
        <v>690</v>
      </c>
      <c r="P12021" t="s">
        <v>7021</v>
      </c>
      <c r="T12021">
        <v>46022</v>
      </c>
      <c r="V12021">
        <v>103</v>
      </c>
    </row>
    <row r="12022" spans="1:22" customFormat="1" ht="15" x14ac:dyDescent="0.25">
      <c r="A12022" t="s">
        <v>191</v>
      </c>
      <c r="E12022" s="1507" t="s">
        <v>243</v>
      </c>
      <c r="F12022" s="1507"/>
      <c r="G12022" s="584" t="s">
        <v>845</v>
      </c>
      <c r="H12022" s="577">
        <v>1.23E-2</v>
      </c>
      <c r="K12022" t="s">
        <v>972</v>
      </c>
      <c r="L12022" t="s">
        <v>694</v>
      </c>
      <c r="P12022" t="s">
        <v>983</v>
      </c>
      <c r="V12022">
        <v>47</v>
      </c>
    </row>
    <row r="12023" spans="1:22" customFormat="1" ht="15" x14ac:dyDescent="0.25">
      <c r="A12023" t="s">
        <v>191</v>
      </c>
      <c r="E12023" s="1507" t="s">
        <v>175</v>
      </c>
      <c r="F12023" s="1507"/>
      <c r="G12023" s="584" t="s">
        <v>845</v>
      </c>
      <c r="H12023" s="577">
        <v>8.6999999999999994E-3</v>
      </c>
      <c r="K12023" t="s">
        <v>972</v>
      </c>
      <c r="L12023" t="s">
        <v>694</v>
      </c>
      <c r="P12023" t="s">
        <v>984</v>
      </c>
      <c r="V12023">
        <v>74</v>
      </c>
    </row>
    <row r="12024" spans="1:22" customFormat="1" ht="15" x14ac:dyDescent="0.25">
      <c r="A12024" t="s">
        <v>191</v>
      </c>
      <c r="E12024" s="1515" t="s">
        <v>967</v>
      </c>
      <c r="F12024" s="1507"/>
      <c r="G12024" s="584"/>
      <c r="H12024" s="584"/>
      <c r="K12024" t="s">
        <v>985</v>
      </c>
      <c r="V12024">
        <v>48</v>
      </c>
    </row>
    <row r="12025" spans="1:22" customFormat="1" ht="15" x14ac:dyDescent="0.25">
      <c r="A12025" t="s">
        <v>191</v>
      </c>
      <c r="E12025" s="1507" t="s">
        <v>844</v>
      </c>
      <c r="F12025" s="1507"/>
      <c r="G12025" s="584" t="s">
        <v>845</v>
      </c>
      <c r="H12025" s="577">
        <v>4.1000000000000003E-3</v>
      </c>
      <c r="K12025" t="s">
        <v>972</v>
      </c>
      <c r="L12025" t="s">
        <v>968</v>
      </c>
      <c r="P12025" t="s">
        <v>986</v>
      </c>
      <c r="V12025">
        <v>55</v>
      </c>
    </row>
    <row r="12026" spans="1:22" customFormat="1" ht="15" x14ac:dyDescent="0.25">
      <c r="A12026" t="s">
        <v>191</v>
      </c>
      <c r="E12026" s="1507" t="s">
        <v>846</v>
      </c>
      <c r="F12026" s="1507"/>
      <c r="G12026" s="584" t="s">
        <v>845</v>
      </c>
      <c r="H12026" s="577">
        <v>4.0000000000000002E-4</v>
      </c>
      <c r="K12026" t="s">
        <v>972</v>
      </c>
      <c r="L12026" t="s">
        <v>968</v>
      </c>
      <c r="P12026" t="s">
        <v>986</v>
      </c>
      <c r="V12026">
        <v>65</v>
      </c>
    </row>
    <row r="12027" spans="1:22" customFormat="1" ht="15" x14ac:dyDescent="0.25">
      <c r="A12027" t="s">
        <v>191</v>
      </c>
      <c r="E12027" s="1507" t="s">
        <v>847</v>
      </c>
      <c r="F12027" s="1507"/>
      <c r="G12027" s="584" t="s">
        <v>845</v>
      </c>
      <c r="H12027" s="577">
        <v>1.5E-3</v>
      </c>
      <c r="K12027" t="s">
        <v>972</v>
      </c>
      <c r="L12027" t="s">
        <v>968</v>
      </c>
      <c r="P12027" t="s">
        <v>987</v>
      </c>
      <c r="V12027">
        <v>57</v>
      </c>
    </row>
    <row r="12028" spans="1:22" customFormat="1" ht="15" x14ac:dyDescent="0.25">
      <c r="A12028" t="s">
        <v>191</v>
      </c>
      <c r="E12028" s="1507" t="s">
        <v>848</v>
      </c>
      <c r="F12028" s="1507"/>
      <c r="G12028" s="584" t="s">
        <v>777</v>
      </c>
      <c r="H12028" s="576">
        <v>0.25</v>
      </c>
      <c r="K12028" t="s">
        <v>972</v>
      </c>
      <c r="L12028" t="s">
        <v>968</v>
      </c>
      <c r="P12028" t="s">
        <v>988</v>
      </c>
      <c r="V12028">
        <v>63</v>
      </c>
    </row>
    <row r="12029" spans="1:22" customFormat="1" x14ac:dyDescent="0.25">
      <c r="A12029" t="s">
        <v>191</v>
      </c>
      <c r="E12029" s="1492" t="s">
        <v>3767</v>
      </c>
      <c r="F12029" s="1493"/>
      <c r="G12029" s="1493"/>
      <c r="H12029" s="1493"/>
      <c r="K12029" t="s">
        <v>3768</v>
      </c>
      <c r="V12029">
        <v>53</v>
      </c>
    </row>
    <row r="12030" spans="1:22" customFormat="1" ht="15" x14ac:dyDescent="0.25">
      <c r="A12030" t="s">
        <v>191</v>
      </c>
      <c r="E12030" s="1516" t="s">
        <v>4443</v>
      </c>
      <c r="F12030" s="1516"/>
      <c r="G12030" s="1516"/>
      <c r="H12030" s="1516"/>
      <c r="K12030" t="s">
        <v>3768</v>
      </c>
      <c r="V12030">
        <v>403</v>
      </c>
    </row>
    <row r="12031" spans="1:22" customFormat="1" ht="15" x14ac:dyDescent="0.25">
      <c r="A12031" t="s">
        <v>191</v>
      </c>
      <c r="E12031" s="1515" t="s">
        <v>950</v>
      </c>
      <c r="F12031" s="1516"/>
      <c r="G12031" s="1516"/>
      <c r="H12031" s="1516"/>
      <c r="K12031" t="s">
        <v>992</v>
      </c>
      <c r="V12031">
        <v>11</v>
      </c>
    </row>
    <row r="12032" spans="1:22" customFormat="1" ht="15" x14ac:dyDescent="0.25">
      <c r="A12032" t="s">
        <v>191</v>
      </c>
      <c r="E12032" s="1516" t="s">
        <v>951</v>
      </c>
      <c r="F12032" s="1516"/>
      <c r="G12032" s="1516"/>
      <c r="H12032" s="1516"/>
      <c r="K12032" t="s">
        <v>3768</v>
      </c>
      <c r="V12032">
        <v>280</v>
      </c>
    </row>
    <row r="12033" spans="1:22" customFormat="1" ht="15" x14ac:dyDescent="0.25">
      <c r="A12033" t="s">
        <v>191</v>
      </c>
      <c r="E12033" s="1516" t="s">
        <v>952</v>
      </c>
      <c r="F12033" s="1516"/>
      <c r="G12033" s="1516"/>
      <c r="H12033" s="1516"/>
      <c r="K12033" t="s">
        <v>3768</v>
      </c>
      <c r="V12033">
        <v>411</v>
      </c>
    </row>
    <row r="12034" spans="1:22" customFormat="1" ht="15" x14ac:dyDescent="0.25">
      <c r="A12034" t="s">
        <v>191</v>
      </c>
      <c r="E12034" s="1516" t="s">
        <v>3761</v>
      </c>
      <c r="F12034" s="1516"/>
      <c r="G12034" s="1516"/>
      <c r="H12034" s="1516"/>
      <c r="K12034" t="s">
        <v>3768</v>
      </c>
      <c r="V12034">
        <v>387</v>
      </c>
    </row>
    <row r="12035" spans="1:22" customFormat="1" ht="15" x14ac:dyDescent="0.25">
      <c r="A12035" t="s">
        <v>191</v>
      </c>
      <c r="E12035" s="1516" t="s">
        <v>3771</v>
      </c>
      <c r="F12035" s="1516"/>
      <c r="G12035" s="1516"/>
      <c r="H12035" s="1516"/>
      <c r="K12035" t="s">
        <v>3768</v>
      </c>
      <c r="V12035">
        <v>677</v>
      </c>
    </row>
    <row r="12036" spans="1:22" customFormat="1" ht="15" x14ac:dyDescent="0.25">
      <c r="A12036" t="s">
        <v>191</v>
      </c>
      <c r="E12036" s="1516" t="s">
        <v>3772</v>
      </c>
      <c r="F12036" s="1516"/>
      <c r="G12036" s="1516"/>
      <c r="H12036" s="1516"/>
      <c r="K12036" t="s">
        <v>3768</v>
      </c>
      <c r="V12036">
        <v>693</v>
      </c>
    </row>
    <row r="12037" spans="1:22" customFormat="1" ht="15" x14ac:dyDescent="0.25">
      <c r="A12037" t="s">
        <v>191</v>
      </c>
      <c r="E12037" s="1516" t="s">
        <v>3762</v>
      </c>
      <c r="F12037" s="1516"/>
      <c r="G12037" s="1516"/>
      <c r="H12037" s="1516"/>
      <c r="K12037" t="s">
        <v>3768</v>
      </c>
      <c r="V12037">
        <v>247</v>
      </c>
    </row>
    <row r="12038" spans="1:22" customFormat="1" ht="15" x14ac:dyDescent="0.25">
      <c r="A12038" t="s">
        <v>191</v>
      </c>
      <c r="E12038" s="1515" t="s">
        <v>956</v>
      </c>
      <c r="F12038" s="1516"/>
      <c r="G12038" s="1516"/>
      <c r="H12038" s="1516"/>
      <c r="K12038" t="s">
        <v>995</v>
      </c>
      <c r="V12038">
        <v>46</v>
      </c>
    </row>
    <row r="12039" spans="1:22" customFormat="1" ht="15" x14ac:dyDescent="0.25">
      <c r="A12039" t="s">
        <v>191</v>
      </c>
      <c r="E12039" s="1507" t="s">
        <v>3773</v>
      </c>
      <c r="F12039" s="1507"/>
      <c r="G12039" s="584" t="s">
        <v>777</v>
      </c>
      <c r="H12039" s="576">
        <v>78.66</v>
      </c>
      <c r="K12039" t="s">
        <v>3768</v>
      </c>
      <c r="L12039" t="s">
        <v>690</v>
      </c>
      <c r="P12039" t="s">
        <v>3774</v>
      </c>
      <c r="V12039">
        <v>14</v>
      </c>
    </row>
    <row r="12040" spans="1:22" customFormat="1" ht="15" x14ac:dyDescent="0.25">
      <c r="A12040" t="s">
        <v>191</v>
      </c>
      <c r="E12040" s="1507" t="s">
        <v>7019</v>
      </c>
      <c r="F12040" s="1507"/>
      <c r="G12040" s="584" t="s">
        <v>777</v>
      </c>
      <c r="H12040" s="576">
        <v>0.24</v>
      </c>
      <c r="K12040" t="s">
        <v>3768</v>
      </c>
      <c r="L12040" t="s">
        <v>690</v>
      </c>
      <c r="P12040" t="s">
        <v>5792</v>
      </c>
      <c r="T12040">
        <v>46022</v>
      </c>
      <c r="V12040">
        <v>103</v>
      </c>
    </row>
    <row r="12041" spans="1:22" customFormat="1" ht="15" x14ac:dyDescent="0.25">
      <c r="A12041" t="s">
        <v>191</v>
      </c>
      <c r="E12041" s="1507" t="s">
        <v>3688</v>
      </c>
      <c r="F12041" s="1507"/>
      <c r="G12041" s="584" t="s">
        <v>3775</v>
      </c>
      <c r="H12041" s="577">
        <v>3.8536999999999999</v>
      </c>
      <c r="K12041" t="s">
        <v>3768</v>
      </c>
      <c r="L12041" t="s">
        <v>690</v>
      </c>
      <c r="P12041" t="s">
        <v>3776</v>
      </c>
      <c r="V12041">
        <v>28</v>
      </c>
    </row>
    <row r="12042" spans="1:22" customFormat="1" ht="15" x14ac:dyDescent="0.25">
      <c r="A12042" t="s">
        <v>191</v>
      </c>
      <c r="E12042" s="1507" t="s">
        <v>6519</v>
      </c>
      <c r="F12042" s="1510"/>
      <c r="G12042" s="584" t="s">
        <v>845</v>
      </c>
      <c r="H12042" s="577">
        <v>1.2999999999999999E-3</v>
      </c>
      <c r="K12042" t="s">
        <v>3768</v>
      </c>
      <c r="L12042" t="s">
        <v>692</v>
      </c>
      <c r="P12042" t="s">
        <v>4232</v>
      </c>
      <c r="T12042">
        <v>46022</v>
      </c>
      <c r="V12042">
        <v>142</v>
      </c>
    </row>
    <row r="12043" spans="1:22" customFormat="1" ht="15" x14ac:dyDescent="0.25">
      <c r="A12043" t="s">
        <v>191</v>
      </c>
      <c r="E12043" s="1507" t="s">
        <v>6520</v>
      </c>
      <c r="F12043" s="1510"/>
      <c r="G12043" s="584" t="s">
        <v>3775</v>
      </c>
      <c r="H12043" s="577">
        <v>0.3483</v>
      </c>
      <c r="K12043" t="s">
        <v>3768</v>
      </c>
      <c r="L12043" t="s">
        <v>692</v>
      </c>
      <c r="P12043" t="s">
        <v>3779</v>
      </c>
      <c r="T12043">
        <v>46022</v>
      </c>
      <c r="V12043">
        <v>99</v>
      </c>
    </row>
    <row r="12044" spans="1:22" customFormat="1" ht="15" x14ac:dyDescent="0.25">
      <c r="A12044" t="s">
        <v>191</v>
      </c>
      <c r="E12044" s="1507" t="s">
        <v>6617</v>
      </c>
      <c r="F12044" s="1510"/>
      <c r="G12044" s="584" t="s">
        <v>3775</v>
      </c>
      <c r="H12044" s="577">
        <v>7.0599999999999996E-2</v>
      </c>
      <c r="K12044" t="s">
        <v>3768</v>
      </c>
      <c r="L12044" t="s">
        <v>692</v>
      </c>
      <c r="P12044" t="s">
        <v>3778</v>
      </c>
      <c r="V12044">
        <v>149</v>
      </c>
    </row>
    <row r="12045" spans="1:22" customFormat="1" ht="15" x14ac:dyDescent="0.25">
      <c r="A12045" t="s">
        <v>191</v>
      </c>
      <c r="E12045" s="1507" t="s">
        <v>7019</v>
      </c>
      <c r="F12045" s="1507"/>
      <c r="G12045" s="584" t="s">
        <v>3775</v>
      </c>
      <c r="H12045" s="577">
        <v>1.1599999999999999E-2</v>
      </c>
      <c r="K12045" t="s">
        <v>3768</v>
      </c>
      <c r="L12045" t="s">
        <v>690</v>
      </c>
      <c r="P12045" t="s">
        <v>7022</v>
      </c>
      <c r="T12045">
        <v>46022</v>
      </c>
      <c r="V12045">
        <v>103</v>
      </c>
    </row>
    <row r="12046" spans="1:22" customFormat="1" ht="15" x14ac:dyDescent="0.25">
      <c r="A12046" t="s">
        <v>191</v>
      </c>
      <c r="E12046" s="1507" t="s">
        <v>251</v>
      </c>
      <c r="F12046" s="1507"/>
      <c r="G12046" s="584" t="s">
        <v>3775</v>
      </c>
      <c r="H12046" s="577">
        <v>5.0598999999999998</v>
      </c>
      <c r="K12046" t="s">
        <v>3768</v>
      </c>
      <c r="L12046" t="s">
        <v>694</v>
      </c>
      <c r="P12046" t="s">
        <v>3780</v>
      </c>
      <c r="V12046">
        <v>66</v>
      </c>
    </row>
    <row r="12047" spans="1:22" customFormat="1" ht="15" x14ac:dyDescent="0.25">
      <c r="A12047" t="s">
        <v>191</v>
      </c>
      <c r="E12047" s="1507" t="s">
        <v>4444</v>
      </c>
      <c r="F12047" s="1507"/>
      <c r="G12047" s="584" t="s">
        <v>3775</v>
      </c>
      <c r="H12047" s="577">
        <v>3.794</v>
      </c>
      <c r="K12047" t="s">
        <v>3768</v>
      </c>
      <c r="L12047" t="s">
        <v>694</v>
      </c>
      <c r="P12047" t="s">
        <v>3781</v>
      </c>
      <c r="V12047">
        <v>94</v>
      </c>
    </row>
    <row r="12048" spans="1:22" customFormat="1" ht="15" x14ac:dyDescent="0.25">
      <c r="A12048" t="s">
        <v>191</v>
      </c>
      <c r="E12048" s="1515" t="s">
        <v>967</v>
      </c>
      <c r="F12048" s="1507"/>
      <c r="G12048" s="584"/>
      <c r="H12048" s="584"/>
      <c r="K12048" t="s">
        <v>1003</v>
      </c>
      <c r="V12048">
        <v>48</v>
      </c>
    </row>
    <row r="12049" spans="1:22" customFormat="1" ht="15" x14ac:dyDescent="0.25">
      <c r="A12049" t="s">
        <v>191</v>
      </c>
      <c r="E12049" s="1507" t="s">
        <v>844</v>
      </c>
      <c r="F12049" s="1507"/>
      <c r="G12049" s="584" t="s">
        <v>845</v>
      </c>
      <c r="H12049" s="577">
        <v>4.1000000000000003E-3</v>
      </c>
      <c r="K12049" t="s">
        <v>3768</v>
      </c>
      <c r="L12049" t="s">
        <v>968</v>
      </c>
      <c r="P12049" t="s">
        <v>3782</v>
      </c>
      <c r="V12049">
        <v>55</v>
      </c>
    </row>
    <row r="12050" spans="1:22" customFormat="1" ht="15" x14ac:dyDescent="0.25">
      <c r="A12050" t="s">
        <v>191</v>
      </c>
      <c r="E12050" s="1507" t="s">
        <v>846</v>
      </c>
      <c r="F12050" s="1507"/>
      <c r="G12050" s="584" t="s">
        <v>845</v>
      </c>
      <c r="H12050" s="577">
        <v>4.0000000000000002E-4</v>
      </c>
      <c r="K12050" t="s">
        <v>3768</v>
      </c>
      <c r="L12050" t="s">
        <v>968</v>
      </c>
      <c r="P12050" t="s">
        <v>3782</v>
      </c>
      <c r="V12050">
        <v>65</v>
      </c>
    </row>
    <row r="12051" spans="1:22" customFormat="1" ht="15" x14ac:dyDescent="0.25">
      <c r="A12051" t="s">
        <v>191</v>
      </c>
      <c r="E12051" s="1507" t="s">
        <v>847</v>
      </c>
      <c r="F12051" s="1507"/>
      <c r="G12051" s="584" t="s">
        <v>845</v>
      </c>
      <c r="H12051" s="577">
        <v>1.5E-3</v>
      </c>
      <c r="K12051" t="s">
        <v>3768</v>
      </c>
      <c r="L12051" t="s">
        <v>968</v>
      </c>
      <c r="P12051" t="s">
        <v>3783</v>
      </c>
      <c r="V12051">
        <v>57</v>
      </c>
    </row>
    <row r="12052" spans="1:22" customFormat="1" ht="15" x14ac:dyDescent="0.25">
      <c r="A12052" t="s">
        <v>191</v>
      </c>
      <c r="E12052" s="1507" t="s">
        <v>848</v>
      </c>
      <c r="F12052" s="1507"/>
      <c r="G12052" s="584" t="s">
        <v>777</v>
      </c>
      <c r="H12052" s="576">
        <v>0.25</v>
      </c>
      <c r="K12052" t="s">
        <v>3768</v>
      </c>
      <c r="L12052" t="s">
        <v>968</v>
      </c>
      <c r="P12052" t="s">
        <v>3784</v>
      </c>
      <c r="V12052">
        <v>63</v>
      </c>
    </row>
    <row r="12053" spans="1:22" customFormat="1" x14ac:dyDescent="0.25">
      <c r="A12053" t="s">
        <v>191</v>
      </c>
      <c r="E12053" s="1478" t="s">
        <v>194</v>
      </c>
      <c r="F12053" s="1760"/>
      <c r="G12053" s="1760"/>
      <c r="H12053" s="1760"/>
      <c r="K12053" t="s">
        <v>3785</v>
      </c>
      <c r="V12053">
        <v>47</v>
      </c>
    </row>
    <row r="12054" spans="1:22" customFormat="1" ht="15" x14ac:dyDescent="0.25">
      <c r="A12054" t="s">
        <v>191</v>
      </c>
      <c r="E12054" s="1516" t="s">
        <v>4445</v>
      </c>
      <c r="F12054" s="1516"/>
      <c r="G12054" s="1516"/>
      <c r="H12054" s="1516"/>
      <c r="K12054" t="s">
        <v>3785</v>
      </c>
      <c r="V12054">
        <v>732</v>
      </c>
    </row>
    <row r="12055" spans="1:22" customFormat="1" ht="15" x14ac:dyDescent="0.25">
      <c r="A12055" t="s">
        <v>191</v>
      </c>
      <c r="E12055" s="1515" t="s">
        <v>950</v>
      </c>
      <c r="F12055" s="1516"/>
      <c r="G12055" s="1516"/>
      <c r="H12055" s="1516"/>
      <c r="K12055" t="s">
        <v>1010</v>
      </c>
      <c r="V12055">
        <v>11</v>
      </c>
    </row>
    <row r="12056" spans="1:22" customFormat="1" ht="15" x14ac:dyDescent="0.25">
      <c r="A12056" t="s">
        <v>191</v>
      </c>
      <c r="E12056" s="1516" t="s">
        <v>951</v>
      </c>
      <c r="F12056" s="1516"/>
      <c r="G12056" s="1516"/>
      <c r="H12056" s="1516"/>
      <c r="K12056" t="s">
        <v>3785</v>
      </c>
      <c r="V12056">
        <v>280</v>
      </c>
    </row>
    <row r="12057" spans="1:22" customFormat="1" ht="15" x14ac:dyDescent="0.25">
      <c r="A12057" t="s">
        <v>191</v>
      </c>
      <c r="E12057" s="1516" t="s">
        <v>952</v>
      </c>
      <c r="F12057" s="1516"/>
      <c r="G12057" s="1516"/>
      <c r="H12057" s="1516"/>
      <c r="K12057" t="s">
        <v>3785</v>
      </c>
      <c r="V12057">
        <v>411</v>
      </c>
    </row>
    <row r="12058" spans="1:22" customFormat="1" ht="15" x14ac:dyDescent="0.25">
      <c r="A12058" t="s">
        <v>191</v>
      </c>
      <c r="E12058" s="1516" t="s">
        <v>3761</v>
      </c>
      <c r="F12058" s="1516"/>
      <c r="G12058" s="1516"/>
      <c r="H12058" s="1516"/>
      <c r="K12058" t="s">
        <v>3785</v>
      </c>
      <c r="V12058">
        <v>387</v>
      </c>
    </row>
    <row r="12059" spans="1:22" customFormat="1" ht="15" x14ac:dyDescent="0.25">
      <c r="A12059" t="s">
        <v>191</v>
      </c>
      <c r="E12059" s="1516" t="s">
        <v>3762</v>
      </c>
      <c r="F12059" s="1516"/>
      <c r="G12059" s="1516"/>
      <c r="H12059" s="1516"/>
      <c r="K12059" t="s">
        <v>3785</v>
      </c>
      <c r="V12059">
        <v>247</v>
      </c>
    </row>
    <row r="12060" spans="1:22" customFormat="1" ht="15" x14ac:dyDescent="0.25">
      <c r="A12060" t="s">
        <v>191</v>
      </c>
      <c r="E12060" s="1515" t="s">
        <v>956</v>
      </c>
      <c r="F12060" s="1516"/>
      <c r="G12060" s="1516"/>
      <c r="H12060" s="1516"/>
      <c r="K12060" t="s">
        <v>1011</v>
      </c>
      <c r="V12060">
        <v>46</v>
      </c>
    </row>
    <row r="12061" spans="1:22" customFormat="1" ht="15" x14ac:dyDescent="0.25">
      <c r="A12061" t="s">
        <v>191</v>
      </c>
      <c r="E12061" s="1507" t="s">
        <v>3773</v>
      </c>
      <c r="F12061" s="1507"/>
      <c r="G12061" s="584" t="s">
        <v>777</v>
      </c>
      <c r="H12061" s="576">
        <v>10.81</v>
      </c>
      <c r="K12061" t="s">
        <v>3785</v>
      </c>
      <c r="L12061" t="s">
        <v>690</v>
      </c>
      <c r="P12061" t="s">
        <v>3788</v>
      </c>
      <c r="V12061">
        <v>14</v>
      </c>
    </row>
    <row r="12062" spans="1:22" customFormat="1" ht="15" x14ac:dyDescent="0.25">
      <c r="A12062" t="s">
        <v>191</v>
      </c>
      <c r="E12062" s="1507" t="s">
        <v>7019</v>
      </c>
      <c r="F12062" s="1507"/>
      <c r="G12062" s="584" t="s">
        <v>777</v>
      </c>
      <c r="H12062" s="576">
        <v>0.03</v>
      </c>
      <c r="K12062" t="s">
        <v>3785</v>
      </c>
      <c r="L12062" t="s">
        <v>690</v>
      </c>
      <c r="P12062" t="s">
        <v>7023</v>
      </c>
      <c r="T12062">
        <v>46022</v>
      </c>
      <c r="V12062">
        <v>103</v>
      </c>
    </row>
    <row r="12063" spans="1:22" customFormat="1" ht="15" x14ac:dyDescent="0.25">
      <c r="A12063" t="s">
        <v>191</v>
      </c>
      <c r="E12063" s="1507" t="s">
        <v>3688</v>
      </c>
      <c r="F12063" s="1507"/>
      <c r="G12063" s="584" t="s">
        <v>845</v>
      </c>
      <c r="H12063" s="577">
        <v>1.8800000000000001E-2</v>
      </c>
      <c r="K12063" t="s">
        <v>3785</v>
      </c>
      <c r="L12063" t="s">
        <v>690</v>
      </c>
      <c r="P12063" t="s">
        <v>3789</v>
      </c>
      <c r="V12063">
        <v>28</v>
      </c>
    </row>
    <row r="12064" spans="1:22" customFormat="1" ht="15" x14ac:dyDescent="0.25">
      <c r="A12064" t="s">
        <v>191</v>
      </c>
      <c r="E12064" s="1507" t="s">
        <v>6617</v>
      </c>
      <c r="F12064" s="1510"/>
      <c r="G12064" s="584" t="s">
        <v>845</v>
      </c>
      <c r="H12064" s="577">
        <v>2.0000000000000001E-4</v>
      </c>
      <c r="K12064" t="s">
        <v>3785</v>
      </c>
      <c r="L12064" t="s">
        <v>692</v>
      </c>
      <c r="P12064" t="s">
        <v>3791</v>
      </c>
      <c r="V12064">
        <v>149</v>
      </c>
    </row>
    <row r="12065" spans="1:22" customFormat="1" ht="15" x14ac:dyDescent="0.25">
      <c r="A12065" t="s">
        <v>191</v>
      </c>
      <c r="E12065" s="1507" t="s">
        <v>6520</v>
      </c>
      <c r="F12065" s="1510"/>
      <c r="G12065" s="584" t="s">
        <v>845</v>
      </c>
      <c r="H12065" s="577">
        <v>8.9999999999999998E-4</v>
      </c>
      <c r="K12065" t="s">
        <v>3785</v>
      </c>
      <c r="L12065" t="s">
        <v>692</v>
      </c>
      <c r="P12065" t="s">
        <v>3792</v>
      </c>
      <c r="T12065">
        <v>46022</v>
      </c>
      <c r="V12065">
        <v>99</v>
      </c>
    </row>
    <row r="12066" spans="1:22" customFormat="1" ht="15" x14ac:dyDescent="0.25">
      <c r="A12066" t="s">
        <v>191</v>
      </c>
      <c r="E12066" s="1507" t="s">
        <v>7019</v>
      </c>
      <c r="F12066" s="1507"/>
      <c r="G12066" s="584" t="s">
        <v>845</v>
      </c>
      <c r="H12066" s="577">
        <v>1E-4</v>
      </c>
      <c r="K12066" t="s">
        <v>3785</v>
      </c>
      <c r="L12066" t="s">
        <v>690</v>
      </c>
      <c r="P12066" t="s">
        <v>7024</v>
      </c>
      <c r="T12066">
        <v>46022</v>
      </c>
      <c r="V12066">
        <v>103</v>
      </c>
    </row>
    <row r="12067" spans="1:22" customFormat="1" ht="15" x14ac:dyDescent="0.25">
      <c r="A12067" t="s">
        <v>191</v>
      </c>
      <c r="E12067" s="1507" t="s">
        <v>243</v>
      </c>
      <c r="F12067" s="1507"/>
      <c r="G12067" s="584" t="s">
        <v>845</v>
      </c>
      <c r="H12067" s="577">
        <v>1.23E-2</v>
      </c>
      <c r="K12067" t="s">
        <v>3785</v>
      </c>
      <c r="L12067" t="s">
        <v>694</v>
      </c>
      <c r="P12067" t="s">
        <v>3793</v>
      </c>
      <c r="V12067">
        <v>47</v>
      </c>
    </row>
    <row r="12068" spans="1:22" customFormat="1" ht="15" x14ac:dyDescent="0.25">
      <c r="A12068" t="s">
        <v>191</v>
      </c>
      <c r="E12068" s="1507" t="s">
        <v>175</v>
      </c>
      <c r="F12068" s="1507"/>
      <c r="G12068" s="584" t="s">
        <v>845</v>
      </c>
      <c r="H12068" s="577">
        <v>8.6999999999999994E-3</v>
      </c>
      <c r="K12068" t="s">
        <v>3785</v>
      </c>
      <c r="L12068" t="s">
        <v>694</v>
      </c>
      <c r="P12068" t="s">
        <v>3794</v>
      </c>
      <c r="V12068">
        <v>74</v>
      </c>
    </row>
    <row r="12069" spans="1:22" customFormat="1" ht="15" x14ac:dyDescent="0.25">
      <c r="A12069" t="s">
        <v>191</v>
      </c>
      <c r="E12069" s="1515" t="s">
        <v>967</v>
      </c>
      <c r="F12069" s="1507"/>
      <c r="G12069" s="584"/>
      <c r="H12069" s="584"/>
      <c r="K12069" t="s">
        <v>1019</v>
      </c>
      <c r="V12069">
        <v>48</v>
      </c>
    </row>
    <row r="12070" spans="1:22" customFormat="1" ht="15" x14ac:dyDescent="0.25">
      <c r="A12070" t="s">
        <v>191</v>
      </c>
      <c r="E12070" s="1507" t="s">
        <v>844</v>
      </c>
      <c r="F12070" s="1507"/>
      <c r="G12070" s="584" t="s">
        <v>845</v>
      </c>
      <c r="H12070" s="577">
        <v>4.1000000000000003E-3</v>
      </c>
      <c r="K12070" t="s">
        <v>3785</v>
      </c>
      <c r="L12070" t="s">
        <v>968</v>
      </c>
      <c r="P12070" t="s">
        <v>3795</v>
      </c>
      <c r="V12070">
        <v>55</v>
      </c>
    </row>
    <row r="12071" spans="1:22" customFormat="1" ht="15" x14ac:dyDescent="0.25">
      <c r="A12071" t="s">
        <v>191</v>
      </c>
      <c r="E12071" s="1507" t="s">
        <v>846</v>
      </c>
      <c r="F12071" s="1507"/>
      <c r="G12071" s="584" t="s">
        <v>845</v>
      </c>
      <c r="H12071" s="577">
        <v>4.0000000000000002E-4</v>
      </c>
      <c r="K12071" t="s">
        <v>3785</v>
      </c>
      <c r="L12071" t="s">
        <v>968</v>
      </c>
      <c r="P12071" t="s">
        <v>3795</v>
      </c>
      <c r="V12071">
        <v>65</v>
      </c>
    </row>
    <row r="12072" spans="1:22" customFormat="1" ht="15" x14ac:dyDescent="0.25">
      <c r="A12072" t="s">
        <v>191</v>
      </c>
      <c r="E12072" s="1507" t="s">
        <v>847</v>
      </c>
      <c r="F12072" s="1507"/>
      <c r="G12072" s="584" t="s">
        <v>845</v>
      </c>
      <c r="H12072" s="577">
        <v>1.5E-3</v>
      </c>
      <c r="K12072" t="s">
        <v>3785</v>
      </c>
      <c r="L12072" t="s">
        <v>968</v>
      </c>
      <c r="P12072" t="s">
        <v>3796</v>
      </c>
      <c r="V12072">
        <v>57</v>
      </c>
    </row>
    <row r="12073" spans="1:22" customFormat="1" ht="15" x14ac:dyDescent="0.25">
      <c r="A12073" t="s">
        <v>191</v>
      </c>
      <c r="E12073" s="1507" t="s">
        <v>848</v>
      </c>
      <c r="F12073" s="1507"/>
      <c r="G12073" s="584" t="s">
        <v>777</v>
      </c>
      <c r="H12073" s="576">
        <v>0.25</v>
      </c>
      <c r="K12073" t="s">
        <v>3785</v>
      </c>
      <c r="L12073" t="s">
        <v>968</v>
      </c>
      <c r="P12073" t="s">
        <v>3797</v>
      </c>
      <c r="V12073">
        <v>63</v>
      </c>
    </row>
    <row r="12074" spans="1:22" customFormat="1" x14ac:dyDescent="0.25">
      <c r="A12074" t="s">
        <v>191</v>
      </c>
      <c r="E12074" s="1492" t="s">
        <v>202</v>
      </c>
      <c r="F12074" s="1493"/>
      <c r="G12074" s="1493"/>
      <c r="H12074" s="1493"/>
      <c r="K12074" t="s">
        <v>4447</v>
      </c>
      <c r="V12074">
        <v>38</v>
      </c>
    </row>
    <row r="12075" spans="1:22" customFormat="1" ht="15" x14ac:dyDescent="0.25">
      <c r="A12075" t="s">
        <v>191</v>
      </c>
      <c r="E12075" s="1516" t="s">
        <v>4448</v>
      </c>
      <c r="F12075" s="1516"/>
      <c r="G12075" s="1516"/>
      <c r="H12075" s="1516"/>
      <c r="K12075" t="s">
        <v>4447</v>
      </c>
      <c r="V12075">
        <v>582</v>
      </c>
    </row>
    <row r="12076" spans="1:22" customFormat="1" ht="15" x14ac:dyDescent="0.25">
      <c r="A12076" t="s">
        <v>191</v>
      </c>
      <c r="E12076" s="1515" t="s">
        <v>950</v>
      </c>
      <c r="F12076" s="1516"/>
      <c r="G12076" s="1516"/>
      <c r="H12076" s="1516"/>
      <c r="K12076" t="s">
        <v>1025</v>
      </c>
      <c r="V12076">
        <v>11</v>
      </c>
    </row>
    <row r="12077" spans="1:22" customFormat="1" ht="15" x14ac:dyDescent="0.25">
      <c r="A12077" t="s">
        <v>191</v>
      </c>
      <c r="E12077" s="1516" t="s">
        <v>951</v>
      </c>
      <c r="F12077" s="1516"/>
      <c r="G12077" s="1516"/>
      <c r="H12077" s="1516"/>
      <c r="K12077" t="s">
        <v>4447</v>
      </c>
      <c r="V12077">
        <v>280</v>
      </c>
    </row>
    <row r="12078" spans="1:22" customFormat="1" ht="15" x14ac:dyDescent="0.25">
      <c r="A12078" t="s">
        <v>191</v>
      </c>
      <c r="E12078" s="1516" t="s">
        <v>952</v>
      </c>
      <c r="F12078" s="1516"/>
      <c r="G12078" s="1516"/>
      <c r="H12078" s="1516"/>
      <c r="K12078" t="s">
        <v>4447</v>
      </c>
      <c r="V12078">
        <v>411</v>
      </c>
    </row>
    <row r="12079" spans="1:22" customFormat="1" ht="15" x14ac:dyDescent="0.25">
      <c r="A12079" t="s">
        <v>191</v>
      </c>
      <c r="E12079" s="1516" t="s">
        <v>3761</v>
      </c>
      <c r="F12079" s="1516"/>
      <c r="G12079" s="1516"/>
      <c r="H12079" s="1516"/>
      <c r="K12079" t="s">
        <v>4447</v>
      </c>
      <c r="V12079">
        <v>387</v>
      </c>
    </row>
    <row r="12080" spans="1:22" customFormat="1" ht="15" x14ac:dyDescent="0.25">
      <c r="A12080" t="s">
        <v>191</v>
      </c>
      <c r="E12080" s="1516" t="s">
        <v>3762</v>
      </c>
      <c r="F12080" s="1516"/>
      <c r="G12080" s="1516"/>
      <c r="H12080" s="1516"/>
      <c r="K12080" t="s">
        <v>4447</v>
      </c>
      <c r="V12080">
        <v>247</v>
      </c>
    </row>
    <row r="12081" spans="1:22" customFormat="1" ht="15" x14ac:dyDescent="0.25">
      <c r="A12081" t="s">
        <v>191</v>
      </c>
      <c r="E12081" s="1515" t="s">
        <v>956</v>
      </c>
      <c r="F12081" s="1516"/>
      <c r="G12081" s="1516"/>
      <c r="H12081" s="1516"/>
      <c r="K12081" t="s">
        <v>1026</v>
      </c>
      <c r="V12081">
        <v>46</v>
      </c>
    </row>
    <row r="12082" spans="1:22" customFormat="1" ht="15" x14ac:dyDescent="0.25">
      <c r="A12082" t="s">
        <v>191</v>
      </c>
      <c r="E12082" s="1507" t="s">
        <v>4449</v>
      </c>
      <c r="F12082" s="1507"/>
      <c r="G12082" s="584" t="s">
        <v>777</v>
      </c>
      <c r="H12082" s="576">
        <v>0.65</v>
      </c>
      <c r="K12082" t="s">
        <v>4447</v>
      </c>
      <c r="L12082" t="s">
        <v>690</v>
      </c>
      <c r="P12082" t="s">
        <v>4450</v>
      </c>
      <c r="V12082">
        <v>27</v>
      </c>
    </row>
    <row r="12083" spans="1:22" customFormat="1" ht="15" x14ac:dyDescent="0.25">
      <c r="A12083" t="s">
        <v>191</v>
      </c>
      <c r="E12083" s="1507" t="s">
        <v>3688</v>
      </c>
      <c r="F12083" s="1507"/>
      <c r="G12083" s="584" t="s">
        <v>3775</v>
      </c>
      <c r="H12083" s="577">
        <v>4.6704999999999997</v>
      </c>
      <c r="K12083" t="s">
        <v>4447</v>
      </c>
      <c r="L12083" t="s">
        <v>690</v>
      </c>
      <c r="P12083" t="s">
        <v>4451</v>
      </c>
      <c r="V12083">
        <v>28</v>
      </c>
    </row>
    <row r="12084" spans="1:22" customFormat="1" ht="15" x14ac:dyDescent="0.25">
      <c r="A12084" t="s">
        <v>191</v>
      </c>
      <c r="E12084" s="1507" t="s">
        <v>6519</v>
      </c>
      <c r="F12084" s="1510"/>
      <c r="G12084" s="584" t="s">
        <v>845</v>
      </c>
      <c r="H12084" s="577">
        <v>1.2999999999999999E-3</v>
      </c>
      <c r="K12084" t="s">
        <v>4447</v>
      </c>
      <c r="L12084" t="s">
        <v>692</v>
      </c>
      <c r="P12084" t="s">
        <v>4452</v>
      </c>
      <c r="T12084">
        <v>46022</v>
      </c>
      <c r="V12084">
        <v>142</v>
      </c>
    </row>
    <row r="12085" spans="1:22" customFormat="1" ht="15" x14ac:dyDescent="0.25">
      <c r="A12085" t="s">
        <v>191</v>
      </c>
      <c r="E12085" s="1507" t="s">
        <v>6520</v>
      </c>
      <c r="F12085" s="1510"/>
      <c r="G12085" s="584" t="s">
        <v>3775</v>
      </c>
      <c r="H12085" s="577">
        <v>0.34350000000000003</v>
      </c>
      <c r="K12085" t="s">
        <v>4447</v>
      </c>
      <c r="L12085" t="s">
        <v>692</v>
      </c>
      <c r="P12085" t="s">
        <v>4453</v>
      </c>
      <c r="T12085">
        <v>46022</v>
      </c>
      <c r="V12085">
        <v>99</v>
      </c>
    </row>
    <row r="12086" spans="1:22" customFormat="1" ht="15" x14ac:dyDescent="0.25">
      <c r="A12086" t="s">
        <v>191</v>
      </c>
      <c r="E12086" s="1507" t="s">
        <v>6617</v>
      </c>
      <c r="F12086" s="1510"/>
      <c r="G12086" s="584" t="s">
        <v>3775</v>
      </c>
      <c r="H12086" s="577">
        <v>7.2499999999999995E-2</v>
      </c>
      <c r="K12086" t="s">
        <v>4447</v>
      </c>
      <c r="L12086" t="s">
        <v>692</v>
      </c>
      <c r="P12086" t="s">
        <v>4455</v>
      </c>
      <c r="V12086">
        <v>149</v>
      </c>
    </row>
    <row r="12087" spans="1:22" customFormat="1" ht="15" x14ac:dyDescent="0.25">
      <c r="A12087" t="s">
        <v>191</v>
      </c>
      <c r="E12087" s="1507" t="s">
        <v>7019</v>
      </c>
      <c r="F12087" s="1507"/>
      <c r="G12087" s="584" t="s">
        <v>3775</v>
      </c>
      <c r="H12087" s="577">
        <v>1.41E-2</v>
      </c>
      <c r="K12087" t="s">
        <v>4447</v>
      </c>
      <c r="L12087" t="s">
        <v>690</v>
      </c>
      <c r="P12087" t="s">
        <v>7025</v>
      </c>
      <c r="T12087">
        <v>46022</v>
      </c>
      <c r="V12087">
        <v>103</v>
      </c>
    </row>
    <row r="12088" spans="1:22" customFormat="1" ht="15" x14ac:dyDescent="0.25">
      <c r="A12088" t="s">
        <v>191</v>
      </c>
      <c r="E12088" s="1507" t="s">
        <v>243</v>
      </c>
      <c r="F12088" s="1507"/>
      <c r="G12088" s="584" t="s">
        <v>3775</v>
      </c>
      <c r="H12088" s="577">
        <v>3.6978</v>
      </c>
      <c r="K12088" t="s">
        <v>4447</v>
      </c>
      <c r="L12088" t="s">
        <v>694</v>
      </c>
      <c r="P12088" t="s">
        <v>4456</v>
      </c>
      <c r="V12088">
        <v>47</v>
      </c>
    </row>
    <row r="12089" spans="1:22" customFormat="1" ht="15" x14ac:dyDescent="0.25">
      <c r="A12089" t="s">
        <v>191</v>
      </c>
      <c r="E12089" s="1507" t="s">
        <v>203</v>
      </c>
      <c r="F12089" s="1507"/>
      <c r="G12089" s="584" t="s">
        <v>3775</v>
      </c>
      <c r="H12089" s="577">
        <v>2.7</v>
      </c>
      <c r="K12089" t="s">
        <v>4447</v>
      </c>
      <c r="L12089" t="s">
        <v>694</v>
      </c>
      <c r="P12089" t="s">
        <v>4457</v>
      </c>
      <c r="V12089">
        <v>55</v>
      </c>
    </row>
    <row r="12090" spans="1:22" customFormat="1" ht="15" x14ac:dyDescent="0.25">
      <c r="A12090" t="s">
        <v>191</v>
      </c>
      <c r="E12090" s="1515" t="s">
        <v>967</v>
      </c>
      <c r="F12090" s="1507"/>
      <c r="G12090" s="584"/>
      <c r="H12090" s="584"/>
      <c r="K12090" t="s">
        <v>1035</v>
      </c>
      <c r="V12090">
        <v>48</v>
      </c>
    </row>
    <row r="12091" spans="1:22" customFormat="1" ht="15" x14ac:dyDescent="0.25">
      <c r="A12091" t="s">
        <v>191</v>
      </c>
      <c r="E12091" s="1507" t="s">
        <v>844</v>
      </c>
      <c r="F12091" s="1507"/>
      <c r="G12091" s="584" t="s">
        <v>845</v>
      </c>
      <c r="H12091" s="577">
        <v>4.1000000000000003E-3</v>
      </c>
      <c r="K12091" t="s">
        <v>4447</v>
      </c>
      <c r="L12091" t="s">
        <v>968</v>
      </c>
      <c r="P12091" t="s">
        <v>4458</v>
      </c>
      <c r="V12091">
        <v>55</v>
      </c>
    </row>
    <row r="12092" spans="1:22" customFormat="1" ht="15" x14ac:dyDescent="0.25">
      <c r="A12092" t="s">
        <v>191</v>
      </c>
      <c r="E12092" s="1507" t="s">
        <v>846</v>
      </c>
      <c r="F12092" s="1507"/>
      <c r="G12092" s="584" t="s">
        <v>845</v>
      </c>
      <c r="H12092" s="577">
        <v>4.0000000000000002E-4</v>
      </c>
      <c r="K12092" t="s">
        <v>4447</v>
      </c>
      <c r="L12092" t="s">
        <v>968</v>
      </c>
      <c r="P12092" t="s">
        <v>4458</v>
      </c>
      <c r="V12092">
        <v>65</v>
      </c>
    </row>
    <row r="12093" spans="1:22" customFormat="1" ht="15" x14ac:dyDescent="0.25">
      <c r="A12093" t="s">
        <v>191</v>
      </c>
      <c r="E12093" s="1507" t="s">
        <v>847</v>
      </c>
      <c r="F12093" s="1507"/>
      <c r="G12093" s="584" t="s">
        <v>845</v>
      </c>
      <c r="H12093" s="577">
        <v>1.5E-3</v>
      </c>
      <c r="K12093" t="s">
        <v>4447</v>
      </c>
      <c r="L12093" t="s">
        <v>968</v>
      </c>
      <c r="P12093" t="s">
        <v>4459</v>
      </c>
      <c r="V12093">
        <v>57</v>
      </c>
    </row>
    <row r="12094" spans="1:22" customFormat="1" ht="15" x14ac:dyDescent="0.25">
      <c r="A12094" t="s">
        <v>191</v>
      </c>
      <c r="E12094" s="1507" t="s">
        <v>848</v>
      </c>
      <c r="F12094" s="1507"/>
      <c r="G12094" s="584" t="s">
        <v>777</v>
      </c>
      <c r="H12094" s="576">
        <v>0.25</v>
      </c>
      <c r="K12094" t="s">
        <v>4447</v>
      </c>
      <c r="L12094" t="s">
        <v>968</v>
      </c>
      <c r="P12094" t="s">
        <v>4460</v>
      </c>
      <c r="V12094">
        <v>63</v>
      </c>
    </row>
    <row r="12095" spans="1:22" customFormat="1" x14ac:dyDescent="0.25">
      <c r="A12095" t="s">
        <v>191</v>
      </c>
      <c r="E12095" s="1492" t="s">
        <v>207</v>
      </c>
      <c r="F12095" s="1493"/>
      <c r="G12095" s="1493"/>
      <c r="H12095" s="1493"/>
      <c r="K12095" t="s">
        <v>4461</v>
      </c>
      <c r="V12095">
        <v>31</v>
      </c>
    </row>
    <row r="12096" spans="1:22" customFormat="1" ht="15" x14ac:dyDescent="0.25">
      <c r="A12096" t="s">
        <v>191</v>
      </c>
      <c r="E12096" s="1516" t="s">
        <v>1070</v>
      </c>
      <c r="F12096" s="1516"/>
      <c r="G12096" s="1516"/>
      <c r="H12096" s="1516"/>
      <c r="K12096" t="s">
        <v>4461</v>
      </c>
      <c r="V12096">
        <v>285</v>
      </c>
    </row>
    <row r="12097" spans="1:22" customFormat="1" ht="15" x14ac:dyDescent="0.25">
      <c r="A12097" t="s">
        <v>191</v>
      </c>
      <c r="E12097" s="1515" t="s">
        <v>950</v>
      </c>
      <c r="F12097" s="1516"/>
      <c r="G12097" s="1516"/>
      <c r="H12097" s="1516"/>
      <c r="K12097" t="s">
        <v>1041</v>
      </c>
      <c r="V12097">
        <v>11</v>
      </c>
    </row>
    <row r="12098" spans="1:22" customFormat="1" ht="15" x14ac:dyDescent="0.25">
      <c r="A12098" t="s">
        <v>191</v>
      </c>
      <c r="E12098" s="1516" t="s">
        <v>951</v>
      </c>
      <c r="F12098" s="1516"/>
      <c r="G12098" s="1516"/>
      <c r="H12098" s="1516"/>
      <c r="K12098" t="s">
        <v>4461</v>
      </c>
      <c r="V12098">
        <v>280</v>
      </c>
    </row>
    <row r="12099" spans="1:22" customFormat="1" ht="15" x14ac:dyDescent="0.25">
      <c r="A12099" t="s">
        <v>191</v>
      </c>
      <c r="E12099" s="1516" t="s">
        <v>952</v>
      </c>
      <c r="F12099" s="1516"/>
      <c r="G12099" s="1516"/>
      <c r="H12099" s="1516"/>
      <c r="K12099" t="s">
        <v>4461</v>
      </c>
      <c r="V12099">
        <v>411</v>
      </c>
    </row>
    <row r="12100" spans="1:22" customFormat="1" ht="15" x14ac:dyDescent="0.25">
      <c r="A12100" t="s">
        <v>191</v>
      </c>
      <c r="E12100" s="1516" t="s">
        <v>1103</v>
      </c>
      <c r="F12100" s="1516"/>
      <c r="G12100" s="1516"/>
      <c r="H12100" s="1516"/>
      <c r="K12100" t="s">
        <v>4461</v>
      </c>
      <c r="V12100">
        <v>211</v>
      </c>
    </row>
    <row r="12101" spans="1:22" customFormat="1" ht="15" x14ac:dyDescent="0.25">
      <c r="A12101" t="s">
        <v>191</v>
      </c>
      <c r="E12101" s="1516" t="s">
        <v>3762</v>
      </c>
      <c r="F12101" s="1516"/>
      <c r="G12101" s="1516"/>
      <c r="H12101" s="1516"/>
      <c r="K12101" t="s">
        <v>4461</v>
      </c>
      <c r="V12101">
        <v>247</v>
      </c>
    </row>
    <row r="12102" spans="1:22" customFormat="1" ht="15" x14ac:dyDescent="0.25">
      <c r="A12102" t="s">
        <v>191</v>
      </c>
      <c r="E12102" s="1515" t="s">
        <v>956</v>
      </c>
      <c r="F12102" s="1516"/>
      <c r="G12102" s="1516"/>
      <c r="H12102" s="1516"/>
      <c r="K12102" t="s">
        <v>1042</v>
      </c>
      <c r="V12102">
        <v>46</v>
      </c>
    </row>
    <row r="12103" spans="1:22" customFormat="1" ht="15" x14ac:dyDescent="0.25">
      <c r="A12103" t="s">
        <v>191</v>
      </c>
      <c r="E12103" s="1507" t="s">
        <v>3773</v>
      </c>
      <c r="F12103" s="1507"/>
      <c r="G12103" s="584" t="s">
        <v>777</v>
      </c>
      <c r="H12103" s="576">
        <v>5</v>
      </c>
      <c r="K12103" t="s">
        <v>4461</v>
      </c>
      <c r="L12103" t="s">
        <v>690</v>
      </c>
      <c r="P12103" t="s">
        <v>4462</v>
      </c>
      <c r="V12103">
        <v>14</v>
      </c>
    </row>
    <row r="12104" spans="1:22" customFormat="1" ht="18.75" x14ac:dyDescent="0.25">
      <c r="A12104" t="s">
        <v>191</v>
      </c>
      <c r="E12104" s="836" t="s">
        <v>3825</v>
      </c>
      <c r="F12104" s="385"/>
      <c r="G12104" s="385"/>
      <c r="H12104" s="655"/>
      <c r="K12104" t="s">
        <v>4463</v>
      </c>
      <c r="V12104">
        <v>10</v>
      </c>
    </row>
    <row r="12105" spans="1:22" customFormat="1" ht="15" x14ac:dyDescent="0.25">
      <c r="A12105" t="s">
        <v>191</v>
      </c>
      <c r="E12105" s="1507" t="s">
        <v>1078</v>
      </c>
      <c r="F12105" s="1507"/>
      <c r="G12105" s="584" t="s">
        <v>3775</v>
      </c>
      <c r="H12105" s="608">
        <v>-0.6</v>
      </c>
      <c r="V12105">
        <v>68</v>
      </c>
    </row>
    <row r="12106" spans="1:22" customFormat="1" ht="15" x14ac:dyDescent="0.25">
      <c r="A12106" t="s">
        <v>191</v>
      </c>
      <c r="E12106" s="1507" t="s">
        <v>1079</v>
      </c>
      <c r="F12106" s="1507"/>
      <c r="G12106" s="584" t="s">
        <v>1118</v>
      </c>
      <c r="H12106" s="576">
        <v>-1</v>
      </c>
      <c r="V12106">
        <v>87</v>
      </c>
    </row>
    <row r="12107" spans="1:22" customFormat="1" ht="36" x14ac:dyDescent="0.25">
      <c r="A12107" t="s">
        <v>191</v>
      </c>
      <c r="E12107" s="836" t="s">
        <v>3828</v>
      </c>
      <c r="F12107" s="385"/>
      <c r="G12107" s="385"/>
      <c r="H12107" s="655"/>
      <c r="K12107" t="s">
        <v>4464</v>
      </c>
      <c r="V12107">
        <v>24</v>
      </c>
    </row>
    <row r="12108" spans="1:22" customFormat="1" ht="15" x14ac:dyDescent="0.25">
      <c r="A12108" t="s">
        <v>191</v>
      </c>
      <c r="E12108" s="1516" t="s">
        <v>951</v>
      </c>
      <c r="F12108" s="1516"/>
      <c r="G12108" s="1516"/>
      <c r="H12108" s="1516"/>
      <c r="V12108">
        <v>280</v>
      </c>
    </row>
    <row r="12109" spans="1:22" customFormat="1" ht="15" x14ac:dyDescent="0.25">
      <c r="A12109" t="s">
        <v>191</v>
      </c>
      <c r="E12109" s="1516" t="s">
        <v>1081</v>
      </c>
      <c r="F12109" s="1516"/>
      <c r="G12109" s="1516"/>
      <c r="H12109" s="1516"/>
      <c r="V12109">
        <v>353</v>
      </c>
    </row>
    <row r="12110" spans="1:22" customFormat="1" ht="15" x14ac:dyDescent="0.25">
      <c r="A12110" t="s">
        <v>191</v>
      </c>
      <c r="E12110" s="1516" t="s">
        <v>3762</v>
      </c>
      <c r="F12110" s="1516"/>
      <c r="G12110" s="1516"/>
      <c r="H12110" s="1516"/>
      <c r="V12110">
        <v>247</v>
      </c>
    </row>
    <row r="12111" spans="1:22" customFormat="1" ht="15" x14ac:dyDescent="0.25">
      <c r="A12111" t="s">
        <v>191</v>
      </c>
      <c r="E12111" s="835" t="s">
        <v>3830</v>
      </c>
      <c r="F12111" s="318"/>
      <c r="G12111" s="318"/>
      <c r="H12111" s="656"/>
      <c r="K12111" t="s">
        <v>4465</v>
      </c>
      <c r="V12111">
        <v>23</v>
      </c>
    </row>
    <row r="12112" spans="1:22" customFormat="1" ht="15" x14ac:dyDescent="0.25">
      <c r="A12112" t="s">
        <v>191</v>
      </c>
      <c r="E12112" s="1517" t="s">
        <v>3832</v>
      </c>
      <c r="F12112" s="1517"/>
      <c r="G12112" s="584" t="s">
        <v>777</v>
      </c>
      <c r="H12112" s="576">
        <v>15</v>
      </c>
      <c r="V12112">
        <v>19</v>
      </c>
    </row>
    <row r="12113" spans="1:22" customFormat="1" ht="15" x14ac:dyDescent="0.25">
      <c r="A12113" t="s">
        <v>191</v>
      </c>
      <c r="E12113" s="1517" t="s">
        <v>3835</v>
      </c>
      <c r="F12113" s="1517"/>
      <c r="G12113" s="584" t="s">
        <v>777</v>
      </c>
      <c r="H12113" s="576">
        <v>15</v>
      </c>
      <c r="V12113">
        <v>56</v>
      </c>
    </row>
    <row r="12114" spans="1:22" customFormat="1" ht="15" x14ac:dyDescent="0.25">
      <c r="A12114" t="s">
        <v>191</v>
      </c>
      <c r="E12114" s="1517" t="s">
        <v>3833</v>
      </c>
      <c r="F12114" s="1517"/>
      <c r="G12114" s="584" t="s">
        <v>777</v>
      </c>
      <c r="H12114" s="576">
        <v>15</v>
      </c>
      <c r="V12114">
        <v>20</v>
      </c>
    </row>
    <row r="12115" spans="1:22" customFormat="1" ht="15" x14ac:dyDescent="0.25">
      <c r="A12115" t="s">
        <v>191</v>
      </c>
      <c r="E12115" s="1517" t="s">
        <v>3837</v>
      </c>
      <c r="F12115" s="1517"/>
      <c r="G12115" s="584" t="s">
        <v>777</v>
      </c>
      <c r="H12115" s="576">
        <v>30</v>
      </c>
      <c r="V12115">
        <v>89</v>
      </c>
    </row>
    <row r="12116" spans="1:22" customFormat="1" ht="15" x14ac:dyDescent="0.25">
      <c r="A12116" t="s">
        <v>191</v>
      </c>
      <c r="E12116" s="1517" t="s">
        <v>3836</v>
      </c>
      <c r="F12116" s="1517"/>
      <c r="G12116" s="584" t="s">
        <v>777</v>
      </c>
      <c r="H12116" s="576">
        <v>15</v>
      </c>
      <c r="V12116">
        <v>35</v>
      </c>
    </row>
    <row r="12117" spans="1:22" customFormat="1" ht="15" x14ac:dyDescent="0.25">
      <c r="A12117" t="s">
        <v>191</v>
      </c>
      <c r="E12117" s="835" t="s">
        <v>4062</v>
      </c>
      <c r="F12117" s="318"/>
      <c r="G12117" s="318"/>
      <c r="H12117" s="656"/>
      <c r="K12117" t="s">
        <v>4466</v>
      </c>
      <c r="V12117">
        <v>22</v>
      </c>
    </row>
    <row r="12118" spans="1:22" customFormat="1" ht="15" x14ac:dyDescent="0.25">
      <c r="A12118" t="s">
        <v>191</v>
      </c>
      <c r="E12118" s="1517" t="s">
        <v>4467</v>
      </c>
      <c r="F12118" s="1517"/>
      <c r="G12118" s="584" t="s">
        <v>1118</v>
      </c>
      <c r="H12118" s="576">
        <v>1.5</v>
      </c>
      <c r="V12118">
        <v>100</v>
      </c>
    </row>
    <row r="12119" spans="1:22" customFormat="1" ht="15" x14ac:dyDescent="0.25">
      <c r="A12119" t="s">
        <v>191</v>
      </c>
      <c r="E12119" s="1517" t="s">
        <v>3842</v>
      </c>
      <c r="F12119" s="1517"/>
      <c r="G12119" s="584" t="s">
        <v>777</v>
      </c>
      <c r="H12119" s="576">
        <v>65</v>
      </c>
      <c r="V12119">
        <v>44</v>
      </c>
    </row>
    <row r="12120" spans="1:22" customFormat="1" ht="15" x14ac:dyDescent="0.25">
      <c r="A12120" t="s">
        <v>191</v>
      </c>
      <c r="E12120" s="1517" t="s">
        <v>3843</v>
      </c>
      <c r="F12120" s="1517"/>
      <c r="G12120" s="584" t="s">
        <v>777</v>
      </c>
      <c r="H12120" s="576">
        <v>185</v>
      </c>
      <c r="V12120">
        <v>43</v>
      </c>
    </row>
    <row r="12121" spans="1:22" customFormat="1" ht="15" x14ac:dyDescent="0.25">
      <c r="A12121" t="s">
        <v>191</v>
      </c>
      <c r="E12121" s="835" t="s">
        <v>3846</v>
      </c>
      <c r="F12121" s="582"/>
      <c r="G12121" s="319"/>
      <c r="H12121" s="657"/>
      <c r="V12121">
        <v>5</v>
      </c>
    </row>
    <row r="12122" spans="1:22" customFormat="1" ht="15" x14ac:dyDescent="0.25">
      <c r="A12122" t="s">
        <v>191</v>
      </c>
      <c r="E12122" s="1517" t="s">
        <v>3848</v>
      </c>
      <c r="F12122" s="1517"/>
      <c r="G12122" s="584" t="s">
        <v>777</v>
      </c>
      <c r="H12122" s="576">
        <v>500</v>
      </c>
      <c r="V12122">
        <v>64</v>
      </c>
    </row>
    <row r="12123" spans="1:22" customFormat="1" ht="15" x14ac:dyDescent="0.25">
      <c r="A12123" t="s">
        <v>191</v>
      </c>
      <c r="E12123" s="1517" t="s">
        <v>4468</v>
      </c>
      <c r="F12123" s="1517"/>
      <c r="G12123" s="584" t="s">
        <v>777</v>
      </c>
      <c r="H12123" s="576">
        <v>39.14</v>
      </c>
      <c r="V12123">
        <v>68</v>
      </c>
    </row>
    <row r="12124" spans="1:22" customFormat="1" ht="15" x14ac:dyDescent="0.25">
      <c r="A12124" t="s">
        <v>191</v>
      </c>
      <c r="E12124" s="1517" t="s">
        <v>4469</v>
      </c>
      <c r="F12124" s="1517"/>
      <c r="G12124" s="584"/>
      <c r="H12124" s="650"/>
      <c r="V12124">
        <v>44</v>
      </c>
    </row>
    <row r="12125" spans="1:22" customFormat="1" ht="18.75" x14ac:dyDescent="0.25">
      <c r="A12125" t="s">
        <v>191</v>
      </c>
      <c r="E12125" s="833" t="s">
        <v>3851</v>
      </c>
      <c r="F12125" s="385"/>
      <c r="G12125" s="385"/>
      <c r="H12125" s="655"/>
      <c r="K12125" t="s">
        <v>4470</v>
      </c>
      <c r="V12125">
        <v>38</v>
      </c>
    </row>
    <row r="12126" spans="1:22" customFormat="1" ht="15" x14ac:dyDescent="0.25">
      <c r="A12126" t="s">
        <v>191</v>
      </c>
      <c r="E12126" s="1516" t="s">
        <v>951</v>
      </c>
      <c r="F12126" s="1516"/>
      <c r="G12126" s="1516"/>
      <c r="H12126" s="1516"/>
      <c r="V12126">
        <v>280</v>
      </c>
    </row>
    <row r="12127" spans="1:22" customFormat="1" ht="15" x14ac:dyDescent="0.25">
      <c r="A12127" t="s">
        <v>191</v>
      </c>
      <c r="E12127" s="1516" t="s">
        <v>952</v>
      </c>
      <c r="F12127" s="1516"/>
      <c r="G12127" s="1516"/>
      <c r="H12127" s="1516"/>
      <c r="V12127">
        <v>411</v>
      </c>
    </row>
    <row r="12128" spans="1:22" customFormat="1" ht="15" x14ac:dyDescent="0.25">
      <c r="A12128" t="s">
        <v>191</v>
      </c>
      <c r="E12128" s="1516" t="s">
        <v>1103</v>
      </c>
      <c r="F12128" s="1516"/>
      <c r="G12128" s="1516"/>
      <c r="H12128" s="1516"/>
      <c r="V12128">
        <v>211</v>
      </c>
    </row>
    <row r="12129" spans="1:22" customFormat="1" ht="15" x14ac:dyDescent="0.25">
      <c r="A12129" t="s">
        <v>191</v>
      </c>
      <c r="E12129" s="1516" t="s">
        <v>3762</v>
      </c>
      <c r="F12129" s="1516"/>
      <c r="G12129" s="1516"/>
      <c r="H12129" s="1516"/>
      <c r="V12129">
        <v>247</v>
      </c>
    </row>
    <row r="12130" spans="1:22" customFormat="1" ht="15" x14ac:dyDescent="0.25">
      <c r="A12130" t="s">
        <v>191</v>
      </c>
      <c r="E12130" s="1516" t="s">
        <v>1104</v>
      </c>
      <c r="F12130" s="1516"/>
      <c r="G12130" s="1516"/>
      <c r="H12130" s="1516"/>
      <c r="V12130">
        <v>142</v>
      </c>
    </row>
    <row r="12131" spans="1:22" customFormat="1" ht="15" x14ac:dyDescent="0.25">
      <c r="A12131" t="s">
        <v>191</v>
      </c>
      <c r="E12131" s="1507" t="s">
        <v>849</v>
      </c>
      <c r="F12131" s="1507"/>
      <c r="G12131" s="319" t="s">
        <v>777</v>
      </c>
      <c r="H12131" s="267">
        <v>121.23</v>
      </c>
      <c r="V12131">
        <v>106</v>
      </c>
    </row>
    <row r="12132" spans="1:22" customFormat="1" ht="15" x14ac:dyDescent="0.25">
      <c r="A12132" t="s">
        <v>191</v>
      </c>
      <c r="E12132" s="1507" t="s">
        <v>4471</v>
      </c>
      <c r="F12132" s="1507"/>
      <c r="G12132" s="319" t="s">
        <v>777</v>
      </c>
      <c r="H12132" s="267">
        <v>48.5</v>
      </c>
      <c r="V12132">
        <v>34</v>
      </c>
    </row>
    <row r="12133" spans="1:22" customFormat="1" ht="15" x14ac:dyDescent="0.25">
      <c r="A12133" t="s">
        <v>191</v>
      </c>
      <c r="E12133" s="1507" t="s">
        <v>4472</v>
      </c>
      <c r="F12133" s="1507"/>
      <c r="G12133" s="319" t="s">
        <v>852</v>
      </c>
      <c r="H12133" s="267">
        <v>1.2</v>
      </c>
      <c r="V12133">
        <v>51</v>
      </c>
    </row>
    <row r="12134" spans="1:22" customFormat="1" ht="15" x14ac:dyDescent="0.25">
      <c r="A12134" t="s">
        <v>191</v>
      </c>
      <c r="E12134" s="1507" t="s">
        <v>853</v>
      </c>
      <c r="F12134" s="1507"/>
      <c r="G12134" s="319" t="s">
        <v>852</v>
      </c>
      <c r="H12134" s="267">
        <v>0.71</v>
      </c>
      <c r="V12134">
        <v>75</v>
      </c>
    </row>
    <row r="12135" spans="1:22" customFormat="1" ht="15" x14ac:dyDescent="0.25">
      <c r="A12135" t="s">
        <v>191</v>
      </c>
      <c r="E12135" s="1507" t="s">
        <v>854</v>
      </c>
      <c r="F12135" s="1507"/>
      <c r="G12135" s="319" t="s">
        <v>852</v>
      </c>
      <c r="H12135" s="267">
        <v>-0.71</v>
      </c>
      <c r="V12135">
        <v>72</v>
      </c>
    </row>
    <row r="12136" spans="1:22" customFormat="1" ht="15" x14ac:dyDescent="0.25">
      <c r="A12136" t="s">
        <v>191</v>
      </c>
      <c r="E12136" s="1507" t="s">
        <v>855</v>
      </c>
      <c r="F12136" s="1507"/>
      <c r="G12136" s="319"/>
      <c r="H12136" s="657"/>
      <c r="V12136">
        <v>34</v>
      </c>
    </row>
    <row r="12137" spans="1:22" customFormat="1" ht="15" x14ac:dyDescent="0.25">
      <c r="A12137" t="s">
        <v>191</v>
      </c>
      <c r="E12137" s="1511" t="s">
        <v>1106</v>
      </c>
      <c r="F12137" s="1511"/>
      <c r="G12137" s="319" t="s">
        <v>777</v>
      </c>
      <c r="H12137" s="267">
        <v>0.61</v>
      </c>
      <c r="V12137">
        <v>57</v>
      </c>
    </row>
    <row r="12138" spans="1:22" customFormat="1" ht="15" x14ac:dyDescent="0.25">
      <c r="A12138" t="s">
        <v>191</v>
      </c>
      <c r="E12138" s="1511" t="s">
        <v>1107</v>
      </c>
      <c r="F12138" s="1511"/>
      <c r="G12138" s="319" t="s">
        <v>777</v>
      </c>
      <c r="H12138" s="267">
        <v>1.2</v>
      </c>
      <c r="V12138">
        <v>60</v>
      </c>
    </row>
    <row r="12139" spans="1:22" customFormat="1" ht="15" x14ac:dyDescent="0.25">
      <c r="A12139" t="s">
        <v>191</v>
      </c>
      <c r="E12139" s="1507" t="s">
        <v>1108</v>
      </c>
      <c r="F12139" s="1507"/>
      <c r="G12139" s="319"/>
      <c r="H12139" s="657"/>
      <c r="V12139">
        <v>91</v>
      </c>
    </row>
    <row r="12140" spans="1:22" customFormat="1" ht="15" x14ac:dyDescent="0.25">
      <c r="A12140" t="s">
        <v>191</v>
      </c>
      <c r="E12140" s="1507" t="s">
        <v>1109</v>
      </c>
      <c r="F12140" s="1507"/>
      <c r="G12140" s="319"/>
      <c r="H12140" s="657"/>
      <c r="V12140">
        <v>96</v>
      </c>
    </row>
    <row r="12141" spans="1:22" customFormat="1" ht="15" x14ac:dyDescent="0.25">
      <c r="A12141" t="s">
        <v>191</v>
      </c>
      <c r="E12141" s="1507" t="s">
        <v>856</v>
      </c>
      <c r="F12141" s="1507"/>
      <c r="G12141" s="319"/>
      <c r="H12141" s="657"/>
      <c r="V12141">
        <v>77</v>
      </c>
    </row>
    <row r="12142" spans="1:22" customFormat="1" ht="15" x14ac:dyDescent="0.25">
      <c r="A12142" t="s">
        <v>191</v>
      </c>
      <c r="E12142" s="1511" t="s">
        <v>1111</v>
      </c>
      <c r="F12142" s="1511"/>
      <c r="G12142" s="319" t="s">
        <v>777</v>
      </c>
      <c r="H12142" s="657" t="s">
        <v>857</v>
      </c>
      <c r="V12142">
        <v>18</v>
      </c>
    </row>
    <row r="12143" spans="1:22" customFormat="1" ht="15" x14ac:dyDescent="0.25">
      <c r="A12143" t="s">
        <v>191</v>
      </c>
      <c r="E12143" s="1511" t="s">
        <v>1112</v>
      </c>
      <c r="F12143" s="1511"/>
      <c r="G12143" s="319" t="s">
        <v>777</v>
      </c>
      <c r="H12143" s="267">
        <v>4.8499999999999996</v>
      </c>
      <c r="V12143">
        <v>69</v>
      </c>
    </row>
    <row r="12144" spans="1:22" customFormat="1" ht="15" x14ac:dyDescent="0.25">
      <c r="A12144" t="s">
        <v>191</v>
      </c>
      <c r="E12144" s="1507" t="s">
        <v>858</v>
      </c>
      <c r="F12144" s="1507"/>
      <c r="G12144" s="268" t="s">
        <v>777</v>
      </c>
      <c r="H12144" s="576">
        <v>2.42</v>
      </c>
      <c r="V12144">
        <v>199</v>
      </c>
    </row>
    <row r="12145" spans="1:22" customFormat="1" ht="18.75" x14ac:dyDescent="0.25">
      <c r="A12145" t="s">
        <v>191</v>
      </c>
      <c r="E12145" s="836" t="s">
        <v>3853</v>
      </c>
      <c r="F12145" s="385"/>
      <c r="G12145" s="385"/>
      <c r="H12145" s="655"/>
      <c r="K12145" t="s">
        <v>4473</v>
      </c>
      <c r="V12145">
        <v>12</v>
      </c>
    </row>
    <row r="12146" spans="1:22" customFormat="1" ht="15" x14ac:dyDescent="0.25">
      <c r="A12146" t="s">
        <v>191</v>
      </c>
      <c r="E12146" s="1507" t="s">
        <v>1114</v>
      </c>
      <c r="F12146" s="1507"/>
      <c r="G12146" s="1507"/>
      <c r="H12146" s="1507"/>
      <c r="V12146">
        <v>203</v>
      </c>
    </row>
    <row r="12147" spans="1:22" customFormat="1" ht="15" x14ac:dyDescent="0.25">
      <c r="A12147" t="s">
        <v>191</v>
      </c>
      <c r="E12147" s="1507" t="s">
        <v>1115</v>
      </c>
      <c r="F12147" s="1507"/>
      <c r="G12147" s="584"/>
      <c r="H12147" s="650">
        <v>1.0382</v>
      </c>
      <c r="V12147">
        <v>57</v>
      </c>
    </row>
    <row r="12148" spans="1:22" customFormat="1" ht="15" x14ac:dyDescent="0.25">
      <c r="A12148" t="s">
        <v>191</v>
      </c>
      <c r="E12148" s="1507" t="s">
        <v>1117</v>
      </c>
      <c r="F12148" s="1507"/>
      <c r="G12148" s="584"/>
      <c r="H12148" s="650">
        <v>1.0279</v>
      </c>
      <c r="J12148" t="s">
        <v>4474</v>
      </c>
      <c r="V12148">
        <v>55</v>
      </c>
    </row>
    <row r="12149" spans="1:22" customFormat="1" ht="23.25" x14ac:dyDescent="0.25">
      <c r="A12149" t="s">
        <v>7026</v>
      </c>
      <c r="C12149" t="s">
        <v>3755</v>
      </c>
      <c r="E12149" s="1550" t="s">
        <v>7026</v>
      </c>
      <c r="F12149" s="1550"/>
      <c r="G12149" s="1550"/>
      <c r="H12149" s="1550"/>
      <c r="I12149" t="s">
        <v>94</v>
      </c>
      <c r="J12149" t="s">
        <v>7027</v>
      </c>
      <c r="K12149" t="s">
        <v>7026</v>
      </c>
      <c r="M12149">
        <v>8</v>
      </c>
      <c r="V12149">
        <v>28</v>
      </c>
    </row>
    <row r="12150" spans="1:22" customFormat="1" x14ac:dyDescent="0.25">
      <c r="A12150" t="s">
        <v>7026</v>
      </c>
      <c r="C12150" t="s">
        <v>3757</v>
      </c>
      <c r="E12150" s="1577" t="s">
        <v>944</v>
      </c>
      <c r="F12150" s="1686"/>
      <c r="G12150" s="1686"/>
      <c r="H12150" s="1686"/>
      <c r="V12150">
        <v>27</v>
      </c>
    </row>
    <row r="12151" spans="1:22" customFormat="1" ht="15.75" x14ac:dyDescent="0.25">
      <c r="A12151" t="s">
        <v>7026</v>
      </c>
      <c r="C12151" t="s">
        <v>3758</v>
      </c>
      <c r="E12151" s="1585" t="s">
        <v>7028</v>
      </c>
      <c r="F12151" s="1585"/>
      <c r="G12151" s="1585"/>
      <c r="H12151" s="1585"/>
      <c r="R12151">
        <v>45658</v>
      </c>
      <c r="V12151">
        <v>30</v>
      </c>
    </row>
    <row r="12152" spans="1:22" customFormat="1" ht="15.75" x14ac:dyDescent="0.25">
      <c r="A12152" t="s">
        <v>7026</v>
      </c>
      <c r="C12152" t="s">
        <v>3759</v>
      </c>
      <c r="E12152" s="1585" t="s">
        <v>7029</v>
      </c>
      <c r="F12152" s="1585"/>
      <c r="G12152" s="1585"/>
      <c r="H12152" s="1585"/>
      <c r="S12152">
        <v>45778</v>
      </c>
      <c r="V12152">
        <v>31</v>
      </c>
    </row>
    <row r="12153" spans="1:22" customFormat="1" ht="15" x14ac:dyDescent="0.25">
      <c r="A12153" t="s">
        <v>7026</v>
      </c>
      <c r="E12153" s="1575" t="s">
        <v>945</v>
      </c>
      <c r="F12153" s="1679"/>
      <c r="G12153" s="1679"/>
      <c r="H12153" s="1679"/>
      <c r="V12153">
        <v>52</v>
      </c>
    </row>
    <row r="12154" spans="1:22" customFormat="1" ht="15" x14ac:dyDescent="0.25">
      <c r="A12154" t="s">
        <v>7026</v>
      </c>
      <c r="E12154" s="1575" t="s">
        <v>946</v>
      </c>
      <c r="F12154" s="1679"/>
      <c r="G12154" s="1679"/>
      <c r="H12154" s="1679"/>
      <c r="V12154">
        <v>53</v>
      </c>
    </row>
    <row r="12155" spans="1:22" customFormat="1" ht="15" x14ac:dyDescent="0.25">
      <c r="A12155" t="s">
        <v>7026</v>
      </c>
      <c r="E12155" s="1534" t="s">
        <v>7030</v>
      </c>
      <c r="F12155" s="1534"/>
      <c r="G12155" s="1534"/>
      <c r="H12155" s="1534"/>
      <c r="K12155" t="s">
        <v>7030</v>
      </c>
      <c r="V12155">
        <v>25</v>
      </c>
    </row>
    <row r="12156" spans="1:22" customFormat="1" ht="15" x14ac:dyDescent="0.25">
      <c r="A12156" t="s">
        <v>7026</v>
      </c>
      <c r="E12156" s="1538" t="s">
        <v>170</v>
      </c>
      <c r="F12156" s="1496"/>
      <c r="G12156" s="1496"/>
      <c r="H12156" s="1496"/>
      <c r="K12156" t="s">
        <v>947</v>
      </c>
      <c r="V12156">
        <v>34</v>
      </c>
    </row>
    <row r="12157" spans="1:22" customFormat="1" ht="15" x14ac:dyDescent="0.25">
      <c r="A12157" t="s">
        <v>7026</v>
      </c>
      <c r="E12157" s="1496" t="s">
        <v>5331</v>
      </c>
      <c r="F12157" s="1496"/>
      <c r="G12157" s="1496"/>
      <c r="H12157" s="1496"/>
      <c r="K12157" t="s">
        <v>947</v>
      </c>
      <c r="V12157">
        <v>618</v>
      </c>
    </row>
    <row r="12158" spans="1:22" customFormat="1" ht="15" x14ac:dyDescent="0.25">
      <c r="A12158" t="s">
        <v>7026</v>
      </c>
      <c r="E12158" s="1533" t="s">
        <v>950</v>
      </c>
      <c r="F12158" s="1496"/>
      <c r="G12158" s="1496"/>
      <c r="H12158" s="1496"/>
      <c r="K12158" t="s">
        <v>949</v>
      </c>
      <c r="V12158">
        <v>11</v>
      </c>
    </row>
    <row r="12159" spans="1:22" customFormat="1" ht="15" x14ac:dyDescent="0.25">
      <c r="A12159" t="s">
        <v>7026</v>
      </c>
      <c r="E12159" s="1496" t="s">
        <v>951</v>
      </c>
      <c r="F12159" s="1496"/>
      <c r="G12159" s="1496"/>
      <c r="H12159" s="1496"/>
      <c r="K12159" t="s">
        <v>947</v>
      </c>
      <c r="V12159">
        <v>280</v>
      </c>
    </row>
    <row r="12160" spans="1:22" customFormat="1" ht="15" x14ac:dyDescent="0.25">
      <c r="A12160" t="s">
        <v>7026</v>
      </c>
      <c r="E12160" s="1496" t="s">
        <v>952</v>
      </c>
      <c r="F12160" s="1496"/>
      <c r="G12160" s="1496"/>
      <c r="H12160" s="1496"/>
      <c r="K12160" t="s">
        <v>947</v>
      </c>
      <c r="V12160">
        <v>411</v>
      </c>
    </row>
    <row r="12161" spans="1:22" customFormat="1" ht="15" x14ac:dyDescent="0.25">
      <c r="A12161" t="s">
        <v>7026</v>
      </c>
      <c r="E12161" s="1496" t="s">
        <v>953</v>
      </c>
      <c r="F12161" s="1496"/>
      <c r="G12161" s="1496"/>
      <c r="H12161" s="1496"/>
      <c r="K12161" t="s">
        <v>947</v>
      </c>
      <c r="V12161">
        <v>386</v>
      </c>
    </row>
    <row r="12162" spans="1:22" customFormat="1" ht="15" x14ac:dyDescent="0.25">
      <c r="A12162" t="s">
        <v>7026</v>
      </c>
      <c r="E12162" s="1496" t="s">
        <v>954</v>
      </c>
      <c r="F12162" s="1496"/>
      <c r="G12162" s="1496"/>
      <c r="H12162" s="1496"/>
      <c r="K12162" t="s">
        <v>947</v>
      </c>
      <c r="V12162">
        <v>246</v>
      </c>
    </row>
    <row r="12163" spans="1:22" customFormat="1" ht="15" x14ac:dyDescent="0.25">
      <c r="A12163" t="s">
        <v>7026</v>
      </c>
      <c r="E12163" s="1488" t="s">
        <v>956</v>
      </c>
      <c r="F12163" s="1590"/>
      <c r="G12163" s="1590"/>
      <c r="H12163" s="1590"/>
      <c r="K12163" t="s">
        <v>955</v>
      </c>
      <c r="V12163">
        <v>46</v>
      </c>
    </row>
    <row r="12164" spans="1:22" customFormat="1" ht="15" x14ac:dyDescent="0.25">
      <c r="A12164" t="s">
        <v>7026</v>
      </c>
      <c r="E12164" s="1495" t="s">
        <v>3773</v>
      </c>
      <c r="F12164" s="1495"/>
      <c r="G12164" s="360" t="s">
        <v>777</v>
      </c>
      <c r="H12164" s="576">
        <v>33.950000000000003</v>
      </c>
      <c r="K12164" t="s">
        <v>947</v>
      </c>
      <c r="L12164" t="s">
        <v>690</v>
      </c>
      <c r="P12164" t="s">
        <v>957</v>
      </c>
      <c r="V12164">
        <v>14</v>
      </c>
    </row>
    <row r="12165" spans="1:22" customFormat="1" ht="15" x14ac:dyDescent="0.25">
      <c r="A12165" t="s">
        <v>7026</v>
      </c>
      <c r="E12165" s="1495" t="s">
        <v>7031</v>
      </c>
      <c r="F12165" s="1561"/>
      <c r="G12165" s="360" t="s">
        <v>777</v>
      </c>
      <c r="H12165" s="576">
        <v>1.43</v>
      </c>
      <c r="K12165" t="s">
        <v>947</v>
      </c>
      <c r="L12165" t="s">
        <v>690</v>
      </c>
      <c r="P12165" t="s">
        <v>957</v>
      </c>
      <c r="T12165">
        <v>46022</v>
      </c>
      <c r="V12165">
        <v>102</v>
      </c>
    </row>
    <row r="12166" spans="1:22" customFormat="1" ht="15" x14ac:dyDescent="0.25">
      <c r="A12166" t="s">
        <v>7026</v>
      </c>
      <c r="E12166" s="1495" t="s">
        <v>7032</v>
      </c>
      <c r="F12166" s="1561"/>
      <c r="G12166" s="360" t="s">
        <v>777</v>
      </c>
      <c r="H12166" s="576">
        <v>0.64</v>
      </c>
      <c r="K12166" t="s">
        <v>947</v>
      </c>
      <c r="L12166" t="s">
        <v>690</v>
      </c>
      <c r="P12166" t="s">
        <v>7033</v>
      </c>
      <c r="T12166">
        <v>46022</v>
      </c>
      <c r="V12166">
        <v>81</v>
      </c>
    </row>
    <row r="12167" spans="1:22" customFormat="1" ht="15" x14ac:dyDescent="0.25">
      <c r="A12167" t="s">
        <v>7026</v>
      </c>
      <c r="E12167" s="1495" t="s">
        <v>7034</v>
      </c>
      <c r="F12167" s="1561"/>
      <c r="G12167" s="360" t="s">
        <v>777</v>
      </c>
      <c r="H12167" s="576">
        <v>-6.94</v>
      </c>
      <c r="K12167" t="s">
        <v>947</v>
      </c>
      <c r="L12167" t="s">
        <v>690</v>
      </c>
      <c r="P12167" t="s">
        <v>7035</v>
      </c>
      <c r="T12167">
        <v>46022</v>
      </c>
      <c r="V12167">
        <v>89</v>
      </c>
    </row>
    <row r="12168" spans="1:22" customFormat="1" ht="15" x14ac:dyDescent="0.25">
      <c r="A12168" t="s">
        <v>7026</v>
      </c>
      <c r="E12168" s="1495" t="s">
        <v>7036</v>
      </c>
      <c r="F12168" s="1561"/>
      <c r="G12168" s="360" t="s">
        <v>777</v>
      </c>
      <c r="H12168" s="576">
        <v>0.32</v>
      </c>
      <c r="K12168" t="s">
        <v>947</v>
      </c>
      <c r="L12168" t="s">
        <v>690</v>
      </c>
      <c r="P12168" t="s">
        <v>7037</v>
      </c>
      <c r="T12168">
        <v>46022</v>
      </c>
      <c r="V12168">
        <v>85</v>
      </c>
    </row>
    <row r="12169" spans="1:22" customFormat="1" ht="15" x14ac:dyDescent="0.25">
      <c r="A12169" t="s">
        <v>7026</v>
      </c>
      <c r="E12169" s="1495" t="s">
        <v>960</v>
      </c>
      <c r="F12169" s="1495"/>
      <c r="G12169" s="360" t="s">
        <v>777</v>
      </c>
      <c r="H12169" s="604">
        <v>0.42</v>
      </c>
      <c r="K12169" t="s">
        <v>947</v>
      </c>
      <c r="L12169" t="s">
        <v>692</v>
      </c>
      <c r="P12169" t="s">
        <v>959</v>
      </c>
      <c r="V12169">
        <v>64</v>
      </c>
    </row>
    <row r="12170" spans="1:22" customFormat="1" ht="15" x14ac:dyDescent="0.25">
      <c r="A12170" t="s">
        <v>7026</v>
      </c>
      <c r="E12170" s="1495" t="s">
        <v>910</v>
      </c>
      <c r="F12170" s="1495"/>
      <c r="G12170" s="360" t="s">
        <v>845</v>
      </c>
      <c r="H12170" s="605">
        <v>2.8E-3</v>
      </c>
      <c r="K12170" t="s">
        <v>947</v>
      </c>
      <c r="L12170" t="s">
        <v>692</v>
      </c>
      <c r="P12170" t="s">
        <v>961</v>
      </c>
      <c r="V12170">
        <v>24</v>
      </c>
    </row>
    <row r="12171" spans="1:22" customFormat="1" ht="15" x14ac:dyDescent="0.25">
      <c r="A12171" t="s">
        <v>7026</v>
      </c>
      <c r="E12171" s="1495" t="s">
        <v>7038</v>
      </c>
      <c r="F12171" s="1561"/>
      <c r="G12171" s="360" t="s">
        <v>845</v>
      </c>
      <c r="H12171" s="605">
        <v>-1E-4</v>
      </c>
      <c r="K12171" t="s">
        <v>947</v>
      </c>
      <c r="L12171" t="s">
        <v>692</v>
      </c>
      <c r="P12171" t="s">
        <v>3764</v>
      </c>
      <c r="T12171">
        <v>45777</v>
      </c>
      <c r="V12171">
        <v>154</v>
      </c>
    </row>
    <row r="12172" spans="1:22" customFormat="1" ht="15" x14ac:dyDescent="0.25">
      <c r="A12172" t="s">
        <v>7026</v>
      </c>
      <c r="E12172" s="1495" t="s">
        <v>6520</v>
      </c>
      <c r="F12172" s="1561"/>
      <c r="G12172" s="360" t="s">
        <v>845</v>
      </c>
      <c r="H12172" s="605">
        <v>-2.5999999999999999E-3</v>
      </c>
      <c r="K12172" t="s">
        <v>947</v>
      </c>
      <c r="L12172" t="s">
        <v>692</v>
      </c>
      <c r="P12172" t="s">
        <v>963</v>
      </c>
      <c r="T12172">
        <v>46022</v>
      </c>
      <c r="V12172">
        <v>99</v>
      </c>
    </row>
    <row r="12173" spans="1:22" customFormat="1" ht="15" x14ac:dyDescent="0.25">
      <c r="A12173" t="s">
        <v>7026</v>
      </c>
      <c r="E12173" s="1495" t="s">
        <v>7039</v>
      </c>
      <c r="F12173" s="1561"/>
      <c r="G12173" s="360"/>
      <c r="H12173" s="616">
        <v>2.9999999999999997E-4</v>
      </c>
      <c r="K12173" t="s">
        <v>947</v>
      </c>
      <c r="L12173" t="s">
        <v>692</v>
      </c>
      <c r="P12173" t="s">
        <v>3764</v>
      </c>
      <c r="T12173">
        <v>46022</v>
      </c>
      <c r="V12173">
        <v>151</v>
      </c>
    </row>
    <row r="12174" spans="1:22" customFormat="1" ht="15" x14ac:dyDescent="0.25">
      <c r="A12174" t="s">
        <v>7026</v>
      </c>
      <c r="E12174" s="1495" t="s">
        <v>7040</v>
      </c>
      <c r="F12174" s="1561"/>
      <c r="G12174" s="360" t="s">
        <v>845</v>
      </c>
      <c r="H12174" s="605">
        <v>5.7000000000000002E-3</v>
      </c>
      <c r="K12174" t="s">
        <v>947</v>
      </c>
      <c r="L12174" t="s">
        <v>692</v>
      </c>
      <c r="P12174" t="s">
        <v>962</v>
      </c>
      <c r="T12174">
        <v>46022</v>
      </c>
      <c r="V12174">
        <v>144</v>
      </c>
    </row>
    <row r="12175" spans="1:22" customFormat="1" ht="15" x14ac:dyDescent="0.25">
      <c r="A12175" t="s">
        <v>7026</v>
      </c>
      <c r="E12175" s="1495" t="s">
        <v>243</v>
      </c>
      <c r="F12175" s="1495"/>
      <c r="G12175" s="360" t="s">
        <v>845</v>
      </c>
      <c r="H12175" s="577">
        <v>1.0500000000000001E-2</v>
      </c>
      <c r="K12175" t="s">
        <v>947</v>
      </c>
      <c r="L12175" t="s">
        <v>694</v>
      </c>
      <c r="P12175" t="s">
        <v>964</v>
      </c>
      <c r="V12175">
        <v>47</v>
      </c>
    </row>
    <row r="12176" spans="1:22" customFormat="1" ht="15" x14ac:dyDescent="0.25">
      <c r="A12176" t="s">
        <v>7026</v>
      </c>
      <c r="E12176" s="1495" t="s">
        <v>175</v>
      </c>
      <c r="F12176" s="1495"/>
      <c r="G12176" s="360" t="s">
        <v>845</v>
      </c>
      <c r="H12176" s="577">
        <v>7.6E-3</v>
      </c>
      <c r="K12176" t="s">
        <v>947</v>
      </c>
      <c r="L12176" t="s">
        <v>694</v>
      </c>
      <c r="P12176" t="s">
        <v>965</v>
      </c>
      <c r="V12176">
        <v>74</v>
      </c>
    </row>
    <row r="12177" spans="1:22" customFormat="1" ht="15" x14ac:dyDescent="0.25">
      <c r="A12177" t="s">
        <v>7026</v>
      </c>
      <c r="E12177" s="1488" t="s">
        <v>967</v>
      </c>
      <c r="F12177" s="1495"/>
      <c r="G12177" s="360"/>
      <c r="H12177" s="360"/>
      <c r="K12177" t="s">
        <v>966</v>
      </c>
      <c r="V12177">
        <v>48</v>
      </c>
    </row>
    <row r="12178" spans="1:22" customFormat="1" ht="15" x14ac:dyDescent="0.25">
      <c r="A12178" t="s">
        <v>7026</v>
      </c>
      <c r="E12178" s="1495" t="s">
        <v>844</v>
      </c>
      <c r="F12178" s="1495"/>
      <c r="G12178" s="360" t="s">
        <v>845</v>
      </c>
      <c r="H12178" s="605">
        <v>4.1000000000000003E-3</v>
      </c>
      <c r="K12178" t="s">
        <v>947</v>
      </c>
      <c r="L12178" t="s">
        <v>968</v>
      </c>
      <c r="P12178" t="s">
        <v>969</v>
      </c>
      <c r="V12178">
        <v>55</v>
      </c>
    </row>
    <row r="12179" spans="1:22" customFormat="1" ht="15" x14ac:dyDescent="0.25">
      <c r="A12179" t="s">
        <v>7026</v>
      </c>
      <c r="E12179" s="1495" t="s">
        <v>846</v>
      </c>
      <c r="F12179" s="1495"/>
      <c r="G12179" s="360" t="s">
        <v>845</v>
      </c>
      <c r="H12179" s="605">
        <v>4.0000000000000002E-4</v>
      </c>
      <c r="K12179" t="s">
        <v>947</v>
      </c>
      <c r="L12179" t="s">
        <v>968</v>
      </c>
      <c r="P12179" t="s">
        <v>969</v>
      </c>
      <c r="V12179">
        <v>65</v>
      </c>
    </row>
    <row r="12180" spans="1:22" customFormat="1" ht="15" x14ac:dyDescent="0.25">
      <c r="A12180" t="s">
        <v>7026</v>
      </c>
      <c r="E12180" s="1495" t="s">
        <v>847</v>
      </c>
      <c r="F12180" s="1495"/>
      <c r="G12180" s="360" t="s">
        <v>845</v>
      </c>
      <c r="H12180" s="605">
        <v>1.5E-3</v>
      </c>
      <c r="K12180" t="s">
        <v>947</v>
      </c>
      <c r="L12180" t="s">
        <v>968</v>
      </c>
      <c r="P12180" t="s">
        <v>970</v>
      </c>
      <c r="V12180">
        <v>57</v>
      </c>
    </row>
    <row r="12181" spans="1:22" customFormat="1" ht="15" x14ac:dyDescent="0.25">
      <c r="A12181" t="s">
        <v>7026</v>
      </c>
      <c r="E12181" s="1495" t="s">
        <v>848</v>
      </c>
      <c r="F12181" s="1495"/>
      <c r="G12181" s="360" t="s">
        <v>777</v>
      </c>
      <c r="H12181" s="604">
        <v>0.25</v>
      </c>
      <c r="K12181" t="s">
        <v>947</v>
      </c>
      <c r="L12181" t="s">
        <v>968</v>
      </c>
      <c r="P12181" t="s">
        <v>971</v>
      </c>
      <c r="V12181">
        <v>63</v>
      </c>
    </row>
    <row r="12182" spans="1:22" customFormat="1" x14ac:dyDescent="0.25">
      <c r="A12182" t="s">
        <v>7026</v>
      </c>
      <c r="E12182" s="1538" t="s">
        <v>174</v>
      </c>
      <c r="F12182" s="1571"/>
      <c r="G12182" s="1571"/>
      <c r="H12182" s="1571"/>
      <c r="K12182" t="s">
        <v>972</v>
      </c>
      <c r="V12182">
        <v>54</v>
      </c>
    </row>
    <row r="12183" spans="1:22" customFormat="1" ht="15" x14ac:dyDescent="0.25">
      <c r="A12183" t="s">
        <v>7026</v>
      </c>
      <c r="E12183" s="1496" t="s">
        <v>4856</v>
      </c>
      <c r="F12183" s="1496"/>
      <c r="G12183" s="1496"/>
      <c r="H12183" s="1496"/>
      <c r="K12183" t="s">
        <v>972</v>
      </c>
      <c r="V12183">
        <v>334</v>
      </c>
    </row>
    <row r="12184" spans="1:22" customFormat="1" ht="15" x14ac:dyDescent="0.25">
      <c r="A12184" t="s">
        <v>7026</v>
      </c>
      <c r="E12184" s="1533" t="s">
        <v>950</v>
      </c>
      <c r="F12184" s="1496"/>
      <c r="G12184" s="1496"/>
      <c r="H12184" s="1496"/>
      <c r="K12184" t="s">
        <v>974</v>
      </c>
      <c r="V12184">
        <v>11</v>
      </c>
    </row>
    <row r="12185" spans="1:22" customFormat="1" ht="15" x14ac:dyDescent="0.25">
      <c r="A12185" t="s">
        <v>7026</v>
      </c>
      <c r="E12185" s="1496" t="s">
        <v>951</v>
      </c>
      <c r="F12185" s="1496"/>
      <c r="G12185" s="1496"/>
      <c r="H12185" s="1496"/>
      <c r="K12185" t="s">
        <v>972</v>
      </c>
      <c r="V12185">
        <v>280</v>
      </c>
    </row>
    <row r="12186" spans="1:22" customFormat="1" ht="15" x14ac:dyDescent="0.25">
      <c r="A12186" t="s">
        <v>7026</v>
      </c>
      <c r="E12186" s="1496" t="s">
        <v>952</v>
      </c>
      <c r="F12186" s="1496"/>
      <c r="G12186" s="1496"/>
      <c r="H12186" s="1496"/>
      <c r="K12186" t="s">
        <v>972</v>
      </c>
      <c r="V12186">
        <v>411</v>
      </c>
    </row>
    <row r="12187" spans="1:22" customFormat="1" ht="15" x14ac:dyDescent="0.25">
      <c r="A12187" t="s">
        <v>7026</v>
      </c>
      <c r="E12187" s="1496" t="s">
        <v>953</v>
      </c>
      <c r="F12187" s="1496"/>
      <c r="G12187" s="1496"/>
      <c r="H12187" s="1496"/>
      <c r="K12187" t="s">
        <v>972</v>
      </c>
      <c r="V12187">
        <v>386</v>
      </c>
    </row>
    <row r="12188" spans="1:22" customFormat="1" ht="15" x14ac:dyDescent="0.25">
      <c r="A12188" t="s">
        <v>7026</v>
      </c>
      <c r="E12188" s="1496" t="s">
        <v>954</v>
      </c>
      <c r="F12188" s="1496"/>
      <c r="G12188" s="1496"/>
      <c r="H12188" s="1496"/>
      <c r="K12188" t="s">
        <v>972</v>
      </c>
      <c r="V12188">
        <v>246</v>
      </c>
    </row>
    <row r="12189" spans="1:22" customFormat="1" ht="15" x14ac:dyDescent="0.25">
      <c r="A12189" t="s">
        <v>7026</v>
      </c>
      <c r="E12189" s="1488" t="s">
        <v>956</v>
      </c>
      <c r="F12189" s="1590"/>
      <c r="G12189" s="1590"/>
      <c r="H12189" s="1590"/>
      <c r="K12189" t="s">
        <v>975</v>
      </c>
      <c r="V12189">
        <v>46</v>
      </c>
    </row>
    <row r="12190" spans="1:22" customFormat="1" ht="15" x14ac:dyDescent="0.25">
      <c r="A12190" t="s">
        <v>7026</v>
      </c>
      <c r="E12190" s="1495" t="s">
        <v>3773</v>
      </c>
      <c r="F12190" s="1495"/>
      <c r="G12190" s="360" t="s">
        <v>777</v>
      </c>
      <c r="H12190" s="576">
        <v>41.82</v>
      </c>
      <c r="K12190" t="s">
        <v>972</v>
      </c>
      <c r="L12190" t="s">
        <v>690</v>
      </c>
      <c r="P12190" t="s">
        <v>976</v>
      </c>
      <c r="V12190">
        <v>14</v>
      </c>
    </row>
    <row r="12191" spans="1:22" customFormat="1" ht="15" x14ac:dyDescent="0.25">
      <c r="A12191" t="s">
        <v>7026</v>
      </c>
      <c r="E12191" s="1495" t="s">
        <v>7031</v>
      </c>
      <c r="F12191" s="1561"/>
      <c r="G12191" s="360" t="s">
        <v>777</v>
      </c>
      <c r="H12191" s="576">
        <v>-0.04</v>
      </c>
      <c r="K12191" t="s">
        <v>972</v>
      </c>
      <c r="L12191" t="s">
        <v>690</v>
      </c>
      <c r="P12191" t="s">
        <v>976</v>
      </c>
      <c r="T12191">
        <v>46022</v>
      </c>
      <c r="V12191">
        <v>102</v>
      </c>
    </row>
    <row r="12192" spans="1:22" customFormat="1" ht="15" x14ac:dyDescent="0.25">
      <c r="A12192" t="s">
        <v>7026</v>
      </c>
      <c r="E12192" s="1495" t="s">
        <v>7032</v>
      </c>
      <c r="F12192" s="1561"/>
      <c r="G12192" s="360" t="s">
        <v>777</v>
      </c>
      <c r="H12192" s="576">
        <v>1.64</v>
      </c>
      <c r="K12192" t="s">
        <v>972</v>
      </c>
      <c r="L12192" t="s">
        <v>690</v>
      </c>
      <c r="P12192" t="s">
        <v>7041</v>
      </c>
      <c r="T12192">
        <v>46022</v>
      </c>
      <c r="V12192">
        <v>81</v>
      </c>
    </row>
    <row r="12193" spans="1:22" customFormat="1" ht="15" x14ac:dyDescent="0.25">
      <c r="A12193" t="s">
        <v>7026</v>
      </c>
      <c r="E12193" s="1495" t="s">
        <v>7036</v>
      </c>
      <c r="F12193" s="1561"/>
      <c r="G12193" s="360" t="s">
        <v>777</v>
      </c>
      <c r="H12193" s="576">
        <v>0.82</v>
      </c>
      <c r="K12193" t="s">
        <v>972</v>
      </c>
      <c r="L12193" t="s">
        <v>690</v>
      </c>
      <c r="P12193" t="s">
        <v>6877</v>
      </c>
      <c r="T12193">
        <v>46022</v>
      </c>
      <c r="V12193">
        <v>85</v>
      </c>
    </row>
    <row r="12194" spans="1:22" customFormat="1" ht="15" x14ac:dyDescent="0.25">
      <c r="A12194" t="s">
        <v>7026</v>
      </c>
      <c r="E12194" s="1495" t="s">
        <v>960</v>
      </c>
      <c r="F12194" s="1495"/>
      <c r="G12194" s="360" t="s">
        <v>777</v>
      </c>
      <c r="H12194" s="604">
        <v>0.42</v>
      </c>
      <c r="K12194" t="s">
        <v>972</v>
      </c>
      <c r="L12194" t="s">
        <v>692</v>
      </c>
      <c r="P12194" t="s">
        <v>977</v>
      </c>
      <c r="V12194">
        <v>64</v>
      </c>
    </row>
    <row r="12195" spans="1:22" customFormat="1" ht="15" x14ac:dyDescent="0.25">
      <c r="A12195" t="s">
        <v>7026</v>
      </c>
      <c r="E12195" s="1495" t="s">
        <v>6520</v>
      </c>
      <c r="F12195" s="1561"/>
      <c r="G12195" s="360" t="s">
        <v>845</v>
      </c>
      <c r="H12195" s="605">
        <v>-2.3999999999999998E-3</v>
      </c>
      <c r="K12195" t="s">
        <v>972</v>
      </c>
      <c r="L12195" t="s">
        <v>692</v>
      </c>
      <c r="P12195" t="s">
        <v>982</v>
      </c>
      <c r="T12195">
        <v>46022</v>
      </c>
      <c r="V12195">
        <v>99</v>
      </c>
    </row>
    <row r="12196" spans="1:22" customFormat="1" ht="15" x14ac:dyDescent="0.25">
      <c r="A12196" t="s">
        <v>7026</v>
      </c>
      <c r="E12196" s="1495" t="s">
        <v>7042</v>
      </c>
      <c r="F12196" s="1561"/>
      <c r="G12196" s="360" t="s">
        <v>845</v>
      </c>
      <c r="H12196" s="605">
        <v>2.9999999999999997E-4</v>
      </c>
      <c r="K12196" t="s">
        <v>972</v>
      </c>
      <c r="L12196" t="s">
        <v>692</v>
      </c>
      <c r="P12196" t="s">
        <v>3766</v>
      </c>
      <c r="T12196">
        <v>46022</v>
      </c>
      <c r="V12196">
        <v>154</v>
      </c>
    </row>
    <row r="12197" spans="1:22" customFormat="1" ht="15" x14ac:dyDescent="0.25">
      <c r="A12197" t="s">
        <v>7026</v>
      </c>
      <c r="E12197" s="1495" t="s">
        <v>7034</v>
      </c>
      <c r="F12197" s="1561"/>
      <c r="G12197" s="360" t="s">
        <v>845</v>
      </c>
      <c r="H12197" s="605">
        <v>-7.9000000000000008E-3</v>
      </c>
      <c r="K12197" t="s">
        <v>972</v>
      </c>
      <c r="L12197" t="s">
        <v>690</v>
      </c>
      <c r="P12197" t="s">
        <v>7043</v>
      </c>
      <c r="T12197">
        <v>46022</v>
      </c>
      <c r="V12197">
        <v>89</v>
      </c>
    </row>
    <row r="12198" spans="1:22" customFormat="1" ht="15" x14ac:dyDescent="0.25">
      <c r="A12198" t="s">
        <v>7026</v>
      </c>
      <c r="E12198" s="1495" t="s">
        <v>7040</v>
      </c>
      <c r="F12198" s="1561"/>
      <c r="G12198" s="360" t="s">
        <v>845</v>
      </c>
      <c r="H12198" s="605">
        <v>5.7000000000000002E-3</v>
      </c>
      <c r="K12198" t="s">
        <v>972</v>
      </c>
      <c r="L12198" t="s">
        <v>692</v>
      </c>
      <c r="P12198" t="s">
        <v>981</v>
      </c>
      <c r="T12198">
        <v>46022</v>
      </c>
      <c r="V12198">
        <v>144</v>
      </c>
    </row>
    <row r="12199" spans="1:22" customFormat="1" ht="15" x14ac:dyDescent="0.25">
      <c r="A12199" t="s">
        <v>7026</v>
      </c>
      <c r="E12199" s="1495" t="s">
        <v>7044</v>
      </c>
      <c r="F12199" s="1561"/>
      <c r="G12199" s="360" t="s">
        <v>845</v>
      </c>
      <c r="H12199" s="605">
        <v>1E-3</v>
      </c>
      <c r="K12199" t="s">
        <v>972</v>
      </c>
      <c r="L12199" t="s">
        <v>690</v>
      </c>
      <c r="P12199" t="s">
        <v>7045</v>
      </c>
      <c r="T12199">
        <v>46022</v>
      </c>
      <c r="V12199">
        <v>103</v>
      </c>
    </row>
    <row r="12200" spans="1:22" customFormat="1" ht="15" x14ac:dyDescent="0.25">
      <c r="A12200" t="s">
        <v>7026</v>
      </c>
      <c r="E12200" s="1495" t="s">
        <v>3688</v>
      </c>
      <c r="F12200" s="1495"/>
      <c r="G12200" s="360" t="s">
        <v>845</v>
      </c>
      <c r="H12200" s="577">
        <v>1.6299999999999999E-2</v>
      </c>
      <c r="K12200" t="s">
        <v>972</v>
      </c>
      <c r="L12200" t="s">
        <v>690</v>
      </c>
      <c r="P12200" t="s">
        <v>978</v>
      </c>
      <c r="V12200">
        <v>28</v>
      </c>
    </row>
    <row r="12201" spans="1:22" customFormat="1" ht="15" x14ac:dyDescent="0.25">
      <c r="A12201" t="s">
        <v>7026</v>
      </c>
      <c r="E12201" s="1495" t="s">
        <v>910</v>
      </c>
      <c r="F12201" s="1495"/>
      <c r="G12201" s="360" t="s">
        <v>845</v>
      </c>
      <c r="H12201" s="605">
        <v>2.5999999999999999E-3</v>
      </c>
      <c r="K12201" t="s">
        <v>972</v>
      </c>
      <c r="L12201" t="s">
        <v>692</v>
      </c>
      <c r="P12201" t="s">
        <v>980</v>
      </c>
      <c r="V12201">
        <v>24</v>
      </c>
    </row>
    <row r="12202" spans="1:22" customFormat="1" ht="15" x14ac:dyDescent="0.25">
      <c r="A12202" t="s">
        <v>7026</v>
      </c>
      <c r="E12202" s="1495" t="s">
        <v>7046</v>
      </c>
      <c r="F12202" s="1561"/>
      <c r="G12202" s="360" t="s">
        <v>845</v>
      </c>
      <c r="H12202" s="605">
        <v>-1E-4</v>
      </c>
      <c r="K12202" t="s">
        <v>972</v>
      </c>
      <c r="L12202" t="s">
        <v>692</v>
      </c>
      <c r="P12202" t="s">
        <v>3766</v>
      </c>
      <c r="T12202">
        <v>45777</v>
      </c>
      <c r="V12202">
        <v>148</v>
      </c>
    </row>
    <row r="12203" spans="1:22" customFormat="1" ht="15" x14ac:dyDescent="0.25">
      <c r="A12203" t="s">
        <v>7026</v>
      </c>
      <c r="E12203" s="1495" t="s">
        <v>243</v>
      </c>
      <c r="F12203" s="1495"/>
      <c r="G12203" s="360" t="s">
        <v>845</v>
      </c>
      <c r="H12203" s="577">
        <v>8.8999999999999999E-3</v>
      </c>
      <c r="K12203" t="s">
        <v>972</v>
      </c>
      <c r="L12203" t="s">
        <v>694</v>
      </c>
      <c r="P12203" t="s">
        <v>983</v>
      </c>
      <c r="V12203">
        <v>47</v>
      </c>
    </row>
    <row r="12204" spans="1:22" customFormat="1" ht="15" x14ac:dyDescent="0.25">
      <c r="A12204" t="s">
        <v>7026</v>
      </c>
      <c r="E12204" s="1495" t="s">
        <v>175</v>
      </c>
      <c r="F12204" s="1495"/>
      <c r="G12204" s="360" t="s">
        <v>845</v>
      </c>
      <c r="H12204" s="577">
        <v>7.3000000000000001E-3</v>
      </c>
      <c r="K12204" t="s">
        <v>972</v>
      </c>
      <c r="L12204" t="s">
        <v>694</v>
      </c>
      <c r="P12204" t="s">
        <v>984</v>
      </c>
      <c r="V12204">
        <v>74</v>
      </c>
    </row>
    <row r="12205" spans="1:22" customFormat="1" ht="15" x14ac:dyDescent="0.25">
      <c r="A12205" t="s">
        <v>7026</v>
      </c>
      <c r="E12205" s="1488" t="s">
        <v>967</v>
      </c>
      <c r="F12205" s="1495"/>
      <c r="G12205" s="360"/>
      <c r="H12205" s="360"/>
      <c r="K12205" t="s">
        <v>985</v>
      </c>
      <c r="V12205">
        <v>48</v>
      </c>
    </row>
    <row r="12206" spans="1:22" customFormat="1" ht="15" x14ac:dyDescent="0.25">
      <c r="A12206" t="s">
        <v>7026</v>
      </c>
      <c r="E12206" s="1495" t="s">
        <v>844</v>
      </c>
      <c r="F12206" s="1495"/>
      <c r="G12206" s="360" t="s">
        <v>845</v>
      </c>
      <c r="H12206" s="605">
        <v>4.1000000000000003E-3</v>
      </c>
      <c r="K12206" t="s">
        <v>972</v>
      </c>
      <c r="L12206" t="s">
        <v>968</v>
      </c>
      <c r="P12206" t="s">
        <v>986</v>
      </c>
      <c r="V12206">
        <v>55</v>
      </c>
    </row>
    <row r="12207" spans="1:22" customFormat="1" ht="15" x14ac:dyDescent="0.25">
      <c r="A12207" t="s">
        <v>7026</v>
      </c>
      <c r="E12207" s="1495" t="s">
        <v>846</v>
      </c>
      <c r="F12207" s="1495"/>
      <c r="G12207" s="360" t="s">
        <v>845</v>
      </c>
      <c r="H12207" s="605">
        <v>4.0000000000000002E-4</v>
      </c>
      <c r="K12207" t="s">
        <v>972</v>
      </c>
      <c r="L12207" t="s">
        <v>968</v>
      </c>
      <c r="P12207" t="s">
        <v>986</v>
      </c>
      <c r="V12207">
        <v>65</v>
      </c>
    </row>
    <row r="12208" spans="1:22" customFormat="1" ht="15" x14ac:dyDescent="0.25">
      <c r="A12208" t="s">
        <v>7026</v>
      </c>
      <c r="E12208" s="1495" t="s">
        <v>847</v>
      </c>
      <c r="F12208" s="1495"/>
      <c r="G12208" s="360" t="s">
        <v>845</v>
      </c>
      <c r="H12208" s="605">
        <v>1.5E-3</v>
      </c>
      <c r="K12208" t="s">
        <v>972</v>
      </c>
      <c r="L12208" t="s">
        <v>968</v>
      </c>
      <c r="P12208" t="s">
        <v>987</v>
      </c>
      <c r="V12208">
        <v>57</v>
      </c>
    </row>
    <row r="12209" spans="1:22" customFormat="1" ht="15" x14ac:dyDescent="0.25">
      <c r="A12209" t="s">
        <v>7026</v>
      </c>
      <c r="E12209" s="1495" t="s">
        <v>848</v>
      </c>
      <c r="F12209" s="1495"/>
      <c r="G12209" s="360" t="s">
        <v>777</v>
      </c>
      <c r="H12209" s="604">
        <v>0.25</v>
      </c>
      <c r="K12209" t="s">
        <v>972</v>
      </c>
      <c r="L12209" t="s">
        <v>968</v>
      </c>
      <c r="P12209" t="s">
        <v>988</v>
      </c>
      <c r="V12209">
        <v>63</v>
      </c>
    </row>
    <row r="12210" spans="1:22" customFormat="1" x14ac:dyDescent="0.25">
      <c r="A12210" t="s">
        <v>7026</v>
      </c>
      <c r="E12210" s="1538" t="s">
        <v>3767</v>
      </c>
      <c r="F12210" s="1571"/>
      <c r="G12210" s="1571"/>
      <c r="H12210" s="1571"/>
      <c r="K12210" t="s">
        <v>3768</v>
      </c>
      <c r="V12210">
        <v>53</v>
      </c>
    </row>
    <row r="12211" spans="1:22" customFormat="1" ht="15" x14ac:dyDescent="0.25">
      <c r="A12211" t="s">
        <v>7026</v>
      </c>
      <c r="E12211" s="1496" t="s">
        <v>5332</v>
      </c>
      <c r="F12211" s="1496"/>
      <c r="G12211" s="1496"/>
      <c r="H12211" s="1496"/>
      <c r="K12211" t="s">
        <v>3768</v>
      </c>
      <c r="V12211">
        <v>356</v>
      </c>
    </row>
    <row r="12212" spans="1:22" customFormat="1" ht="15" x14ac:dyDescent="0.25">
      <c r="A12212" t="s">
        <v>7026</v>
      </c>
      <c r="E12212" s="1533" t="s">
        <v>950</v>
      </c>
      <c r="F12212" s="1496"/>
      <c r="G12212" s="1496"/>
      <c r="H12212" s="1496"/>
      <c r="K12212" t="s">
        <v>992</v>
      </c>
      <c r="V12212">
        <v>11</v>
      </c>
    </row>
    <row r="12213" spans="1:22" customFormat="1" ht="15" x14ac:dyDescent="0.25">
      <c r="A12213" t="s">
        <v>7026</v>
      </c>
      <c r="E12213" s="1496" t="s">
        <v>951</v>
      </c>
      <c r="F12213" s="1496"/>
      <c r="G12213" s="1496"/>
      <c r="H12213" s="1496"/>
      <c r="K12213" t="s">
        <v>3768</v>
      </c>
      <c r="V12213">
        <v>280</v>
      </c>
    </row>
    <row r="12214" spans="1:22" customFormat="1" ht="15" x14ac:dyDescent="0.25">
      <c r="A12214" t="s">
        <v>7026</v>
      </c>
      <c r="E12214" s="1496" t="s">
        <v>952</v>
      </c>
      <c r="F12214" s="1496"/>
      <c r="G12214" s="1496"/>
      <c r="H12214" s="1496"/>
      <c r="K12214" t="s">
        <v>3768</v>
      </c>
      <c r="V12214">
        <v>411</v>
      </c>
    </row>
    <row r="12215" spans="1:22" customFormat="1" ht="15" x14ac:dyDescent="0.25">
      <c r="A12215" t="s">
        <v>7026</v>
      </c>
      <c r="E12215" s="1496" t="s">
        <v>953</v>
      </c>
      <c r="F12215" s="1496"/>
      <c r="G12215" s="1496"/>
      <c r="H12215" s="1496"/>
      <c r="K12215" t="s">
        <v>3768</v>
      </c>
      <c r="V12215">
        <v>386</v>
      </c>
    </row>
    <row r="12216" spans="1:22" customFormat="1" ht="15" x14ac:dyDescent="0.25">
      <c r="A12216" t="s">
        <v>7026</v>
      </c>
      <c r="E12216" s="1496" t="s">
        <v>993</v>
      </c>
      <c r="F12216" s="1496"/>
      <c r="G12216" s="1496"/>
      <c r="H12216" s="1496"/>
      <c r="K12216" t="s">
        <v>3768</v>
      </c>
      <c r="V12216">
        <v>680</v>
      </c>
    </row>
    <row r="12217" spans="1:22" customFormat="1" ht="15" x14ac:dyDescent="0.25">
      <c r="A12217" t="s">
        <v>7026</v>
      </c>
      <c r="E12217" s="1496" t="s">
        <v>3772</v>
      </c>
      <c r="F12217" s="1496"/>
      <c r="G12217" s="1496"/>
      <c r="H12217" s="1496"/>
      <c r="K12217" t="s">
        <v>3768</v>
      </c>
      <c r="V12217">
        <v>693</v>
      </c>
    </row>
    <row r="12218" spans="1:22" customFormat="1" ht="15" x14ac:dyDescent="0.25">
      <c r="A12218" t="s">
        <v>7026</v>
      </c>
      <c r="E12218" s="1496" t="s">
        <v>954</v>
      </c>
      <c r="F12218" s="1496"/>
      <c r="G12218" s="1496"/>
      <c r="H12218" s="1496"/>
      <c r="K12218" t="s">
        <v>3768</v>
      </c>
      <c r="V12218">
        <v>246</v>
      </c>
    </row>
    <row r="12219" spans="1:22" customFormat="1" ht="15" x14ac:dyDescent="0.25">
      <c r="A12219" t="s">
        <v>7026</v>
      </c>
      <c r="E12219" s="1488" t="s">
        <v>956</v>
      </c>
      <c r="F12219" s="1590"/>
      <c r="G12219" s="1590"/>
      <c r="H12219" s="1590"/>
      <c r="K12219" t="s">
        <v>995</v>
      </c>
      <c r="V12219">
        <v>46</v>
      </c>
    </row>
    <row r="12220" spans="1:22" customFormat="1" ht="15" x14ac:dyDescent="0.25">
      <c r="A12220" t="s">
        <v>7026</v>
      </c>
      <c r="E12220" s="1495" t="s">
        <v>3773</v>
      </c>
      <c r="F12220" s="1495"/>
      <c r="G12220" s="360" t="s">
        <v>777</v>
      </c>
      <c r="H12220" s="576">
        <v>259.02999999999997</v>
      </c>
      <c r="K12220" t="s">
        <v>3768</v>
      </c>
      <c r="L12220" t="s">
        <v>690</v>
      </c>
      <c r="P12220" t="s">
        <v>3774</v>
      </c>
      <c r="V12220">
        <v>14</v>
      </c>
    </row>
    <row r="12221" spans="1:22" customFormat="1" ht="15" x14ac:dyDescent="0.25">
      <c r="A12221" t="s">
        <v>7026</v>
      </c>
      <c r="E12221" s="1495" t="s">
        <v>7031</v>
      </c>
      <c r="F12221" s="1561"/>
      <c r="G12221" s="360" t="s">
        <v>777</v>
      </c>
      <c r="H12221" s="576">
        <v>-7.68</v>
      </c>
      <c r="K12221" t="s">
        <v>3768</v>
      </c>
      <c r="L12221" t="s">
        <v>690</v>
      </c>
      <c r="P12221" t="s">
        <v>3774</v>
      </c>
      <c r="T12221">
        <v>46022</v>
      </c>
      <c r="V12221">
        <v>102</v>
      </c>
    </row>
    <row r="12222" spans="1:22" customFormat="1" ht="15" x14ac:dyDescent="0.25">
      <c r="A12222" t="s">
        <v>7026</v>
      </c>
      <c r="E12222" s="1495" t="s">
        <v>7047</v>
      </c>
      <c r="F12222" s="1561"/>
      <c r="G12222" s="360" t="s">
        <v>777</v>
      </c>
      <c r="H12222" s="576">
        <v>13.68</v>
      </c>
      <c r="K12222" t="s">
        <v>3768</v>
      </c>
      <c r="L12222" t="s">
        <v>690</v>
      </c>
      <c r="P12222" t="s">
        <v>7048</v>
      </c>
      <c r="T12222">
        <v>46022</v>
      </c>
      <c r="V12222">
        <v>82</v>
      </c>
    </row>
    <row r="12223" spans="1:22" customFormat="1" ht="15" x14ac:dyDescent="0.25">
      <c r="A12223" t="s">
        <v>7026</v>
      </c>
      <c r="E12223" s="1495" t="s">
        <v>7036</v>
      </c>
      <c r="F12223" s="1561"/>
      <c r="G12223" s="360" t="s">
        <v>777</v>
      </c>
      <c r="H12223" s="576">
        <v>8.0500000000000007</v>
      </c>
      <c r="K12223" t="s">
        <v>3768</v>
      </c>
      <c r="L12223" t="s">
        <v>690</v>
      </c>
      <c r="P12223" t="s">
        <v>5886</v>
      </c>
      <c r="T12223">
        <v>46022</v>
      </c>
      <c r="V12223">
        <v>85</v>
      </c>
    </row>
    <row r="12224" spans="1:22" customFormat="1" ht="15" x14ac:dyDescent="0.25">
      <c r="A12224" t="s">
        <v>7026</v>
      </c>
      <c r="E12224" s="1495" t="s">
        <v>6520</v>
      </c>
      <c r="F12224" s="1561"/>
      <c r="G12224" s="360" t="s">
        <v>3775</v>
      </c>
      <c r="H12224" s="577">
        <v>0.23380000000000001</v>
      </c>
      <c r="K12224" t="s">
        <v>3768</v>
      </c>
      <c r="L12224" t="s">
        <v>692</v>
      </c>
      <c r="P12224" t="s">
        <v>3779</v>
      </c>
      <c r="T12224">
        <v>46022</v>
      </c>
      <c r="V12224">
        <v>99</v>
      </c>
    </row>
    <row r="12225" spans="1:22" customFormat="1" ht="15" x14ac:dyDescent="0.25">
      <c r="A12225" t="s">
        <v>7026</v>
      </c>
      <c r="E12225" s="1495" t="s">
        <v>7049</v>
      </c>
      <c r="F12225" s="1561"/>
      <c r="G12225" s="360" t="s">
        <v>3775</v>
      </c>
      <c r="H12225" s="577">
        <v>6.7599999999999993E-2</v>
      </c>
      <c r="K12225" t="s">
        <v>3768</v>
      </c>
      <c r="L12225" t="s">
        <v>692</v>
      </c>
      <c r="P12225" t="s">
        <v>3778</v>
      </c>
      <c r="T12225">
        <v>46022</v>
      </c>
      <c r="V12225">
        <v>152</v>
      </c>
    </row>
    <row r="12226" spans="1:22" customFormat="1" ht="15" x14ac:dyDescent="0.25">
      <c r="A12226" t="s">
        <v>7026</v>
      </c>
      <c r="E12226" s="1495" t="s">
        <v>7050</v>
      </c>
      <c r="F12226" s="1561"/>
      <c r="G12226" s="360" t="s">
        <v>3775</v>
      </c>
      <c r="H12226" s="577">
        <v>-0.86129999999999995</v>
      </c>
      <c r="K12226" t="s">
        <v>3768</v>
      </c>
      <c r="L12226" t="s">
        <v>692</v>
      </c>
      <c r="P12226" t="s">
        <v>3779</v>
      </c>
      <c r="T12226">
        <v>46022</v>
      </c>
      <c r="V12226">
        <v>163</v>
      </c>
    </row>
    <row r="12227" spans="1:22" customFormat="1" ht="15" x14ac:dyDescent="0.25">
      <c r="A12227" t="s">
        <v>7026</v>
      </c>
      <c r="E12227" s="1495" t="s">
        <v>7034</v>
      </c>
      <c r="F12227" s="1561"/>
      <c r="G12227" s="360" t="s">
        <v>3775</v>
      </c>
      <c r="H12227" s="577">
        <v>-1.8595999999999999</v>
      </c>
      <c r="K12227" t="s">
        <v>3768</v>
      </c>
      <c r="L12227" t="s">
        <v>690</v>
      </c>
      <c r="P12227" t="s">
        <v>7051</v>
      </c>
      <c r="T12227">
        <v>46022</v>
      </c>
      <c r="V12227">
        <v>89</v>
      </c>
    </row>
    <row r="12228" spans="1:22" customFormat="1" ht="15" x14ac:dyDescent="0.25">
      <c r="A12228" t="s">
        <v>7026</v>
      </c>
      <c r="E12228" s="1495" t="s">
        <v>7052</v>
      </c>
      <c r="F12228" s="1561"/>
      <c r="G12228" s="360" t="s">
        <v>845</v>
      </c>
      <c r="H12228" s="577">
        <v>5.7000000000000002E-3</v>
      </c>
      <c r="K12228" t="s">
        <v>3768</v>
      </c>
      <c r="L12228" t="s">
        <v>692</v>
      </c>
      <c r="P12228" t="s">
        <v>4232</v>
      </c>
      <c r="T12228">
        <v>46022</v>
      </c>
      <c r="V12228">
        <v>147</v>
      </c>
    </row>
    <row r="12229" spans="1:22" customFormat="1" ht="15" x14ac:dyDescent="0.25">
      <c r="A12229" t="s">
        <v>7026</v>
      </c>
      <c r="E12229" s="1495" t="s">
        <v>7044</v>
      </c>
      <c r="F12229" s="1561"/>
      <c r="G12229" s="360" t="s">
        <v>3775</v>
      </c>
      <c r="H12229" s="577">
        <v>-7.1300000000000002E-2</v>
      </c>
      <c r="K12229" t="s">
        <v>3768</v>
      </c>
      <c r="L12229" t="s">
        <v>690</v>
      </c>
      <c r="P12229" t="s">
        <v>7053</v>
      </c>
      <c r="T12229">
        <v>46022</v>
      </c>
      <c r="V12229">
        <v>103</v>
      </c>
    </row>
    <row r="12230" spans="1:22" customFormat="1" ht="15" x14ac:dyDescent="0.25">
      <c r="A12230" t="s">
        <v>7026</v>
      </c>
      <c r="E12230" s="1495" t="s">
        <v>3688</v>
      </c>
      <c r="F12230" s="1495"/>
      <c r="G12230" s="360" t="s">
        <v>3775</v>
      </c>
      <c r="H12230" s="577">
        <v>2.5108000000000001</v>
      </c>
      <c r="K12230" t="s">
        <v>3768</v>
      </c>
      <c r="L12230" t="s">
        <v>690</v>
      </c>
      <c r="P12230" t="s">
        <v>3776</v>
      </c>
      <c r="V12230">
        <v>28</v>
      </c>
    </row>
    <row r="12231" spans="1:22" customFormat="1" ht="15" x14ac:dyDescent="0.25">
      <c r="A12231" t="s">
        <v>7026</v>
      </c>
      <c r="E12231" s="1495" t="s">
        <v>910</v>
      </c>
      <c r="F12231" s="1495"/>
      <c r="G12231" s="360" t="s">
        <v>3775</v>
      </c>
      <c r="H12231" s="605">
        <v>1.1388</v>
      </c>
      <c r="K12231" t="s">
        <v>3768</v>
      </c>
      <c r="L12231" t="s">
        <v>692</v>
      </c>
      <c r="P12231" t="s">
        <v>3777</v>
      </c>
      <c r="V12231">
        <v>24</v>
      </c>
    </row>
    <row r="12232" spans="1:22" customFormat="1" ht="15" x14ac:dyDescent="0.25">
      <c r="A12232" t="s">
        <v>7026</v>
      </c>
      <c r="E12232" s="1495" t="s">
        <v>7046</v>
      </c>
      <c r="F12232" s="1561"/>
      <c r="G12232" s="360" t="s">
        <v>3775</v>
      </c>
      <c r="H12232" s="605">
        <v>-3.7499999999999999E-2</v>
      </c>
      <c r="K12232" t="s">
        <v>3768</v>
      </c>
      <c r="L12232" t="s">
        <v>692</v>
      </c>
      <c r="P12232" t="s">
        <v>3778</v>
      </c>
      <c r="T12232">
        <v>45777</v>
      </c>
      <c r="V12232">
        <v>148</v>
      </c>
    </row>
    <row r="12233" spans="1:22" customFormat="1" ht="15" x14ac:dyDescent="0.25">
      <c r="A12233" t="s">
        <v>7026</v>
      </c>
      <c r="E12233" s="1495" t="s">
        <v>251</v>
      </c>
      <c r="F12233" s="1495"/>
      <c r="G12233" s="360" t="s">
        <v>3775</v>
      </c>
      <c r="H12233" s="577">
        <v>4.5743</v>
      </c>
      <c r="K12233" t="s">
        <v>3768</v>
      </c>
      <c r="L12233" t="s">
        <v>694</v>
      </c>
      <c r="P12233" t="s">
        <v>3780</v>
      </c>
      <c r="V12233">
        <v>66</v>
      </c>
    </row>
    <row r="12234" spans="1:22" customFormat="1" ht="15" x14ac:dyDescent="0.25">
      <c r="A12234" t="s">
        <v>7026</v>
      </c>
      <c r="E12234" s="1495" t="s">
        <v>185</v>
      </c>
      <c r="F12234" s="1495"/>
      <c r="G12234" s="360" t="s">
        <v>3775</v>
      </c>
      <c r="H12234" s="577">
        <v>3.2625999999999999</v>
      </c>
      <c r="K12234" t="s">
        <v>3768</v>
      </c>
      <c r="L12234" t="s">
        <v>694</v>
      </c>
      <c r="P12234" t="s">
        <v>3781</v>
      </c>
      <c r="V12234">
        <v>93</v>
      </c>
    </row>
    <row r="12235" spans="1:22" customFormat="1" ht="15" x14ac:dyDescent="0.25">
      <c r="A12235" t="s">
        <v>7026</v>
      </c>
      <c r="E12235" s="1488" t="s">
        <v>967</v>
      </c>
      <c r="F12235" s="1495"/>
      <c r="G12235" s="360"/>
      <c r="H12235" s="360"/>
      <c r="K12235" t="s">
        <v>1003</v>
      </c>
      <c r="V12235">
        <v>48</v>
      </c>
    </row>
    <row r="12236" spans="1:22" customFormat="1" ht="15" x14ac:dyDescent="0.25">
      <c r="A12236" t="s">
        <v>7026</v>
      </c>
      <c r="E12236" s="1495" t="s">
        <v>844</v>
      </c>
      <c r="F12236" s="1495"/>
      <c r="G12236" s="360" t="s">
        <v>845</v>
      </c>
      <c r="H12236" s="605">
        <v>4.1000000000000003E-3</v>
      </c>
      <c r="K12236" t="s">
        <v>3768</v>
      </c>
      <c r="L12236" t="s">
        <v>968</v>
      </c>
      <c r="P12236" t="s">
        <v>3782</v>
      </c>
      <c r="V12236">
        <v>55</v>
      </c>
    </row>
    <row r="12237" spans="1:22" customFormat="1" ht="15" x14ac:dyDescent="0.25">
      <c r="A12237" t="s">
        <v>7026</v>
      </c>
      <c r="E12237" s="1495" t="s">
        <v>846</v>
      </c>
      <c r="F12237" s="1495"/>
      <c r="G12237" s="360" t="s">
        <v>845</v>
      </c>
      <c r="H12237" s="605">
        <v>4.0000000000000002E-4</v>
      </c>
      <c r="K12237" t="s">
        <v>3768</v>
      </c>
      <c r="L12237" t="s">
        <v>968</v>
      </c>
      <c r="P12237" t="s">
        <v>3782</v>
      </c>
      <c r="V12237">
        <v>65</v>
      </c>
    </row>
    <row r="12238" spans="1:22" customFormat="1" ht="15" x14ac:dyDescent="0.25">
      <c r="A12238" t="s">
        <v>7026</v>
      </c>
      <c r="E12238" s="1495" t="s">
        <v>847</v>
      </c>
      <c r="F12238" s="1495"/>
      <c r="G12238" s="360" t="s">
        <v>845</v>
      </c>
      <c r="H12238" s="605">
        <v>1.5E-3</v>
      </c>
      <c r="K12238" t="s">
        <v>3768</v>
      </c>
      <c r="L12238" t="s">
        <v>968</v>
      </c>
      <c r="P12238" t="s">
        <v>3783</v>
      </c>
      <c r="V12238">
        <v>57</v>
      </c>
    </row>
    <row r="12239" spans="1:22" customFormat="1" ht="15" x14ac:dyDescent="0.25">
      <c r="A12239" t="s">
        <v>7026</v>
      </c>
      <c r="E12239" s="1495" t="s">
        <v>848</v>
      </c>
      <c r="F12239" s="1495"/>
      <c r="G12239" s="360" t="s">
        <v>777</v>
      </c>
      <c r="H12239" s="604">
        <v>0.25</v>
      </c>
      <c r="K12239" t="s">
        <v>3768</v>
      </c>
      <c r="L12239" t="s">
        <v>968</v>
      </c>
      <c r="P12239" t="s">
        <v>3784</v>
      </c>
      <c r="V12239">
        <v>63</v>
      </c>
    </row>
    <row r="12240" spans="1:22" customFormat="1" x14ac:dyDescent="0.25">
      <c r="A12240" t="s">
        <v>7026</v>
      </c>
      <c r="E12240" s="1656" t="s">
        <v>4007</v>
      </c>
      <c r="F12240" s="1656"/>
      <c r="G12240" s="1656"/>
      <c r="H12240" s="1656"/>
      <c r="K12240" t="s">
        <v>4506</v>
      </c>
      <c r="V12240">
        <v>43</v>
      </c>
    </row>
    <row r="12241" spans="1:22" customFormat="1" ht="15" x14ac:dyDescent="0.25">
      <c r="A12241" t="s">
        <v>7026</v>
      </c>
      <c r="E12241" s="1654" t="s">
        <v>5333</v>
      </c>
      <c r="F12241" s="1654"/>
      <c r="G12241" s="1654"/>
      <c r="H12241" s="1654"/>
      <c r="K12241" t="s">
        <v>4506</v>
      </c>
      <c r="V12241">
        <v>256</v>
      </c>
    </row>
    <row r="12242" spans="1:22" customFormat="1" ht="15" x14ac:dyDescent="0.25">
      <c r="A12242" t="s">
        <v>7026</v>
      </c>
      <c r="E12242" s="1618" t="s">
        <v>950</v>
      </c>
      <c r="F12242" s="1650"/>
      <c r="G12242" s="1650"/>
      <c r="H12242" s="1650"/>
      <c r="K12242" t="s">
        <v>1010</v>
      </c>
      <c r="V12242">
        <v>11</v>
      </c>
    </row>
    <row r="12243" spans="1:22" customFormat="1" ht="15" x14ac:dyDescent="0.25">
      <c r="A12243" t="s">
        <v>7026</v>
      </c>
      <c r="E12243" s="1654" t="s">
        <v>5334</v>
      </c>
      <c r="F12243" s="1654"/>
      <c r="G12243" s="1654"/>
      <c r="H12243" s="1654"/>
      <c r="K12243" t="s">
        <v>4506</v>
      </c>
      <c r="V12243">
        <v>250</v>
      </c>
    </row>
    <row r="12244" spans="1:22" customFormat="1" ht="15" x14ac:dyDescent="0.25">
      <c r="A12244" t="s">
        <v>7026</v>
      </c>
      <c r="E12244" s="1654" t="s">
        <v>5335</v>
      </c>
      <c r="F12244" s="1654"/>
      <c r="G12244" s="1654"/>
      <c r="H12244" s="1654"/>
      <c r="K12244" t="s">
        <v>4506</v>
      </c>
      <c r="V12244">
        <v>377</v>
      </c>
    </row>
    <row r="12245" spans="1:22" customFormat="1" ht="15" x14ac:dyDescent="0.25">
      <c r="A12245" t="s">
        <v>7026</v>
      </c>
      <c r="E12245" s="1654" t="s">
        <v>1103</v>
      </c>
      <c r="F12245" s="1654"/>
      <c r="G12245" s="1654"/>
      <c r="H12245" s="1654"/>
      <c r="K12245" t="s">
        <v>4506</v>
      </c>
      <c r="V12245">
        <v>211</v>
      </c>
    </row>
    <row r="12246" spans="1:22" customFormat="1" ht="15" x14ac:dyDescent="0.25">
      <c r="A12246" t="s">
        <v>7026</v>
      </c>
      <c r="E12246" s="1496" t="s">
        <v>954</v>
      </c>
      <c r="F12246" s="1496"/>
      <c r="G12246" s="1496"/>
      <c r="H12246" s="1496"/>
      <c r="K12246" t="s">
        <v>4506</v>
      </c>
      <c r="V12246">
        <v>246</v>
      </c>
    </row>
    <row r="12247" spans="1:22" customFormat="1" ht="15" x14ac:dyDescent="0.25">
      <c r="A12247" t="s">
        <v>7026</v>
      </c>
      <c r="E12247" s="1697" t="s">
        <v>956</v>
      </c>
      <c r="F12247" s="1698"/>
      <c r="G12247" s="1698"/>
      <c r="H12247" s="1698"/>
      <c r="K12247" t="s">
        <v>1011</v>
      </c>
      <c r="V12247">
        <v>46</v>
      </c>
    </row>
    <row r="12248" spans="1:22" customFormat="1" ht="15.75" thickBot="1" x14ac:dyDescent="0.3">
      <c r="A12248" t="s">
        <v>7026</v>
      </c>
      <c r="E12248" s="1495" t="s">
        <v>3773</v>
      </c>
      <c r="F12248" s="1657"/>
      <c r="G12248" s="588" t="s">
        <v>777</v>
      </c>
      <c r="H12248" s="576">
        <v>543</v>
      </c>
      <c r="K12248" t="s">
        <v>4506</v>
      </c>
      <c r="L12248" t="s">
        <v>690</v>
      </c>
      <c r="P12248" t="s">
        <v>4508</v>
      </c>
      <c r="V12248">
        <v>14</v>
      </c>
    </row>
    <row r="12249" spans="1:22" customFormat="1" ht="16.5" thickTop="1" thickBot="1" x14ac:dyDescent="0.3">
      <c r="A12249" t="s">
        <v>7026</v>
      </c>
      <c r="E12249" s="1495" t="s">
        <v>7031</v>
      </c>
      <c r="F12249" s="1655"/>
      <c r="G12249" s="588" t="s">
        <v>777</v>
      </c>
      <c r="H12249" s="576">
        <v>-52.78</v>
      </c>
      <c r="K12249" t="s">
        <v>4506</v>
      </c>
      <c r="L12249" t="s">
        <v>690</v>
      </c>
      <c r="P12249" t="s">
        <v>4508</v>
      </c>
      <c r="T12249">
        <v>46022</v>
      </c>
      <c r="V12249">
        <v>102</v>
      </c>
    </row>
    <row r="12250" spans="1:22" customFormat="1" ht="16.5" thickTop="1" thickBot="1" x14ac:dyDescent="0.3">
      <c r="A12250" t="s">
        <v>7026</v>
      </c>
      <c r="E12250" s="1495" t="s">
        <v>7047</v>
      </c>
      <c r="F12250" s="1655"/>
      <c r="G12250" s="588" t="s">
        <v>777</v>
      </c>
      <c r="H12250" s="576">
        <v>62.78</v>
      </c>
      <c r="K12250" t="s">
        <v>4506</v>
      </c>
      <c r="L12250" t="s">
        <v>690</v>
      </c>
      <c r="P12250" t="s">
        <v>7054</v>
      </c>
      <c r="T12250">
        <v>46022</v>
      </c>
      <c r="V12250">
        <v>82</v>
      </c>
    </row>
    <row r="12251" spans="1:22" customFormat="1" ht="16.5" thickTop="1" thickBot="1" x14ac:dyDescent="0.3">
      <c r="A12251" t="s">
        <v>7026</v>
      </c>
      <c r="E12251" s="1495" t="s">
        <v>7036</v>
      </c>
      <c r="F12251" s="1655"/>
      <c r="G12251" s="588" t="s">
        <v>777</v>
      </c>
      <c r="H12251" s="576">
        <v>27.68</v>
      </c>
      <c r="K12251" t="s">
        <v>4506</v>
      </c>
      <c r="L12251" t="s">
        <v>690</v>
      </c>
      <c r="P12251" t="s">
        <v>7055</v>
      </c>
      <c r="T12251">
        <v>46022</v>
      </c>
      <c r="V12251">
        <v>85</v>
      </c>
    </row>
    <row r="12252" spans="1:22" customFormat="1" ht="16.5" thickTop="1" thickBot="1" x14ac:dyDescent="0.3">
      <c r="A12252" t="s">
        <v>7026</v>
      </c>
      <c r="E12252" s="1495" t="s">
        <v>6520</v>
      </c>
      <c r="F12252" s="1655"/>
      <c r="G12252" s="588" t="s">
        <v>3775</v>
      </c>
      <c r="H12252" s="577">
        <v>-0.86329999999999996</v>
      </c>
      <c r="K12252" t="s">
        <v>4506</v>
      </c>
      <c r="L12252" t="s">
        <v>692</v>
      </c>
      <c r="P12252" t="s">
        <v>4512</v>
      </c>
      <c r="T12252">
        <v>46022</v>
      </c>
      <c r="V12252">
        <v>99</v>
      </c>
    </row>
    <row r="12253" spans="1:22" customFormat="1" ht="16.5" thickTop="1" thickBot="1" x14ac:dyDescent="0.3">
      <c r="A12253" t="s">
        <v>7026</v>
      </c>
      <c r="E12253" s="1495" t="s">
        <v>7049</v>
      </c>
      <c r="F12253" s="1561"/>
      <c r="G12253" s="588" t="s">
        <v>3775</v>
      </c>
      <c r="H12253" s="577">
        <v>9.9599999999999994E-2</v>
      </c>
      <c r="K12253" t="s">
        <v>4506</v>
      </c>
      <c r="L12253" t="s">
        <v>692</v>
      </c>
      <c r="P12253" t="s">
        <v>4513</v>
      </c>
      <c r="T12253">
        <v>46022</v>
      </c>
      <c r="V12253">
        <v>152</v>
      </c>
    </row>
    <row r="12254" spans="1:22" customFormat="1" ht="16.5" thickTop="1" thickBot="1" x14ac:dyDescent="0.3">
      <c r="A12254" t="s">
        <v>7026</v>
      </c>
      <c r="E12254" s="1495" t="s">
        <v>7034</v>
      </c>
      <c r="F12254" s="1655"/>
      <c r="G12254" s="588" t="s">
        <v>3775</v>
      </c>
      <c r="H12254" s="577">
        <v>-2.2572999999999999</v>
      </c>
      <c r="K12254" t="s">
        <v>4506</v>
      </c>
      <c r="L12254" t="s">
        <v>690</v>
      </c>
      <c r="P12254" t="s">
        <v>7056</v>
      </c>
      <c r="T12254">
        <v>46022</v>
      </c>
      <c r="V12254">
        <v>89</v>
      </c>
    </row>
    <row r="12255" spans="1:22" customFormat="1" ht="16.5" thickTop="1" thickBot="1" x14ac:dyDescent="0.3">
      <c r="A12255" t="s">
        <v>7026</v>
      </c>
      <c r="E12255" s="1495" t="s">
        <v>7057</v>
      </c>
      <c r="F12255" s="1655"/>
      <c r="G12255" s="588" t="s">
        <v>845</v>
      </c>
      <c r="H12255" s="577">
        <v>5.7000000000000002E-3</v>
      </c>
      <c r="K12255" t="s">
        <v>4506</v>
      </c>
      <c r="L12255" t="s">
        <v>692</v>
      </c>
      <c r="P12255" t="s">
        <v>4511</v>
      </c>
      <c r="T12255">
        <v>46022</v>
      </c>
      <c r="V12255">
        <v>145</v>
      </c>
    </row>
    <row r="12256" spans="1:22" customFormat="1" ht="16.5" thickTop="1" thickBot="1" x14ac:dyDescent="0.3">
      <c r="A12256" t="s">
        <v>7026</v>
      </c>
      <c r="E12256" s="1495" t="s">
        <v>7044</v>
      </c>
      <c r="F12256" s="1655"/>
      <c r="G12256" s="588" t="s">
        <v>3775</v>
      </c>
      <c r="H12256" s="577">
        <v>-0.1169</v>
      </c>
      <c r="K12256" t="s">
        <v>4506</v>
      </c>
      <c r="L12256" t="s">
        <v>690</v>
      </c>
      <c r="P12256" t="s">
        <v>7058</v>
      </c>
      <c r="T12256">
        <v>46022</v>
      </c>
      <c r="V12256">
        <v>103</v>
      </c>
    </row>
    <row r="12257" spans="1:22" customFormat="1" ht="16.5" thickTop="1" thickBot="1" x14ac:dyDescent="0.3">
      <c r="A12257" t="s">
        <v>7026</v>
      </c>
      <c r="E12257" s="1495" t="s">
        <v>3688</v>
      </c>
      <c r="F12257" s="1657"/>
      <c r="G12257" s="588" t="s">
        <v>3775</v>
      </c>
      <c r="H12257" s="577">
        <v>1.2020999999999999</v>
      </c>
      <c r="K12257" t="s">
        <v>4506</v>
      </c>
      <c r="L12257" t="s">
        <v>690</v>
      </c>
      <c r="P12257" t="s">
        <v>4509</v>
      </c>
      <c r="V12257">
        <v>28</v>
      </c>
    </row>
    <row r="12258" spans="1:22" customFormat="1" ht="15.75" thickTop="1" x14ac:dyDescent="0.25">
      <c r="A12258" t="s">
        <v>7026</v>
      </c>
      <c r="E12258" s="1495" t="s">
        <v>7046</v>
      </c>
      <c r="F12258" s="1561"/>
      <c r="G12258" s="645" t="s">
        <v>3775</v>
      </c>
      <c r="H12258" s="577">
        <v>-3.5999999999999997E-2</v>
      </c>
      <c r="K12258" t="s">
        <v>4506</v>
      </c>
      <c r="L12258" t="s">
        <v>692</v>
      </c>
      <c r="P12258" t="s">
        <v>4513</v>
      </c>
      <c r="T12258">
        <v>45777</v>
      </c>
      <c r="V12258">
        <v>148</v>
      </c>
    </row>
    <row r="12259" spans="1:22" customFormat="1" ht="15" x14ac:dyDescent="0.25">
      <c r="A12259" t="s">
        <v>7026</v>
      </c>
      <c r="E12259" s="1658" t="s">
        <v>967</v>
      </c>
      <c r="F12259" s="1495"/>
      <c r="G12259" s="646"/>
      <c r="H12259" s="646"/>
      <c r="K12259" t="s">
        <v>1019</v>
      </c>
      <c r="V12259">
        <v>48</v>
      </c>
    </row>
    <row r="12260" spans="1:22" customFormat="1" ht="15" x14ac:dyDescent="0.25">
      <c r="A12260" t="s">
        <v>7026</v>
      </c>
      <c r="E12260" s="1495" t="s">
        <v>844</v>
      </c>
      <c r="F12260" s="1495"/>
      <c r="G12260" s="360" t="s">
        <v>845</v>
      </c>
      <c r="H12260" s="605">
        <v>4.1000000000000003E-3</v>
      </c>
      <c r="K12260" t="s">
        <v>4506</v>
      </c>
      <c r="L12260" t="s">
        <v>968</v>
      </c>
      <c r="P12260" t="s">
        <v>4516</v>
      </c>
      <c r="V12260">
        <v>55</v>
      </c>
    </row>
    <row r="12261" spans="1:22" customFormat="1" ht="15" x14ac:dyDescent="0.25">
      <c r="A12261" t="s">
        <v>7026</v>
      </c>
      <c r="E12261" s="1495" t="s">
        <v>846</v>
      </c>
      <c r="F12261" s="1495"/>
      <c r="G12261" s="360" t="s">
        <v>845</v>
      </c>
      <c r="H12261" s="605">
        <v>4.0000000000000002E-4</v>
      </c>
      <c r="K12261" t="s">
        <v>4506</v>
      </c>
      <c r="L12261" t="s">
        <v>968</v>
      </c>
      <c r="P12261" t="s">
        <v>4516</v>
      </c>
      <c r="V12261">
        <v>65</v>
      </c>
    </row>
    <row r="12262" spans="1:22" customFormat="1" ht="15" x14ac:dyDescent="0.25">
      <c r="A12262" t="s">
        <v>7026</v>
      </c>
      <c r="E12262" s="1495" t="s">
        <v>847</v>
      </c>
      <c r="F12262" s="1495"/>
      <c r="G12262" s="360" t="s">
        <v>845</v>
      </c>
      <c r="H12262" s="605">
        <v>1.5E-3</v>
      </c>
      <c r="K12262" t="s">
        <v>4506</v>
      </c>
      <c r="L12262" t="s">
        <v>968</v>
      </c>
      <c r="P12262" t="s">
        <v>4517</v>
      </c>
      <c r="V12262">
        <v>57</v>
      </c>
    </row>
    <row r="12263" spans="1:22" customFormat="1" ht="15" x14ac:dyDescent="0.25">
      <c r="A12263" t="s">
        <v>7026</v>
      </c>
      <c r="E12263" s="1495" t="s">
        <v>848</v>
      </c>
      <c r="F12263" s="1495"/>
      <c r="G12263" s="360" t="s">
        <v>777</v>
      </c>
      <c r="H12263" s="604">
        <v>0.25</v>
      </c>
      <c r="K12263" t="s">
        <v>4506</v>
      </c>
      <c r="L12263" t="s">
        <v>968</v>
      </c>
      <c r="P12263" t="s">
        <v>4518</v>
      </c>
      <c r="V12263">
        <v>63</v>
      </c>
    </row>
    <row r="12264" spans="1:22" customFormat="1" x14ac:dyDescent="0.25">
      <c r="A12264" t="s">
        <v>7026</v>
      </c>
      <c r="E12264" s="1538" t="s">
        <v>194</v>
      </c>
      <c r="F12264" s="1571"/>
      <c r="G12264" s="1571"/>
      <c r="H12264" s="1571"/>
      <c r="K12264" t="s">
        <v>1023</v>
      </c>
      <c r="V12264">
        <v>47</v>
      </c>
    </row>
    <row r="12265" spans="1:22" customFormat="1" ht="15" x14ac:dyDescent="0.25">
      <c r="A12265" t="s">
        <v>7026</v>
      </c>
      <c r="E12265" s="1496" t="s">
        <v>5336</v>
      </c>
      <c r="F12265" s="1496"/>
      <c r="G12265" s="1496"/>
      <c r="H12265" s="1496"/>
      <c r="K12265" t="s">
        <v>1023</v>
      </c>
      <c r="V12265">
        <v>572</v>
      </c>
    </row>
    <row r="12266" spans="1:22" customFormat="1" ht="15" x14ac:dyDescent="0.25">
      <c r="A12266" t="s">
        <v>7026</v>
      </c>
      <c r="E12266" s="1533" t="s">
        <v>950</v>
      </c>
      <c r="F12266" s="1496"/>
      <c r="G12266" s="1496"/>
      <c r="H12266" s="1496"/>
      <c r="K12266" t="s">
        <v>1025</v>
      </c>
      <c r="V12266">
        <v>11</v>
      </c>
    </row>
    <row r="12267" spans="1:22" customFormat="1" ht="15" x14ac:dyDescent="0.25">
      <c r="A12267" t="s">
        <v>7026</v>
      </c>
      <c r="E12267" s="1496" t="s">
        <v>951</v>
      </c>
      <c r="F12267" s="1496"/>
      <c r="G12267" s="1496"/>
      <c r="H12267" s="1496"/>
      <c r="K12267" t="s">
        <v>1023</v>
      </c>
      <c r="V12267">
        <v>280</v>
      </c>
    </row>
    <row r="12268" spans="1:22" customFormat="1" ht="15" x14ac:dyDescent="0.25">
      <c r="A12268" t="s">
        <v>7026</v>
      </c>
      <c r="E12268" s="1496" t="s">
        <v>952</v>
      </c>
      <c r="F12268" s="1496"/>
      <c r="G12268" s="1496"/>
      <c r="H12268" s="1496"/>
      <c r="K12268" t="s">
        <v>1023</v>
      </c>
      <c r="V12268">
        <v>411</v>
      </c>
    </row>
    <row r="12269" spans="1:22" customFormat="1" ht="15" x14ac:dyDescent="0.25">
      <c r="A12269" t="s">
        <v>7026</v>
      </c>
      <c r="E12269" s="1496" t="s">
        <v>953</v>
      </c>
      <c r="F12269" s="1496"/>
      <c r="G12269" s="1496"/>
      <c r="H12269" s="1496"/>
      <c r="K12269" t="s">
        <v>1023</v>
      </c>
      <c r="V12269">
        <v>386</v>
      </c>
    </row>
    <row r="12270" spans="1:22" customFormat="1" ht="15" x14ac:dyDescent="0.25">
      <c r="A12270" t="s">
        <v>7026</v>
      </c>
      <c r="E12270" s="1496" t="s">
        <v>954</v>
      </c>
      <c r="F12270" s="1496"/>
      <c r="G12270" s="1496"/>
      <c r="H12270" s="1496"/>
      <c r="K12270" t="s">
        <v>1023</v>
      </c>
      <c r="V12270">
        <v>246</v>
      </c>
    </row>
    <row r="12271" spans="1:22" customFormat="1" ht="15" x14ac:dyDescent="0.25">
      <c r="A12271" t="s">
        <v>7026</v>
      </c>
      <c r="E12271" s="1488" t="s">
        <v>956</v>
      </c>
      <c r="F12271" s="1590"/>
      <c r="G12271" s="1590"/>
      <c r="H12271" s="1590"/>
      <c r="K12271" t="s">
        <v>1026</v>
      </c>
      <c r="V12271">
        <v>46</v>
      </c>
    </row>
    <row r="12272" spans="1:22" customFormat="1" ht="15" x14ac:dyDescent="0.25">
      <c r="A12272" t="s">
        <v>7026</v>
      </c>
      <c r="E12272" s="1495" t="s">
        <v>3874</v>
      </c>
      <c r="F12272" s="1495"/>
      <c r="G12272" s="360" t="s">
        <v>777</v>
      </c>
      <c r="H12272" s="576">
        <v>9.48</v>
      </c>
      <c r="K12272" t="s">
        <v>1023</v>
      </c>
      <c r="L12272" t="s">
        <v>690</v>
      </c>
      <c r="P12272" t="s">
        <v>1027</v>
      </c>
      <c r="V12272">
        <v>31</v>
      </c>
    </row>
    <row r="12273" spans="1:22" customFormat="1" ht="15" x14ac:dyDescent="0.25">
      <c r="A12273" t="s">
        <v>7026</v>
      </c>
      <c r="E12273" s="1495" t="s">
        <v>7031</v>
      </c>
      <c r="F12273" s="1561"/>
      <c r="G12273" s="360" t="s">
        <v>777</v>
      </c>
      <c r="H12273" s="576">
        <v>-0.46</v>
      </c>
      <c r="K12273" t="s">
        <v>1023</v>
      </c>
      <c r="L12273" t="s">
        <v>690</v>
      </c>
      <c r="P12273" t="s">
        <v>1027</v>
      </c>
      <c r="T12273">
        <v>46022</v>
      </c>
      <c r="V12273">
        <v>102</v>
      </c>
    </row>
    <row r="12274" spans="1:22" customFormat="1" ht="15" x14ac:dyDescent="0.25">
      <c r="A12274" t="s">
        <v>7026</v>
      </c>
      <c r="E12274" s="1495" t="s">
        <v>7032</v>
      </c>
      <c r="F12274" s="1561"/>
      <c r="G12274" s="360" t="s">
        <v>777</v>
      </c>
      <c r="H12274" s="576">
        <v>0.99</v>
      </c>
      <c r="K12274" t="s">
        <v>1023</v>
      </c>
      <c r="L12274" t="s">
        <v>690</v>
      </c>
      <c r="P12274" t="s">
        <v>7059</v>
      </c>
      <c r="T12274">
        <v>46022</v>
      </c>
      <c r="V12274">
        <v>81</v>
      </c>
    </row>
    <row r="12275" spans="1:22" customFormat="1" ht="15" x14ac:dyDescent="0.25">
      <c r="A12275" t="s">
        <v>7026</v>
      </c>
      <c r="E12275" s="1495" t="s">
        <v>7036</v>
      </c>
      <c r="F12275" s="1561"/>
      <c r="G12275" s="360" t="s">
        <v>777</v>
      </c>
      <c r="H12275" s="576">
        <v>0.35</v>
      </c>
      <c r="K12275" t="s">
        <v>1023</v>
      </c>
      <c r="L12275" t="s">
        <v>690</v>
      </c>
      <c r="P12275" t="s">
        <v>7060</v>
      </c>
      <c r="T12275">
        <v>46022</v>
      </c>
      <c r="V12275">
        <v>85</v>
      </c>
    </row>
    <row r="12276" spans="1:22" customFormat="1" ht="15" x14ac:dyDescent="0.25">
      <c r="A12276" t="s">
        <v>7026</v>
      </c>
      <c r="E12276" s="1495" t="s">
        <v>6520</v>
      </c>
      <c r="F12276" s="1561"/>
      <c r="G12276" s="360" t="s">
        <v>845</v>
      </c>
      <c r="H12276" s="577">
        <v>-2.3999999999999998E-3</v>
      </c>
      <c r="K12276" t="s">
        <v>1023</v>
      </c>
      <c r="L12276" t="s">
        <v>692</v>
      </c>
      <c r="P12276" t="s">
        <v>1032</v>
      </c>
      <c r="T12276">
        <v>46022</v>
      </c>
      <c r="V12276">
        <v>99</v>
      </c>
    </row>
    <row r="12277" spans="1:22" customFormat="1" ht="15" x14ac:dyDescent="0.25">
      <c r="A12277" t="s">
        <v>7026</v>
      </c>
      <c r="E12277" s="1495" t="s">
        <v>7061</v>
      </c>
      <c r="F12277" s="1561"/>
      <c r="G12277" s="360" t="s">
        <v>845</v>
      </c>
      <c r="H12277" s="577">
        <v>2.9999999999999997E-4</v>
      </c>
      <c r="K12277" t="s">
        <v>1023</v>
      </c>
      <c r="L12277" t="s">
        <v>692</v>
      </c>
      <c r="P12277" t="s">
        <v>4520</v>
      </c>
      <c r="T12277">
        <v>46022</v>
      </c>
      <c r="V12277">
        <v>151</v>
      </c>
    </row>
    <row r="12278" spans="1:22" customFormat="1" ht="15" x14ac:dyDescent="0.25">
      <c r="A12278" t="s">
        <v>7026</v>
      </c>
      <c r="E12278" s="1495" t="s">
        <v>7034</v>
      </c>
      <c r="F12278" s="1561"/>
      <c r="G12278" s="360" t="s">
        <v>845</v>
      </c>
      <c r="H12278" s="577">
        <v>-8.5000000000000006E-3</v>
      </c>
      <c r="K12278" t="s">
        <v>1023</v>
      </c>
      <c r="L12278" t="s">
        <v>690</v>
      </c>
      <c r="P12278" t="s">
        <v>7062</v>
      </c>
      <c r="T12278">
        <v>46022</v>
      </c>
      <c r="V12278">
        <v>89</v>
      </c>
    </row>
    <row r="12279" spans="1:22" customFormat="1" ht="15" x14ac:dyDescent="0.25">
      <c r="A12279" t="s">
        <v>7026</v>
      </c>
      <c r="E12279" s="1495" t="s">
        <v>7057</v>
      </c>
      <c r="F12279" s="1561"/>
      <c r="G12279" s="360" t="s">
        <v>845</v>
      </c>
      <c r="H12279" s="577">
        <v>5.7000000000000002E-3</v>
      </c>
      <c r="K12279" t="s">
        <v>1023</v>
      </c>
      <c r="L12279" t="s">
        <v>692</v>
      </c>
      <c r="P12279" t="s">
        <v>1031</v>
      </c>
      <c r="T12279">
        <v>46022</v>
      </c>
      <c r="V12279">
        <v>145</v>
      </c>
    </row>
    <row r="12280" spans="1:22" customFormat="1" ht="15" x14ac:dyDescent="0.25">
      <c r="A12280" t="s">
        <v>7026</v>
      </c>
      <c r="E12280" s="1495" t="s">
        <v>7044</v>
      </c>
      <c r="F12280" s="1561"/>
      <c r="G12280" s="360" t="s">
        <v>845</v>
      </c>
      <c r="H12280" s="577">
        <v>-1.5E-3</v>
      </c>
      <c r="K12280" t="s">
        <v>1023</v>
      </c>
      <c r="L12280" t="s">
        <v>690</v>
      </c>
      <c r="P12280" t="s">
        <v>7063</v>
      </c>
      <c r="T12280">
        <v>46022</v>
      </c>
      <c r="V12280">
        <v>103</v>
      </c>
    </row>
    <row r="12281" spans="1:22" customFormat="1" ht="15" x14ac:dyDescent="0.25">
      <c r="A12281" t="s">
        <v>7026</v>
      </c>
      <c r="E12281" s="1495" t="s">
        <v>3688</v>
      </c>
      <c r="F12281" s="1495"/>
      <c r="G12281" s="360" t="s">
        <v>845</v>
      </c>
      <c r="H12281" s="577">
        <v>2.9499999999999998E-2</v>
      </c>
      <c r="K12281" t="s">
        <v>1023</v>
      </c>
      <c r="L12281" t="s">
        <v>690</v>
      </c>
      <c r="P12281" t="s">
        <v>1029</v>
      </c>
      <c r="V12281">
        <v>28</v>
      </c>
    </row>
    <row r="12282" spans="1:22" customFormat="1" ht="15" x14ac:dyDescent="0.25">
      <c r="A12282" t="s">
        <v>7026</v>
      </c>
      <c r="E12282" s="1495" t="s">
        <v>910</v>
      </c>
      <c r="F12282" s="1495"/>
      <c r="G12282" s="360" t="s">
        <v>845</v>
      </c>
      <c r="H12282" s="605">
        <v>2.5999999999999999E-3</v>
      </c>
      <c r="K12282" t="s">
        <v>1023</v>
      </c>
      <c r="L12282" t="s">
        <v>692</v>
      </c>
      <c r="P12282" t="s">
        <v>1030</v>
      </c>
      <c r="V12282">
        <v>24</v>
      </c>
    </row>
    <row r="12283" spans="1:22" customFormat="1" ht="15" x14ac:dyDescent="0.25">
      <c r="A12283" t="s">
        <v>7026</v>
      </c>
      <c r="E12283" s="1495" t="s">
        <v>7064</v>
      </c>
      <c r="F12283" s="1561"/>
      <c r="G12283" s="360" t="s">
        <v>845</v>
      </c>
      <c r="H12283" s="605">
        <v>-1E-4</v>
      </c>
      <c r="K12283" t="s">
        <v>1023</v>
      </c>
      <c r="L12283" t="s">
        <v>692</v>
      </c>
      <c r="P12283" t="s">
        <v>4520</v>
      </c>
      <c r="T12283">
        <v>45777</v>
      </c>
      <c r="V12283">
        <v>147</v>
      </c>
    </row>
    <row r="12284" spans="1:22" customFormat="1" ht="15" x14ac:dyDescent="0.25">
      <c r="A12284" t="s">
        <v>7026</v>
      </c>
      <c r="E12284" s="1495" t="s">
        <v>243</v>
      </c>
      <c r="F12284" s="1495"/>
      <c r="G12284" s="360" t="s">
        <v>845</v>
      </c>
      <c r="H12284" s="577">
        <v>8.8999999999999999E-3</v>
      </c>
      <c r="K12284" t="s">
        <v>1023</v>
      </c>
      <c r="L12284" t="s">
        <v>694</v>
      </c>
      <c r="P12284" t="s">
        <v>1033</v>
      </c>
      <c r="V12284">
        <v>47</v>
      </c>
    </row>
    <row r="12285" spans="1:22" customFormat="1" ht="15" x14ac:dyDescent="0.25">
      <c r="A12285" t="s">
        <v>7026</v>
      </c>
      <c r="E12285" s="1495" t="s">
        <v>175</v>
      </c>
      <c r="F12285" s="1495"/>
      <c r="G12285" s="360" t="s">
        <v>845</v>
      </c>
      <c r="H12285" s="577">
        <v>7.3000000000000001E-3</v>
      </c>
      <c r="K12285" t="s">
        <v>1023</v>
      </c>
      <c r="L12285" t="s">
        <v>694</v>
      </c>
      <c r="P12285" t="s">
        <v>1034</v>
      </c>
      <c r="V12285">
        <v>74</v>
      </c>
    </row>
    <row r="12286" spans="1:22" customFormat="1" ht="15" x14ac:dyDescent="0.25">
      <c r="A12286" t="s">
        <v>7026</v>
      </c>
      <c r="E12286" s="1488" t="s">
        <v>967</v>
      </c>
      <c r="F12286" s="1495"/>
      <c r="G12286" s="360"/>
      <c r="H12286" s="360"/>
      <c r="K12286" t="s">
        <v>1035</v>
      </c>
      <c r="V12286">
        <v>48</v>
      </c>
    </row>
    <row r="12287" spans="1:22" customFormat="1" ht="15" x14ac:dyDescent="0.25">
      <c r="A12287" t="s">
        <v>7026</v>
      </c>
      <c r="E12287" s="1495" t="s">
        <v>844</v>
      </c>
      <c r="F12287" s="1495"/>
      <c r="G12287" s="360" t="s">
        <v>845</v>
      </c>
      <c r="H12287" s="605">
        <v>4.1000000000000003E-3</v>
      </c>
      <c r="K12287" t="s">
        <v>1023</v>
      </c>
      <c r="L12287" t="s">
        <v>968</v>
      </c>
      <c r="P12287" t="s">
        <v>1036</v>
      </c>
      <c r="V12287">
        <v>55</v>
      </c>
    </row>
    <row r="12288" spans="1:22" customFormat="1" ht="15" x14ac:dyDescent="0.25">
      <c r="A12288" t="s">
        <v>7026</v>
      </c>
      <c r="E12288" s="1495" t="s">
        <v>846</v>
      </c>
      <c r="F12288" s="1495"/>
      <c r="G12288" s="360" t="s">
        <v>845</v>
      </c>
      <c r="H12288" s="605">
        <v>4.0000000000000002E-4</v>
      </c>
      <c r="K12288" t="s">
        <v>1023</v>
      </c>
      <c r="L12288" t="s">
        <v>968</v>
      </c>
      <c r="P12288" t="s">
        <v>1036</v>
      </c>
      <c r="V12288">
        <v>65</v>
      </c>
    </row>
    <row r="12289" spans="1:22" customFormat="1" ht="15" x14ac:dyDescent="0.25">
      <c r="A12289" t="s">
        <v>7026</v>
      </c>
      <c r="E12289" s="1495" t="s">
        <v>847</v>
      </c>
      <c r="F12289" s="1495"/>
      <c r="G12289" s="360" t="s">
        <v>845</v>
      </c>
      <c r="H12289" s="605">
        <v>1.5E-3</v>
      </c>
      <c r="K12289" t="s">
        <v>1023</v>
      </c>
      <c r="L12289" t="s">
        <v>968</v>
      </c>
      <c r="P12289" t="s">
        <v>1037</v>
      </c>
      <c r="V12289">
        <v>57</v>
      </c>
    </row>
    <row r="12290" spans="1:22" customFormat="1" ht="15" x14ac:dyDescent="0.25">
      <c r="A12290" t="s">
        <v>7026</v>
      </c>
      <c r="E12290" s="1495" t="s">
        <v>848</v>
      </c>
      <c r="F12290" s="1495"/>
      <c r="G12290" s="360" t="s">
        <v>777</v>
      </c>
      <c r="H12290" s="604">
        <v>0.25</v>
      </c>
      <c r="K12290" t="s">
        <v>1023</v>
      </c>
      <c r="L12290" t="s">
        <v>968</v>
      </c>
      <c r="P12290" t="s">
        <v>1038</v>
      </c>
      <c r="V12290">
        <v>63</v>
      </c>
    </row>
    <row r="12291" spans="1:22" customFormat="1" x14ac:dyDescent="0.25">
      <c r="A12291" t="s">
        <v>7026</v>
      </c>
      <c r="E12291" s="1538" t="s">
        <v>198</v>
      </c>
      <c r="F12291" s="1571"/>
      <c r="G12291" s="1571"/>
      <c r="H12291" s="1571"/>
      <c r="K12291" t="s">
        <v>1039</v>
      </c>
      <c r="V12291">
        <v>40</v>
      </c>
    </row>
    <row r="12292" spans="1:22" customFormat="1" ht="15" x14ac:dyDescent="0.25">
      <c r="A12292" t="s">
        <v>7026</v>
      </c>
      <c r="E12292" s="1496" t="s">
        <v>5337</v>
      </c>
      <c r="F12292" s="1496"/>
      <c r="G12292" s="1496"/>
      <c r="H12292" s="1496"/>
      <c r="K12292" t="s">
        <v>1039</v>
      </c>
      <c r="V12292">
        <v>253</v>
      </c>
    </row>
    <row r="12293" spans="1:22" customFormat="1" ht="15" x14ac:dyDescent="0.25">
      <c r="A12293" t="s">
        <v>7026</v>
      </c>
      <c r="E12293" s="1533" t="s">
        <v>950</v>
      </c>
      <c r="F12293" s="1496"/>
      <c r="G12293" s="1496"/>
      <c r="H12293" s="1496"/>
      <c r="K12293" t="s">
        <v>1041</v>
      </c>
      <c r="V12293">
        <v>11</v>
      </c>
    </row>
    <row r="12294" spans="1:22" customFormat="1" ht="15" x14ac:dyDescent="0.25">
      <c r="A12294" t="s">
        <v>7026</v>
      </c>
      <c r="E12294" s="1496" t="s">
        <v>951</v>
      </c>
      <c r="F12294" s="1496"/>
      <c r="G12294" s="1496"/>
      <c r="H12294" s="1496"/>
      <c r="K12294" t="s">
        <v>1039</v>
      </c>
      <c r="V12294">
        <v>280</v>
      </c>
    </row>
    <row r="12295" spans="1:22" customFormat="1" ht="15" x14ac:dyDescent="0.25">
      <c r="A12295" t="s">
        <v>7026</v>
      </c>
      <c r="E12295" s="1496" t="s">
        <v>952</v>
      </c>
      <c r="F12295" s="1496"/>
      <c r="G12295" s="1496"/>
      <c r="H12295" s="1496"/>
      <c r="K12295" t="s">
        <v>1039</v>
      </c>
      <c r="V12295">
        <v>411</v>
      </c>
    </row>
    <row r="12296" spans="1:22" customFormat="1" ht="15" x14ac:dyDescent="0.25">
      <c r="A12296" t="s">
        <v>7026</v>
      </c>
      <c r="E12296" s="1496" t="s">
        <v>953</v>
      </c>
      <c r="F12296" s="1496"/>
      <c r="G12296" s="1496"/>
      <c r="H12296" s="1496"/>
      <c r="K12296" t="s">
        <v>1039</v>
      </c>
      <c r="V12296">
        <v>386</v>
      </c>
    </row>
    <row r="12297" spans="1:22" customFormat="1" ht="15" x14ac:dyDescent="0.25">
      <c r="A12297" t="s">
        <v>7026</v>
      </c>
      <c r="E12297" s="1496" t="s">
        <v>954</v>
      </c>
      <c r="F12297" s="1496"/>
      <c r="G12297" s="1496"/>
      <c r="H12297" s="1496"/>
      <c r="K12297" t="s">
        <v>1039</v>
      </c>
      <c r="V12297">
        <v>246</v>
      </c>
    </row>
    <row r="12298" spans="1:22" customFormat="1" ht="15" x14ac:dyDescent="0.25">
      <c r="A12298" t="s">
        <v>7026</v>
      </c>
      <c r="E12298" s="1488" t="s">
        <v>956</v>
      </c>
      <c r="F12298" s="1590"/>
      <c r="G12298" s="1590"/>
      <c r="H12298" s="1590"/>
      <c r="K12298" t="s">
        <v>1042</v>
      </c>
      <c r="V12298">
        <v>46</v>
      </c>
    </row>
    <row r="12299" spans="1:22" customFormat="1" ht="15" x14ac:dyDescent="0.25">
      <c r="A12299" t="s">
        <v>7026</v>
      </c>
      <c r="E12299" s="1495" t="s">
        <v>3874</v>
      </c>
      <c r="F12299" s="1495"/>
      <c r="G12299" s="360" t="s">
        <v>777</v>
      </c>
      <c r="H12299" s="576">
        <v>5.85</v>
      </c>
      <c r="K12299" t="s">
        <v>1039</v>
      </c>
      <c r="L12299" t="s">
        <v>690</v>
      </c>
      <c r="P12299" t="s">
        <v>1043</v>
      </c>
      <c r="V12299">
        <v>31</v>
      </c>
    </row>
    <row r="12300" spans="1:22" customFormat="1" ht="15" x14ac:dyDescent="0.25">
      <c r="A12300" t="s">
        <v>7026</v>
      </c>
      <c r="E12300" s="1495" t="s">
        <v>7031</v>
      </c>
      <c r="F12300" s="1561"/>
      <c r="G12300" s="360" t="s">
        <v>777</v>
      </c>
      <c r="H12300" s="576">
        <v>1.08</v>
      </c>
      <c r="K12300" t="s">
        <v>1039</v>
      </c>
      <c r="L12300" t="s">
        <v>690</v>
      </c>
      <c r="P12300" t="s">
        <v>1043</v>
      </c>
      <c r="T12300">
        <v>46022</v>
      </c>
      <c r="V12300">
        <v>102</v>
      </c>
    </row>
    <row r="12301" spans="1:22" customFormat="1" ht="15" x14ac:dyDescent="0.25">
      <c r="A12301" t="s">
        <v>7026</v>
      </c>
      <c r="E12301" s="1495" t="s">
        <v>7047</v>
      </c>
      <c r="F12301" s="1561"/>
      <c r="G12301" s="360" t="s">
        <v>777</v>
      </c>
      <c r="H12301" s="576">
        <v>0.25</v>
      </c>
      <c r="K12301" t="s">
        <v>1039</v>
      </c>
      <c r="L12301" t="s">
        <v>690</v>
      </c>
      <c r="P12301" t="s">
        <v>7065</v>
      </c>
      <c r="T12301">
        <v>46022</v>
      </c>
      <c r="V12301">
        <v>82</v>
      </c>
    </row>
    <row r="12302" spans="1:22" customFormat="1" ht="15" x14ac:dyDescent="0.25">
      <c r="A12302" t="s">
        <v>7026</v>
      </c>
      <c r="E12302" s="1495" t="s">
        <v>7036</v>
      </c>
      <c r="F12302" s="1561"/>
      <c r="G12302" s="360" t="s">
        <v>777</v>
      </c>
      <c r="H12302" s="576">
        <v>0.1</v>
      </c>
      <c r="K12302" t="s">
        <v>1039</v>
      </c>
      <c r="L12302" t="s">
        <v>690</v>
      </c>
      <c r="P12302" t="s">
        <v>7066</v>
      </c>
      <c r="T12302">
        <v>46022</v>
      </c>
      <c r="V12302">
        <v>85</v>
      </c>
    </row>
    <row r="12303" spans="1:22" customFormat="1" ht="15" x14ac:dyDescent="0.25">
      <c r="A12303" t="s">
        <v>7026</v>
      </c>
      <c r="E12303" s="1495" t="s">
        <v>6520</v>
      </c>
      <c r="F12303" s="1561"/>
      <c r="G12303" s="360" t="s">
        <v>3775</v>
      </c>
      <c r="H12303" s="577">
        <v>-0.86150000000000004</v>
      </c>
      <c r="K12303" t="s">
        <v>1039</v>
      </c>
      <c r="L12303" t="s">
        <v>692</v>
      </c>
      <c r="P12303" t="s">
        <v>1046</v>
      </c>
      <c r="T12303">
        <v>46022</v>
      </c>
      <c r="V12303">
        <v>99</v>
      </c>
    </row>
    <row r="12304" spans="1:22" customFormat="1" ht="15" x14ac:dyDescent="0.25">
      <c r="A12304" t="s">
        <v>7026</v>
      </c>
      <c r="E12304" s="1495" t="s">
        <v>7049</v>
      </c>
      <c r="F12304" s="1561"/>
      <c r="G12304" s="360" t="s">
        <v>3775</v>
      </c>
      <c r="H12304" s="577">
        <v>9.6799999999999997E-2</v>
      </c>
      <c r="K12304" t="s">
        <v>1039</v>
      </c>
      <c r="L12304" t="s">
        <v>692</v>
      </c>
      <c r="P12304" t="s">
        <v>4523</v>
      </c>
      <c r="T12304">
        <v>46022</v>
      </c>
      <c r="V12304">
        <v>152</v>
      </c>
    </row>
    <row r="12305" spans="1:22" customFormat="1" ht="15" x14ac:dyDescent="0.25">
      <c r="A12305" t="s">
        <v>7026</v>
      </c>
      <c r="E12305" s="1495" t="s">
        <v>7034</v>
      </c>
      <c r="F12305" s="1561"/>
      <c r="G12305" s="360" t="s">
        <v>3775</v>
      </c>
      <c r="H12305" s="577">
        <v>-4.7610000000000001</v>
      </c>
      <c r="K12305" t="s">
        <v>1039</v>
      </c>
      <c r="L12305" t="s">
        <v>690</v>
      </c>
      <c r="P12305" t="s">
        <v>7067</v>
      </c>
      <c r="T12305">
        <v>46022</v>
      </c>
      <c r="V12305">
        <v>89</v>
      </c>
    </row>
    <row r="12306" spans="1:22" customFormat="1" ht="15" x14ac:dyDescent="0.25">
      <c r="A12306" t="s">
        <v>7026</v>
      </c>
      <c r="E12306" s="1495" t="s">
        <v>7057</v>
      </c>
      <c r="F12306" s="1561"/>
      <c r="G12306" s="360" t="s">
        <v>845</v>
      </c>
      <c r="H12306" s="577">
        <v>5.7000000000000002E-3</v>
      </c>
      <c r="K12306" t="s">
        <v>1039</v>
      </c>
      <c r="L12306" t="s">
        <v>692</v>
      </c>
      <c r="P12306" t="s">
        <v>4522</v>
      </c>
      <c r="T12306">
        <v>46022</v>
      </c>
      <c r="V12306">
        <v>145</v>
      </c>
    </row>
    <row r="12307" spans="1:22" customFormat="1" ht="15" x14ac:dyDescent="0.25">
      <c r="A12307" t="s">
        <v>7026</v>
      </c>
      <c r="E12307" s="1495" t="s">
        <v>7044</v>
      </c>
      <c r="F12307" s="1561"/>
      <c r="G12307" s="360" t="s">
        <v>3775</v>
      </c>
      <c r="H12307" s="577">
        <v>3.1111</v>
      </c>
      <c r="K12307" t="s">
        <v>1039</v>
      </c>
      <c r="L12307" t="s">
        <v>690</v>
      </c>
      <c r="P12307" t="s">
        <v>7068</v>
      </c>
      <c r="T12307">
        <v>46022</v>
      </c>
      <c r="V12307">
        <v>103</v>
      </c>
    </row>
    <row r="12308" spans="1:22" customFormat="1" ht="15" x14ac:dyDescent="0.25">
      <c r="A12308" t="s">
        <v>7026</v>
      </c>
      <c r="E12308" s="1495" t="s">
        <v>3688</v>
      </c>
      <c r="F12308" s="1495"/>
      <c r="G12308" s="360" t="s">
        <v>3775</v>
      </c>
      <c r="H12308" s="577">
        <v>16.808</v>
      </c>
      <c r="K12308" t="s">
        <v>1039</v>
      </c>
      <c r="L12308" t="s">
        <v>690</v>
      </c>
      <c r="P12308" t="s">
        <v>1044</v>
      </c>
      <c r="V12308">
        <v>28</v>
      </c>
    </row>
    <row r="12309" spans="1:22" customFormat="1" ht="15" x14ac:dyDescent="0.25">
      <c r="A12309" t="s">
        <v>7026</v>
      </c>
      <c r="E12309" s="1495" t="s">
        <v>910</v>
      </c>
      <c r="F12309" s="1495"/>
      <c r="G12309" s="360" t="s">
        <v>3775</v>
      </c>
      <c r="H12309" s="605">
        <v>0.78269999999999995</v>
      </c>
      <c r="K12309" t="s">
        <v>1039</v>
      </c>
      <c r="L12309" t="s">
        <v>692</v>
      </c>
      <c r="P12309" t="s">
        <v>1045</v>
      </c>
      <c r="V12309">
        <v>24</v>
      </c>
    </row>
    <row r="12310" spans="1:22" customFormat="1" ht="15" x14ac:dyDescent="0.25">
      <c r="A12310" t="s">
        <v>7026</v>
      </c>
      <c r="E12310" s="1495" t="s">
        <v>7046</v>
      </c>
      <c r="F12310" s="1561"/>
      <c r="G12310" s="360" t="s">
        <v>3775</v>
      </c>
      <c r="H12310" s="605">
        <v>-3.9100000000000003E-2</v>
      </c>
      <c r="K12310" t="s">
        <v>1039</v>
      </c>
      <c r="L12310" t="s">
        <v>692</v>
      </c>
      <c r="P12310" t="s">
        <v>4523</v>
      </c>
      <c r="T12310">
        <v>45777</v>
      </c>
      <c r="V12310">
        <v>148</v>
      </c>
    </row>
    <row r="12311" spans="1:22" customFormat="1" ht="15" x14ac:dyDescent="0.25">
      <c r="A12311" t="s">
        <v>7026</v>
      </c>
      <c r="E12311" s="1495" t="s">
        <v>243</v>
      </c>
      <c r="F12311" s="1495"/>
      <c r="G12311" s="360" t="s">
        <v>3775</v>
      </c>
      <c r="H12311" s="577">
        <v>2.859</v>
      </c>
      <c r="K12311" t="s">
        <v>1039</v>
      </c>
      <c r="L12311" t="s">
        <v>694</v>
      </c>
      <c r="P12311" t="s">
        <v>1047</v>
      </c>
      <c r="V12311">
        <v>47</v>
      </c>
    </row>
    <row r="12312" spans="1:22" customFormat="1" ht="15" x14ac:dyDescent="0.25">
      <c r="A12312" t="s">
        <v>7026</v>
      </c>
      <c r="E12312" s="1495" t="s">
        <v>175</v>
      </c>
      <c r="F12312" s="1495"/>
      <c r="G12312" s="360" t="s">
        <v>3775</v>
      </c>
      <c r="H12312" s="577">
        <v>2.2425999999999999</v>
      </c>
      <c r="K12312" t="s">
        <v>1039</v>
      </c>
      <c r="L12312" t="s">
        <v>694</v>
      </c>
      <c r="P12312" t="s">
        <v>1048</v>
      </c>
      <c r="V12312">
        <v>74</v>
      </c>
    </row>
    <row r="12313" spans="1:22" customFormat="1" ht="15" x14ac:dyDescent="0.25">
      <c r="A12313" t="s">
        <v>7026</v>
      </c>
      <c r="E12313" s="1488" t="s">
        <v>967</v>
      </c>
      <c r="F12313" s="1495"/>
      <c r="G12313" s="360"/>
      <c r="H12313" s="360"/>
      <c r="K12313" t="s">
        <v>1049</v>
      </c>
      <c r="V12313">
        <v>48</v>
      </c>
    </row>
    <row r="12314" spans="1:22" customFormat="1" ht="15" x14ac:dyDescent="0.25">
      <c r="A12314" t="s">
        <v>7026</v>
      </c>
      <c r="E12314" s="1495" t="s">
        <v>844</v>
      </c>
      <c r="F12314" s="1495"/>
      <c r="G12314" s="360" t="s">
        <v>845</v>
      </c>
      <c r="H12314" s="605">
        <v>4.1000000000000003E-3</v>
      </c>
      <c r="K12314" t="s">
        <v>1039</v>
      </c>
      <c r="L12314" t="s">
        <v>968</v>
      </c>
      <c r="P12314" t="s">
        <v>1050</v>
      </c>
      <c r="V12314">
        <v>55</v>
      </c>
    </row>
    <row r="12315" spans="1:22" customFormat="1" ht="15" x14ac:dyDescent="0.25">
      <c r="A12315" t="s">
        <v>7026</v>
      </c>
      <c r="E12315" s="1495" t="s">
        <v>846</v>
      </c>
      <c r="F12315" s="1495"/>
      <c r="G12315" s="360" t="s">
        <v>845</v>
      </c>
      <c r="H12315" s="605">
        <v>4.0000000000000002E-4</v>
      </c>
      <c r="K12315" t="s">
        <v>1039</v>
      </c>
      <c r="L12315" t="s">
        <v>968</v>
      </c>
      <c r="P12315" t="s">
        <v>1050</v>
      </c>
      <c r="V12315">
        <v>65</v>
      </c>
    </row>
    <row r="12316" spans="1:22" customFormat="1" ht="15" x14ac:dyDescent="0.25">
      <c r="A12316" t="s">
        <v>7026</v>
      </c>
      <c r="E12316" s="1495" t="s">
        <v>847</v>
      </c>
      <c r="F12316" s="1495"/>
      <c r="G12316" s="360" t="s">
        <v>845</v>
      </c>
      <c r="H12316" s="605">
        <v>1.5E-3</v>
      </c>
      <c r="K12316" t="s">
        <v>1039</v>
      </c>
      <c r="L12316" t="s">
        <v>968</v>
      </c>
      <c r="P12316" t="s">
        <v>1051</v>
      </c>
      <c r="V12316">
        <v>57</v>
      </c>
    </row>
    <row r="12317" spans="1:22" customFormat="1" ht="15" x14ac:dyDescent="0.25">
      <c r="A12317" t="s">
        <v>7026</v>
      </c>
      <c r="E12317" s="1495" t="s">
        <v>848</v>
      </c>
      <c r="F12317" s="1495"/>
      <c r="G12317" s="360" t="s">
        <v>777</v>
      </c>
      <c r="H12317" s="604">
        <v>0.25</v>
      </c>
      <c r="K12317" t="s">
        <v>1039</v>
      </c>
      <c r="L12317" t="s">
        <v>968</v>
      </c>
      <c r="P12317" t="s">
        <v>1052</v>
      </c>
      <c r="V12317">
        <v>63</v>
      </c>
    </row>
    <row r="12318" spans="1:22" customFormat="1" x14ac:dyDescent="0.25">
      <c r="A12318" t="s">
        <v>7026</v>
      </c>
      <c r="E12318" s="1538" t="s">
        <v>202</v>
      </c>
      <c r="F12318" s="1571"/>
      <c r="G12318" s="1571"/>
      <c r="H12318" s="1571"/>
      <c r="K12318" t="s">
        <v>1053</v>
      </c>
      <c r="V12318">
        <v>38</v>
      </c>
    </row>
    <row r="12319" spans="1:22" customFormat="1" ht="15" x14ac:dyDescent="0.25">
      <c r="A12319" t="s">
        <v>7026</v>
      </c>
      <c r="E12319" s="1496" t="s">
        <v>5000</v>
      </c>
      <c r="F12319" s="1496"/>
      <c r="G12319" s="1496"/>
      <c r="H12319" s="1496"/>
      <c r="K12319" t="s">
        <v>1053</v>
      </c>
      <c r="V12319">
        <v>551</v>
      </c>
    </row>
    <row r="12320" spans="1:22" customFormat="1" ht="15" x14ac:dyDescent="0.25">
      <c r="A12320" t="s">
        <v>7026</v>
      </c>
      <c r="E12320" s="1533" t="s">
        <v>950</v>
      </c>
      <c r="F12320" s="1496"/>
      <c r="G12320" s="1496"/>
      <c r="H12320" s="1496"/>
      <c r="K12320" t="s">
        <v>1055</v>
      </c>
      <c r="V12320">
        <v>11</v>
      </c>
    </row>
    <row r="12321" spans="1:22" customFormat="1" ht="15" x14ac:dyDescent="0.25">
      <c r="A12321" t="s">
        <v>7026</v>
      </c>
      <c r="E12321" s="1496" t="s">
        <v>951</v>
      </c>
      <c r="F12321" s="1496"/>
      <c r="G12321" s="1496"/>
      <c r="H12321" s="1496"/>
      <c r="K12321" t="s">
        <v>1053</v>
      </c>
      <c r="V12321">
        <v>280</v>
      </c>
    </row>
    <row r="12322" spans="1:22" customFormat="1" ht="15" x14ac:dyDescent="0.25">
      <c r="A12322" t="s">
        <v>7026</v>
      </c>
      <c r="E12322" s="1496" t="s">
        <v>952</v>
      </c>
      <c r="F12322" s="1496"/>
      <c r="G12322" s="1496"/>
      <c r="H12322" s="1496"/>
      <c r="K12322" t="s">
        <v>1053</v>
      </c>
      <c r="V12322">
        <v>411</v>
      </c>
    </row>
    <row r="12323" spans="1:22" customFormat="1" ht="15" x14ac:dyDescent="0.25">
      <c r="A12323" t="s">
        <v>7026</v>
      </c>
      <c r="E12323" s="1496" t="s">
        <v>953</v>
      </c>
      <c r="F12323" s="1496"/>
      <c r="G12323" s="1496"/>
      <c r="H12323" s="1496"/>
      <c r="K12323" t="s">
        <v>1053</v>
      </c>
      <c r="V12323">
        <v>386</v>
      </c>
    </row>
    <row r="12324" spans="1:22" customFormat="1" ht="15" x14ac:dyDescent="0.25">
      <c r="A12324" t="s">
        <v>7026</v>
      </c>
      <c r="E12324" s="1496" t="s">
        <v>954</v>
      </c>
      <c r="F12324" s="1496"/>
      <c r="G12324" s="1496"/>
      <c r="H12324" s="1496"/>
      <c r="K12324" t="s">
        <v>1053</v>
      </c>
      <c r="V12324">
        <v>246</v>
      </c>
    </row>
    <row r="12325" spans="1:22" customFormat="1" ht="15" x14ac:dyDescent="0.25">
      <c r="A12325" t="s">
        <v>7026</v>
      </c>
      <c r="E12325" s="1488" t="s">
        <v>956</v>
      </c>
      <c r="F12325" s="1590"/>
      <c r="G12325" s="1590"/>
      <c r="H12325" s="1590"/>
      <c r="K12325" t="s">
        <v>1056</v>
      </c>
      <c r="V12325">
        <v>46</v>
      </c>
    </row>
    <row r="12326" spans="1:22" customFormat="1" ht="15" x14ac:dyDescent="0.25">
      <c r="A12326" t="s">
        <v>7026</v>
      </c>
      <c r="E12326" s="1495" t="s">
        <v>3874</v>
      </c>
      <c r="F12326" s="1495"/>
      <c r="G12326" s="360" t="s">
        <v>777</v>
      </c>
      <c r="H12326" s="576">
        <v>4.6500000000000004</v>
      </c>
      <c r="K12326" t="s">
        <v>1053</v>
      </c>
      <c r="L12326" t="s">
        <v>690</v>
      </c>
      <c r="P12326" t="s">
        <v>1057</v>
      </c>
      <c r="V12326">
        <v>31</v>
      </c>
    </row>
    <row r="12327" spans="1:22" customFormat="1" ht="15" x14ac:dyDescent="0.25">
      <c r="A12327" t="s">
        <v>7026</v>
      </c>
      <c r="E12327" s="1495" t="s">
        <v>7031</v>
      </c>
      <c r="F12327" s="1561"/>
      <c r="G12327" s="360" t="s">
        <v>777</v>
      </c>
      <c r="H12327" s="576">
        <v>0.4</v>
      </c>
      <c r="K12327" t="s">
        <v>1053</v>
      </c>
      <c r="L12327" t="s">
        <v>690</v>
      </c>
      <c r="P12327" t="s">
        <v>1057</v>
      </c>
      <c r="T12327">
        <v>46022</v>
      </c>
      <c r="V12327">
        <v>102</v>
      </c>
    </row>
    <row r="12328" spans="1:22" customFormat="1" ht="15" x14ac:dyDescent="0.25">
      <c r="A12328" t="s">
        <v>7026</v>
      </c>
      <c r="E12328" s="1495" t="s">
        <v>7047</v>
      </c>
      <c r="F12328" s="1561"/>
      <c r="G12328" s="360" t="s">
        <v>777</v>
      </c>
      <c r="H12328" s="576">
        <v>0.13</v>
      </c>
      <c r="K12328" t="s">
        <v>1053</v>
      </c>
      <c r="L12328" t="s">
        <v>690</v>
      </c>
      <c r="P12328" t="s">
        <v>7069</v>
      </c>
      <c r="T12328">
        <v>46022</v>
      </c>
      <c r="V12328">
        <v>82</v>
      </c>
    </row>
    <row r="12329" spans="1:22" customFormat="1" ht="15" x14ac:dyDescent="0.25">
      <c r="A12329" t="s">
        <v>7026</v>
      </c>
      <c r="E12329" s="1495" t="s">
        <v>7036</v>
      </c>
      <c r="F12329" s="1561"/>
      <c r="G12329" s="360" t="s">
        <v>777</v>
      </c>
      <c r="H12329" s="576">
        <v>7.0000000000000007E-2</v>
      </c>
      <c r="K12329" t="s">
        <v>1053</v>
      </c>
      <c r="L12329" t="s">
        <v>690</v>
      </c>
      <c r="P12329" t="s">
        <v>7070</v>
      </c>
      <c r="T12329">
        <v>46022</v>
      </c>
      <c r="V12329">
        <v>85</v>
      </c>
    </row>
    <row r="12330" spans="1:22" customFormat="1" ht="15" x14ac:dyDescent="0.25">
      <c r="A12330" t="s">
        <v>7026</v>
      </c>
      <c r="E12330" s="1495" t="s">
        <v>6520</v>
      </c>
      <c r="F12330" s="1561"/>
      <c r="G12330" s="360" t="s">
        <v>3775</v>
      </c>
      <c r="H12330" s="577">
        <v>-0.75239999999999996</v>
      </c>
      <c r="K12330" t="s">
        <v>1053</v>
      </c>
      <c r="L12330" t="s">
        <v>692</v>
      </c>
      <c r="P12330" t="s">
        <v>1062</v>
      </c>
      <c r="T12330">
        <v>46022</v>
      </c>
      <c r="V12330">
        <v>99</v>
      </c>
    </row>
    <row r="12331" spans="1:22" customFormat="1" ht="15" x14ac:dyDescent="0.25">
      <c r="A12331" t="s">
        <v>7026</v>
      </c>
      <c r="E12331" s="1495" t="s">
        <v>7071</v>
      </c>
      <c r="F12331" s="1561"/>
      <c r="G12331" s="360" t="s">
        <v>3775</v>
      </c>
      <c r="H12331" s="577">
        <v>8.72E-2</v>
      </c>
      <c r="K12331" t="s">
        <v>1053</v>
      </c>
      <c r="L12331" t="s">
        <v>692</v>
      </c>
      <c r="P12331" t="s">
        <v>3997</v>
      </c>
      <c r="T12331">
        <v>46022</v>
      </c>
      <c r="V12331">
        <v>149</v>
      </c>
    </row>
    <row r="12332" spans="1:22" customFormat="1" ht="15" x14ac:dyDescent="0.25">
      <c r="A12332" t="s">
        <v>7026</v>
      </c>
      <c r="E12332" s="1495" t="s">
        <v>7034</v>
      </c>
      <c r="F12332" s="1561"/>
      <c r="G12332" s="360" t="s">
        <v>3775</v>
      </c>
      <c r="H12332" s="577">
        <v>-4.2746000000000004</v>
      </c>
      <c r="K12332" t="s">
        <v>1053</v>
      </c>
      <c r="L12332" t="s">
        <v>690</v>
      </c>
      <c r="P12332" t="s">
        <v>7072</v>
      </c>
      <c r="T12332">
        <v>46022</v>
      </c>
      <c r="V12332">
        <v>89</v>
      </c>
    </row>
    <row r="12333" spans="1:22" customFormat="1" ht="15" x14ac:dyDescent="0.25">
      <c r="A12333" t="s">
        <v>7026</v>
      </c>
      <c r="E12333" s="1495" t="s">
        <v>7040</v>
      </c>
      <c r="F12333" s="1561"/>
      <c r="G12333" s="360" t="s">
        <v>845</v>
      </c>
      <c r="H12333" s="577">
        <v>5.7000000000000002E-3</v>
      </c>
      <c r="K12333" t="s">
        <v>1053</v>
      </c>
      <c r="L12333" t="s">
        <v>692</v>
      </c>
      <c r="P12333" t="s">
        <v>1061</v>
      </c>
      <c r="T12333">
        <v>46022</v>
      </c>
      <c r="V12333">
        <v>144</v>
      </c>
    </row>
    <row r="12334" spans="1:22" customFormat="1" ht="15" x14ac:dyDescent="0.25">
      <c r="A12334" t="s">
        <v>7026</v>
      </c>
      <c r="E12334" s="1495" t="s">
        <v>7044</v>
      </c>
      <c r="F12334" s="1561"/>
      <c r="G12334" s="360" t="s">
        <v>3775</v>
      </c>
      <c r="H12334" s="577">
        <v>1.0586</v>
      </c>
      <c r="K12334" t="s">
        <v>1053</v>
      </c>
      <c r="L12334" t="s">
        <v>690</v>
      </c>
      <c r="P12334" t="s">
        <v>7073</v>
      </c>
      <c r="T12334">
        <v>46022</v>
      </c>
      <c r="V12334">
        <v>103</v>
      </c>
    </row>
    <row r="12335" spans="1:22" customFormat="1" ht="15" x14ac:dyDescent="0.25">
      <c r="A12335" t="s">
        <v>7026</v>
      </c>
      <c r="E12335" s="1495" t="s">
        <v>3688</v>
      </c>
      <c r="F12335" s="1495"/>
      <c r="G12335" s="360" t="s">
        <v>3775</v>
      </c>
      <c r="H12335" s="577">
        <v>12.5717</v>
      </c>
      <c r="K12335" t="s">
        <v>1053</v>
      </c>
      <c r="L12335" t="s">
        <v>690</v>
      </c>
      <c r="P12335" t="s">
        <v>1059</v>
      </c>
      <c r="V12335">
        <v>28</v>
      </c>
    </row>
    <row r="12336" spans="1:22" customFormat="1" ht="15" x14ac:dyDescent="0.25">
      <c r="A12336" t="s">
        <v>7026</v>
      </c>
      <c r="E12336" s="1495" t="s">
        <v>910</v>
      </c>
      <c r="F12336" s="1495"/>
      <c r="G12336" s="360" t="s">
        <v>3775</v>
      </c>
      <c r="H12336" s="605">
        <v>0.77769999999999995</v>
      </c>
      <c r="K12336" t="s">
        <v>1053</v>
      </c>
      <c r="L12336" t="s">
        <v>692</v>
      </c>
      <c r="P12336" t="s">
        <v>1060</v>
      </c>
      <c r="V12336">
        <v>24</v>
      </c>
    </row>
    <row r="12337" spans="1:22" customFormat="1" ht="15" x14ac:dyDescent="0.25">
      <c r="A12337" t="s">
        <v>7026</v>
      </c>
      <c r="E12337" s="1495" t="s">
        <v>5284</v>
      </c>
      <c r="F12337" s="1561"/>
      <c r="G12337" s="360" t="s">
        <v>3775</v>
      </c>
      <c r="H12337" s="605">
        <v>-3.5700000000000003E-2</v>
      </c>
      <c r="K12337" t="s">
        <v>1053</v>
      </c>
      <c r="L12337" t="s">
        <v>692</v>
      </c>
      <c r="P12337" t="s">
        <v>3997</v>
      </c>
      <c r="T12337">
        <v>45777</v>
      </c>
      <c r="V12337">
        <v>145</v>
      </c>
    </row>
    <row r="12338" spans="1:22" customFormat="1" ht="15" x14ac:dyDescent="0.25">
      <c r="A12338" t="s">
        <v>7026</v>
      </c>
      <c r="E12338" s="1495" t="s">
        <v>243</v>
      </c>
      <c r="F12338" s="1495"/>
      <c r="G12338" s="360" t="s">
        <v>3775</v>
      </c>
      <c r="H12338" s="577">
        <v>2.8188</v>
      </c>
      <c r="K12338" t="s">
        <v>1053</v>
      </c>
      <c r="L12338" t="s">
        <v>694</v>
      </c>
      <c r="P12338" t="s">
        <v>1063</v>
      </c>
      <c r="V12338">
        <v>47</v>
      </c>
    </row>
    <row r="12339" spans="1:22" customFormat="1" ht="15" x14ac:dyDescent="0.25">
      <c r="A12339" t="s">
        <v>7026</v>
      </c>
      <c r="E12339" s="1495" t="s">
        <v>175</v>
      </c>
      <c r="F12339" s="1495"/>
      <c r="G12339" s="360" t="s">
        <v>3775</v>
      </c>
      <c r="H12339" s="577">
        <v>2.2282000000000002</v>
      </c>
      <c r="K12339" t="s">
        <v>1053</v>
      </c>
      <c r="L12339" t="s">
        <v>694</v>
      </c>
      <c r="P12339" t="s">
        <v>1064</v>
      </c>
      <c r="V12339">
        <v>74</v>
      </c>
    </row>
    <row r="12340" spans="1:22" customFormat="1" ht="15" x14ac:dyDescent="0.25">
      <c r="A12340" t="s">
        <v>7026</v>
      </c>
      <c r="E12340" s="1488" t="s">
        <v>967</v>
      </c>
      <c r="F12340" s="1495"/>
      <c r="G12340" s="360"/>
      <c r="H12340" s="360"/>
      <c r="K12340" t="s">
        <v>1065</v>
      </c>
      <c r="V12340">
        <v>48</v>
      </c>
    </row>
    <row r="12341" spans="1:22" customFormat="1" ht="15" x14ac:dyDescent="0.25">
      <c r="A12341" t="s">
        <v>7026</v>
      </c>
      <c r="E12341" s="1495" t="s">
        <v>844</v>
      </c>
      <c r="F12341" s="1495"/>
      <c r="G12341" s="360" t="s">
        <v>845</v>
      </c>
      <c r="H12341" s="605">
        <v>4.1000000000000003E-3</v>
      </c>
      <c r="K12341" t="s">
        <v>1053</v>
      </c>
      <c r="L12341" t="s">
        <v>968</v>
      </c>
      <c r="P12341" t="s">
        <v>1066</v>
      </c>
      <c r="V12341">
        <v>55</v>
      </c>
    </row>
    <row r="12342" spans="1:22" customFormat="1" ht="15" x14ac:dyDescent="0.25">
      <c r="A12342" t="s">
        <v>7026</v>
      </c>
      <c r="E12342" s="1495" t="s">
        <v>846</v>
      </c>
      <c r="F12342" s="1495"/>
      <c r="G12342" s="360" t="s">
        <v>845</v>
      </c>
      <c r="H12342" s="605">
        <v>4.0000000000000002E-4</v>
      </c>
      <c r="K12342" t="s">
        <v>1053</v>
      </c>
      <c r="L12342" t="s">
        <v>968</v>
      </c>
      <c r="P12342" t="s">
        <v>1066</v>
      </c>
      <c r="V12342">
        <v>65</v>
      </c>
    </row>
    <row r="12343" spans="1:22" customFormat="1" ht="15" x14ac:dyDescent="0.25">
      <c r="A12343" t="s">
        <v>7026</v>
      </c>
      <c r="E12343" s="1495" t="s">
        <v>847</v>
      </c>
      <c r="F12343" s="1495"/>
      <c r="G12343" s="360" t="s">
        <v>845</v>
      </c>
      <c r="H12343" s="605">
        <v>1.5E-3</v>
      </c>
      <c r="K12343" t="s">
        <v>1053</v>
      </c>
      <c r="L12343" t="s">
        <v>968</v>
      </c>
      <c r="P12343" t="s">
        <v>1067</v>
      </c>
      <c r="V12343">
        <v>57</v>
      </c>
    </row>
    <row r="12344" spans="1:22" customFormat="1" ht="15" x14ac:dyDescent="0.25">
      <c r="A12344" t="s">
        <v>7026</v>
      </c>
      <c r="E12344" s="1495" t="s">
        <v>848</v>
      </c>
      <c r="F12344" s="1495"/>
      <c r="G12344" s="360" t="s">
        <v>777</v>
      </c>
      <c r="H12344" s="604">
        <v>0.25</v>
      </c>
      <c r="K12344" t="s">
        <v>1053</v>
      </c>
      <c r="L12344" t="s">
        <v>968</v>
      </c>
      <c r="P12344" t="s">
        <v>1068</v>
      </c>
      <c r="V12344">
        <v>63</v>
      </c>
    </row>
    <row r="12345" spans="1:22" customFormat="1" x14ac:dyDescent="0.25">
      <c r="A12345" t="s">
        <v>7026</v>
      </c>
      <c r="E12345" s="1538" t="s">
        <v>207</v>
      </c>
      <c r="F12345" s="1571"/>
      <c r="G12345" s="1571"/>
      <c r="H12345" s="1571"/>
      <c r="K12345" t="s">
        <v>1069</v>
      </c>
      <c r="V12345">
        <v>31</v>
      </c>
    </row>
    <row r="12346" spans="1:22" customFormat="1" ht="15" x14ac:dyDescent="0.25">
      <c r="A12346" t="s">
        <v>7026</v>
      </c>
      <c r="E12346" s="1496" t="s">
        <v>4620</v>
      </c>
      <c r="F12346" s="1496"/>
      <c r="G12346" s="1496"/>
      <c r="H12346" s="1496"/>
      <c r="K12346" t="s">
        <v>1069</v>
      </c>
      <c r="V12346">
        <v>285</v>
      </c>
    </row>
    <row r="12347" spans="1:22" customFormat="1" ht="15" x14ac:dyDescent="0.25">
      <c r="A12347" t="s">
        <v>7026</v>
      </c>
      <c r="E12347" s="1533" t="s">
        <v>950</v>
      </c>
      <c r="F12347" s="1496"/>
      <c r="G12347" s="1496"/>
      <c r="H12347" s="1496"/>
      <c r="K12347" t="s">
        <v>1071</v>
      </c>
      <c r="V12347">
        <v>11</v>
      </c>
    </row>
    <row r="12348" spans="1:22" customFormat="1" ht="15" x14ac:dyDescent="0.25">
      <c r="A12348" t="s">
        <v>7026</v>
      </c>
      <c r="E12348" s="1496" t="s">
        <v>951</v>
      </c>
      <c r="F12348" s="1496"/>
      <c r="G12348" s="1496"/>
      <c r="H12348" s="1496"/>
      <c r="K12348" t="s">
        <v>1069</v>
      </c>
      <c r="V12348">
        <v>280</v>
      </c>
    </row>
    <row r="12349" spans="1:22" customFormat="1" ht="15" x14ac:dyDescent="0.25">
      <c r="A12349" t="s">
        <v>7026</v>
      </c>
      <c r="E12349" s="1496" t="s">
        <v>952</v>
      </c>
      <c r="F12349" s="1496"/>
      <c r="G12349" s="1496"/>
      <c r="H12349" s="1496"/>
      <c r="K12349" t="s">
        <v>1069</v>
      </c>
      <c r="V12349">
        <v>411</v>
      </c>
    </row>
    <row r="12350" spans="1:22" customFormat="1" ht="15" x14ac:dyDescent="0.25">
      <c r="A12350" t="s">
        <v>7026</v>
      </c>
      <c r="E12350" s="1496" t="s">
        <v>1103</v>
      </c>
      <c r="F12350" s="1496"/>
      <c r="G12350" s="1496"/>
      <c r="H12350" s="1496"/>
      <c r="K12350" t="s">
        <v>1069</v>
      </c>
      <c r="V12350">
        <v>211</v>
      </c>
    </row>
    <row r="12351" spans="1:22" customFormat="1" ht="15" x14ac:dyDescent="0.25">
      <c r="A12351" t="s">
        <v>7026</v>
      </c>
      <c r="E12351" s="1496" t="s">
        <v>954</v>
      </c>
      <c r="F12351" s="1496"/>
      <c r="G12351" s="1496"/>
      <c r="H12351" s="1496"/>
      <c r="K12351" t="s">
        <v>1069</v>
      </c>
      <c r="V12351">
        <v>246</v>
      </c>
    </row>
    <row r="12352" spans="1:22" customFormat="1" ht="15" x14ac:dyDescent="0.25">
      <c r="A12352" t="s">
        <v>7026</v>
      </c>
      <c r="E12352" s="1488" t="s">
        <v>956</v>
      </c>
      <c r="F12352" s="1590"/>
      <c r="G12352" s="1590"/>
      <c r="H12352" s="1590"/>
      <c r="K12352" t="s">
        <v>1075</v>
      </c>
      <c r="V12352">
        <v>46</v>
      </c>
    </row>
    <row r="12353" spans="1:22" customFormat="1" ht="15" x14ac:dyDescent="0.25">
      <c r="A12353" t="s">
        <v>7026</v>
      </c>
      <c r="E12353" s="1495" t="s">
        <v>3773</v>
      </c>
      <c r="F12353" s="1495"/>
      <c r="G12353" s="360" t="s">
        <v>777</v>
      </c>
      <c r="H12353" s="576">
        <v>5</v>
      </c>
      <c r="K12353" t="s">
        <v>1069</v>
      </c>
      <c r="L12353" t="s">
        <v>690</v>
      </c>
      <c r="P12353" t="s">
        <v>1076</v>
      </c>
      <c r="V12353">
        <v>14</v>
      </c>
    </row>
    <row r="12354" spans="1:22" customFormat="1" x14ac:dyDescent="0.25">
      <c r="A12354" t="s">
        <v>7026</v>
      </c>
      <c r="E12354" s="1490" t="s">
        <v>3825</v>
      </c>
      <c r="F12354" s="1490"/>
      <c r="G12354" s="647"/>
      <c r="H12354" s="648"/>
      <c r="K12354" t="s">
        <v>7074</v>
      </c>
      <c r="V12354">
        <v>10</v>
      </c>
    </row>
    <row r="12355" spans="1:22" customFormat="1" ht="15" x14ac:dyDescent="0.25">
      <c r="A12355" t="s">
        <v>7026</v>
      </c>
      <c r="E12355" s="1495" t="s">
        <v>1078</v>
      </c>
      <c r="F12355" s="1495"/>
      <c r="G12355" s="360" t="s">
        <v>3775</v>
      </c>
      <c r="H12355" s="605">
        <v>-0.6</v>
      </c>
      <c r="V12355">
        <v>68</v>
      </c>
    </row>
    <row r="12356" spans="1:22" customFormat="1" ht="15" x14ac:dyDescent="0.25">
      <c r="A12356" t="s">
        <v>7026</v>
      </c>
      <c r="E12356" s="1495" t="s">
        <v>1079</v>
      </c>
      <c r="F12356" s="1495"/>
      <c r="G12356" s="360" t="s">
        <v>1118</v>
      </c>
      <c r="H12356" s="604">
        <v>-1</v>
      </c>
      <c r="V12356">
        <v>87</v>
      </c>
    </row>
    <row r="12357" spans="1:22" customFormat="1" x14ac:dyDescent="0.25">
      <c r="A12357" t="s">
        <v>7026</v>
      </c>
      <c r="E12357" s="1490" t="s">
        <v>3828</v>
      </c>
      <c r="F12357" s="1595"/>
      <c r="G12357" s="647"/>
      <c r="H12357" s="648"/>
      <c r="K12357" t="s">
        <v>7075</v>
      </c>
      <c r="V12357">
        <v>24</v>
      </c>
    </row>
    <row r="12358" spans="1:22" customFormat="1" ht="15" x14ac:dyDescent="0.25">
      <c r="A12358" t="s">
        <v>7026</v>
      </c>
      <c r="E12358" s="1537" t="s">
        <v>950</v>
      </c>
      <c r="F12358" s="1496"/>
      <c r="G12358" s="1496"/>
      <c r="H12358" s="1496"/>
      <c r="V12358">
        <v>11</v>
      </c>
    </row>
    <row r="12359" spans="1:22" customFormat="1" ht="15" x14ac:dyDescent="0.25">
      <c r="A12359" t="s">
        <v>7026</v>
      </c>
      <c r="E12359" s="1496" t="s">
        <v>951</v>
      </c>
      <c r="F12359" s="1496"/>
      <c r="G12359" s="1496"/>
      <c r="H12359" s="1496"/>
      <c r="V12359">
        <v>280</v>
      </c>
    </row>
    <row r="12360" spans="1:22" customFormat="1" ht="15" x14ac:dyDescent="0.25">
      <c r="A12360" t="s">
        <v>7026</v>
      </c>
      <c r="E12360" s="1496" t="s">
        <v>1081</v>
      </c>
      <c r="F12360" s="1496"/>
      <c r="G12360" s="1496"/>
      <c r="H12360" s="1496"/>
      <c r="V12360">
        <v>353</v>
      </c>
    </row>
    <row r="12361" spans="1:22" customFormat="1" ht="15" x14ac:dyDescent="0.25">
      <c r="A12361" t="s">
        <v>7026</v>
      </c>
      <c r="E12361" s="1496" t="s">
        <v>954</v>
      </c>
      <c r="F12361" s="1496"/>
      <c r="G12361" s="1496"/>
      <c r="H12361" s="1496"/>
      <c r="V12361">
        <v>246</v>
      </c>
    </row>
    <row r="12362" spans="1:22" customFormat="1" ht="15" x14ac:dyDescent="0.25">
      <c r="A12362" t="s">
        <v>7026</v>
      </c>
      <c r="E12362" s="849" t="s">
        <v>3830</v>
      </c>
      <c r="F12362" s="276"/>
      <c r="G12362" s="276"/>
      <c r="H12362" s="641"/>
      <c r="K12362" t="s">
        <v>7076</v>
      </c>
      <c r="V12362">
        <v>23</v>
      </c>
    </row>
    <row r="12363" spans="1:22" customFormat="1" ht="15" x14ac:dyDescent="0.25">
      <c r="A12363" t="s">
        <v>7026</v>
      </c>
      <c r="E12363" s="1487" t="s">
        <v>5338</v>
      </c>
      <c r="F12363" s="1487"/>
      <c r="G12363" s="360" t="s">
        <v>777</v>
      </c>
      <c r="H12363" s="604">
        <v>15</v>
      </c>
      <c r="V12363">
        <v>27</v>
      </c>
    </row>
    <row r="12364" spans="1:22" customFormat="1" ht="15" x14ac:dyDescent="0.25">
      <c r="A12364" t="s">
        <v>7026</v>
      </c>
      <c r="E12364" s="1487" t="s">
        <v>5339</v>
      </c>
      <c r="F12364" s="1487"/>
      <c r="G12364" s="360" t="s">
        <v>777</v>
      </c>
      <c r="H12364" s="604">
        <v>15</v>
      </c>
      <c r="V12364">
        <v>28</v>
      </c>
    </row>
    <row r="12365" spans="1:22" customFormat="1" ht="15" x14ac:dyDescent="0.25">
      <c r="A12365" t="s">
        <v>7026</v>
      </c>
      <c r="E12365" s="1487" t="s">
        <v>5340</v>
      </c>
      <c r="F12365" s="1487"/>
      <c r="G12365" s="360" t="s">
        <v>777</v>
      </c>
      <c r="H12365" s="604">
        <v>15</v>
      </c>
      <c r="V12365">
        <v>47</v>
      </c>
    </row>
    <row r="12366" spans="1:22" customFormat="1" ht="15" x14ac:dyDescent="0.25">
      <c r="A12366" t="s">
        <v>7026</v>
      </c>
      <c r="E12366" s="1487" t="s">
        <v>5341</v>
      </c>
      <c r="F12366" s="1487"/>
      <c r="G12366" s="360" t="s">
        <v>777</v>
      </c>
      <c r="H12366" s="604">
        <v>15</v>
      </c>
      <c r="V12366">
        <v>45</v>
      </c>
    </row>
    <row r="12367" spans="1:22" customFormat="1" ht="15" x14ac:dyDescent="0.25">
      <c r="A12367" t="s">
        <v>7026</v>
      </c>
      <c r="E12367" s="1487" t="s">
        <v>5219</v>
      </c>
      <c r="F12367" s="1487"/>
      <c r="G12367" s="360" t="s">
        <v>777</v>
      </c>
      <c r="H12367" s="604">
        <v>15</v>
      </c>
      <c r="V12367">
        <v>23</v>
      </c>
    </row>
    <row r="12368" spans="1:22" customFormat="1" ht="15" x14ac:dyDescent="0.25">
      <c r="A12368" t="s">
        <v>7026</v>
      </c>
      <c r="E12368" s="1487" t="s">
        <v>5342</v>
      </c>
      <c r="F12368" s="1487"/>
      <c r="G12368" s="360" t="s">
        <v>777</v>
      </c>
      <c r="H12368" s="604">
        <v>15</v>
      </c>
      <c r="V12368">
        <v>25</v>
      </c>
    </row>
    <row r="12369" spans="1:22" customFormat="1" ht="15" x14ac:dyDescent="0.25">
      <c r="A12369" t="s">
        <v>7026</v>
      </c>
      <c r="E12369" s="1487" t="s">
        <v>5343</v>
      </c>
      <c r="F12369" s="1487"/>
      <c r="G12369" s="360" t="s">
        <v>777</v>
      </c>
      <c r="H12369" s="604">
        <v>15</v>
      </c>
      <c r="V12369">
        <v>23</v>
      </c>
    </row>
    <row r="12370" spans="1:22" customFormat="1" ht="15" x14ac:dyDescent="0.25">
      <c r="A12370" t="s">
        <v>7026</v>
      </c>
      <c r="E12370" s="1487" t="s">
        <v>5221</v>
      </c>
      <c r="F12370" s="1487"/>
      <c r="G12370" s="360" t="s">
        <v>777</v>
      </c>
      <c r="H12370" s="604">
        <v>15</v>
      </c>
      <c r="V12370">
        <v>43</v>
      </c>
    </row>
    <row r="12371" spans="1:22" customFormat="1" ht="15" x14ac:dyDescent="0.25">
      <c r="A12371" t="s">
        <v>7026</v>
      </c>
      <c r="E12371" s="1487" t="s">
        <v>5344</v>
      </c>
      <c r="F12371" s="1487"/>
      <c r="G12371" s="360" t="s">
        <v>777</v>
      </c>
      <c r="H12371" s="604">
        <v>15</v>
      </c>
      <c r="V12371">
        <v>27</v>
      </c>
    </row>
    <row r="12372" spans="1:22" customFormat="1" ht="15" x14ac:dyDescent="0.25">
      <c r="A12372" t="s">
        <v>7026</v>
      </c>
      <c r="E12372" s="1487" t="s">
        <v>5222</v>
      </c>
      <c r="F12372" s="1487"/>
      <c r="G12372" s="360" t="s">
        <v>777</v>
      </c>
      <c r="H12372" s="604">
        <v>30</v>
      </c>
      <c r="V12372">
        <v>97</v>
      </c>
    </row>
    <row r="12373" spans="1:22" customFormat="1" ht="15" x14ac:dyDescent="0.25">
      <c r="A12373" t="s">
        <v>7026</v>
      </c>
      <c r="E12373" s="1487" t="s">
        <v>5345</v>
      </c>
      <c r="F12373" s="1487"/>
      <c r="G12373" s="360" t="s">
        <v>777</v>
      </c>
      <c r="H12373" s="604">
        <v>30</v>
      </c>
      <c r="V12373">
        <v>27</v>
      </c>
    </row>
    <row r="12374" spans="1:22" customFormat="1" ht="15" x14ac:dyDescent="0.25">
      <c r="A12374" t="s">
        <v>7026</v>
      </c>
      <c r="E12374" s="1487" t="s">
        <v>5223</v>
      </c>
      <c r="F12374" s="1487"/>
      <c r="G12374" s="360" t="s">
        <v>777</v>
      </c>
      <c r="H12374" s="604">
        <v>30</v>
      </c>
      <c r="V12374">
        <v>82</v>
      </c>
    </row>
    <row r="12375" spans="1:22" customFormat="1" ht="15" x14ac:dyDescent="0.25">
      <c r="A12375" t="s">
        <v>7026</v>
      </c>
      <c r="E12375" s="945" t="s">
        <v>4062</v>
      </c>
      <c r="F12375" s="276"/>
      <c r="G12375" s="276"/>
      <c r="H12375" s="641"/>
      <c r="K12375" t="s">
        <v>7077</v>
      </c>
      <c r="V12375">
        <v>22</v>
      </c>
    </row>
    <row r="12376" spans="1:22" customFormat="1" ht="15" x14ac:dyDescent="0.25">
      <c r="A12376" t="s">
        <v>7026</v>
      </c>
      <c r="E12376" s="1487" t="s">
        <v>5346</v>
      </c>
      <c r="F12376" s="1487"/>
      <c r="G12376" s="360" t="s">
        <v>1118</v>
      </c>
      <c r="H12376" s="604">
        <v>1.5</v>
      </c>
      <c r="V12376">
        <v>116</v>
      </c>
    </row>
    <row r="12377" spans="1:22" customFormat="1" ht="15" x14ac:dyDescent="0.25">
      <c r="A12377" t="s">
        <v>7026</v>
      </c>
      <c r="E12377" s="1487" t="s">
        <v>5155</v>
      </c>
      <c r="F12377" s="1487"/>
      <c r="G12377" s="360" t="s">
        <v>777</v>
      </c>
      <c r="H12377" s="604">
        <v>65</v>
      </c>
      <c r="V12377">
        <v>52</v>
      </c>
    </row>
    <row r="12378" spans="1:22" customFormat="1" ht="15" x14ac:dyDescent="0.25">
      <c r="A12378" t="s">
        <v>7026</v>
      </c>
      <c r="E12378" s="1487" t="s">
        <v>5156</v>
      </c>
      <c r="F12378" s="1487"/>
      <c r="G12378" s="360" t="s">
        <v>777</v>
      </c>
      <c r="H12378" s="604">
        <v>185</v>
      </c>
      <c r="V12378">
        <v>51</v>
      </c>
    </row>
    <row r="12379" spans="1:22" customFormat="1" ht="15" x14ac:dyDescent="0.25">
      <c r="A12379" t="s">
        <v>7026</v>
      </c>
      <c r="E12379" s="1487" t="s">
        <v>5157</v>
      </c>
      <c r="F12379" s="1487"/>
      <c r="G12379" s="360" t="s">
        <v>777</v>
      </c>
      <c r="H12379" s="604">
        <v>185</v>
      </c>
      <c r="V12379">
        <v>51</v>
      </c>
    </row>
    <row r="12380" spans="1:22" customFormat="1" ht="15" x14ac:dyDescent="0.25">
      <c r="A12380" t="s">
        <v>7026</v>
      </c>
      <c r="E12380" s="1487" t="s">
        <v>5158</v>
      </c>
      <c r="F12380" s="1487"/>
      <c r="G12380" s="360" t="s">
        <v>777</v>
      </c>
      <c r="H12380" s="604">
        <v>415</v>
      </c>
      <c r="V12380">
        <v>50</v>
      </c>
    </row>
    <row r="12381" spans="1:22" customFormat="1" ht="15" x14ac:dyDescent="0.25">
      <c r="A12381" t="s">
        <v>7026</v>
      </c>
      <c r="E12381" s="849" t="s">
        <v>3846</v>
      </c>
      <c r="F12381" s="276"/>
      <c r="G12381" s="276"/>
      <c r="H12381" s="641"/>
      <c r="V12381">
        <v>5</v>
      </c>
    </row>
    <row r="12382" spans="1:22" customFormat="1" ht="15" x14ac:dyDescent="0.25">
      <c r="A12382" t="s">
        <v>7026</v>
      </c>
      <c r="E12382" s="1487" t="s">
        <v>5159</v>
      </c>
      <c r="F12382" s="1487"/>
      <c r="G12382" s="360" t="s">
        <v>777</v>
      </c>
      <c r="H12382" s="604">
        <v>30</v>
      </c>
      <c r="V12382">
        <v>47</v>
      </c>
    </row>
    <row r="12383" spans="1:22" customFormat="1" ht="15" x14ac:dyDescent="0.25">
      <c r="A12383" t="s">
        <v>7026</v>
      </c>
      <c r="E12383" s="1487" t="s">
        <v>5160</v>
      </c>
      <c r="F12383" s="1487"/>
      <c r="G12383" s="360" t="s">
        <v>777</v>
      </c>
      <c r="H12383" s="604">
        <v>165</v>
      </c>
      <c r="V12383">
        <v>42</v>
      </c>
    </row>
    <row r="12384" spans="1:22" customFormat="1" ht="15" x14ac:dyDescent="0.25">
      <c r="A12384" t="s">
        <v>7026</v>
      </c>
      <c r="E12384" s="1487" t="s">
        <v>5161</v>
      </c>
      <c r="F12384" s="1487"/>
      <c r="G12384" s="360" t="s">
        <v>777</v>
      </c>
      <c r="H12384" s="604">
        <v>500</v>
      </c>
      <c r="V12384">
        <v>70</v>
      </c>
    </row>
    <row r="12385" spans="1:22" customFormat="1" ht="15" x14ac:dyDescent="0.25">
      <c r="A12385" t="s">
        <v>7026</v>
      </c>
      <c r="E12385" s="1487" t="s">
        <v>5162</v>
      </c>
      <c r="F12385" s="1487"/>
      <c r="G12385" s="360" t="s">
        <v>777</v>
      </c>
      <c r="H12385" s="604">
        <v>300</v>
      </c>
      <c r="V12385">
        <v>73</v>
      </c>
    </row>
    <row r="12386" spans="1:22" customFormat="1" ht="15" x14ac:dyDescent="0.25">
      <c r="A12386" t="s">
        <v>7026</v>
      </c>
      <c r="E12386" s="1487" t="s">
        <v>5163</v>
      </c>
      <c r="F12386" s="1487"/>
      <c r="G12386" s="360" t="s">
        <v>777</v>
      </c>
      <c r="H12386" s="604">
        <v>1000</v>
      </c>
      <c r="V12386">
        <v>72</v>
      </c>
    </row>
    <row r="12387" spans="1:22" customFormat="1" ht="15" x14ac:dyDescent="0.25">
      <c r="A12387" t="s">
        <v>7026</v>
      </c>
      <c r="E12387" s="1487" t="s">
        <v>7078</v>
      </c>
      <c r="F12387" s="1487"/>
      <c r="G12387" s="360" t="s">
        <v>777</v>
      </c>
      <c r="H12387" s="604">
        <v>39.14</v>
      </c>
      <c r="V12387">
        <v>121</v>
      </c>
    </row>
    <row r="12388" spans="1:22" customFormat="1" ht="18.75" x14ac:dyDescent="0.3">
      <c r="A12388" t="s">
        <v>7026</v>
      </c>
      <c r="E12388" s="1490" t="s">
        <v>3851</v>
      </c>
      <c r="F12388" s="1595"/>
      <c r="G12388" s="639"/>
      <c r="H12388" s="640"/>
      <c r="K12388" t="s">
        <v>7079</v>
      </c>
      <c r="V12388">
        <v>38</v>
      </c>
    </row>
    <row r="12389" spans="1:22" customFormat="1" ht="15" x14ac:dyDescent="0.25">
      <c r="A12389" t="s">
        <v>7026</v>
      </c>
      <c r="E12389" s="1537" t="s">
        <v>950</v>
      </c>
      <c r="F12389" s="1496"/>
      <c r="G12389" s="1496"/>
      <c r="H12389" s="1496"/>
      <c r="K12389" t="s">
        <v>1071</v>
      </c>
      <c r="V12389">
        <v>11</v>
      </c>
    </row>
    <row r="12390" spans="1:22" customFormat="1" ht="15" x14ac:dyDescent="0.25">
      <c r="A12390" t="s">
        <v>7026</v>
      </c>
      <c r="E12390" s="1496" t="s">
        <v>951</v>
      </c>
      <c r="F12390" s="1496"/>
      <c r="G12390" s="1496"/>
      <c r="H12390" s="1496"/>
      <c r="V12390">
        <v>280</v>
      </c>
    </row>
    <row r="12391" spans="1:22" customFormat="1" ht="15" x14ac:dyDescent="0.25">
      <c r="A12391" t="s">
        <v>7026</v>
      </c>
      <c r="E12391" s="1496" t="s">
        <v>952</v>
      </c>
      <c r="F12391" s="1496"/>
      <c r="G12391" s="1496"/>
      <c r="H12391" s="1496"/>
      <c r="V12391">
        <v>411</v>
      </c>
    </row>
    <row r="12392" spans="1:22" customFormat="1" ht="15" x14ac:dyDescent="0.25">
      <c r="A12392" t="s">
        <v>7026</v>
      </c>
      <c r="E12392" s="1496" t="s">
        <v>1103</v>
      </c>
      <c r="F12392" s="1496"/>
      <c r="G12392" s="1496"/>
      <c r="H12392" s="1496"/>
      <c r="V12392">
        <v>211</v>
      </c>
    </row>
    <row r="12393" spans="1:22" customFormat="1" ht="15" x14ac:dyDescent="0.25">
      <c r="A12393" t="s">
        <v>7026</v>
      </c>
      <c r="E12393" s="1496" t="s">
        <v>954</v>
      </c>
      <c r="F12393" s="1496"/>
      <c r="G12393" s="1496"/>
      <c r="H12393" s="1496"/>
      <c r="V12393">
        <v>246</v>
      </c>
    </row>
    <row r="12394" spans="1:22" customFormat="1" ht="15" x14ac:dyDescent="0.25">
      <c r="A12394" t="s">
        <v>7026</v>
      </c>
      <c r="E12394" s="1495" t="s">
        <v>4598</v>
      </c>
      <c r="F12394" s="1495"/>
      <c r="G12394" s="1489"/>
      <c r="H12394" s="1489"/>
      <c r="V12394">
        <v>141</v>
      </c>
    </row>
    <row r="12395" spans="1:22" customFormat="1" ht="15" x14ac:dyDescent="0.25">
      <c r="A12395" t="s">
        <v>7026</v>
      </c>
      <c r="E12395" s="1495" t="s">
        <v>849</v>
      </c>
      <c r="F12395" s="1495"/>
      <c r="G12395" s="643" t="s">
        <v>777</v>
      </c>
      <c r="H12395" s="642">
        <v>121.23</v>
      </c>
      <c r="V12395">
        <v>106</v>
      </c>
    </row>
    <row r="12396" spans="1:22" customFormat="1" ht="15" x14ac:dyDescent="0.25">
      <c r="A12396" t="s">
        <v>7026</v>
      </c>
      <c r="E12396" s="1495" t="s">
        <v>850</v>
      </c>
      <c r="F12396" s="1495"/>
      <c r="G12396" s="643" t="s">
        <v>777</v>
      </c>
      <c r="H12396" s="642">
        <v>48.5</v>
      </c>
      <c r="V12396">
        <v>34</v>
      </c>
    </row>
    <row r="12397" spans="1:22" customFormat="1" ht="15" x14ac:dyDescent="0.25">
      <c r="A12397" t="s">
        <v>7026</v>
      </c>
      <c r="E12397" s="1495" t="s">
        <v>851</v>
      </c>
      <c r="F12397" s="1495"/>
      <c r="G12397" s="643" t="s">
        <v>777</v>
      </c>
      <c r="H12397" s="642">
        <v>1.2</v>
      </c>
      <c r="V12397">
        <v>51</v>
      </c>
    </row>
    <row r="12398" spans="1:22" customFormat="1" ht="15" x14ac:dyDescent="0.25">
      <c r="A12398" t="s">
        <v>7026</v>
      </c>
      <c r="E12398" s="1495" t="s">
        <v>853</v>
      </c>
      <c r="F12398" s="1495"/>
      <c r="G12398" s="643" t="s">
        <v>777</v>
      </c>
      <c r="H12398" s="642">
        <v>0.71</v>
      </c>
      <c r="V12398">
        <v>75</v>
      </c>
    </row>
    <row r="12399" spans="1:22" customFormat="1" ht="15" x14ac:dyDescent="0.25">
      <c r="A12399" t="s">
        <v>7026</v>
      </c>
      <c r="E12399" s="1495" t="s">
        <v>854</v>
      </c>
      <c r="F12399" s="1495"/>
      <c r="G12399" s="643" t="s">
        <v>777</v>
      </c>
      <c r="H12399" s="642">
        <v>-0.71</v>
      </c>
      <c r="V12399">
        <v>72</v>
      </c>
    </row>
    <row r="12400" spans="1:22" customFormat="1" ht="15" x14ac:dyDescent="0.25">
      <c r="A12400" t="s">
        <v>7026</v>
      </c>
      <c r="E12400" s="1591" t="s">
        <v>855</v>
      </c>
      <c r="F12400" s="1591"/>
      <c r="G12400" s="643"/>
      <c r="H12400" s="644"/>
      <c r="V12400">
        <v>34</v>
      </c>
    </row>
    <row r="12401" spans="1:22" customFormat="1" ht="15" x14ac:dyDescent="0.25">
      <c r="A12401" t="s">
        <v>7026</v>
      </c>
      <c r="E12401" s="1591" t="s">
        <v>1106</v>
      </c>
      <c r="F12401" s="1591"/>
      <c r="G12401" s="643" t="s">
        <v>777</v>
      </c>
      <c r="H12401" s="642">
        <v>0.61</v>
      </c>
      <c r="V12401">
        <v>57</v>
      </c>
    </row>
    <row r="12402" spans="1:22" customFormat="1" ht="15" x14ac:dyDescent="0.25">
      <c r="A12402" t="s">
        <v>7026</v>
      </c>
      <c r="E12402" s="1591" t="s">
        <v>1107</v>
      </c>
      <c r="F12402" s="1591"/>
      <c r="G12402" s="643" t="s">
        <v>777</v>
      </c>
      <c r="H12402" s="642">
        <v>1.2</v>
      </c>
      <c r="V12402">
        <v>60</v>
      </c>
    </row>
    <row r="12403" spans="1:22" customFormat="1" ht="15" x14ac:dyDescent="0.25">
      <c r="A12403" t="s">
        <v>7026</v>
      </c>
      <c r="E12403" s="1495" t="s">
        <v>1108</v>
      </c>
      <c r="F12403" s="1495"/>
      <c r="G12403" s="643"/>
      <c r="H12403" s="644"/>
      <c r="V12403">
        <v>91</v>
      </c>
    </row>
    <row r="12404" spans="1:22" customFormat="1" ht="15" x14ac:dyDescent="0.25">
      <c r="A12404" t="s">
        <v>7026</v>
      </c>
      <c r="E12404" s="1495" t="s">
        <v>1109</v>
      </c>
      <c r="F12404" s="1495"/>
      <c r="G12404" s="643"/>
      <c r="H12404" s="644"/>
      <c r="V12404">
        <v>96</v>
      </c>
    </row>
    <row r="12405" spans="1:22" customFormat="1" ht="15" x14ac:dyDescent="0.25">
      <c r="A12405" t="s">
        <v>7026</v>
      </c>
      <c r="E12405" s="1591" t="s">
        <v>856</v>
      </c>
      <c r="F12405" s="1591"/>
      <c r="G12405" s="643"/>
      <c r="H12405" s="644"/>
      <c r="V12405">
        <v>77</v>
      </c>
    </row>
    <row r="12406" spans="1:22" customFormat="1" ht="15" x14ac:dyDescent="0.25">
      <c r="A12406" t="s">
        <v>7026</v>
      </c>
      <c r="E12406" s="1591" t="s">
        <v>1111</v>
      </c>
      <c r="F12406" s="1591"/>
      <c r="G12406" s="643" t="s">
        <v>777</v>
      </c>
      <c r="H12406" s="644" t="s">
        <v>857</v>
      </c>
      <c r="V12406">
        <v>18</v>
      </c>
    </row>
    <row r="12407" spans="1:22" customFormat="1" ht="15" x14ac:dyDescent="0.25">
      <c r="A12407" t="s">
        <v>7026</v>
      </c>
      <c r="E12407" s="1524" t="s">
        <v>7080</v>
      </c>
      <c r="F12407" s="1524"/>
      <c r="G12407" s="643" t="s">
        <v>777</v>
      </c>
      <c r="H12407" s="642">
        <v>4.8499999999999996</v>
      </c>
      <c r="V12407">
        <v>93</v>
      </c>
    </row>
    <row r="12408" spans="1:22" customFormat="1" ht="15" x14ac:dyDescent="0.25">
      <c r="A12408" t="s">
        <v>7026</v>
      </c>
      <c r="E12408" s="1524" t="s">
        <v>858</v>
      </c>
      <c r="F12408" s="1524"/>
      <c r="G12408" s="615" t="s">
        <v>777</v>
      </c>
      <c r="H12408" s="604">
        <v>2.42</v>
      </c>
      <c r="V12408">
        <v>199</v>
      </c>
    </row>
    <row r="12409" spans="1:22" customFormat="1" ht="15" x14ac:dyDescent="0.25">
      <c r="A12409" t="s">
        <v>7026</v>
      </c>
      <c r="E12409" s="1490" t="s">
        <v>3853</v>
      </c>
      <c r="F12409" s="1489"/>
      <c r="G12409" s="1489"/>
      <c r="H12409" s="1489"/>
      <c r="K12409" t="s">
        <v>7081</v>
      </c>
      <c r="V12409">
        <v>12</v>
      </c>
    </row>
    <row r="12410" spans="1:22" customFormat="1" ht="15" x14ac:dyDescent="0.25">
      <c r="A12410" t="s">
        <v>7026</v>
      </c>
      <c r="E12410" s="1524" t="s">
        <v>1114</v>
      </c>
      <c r="F12410" s="1524"/>
      <c r="G12410" s="1524"/>
      <c r="H12410" s="1524"/>
      <c r="V12410">
        <v>203</v>
      </c>
    </row>
    <row r="12411" spans="1:22" customFormat="1" ht="15" x14ac:dyDescent="0.25">
      <c r="A12411" t="s">
        <v>7026</v>
      </c>
      <c r="E12411" s="1495" t="s">
        <v>1115</v>
      </c>
      <c r="F12411" s="1495"/>
      <c r="G12411" s="360"/>
      <c r="H12411" s="616">
        <v>1.0425</v>
      </c>
      <c r="V12411">
        <v>57</v>
      </c>
    </row>
    <row r="12412" spans="1:22" customFormat="1" ht="15" x14ac:dyDescent="0.25">
      <c r="A12412" t="s">
        <v>7026</v>
      </c>
      <c r="E12412" s="1495" t="s">
        <v>1117</v>
      </c>
      <c r="F12412" s="1495"/>
      <c r="G12412" s="360"/>
      <c r="H12412" s="616">
        <v>1.032</v>
      </c>
      <c r="J12412" t="s">
        <v>7082</v>
      </c>
      <c r="V12412">
        <v>55</v>
      </c>
    </row>
    <row r="12413" spans="1:22" customFormat="1" ht="23.25" x14ac:dyDescent="0.25">
      <c r="A12413" t="s">
        <v>234</v>
      </c>
      <c r="C12413" t="s">
        <v>3755</v>
      </c>
      <c r="E12413" s="1550" t="s">
        <v>234</v>
      </c>
      <c r="F12413" s="1540"/>
      <c r="G12413" s="1540"/>
      <c r="H12413" s="1540"/>
      <c r="I12413" t="s">
        <v>94</v>
      </c>
      <c r="J12413" t="s">
        <v>4679</v>
      </c>
      <c r="K12413" t="s">
        <v>234</v>
      </c>
      <c r="M12413">
        <v>8</v>
      </c>
      <c r="V12413">
        <v>19</v>
      </c>
    </row>
    <row r="12414" spans="1:22" customFormat="1" x14ac:dyDescent="0.25">
      <c r="A12414" t="s">
        <v>234</v>
      </c>
      <c r="C12414" t="s">
        <v>3757</v>
      </c>
      <c r="E12414" s="1551" t="s">
        <v>944</v>
      </c>
      <c r="F12414" s="1542"/>
      <c r="G12414" s="1542"/>
      <c r="H12414" s="1542"/>
      <c r="V12414">
        <v>27</v>
      </c>
    </row>
    <row r="12415" spans="1:22" customFormat="1" ht="15.75" x14ac:dyDescent="0.25">
      <c r="A12415" t="s">
        <v>234</v>
      </c>
      <c r="C12415" t="s">
        <v>3758</v>
      </c>
      <c r="E12415" s="1543" t="s">
        <v>6511</v>
      </c>
      <c r="F12415" s="1543"/>
      <c r="G12415" s="1543"/>
      <c r="H12415" s="1543"/>
      <c r="S12415">
        <v>45658</v>
      </c>
      <c r="V12415">
        <v>49</v>
      </c>
    </row>
    <row r="12416" spans="1:22" customFormat="1" ht="15" x14ac:dyDescent="0.25">
      <c r="A12416" t="s">
        <v>234</v>
      </c>
      <c r="C12416" t="s">
        <v>3759</v>
      </c>
      <c r="E12416" s="1544" t="s">
        <v>945</v>
      </c>
      <c r="F12416" s="1630"/>
      <c r="G12416" s="1630"/>
      <c r="H12416" s="1630"/>
      <c r="V12416">
        <v>52</v>
      </c>
    </row>
    <row r="12417" spans="1:22" customFormat="1" ht="15" x14ac:dyDescent="0.25">
      <c r="A12417" t="s">
        <v>234</v>
      </c>
      <c r="E12417" s="1544" t="s">
        <v>946</v>
      </c>
      <c r="F12417" s="1630"/>
      <c r="G12417" s="1630"/>
      <c r="H12417" s="1630"/>
      <c r="V12417">
        <v>53</v>
      </c>
    </row>
    <row r="12418" spans="1:22" customFormat="1" ht="15" x14ac:dyDescent="0.25">
      <c r="A12418" t="s">
        <v>234</v>
      </c>
      <c r="E12418" s="1492" t="s">
        <v>170</v>
      </c>
      <c r="F12418" s="1516"/>
      <c r="G12418" s="1516"/>
      <c r="H12418" s="1516"/>
      <c r="K12418" t="s">
        <v>947</v>
      </c>
      <c r="V12418">
        <v>34</v>
      </c>
    </row>
    <row r="12419" spans="1:22" customFormat="1" ht="15" x14ac:dyDescent="0.25">
      <c r="A12419" t="s">
        <v>234</v>
      </c>
      <c r="E12419" s="1516" t="s">
        <v>4680</v>
      </c>
      <c r="F12419" s="1516"/>
      <c r="G12419" s="1516"/>
      <c r="H12419" s="1516"/>
      <c r="K12419" t="s">
        <v>947</v>
      </c>
      <c r="V12419">
        <v>79</v>
      </c>
    </row>
    <row r="12420" spans="1:22" customFormat="1" ht="15" x14ac:dyDescent="0.25">
      <c r="A12420" t="s">
        <v>234</v>
      </c>
      <c r="E12420" s="1516" t="s">
        <v>4681</v>
      </c>
      <c r="F12420" s="1516"/>
      <c r="G12420" s="1516"/>
      <c r="H12420" s="1516"/>
      <c r="K12420" t="s">
        <v>947</v>
      </c>
      <c r="V12420">
        <v>73</v>
      </c>
    </row>
    <row r="12421" spans="1:22" customFormat="1" ht="15" x14ac:dyDescent="0.25">
      <c r="A12421" t="s">
        <v>234</v>
      </c>
      <c r="E12421" s="1516" t="s">
        <v>4682</v>
      </c>
      <c r="F12421" s="1516"/>
      <c r="G12421" s="1516"/>
      <c r="H12421" s="1516"/>
      <c r="K12421" t="s">
        <v>947</v>
      </c>
      <c r="V12421">
        <v>65</v>
      </c>
    </row>
    <row r="12422" spans="1:22" customFormat="1" ht="15" x14ac:dyDescent="0.25">
      <c r="A12422" t="s">
        <v>234</v>
      </c>
      <c r="E12422" s="1516" t="s">
        <v>4683</v>
      </c>
      <c r="F12422" s="1516"/>
      <c r="G12422" s="1516"/>
      <c r="H12422" s="1516"/>
      <c r="K12422" t="s">
        <v>947</v>
      </c>
      <c r="V12422">
        <v>47</v>
      </c>
    </row>
    <row r="12423" spans="1:22" customFormat="1" ht="15" x14ac:dyDescent="0.25">
      <c r="A12423" t="s">
        <v>234</v>
      </c>
      <c r="E12423" s="1516" t="s">
        <v>4684</v>
      </c>
      <c r="F12423" s="1516"/>
      <c r="G12423" s="1516"/>
      <c r="H12423" s="1516"/>
      <c r="K12423" t="s">
        <v>947</v>
      </c>
      <c r="V12423">
        <v>92</v>
      </c>
    </row>
    <row r="12424" spans="1:22" customFormat="1" ht="15" x14ac:dyDescent="0.25">
      <c r="A12424" t="s">
        <v>234</v>
      </c>
      <c r="E12424" s="1516" t="s">
        <v>4685</v>
      </c>
      <c r="F12424" s="1516"/>
      <c r="G12424" s="1516"/>
      <c r="H12424" s="1516"/>
      <c r="K12424" t="s">
        <v>947</v>
      </c>
      <c r="V12424">
        <v>58</v>
      </c>
    </row>
    <row r="12425" spans="1:22" customFormat="1" ht="15" x14ac:dyDescent="0.25">
      <c r="A12425" t="s">
        <v>234</v>
      </c>
      <c r="E12425" s="1516" t="s">
        <v>4686</v>
      </c>
      <c r="F12425" s="1516"/>
      <c r="G12425" s="1516"/>
      <c r="H12425" s="1516"/>
      <c r="K12425" t="s">
        <v>947</v>
      </c>
      <c r="V12425">
        <v>90</v>
      </c>
    </row>
    <row r="12426" spans="1:22" customFormat="1" ht="15" x14ac:dyDescent="0.25">
      <c r="A12426" t="s">
        <v>234</v>
      </c>
      <c r="E12426" s="1516" t="s">
        <v>4687</v>
      </c>
      <c r="F12426" s="1516"/>
      <c r="G12426" s="1516"/>
      <c r="H12426" s="1516"/>
      <c r="K12426" t="s">
        <v>947</v>
      </c>
      <c r="V12426">
        <v>149</v>
      </c>
    </row>
    <row r="12427" spans="1:22" customFormat="1" ht="15" x14ac:dyDescent="0.25">
      <c r="A12427" t="s">
        <v>234</v>
      </c>
      <c r="E12427" s="1515" t="s">
        <v>950</v>
      </c>
      <c r="F12427" s="1516"/>
      <c r="G12427" s="1516"/>
      <c r="H12427" s="1516"/>
      <c r="K12427" t="s">
        <v>949</v>
      </c>
      <c r="V12427">
        <v>11</v>
      </c>
    </row>
    <row r="12428" spans="1:22" customFormat="1" ht="15" x14ac:dyDescent="0.25">
      <c r="A12428" t="s">
        <v>234</v>
      </c>
      <c r="E12428" s="1516" t="s">
        <v>951</v>
      </c>
      <c r="F12428" s="1516"/>
      <c r="G12428" s="1516"/>
      <c r="H12428" s="1516"/>
      <c r="K12428" t="s">
        <v>947</v>
      </c>
      <c r="V12428">
        <v>280</v>
      </c>
    </row>
    <row r="12429" spans="1:22" customFormat="1" ht="15" x14ac:dyDescent="0.25">
      <c r="A12429" t="s">
        <v>234</v>
      </c>
      <c r="E12429" s="1516" t="s">
        <v>952</v>
      </c>
      <c r="F12429" s="1516"/>
      <c r="G12429" s="1516"/>
      <c r="H12429" s="1516"/>
      <c r="K12429" t="s">
        <v>947</v>
      </c>
      <c r="V12429">
        <v>411</v>
      </c>
    </row>
    <row r="12430" spans="1:22" customFormat="1" ht="15" x14ac:dyDescent="0.25">
      <c r="A12430" t="s">
        <v>234</v>
      </c>
      <c r="E12430" s="1516" t="s">
        <v>953</v>
      </c>
      <c r="F12430" s="1516"/>
      <c r="G12430" s="1516"/>
      <c r="H12430" s="1516"/>
      <c r="K12430" t="s">
        <v>947</v>
      </c>
      <c r="V12430">
        <v>386</v>
      </c>
    </row>
    <row r="12431" spans="1:22" customFormat="1" ht="15" x14ac:dyDescent="0.25">
      <c r="A12431" t="s">
        <v>234</v>
      </c>
      <c r="E12431" s="1516" t="s">
        <v>954</v>
      </c>
      <c r="F12431" s="1516"/>
      <c r="G12431" s="1516"/>
      <c r="H12431" s="1516"/>
      <c r="K12431" t="s">
        <v>947</v>
      </c>
      <c r="V12431">
        <v>246</v>
      </c>
    </row>
    <row r="12432" spans="1:22" customFormat="1" ht="15" x14ac:dyDescent="0.25">
      <c r="A12432" t="s">
        <v>234</v>
      </c>
      <c r="E12432" s="1596" t="s">
        <v>956</v>
      </c>
      <c r="F12432" s="1572"/>
      <c r="G12432" s="1572"/>
      <c r="H12432" s="1572"/>
      <c r="K12432" t="s">
        <v>955</v>
      </c>
      <c r="V12432">
        <v>46</v>
      </c>
    </row>
    <row r="12433" spans="1:22" customFormat="1" ht="15" x14ac:dyDescent="0.25">
      <c r="A12433" t="s">
        <v>234</v>
      </c>
      <c r="E12433" s="1561" t="s">
        <v>3773</v>
      </c>
      <c r="F12433" s="1561"/>
      <c r="G12433" s="584" t="s">
        <v>777</v>
      </c>
      <c r="H12433" s="576">
        <v>36.43</v>
      </c>
      <c r="K12433" t="s">
        <v>947</v>
      </c>
      <c r="L12433" t="s">
        <v>690</v>
      </c>
      <c r="P12433" t="s">
        <v>957</v>
      </c>
      <c r="V12433">
        <v>14</v>
      </c>
    </row>
    <row r="12434" spans="1:22" customFormat="1" ht="15" x14ac:dyDescent="0.25">
      <c r="A12434" t="s">
        <v>234</v>
      </c>
      <c r="E12434" s="1561" t="s">
        <v>7083</v>
      </c>
      <c r="F12434" s="1561"/>
      <c r="G12434" s="584" t="s">
        <v>777</v>
      </c>
      <c r="H12434" s="576">
        <v>-0.83</v>
      </c>
      <c r="K12434" t="s">
        <v>947</v>
      </c>
      <c r="L12434" t="s">
        <v>690</v>
      </c>
      <c r="P12434" t="s">
        <v>5913</v>
      </c>
      <c r="T12434">
        <v>46022</v>
      </c>
      <c r="V12434">
        <v>67</v>
      </c>
    </row>
    <row r="12435" spans="1:22" customFormat="1" ht="15" x14ac:dyDescent="0.25">
      <c r="A12435" t="s">
        <v>234</v>
      </c>
      <c r="E12435" s="1561" t="s">
        <v>960</v>
      </c>
      <c r="F12435" s="1561"/>
      <c r="G12435" s="584" t="s">
        <v>777</v>
      </c>
      <c r="H12435" s="576">
        <v>0.42</v>
      </c>
      <c r="K12435" t="s">
        <v>947</v>
      </c>
      <c r="L12435" t="s">
        <v>692</v>
      </c>
      <c r="P12435" t="s">
        <v>959</v>
      </c>
      <c r="V12435">
        <v>64</v>
      </c>
    </row>
    <row r="12436" spans="1:22" customFormat="1" ht="15" x14ac:dyDescent="0.25">
      <c r="A12436" t="s">
        <v>234</v>
      </c>
      <c r="E12436" s="1561" t="s">
        <v>910</v>
      </c>
      <c r="F12436" s="1561"/>
      <c r="G12436" s="584" t="s">
        <v>845</v>
      </c>
      <c r="H12436" s="577">
        <v>5.0000000000000001E-4</v>
      </c>
      <c r="K12436" t="s">
        <v>947</v>
      </c>
      <c r="L12436" t="s">
        <v>692</v>
      </c>
      <c r="P12436" t="s">
        <v>961</v>
      </c>
      <c r="V12436">
        <v>24</v>
      </c>
    </row>
    <row r="12437" spans="1:22" customFormat="1" ht="15" x14ac:dyDescent="0.25">
      <c r="A12437" t="s">
        <v>234</v>
      </c>
      <c r="E12437" s="1561" t="s">
        <v>5989</v>
      </c>
      <c r="F12437" s="1561"/>
      <c r="G12437" s="584" t="s">
        <v>845</v>
      </c>
      <c r="H12437" s="577">
        <v>-1.1000000000000001E-3</v>
      </c>
      <c r="K12437" t="s">
        <v>947</v>
      </c>
      <c r="L12437" t="s">
        <v>692</v>
      </c>
      <c r="P12437" t="s">
        <v>963</v>
      </c>
      <c r="T12437">
        <v>46022</v>
      </c>
      <c r="V12437">
        <v>92</v>
      </c>
    </row>
    <row r="12438" spans="1:22" customFormat="1" ht="15" x14ac:dyDescent="0.25">
      <c r="A12438" t="s">
        <v>234</v>
      </c>
      <c r="E12438" s="1561" t="s">
        <v>6871</v>
      </c>
      <c r="F12438" s="1561"/>
      <c r="G12438" s="584" t="s">
        <v>845</v>
      </c>
      <c r="H12438" s="577">
        <v>1E-4</v>
      </c>
      <c r="K12438" t="s">
        <v>947</v>
      </c>
      <c r="L12438" t="s">
        <v>692</v>
      </c>
      <c r="P12438" t="s">
        <v>3764</v>
      </c>
      <c r="T12438">
        <v>46022</v>
      </c>
      <c r="V12438">
        <v>135</v>
      </c>
    </row>
    <row r="12439" spans="1:22" customFormat="1" ht="15" x14ac:dyDescent="0.25">
      <c r="A12439" t="s">
        <v>234</v>
      </c>
      <c r="E12439" s="1561" t="s">
        <v>7084</v>
      </c>
      <c r="F12439" s="1561"/>
      <c r="G12439" s="584" t="s">
        <v>845</v>
      </c>
      <c r="H12439" s="577">
        <v>2.2000000000000001E-3</v>
      </c>
      <c r="K12439" t="s">
        <v>947</v>
      </c>
      <c r="L12439" t="s">
        <v>692</v>
      </c>
      <c r="P12439" t="s">
        <v>962</v>
      </c>
      <c r="T12439">
        <v>46022</v>
      </c>
      <c r="V12439">
        <v>136</v>
      </c>
    </row>
    <row r="12440" spans="1:22" customFormat="1" ht="15" x14ac:dyDescent="0.25">
      <c r="A12440" t="s">
        <v>234</v>
      </c>
      <c r="E12440" s="1561" t="s">
        <v>243</v>
      </c>
      <c r="F12440" s="1561"/>
      <c r="G12440" s="584" t="s">
        <v>845</v>
      </c>
      <c r="H12440" s="577">
        <v>1.17E-2</v>
      </c>
      <c r="K12440" t="s">
        <v>947</v>
      </c>
      <c r="L12440" t="s">
        <v>694</v>
      </c>
      <c r="P12440" t="s">
        <v>964</v>
      </c>
      <c r="V12440">
        <v>47</v>
      </c>
    </row>
    <row r="12441" spans="1:22" customFormat="1" ht="15" x14ac:dyDescent="0.25">
      <c r="A12441" t="s">
        <v>234</v>
      </c>
      <c r="E12441" s="1561" t="s">
        <v>175</v>
      </c>
      <c r="F12441" s="1561"/>
      <c r="G12441" s="584" t="s">
        <v>845</v>
      </c>
      <c r="H12441" s="577">
        <v>6.6E-3</v>
      </c>
      <c r="K12441" t="s">
        <v>947</v>
      </c>
      <c r="L12441" t="s">
        <v>694</v>
      </c>
      <c r="P12441" t="s">
        <v>965</v>
      </c>
      <c r="V12441">
        <v>74</v>
      </c>
    </row>
    <row r="12442" spans="1:22" customFormat="1" ht="15" x14ac:dyDescent="0.25">
      <c r="A12442" t="s">
        <v>234</v>
      </c>
      <c r="E12442" s="1596" t="s">
        <v>967</v>
      </c>
      <c r="F12442" s="1561"/>
      <c r="G12442" s="584"/>
      <c r="H12442" s="584"/>
      <c r="K12442" t="s">
        <v>966</v>
      </c>
      <c r="V12442">
        <v>48</v>
      </c>
    </row>
    <row r="12443" spans="1:22" customFormat="1" ht="15" x14ac:dyDescent="0.25">
      <c r="A12443" t="s">
        <v>234</v>
      </c>
      <c r="E12443" s="1561" t="s">
        <v>844</v>
      </c>
      <c r="F12443" s="1561"/>
      <c r="G12443" s="584" t="s">
        <v>845</v>
      </c>
      <c r="H12443" s="577">
        <v>4.1000000000000003E-3</v>
      </c>
      <c r="K12443" t="s">
        <v>947</v>
      </c>
      <c r="L12443" t="s">
        <v>968</v>
      </c>
      <c r="P12443" t="s">
        <v>969</v>
      </c>
      <c r="V12443">
        <v>55</v>
      </c>
    </row>
    <row r="12444" spans="1:22" customFormat="1" ht="15" x14ac:dyDescent="0.25">
      <c r="A12444" t="s">
        <v>234</v>
      </c>
      <c r="E12444" s="1561" t="s">
        <v>846</v>
      </c>
      <c r="F12444" s="1561"/>
      <c r="G12444" s="584" t="s">
        <v>845</v>
      </c>
      <c r="H12444" s="577">
        <v>4.0000000000000002E-4</v>
      </c>
      <c r="K12444" t="s">
        <v>947</v>
      </c>
      <c r="L12444" t="s">
        <v>968</v>
      </c>
      <c r="P12444" t="s">
        <v>969</v>
      </c>
      <c r="V12444">
        <v>65</v>
      </c>
    </row>
    <row r="12445" spans="1:22" customFormat="1" ht="15" x14ac:dyDescent="0.25">
      <c r="A12445" t="s">
        <v>234</v>
      </c>
      <c r="E12445" s="1561" t="s">
        <v>847</v>
      </c>
      <c r="F12445" s="1561"/>
      <c r="G12445" s="584" t="s">
        <v>845</v>
      </c>
      <c r="H12445" s="577">
        <v>1.5E-3</v>
      </c>
      <c r="K12445" t="s">
        <v>947</v>
      </c>
      <c r="L12445" t="s">
        <v>968</v>
      </c>
      <c r="P12445" t="s">
        <v>970</v>
      </c>
      <c r="V12445">
        <v>57</v>
      </c>
    </row>
    <row r="12446" spans="1:22" customFormat="1" ht="15" x14ac:dyDescent="0.25">
      <c r="A12446" t="s">
        <v>234</v>
      </c>
      <c r="E12446" s="1561" t="s">
        <v>848</v>
      </c>
      <c r="F12446" s="1561"/>
      <c r="G12446" s="584" t="s">
        <v>777</v>
      </c>
      <c r="H12446" s="576">
        <v>0.25</v>
      </c>
      <c r="K12446" t="s">
        <v>947</v>
      </c>
      <c r="L12446" t="s">
        <v>968</v>
      </c>
      <c r="P12446" t="s">
        <v>971</v>
      </c>
      <c r="V12446">
        <v>63</v>
      </c>
    </row>
    <row r="12447" spans="1:22" customFormat="1" x14ac:dyDescent="0.25">
      <c r="A12447" t="s">
        <v>234</v>
      </c>
      <c r="E12447" s="1492" t="s">
        <v>174</v>
      </c>
      <c r="F12447" s="1492"/>
      <c r="G12447" s="1492"/>
      <c r="H12447" s="1492"/>
      <c r="K12447" t="s">
        <v>972</v>
      </c>
      <c r="V12447">
        <v>54</v>
      </c>
    </row>
    <row r="12448" spans="1:22" customFormat="1" ht="15" x14ac:dyDescent="0.25">
      <c r="A12448" t="s">
        <v>234</v>
      </c>
      <c r="E12448" s="1516" t="s">
        <v>4688</v>
      </c>
      <c r="F12448" s="1516"/>
      <c r="G12448" s="1516"/>
      <c r="H12448" s="1516"/>
      <c r="K12448" t="s">
        <v>972</v>
      </c>
      <c r="V12448">
        <v>758</v>
      </c>
    </row>
    <row r="12449" spans="1:22" customFormat="1" ht="15" x14ac:dyDescent="0.25">
      <c r="A12449" t="s">
        <v>234</v>
      </c>
      <c r="E12449" s="1515" t="s">
        <v>950</v>
      </c>
      <c r="F12449" s="1549"/>
      <c r="G12449" s="1549"/>
      <c r="H12449" s="1549"/>
      <c r="K12449" t="s">
        <v>974</v>
      </c>
      <c r="V12449">
        <v>11</v>
      </c>
    </row>
    <row r="12450" spans="1:22" customFormat="1" ht="15" x14ac:dyDescent="0.25">
      <c r="A12450" t="s">
        <v>234</v>
      </c>
      <c r="E12450" s="1516" t="s">
        <v>951</v>
      </c>
      <c r="F12450" s="1516"/>
      <c r="G12450" s="1516"/>
      <c r="H12450" s="1516"/>
      <c r="K12450" t="s">
        <v>972</v>
      </c>
      <c r="V12450">
        <v>280</v>
      </c>
    </row>
    <row r="12451" spans="1:22" customFormat="1" ht="15" x14ac:dyDescent="0.25">
      <c r="A12451" t="s">
        <v>234</v>
      </c>
      <c r="E12451" s="1516" t="s">
        <v>952</v>
      </c>
      <c r="F12451" s="1516"/>
      <c r="G12451" s="1516"/>
      <c r="H12451" s="1516"/>
      <c r="K12451" t="s">
        <v>972</v>
      </c>
      <c r="V12451">
        <v>411</v>
      </c>
    </row>
    <row r="12452" spans="1:22" customFormat="1" ht="15" x14ac:dyDescent="0.25">
      <c r="A12452" t="s">
        <v>234</v>
      </c>
      <c r="E12452" s="1516" t="s">
        <v>953</v>
      </c>
      <c r="F12452" s="1516"/>
      <c r="G12452" s="1516"/>
      <c r="H12452" s="1516"/>
      <c r="K12452" t="s">
        <v>972</v>
      </c>
      <c r="V12452">
        <v>386</v>
      </c>
    </row>
    <row r="12453" spans="1:22" customFormat="1" ht="15" x14ac:dyDescent="0.25">
      <c r="A12453" t="s">
        <v>234</v>
      </c>
      <c r="E12453" s="1516" t="s">
        <v>954</v>
      </c>
      <c r="F12453" s="1516"/>
      <c r="G12453" s="1516"/>
      <c r="H12453" s="1516"/>
      <c r="K12453" t="s">
        <v>972</v>
      </c>
      <c r="V12453">
        <v>246</v>
      </c>
    </row>
    <row r="12454" spans="1:22" customFormat="1" ht="15" x14ac:dyDescent="0.25">
      <c r="A12454" t="s">
        <v>234</v>
      </c>
      <c r="E12454" s="1596" t="s">
        <v>956</v>
      </c>
      <c r="F12454" s="1714"/>
      <c r="G12454" s="1714"/>
      <c r="H12454" s="1714"/>
      <c r="K12454" t="s">
        <v>975</v>
      </c>
      <c r="V12454">
        <v>46</v>
      </c>
    </row>
    <row r="12455" spans="1:22" customFormat="1" ht="15" x14ac:dyDescent="0.25">
      <c r="A12455" t="s">
        <v>234</v>
      </c>
      <c r="E12455" s="1561" t="s">
        <v>3773</v>
      </c>
      <c r="F12455" s="1561"/>
      <c r="G12455" s="584" t="s">
        <v>777</v>
      </c>
      <c r="H12455" s="576">
        <v>36.86</v>
      </c>
      <c r="K12455" t="s">
        <v>972</v>
      </c>
      <c r="L12455" t="s">
        <v>690</v>
      </c>
      <c r="P12455" t="s">
        <v>976</v>
      </c>
      <c r="V12455">
        <v>14</v>
      </c>
    </row>
    <row r="12456" spans="1:22" customFormat="1" ht="15" x14ac:dyDescent="0.25">
      <c r="A12456" t="s">
        <v>234</v>
      </c>
      <c r="E12456" s="1561" t="s">
        <v>960</v>
      </c>
      <c r="F12456" s="1561"/>
      <c r="G12456" s="584" t="s">
        <v>777</v>
      </c>
      <c r="H12456" s="576">
        <v>0.42</v>
      </c>
      <c r="K12456" t="s">
        <v>972</v>
      </c>
      <c r="L12456" t="s">
        <v>692</v>
      </c>
      <c r="P12456" t="s">
        <v>977</v>
      </c>
      <c r="V12456">
        <v>64</v>
      </c>
    </row>
    <row r="12457" spans="1:22" customFormat="1" ht="15" x14ac:dyDescent="0.25">
      <c r="A12457" t="s">
        <v>234</v>
      </c>
      <c r="E12457" s="1561" t="s">
        <v>3688</v>
      </c>
      <c r="F12457" s="1561"/>
      <c r="G12457" s="584" t="s">
        <v>845</v>
      </c>
      <c r="H12457" s="577">
        <v>1.8599999999999998E-2</v>
      </c>
      <c r="K12457" t="s">
        <v>972</v>
      </c>
      <c r="L12457" t="s">
        <v>690</v>
      </c>
      <c r="P12457" t="s">
        <v>978</v>
      </c>
      <c r="V12457">
        <v>28</v>
      </c>
    </row>
    <row r="12458" spans="1:22" customFormat="1" ht="15" x14ac:dyDescent="0.25">
      <c r="A12458" t="s">
        <v>234</v>
      </c>
      <c r="E12458" s="1561" t="s">
        <v>910</v>
      </c>
      <c r="F12458" s="1561"/>
      <c r="G12458" s="584" t="s">
        <v>845</v>
      </c>
      <c r="H12458" s="577">
        <v>5.0000000000000001E-4</v>
      </c>
      <c r="K12458" t="s">
        <v>972</v>
      </c>
      <c r="L12458" t="s">
        <v>692</v>
      </c>
      <c r="P12458" t="s">
        <v>980</v>
      </c>
      <c r="V12458">
        <v>24</v>
      </c>
    </row>
    <row r="12459" spans="1:22" customFormat="1" ht="15" x14ac:dyDescent="0.25">
      <c r="A12459" t="s">
        <v>234</v>
      </c>
      <c r="E12459" s="1561" t="s">
        <v>5989</v>
      </c>
      <c r="F12459" s="1561"/>
      <c r="G12459" s="584" t="s">
        <v>845</v>
      </c>
      <c r="H12459" s="577">
        <v>-8.0000000000000004E-4</v>
      </c>
      <c r="K12459" t="s">
        <v>972</v>
      </c>
      <c r="L12459" t="s">
        <v>692</v>
      </c>
      <c r="P12459" t="s">
        <v>982</v>
      </c>
      <c r="T12459">
        <v>46022</v>
      </c>
      <c r="V12459">
        <v>92</v>
      </c>
    </row>
    <row r="12460" spans="1:22" customFormat="1" ht="15" x14ac:dyDescent="0.25">
      <c r="A12460" t="s">
        <v>234</v>
      </c>
      <c r="E12460" s="1561" t="s">
        <v>6871</v>
      </c>
      <c r="F12460" s="1561"/>
      <c r="G12460" s="584" t="s">
        <v>845</v>
      </c>
      <c r="H12460" s="577">
        <v>1E-4</v>
      </c>
      <c r="K12460" t="s">
        <v>972</v>
      </c>
      <c r="L12460" t="s">
        <v>692</v>
      </c>
      <c r="P12460" t="s">
        <v>3766</v>
      </c>
      <c r="T12460">
        <v>46022</v>
      </c>
      <c r="V12460">
        <v>135</v>
      </c>
    </row>
    <row r="12461" spans="1:22" customFormat="1" ht="15" x14ac:dyDescent="0.25">
      <c r="A12461" t="s">
        <v>234</v>
      </c>
      <c r="E12461" s="1561" t="s">
        <v>7084</v>
      </c>
      <c r="F12461" s="1561"/>
      <c r="G12461" s="584" t="s">
        <v>845</v>
      </c>
      <c r="H12461" s="577">
        <v>2.2000000000000001E-3</v>
      </c>
      <c r="K12461" t="s">
        <v>972</v>
      </c>
      <c r="L12461" t="s">
        <v>692</v>
      </c>
      <c r="P12461" t="s">
        <v>981</v>
      </c>
      <c r="T12461">
        <v>46022</v>
      </c>
      <c r="V12461">
        <v>136</v>
      </c>
    </row>
    <row r="12462" spans="1:22" customFormat="1" ht="15" x14ac:dyDescent="0.25">
      <c r="A12462" t="s">
        <v>234</v>
      </c>
      <c r="E12462" s="1561" t="s">
        <v>7083</v>
      </c>
      <c r="F12462" s="1561"/>
      <c r="G12462" s="584" t="s">
        <v>845</v>
      </c>
      <c r="H12462" s="577">
        <v>-1.2999999999999999E-3</v>
      </c>
      <c r="K12462" t="s">
        <v>972</v>
      </c>
      <c r="L12462" t="s">
        <v>690</v>
      </c>
      <c r="P12462" t="s">
        <v>7085</v>
      </c>
      <c r="T12462">
        <v>46022</v>
      </c>
      <c r="V12462">
        <v>67</v>
      </c>
    </row>
    <row r="12463" spans="1:22" customFormat="1" ht="15" x14ac:dyDescent="0.25">
      <c r="A12463" t="s">
        <v>234</v>
      </c>
      <c r="E12463" s="1561" t="s">
        <v>243</v>
      </c>
      <c r="F12463" s="1561"/>
      <c r="G12463" s="584" t="s">
        <v>845</v>
      </c>
      <c r="H12463" s="577">
        <v>1.0200000000000001E-2</v>
      </c>
      <c r="K12463" t="s">
        <v>972</v>
      </c>
      <c r="L12463" t="s">
        <v>694</v>
      </c>
      <c r="P12463" t="s">
        <v>983</v>
      </c>
      <c r="V12463">
        <v>47</v>
      </c>
    </row>
    <row r="12464" spans="1:22" customFormat="1" ht="15" x14ac:dyDescent="0.25">
      <c r="A12464" t="s">
        <v>234</v>
      </c>
      <c r="E12464" s="1561" t="s">
        <v>175</v>
      </c>
      <c r="F12464" s="1561"/>
      <c r="G12464" s="584" t="s">
        <v>845</v>
      </c>
      <c r="H12464" s="577">
        <v>6.0000000000000001E-3</v>
      </c>
      <c r="K12464" t="s">
        <v>972</v>
      </c>
      <c r="L12464" t="s">
        <v>694</v>
      </c>
      <c r="P12464" t="s">
        <v>984</v>
      </c>
      <c r="V12464">
        <v>74</v>
      </c>
    </row>
    <row r="12465" spans="1:22" customFormat="1" ht="15" x14ac:dyDescent="0.25">
      <c r="A12465" t="s">
        <v>234</v>
      </c>
      <c r="E12465" s="1596" t="s">
        <v>967</v>
      </c>
      <c r="F12465" s="1649"/>
      <c r="G12465" s="584"/>
      <c r="H12465" s="584"/>
      <c r="K12465" t="s">
        <v>985</v>
      </c>
      <c r="V12465">
        <v>48</v>
      </c>
    </row>
    <row r="12466" spans="1:22" customFormat="1" ht="15" x14ac:dyDescent="0.25">
      <c r="A12466" t="s">
        <v>234</v>
      </c>
      <c r="E12466" s="1561" t="s">
        <v>844</v>
      </c>
      <c r="F12466" s="1561"/>
      <c r="G12466" s="584" t="s">
        <v>845</v>
      </c>
      <c r="H12466" s="577">
        <v>4.1000000000000003E-3</v>
      </c>
      <c r="K12466" t="s">
        <v>972</v>
      </c>
      <c r="L12466" t="s">
        <v>968</v>
      </c>
      <c r="P12466" t="s">
        <v>986</v>
      </c>
      <c r="V12466">
        <v>55</v>
      </c>
    </row>
    <row r="12467" spans="1:22" customFormat="1" ht="15" x14ac:dyDescent="0.25">
      <c r="A12467" t="s">
        <v>234</v>
      </c>
      <c r="E12467" s="1561" t="s">
        <v>846</v>
      </c>
      <c r="F12467" s="1561"/>
      <c r="G12467" s="584" t="s">
        <v>845</v>
      </c>
      <c r="H12467" s="577">
        <v>4.0000000000000002E-4</v>
      </c>
      <c r="K12467" t="s">
        <v>972</v>
      </c>
      <c r="L12467" t="s">
        <v>968</v>
      </c>
      <c r="P12467" t="s">
        <v>986</v>
      </c>
      <c r="V12467">
        <v>65</v>
      </c>
    </row>
    <row r="12468" spans="1:22" customFormat="1" ht="15" x14ac:dyDescent="0.25">
      <c r="A12468" t="s">
        <v>234</v>
      </c>
      <c r="E12468" s="1561" t="s">
        <v>847</v>
      </c>
      <c r="F12468" s="1561"/>
      <c r="G12468" s="584" t="s">
        <v>845</v>
      </c>
      <c r="H12468" s="577">
        <v>1.5E-3</v>
      </c>
      <c r="K12468" t="s">
        <v>972</v>
      </c>
      <c r="L12468" t="s">
        <v>968</v>
      </c>
      <c r="P12468" t="s">
        <v>987</v>
      </c>
      <c r="V12468">
        <v>57</v>
      </c>
    </row>
    <row r="12469" spans="1:22" customFormat="1" ht="15" x14ac:dyDescent="0.25">
      <c r="A12469" t="s">
        <v>234</v>
      </c>
      <c r="E12469" s="1561" t="s">
        <v>848</v>
      </c>
      <c r="F12469" s="1561"/>
      <c r="G12469" s="584" t="s">
        <v>777</v>
      </c>
      <c r="H12469" s="576">
        <v>0.25</v>
      </c>
      <c r="K12469" t="s">
        <v>972</v>
      </c>
      <c r="L12469" t="s">
        <v>968</v>
      </c>
      <c r="P12469" t="s">
        <v>988</v>
      </c>
      <c r="V12469">
        <v>63</v>
      </c>
    </row>
    <row r="12470" spans="1:22" customFormat="1" x14ac:dyDescent="0.25">
      <c r="A12470" t="s">
        <v>234</v>
      </c>
      <c r="E12470" s="1492" t="s">
        <v>3767</v>
      </c>
      <c r="F12470" s="1492"/>
      <c r="G12470" s="1492"/>
      <c r="H12470" s="1492"/>
      <c r="K12470" t="s">
        <v>3768</v>
      </c>
      <c r="V12470">
        <v>53</v>
      </c>
    </row>
    <row r="12471" spans="1:22" customFormat="1" ht="15" x14ac:dyDescent="0.25">
      <c r="A12471" t="s">
        <v>234</v>
      </c>
      <c r="E12471" s="1516" t="s">
        <v>4689</v>
      </c>
      <c r="F12471" s="1516"/>
      <c r="G12471" s="1516"/>
      <c r="H12471" s="1516"/>
      <c r="K12471" t="s">
        <v>3768</v>
      </c>
      <c r="V12471">
        <v>564</v>
      </c>
    </row>
    <row r="12472" spans="1:22" customFormat="1" ht="15" x14ac:dyDescent="0.25">
      <c r="A12472" t="s">
        <v>234</v>
      </c>
      <c r="E12472" s="1515" t="s">
        <v>950</v>
      </c>
      <c r="F12472" s="1549"/>
      <c r="G12472" s="1549"/>
      <c r="H12472" s="1549"/>
      <c r="K12472" t="s">
        <v>992</v>
      </c>
      <c r="V12472">
        <v>11</v>
      </c>
    </row>
    <row r="12473" spans="1:22" customFormat="1" ht="15" x14ac:dyDescent="0.25">
      <c r="A12473" t="s">
        <v>234</v>
      </c>
      <c r="E12473" s="1516" t="s">
        <v>951</v>
      </c>
      <c r="F12473" s="1516"/>
      <c r="G12473" s="1516"/>
      <c r="H12473" s="1516"/>
      <c r="K12473" t="s">
        <v>3768</v>
      </c>
      <c r="V12473">
        <v>280</v>
      </c>
    </row>
    <row r="12474" spans="1:22" customFormat="1" ht="15" x14ac:dyDescent="0.25">
      <c r="A12474" t="s">
        <v>234</v>
      </c>
      <c r="E12474" s="1516" t="s">
        <v>952</v>
      </c>
      <c r="F12474" s="1516"/>
      <c r="G12474" s="1516"/>
      <c r="H12474" s="1516"/>
      <c r="K12474" t="s">
        <v>3768</v>
      </c>
      <c r="V12474">
        <v>411</v>
      </c>
    </row>
    <row r="12475" spans="1:22" customFormat="1" ht="15" x14ac:dyDescent="0.25">
      <c r="A12475" t="s">
        <v>234</v>
      </c>
      <c r="E12475" s="1516" t="s">
        <v>953</v>
      </c>
      <c r="F12475" s="1516"/>
      <c r="G12475" s="1516"/>
      <c r="H12475" s="1516"/>
      <c r="K12475" t="s">
        <v>3768</v>
      </c>
      <c r="V12475">
        <v>386</v>
      </c>
    </row>
    <row r="12476" spans="1:22" customFormat="1" ht="15" x14ac:dyDescent="0.25">
      <c r="A12476" t="s">
        <v>234</v>
      </c>
      <c r="E12476" s="1516" t="s">
        <v>3771</v>
      </c>
      <c r="F12476" s="1516"/>
      <c r="G12476" s="1516"/>
      <c r="H12476" s="1516"/>
      <c r="K12476" t="s">
        <v>3768</v>
      </c>
      <c r="V12476">
        <v>677</v>
      </c>
    </row>
    <row r="12477" spans="1:22" customFormat="1" ht="15" x14ac:dyDescent="0.25">
      <c r="A12477" t="s">
        <v>234</v>
      </c>
      <c r="E12477" s="1516" t="s">
        <v>3772</v>
      </c>
      <c r="F12477" s="1516"/>
      <c r="G12477" s="1516"/>
      <c r="H12477" s="1516"/>
      <c r="K12477" t="s">
        <v>3768</v>
      </c>
      <c r="V12477">
        <v>693</v>
      </c>
    </row>
    <row r="12478" spans="1:22" customFormat="1" ht="15" x14ac:dyDescent="0.25">
      <c r="A12478" t="s">
        <v>234</v>
      </c>
      <c r="E12478" s="1516" t="s">
        <v>954</v>
      </c>
      <c r="F12478" s="1516"/>
      <c r="G12478" s="1516"/>
      <c r="H12478" s="1516"/>
      <c r="K12478" t="s">
        <v>3768</v>
      </c>
      <c r="V12478">
        <v>246</v>
      </c>
    </row>
    <row r="12479" spans="1:22" customFormat="1" ht="15" x14ac:dyDescent="0.25">
      <c r="A12479" t="s">
        <v>234</v>
      </c>
      <c r="E12479" s="1596" t="s">
        <v>956</v>
      </c>
      <c r="F12479" s="1572"/>
      <c r="G12479" s="1572"/>
      <c r="H12479" s="1572"/>
      <c r="K12479" t="s">
        <v>995</v>
      </c>
      <c r="V12479">
        <v>46</v>
      </c>
    </row>
    <row r="12480" spans="1:22" customFormat="1" ht="15" x14ac:dyDescent="0.25">
      <c r="A12480" t="s">
        <v>234</v>
      </c>
      <c r="E12480" s="1561" t="s">
        <v>3773</v>
      </c>
      <c r="F12480" s="1561"/>
      <c r="G12480" s="584" t="s">
        <v>777</v>
      </c>
      <c r="H12480" s="576">
        <v>273.56</v>
      </c>
      <c r="K12480" t="s">
        <v>3768</v>
      </c>
      <c r="L12480" t="s">
        <v>690</v>
      </c>
      <c r="P12480" t="s">
        <v>3774</v>
      </c>
      <c r="V12480">
        <v>14</v>
      </c>
    </row>
    <row r="12481" spans="1:22" customFormat="1" ht="15" x14ac:dyDescent="0.25">
      <c r="A12481" t="s">
        <v>234</v>
      </c>
      <c r="E12481" s="1561" t="s">
        <v>3688</v>
      </c>
      <c r="F12481" s="1561"/>
      <c r="G12481" s="584" t="s">
        <v>3775</v>
      </c>
      <c r="H12481" s="577">
        <v>3.3247</v>
      </c>
      <c r="K12481" t="s">
        <v>3768</v>
      </c>
      <c r="L12481" t="s">
        <v>690</v>
      </c>
      <c r="P12481" t="s">
        <v>3776</v>
      </c>
      <c r="V12481">
        <v>28</v>
      </c>
    </row>
    <row r="12482" spans="1:22" customFormat="1" ht="15" x14ac:dyDescent="0.25">
      <c r="A12482" t="s">
        <v>234</v>
      </c>
      <c r="E12482" s="1561" t="s">
        <v>910</v>
      </c>
      <c r="F12482" s="1561"/>
      <c r="G12482" s="584" t="s">
        <v>3775</v>
      </c>
      <c r="H12482" s="577">
        <v>0.20430000000000001</v>
      </c>
      <c r="K12482" t="s">
        <v>3768</v>
      </c>
      <c r="L12482" t="s">
        <v>692</v>
      </c>
      <c r="P12482" t="s">
        <v>3777</v>
      </c>
      <c r="V12482">
        <v>24</v>
      </c>
    </row>
    <row r="12483" spans="1:22" customFormat="1" ht="15" x14ac:dyDescent="0.25">
      <c r="A12483" t="s">
        <v>234</v>
      </c>
      <c r="E12483" s="1561" t="s">
        <v>5989</v>
      </c>
      <c r="F12483" s="1561"/>
      <c r="G12483" s="584" t="s">
        <v>3775</v>
      </c>
      <c r="H12483" s="577">
        <v>0.68330000000000002</v>
      </c>
      <c r="K12483" t="s">
        <v>3768</v>
      </c>
      <c r="L12483" t="s">
        <v>692</v>
      </c>
      <c r="P12483" t="s">
        <v>3779</v>
      </c>
      <c r="T12483">
        <v>46022</v>
      </c>
      <c r="V12483">
        <v>92</v>
      </c>
    </row>
    <row r="12484" spans="1:22" customFormat="1" ht="15" x14ac:dyDescent="0.25">
      <c r="A12484" t="s">
        <v>234</v>
      </c>
      <c r="E12484" s="1561" t="s">
        <v>6873</v>
      </c>
      <c r="F12484" s="1561"/>
      <c r="G12484" s="584" t="s">
        <v>3775</v>
      </c>
      <c r="H12484" s="577">
        <v>-0.97540000000000004</v>
      </c>
      <c r="K12484" t="s">
        <v>3768</v>
      </c>
      <c r="L12484" t="s">
        <v>692</v>
      </c>
      <c r="P12484" t="s">
        <v>3779</v>
      </c>
      <c r="T12484">
        <v>46022</v>
      </c>
      <c r="V12484">
        <v>146</v>
      </c>
    </row>
    <row r="12485" spans="1:22" customFormat="1" ht="15" x14ac:dyDescent="0.25">
      <c r="A12485" t="s">
        <v>234</v>
      </c>
      <c r="E12485" s="1561" t="s">
        <v>6871</v>
      </c>
      <c r="F12485" s="1561"/>
      <c r="G12485" s="584" t="s">
        <v>3775</v>
      </c>
      <c r="H12485" s="577">
        <v>5.5100000000000003E-2</v>
      </c>
      <c r="K12485" t="s">
        <v>3768</v>
      </c>
      <c r="L12485" t="s">
        <v>692</v>
      </c>
      <c r="P12485" t="s">
        <v>3778</v>
      </c>
      <c r="T12485">
        <v>46022</v>
      </c>
      <c r="V12485">
        <v>135</v>
      </c>
    </row>
    <row r="12486" spans="1:22" customFormat="1" ht="15" x14ac:dyDescent="0.25">
      <c r="A12486" t="s">
        <v>234</v>
      </c>
      <c r="E12486" s="1561" t="s">
        <v>7084</v>
      </c>
      <c r="F12486" s="1561"/>
      <c r="G12486" s="584" t="s">
        <v>845</v>
      </c>
      <c r="H12486" s="577">
        <v>2.2000000000000001E-3</v>
      </c>
      <c r="K12486" t="s">
        <v>3768</v>
      </c>
      <c r="L12486" t="s">
        <v>692</v>
      </c>
      <c r="P12486" t="s">
        <v>4232</v>
      </c>
      <c r="T12486">
        <v>46022</v>
      </c>
      <c r="V12486">
        <v>136</v>
      </c>
    </row>
    <row r="12487" spans="1:22" customFormat="1" ht="15" x14ac:dyDescent="0.25">
      <c r="A12487" t="s">
        <v>234</v>
      </c>
      <c r="E12487" s="1561" t="s">
        <v>7083</v>
      </c>
      <c r="F12487" s="1561"/>
      <c r="G12487" s="584" t="s">
        <v>3775</v>
      </c>
      <c r="H12487" s="577">
        <v>-0.52900000000000003</v>
      </c>
      <c r="K12487" t="s">
        <v>3768</v>
      </c>
      <c r="L12487" t="s">
        <v>690</v>
      </c>
      <c r="P12487" t="s">
        <v>7086</v>
      </c>
      <c r="T12487">
        <v>46022</v>
      </c>
      <c r="V12487">
        <v>67</v>
      </c>
    </row>
    <row r="12488" spans="1:22" customFormat="1" ht="15" x14ac:dyDescent="0.25">
      <c r="A12488" t="s">
        <v>234</v>
      </c>
      <c r="E12488" s="1561" t="s">
        <v>251</v>
      </c>
      <c r="F12488" s="1561"/>
      <c r="G12488" s="584" t="s">
        <v>3775</v>
      </c>
      <c r="H12488" s="577">
        <v>4.6723999999999997</v>
      </c>
      <c r="K12488" t="s">
        <v>3768</v>
      </c>
      <c r="L12488" t="s">
        <v>694</v>
      </c>
      <c r="P12488" t="s">
        <v>3780</v>
      </c>
      <c r="V12488">
        <v>66</v>
      </c>
    </row>
    <row r="12489" spans="1:22" customFormat="1" ht="15" x14ac:dyDescent="0.25">
      <c r="A12489" t="s">
        <v>234</v>
      </c>
      <c r="E12489" s="1561" t="s">
        <v>7087</v>
      </c>
      <c r="F12489" s="1561"/>
      <c r="G12489" s="584" t="s">
        <v>3775</v>
      </c>
      <c r="H12489" s="577">
        <v>2.6939000000000002</v>
      </c>
      <c r="K12489" t="s">
        <v>3768</v>
      </c>
      <c r="L12489" t="s">
        <v>694</v>
      </c>
      <c r="P12489" t="s">
        <v>3781</v>
      </c>
      <c r="V12489">
        <v>123</v>
      </c>
    </row>
    <row r="12490" spans="1:22" customFormat="1" ht="15" x14ac:dyDescent="0.25">
      <c r="A12490" t="s">
        <v>234</v>
      </c>
      <c r="E12490" s="1596" t="s">
        <v>967</v>
      </c>
      <c r="F12490" s="1561"/>
      <c r="G12490" s="584"/>
      <c r="H12490" s="584"/>
      <c r="K12490" t="s">
        <v>1003</v>
      </c>
      <c r="V12490">
        <v>48</v>
      </c>
    </row>
    <row r="12491" spans="1:22" customFormat="1" ht="15" x14ac:dyDescent="0.25">
      <c r="A12491" t="s">
        <v>234</v>
      </c>
      <c r="E12491" s="1561" t="s">
        <v>844</v>
      </c>
      <c r="F12491" s="1561"/>
      <c r="G12491" s="584" t="s">
        <v>845</v>
      </c>
      <c r="H12491" s="577">
        <v>4.1000000000000003E-3</v>
      </c>
      <c r="K12491" t="s">
        <v>3768</v>
      </c>
      <c r="L12491" t="s">
        <v>968</v>
      </c>
      <c r="P12491" t="s">
        <v>3782</v>
      </c>
      <c r="V12491">
        <v>55</v>
      </c>
    </row>
    <row r="12492" spans="1:22" customFormat="1" ht="15" x14ac:dyDescent="0.25">
      <c r="A12492" t="s">
        <v>234</v>
      </c>
      <c r="E12492" s="1561" t="s">
        <v>846</v>
      </c>
      <c r="F12492" s="1561"/>
      <c r="G12492" s="584" t="s">
        <v>845</v>
      </c>
      <c r="H12492" s="577">
        <v>4.0000000000000002E-4</v>
      </c>
      <c r="K12492" t="s">
        <v>3768</v>
      </c>
      <c r="L12492" t="s">
        <v>968</v>
      </c>
      <c r="P12492" t="s">
        <v>3782</v>
      </c>
      <c r="V12492">
        <v>65</v>
      </c>
    </row>
    <row r="12493" spans="1:22" customFormat="1" ht="15" x14ac:dyDescent="0.25">
      <c r="A12493" t="s">
        <v>234</v>
      </c>
      <c r="E12493" s="1561" t="s">
        <v>847</v>
      </c>
      <c r="F12493" s="1561"/>
      <c r="G12493" s="584" t="s">
        <v>845</v>
      </c>
      <c r="H12493" s="577">
        <v>1.5E-3</v>
      </c>
      <c r="K12493" t="s">
        <v>3768</v>
      </c>
      <c r="L12493" t="s">
        <v>968</v>
      </c>
      <c r="P12493" t="s">
        <v>3783</v>
      </c>
      <c r="V12493">
        <v>57</v>
      </c>
    </row>
    <row r="12494" spans="1:22" customFormat="1" ht="15" x14ac:dyDescent="0.25">
      <c r="A12494" t="s">
        <v>234</v>
      </c>
      <c r="E12494" s="1561" t="s">
        <v>848</v>
      </c>
      <c r="F12494" s="1561"/>
      <c r="G12494" s="584" t="s">
        <v>777</v>
      </c>
      <c r="H12494" s="576">
        <v>0.25</v>
      </c>
      <c r="K12494" t="s">
        <v>3768</v>
      </c>
      <c r="L12494" t="s">
        <v>968</v>
      </c>
      <c r="P12494" t="s">
        <v>3784</v>
      </c>
      <c r="V12494">
        <v>63</v>
      </c>
    </row>
    <row r="12495" spans="1:22" customFormat="1" ht="15" x14ac:dyDescent="0.25">
      <c r="A12495" t="s">
        <v>234</v>
      </c>
      <c r="E12495" s="1561" t="s">
        <v>7088</v>
      </c>
      <c r="F12495" s="1561"/>
      <c r="G12495" s="1561"/>
      <c r="H12495" s="1561"/>
      <c r="K12495" t="s">
        <v>3768</v>
      </c>
      <c r="V12495">
        <v>737</v>
      </c>
    </row>
    <row r="12496" spans="1:22" customFormat="1" x14ac:dyDescent="0.25">
      <c r="A12496" t="s">
        <v>234</v>
      </c>
      <c r="E12496" s="1492" t="s">
        <v>189</v>
      </c>
      <c r="F12496" s="1493"/>
      <c r="G12496" s="1493"/>
      <c r="H12496" s="1493"/>
      <c r="K12496" t="s">
        <v>4234</v>
      </c>
      <c r="V12496">
        <v>32</v>
      </c>
    </row>
    <row r="12497" spans="1:22" customFormat="1" ht="15" x14ac:dyDescent="0.25">
      <c r="A12497" t="s">
        <v>234</v>
      </c>
      <c r="E12497" s="1516" t="s">
        <v>4690</v>
      </c>
      <c r="F12497" s="1516"/>
      <c r="G12497" s="1516"/>
      <c r="H12497" s="1516"/>
      <c r="K12497" t="s">
        <v>4234</v>
      </c>
      <c r="V12497">
        <v>551</v>
      </c>
    </row>
    <row r="12498" spans="1:22" customFormat="1" ht="15" x14ac:dyDescent="0.25">
      <c r="A12498" t="s">
        <v>234</v>
      </c>
      <c r="E12498" s="1515" t="s">
        <v>950</v>
      </c>
      <c r="F12498" s="1516"/>
      <c r="G12498" s="1516"/>
      <c r="H12498" s="1516"/>
      <c r="K12498" t="s">
        <v>1010</v>
      </c>
      <c r="V12498">
        <v>11</v>
      </c>
    </row>
    <row r="12499" spans="1:22" customFormat="1" ht="15" x14ac:dyDescent="0.25">
      <c r="A12499" t="s">
        <v>234</v>
      </c>
      <c r="E12499" s="1516" t="s">
        <v>951</v>
      </c>
      <c r="F12499" s="1516"/>
      <c r="G12499" s="1516"/>
      <c r="H12499" s="1516"/>
      <c r="K12499" t="s">
        <v>4234</v>
      </c>
      <c r="V12499">
        <v>280</v>
      </c>
    </row>
    <row r="12500" spans="1:22" customFormat="1" ht="15" x14ac:dyDescent="0.25">
      <c r="A12500" t="s">
        <v>234</v>
      </c>
      <c r="E12500" s="1516" t="s">
        <v>952</v>
      </c>
      <c r="F12500" s="1516"/>
      <c r="G12500" s="1516"/>
      <c r="H12500" s="1516"/>
      <c r="K12500" t="s">
        <v>4234</v>
      </c>
      <c r="V12500">
        <v>411</v>
      </c>
    </row>
    <row r="12501" spans="1:22" customFormat="1" ht="15" x14ac:dyDescent="0.25">
      <c r="A12501" t="s">
        <v>234</v>
      </c>
      <c r="E12501" s="1516" t="s">
        <v>953</v>
      </c>
      <c r="F12501" s="1516"/>
      <c r="G12501" s="1516"/>
      <c r="H12501" s="1516"/>
      <c r="K12501" t="s">
        <v>4234</v>
      </c>
      <c r="V12501">
        <v>386</v>
      </c>
    </row>
    <row r="12502" spans="1:22" customFormat="1" ht="15" x14ac:dyDescent="0.25">
      <c r="A12502" t="s">
        <v>234</v>
      </c>
      <c r="E12502" s="1516" t="s">
        <v>3771</v>
      </c>
      <c r="F12502" s="1516"/>
      <c r="G12502" s="1516"/>
      <c r="H12502" s="1516"/>
      <c r="K12502" t="s">
        <v>4234</v>
      </c>
      <c r="V12502">
        <v>677</v>
      </c>
    </row>
    <row r="12503" spans="1:22" customFormat="1" ht="15" x14ac:dyDescent="0.25">
      <c r="A12503" t="s">
        <v>234</v>
      </c>
      <c r="E12503" s="1516" t="s">
        <v>3772</v>
      </c>
      <c r="F12503" s="1516"/>
      <c r="G12503" s="1516"/>
      <c r="H12503" s="1516"/>
      <c r="K12503" t="s">
        <v>4234</v>
      </c>
      <c r="V12503">
        <v>693</v>
      </c>
    </row>
    <row r="12504" spans="1:22" customFormat="1" ht="15" x14ac:dyDescent="0.25">
      <c r="A12504" t="s">
        <v>234</v>
      </c>
      <c r="E12504" s="1516" t="s">
        <v>954</v>
      </c>
      <c r="F12504" s="1516"/>
      <c r="G12504" s="1516"/>
      <c r="H12504" s="1516"/>
      <c r="K12504" t="s">
        <v>4234</v>
      </c>
      <c r="V12504">
        <v>246</v>
      </c>
    </row>
    <row r="12505" spans="1:22" customFormat="1" ht="15" x14ac:dyDescent="0.25">
      <c r="A12505" t="s">
        <v>234</v>
      </c>
      <c r="E12505" s="1596" t="s">
        <v>956</v>
      </c>
      <c r="F12505" s="1572"/>
      <c r="G12505" s="1572"/>
      <c r="H12505" s="1572"/>
      <c r="K12505" t="s">
        <v>1011</v>
      </c>
      <c r="V12505">
        <v>46</v>
      </c>
    </row>
    <row r="12506" spans="1:22" customFormat="1" ht="15" x14ac:dyDescent="0.25">
      <c r="A12506" t="s">
        <v>234</v>
      </c>
      <c r="E12506" s="1561" t="s">
        <v>3773</v>
      </c>
      <c r="F12506" s="1561"/>
      <c r="G12506" s="584" t="s">
        <v>777</v>
      </c>
      <c r="H12506" s="576">
        <v>13084.05</v>
      </c>
      <c r="K12506" t="s">
        <v>4234</v>
      </c>
      <c r="L12506" t="s">
        <v>690</v>
      </c>
      <c r="P12506" t="s">
        <v>4236</v>
      </c>
      <c r="V12506">
        <v>14</v>
      </c>
    </row>
    <row r="12507" spans="1:22" customFormat="1" ht="15" x14ac:dyDescent="0.25">
      <c r="A12507" t="s">
        <v>234</v>
      </c>
      <c r="E12507" s="1561" t="s">
        <v>3688</v>
      </c>
      <c r="F12507" s="1561"/>
      <c r="G12507" s="584" t="s">
        <v>3775</v>
      </c>
      <c r="H12507" s="577">
        <v>1.8483000000000001</v>
      </c>
      <c r="K12507" t="s">
        <v>4234</v>
      </c>
      <c r="L12507" t="s">
        <v>690</v>
      </c>
      <c r="P12507" t="s">
        <v>4237</v>
      </c>
      <c r="V12507">
        <v>28</v>
      </c>
    </row>
    <row r="12508" spans="1:22" customFormat="1" ht="15" x14ac:dyDescent="0.25">
      <c r="A12508" t="s">
        <v>234</v>
      </c>
      <c r="E12508" s="1561" t="s">
        <v>910</v>
      </c>
      <c r="F12508" s="1561"/>
      <c r="G12508" s="584" t="s">
        <v>3775</v>
      </c>
      <c r="H12508" s="577">
        <v>0.2336</v>
      </c>
      <c r="K12508" t="s">
        <v>4234</v>
      </c>
      <c r="L12508" t="s">
        <v>692</v>
      </c>
      <c r="P12508" t="s">
        <v>4238</v>
      </c>
      <c r="V12508">
        <v>24</v>
      </c>
    </row>
    <row r="12509" spans="1:22" customFormat="1" ht="15" x14ac:dyDescent="0.25">
      <c r="A12509" t="s">
        <v>234</v>
      </c>
      <c r="E12509" s="1561" t="s">
        <v>5989</v>
      </c>
      <c r="F12509" s="1561"/>
      <c r="G12509" s="584" t="s">
        <v>3775</v>
      </c>
      <c r="H12509" s="577">
        <v>-0.39939999999999998</v>
      </c>
      <c r="K12509" t="s">
        <v>4234</v>
      </c>
      <c r="L12509" t="s">
        <v>692</v>
      </c>
      <c r="P12509" t="s">
        <v>4240</v>
      </c>
      <c r="T12509">
        <v>46022</v>
      </c>
      <c r="V12509">
        <v>92</v>
      </c>
    </row>
    <row r="12510" spans="1:22" customFormat="1" ht="15" x14ac:dyDescent="0.25">
      <c r="A12510" t="s">
        <v>234</v>
      </c>
      <c r="E12510" s="1561" t="s">
        <v>7083</v>
      </c>
      <c r="F12510" s="1561"/>
      <c r="G12510" s="584" t="s">
        <v>3775</v>
      </c>
      <c r="H12510" s="577">
        <v>-0.74919999999999998</v>
      </c>
      <c r="K12510" t="s">
        <v>4234</v>
      </c>
      <c r="L12510" t="s">
        <v>690</v>
      </c>
      <c r="P12510" t="s">
        <v>7089</v>
      </c>
      <c r="T12510">
        <v>46022</v>
      </c>
      <c r="V12510">
        <v>67</v>
      </c>
    </row>
    <row r="12511" spans="1:22" customFormat="1" ht="15" x14ac:dyDescent="0.25">
      <c r="A12511" t="s">
        <v>234</v>
      </c>
      <c r="E12511" s="1561" t="s">
        <v>251</v>
      </c>
      <c r="F12511" s="1561"/>
      <c r="G12511" s="584" t="s">
        <v>3775</v>
      </c>
      <c r="H12511" s="577">
        <v>5.1733000000000002</v>
      </c>
      <c r="K12511" t="s">
        <v>4234</v>
      </c>
      <c r="L12511" t="s">
        <v>694</v>
      </c>
      <c r="P12511" t="s">
        <v>4241</v>
      </c>
      <c r="V12511">
        <v>66</v>
      </c>
    </row>
    <row r="12512" spans="1:22" customFormat="1" ht="15" x14ac:dyDescent="0.25">
      <c r="A12512" t="s">
        <v>234</v>
      </c>
      <c r="E12512" s="1561" t="s">
        <v>7087</v>
      </c>
      <c r="F12512" s="1561"/>
      <c r="G12512" s="584" t="s">
        <v>3775</v>
      </c>
      <c r="H12512" s="577">
        <v>3.0804</v>
      </c>
      <c r="K12512" t="s">
        <v>4234</v>
      </c>
      <c r="L12512" t="s">
        <v>694</v>
      </c>
      <c r="P12512" t="s">
        <v>4242</v>
      </c>
      <c r="V12512">
        <v>123</v>
      </c>
    </row>
    <row r="12513" spans="1:22" customFormat="1" ht="15" x14ac:dyDescent="0.25">
      <c r="A12513" t="s">
        <v>234</v>
      </c>
      <c r="E12513" s="1596" t="s">
        <v>967</v>
      </c>
      <c r="F12513" s="1561"/>
      <c r="G12513" s="584"/>
      <c r="H12513" s="584"/>
      <c r="K12513" t="s">
        <v>1019</v>
      </c>
      <c r="V12513">
        <v>48</v>
      </c>
    </row>
    <row r="12514" spans="1:22" customFormat="1" ht="15" x14ac:dyDescent="0.25">
      <c r="A12514" t="s">
        <v>234</v>
      </c>
      <c r="E12514" s="1561" t="s">
        <v>844</v>
      </c>
      <c r="F12514" s="1561"/>
      <c r="G12514" s="584" t="s">
        <v>845</v>
      </c>
      <c r="H12514" s="577">
        <v>4.1000000000000003E-3</v>
      </c>
      <c r="K12514" t="s">
        <v>4234</v>
      </c>
      <c r="L12514" t="s">
        <v>968</v>
      </c>
      <c r="P12514" t="s">
        <v>4243</v>
      </c>
      <c r="V12514">
        <v>55</v>
      </c>
    </row>
    <row r="12515" spans="1:22" customFormat="1" ht="15" x14ac:dyDescent="0.25">
      <c r="A12515" t="s">
        <v>234</v>
      </c>
      <c r="E12515" s="1561" t="s">
        <v>846</v>
      </c>
      <c r="F12515" s="1561"/>
      <c r="G12515" s="584" t="s">
        <v>845</v>
      </c>
      <c r="H12515" s="577">
        <v>4.0000000000000002E-4</v>
      </c>
      <c r="K12515" t="s">
        <v>4234</v>
      </c>
      <c r="L12515" t="s">
        <v>968</v>
      </c>
      <c r="P12515" t="s">
        <v>4243</v>
      </c>
      <c r="V12515">
        <v>65</v>
      </c>
    </row>
    <row r="12516" spans="1:22" customFormat="1" ht="15" x14ac:dyDescent="0.25">
      <c r="A12516" t="s">
        <v>234</v>
      </c>
      <c r="E12516" s="1561" t="s">
        <v>847</v>
      </c>
      <c r="F12516" s="1561"/>
      <c r="G12516" s="584" t="s">
        <v>845</v>
      </c>
      <c r="H12516" s="577">
        <v>1.5E-3</v>
      </c>
      <c r="K12516" t="s">
        <v>4234</v>
      </c>
      <c r="L12516" t="s">
        <v>968</v>
      </c>
      <c r="P12516" t="s">
        <v>4244</v>
      </c>
      <c r="V12516">
        <v>57</v>
      </c>
    </row>
    <row r="12517" spans="1:22" customFormat="1" ht="15" x14ac:dyDescent="0.25">
      <c r="A12517" t="s">
        <v>234</v>
      </c>
      <c r="E12517" s="1561" t="s">
        <v>848</v>
      </c>
      <c r="F12517" s="1561"/>
      <c r="G12517" s="584" t="s">
        <v>777</v>
      </c>
      <c r="H12517" s="576">
        <v>0.25</v>
      </c>
      <c r="K12517" t="s">
        <v>4234</v>
      </c>
      <c r="L12517" t="s">
        <v>968</v>
      </c>
      <c r="P12517" t="s">
        <v>4245</v>
      </c>
      <c r="V12517">
        <v>63</v>
      </c>
    </row>
    <row r="12518" spans="1:22" customFormat="1" ht="15" x14ac:dyDescent="0.25">
      <c r="A12518" t="s">
        <v>234</v>
      </c>
      <c r="E12518" s="1507" t="s">
        <v>7088</v>
      </c>
      <c r="F12518" s="1507"/>
      <c r="G12518" s="1507"/>
      <c r="H12518" s="1507"/>
      <c r="K12518" t="s">
        <v>4234</v>
      </c>
      <c r="V12518">
        <v>737</v>
      </c>
    </row>
    <row r="12519" spans="1:22" customFormat="1" x14ac:dyDescent="0.25">
      <c r="A12519" t="s">
        <v>234</v>
      </c>
      <c r="E12519" s="1492" t="s">
        <v>194</v>
      </c>
      <c r="F12519" s="1493"/>
      <c r="G12519" s="1493"/>
      <c r="H12519" s="1493"/>
      <c r="K12519" t="s">
        <v>1023</v>
      </c>
      <c r="V12519">
        <v>47</v>
      </c>
    </row>
    <row r="12520" spans="1:22" customFormat="1" ht="15" x14ac:dyDescent="0.25">
      <c r="A12520" t="s">
        <v>234</v>
      </c>
      <c r="E12520" s="1516" t="s">
        <v>4692</v>
      </c>
      <c r="F12520" s="1516"/>
      <c r="G12520" s="1516"/>
      <c r="H12520" s="1516"/>
      <c r="K12520" t="s">
        <v>1023</v>
      </c>
      <c r="V12520">
        <v>719</v>
      </c>
    </row>
    <row r="12521" spans="1:22" customFormat="1" ht="15" x14ac:dyDescent="0.25">
      <c r="A12521" t="s">
        <v>234</v>
      </c>
      <c r="E12521" s="1515" t="s">
        <v>950</v>
      </c>
      <c r="F12521" s="1516"/>
      <c r="G12521" s="1516"/>
      <c r="H12521" s="1516"/>
      <c r="K12521" t="s">
        <v>1025</v>
      </c>
      <c r="V12521">
        <v>11</v>
      </c>
    </row>
    <row r="12522" spans="1:22" customFormat="1" ht="15" x14ac:dyDescent="0.25">
      <c r="A12522" t="s">
        <v>234</v>
      </c>
      <c r="E12522" s="1516" t="s">
        <v>951</v>
      </c>
      <c r="F12522" s="1516"/>
      <c r="G12522" s="1516"/>
      <c r="H12522" s="1516"/>
      <c r="K12522" t="s">
        <v>1023</v>
      </c>
      <c r="V12522">
        <v>280</v>
      </c>
    </row>
    <row r="12523" spans="1:22" customFormat="1" ht="15" x14ac:dyDescent="0.25">
      <c r="A12523" t="s">
        <v>234</v>
      </c>
      <c r="E12523" s="1516" t="s">
        <v>952</v>
      </c>
      <c r="F12523" s="1516"/>
      <c r="G12523" s="1516"/>
      <c r="H12523" s="1516"/>
      <c r="K12523" t="s">
        <v>1023</v>
      </c>
      <c r="V12523">
        <v>411</v>
      </c>
    </row>
    <row r="12524" spans="1:22" customFormat="1" ht="15" x14ac:dyDescent="0.25">
      <c r="A12524" t="s">
        <v>234</v>
      </c>
      <c r="E12524" s="1516" t="s">
        <v>953</v>
      </c>
      <c r="F12524" s="1516"/>
      <c r="G12524" s="1516"/>
      <c r="H12524" s="1516"/>
      <c r="K12524" t="s">
        <v>1023</v>
      </c>
      <c r="V12524">
        <v>386</v>
      </c>
    </row>
    <row r="12525" spans="1:22" customFormat="1" ht="15" x14ac:dyDescent="0.25">
      <c r="A12525" t="s">
        <v>234</v>
      </c>
      <c r="E12525" s="1516" t="s">
        <v>954</v>
      </c>
      <c r="F12525" s="1516"/>
      <c r="G12525" s="1516"/>
      <c r="H12525" s="1516"/>
      <c r="K12525" t="s">
        <v>1023</v>
      </c>
      <c r="V12525">
        <v>246</v>
      </c>
    </row>
    <row r="12526" spans="1:22" customFormat="1" ht="15" x14ac:dyDescent="0.25">
      <c r="A12526" t="s">
        <v>234</v>
      </c>
      <c r="E12526" s="1596" t="s">
        <v>956</v>
      </c>
      <c r="F12526" s="1572"/>
      <c r="G12526" s="1572"/>
      <c r="H12526" s="1572"/>
      <c r="K12526" t="s">
        <v>1026</v>
      </c>
      <c r="V12526">
        <v>46</v>
      </c>
    </row>
    <row r="12527" spans="1:22" customFormat="1" ht="15" x14ac:dyDescent="0.25">
      <c r="A12527" t="s">
        <v>234</v>
      </c>
      <c r="E12527" s="1561" t="s">
        <v>3874</v>
      </c>
      <c r="F12527" s="1561"/>
      <c r="G12527" s="584" t="s">
        <v>777</v>
      </c>
      <c r="H12527" s="576">
        <v>9.8000000000000007</v>
      </c>
      <c r="K12527" t="s">
        <v>1023</v>
      </c>
      <c r="L12527" t="s">
        <v>690</v>
      </c>
      <c r="P12527" t="s">
        <v>1027</v>
      </c>
      <c r="V12527">
        <v>31</v>
      </c>
    </row>
    <row r="12528" spans="1:22" customFormat="1" ht="15" x14ac:dyDescent="0.25">
      <c r="A12528" t="s">
        <v>234</v>
      </c>
      <c r="E12528" s="1561" t="s">
        <v>3688</v>
      </c>
      <c r="F12528" s="1561"/>
      <c r="G12528" s="584" t="s">
        <v>845</v>
      </c>
      <c r="H12528" s="577">
        <v>1.2800000000000001E-2</v>
      </c>
      <c r="K12528" t="s">
        <v>1023</v>
      </c>
      <c r="L12528" t="s">
        <v>690</v>
      </c>
      <c r="P12528" t="s">
        <v>1029</v>
      </c>
      <c r="V12528">
        <v>28</v>
      </c>
    </row>
    <row r="12529" spans="1:22" customFormat="1" ht="15" x14ac:dyDescent="0.25">
      <c r="A12529" t="s">
        <v>234</v>
      </c>
      <c r="E12529" s="1561" t="s">
        <v>910</v>
      </c>
      <c r="F12529" s="1561"/>
      <c r="G12529" s="584" t="s">
        <v>845</v>
      </c>
      <c r="H12529" s="577">
        <v>5.0000000000000001E-4</v>
      </c>
      <c r="K12529" t="s">
        <v>1023</v>
      </c>
      <c r="L12529" t="s">
        <v>692</v>
      </c>
      <c r="P12529" t="s">
        <v>1030</v>
      </c>
      <c r="V12529">
        <v>24</v>
      </c>
    </row>
    <row r="12530" spans="1:22" customFormat="1" ht="15" x14ac:dyDescent="0.25">
      <c r="A12530" t="s">
        <v>234</v>
      </c>
      <c r="E12530" s="1561" t="s">
        <v>5989</v>
      </c>
      <c r="F12530" s="1561"/>
      <c r="G12530" s="584" t="s">
        <v>845</v>
      </c>
      <c r="H12530" s="577">
        <v>-6.9999999999999999E-4</v>
      </c>
      <c r="K12530" t="s">
        <v>1023</v>
      </c>
      <c r="L12530" t="s">
        <v>692</v>
      </c>
      <c r="P12530" t="s">
        <v>1032</v>
      </c>
      <c r="T12530">
        <v>46022</v>
      </c>
      <c r="V12530">
        <v>92</v>
      </c>
    </row>
    <row r="12531" spans="1:22" customFormat="1" ht="15" x14ac:dyDescent="0.25">
      <c r="A12531" t="s">
        <v>234</v>
      </c>
      <c r="E12531" s="1561" t="s">
        <v>6871</v>
      </c>
      <c r="F12531" s="1561"/>
      <c r="G12531" s="584" t="s">
        <v>845</v>
      </c>
      <c r="H12531" s="577">
        <v>1E-4</v>
      </c>
      <c r="K12531" t="s">
        <v>1023</v>
      </c>
      <c r="L12531" t="s">
        <v>692</v>
      </c>
      <c r="P12531" t="s">
        <v>4520</v>
      </c>
      <c r="T12531">
        <v>46022</v>
      </c>
      <c r="V12531">
        <v>135</v>
      </c>
    </row>
    <row r="12532" spans="1:22" customFormat="1" ht="15" x14ac:dyDescent="0.25">
      <c r="A12532" t="s">
        <v>234</v>
      </c>
      <c r="E12532" s="1561" t="s">
        <v>7084</v>
      </c>
      <c r="F12532" s="1561"/>
      <c r="G12532" s="584" t="s">
        <v>845</v>
      </c>
      <c r="H12532" s="577">
        <v>2.2000000000000001E-3</v>
      </c>
      <c r="K12532" t="s">
        <v>1023</v>
      </c>
      <c r="L12532" t="s">
        <v>692</v>
      </c>
      <c r="P12532" t="s">
        <v>1031</v>
      </c>
      <c r="T12532">
        <v>46022</v>
      </c>
      <c r="V12532">
        <v>136</v>
      </c>
    </row>
    <row r="12533" spans="1:22" customFormat="1" ht="15" x14ac:dyDescent="0.25">
      <c r="A12533" t="s">
        <v>234</v>
      </c>
      <c r="E12533" s="1561" t="s">
        <v>7083</v>
      </c>
      <c r="F12533" s="1561"/>
      <c r="G12533" s="584" t="s">
        <v>845</v>
      </c>
      <c r="H12533" s="577">
        <v>-1.2999999999999999E-3</v>
      </c>
      <c r="K12533" t="s">
        <v>1023</v>
      </c>
      <c r="L12533" t="s">
        <v>690</v>
      </c>
      <c r="P12533" t="s">
        <v>7090</v>
      </c>
      <c r="T12533">
        <v>46022</v>
      </c>
      <c r="V12533">
        <v>67</v>
      </c>
    </row>
    <row r="12534" spans="1:22" customFormat="1" ht="15" x14ac:dyDescent="0.25">
      <c r="A12534" t="s">
        <v>234</v>
      </c>
      <c r="E12534" s="1561" t="s">
        <v>243</v>
      </c>
      <c r="F12534" s="1561"/>
      <c r="G12534" s="584" t="s">
        <v>845</v>
      </c>
      <c r="H12534" s="577">
        <v>1.0200000000000001E-2</v>
      </c>
      <c r="K12534" t="s">
        <v>1023</v>
      </c>
      <c r="L12534" t="s">
        <v>694</v>
      </c>
      <c r="P12534" t="s">
        <v>1033</v>
      </c>
      <c r="V12534">
        <v>47</v>
      </c>
    </row>
    <row r="12535" spans="1:22" customFormat="1" ht="15" x14ac:dyDescent="0.25">
      <c r="A12535" t="s">
        <v>234</v>
      </c>
      <c r="E12535" s="1561" t="s">
        <v>175</v>
      </c>
      <c r="F12535" s="1561"/>
      <c r="G12535" s="584" t="s">
        <v>845</v>
      </c>
      <c r="H12535" s="577">
        <v>6.0000000000000001E-3</v>
      </c>
      <c r="K12535" t="s">
        <v>1023</v>
      </c>
      <c r="L12535" t="s">
        <v>694</v>
      </c>
      <c r="P12535" t="s">
        <v>1034</v>
      </c>
      <c r="V12535">
        <v>74</v>
      </c>
    </row>
    <row r="12536" spans="1:22" customFormat="1" ht="15" x14ac:dyDescent="0.25">
      <c r="A12536" t="s">
        <v>234</v>
      </c>
      <c r="E12536" s="1596" t="s">
        <v>967</v>
      </c>
      <c r="F12536" s="1561"/>
      <c r="G12536" s="584"/>
      <c r="H12536" s="584"/>
      <c r="K12536" t="s">
        <v>1035</v>
      </c>
      <c r="V12536">
        <v>48</v>
      </c>
    </row>
    <row r="12537" spans="1:22" customFormat="1" ht="15" x14ac:dyDescent="0.25">
      <c r="A12537" t="s">
        <v>234</v>
      </c>
      <c r="E12537" s="1561" t="s">
        <v>844</v>
      </c>
      <c r="F12537" s="1561"/>
      <c r="G12537" s="584" t="s">
        <v>845</v>
      </c>
      <c r="H12537" s="577">
        <v>4.1000000000000003E-3</v>
      </c>
      <c r="K12537" t="s">
        <v>1023</v>
      </c>
      <c r="L12537" t="s">
        <v>968</v>
      </c>
      <c r="P12537" t="s">
        <v>1036</v>
      </c>
      <c r="V12537">
        <v>55</v>
      </c>
    </row>
    <row r="12538" spans="1:22" customFormat="1" ht="15" x14ac:dyDescent="0.25">
      <c r="A12538" t="s">
        <v>234</v>
      </c>
      <c r="E12538" s="1561" t="s">
        <v>846</v>
      </c>
      <c r="F12538" s="1561"/>
      <c r="G12538" s="584" t="s">
        <v>845</v>
      </c>
      <c r="H12538" s="577">
        <v>4.0000000000000002E-4</v>
      </c>
      <c r="K12538" t="s">
        <v>1023</v>
      </c>
      <c r="L12538" t="s">
        <v>968</v>
      </c>
      <c r="P12538" t="s">
        <v>1036</v>
      </c>
      <c r="V12538">
        <v>65</v>
      </c>
    </row>
    <row r="12539" spans="1:22" customFormat="1" ht="15" x14ac:dyDescent="0.25">
      <c r="A12539" t="s">
        <v>234</v>
      </c>
      <c r="E12539" s="1561" t="s">
        <v>847</v>
      </c>
      <c r="F12539" s="1561"/>
      <c r="G12539" s="584" t="s">
        <v>845</v>
      </c>
      <c r="H12539" s="577">
        <v>1.5E-3</v>
      </c>
      <c r="K12539" t="s">
        <v>1023</v>
      </c>
      <c r="L12539" t="s">
        <v>968</v>
      </c>
      <c r="P12539" t="s">
        <v>1037</v>
      </c>
      <c r="V12539">
        <v>57</v>
      </c>
    </row>
    <row r="12540" spans="1:22" customFormat="1" ht="15" x14ac:dyDescent="0.25">
      <c r="A12540" t="s">
        <v>234</v>
      </c>
      <c r="E12540" s="1561" t="s">
        <v>848</v>
      </c>
      <c r="F12540" s="1561"/>
      <c r="G12540" s="584" t="s">
        <v>777</v>
      </c>
      <c r="H12540" s="576">
        <v>0.25</v>
      </c>
      <c r="K12540" t="s">
        <v>1023</v>
      </c>
      <c r="L12540" t="s">
        <v>968</v>
      </c>
      <c r="P12540" t="s">
        <v>1038</v>
      </c>
      <c r="V12540">
        <v>63</v>
      </c>
    </row>
    <row r="12541" spans="1:22" customFormat="1" x14ac:dyDescent="0.25">
      <c r="A12541" t="s">
        <v>234</v>
      </c>
      <c r="E12541" s="1492" t="s">
        <v>198</v>
      </c>
      <c r="F12541" s="1493"/>
      <c r="G12541" s="1493"/>
      <c r="H12541" s="1493"/>
      <c r="K12541" t="s">
        <v>1039</v>
      </c>
      <c r="V12541">
        <v>40</v>
      </c>
    </row>
    <row r="12542" spans="1:22" customFormat="1" ht="15" x14ac:dyDescent="0.25">
      <c r="A12542" t="s">
        <v>234</v>
      </c>
      <c r="E12542" s="1516" t="s">
        <v>4693</v>
      </c>
      <c r="F12542" s="1516"/>
      <c r="G12542" s="1516"/>
      <c r="H12542" s="1516"/>
      <c r="K12542" t="s">
        <v>1039</v>
      </c>
      <c r="V12542">
        <v>253</v>
      </c>
    </row>
    <row r="12543" spans="1:22" customFormat="1" ht="15" x14ac:dyDescent="0.25">
      <c r="A12543" t="s">
        <v>234</v>
      </c>
      <c r="E12543" s="1515" t="s">
        <v>950</v>
      </c>
      <c r="F12543" s="1516"/>
      <c r="G12543" s="1516"/>
      <c r="H12543" s="1516"/>
      <c r="K12543" t="s">
        <v>1041</v>
      </c>
      <c r="V12543">
        <v>11</v>
      </c>
    </row>
    <row r="12544" spans="1:22" customFormat="1" ht="15" x14ac:dyDescent="0.25">
      <c r="A12544" t="s">
        <v>234</v>
      </c>
      <c r="E12544" s="1516" t="s">
        <v>951</v>
      </c>
      <c r="F12544" s="1516"/>
      <c r="G12544" s="1516"/>
      <c r="H12544" s="1516"/>
      <c r="K12544" t="s">
        <v>1039</v>
      </c>
      <c r="V12544">
        <v>280</v>
      </c>
    </row>
    <row r="12545" spans="1:22" customFormat="1" ht="15" x14ac:dyDescent="0.25">
      <c r="A12545" t="s">
        <v>234</v>
      </c>
      <c r="E12545" s="1516" t="s">
        <v>952</v>
      </c>
      <c r="F12545" s="1516"/>
      <c r="G12545" s="1516"/>
      <c r="H12545" s="1516"/>
      <c r="K12545" t="s">
        <v>1039</v>
      </c>
      <c r="V12545">
        <v>411</v>
      </c>
    </row>
    <row r="12546" spans="1:22" customFormat="1" ht="15" x14ac:dyDescent="0.25">
      <c r="A12546" t="s">
        <v>234</v>
      </c>
      <c r="E12546" s="1516" t="s">
        <v>953</v>
      </c>
      <c r="F12546" s="1516"/>
      <c r="G12546" s="1516"/>
      <c r="H12546" s="1516"/>
      <c r="K12546" t="s">
        <v>1039</v>
      </c>
      <c r="V12546">
        <v>386</v>
      </c>
    </row>
    <row r="12547" spans="1:22" customFormat="1" ht="15" x14ac:dyDescent="0.25">
      <c r="A12547" t="s">
        <v>234</v>
      </c>
      <c r="E12547" s="1516" t="s">
        <v>954</v>
      </c>
      <c r="F12547" s="1516"/>
      <c r="G12547" s="1516"/>
      <c r="H12547" s="1516"/>
      <c r="K12547" t="s">
        <v>1039</v>
      </c>
      <c r="V12547">
        <v>246</v>
      </c>
    </row>
    <row r="12548" spans="1:22" customFormat="1" ht="15" x14ac:dyDescent="0.25">
      <c r="A12548" t="s">
        <v>234</v>
      </c>
      <c r="E12548" s="1596" t="s">
        <v>956</v>
      </c>
      <c r="F12548" s="1572"/>
      <c r="G12548" s="1572"/>
      <c r="H12548" s="1572"/>
      <c r="K12548" t="s">
        <v>1042</v>
      </c>
      <c r="V12548">
        <v>46</v>
      </c>
    </row>
    <row r="12549" spans="1:22" customFormat="1" ht="15" x14ac:dyDescent="0.25">
      <c r="A12549" t="s">
        <v>234</v>
      </c>
      <c r="E12549" s="1561" t="s">
        <v>3874</v>
      </c>
      <c r="F12549" s="1561"/>
      <c r="G12549" s="584" t="s">
        <v>777</v>
      </c>
      <c r="H12549" s="576">
        <v>3.44</v>
      </c>
      <c r="K12549" t="s">
        <v>1039</v>
      </c>
      <c r="L12549" t="s">
        <v>690</v>
      </c>
      <c r="P12549" t="s">
        <v>1043</v>
      </c>
      <c r="V12549">
        <v>31</v>
      </c>
    </row>
    <row r="12550" spans="1:22" customFormat="1" ht="15" x14ac:dyDescent="0.25">
      <c r="A12550" t="s">
        <v>234</v>
      </c>
      <c r="E12550" s="1561" t="s">
        <v>3688</v>
      </c>
      <c r="F12550" s="1561"/>
      <c r="G12550" s="584" t="s">
        <v>3775</v>
      </c>
      <c r="H12550" s="577">
        <v>18.3245</v>
      </c>
      <c r="K12550" t="s">
        <v>1039</v>
      </c>
      <c r="L12550" t="s">
        <v>690</v>
      </c>
      <c r="P12550" t="s">
        <v>1044</v>
      </c>
      <c r="V12550">
        <v>28</v>
      </c>
    </row>
    <row r="12551" spans="1:22" customFormat="1" ht="15" x14ac:dyDescent="0.25">
      <c r="A12551" t="s">
        <v>234</v>
      </c>
      <c r="E12551" s="1561" t="s">
        <v>910</v>
      </c>
      <c r="F12551" s="1561"/>
      <c r="G12551" s="584" t="s">
        <v>3775</v>
      </c>
      <c r="H12551" s="577">
        <v>0.14710000000000001</v>
      </c>
      <c r="K12551" t="s">
        <v>1039</v>
      </c>
      <c r="L12551" t="s">
        <v>692</v>
      </c>
      <c r="P12551" t="s">
        <v>1045</v>
      </c>
      <c r="V12551">
        <v>24</v>
      </c>
    </row>
    <row r="12552" spans="1:22" customFormat="1" ht="15" x14ac:dyDescent="0.25">
      <c r="A12552" t="s">
        <v>234</v>
      </c>
      <c r="E12552" s="1561" t="s">
        <v>5989</v>
      </c>
      <c r="F12552" s="1561"/>
      <c r="G12552" s="584" t="s">
        <v>3775</v>
      </c>
      <c r="H12552" s="577">
        <v>-0.25480000000000003</v>
      </c>
      <c r="K12552" t="s">
        <v>1039</v>
      </c>
      <c r="L12552" t="s">
        <v>692</v>
      </c>
      <c r="P12552" t="s">
        <v>1046</v>
      </c>
      <c r="T12552">
        <v>46022</v>
      </c>
      <c r="V12552">
        <v>92</v>
      </c>
    </row>
    <row r="12553" spans="1:22" customFormat="1" ht="15" x14ac:dyDescent="0.25">
      <c r="A12553" t="s">
        <v>234</v>
      </c>
      <c r="E12553" s="1561" t="s">
        <v>6871</v>
      </c>
      <c r="F12553" s="1561"/>
      <c r="G12553" s="584" t="s">
        <v>3775</v>
      </c>
      <c r="H12553" s="577">
        <v>5.3100000000000001E-2</v>
      </c>
      <c r="K12553" t="s">
        <v>1039</v>
      </c>
      <c r="L12553" t="s">
        <v>692</v>
      </c>
      <c r="P12553" t="s">
        <v>4523</v>
      </c>
      <c r="T12553">
        <v>46022</v>
      </c>
      <c r="V12553">
        <v>135</v>
      </c>
    </row>
    <row r="12554" spans="1:22" customFormat="1" ht="15" x14ac:dyDescent="0.25">
      <c r="A12554" t="s">
        <v>234</v>
      </c>
      <c r="E12554" s="1561" t="s">
        <v>7083</v>
      </c>
      <c r="F12554" s="1561"/>
      <c r="G12554" s="584" t="s">
        <v>3775</v>
      </c>
      <c r="H12554" s="577">
        <v>-0.47889999999999999</v>
      </c>
      <c r="K12554" t="s">
        <v>1039</v>
      </c>
      <c r="L12554" t="s">
        <v>690</v>
      </c>
      <c r="P12554" t="s">
        <v>7091</v>
      </c>
      <c r="T12554">
        <v>46022</v>
      </c>
      <c r="V12554">
        <v>67</v>
      </c>
    </row>
    <row r="12555" spans="1:22" customFormat="1" ht="15" x14ac:dyDescent="0.25">
      <c r="A12555" t="s">
        <v>234</v>
      </c>
      <c r="E12555" s="1561" t="s">
        <v>243</v>
      </c>
      <c r="F12555" s="1561"/>
      <c r="G12555" s="584" t="s">
        <v>3775</v>
      </c>
      <c r="H12555" s="577">
        <v>3.3344999999999998</v>
      </c>
      <c r="K12555" t="s">
        <v>1039</v>
      </c>
      <c r="L12555" t="s">
        <v>694</v>
      </c>
      <c r="P12555" t="s">
        <v>1047</v>
      </c>
      <c r="V12555">
        <v>47</v>
      </c>
    </row>
    <row r="12556" spans="1:22" customFormat="1" ht="15" x14ac:dyDescent="0.25">
      <c r="A12556" t="s">
        <v>234</v>
      </c>
      <c r="E12556" s="1561" t="s">
        <v>175</v>
      </c>
      <c r="F12556" s="1561"/>
      <c r="G12556" s="584" t="s">
        <v>3775</v>
      </c>
      <c r="H12556" s="577">
        <v>1.9395</v>
      </c>
      <c r="K12556" t="s">
        <v>1039</v>
      </c>
      <c r="L12556" t="s">
        <v>694</v>
      </c>
      <c r="P12556" t="s">
        <v>1048</v>
      </c>
      <c r="V12556">
        <v>74</v>
      </c>
    </row>
    <row r="12557" spans="1:22" customFormat="1" ht="15" x14ac:dyDescent="0.25">
      <c r="A12557" t="s">
        <v>234</v>
      </c>
      <c r="E12557" s="1596" t="s">
        <v>967</v>
      </c>
      <c r="F12557" s="1561"/>
      <c r="G12557" s="584"/>
      <c r="H12557" s="584"/>
      <c r="K12557" t="s">
        <v>1049</v>
      </c>
      <c r="V12557">
        <v>48</v>
      </c>
    </row>
    <row r="12558" spans="1:22" customFormat="1" ht="15" x14ac:dyDescent="0.25">
      <c r="A12558" t="s">
        <v>234</v>
      </c>
      <c r="E12558" s="1561" t="s">
        <v>844</v>
      </c>
      <c r="F12558" s="1561"/>
      <c r="G12558" s="584" t="s">
        <v>845</v>
      </c>
      <c r="H12558" s="577">
        <v>4.1000000000000003E-3</v>
      </c>
      <c r="K12558" t="s">
        <v>1039</v>
      </c>
      <c r="L12558" t="s">
        <v>968</v>
      </c>
      <c r="P12558" t="s">
        <v>1050</v>
      </c>
      <c r="V12558">
        <v>55</v>
      </c>
    </row>
    <row r="12559" spans="1:22" customFormat="1" ht="15" x14ac:dyDescent="0.25">
      <c r="A12559" t="s">
        <v>234</v>
      </c>
      <c r="E12559" s="1561" t="s">
        <v>846</v>
      </c>
      <c r="F12559" s="1561"/>
      <c r="G12559" s="584" t="s">
        <v>845</v>
      </c>
      <c r="H12559" s="577">
        <v>4.0000000000000002E-4</v>
      </c>
      <c r="K12559" t="s">
        <v>1039</v>
      </c>
      <c r="L12559" t="s">
        <v>968</v>
      </c>
      <c r="P12559" t="s">
        <v>1050</v>
      </c>
      <c r="V12559">
        <v>65</v>
      </c>
    </row>
    <row r="12560" spans="1:22" customFormat="1" ht="15" x14ac:dyDescent="0.25">
      <c r="A12560" t="s">
        <v>234</v>
      </c>
      <c r="E12560" s="1561" t="s">
        <v>847</v>
      </c>
      <c r="F12560" s="1561"/>
      <c r="G12560" s="584" t="s">
        <v>845</v>
      </c>
      <c r="H12560" s="577">
        <v>1.5E-3</v>
      </c>
      <c r="K12560" t="s">
        <v>1039</v>
      </c>
      <c r="L12560" t="s">
        <v>968</v>
      </c>
      <c r="P12560" t="s">
        <v>1051</v>
      </c>
      <c r="V12560">
        <v>57</v>
      </c>
    </row>
    <row r="12561" spans="1:22" customFormat="1" ht="15" x14ac:dyDescent="0.25">
      <c r="A12561" t="s">
        <v>234</v>
      </c>
      <c r="E12561" s="1561" t="s">
        <v>848</v>
      </c>
      <c r="F12561" s="1561"/>
      <c r="G12561" s="584" t="s">
        <v>777</v>
      </c>
      <c r="H12561" s="576">
        <v>0.25</v>
      </c>
      <c r="K12561" t="s">
        <v>1039</v>
      </c>
      <c r="L12561" t="s">
        <v>968</v>
      </c>
      <c r="P12561" t="s">
        <v>1052</v>
      </c>
      <c r="V12561">
        <v>63</v>
      </c>
    </row>
    <row r="12562" spans="1:22" customFormat="1" x14ac:dyDescent="0.25">
      <c r="A12562" t="s">
        <v>234</v>
      </c>
      <c r="E12562" s="1492" t="s">
        <v>202</v>
      </c>
      <c r="F12562" s="1493"/>
      <c r="G12562" s="1493"/>
      <c r="H12562" s="1493"/>
      <c r="K12562" t="s">
        <v>1053</v>
      </c>
      <c r="V12562">
        <v>38</v>
      </c>
    </row>
    <row r="12563" spans="1:22" customFormat="1" ht="15" x14ac:dyDescent="0.25">
      <c r="A12563" t="s">
        <v>234</v>
      </c>
      <c r="E12563" s="1516" t="s">
        <v>4694</v>
      </c>
      <c r="F12563" s="1516"/>
      <c r="G12563" s="1516"/>
      <c r="H12563" s="1516"/>
      <c r="K12563" t="s">
        <v>1053</v>
      </c>
      <c r="V12563">
        <v>878</v>
      </c>
    </row>
    <row r="12564" spans="1:22" customFormat="1" ht="15" x14ac:dyDescent="0.25">
      <c r="A12564" t="s">
        <v>234</v>
      </c>
      <c r="E12564" s="1515" t="s">
        <v>950</v>
      </c>
      <c r="F12564" s="1516"/>
      <c r="G12564" s="1516"/>
      <c r="H12564" s="1516"/>
      <c r="K12564" t="s">
        <v>1055</v>
      </c>
      <c r="V12564">
        <v>11</v>
      </c>
    </row>
    <row r="12565" spans="1:22" customFormat="1" ht="15" x14ac:dyDescent="0.25">
      <c r="A12565" t="s">
        <v>234</v>
      </c>
      <c r="E12565" s="1516" t="s">
        <v>951</v>
      </c>
      <c r="F12565" s="1516"/>
      <c r="G12565" s="1516"/>
      <c r="H12565" s="1516"/>
      <c r="K12565" t="s">
        <v>1053</v>
      </c>
      <c r="V12565">
        <v>280</v>
      </c>
    </row>
    <row r="12566" spans="1:22" customFormat="1" ht="15" x14ac:dyDescent="0.25">
      <c r="A12566" t="s">
        <v>234</v>
      </c>
      <c r="E12566" s="1516" t="s">
        <v>952</v>
      </c>
      <c r="F12566" s="1516"/>
      <c r="G12566" s="1516"/>
      <c r="H12566" s="1516"/>
      <c r="K12566" t="s">
        <v>1053</v>
      </c>
      <c r="V12566">
        <v>411</v>
      </c>
    </row>
    <row r="12567" spans="1:22" customFormat="1" ht="15" x14ac:dyDescent="0.25">
      <c r="A12567" t="s">
        <v>234</v>
      </c>
      <c r="E12567" s="1516" t="s">
        <v>953</v>
      </c>
      <c r="F12567" s="1516"/>
      <c r="G12567" s="1516"/>
      <c r="H12567" s="1516"/>
      <c r="K12567" t="s">
        <v>1053</v>
      </c>
      <c r="V12567">
        <v>386</v>
      </c>
    </row>
    <row r="12568" spans="1:22" customFormat="1" ht="15" x14ac:dyDescent="0.25">
      <c r="A12568" t="s">
        <v>234</v>
      </c>
      <c r="E12568" s="1516" t="s">
        <v>954</v>
      </c>
      <c r="F12568" s="1516"/>
      <c r="G12568" s="1516"/>
      <c r="H12568" s="1516"/>
      <c r="K12568" t="s">
        <v>1053</v>
      </c>
      <c r="V12568">
        <v>246</v>
      </c>
    </row>
    <row r="12569" spans="1:22" customFormat="1" ht="15" x14ac:dyDescent="0.25">
      <c r="A12569" t="s">
        <v>234</v>
      </c>
      <c r="E12569" s="1596" t="s">
        <v>956</v>
      </c>
      <c r="F12569" s="1572"/>
      <c r="G12569" s="1572"/>
      <c r="H12569" s="1572"/>
      <c r="K12569" t="s">
        <v>1056</v>
      </c>
      <c r="V12569">
        <v>46</v>
      </c>
    </row>
    <row r="12570" spans="1:22" customFormat="1" ht="15" x14ac:dyDescent="0.25">
      <c r="A12570" t="s">
        <v>234</v>
      </c>
      <c r="E12570" s="1561" t="s">
        <v>4695</v>
      </c>
      <c r="F12570" s="1561"/>
      <c r="G12570" s="584" t="s">
        <v>777</v>
      </c>
      <c r="H12570" s="576">
        <v>1.93</v>
      </c>
      <c r="K12570" t="s">
        <v>1053</v>
      </c>
      <c r="L12570" t="s">
        <v>690</v>
      </c>
      <c r="P12570" t="s">
        <v>1057</v>
      </c>
      <c r="V12570">
        <v>26</v>
      </c>
    </row>
    <row r="12571" spans="1:22" customFormat="1" ht="15" x14ac:dyDescent="0.25">
      <c r="A12571" t="s">
        <v>234</v>
      </c>
      <c r="E12571" s="1561" t="s">
        <v>3688</v>
      </c>
      <c r="F12571" s="1561"/>
      <c r="G12571" s="584" t="s">
        <v>3775</v>
      </c>
      <c r="H12571" s="577">
        <v>5.7557</v>
      </c>
      <c r="K12571" t="s">
        <v>1053</v>
      </c>
      <c r="L12571" t="s">
        <v>690</v>
      </c>
      <c r="P12571" t="s">
        <v>1059</v>
      </c>
      <c r="V12571">
        <v>28</v>
      </c>
    </row>
    <row r="12572" spans="1:22" customFormat="1" ht="15" x14ac:dyDescent="0.25">
      <c r="A12572" t="s">
        <v>234</v>
      </c>
      <c r="E12572" s="1561" t="s">
        <v>910</v>
      </c>
      <c r="F12572" s="1561"/>
      <c r="G12572" s="584" t="s">
        <v>3775</v>
      </c>
      <c r="H12572" s="577">
        <v>0.14399999999999999</v>
      </c>
      <c r="K12572" t="s">
        <v>1053</v>
      </c>
      <c r="L12572" t="s">
        <v>692</v>
      </c>
      <c r="P12572" t="s">
        <v>1060</v>
      </c>
      <c r="V12572">
        <v>24</v>
      </c>
    </row>
    <row r="12573" spans="1:22" customFormat="1" ht="15" x14ac:dyDescent="0.25">
      <c r="A12573" t="s">
        <v>234</v>
      </c>
      <c r="E12573" s="1561" t="s">
        <v>5989</v>
      </c>
      <c r="F12573" s="1561"/>
      <c r="G12573" s="584" t="s">
        <v>3775</v>
      </c>
      <c r="H12573" s="577">
        <v>-0.27850000000000003</v>
      </c>
      <c r="K12573" t="s">
        <v>1053</v>
      </c>
      <c r="L12573" t="s">
        <v>692</v>
      </c>
      <c r="P12573" t="s">
        <v>1062</v>
      </c>
      <c r="T12573">
        <v>46022</v>
      </c>
      <c r="V12573">
        <v>92</v>
      </c>
    </row>
    <row r="12574" spans="1:22" customFormat="1" ht="15" x14ac:dyDescent="0.25">
      <c r="A12574" t="s">
        <v>234</v>
      </c>
      <c r="E12574" s="1561" t="s">
        <v>6871</v>
      </c>
      <c r="F12574" s="1561"/>
      <c r="G12574" s="584" t="s">
        <v>3775</v>
      </c>
      <c r="H12574" s="577">
        <v>5.8000000000000003E-2</v>
      </c>
      <c r="K12574" t="s">
        <v>1053</v>
      </c>
      <c r="L12574" t="s">
        <v>692</v>
      </c>
      <c r="P12574" t="s">
        <v>3997</v>
      </c>
      <c r="T12574">
        <v>46022</v>
      </c>
      <c r="V12574">
        <v>135</v>
      </c>
    </row>
    <row r="12575" spans="1:22" customFormat="1" ht="15" x14ac:dyDescent="0.25">
      <c r="A12575" t="s">
        <v>234</v>
      </c>
      <c r="E12575" s="1561" t="s">
        <v>7084</v>
      </c>
      <c r="F12575" s="1561"/>
      <c r="G12575" s="584" t="s">
        <v>845</v>
      </c>
      <c r="H12575" s="577">
        <v>2.2000000000000001E-3</v>
      </c>
      <c r="K12575" t="s">
        <v>1053</v>
      </c>
      <c r="L12575" t="s">
        <v>692</v>
      </c>
      <c r="P12575" t="s">
        <v>1061</v>
      </c>
      <c r="T12575">
        <v>46022</v>
      </c>
      <c r="V12575">
        <v>136</v>
      </c>
    </row>
    <row r="12576" spans="1:22" customFormat="1" ht="15" x14ac:dyDescent="0.25">
      <c r="A12576" t="s">
        <v>234</v>
      </c>
      <c r="E12576" s="1561" t="s">
        <v>7083</v>
      </c>
      <c r="F12576" s="1561"/>
      <c r="G12576" s="584" t="s">
        <v>3775</v>
      </c>
      <c r="H12576" s="577">
        <v>-0.52329999999999999</v>
      </c>
      <c r="K12576" t="s">
        <v>1053</v>
      </c>
      <c r="L12576" t="s">
        <v>690</v>
      </c>
      <c r="P12576" t="s">
        <v>7092</v>
      </c>
      <c r="T12576">
        <v>46022</v>
      </c>
      <c r="V12576">
        <v>67</v>
      </c>
    </row>
    <row r="12577" spans="1:22" customFormat="1" ht="15" x14ac:dyDescent="0.25">
      <c r="A12577" t="s">
        <v>234</v>
      </c>
      <c r="E12577" s="1561" t="s">
        <v>243</v>
      </c>
      <c r="F12577" s="1561"/>
      <c r="G12577" s="584" t="s">
        <v>3775</v>
      </c>
      <c r="H12577" s="577">
        <v>3.3174000000000001</v>
      </c>
      <c r="K12577" t="s">
        <v>1053</v>
      </c>
      <c r="L12577" t="s">
        <v>694</v>
      </c>
      <c r="P12577" t="s">
        <v>1063</v>
      </c>
      <c r="V12577">
        <v>47</v>
      </c>
    </row>
    <row r="12578" spans="1:22" customFormat="1" ht="15" x14ac:dyDescent="0.25">
      <c r="A12578" t="s">
        <v>234</v>
      </c>
      <c r="E12578" s="1561" t="s">
        <v>175</v>
      </c>
      <c r="F12578" s="1561"/>
      <c r="G12578" s="584" t="s">
        <v>3775</v>
      </c>
      <c r="H12578" s="577">
        <v>1.8996</v>
      </c>
      <c r="K12578" t="s">
        <v>1053</v>
      </c>
      <c r="L12578" t="s">
        <v>694</v>
      </c>
      <c r="P12578" t="s">
        <v>1064</v>
      </c>
      <c r="V12578">
        <v>74</v>
      </c>
    </row>
    <row r="12579" spans="1:22" customFormat="1" ht="15" x14ac:dyDescent="0.25">
      <c r="A12579" t="s">
        <v>234</v>
      </c>
      <c r="E12579" s="1596" t="s">
        <v>967</v>
      </c>
      <c r="F12579" s="1561"/>
      <c r="G12579" s="584"/>
      <c r="H12579" s="584"/>
      <c r="K12579" t="s">
        <v>1065</v>
      </c>
      <c r="V12579">
        <v>48</v>
      </c>
    </row>
    <row r="12580" spans="1:22" customFormat="1" ht="15" x14ac:dyDescent="0.25">
      <c r="A12580" t="s">
        <v>234</v>
      </c>
      <c r="E12580" s="1561" t="s">
        <v>844</v>
      </c>
      <c r="F12580" s="1561"/>
      <c r="G12580" s="584" t="s">
        <v>845</v>
      </c>
      <c r="H12580" s="577">
        <v>4.1000000000000003E-3</v>
      </c>
      <c r="K12580" t="s">
        <v>1053</v>
      </c>
      <c r="L12580" t="s">
        <v>968</v>
      </c>
      <c r="P12580" t="s">
        <v>1066</v>
      </c>
      <c r="V12580">
        <v>55</v>
      </c>
    </row>
    <row r="12581" spans="1:22" customFormat="1" ht="15" x14ac:dyDescent="0.25">
      <c r="A12581" t="s">
        <v>234</v>
      </c>
      <c r="E12581" s="1561" t="s">
        <v>846</v>
      </c>
      <c r="F12581" s="1561"/>
      <c r="G12581" s="584" t="s">
        <v>845</v>
      </c>
      <c r="H12581" s="577">
        <v>4.0000000000000002E-4</v>
      </c>
      <c r="K12581" t="s">
        <v>1053</v>
      </c>
      <c r="L12581" t="s">
        <v>968</v>
      </c>
      <c r="P12581" t="s">
        <v>1066</v>
      </c>
      <c r="V12581">
        <v>65</v>
      </c>
    </row>
    <row r="12582" spans="1:22" customFormat="1" ht="15" x14ac:dyDescent="0.25">
      <c r="A12582" t="s">
        <v>234</v>
      </c>
      <c r="E12582" s="1561" t="s">
        <v>847</v>
      </c>
      <c r="F12582" s="1561"/>
      <c r="G12582" s="584" t="s">
        <v>845</v>
      </c>
      <c r="H12582" s="577">
        <v>1.5E-3</v>
      </c>
      <c r="K12582" t="s">
        <v>1053</v>
      </c>
      <c r="L12582" t="s">
        <v>968</v>
      </c>
      <c r="P12582" t="s">
        <v>1067</v>
      </c>
      <c r="V12582">
        <v>57</v>
      </c>
    </row>
    <row r="12583" spans="1:22" customFormat="1" ht="15" x14ac:dyDescent="0.25">
      <c r="A12583" t="s">
        <v>234</v>
      </c>
      <c r="E12583" s="1561" t="s">
        <v>848</v>
      </c>
      <c r="F12583" s="1561"/>
      <c r="G12583" s="584" t="s">
        <v>777</v>
      </c>
      <c r="H12583" s="576">
        <v>0.25</v>
      </c>
      <c r="K12583" t="s">
        <v>1053</v>
      </c>
      <c r="L12583" t="s">
        <v>968</v>
      </c>
      <c r="P12583" t="s">
        <v>1068</v>
      </c>
      <c r="V12583">
        <v>63</v>
      </c>
    </row>
    <row r="12584" spans="1:22" customFormat="1" x14ac:dyDescent="0.25">
      <c r="A12584" t="s">
        <v>234</v>
      </c>
      <c r="E12584" s="1492" t="s">
        <v>207</v>
      </c>
      <c r="F12584" s="1493"/>
      <c r="G12584" s="1493"/>
      <c r="H12584" s="1493"/>
      <c r="K12584" t="s">
        <v>1069</v>
      </c>
      <c r="V12584">
        <v>31</v>
      </c>
    </row>
    <row r="12585" spans="1:22" customFormat="1" ht="15" x14ac:dyDescent="0.25">
      <c r="A12585" t="s">
        <v>234</v>
      </c>
      <c r="E12585" s="1516" t="s">
        <v>4620</v>
      </c>
      <c r="F12585" s="1516"/>
      <c r="G12585" s="1516"/>
      <c r="H12585" s="1516"/>
      <c r="K12585" t="s">
        <v>1069</v>
      </c>
      <c r="V12585">
        <v>285</v>
      </c>
    </row>
    <row r="12586" spans="1:22" customFormat="1" ht="15" x14ac:dyDescent="0.25">
      <c r="A12586" t="s">
        <v>234</v>
      </c>
      <c r="E12586" s="1515" t="s">
        <v>950</v>
      </c>
      <c r="F12586" s="1516"/>
      <c r="G12586" s="1516"/>
      <c r="H12586" s="1516"/>
      <c r="K12586" t="s">
        <v>1071</v>
      </c>
      <c r="V12586">
        <v>11</v>
      </c>
    </row>
    <row r="12587" spans="1:22" customFormat="1" ht="15" x14ac:dyDescent="0.25">
      <c r="A12587" t="s">
        <v>234</v>
      </c>
      <c r="E12587" s="1516" t="s">
        <v>951</v>
      </c>
      <c r="F12587" s="1516"/>
      <c r="G12587" s="1516"/>
      <c r="H12587" s="1516"/>
      <c r="K12587" t="s">
        <v>1069</v>
      </c>
      <c r="V12587">
        <v>280</v>
      </c>
    </row>
    <row r="12588" spans="1:22" customFormat="1" ht="15" x14ac:dyDescent="0.25">
      <c r="A12588" t="s">
        <v>234</v>
      </c>
      <c r="E12588" s="1516" t="s">
        <v>952</v>
      </c>
      <c r="F12588" s="1516"/>
      <c r="G12588" s="1516"/>
      <c r="H12588" s="1516"/>
      <c r="K12588" t="s">
        <v>1069</v>
      </c>
      <c r="V12588">
        <v>411</v>
      </c>
    </row>
    <row r="12589" spans="1:22" customFormat="1" ht="15" x14ac:dyDescent="0.25">
      <c r="A12589" t="s">
        <v>234</v>
      </c>
      <c r="E12589" s="1516" t="s">
        <v>1103</v>
      </c>
      <c r="F12589" s="1516"/>
      <c r="G12589" s="1516"/>
      <c r="H12589" s="1516"/>
      <c r="K12589" t="s">
        <v>1069</v>
      </c>
      <c r="V12589">
        <v>211</v>
      </c>
    </row>
    <row r="12590" spans="1:22" customFormat="1" ht="15" x14ac:dyDescent="0.25">
      <c r="A12590" t="s">
        <v>234</v>
      </c>
      <c r="E12590" s="1516" t="s">
        <v>954</v>
      </c>
      <c r="F12590" s="1516"/>
      <c r="G12590" s="1516"/>
      <c r="H12590" s="1516"/>
      <c r="K12590" t="s">
        <v>1069</v>
      </c>
      <c r="V12590">
        <v>246</v>
      </c>
    </row>
    <row r="12591" spans="1:22" customFormat="1" ht="15" x14ac:dyDescent="0.25">
      <c r="A12591" t="s">
        <v>234</v>
      </c>
      <c r="E12591" s="1596" t="s">
        <v>956</v>
      </c>
      <c r="F12591" s="1572"/>
      <c r="G12591" s="1572"/>
      <c r="H12591" s="1572"/>
      <c r="K12591" t="s">
        <v>1075</v>
      </c>
      <c r="V12591">
        <v>46</v>
      </c>
    </row>
    <row r="12592" spans="1:22" customFormat="1" ht="15" x14ac:dyDescent="0.25">
      <c r="A12592" t="s">
        <v>234</v>
      </c>
      <c r="E12592" s="1561" t="s">
        <v>3773</v>
      </c>
      <c r="F12592" s="1561"/>
      <c r="G12592" s="584" t="s">
        <v>777</v>
      </c>
      <c r="H12592" s="576">
        <v>5</v>
      </c>
      <c r="K12592" t="s">
        <v>1069</v>
      </c>
      <c r="L12592" t="s">
        <v>690</v>
      </c>
      <c r="P12592" t="s">
        <v>1076</v>
      </c>
      <c r="V12592">
        <v>14</v>
      </c>
    </row>
    <row r="12593" spans="1:22" customFormat="1" ht="18.75" x14ac:dyDescent="0.3">
      <c r="A12593" t="s">
        <v>234</v>
      </c>
      <c r="E12593" s="840" t="s">
        <v>3825</v>
      </c>
      <c r="F12593" s="381"/>
      <c r="G12593" s="381"/>
      <c r="H12593" s="382"/>
      <c r="K12593" t="s">
        <v>4696</v>
      </c>
      <c r="V12593">
        <v>10</v>
      </c>
    </row>
    <row r="12594" spans="1:22" customFormat="1" ht="15" x14ac:dyDescent="0.25">
      <c r="A12594" t="s">
        <v>234</v>
      </c>
      <c r="E12594" s="1561" t="s">
        <v>1078</v>
      </c>
      <c r="F12594" s="1561"/>
      <c r="G12594" s="584" t="s">
        <v>3775</v>
      </c>
      <c r="H12594" s="577">
        <v>-0.6</v>
      </c>
      <c r="V12594">
        <v>68</v>
      </c>
    </row>
    <row r="12595" spans="1:22" customFormat="1" ht="15" x14ac:dyDescent="0.25">
      <c r="A12595" t="s">
        <v>234</v>
      </c>
      <c r="E12595" s="1561" t="s">
        <v>1079</v>
      </c>
      <c r="F12595" s="1561"/>
      <c r="G12595" s="584" t="s">
        <v>1118</v>
      </c>
      <c r="H12595" s="576">
        <v>-1</v>
      </c>
      <c r="V12595">
        <v>87</v>
      </c>
    </row>
    <row r="12596" spans="1:22" customFormat="1" ht="36.75" x14ac:dyDescent="0.3">
      <c r="A12596" t="s">
        <v>234</v>
      </c>
      <c r="E12596" s="840" t="s">
        <v>3828</v>
      </c>
      <c r="F12596" s="381"/>
      <c r="G12596" s="381"/>
      <c r="H12596" s="382"/>
      <c r="K12596" t="s">
        <v>4697</v>
      </c>
      <c r="V12596">
        <v>24</v>
      </c>
    </row>
    <row r="12597" spans="1:22" customFormat="1" ht="15" x14ac:dyDescent="0.25">
      <c r="A12597" t="s">
        <v>234</v>
      </c>
      <c r="E12597" s="1549" t="s">
        <v>950</v>
      </c>
      <c r="F12597" s="1516"/>
      <c r="G12597" s="1516"/>
      <c r="H12597" s="1516"/>
      <c r="V12597">
        <v>11</v>
      </c>
    </row>
    <row r="12598" spans="1:22" customFormat="1" ht="15" x14ac:dyDescent="0.25">
      <c r="A12598" t="s">
        <v>234</v>
      </c>
      <c r="E12598" s="1516" t="s">
        <v>951</v>
      </c>
      <c r="F12598" s="1516"/>
      <c r="G12598" s="1516"/>
      <c r="H12598" s="1516"/>
      <c r="V12598">
        <v>280</v>
      </c>
    </row>
    <row r="12599" spans="1:22" customFormat="1" ht="15" x14ac:dyDescent="0.25">
      <c r="A12599" t="s">
        <v>234</v>
      </c>
      <c r="E12599" s="1516" t="s">
        <v>1081</v>
      </c>
      <c r="F12599" s="1516"/>
      <c r="G12599" s="1516"/>
      <c r="H12599" s="1516"/>
      <c r="V12599">
        <v>353</v>
      </c>
    </row>
    <row r="12600" spans="1:22" customFormat="1" ht="15" x14ac:dyDescent="0.25">
      <c r="A12600" t="s">
        <v>234</v>
      </c>
      <c r="E12600" s="1563" t="s">
        <v>954</v>
      </c>
      <c r="F12600" s="1563"/>
      <c r="G12600" s="1563"/>
      <c r="H12600" s="1563"/>
      <c r="V12600">
        <v>246</v>
      </c>
    </row>
    <row r="12601" spans="1:22" customFormat="1" ht="15" x14ac:dyDescent="0.25">
      <c r="A12601" t="s">
        <v>234</v>
      </c>
      <c r="E12601" s="839" t="s">
        <v>3830</v>
      </c>
      <c r="F12601" s="1"/>
      <c r="G12601" s="1"/>
      <c r="H12601" s="649"/>
      <c r="K12601" t="s">
        <v>4698</v>
      </c>
      <c r="V12601">
        <v>23</v>
      </c>
    </row>
    <row r="12602" spans="1:22" customFormat="1" ht="15" x14ac:dyDescent="0.25">
      <c r="A12602" t="s">
        <v>234</v>
      </c>
      <c r="E12602" s="1569" t="s">
        <v>3832</v>
      </c>
      <c r="F12602" s="1569"/>
      <c r="G12602" s="584" t="s">
        <v>777</v>
      </c>
      <c r="H12602" s="576">
        <v>15</v>
      </c>
      <c r="V12602">
        <v>19</v>
      </c>
    </row>
    <row r="12603" spans="1:22" customFormat="1" ht="15" x14ac:dyDescent="0.25">
      <c r="A12603" t="s">
        <v>234</v>
      </c>
      <c r="E12603" s="1569" t="s">
        <v>7093</v>
      </c>
      <c r="F12603" s="1569"/>
      <c r="G12603" s="584" t="s">
        <v>777</v>
      </c>
      <c r="H12603" s="576">
        <v>15</v>
      </c>
      <c r="V12603">
        <v>16</v>
      </c>
    </row>
    <row r="12604" spans="1:22" customFormat="1" ht="15" x14ac:dyDescent="0.25">
      <c r="A12604" t="s">
        <v>234</v>
      </c>
      <c r="E12604" s="1569" t="s">
        <v>3835</v>
      </c>
      <c r="F12604" s="1569"/>
      <c r="G12604" s="584" t="s">
        <v>777</v>
      </c>
      <c r="H12604" s="576">
        <v>15</v>
      </c>
      <c r="V12604">
        <v>56</v>
      </c>
    </row>
    <row r="12605" spans="1:22" customFormat="1" ht="15" x14ac:dyDescent="0.25">
      <c r="A12605" t="s">
        <v>234</v>
      </c>
      <c r="E12605" s="1569" t="s">
        <v>3836</v>
      </c>
      <c r="F12605" s="1569"/>
      <c r="G12605" s="584" t="s">
        <v>777</v>
      </c>
      <c r="H12605" s="576">
        <v>15</v>
      </c>
      <c r="V12605">
        <v>35</v>
      </c>
    </row>
    <row r="12606" spans="1:22" customFormat="1" ht="15" x14ac:dyDescent="0.25">
      <c r="A12606" t="s">
        <v>234</v>
      </c>
      <c r="E12606" s="1569" t="s">
        <v>3837</v>
      </c>
      <c r="F12606" s="1569"/>
      <c r="G12606" s="584" t="s">
        <v>777</v>
      </c>
      <c r="H12606" s="576">
        <v>30</v>
      </c>
      <c r="V12606">
        <v>89</v>
      </c>
    </row>
    <row r="12607" spans="1:22" customFormat="1" ht="15" x14ac:dyDescent="0.25">
      <c r="A12607" t="s">
        <v>234</v>
      </c>
      <c r="E12607" s="1569" t="s">
        <v>3838</v>
      </c>
      <c r="F12607" s="1569"/>
      <c r="G12607" s="584" t="s">
        <v>777</v>
      </c>
      <c r="H12607" s="576">
        <v>30</v>
      </c>
      <c r="V12607">
        <v>74</v>
      </c>
    </row>
    <row r="12608" spans="1:22" customFormat="1" ht="15" x14ac:dyDescent="0.25">
      <c r="A12608" t="s">
        <v>234</v>
      </c>
      <c r="E12608" s="839" t="s">
        <v>4062</v>
      </c>
      <c r="F12608" s="1"/>
      <c r="G12608" s="1"/>
      <c r="H12608" s="649"/>
      <c r="K12608" t="s">
        <v>4699</v>
      </c>
      <c r="V12608">
        <v>22</v>
      </c>
    </row>
    <row r="12609" spans="1:22" customFormat="1" ht="15" x14ac:dyDescent="0.25">
      <c r="A12609" t="s">
        <v>234</v>
      </c>
      <c r="E12609" s="1569" t="s">
        <v>4700</v>
      </c>
      <c r="F12609" s="1569"/>
      <c r="G12609" s="584"/>
      <c r="H12609" s="650"/>
      <c r="V12609">
        <v>24</v>
      </c>
    </row>
    <row r="12610" spans="1:22" customFormat="1" ht="15" x14ac:dyDescent="0.25">
      <c r="A12610" t="s">
        <v>234</v>
      </c>
      <c r="E12610" s="1569" t="s">
        <v>4701</v>
      </c>
      <c r="F12610" s="1569"/>
      <c r="G12610" s="584" t="s">
        <v>1118</v>
      </c>
      <c r="H12610" s="576">
        <v>1.5</v>
      </c>
      <c r="V12610">
        <v>74</v>
      </c>
    </row>
    <row r="12611" spans="1:22" customFormat="1" ht="15" x14ac:dyDescent="0.25">
      <c r="A12611" t="s">
        <v>234</v>
      </c>
      <c r="E12611" s="1569" t="s">
        <v>3842</v>
      </c>
      <c r="F12611" s="1569"/>
      <c r="G12611" s="584" t="s">
        <v>777</v>
      </c>
      <c r="H12611" s="576">
        <v>65</v>
      </c>
      <c r="V12611">
        <v>44</v>
      </c>
    </row>
    <row r="12612" spans="1:22" customFormat="1" ht="15" x14ac:dyDescent="0.25">
      <c r="A12612" t="s">
        <v>234</v>
      </c>
      <c r="E12612" s="1569" t="s">
        <v>3843</v>
      </c>
      <c r="F12612" s="1569"/>
      <c r="G12612" s="584" t="s">
        <v>777</v>
      </c>
      <c r="H12612" s="576">
        <v>185</v>
      </c>
      <c r="V12612">
        <v>43</v>
      </c>
    </row>
    <row r="12613" spans="1:22" customFormat="1" ht="15" x14ac:dyDescent="0.25">
      <c r="A12613" t="s">
        <v>234</v>
      </c>
      <c r="E12613" s="1569" t="s">
        <v>3844</v>
      </c>
      <c r="F12613" s="1569"/>
      <c r="G12613" s="584" t="s">
        <v>777</v>
      </c>
      <c r="H12613" s="576">
        <v>185</v>
      </c>
      <c r="V12613">
        <v>43</v>
      </c>
    </row>
    <row r="12614" spans="1:22" customFormat="1" ht="15" x14ac:dyDescent="0.25">
      <c r="A12614" t="s">
        <v>234</v>
      </c>
      <c r="E12614" s="1569" t="s">
        <v>3845</v>
      </c>
      <c r="F12614" s="1569"/>
      <c r="G12614" s="584" t="s">
        <v>777</v>
      </c>
      <c r="H12614" s="576">
        <v>415</v>
      </c>
      <c r="V12614">
        <v>42</v>
      </c>
    </row>
    <row r="12615" spans="1:22" customFormat="1" ht="15" x14ac:dyDescent="0.25">
      <c r="A12615" t="s">
        <v>234</v>
      </c>
      <c r="E12615" s="839" t="s">
        <v>3846</v>
      </c>
      <c r="F12615" s="1"/>
      <c r="G12615" s="1"/>
      <c r="H12615" s="649"/>
      <c r="V12615">
        <v>5</v>
      </c>
    </row>
    <row r="12616" spans="1:22" customFormat="1" ht="15" x14ac:dyDescent="0.25">
      <c r="A12616" t="s">
        <v>234</v>
      </c>
      <c r="E12616" s="1569" t="s">
        <v>4217</v>
      </c>
      <c r="F12616" s="1569"/>
      <c r="G12616" s="584"/>
      <c r="H12616" s="650" t="s">
        <v>4703</v>
      </c>
      <c r="V12616">
        <v>39</v>
      </c>
    </row>
    <row r="12617" spans="1:22" customFormat="1" ht="15" x14ac:dyDescent="0.25">
      <c r="A12617" t="s">
        <v>234</v>
      </c>
      <c r="E12617" s="1569" t="s">
        <v>3847</v>
      </c>
      <c r="F12617" s="1569"/>
      <c r="G12617" s="584"/>
      <c r="H12617" s="650" t="s">
        <v>4703</v>
      </c>
      <c r="V12617">
        <v>34</v>
      </c>
    </row>
    <row r="12618" spans="1:22" customFormat="1" ht="15" x14ac:dyDescent="0.25">
      <c r="A12618" t="s">
        <v>234</v>
      </c>
      <c r="E12618" s="1569" t="s">
        <v>4702</v>
      </c>
      <c r="F12618" s="1569"/>
      <c r="G12618" s="584"/>
      <c r="H12618" s="650" t="s">
        <v>4703</v>
      </c>
      <c r="V12618">
        <v>62</v>
      </c>
    </row>
    <row r="12619" spans="1:22" customFormat="1" ht="15" x14ac:dyDescent="0.25">
      <c r="A12619" t="s">
        <v>234</v>
      </c>
      <c r="E12619" s="1569" t="s">
        <v>4429</v>
      </c>
      <c r="F12619" s="1569"/>
      <c r="G12619" s="584"/>
      <c r="H12619" s="650" t="s">
        <v>4703</v>
      </c>
      <c r="V12619">
        <v>65</v>
      </c>
    </row>
    <row r="12620" spans="1:22" customFormat="1" ht="15" x14ac:dyDescent="0.25">
      <c r="A12620" t="s">
        <v>234</v>
      </c>
      <c r="E12620" s="1569" t="s">
        <v>4430</v>
      </c>
      <c r="F12620" s="1569"/>
      <c r="G12620" s="584"/>
      <c r="H12620" s="650" t="s">
        <v>4703</v>
      </c>
      <c r="V12620">
        <v>64</v>
      </c>
    </row>
    <row r="12621" spans="1:22" customFormat="1" ht="15" x14ac:dyDescent="0.25">
      <c r="A12621" t="s">
        <v>234</v>
      </c>
      <c r="E12621" s="1569" t="s">
        <v>4674</v>
      </c>
      <c r="F12621" s="1569"/>
      <c r="G12621" s="584"/>
      <c r="H12621" s="650">
        <v>39.14</v>
      </c>
      <c r="V12621">
        <v>59</v>
      </c>
    </row>
    <row r="12622" spans="1:22" customFormat="1" ht="15" x14ac:dyDescent="0.25">
      <c r="A12622" t="s">
        <v>234</v>
      </c>
      <c r="E12622" s="1569" t="s">
        <v>4469</v>
      </c>
      <c r="F12622" s="1569"/>
      <c r="G12622" s="584" t="s">
        <v>777</v>
      </c>
      <c r="H12622" s="576">
        <v>39.14</v>
      </c>
      <c r="V12622">
        <v>44</v>
      </c>
    </row>
    <row r="12623" spans="1:22" customFormat="1" ht="15" x14ac:dyDescent="0.25">
      <c r="A12623" t="s">
        <v>234</v>
      </c>
      <c r="E12623" s="1647" t="s">
        <v>3851</v>
      </c>
      <c r="F12623" s="1754"/>
      <c r="G12623" s="1754"/>
      <c r="H12623" s="1754"/>
      <c r="K12623" t="s">
        <v>4704</v>
      </c>
      <c r="V12623">
        <v>38</v>
      </c>
    </row>
    <row r="12624" spans="1:22" customFormat="1" ht="15" x14ac:dyDescent="0.25">
      <c r="A12624" t="s">
        <v>234</v>
      </c>
      <c r="E12624" s="1549" t="s">
        <v>950</v>
      </c>
      <c r="F12624" s="1516"/>
      <c r="G12624" s="1516"/>
      <c r="H12624" s="1516"/>
      <c r="K12624" t="s">
        <v>1071</v>
      </c>
      <c r="V12624">
        <v>11</v>
      </c>
    </row>
    <row r="12625" spans="1:22" customFormat="1" ht="15" x14ac:dyDescent="0.25">
      <c r="A12625" t="s">
        <v>234</v>
      </c>
      <c r="E12625" s="1516" t="s">
        <v>951</v>
      </c>
      <c r="F12625" s="1516"/>
      <c r="G12625" s="1516"/>
      <c r="H12625" s="1516"/>
      <c r="V12625">
        <v>280</v>
      </c>
    </row>
    <row r="12626" spans="1:22" customFormat="1" ht="15" x14ac:dyDescent="0.25">
      <c r="A12626" t="s">
        <v>234</v>
      </c>
      <c r="E12626" s="1516" t="s">
        <v>952</v>
      </c>
      <c r="F12626" s="1516"/>
      <c r="G12626" s="1516"/>
      <c r="H12626" s="1516"/>
      <c r="V12626">
        <v>411</v>
      </c>
    </row>
    <row r="12627" spans="1:22" customFormat="1" ht="15" x14ac:dyDescent="0.25">
      <c r="A12627" t="s">
        <v>234</v>
      </c>
      <c r="E12627" s="1516" t="s">
        <v>1103</v>
      </c>
      <c r="F12627" s="1516"/>
      <c r="G12627" s="1516"/>
      <c r="H12627" s="1516"/>
      <c r="V12627">
        <v>211</v>
      </c>
    </row>
    <row r="12628" spans="1:22" customFormat="1" ht="15" x14ac:dyDescent="0.25">
      <c r="A12628" t="s">
        <v>234</v>
      </c>
      <c r="E12628" s="1516" t="s">
        <v>954</v>
      </c>
      <c r="F12628" s="1516"/>
      <c r="G12628" s="1516"/>
      <c r="H12628" s="1516"/>
      <c r="V12628">
        <v>246</v>
      </c>
    </row>
    <row r="12629" spans="1:22" customFormat="1" ht="15" x14ac:dyDescent="0.25">
      <c r="A12629" t="s">
        <v>234</v>
      </c>
      <c r="E12629" s="1561" t="s">
        <v>4598</v>
      </c>
      <c r="F12629" s="1561"/>
      <c r="G12629" s="1572"/>
      <c r="H12629" s="1572"/>
      <c r="V12629">
        <v>141</v>
      </c>
    </row>
    <row r="12630" spans="1:22" customFormat="1" ht="15" x14ac:dyDescent="0.25">
      <c r="A12630" t="s">
        <v>234</v>
      </c>
      <c r="E12630" s="1561" t="s">
        <v>849</v>
      </c>
      <c r="F12630" s="1561"/>
      <c r="G12630" s="268" t="s">
        <v>777</v>
      </c>
      <c r="H12630" s="576">
        <v>121.23</v>
      </c>
      <c r="V12630">
        <v>106</v>
      </c>
    </row>
    <row r="12631" spans="1:22" customFormat="1" ht="15" x14ac:dyDescent="0.25">
      <c r="A12631" t="s">
        <v>234</v>
      </c>
      <c r="E12631" s="1561" t="s">
        <v>4471</v>
      </c>
      <c r="F12631" s="1561"/>
      <c r="G12631" s="268" t="s">
        <v>777</v>
      </c>
      <c r="H12631" s="576">
        <v>48.5</v>
      </c>
      <c r="V12631">
        <v>34</v>
      </c>
    </row>
    <row r="12632" spans="1:22" customFormat="1" ht="15" x14ac:dyDescent="0.25">
      <c r="A12632" t="s">
        <v>234</v>
      </c>
      <c r="E12632" s="1561" t="s">
        <v>4472</v>
      </c>
      <c r="F12632" s="1561"/>
      <c r="G12632" s="268" t="s">
        <v>777</v>
      </c>
      <c r="H12632" s="576">
        <v>1.2</v>
      </c>
      <c r="V12632">
        <v>51</v>
      </c>
    </row>
    <row r="12633" spans="1:22" customFormat="1" ht="15" x14ac:dyDescent="0.25">
      <c r="A12633" t="s">
        <v>234</v>
      </c>
      <c r="E12633" s="1561" t="s">
        <v>853</v>
      </c>
      <c r="F12633" s="1561"/>
      <c r="G12633" s="268" t="s">
        <v>777</v>
      </c>
      <c r="H12633" s="576">
        <v>0.71</v>
      </c>
      <c r="V12633">
        <v>75</v>
      </c>
    </row>
    <row r="12634" spans="1:22" customFormat="1" ht="15" x14ac:dyDescent="0.25">
      <c r="A12634" t="s">
        <v>234</v>
      </c>
      <c r="E12634" s="1561" t="s">
        <v>854</v>
      </c>
      <c r="F12634" s="1561"/>
      <c r="G12634" s="268" t="s">
        <v>777</v>
      </c>
      <c r="H12634" s="576">
        <v>-0.71</v>
      </c>
      <c r="V12634">
        <v>72</v>
      </c>
    </row>
    <row r="12635" spans="1:22" customFormat="1" ht="15" x14ac:dyDescent="0.25">
      <c r="A12635" t="s">
        <v>234</v>
      </c>
      <c r="E12635" s="1574" t="s">
        <v>855</v>
      </c>
      <c r="F12635" s="1574"/>
      <c r="G12635" s="268"/>
      <c r="H12635" s="650"/>
      <c r="V12635">
        <v>34</v>
      </c>
    </row>
    <row r="12636" spans="1:22" customFormat="1" ht="15" x14ac:dyDescent="0.25">
      <c r="A12636" t="s">
        <v>234</v>
      </c>
      <c r="E12636" s="1574" t="s">
        <v>1106</v>
      </c>
      <c r="F12636" s="1574"/>
      <c r="G12636" s="268" t="s">
        <v>777</v>
      </c>
      <c r="H12636" s="576">
        <v>0.61</v>
      </c>
      <c r="V12636">
        <v>57</v>
      </c>
    </row>
    <row r="12637" spans="1:22" customFormat="1" ht="15" x14ac:dyDescent="0.25">
      <c r="A12637" t="s">
        <v>234</v>
      </c>
      <c r="E12637" s="1574" t="s">
        <v>1107</v>
      </c>
      <c r="F12637" s="1574"/>
      <c r="G12637" s="268" t="s">
        <v>777</v>
      </c>
      <c r="H12637" s="576">
        <v>1.2</v>
      </c>
      <c r="V12637">
        <v>60</v>
      </c>
    </row>
    <row r="12638" spans="1:22" customFormat="1" ht="15" x14ac:dyDescent="0.25">
      <c r="A12638" t="s">
        <v>234</v>
      </c>
      <c r="E12638" s="1561" t="s">
        <v>1108</v>
      </c>
      <c r="F12638" s="1561"/>
      <c r="G12638" s="268"/>
      <c r="H12638" s="650"/>
      <c r="V12638">
        <v>91</v>
      </c>
    </row>
    <row r="12639" spans="1:22" customFormat="1" ht="15" x14ac:dyDescent="0.25">
      <c r="A12639" t="s">
        <v>234</v>
      </c>
      <c r="E12639" s="1561" t="s">
        <v>1109</v>
      </c>
      <c r="F12639" s="1561"/>
      <c r="G12639" s="1"/>
      <c r="H12639" s="649"/>
      <c r="V12639">
        <v>96</v>
      </c>
    </row>
    <row r="12640" spans="1:22" customFormat="1" ht="15" x14ac:dyDescent="0.25">
      <c r="A12640" t="s">
        <v>234</v>
      </c>
      <c r="E12640" s="1574" t="s">
        <v>856</v>
      </c>
      <c r="F12640" s="1574"/>
      <c r="G12640" s="1"/>
      <c r="H12640" s="649"/>
      <c r="V12640">
        <v>77</v>
      </c>
    </row>
    <row r="12641" spans="1:22" customFormat="1" ht="15" x14ac:dyDescent="0.25">
      <c r="A12641" t="s">
        <v>234</v>
      </c>
      <c r="E12641" s="1574" t="s">
        <v>1111</v>
      </c>
      <c r="F12641" s="1574"/>
      <c r="G12641" s="268" t="s">
        <v>777</v>
      </c>
      <c r="H12641" s="650" t="s">
        <v>857</v>
      </c>
      <c r="V12641">
        <v>18</v>
      </c>
    </row>
    <row r="12642" spans="1:22" customFormat="1" ht="15" x14ac:dyDescent="0.25">
      <c r="A12642" t="s">
        <v>234</v>
      </c>
      <c r="E12642" s="1511" t="s">
        <v>1112</v>
      </c>
      <c r="F12642" s="1511"/>
      <c r="G12642" s="268" t="s">
        <v>777</v>
      </c>
      <c r="H12642" s="576">
        <v>4.8499999999999996</v>
      </c>
      <c r="V12642">
        <v>69</v>
      </c>
    </row>
    <row r="12643" spans="1:22" customFormat="1" ht="15" x14ac:dyDescent="0.25">
      <c r="A12643" t="s">
        <v>234</v>
      </c>
      <c r="E12643" s="1507" t="s">
        <v>858</v>
      </c>
      <c r="F12643" s="1507"/>
      <c r="G12643" s="268" t="s">
        <v>777</v>
      </c>
      <c r="H12643" s="576">
        <v>2.42</v>
      </c>
      <c r="V12643">
        <v>199</v>
      </c>
    </row>
    <row r="12644" spans="1:22" customFormat="1" ht="18.75" x14ac:dyDescent="0.25">
      <c r="A12644" t="s">
        <v>234</v>
      </c>
      <c r="E12644" s="840" t="s">
        <v>3853</v>
      </c>
      <c r="F12644" s="476"/>
      <c r="G12644" s="476"/>
      <c r="H12644" s="475"/>
      <c r="K12644" t="s">
        <v>4705</v>
      </c>
      <c r="V12644">
        <v>12</v>
      </c>
    </row>
    <row r="12645" spans="1:22" customFormat="1" ht="15" x14ac:dyDescent="0.25">
      <c r="A12645" t="s">
        <v>234</v>
      </c>
      <c r="E12645" s="1507" t="s">
        <v>1114</v>
      </c>
      <c r="F12645" s="1507"/>
      <c r="G12645" s="1507"/>
      <c r="H12645" s="1507"/>
      <c r="V12645">
        <v>203</v>
      </c>
    </row>
    <row r="12646" spans="1:22" customFormat="1" ht="15" x14ac:dyDescent="0.25">
      <c r="A12646" t="s">
        <v>234</v>
      </c>
      <c r="E12646" s="1561" t="s">
        <v>1115</v>
      </c>
      <c r="F12646" s="1561"/>
      <c r="G12646" s="584"/>
      <c r="H12646" s="650">
        <v>1.0263</v>
      </c>
      <c r="V12646">
        <v>57</v>
      </c>
    </row>
    <row r="12647" spans="1:22" customFormat="1" ht="15" x14ac:dyDescent="0.25">
      <c r="A12647" t="s">
        <v>234</v>
      </c>
      <c r="E12647" s="1561" t="s">
        <v>4072</v>
      </c>
      <c r="F12647" s="1561"/>
      <c r="G12647" s="584"/>
      <c r="H12647" s="650">
        <v>1.0145</v>
      </c>
      <c r="V12647">
        <v>57</v>
      </c>
    </row>
    <row r="12648" spans="1:22" customFormat="1" ht="15" x14ac:dyDescent="0.25">
      <c r="A12648" t="s">
        <v>234</v>
      </c>
      <c r="E12648" s="1561" t="s">
        <v>1117</v>
      </c>
      <c r="F12648" s="1561"/>
      <c r="G12648" s="584"/>
      <c r="H12648" s="650">
        <v>1.016</v>
      </c>
      <c r="V12648">
        <v>55</v>
      </c>
    </row>
    <row r="12649" spans="1:22" customFormat="1" ht="15" x14ac:dyDescent="0.25">
      <c r="A12649" t="s">
        <v>234</v>
      </c>
      <c r="E12649" s="1561" t="s">
        <v>4073</v>
      </c>
      <c r="F12649" s="1561"/>
      <c r="G12649" s="584"/>
      <c r="H12649" s="650">
        <v>1.0044999999999999</v>
      </c>
      <c r="J12649" t="s">
        <v>4706</v>
      </c>
      <c r="V12649">
        <v>55</v>
      </c>
    </row>
    <row r="12650" spans="1:22" customFormat="1" ht="23.25" x14ac:dyDescent="0.25">
      <c r="A12650" t="s">
        <v>262</v>
      </c>
      <c r="C12650" t="s">
        <v>3755</v>
      </c>
      <c r="E12650" s="1727" t="s">
        <v>262</v>
      </c>
      <c r="F12650" s="1728"/>
      <c r="G12650" s="1728"/>
      <c r="H12650" s="1728"/>
      <c r="I12650" t="s">
        <v>94</v>
      </c>
      <c r="J12650" t="s">
        <v>7094</v>
      </c>
      <c r="K12650" t="s">
        <v>262</v>
      </c>
      <c r="M12650">
        <v>22</v>
      </c>
      <c r="V12650">
        <v>23</v>
      </c>
    </row>
    <row r="12651" spans="1:22" customFormat="1" x14ac:dyDescent="0.25">
      <c r="A12651" t="s">
        <v>262</v>
      </c>
      <c r="C12651" t="s">
        <v>3757</v>
      </c>
      <c r="E12651" s="1729" t="s">
        <v>944</v>
      </c>
      <c r="F12651" s="1730"/>
      <c r="G12651" s="1730"/>
      <c r="H12651" s="1730"/>
      <c r="V12651">
        <v>27</v>
      </c>
    </row>
    <row r="12652" spans="1:22" customFormat="1" ht="15.75" x14ac:dyDescent="0.25">
      <c r="A12652" t="s">
        <v>262</v>
      </c>
      <c r="C12652" t="s">
        <v>3758</v>
      </c>
      <c r="E12652" s="1761" t="s">
        <v>6511</v>
      </c>
      <c r="F12652" s="1761"/>
      <c r="G12652" s="1761"/>
      <c r="H12652" s="1761"/>
      <c r="S12652">
        <v>45658</v>
      </c>
      <c r="V12652">
        <v>49</v>
      </c>
    </row>
    <row r="12653" spans="1:22" customFormat="1" ht="15" x14ac:dyDescent="0.25">
      <c r="A12653" t="s">
        <v>262</v>
      </c>
      <c r="C12653" t="s">
        <v>3759</v>
      </c>
      <c r="E12653" s="1733" t="s">
        <v>945</v>
      </c>
      <c r="F12653" s="1734"/>
      <c r="G12653" s="1734"/>
      <c r="H12653" s="1734"/>
      <c r="V12653">
        <v>52</v>
      </c>
    </row>
    <row r="12654" spans="1:22" customFormat="1" ht="15" x14ac:dyDescent="0.25">
      <c r="A12654" t="s">
        <v>262</v>
      </c>
      <c r="E12654" s="1733" t="s">
        <v>946</v>
      </c>
      <c r="F12654" s="1734"/>
      <c r="G12654" s="1734"/>
      <c r="H12654" s="1734"/>
      <c r="V12654">
        <v>53</v>
      </c>
    </row>
    <row r="12655" spans="1:22" customFormat="1" ht="15" x14ac:dyDescent="0.25">
      <c r="A12655" t="s">
        <v>262</v>
      </c>
      <c r="E12655" s="1735" t="s">
        <v>7095</v>
      </c>
      <c r="F12655" s="1762"/>
      <c r="G12655" s="1762"/>
      <c r="H12655" s="1762"/>
      <c r="K12655" t="s">
        <v>7095</v>
      </c>
      <c r="V12655">
        <v>12</v>
      </c>
    </row>
    <row r="12656" spans="1:22" customFormat="1" ht="15" x14ac:dyDescent="0.25">
      <c r="A12656" t="s">
        <v>262</v>
      </c>
      <c r="E12656" s="1619" t="s">
        <v>7096</v>
      </c>
      <c r="F12656" s="1605"/>
      <c r="G12656" s="1605"/>
      <c r="H12656" s="1605"/>
      <c r="V12656">
        <v>74</v>
      </c>
    </row>
    <row r="12657" spans="1:22" customFormat="1" ht="15" x14ac:dyDescent="0.25">
      <c r="A12657" t="s">
        <v>262</v>
      </c>
      <c r="E12657" s="1605" t="s">
        <v>7097</v>
      </c>
      <c r="F12657" s="1605"/>
      <c r="G12657" s="1605"/>
      <c r="H12657" s="1605"/>
      <c r="V12657">
        <v>498</v>
      </c>
    </row>
    <row r="12658" spans="1:22" customFormat="1" ht="15" x14ac:dyDescent="0.25">
      <c r="A12658" t="s">
        <v>262</v>
      </c>
      <c r="E12658" s="1625" t="s">
        <v>7098</v>
      </c>
      <c r="F12658" s="1625"/>
      <c r="G12658" s="1625"/>
      <c r="H12658" s="1625"/>
      <c r="V12658">
        <v>828</v>
      </c>
    </row>
    <row r="12659" spans="1:22" customFormat="1" ht="15" x14ac:dyDescent="0.25">
      <c r="A12659" t="s">
        <v>262</v>
      </c>
      <c r="E12659" s="1605" t="s">
        <v>7099</v>
      </c>
      <c r="F12659" s="1605"/>
      <c r="G12659" s="1605"/>
      <c r="H12659" s="1605"/>
      <c r="V12659">
        <v>168</v>
      </c>
    </row>
    <row r="12660" spans="1:22" customFormat="1" ht="15" x14ac:dyDescent="0.25">
      <c r="A12660" t="s">
        <v>262</v>
      </c>
      <c r="E12660" s="1605" t="s">
        <v>7100</v>
      </c>
      <c r="F12660" s="1605"/>
      <c r="G12660" s="1605"/>
      <c r="H12660" s="1605"/>
      <c r="V12660">
        <v>148</v>
      </c>
    </row>
    <row r="12661" spans="1:22" customFormat="1" ht="15" x14ac:dyDescent="0.25">
      <c r="A12661" t="s">
        <v>262</v>
      </c>
      <c r="E12661" s="1700" t="s">
        <v>950</v>
      </c>
      <c r="F12661" s="1605"/>
      <c r="G12661" s="1605"/>
      <c r="H12661" s="1605"/>
      <c r="K12661" t="s">
        <v>7101</v>
      </c>
      <c r="V12661">
        <v>11</v>
      </c>
    </row>
    <row r="12662" spans="1:22" customFormat="1" ht="15" x14ac:dyDescent="0.25">
      <c r="A12662" t="s">
        <v>262</v>
      </c>
      <c r="E12662" s="1605" t="s">
        <v>7102</v>
      </c>
      <c r="F12662" s="1605"/>
      <c r="G12662" s="1605"/>
      <c r="H12662" s="1605"/>
      <c r="V12662">
        <v>112</v>
      </c>
    </row>
    <row r="12663" spans="1:22" customFormat="1" ht="15" x14ac:dyDescent="0.25">
      <c r="A12663" t="s">
        <v>262</v>
      </c>
      <c r="E12663" s="1625" t="s">
        <v>7103</v>
      </c>
      <c r="F12663" s="1625"/>
      <c r="G12663" s="1625"/>
      <c r="H12663" s="1625"/>
      <c r="V12663">
        <v>378</v>
      </c>
    </row>
    <row r="12664" spans="1:22" customFormat="1" ht="15" x14ac:dyDescent="0.25">
      <c r="A12664" t="s">
        <v>262</v>
      </c>
      <c r="E12664" s="1605" t="s">
        <v>951</v>
      </c>
      <c r="F12664" s="1605"/>
      <c r="G12664" s="1605"/>
      <c r="H12664" s="1605"/>
      <c r="V12664">
        <v>280</v>
      </c>
    </row>
    <row r="12665" spans="1:22" customFormat="1" ht="15" x14ac:dyDescent="0.25">
      <c r="A12665" t="s">
        <v>262</v>
      </c>
      <c r="E12665" s="1605" t="s">
        <v>952</v>
      </c>
      <c r="F12665" s="1605"/>
      <c r="G12665" s="1605"/>
      <c r="H12665" s="1605"/>
      <c r="V12665">
        <v>411</v>
      </c>
    </row>
    <row r="12666" spans="1:22" customFormat="1" ht="15" x14ac:dyDescent="0.25">
      <c r="A12666" t="s">
        <v>262</v>
      </c>
      <c r="E12666" s="1605" t="s">
        <v>953</v>
      </c>
      <c r="F12666" s="1605"/>
      <c r="G12666" s="1605"/>
      <c r="H12666" s="1605"/>
      <c r="V12666">
        <v>386</v>
      </c>
    </row>
    <row r="12667" spans="1:22" customFormat="1" ht="15" x14ac:dyDescent="0.25">
      <c r="A12667" t="s">
        <v>262</v>
      </c>
      <c r="E12667" s="1605" t="s">
        <v>954</v>
      </c>
      <c r="F12667" s="1605"/>
      <c r="G12667" s="1605"/>
      <c r="H12667" s="1605"/>
      <c r="V12667">
        <v>246</v>
      </c>
    </row>
    <row r="12668" spans="1:22" customFormat="1" ht="15" x14ac:dyDescent="0.25">
      <c r="A12668" t="s">
        <v>262</v>
      </c>
      <c r="E12668" s="1717" t="s">
        <v>7104</v>
      </c>
      <c r="F12668" s="1498"/>
      <c r="G12668" s="1498"/>
      <c r="H12668" s="1498"/>
      <c r="K12668" t="s">
        <v>7105</v>
      </c>
      <c r="V12668">
        <v>18</v>
      </c>
    </row>
    <row r="12669" spans="1:22" customFormat="1" ht="15" x14ac:dyDescent="0.25">
      <c r="A12669" t="s">
        <v>262</v>
      </c>
      <c r="E12669" s="1609" t="s">
        <v>956</v>
      </c>
      <c r="F12669" s="1663"/>
      <c r="G12669" s="1663"/>
      <c r="H12669" s="1663"/>
      <c r="K12669" t="s">
        <v>955</v>
      </c>
      <c r="V12669">
        <v>46</v>
      </c>
    </row>
    <row r="12670" spans="1:22" customFormat="1" ht="15" x14ac:dyDescent="0.25">
      <c r="A12670" t="s">
        <v>262</v>
      </c>
      <c r="E12670" s="1561" t="s">
        <v>3773</v>
      </c>
      <c r="F12670" s="1561"/>
      <c r="G12670" s="749" t="s">
        <v>777</v>
      </c>
      <c r="H12670" s="783">
        <v>41.61</v>
      </c>
      <c r="K12670" t="s">
        <v>7105</v>
      </c>
      <c r="L12670" t="s">
        <v>690</v>
      </c>
      <c r="P12670" t="s">
        <v>7106</v>
      </c>
      <c r="V12670">
        <v>14</v>
      </c>
    </row>
    <row r="12671" spans="1:22" customFormat="1" ht="15" x14ac:dyDescent="0.25">
      <c r="A12671" t="s">
        <v>262</v>
      </c>
      <c r="E12671" s="1561" t="s">
        <v>960</v>
      </c>
      <c r="F12671" s="1561"/>
      <c r="G12671" s="749" t="s">
        <v>777</v>
      </c>
      <c r="H12671" s="783">
        <v>0.42</v>
      </c>
      <c r="K12671" t="s">
        <v>7105</v>
      </c>
      <c r="L12671" t="s">
        <v>692</v>
      </c>
      <c r="P12671" t="s">
        <v>7107</v>
      </c>
      <c r="V12671">
        <v>64</v>
      </c>
    </row>
    <row r="12672" spans="1:22" customFormat="1" ht="15" x14ac:dyDescent="0.25">
      <c r="A12672" t="s">
        <v>262</v>
      </c>
      <c r="E12672" s="1561" t="s">
        <v>7108</v>
      </c>
      <c r="F12672" s="1561"/>
      <c r="G12672" s="749" t="s">
        <v>777</v>
      </c>
      <c r="H12672" s="783">
        <v>-0.11</v>
      </c>
      <c r="K12672" t="s">
        <v>7105</v>
      </c>
      <c r="L12672" t="s">
        <v>690</v>
      </c>
      <c r="P12672" t="s">
        <v>7109</v>
      </c>
      <c r="T12672">
        <v>46022</v>
      </c>
      <c r="V12672">
        <v>107</v>
      </c>
    </row>
    <row r="12673" spans="1:22" customFormat="1" ht="15" x14ac:dyDescent="0.25">
      <c r="A12673" t="s">
        <v>262</v>
      </c>
      <c r="E12673" s="1561" t="s">
        <v>7110</v>
      </c>
      <c r="F12673" s="1561"/>
      <c r="G12673" s="749" t="s">
        <v>845</v>
      </c>
      <c r="H12673" s="783">
        <v>-6.9999999999999999E-4</v>
      </c>
      <c r="K12673" t="s">
        <v>7105</v>
      </c>
      <c r="L12673" t="s">
        <v>692</v>
      </c>
      <c r="P12673" t="s">
        <v>7109</v>
      </c>
      <c r="T12673">
        <v>46022</v>
      </c>
      <c r="V12673">
        <v>107</v>
      </c>
    </row>
    <row r="12674" spans="1:22" customFormat="1" ht="15" x14ac:dyDescent="0.25">
      <c r="A12674" t="s">
        <v>262</v>
      </c>
      <c r="E12674" s="1561" t="s">
        <v>7111</v>
      </c>
      <c r="F12674" s="1561"/>
      <c r="G12674" s="749" t="s">
        <v>845</v>
      </c>
      <c r="H12674" s="783">
        <v>-8.9999999999999998E-4</v>
      </c>
      <c r="K12674" t="s">
        <v>7105</v>
      </c>
      <c r="L12674" t="s">
        <v>692</v>
      </c>
      <c r="P12674" t="s">
        <v>7112</v>
      </c>
      <c r="T12674">
        <v>46022</v>
      </c>
      <c r="V12674">
        <v>112</v>
      </c>
    </row>
    <row r="12675" spans="1:22" customFormat="1" ht="15" x14ac:dyDescent="0.25">
      <c r="A12675" t="s">
        <v>262</v>
      </c>
      <c r="E12675" s="1561" t="s">
        <v>7113</v>
      </c>
      <c r="F12675" s="1561"/>
      <c r="G12675" s="749" t="s">
        <v>845</v>
      </c>
      <c r="H12675" s="783">
        <v>1.1000000000000001E-3</v>
      </c>
      <c r="K12675" t="s">
        <v>7105</v>
      </c>
      <c r="L12675" t="s">
        <v>692</v>
      </c>
      <c r="P12675" t="s">
        <v>7109</v>
      </c>
      <c r="T12675">
        <v>45838</v>
      </c>
      <c r="V12675">
        <v>103</v>
      </c>
    </row>
    <row r="12676" spans="1:22" customFormat="1" ht="15" x14ac:dyDescent="0.25">
      <c r="A12676" t="s">
        <v>262</v>
      </c>
      <c r="E12676" s="1561" t="s">
        <v>7114</v>
      </c>
      <c r="F12676" s="1561"/>
      <c r="G12676" s="749" t="s">
        <v>845</v>
      </c>
      <c r="H12676" s="783">
        <v>2.0000000000000001E-4</v>
      </c>
      <c r="K12676" t="s">
        <v>7105</v>
      </c>
      <c r="L12676" t="s">
        <v>692</v>
      </c>
      <c r="P12676" t="s">
        <v>7115</v>
      </c>
      <c r="T12676">
        <v>45838</v>
      </c>
      <c r="V12676">
        <v>74</v>
      </c>
    </row>
    <row r="12677" spans="1:22" customFormat="1" ht="15" x14ac:dyDescent="0.25">
      <c r="A12677" t="s">
        <v>262</v>
      </c>
      <c r="E12677" s="1561" t="s">
        <v>7116</v>
      </c>
      <c r="F12677" s="1561"/>
      <c r="G12677" s="749" t="s">
        <v>845</v>
      </c>
      <c r="H12677" s="783">
        <v>-4.4999999999999997E-3</v>
      </c>
      <c r="K12677" t="s">
        <v>7105</v>
      </c>
      <c r="L12677" t="s">
        <v>692</v>
      </c>
      <c r="P12677" t="s">
        <v>7112</v>
      </c>
      <c r="T12677">
        <v>45838</v>
      </c>
      <c r="V12677">
        <v>108</v>
      </c>
    </row>
    <row r="12678" spans="1:22" customFormat="1" ht="15" x14ac:dyDescent="0.25">
      <c r="A12678" t="s">
        <v>262</v>
      </c>
      <c r="E12678" s="1561" t="s">
        <v>7117</v>
      </c>
      <c r="F12678" s="1561"/>
      <c r="G12678" s="749" t="s">
        <v>845</v>
      </c>
      <c r="H12678" s="783">
        <v>-5.9999999999999995E-4</v>
      </c>
      <c r="K12678" t="s">
        <v>7105</v>
      </c>
      <c r="L12678" t="s">
        <v>692</v>
      </c>
      <c r="P12678" t="s">
        <v>7118</v>
      </c>
      <c r="T12678">
        <v>45838</v>
      </c>
      <c r="V12678">
        <v>155</v>
      </c>
    </row>
    <row r="12679" spans="1:22" customFormat="1" ht="15" x14ac:dyDescent="0.25">
      <c r="A12679" t="s">
        <v>262</v>
      </c>
      <c r="E12679" s="1561" t="s">
        <v>7119</v>
      </c>
      <c r="F12679" s="1561"/>
      <c r="G12679" s="749" t="s">
        <v>845</v>
      </c>
      <c r="H12679" s="783">
        <v>-3.0999999999999999E-3</v>
      </c>
      <c r="K12679" t="s">
        <v>7105</v>
      </c>
      <c r="L12679" t="s">
        <v>692</v>
      </c>
      <c r="P12679" t="s">
        <v>7109</v>
      </c>
      <c r="T12679">
        <v>46022</v>
      </c>
      <c r="V12679">
        <v>145</v>
      </c>
    </row>
    <row r="12680" spans="1:22" customFormat="1" ht="15" x14ac:dyDescent="0.25">
      <c r="A12680" t="s">
        <v>262</v>
      </c>
      <c r="E12680" s="1561" t="s">
        <v>7120</v>
      </c>
      <c r="F12680" s="1561"/>
      <c r="G12680" s="749" t="s">
        <v>845</v>
      </c>
      <c r="H12680" s="783">
        <v>1E-4</v>
      </c>
      <c r="K12680" t="s">
        <v>7105</v>
      </c>
      <c r="L12680" t="s">
        <v>692</v>
      </c>
      <c r="P12680" t="s">
        <v>7118</v>
      </c>
      <c r="T12680">
        <v>46022</v>
      </c>
      <c r="V12680">
        <v>190</v>
      </c>
    </row>
    <row r="12681" spans="1:22" customFormat="1" ht="15" x14ac:dyDescent="0.25">
      <c r="A12681" t="s">
        <v>262</v>
      </c>
      <c r="E12681" s="1561" t="s">
        <v>7121</v>
      </c>
      <c r="F12681" s="1561"/>
      <c r="G12681" s="749" t="s">
        <v>845</v>
      </c>
      <c r="H12681" s="783">
        <v>1.37E-2</v>
      </c>
      <c r="K12681" t="s">
        <v>7105</v>
      </c>
      <c r="L12681" t="s">
        <v>694</v>
      </c>
      <c r="P12681" t="s">
        <v>7122</v>
      </c>
      <c r="V12681">
        <v>60</v>
      </c>
    </row>
    <row r="12682" spans="1:22" customFormat="1" ht="15" x14ac:dyDescent="0.25">
      <c r="A12682" t="s">
        <v>262</v>
      </c>
      <c r="E12682" s="1561" t="s">
        <v>7123</v>
      </c>
      <c r="F12682" s="1561"/>
      <c r="G12682" s="749" t="s">
        <v>845</v>
      </c>
      <c r="H12682" s="783">
        <v>9.7999999999999997E-3</v>
      </c>
      <c r="K12682" t="s">
        <v>7105</v>
      </c>
      <c r="L12682" t="s">
        <v>694</v>
      </c>
      <c r="P12682" t="s">
        <v>7124</v>
      </c>
      <c r="V12682">
        <v>87</v>
      </c>
    </row>
    <row r="12683" spans="1:22" customFormat="1" ht="15" x14ac:dyDescent="0.25">
      <c r="A12683" t="s">
        <v>262</v>
      </c>
      <c r="E12683" s="1609" t="s">
        <v>967</v>
      </c>
      <c r="F12683" s="1606"/>
      <c r="G12683" s="1606"/>
      <c r="H12683" s="1606"/>
      <c r="K12683" t="s">
        <v>966</v>
      </c>
      <c r="V12683">
        <v>48</v>
      </c>
    </row>
    <row r="12684" spans="1:22" customFormat="1" ht="15" x14ac:dyDescent="0.25">
      <c r="A12684" t="s">
        <v>262</v>
      </c>
      <c r="E12684" s="1601" t="s">
        <v>7125</v>
      </c>
      <c r="F12684" s="1601"/>
      <c r="G12684" s="893" t="s">
        <v>845</v>
      </c>
      <c r="H12684" s="783">
        <v>4.1000000000000003E-3</v>
      </c>
      <c r="K12684" t="s">
        <v>7105</v>
      </c>
      <c r="L12684" t="s">
        <v>968</v>
      </c>
      <c r="P12684" t="s">
        <v>7126</v>
      </c>
      <c r="V12684">
        <v>69</v>
      </c>
    </row>
    <row r="12685" spans="1:22" customFormat="1" ht="15" x14ac:dyDescent="0.25">
      <c r="A12685" t="s">
        <v>262</v>
      </c>
      <c r="E12685" s="1601" t="s">
        <v>7127</v>
      </c>
      <c r="F12685" s="1601"/>
      <c r="G12685" s="893" t="s">
        <v>845</v>
      </c>
      <c r="H12685" s="783">
        <v>4.0000000000000002E-4</v>
      </c>
      <c r="K12685" t="s">
        <v>7105</v>
      </c>
      <c r="L12685" t="s">
        <v>968</v>
      </c>
      <c r="P12685" t="s">
        <v>7126</v>
      </c>
      <c r="V12685">
        <v>78</v>
      </c>
    </row>
    <row r="12686" spans="1:22" customFormat="1" ht="15" x14ac:dyDescent="0.25">
      <c r="A12686" t="s">
        <v>262</v>
      </c>
      <c r="E12686" s="1601" t="s">
        <v>7128</v>
      </c>
      <c r="F12686" s="1601"/>
      <c r="G12686" s="893" t="s">
        <v>845</v>
      </c>
      <c r="H12686" s="783">
        <v>1.5E-3</v>
      </c>
      <c r="K12686" t="s">
        <v>7105</v>
      </c>
      <c r="L12686" t="s">
        <v>968</v>
      </c>
      <c r="P12686" t="s">
        <v>7129</v>
      </c>
      <c r="V12686">
        <v>71</v>
      </c>
    </row>
    <row r="12687" spans="1:22" customFormat="1" ht="15" x14ac:dyDescent="0.25">
      <c r="A12687" t="s">
        <v>262</v>
      </c>
      <c r="E12687" s="1601" t="s">
        <v>848</v>
      </c>
      <c r="F12687" s="1601"/>
      <c r="G12687" s="893" t="s">
        <v>777</v>
      </c>
      <c r="H12687" s="783">
        <v>0.25</v>
      </c>
      <c r="K12687" t="s">
        <v>7105</v>
      </c>
      <c r="L12687" t="s">
        <v>968</v>
      </c>
      <c r="P12687" t="s">
        <v>7130</v>
      </c>
      <c r="V12687">
        <v>63</v>
      </c>
    </row>
    <row r="12688" spans="1:22" customFormat="1" ht="15" x14ac:dyDescent="0.25">
      <c r="A12688" t="s">
        <v>262</v>
      </c>
      <c r="E12688" s="1717" t="s">
        <v>7131</v>
      </c>
      <c r="F12688" s="1498"/>
      <c r="G12688" s="1498"/>
      <c r="H12688" s="1498"/>
      <c r="K12688" t="s">
        <v>7132</v>
      </c>
      <c r="V12688">
        <v>21</v>
      </c>
    </row>
    <row r="12689" spans="1:22" customFormat="1" ht="15" x14ac:dyDescent="0.25">
      <c r="A12689" t="s">
        <v>262</v>
      </c>
      <c r="E12689" s="1609" t="s">
        <v>956</v>
      </c>
      <c r="F12689" s="1663"/>
      <c r="G12689" s="1663"/>
      <c r="H12689" s="1663"/>
      <c r="K12689" t="s">
        <v>975</v>
      </c>
      <c r="V12689">
        <v>46</v>
      </c>
    </row>
    <row r="12690" spans="1:22" customFormat="1" ht="15" x14ac:dyDescent="0.25">
      <c r="A12690" t="s">
        <v>262</v>
      </c>
      <c r="E12690" s="1561" t="s">
        <v>3773</v>
      </c>
      <c r="F12690" s="1561"/>
      <c r="G12690" s="749" t="s">
        <v>777</v>
      </c>
      <c r="H12690" s="783">
        <v>71.05</v>
      </c>
      <c r="K12690" t="s">
        <v>7132</v>
      </c>
      <c r="L12690" t="s">
        <v>690</v>
      </c>
      <c r="P12690" t="s">
        <v>7133</v>
      </c>
      <c r="V12690">
        <v>14</v>
      </c>
    </row>
    <row r="12691" spans="1:22" customFormat="1" ht="15" x14ac:dyDescent="0.25">
      <c r="A12691" t="s">
        <v>262</v>
      </c>
      <c r="E12691" s="1561" t="s">
        <v>960</v>
      </c>
      <c r="F12691" s="1561"/>
      <c r="G12691" s="749" t="s">
        <v>777</v>
      </c>
      <c r="H12691" s="783">
        <v>0.42</v>
      </c>
      <c r="K12691" t="s">
        <v>7132</v>
      </c>
      <c r="L12691" t="s">
        <v>692</v>
      </c>
      <c r="P12691" t="s">
        <v>7134</v>
      </c>
      <c r="V12691">
        <v>64</v>
      </c>
    </row>
    <row r="12692" spans="1:22" customFormat="1" ht="15" x14ac:dyDescent="0.25">
      <c r="A12692" t="s">
        <v>262</v>
      </c>
      <c r="E12692" s="1561" t="s">
        <v>7135</v>
      </c>
      <c r="F12692" s="1561"/>
      <c r="G12692" s="749" t="s">
        <v>777</v>
      </c>
      <c r="H12692" s="783">
        <v>-0.21</v>
      </c>
      <c r="K12692" t="s">
        <v>7132</v>
      </c>
      <c r="L12692" t="s">
        <v>690</v>
      </c>
      <c r="P12692" t="s">
        <v>7136</v>
      </c>
      <c r="T12692">
        <v>46022</v>
      </c>
      <c r="V12692">
        <v>164</v>
      </c>
    </row>
    <row r="12693" spans="1:22" customFormat="1" ht="15" x14ac:dyDescent="0.25">
      <c r="A12693" t="s">
        <v>262</v>
      </c>
      <c r="E12693" s="1561" t="s">
        <v>7137</v>
      </c>
      <c r="F12693" s="1561"/>
      <c r="G12693" s="749" t="s">
        <v>845</v>
      </c>
      <c r="H12693" s="783">
        <v>-6.9999999999999999E-4</v>
      </c>
      <c r="K12693" t="s">
        <v>7132</v>
      </c>
      <c r="L12693" t="s">
        <v>692</v>
      </c>
      <c r="P12693" t="s">
        <v>7136</v>
      </c>
      <c r="T12693">
        <v>46022</v>
      </c>
      <c r="V12693">
        <v>164</v>
      </c>
    </row>
    <row r="12694" spans="1:22" customFormat="1" ht="15" x14ac:dyDescent="0.25">
      <c r="A12694" t="s">
        <v>262</v>
      </c>
      <c r="E12694" s="1561" t="s">
        <v>7138</v>
      </c>
      <c r="F12694" s="1561"/>
      <c r="G12694" s="749" t="s">
        <v>845</v>
      </c>
      <c r="H12694" s="783">
        <v>-8.9999999999999998E-4</v>
      </c>
      <c r="K12694" t="s">
        <v>7132</v>
      </c>
      <c r="L12694" t="s">
        <v>692</v>
      </c>
      <c r="P12694" t="s">
        <v>7139</v>
      </c>
      <c r="T12694">
        <v>46022</v>
      </c>
      <c r="V12694">
        <v>169</v>
      </c>
    </row>
    <row r="12695" spans="1:22" customFormat="1" ht="15" x14ac:dyDescent="0.25">
      <c r="A12695" t="s">
        <v>262</v>
      </c>
      <c r="E12695" s="1561" t="s">
        <v>7140</v>
      </c>
      <c r="F12695" s="1561"/>
      <c r="G12695" s="749" t="s">
        <v>845</v>
      </c>
      <c r="H12695" s="783">
        <v>1.1000000000000001E-3</v>
      </c>
      <c r="K12695" t="s">
        <v>7132</v>
      </c>
      <c r="L12695" t="s">
        <v>692</v>
      </c>
      <c r="P12695" t="s">
        <v>7136</v>
      </c>
      <c r="T12695">
        <v>45838</v>
      </c>
      <c r="V12695">
        <v>160</v>
      </c>
    </row>
    <row r="12696" spans="1:22" customFormat="1" ht="15" x14ac:dyDescent="0.25">
      <c r="A12696" t="s">
        <v>262</v>
      </c>
      <c r="E12696" s="1561" t="s">
        <v>7141</v>
      </c>
      <c r="F12696" s="1561"/>
      <c r="G12696" s="749" t="s">
        <v>845</v>
      </c>
      <c r="H12696" s="783">
        <v>2.0000000000000001E-4</v>
      </c>
      <c r="K12696" t="s">
        <v>7132</v>
      </c>
      <c r="L12696" t="s">
        <v>692</v>
      </c>
      <c r="P12696" t="s">
        <v>7142</v>
      </c>
      <c r="T12696">
        <v>45838</v>
      </c>
      <c r="V12696">
        <v>131</v>
      </c>
    </row>
    <row r="12697" spans="1:22" customFormat="1" ht="15" x14ac:dyDescent="0.25">
      <c r="A12697" t="s">
        <v>262</v>
      </c>
      <c r="E12697" s="1561" t="s">
        <v>7143</v>
      </c>
      <c r="F12697" s="1561"/>
      <c r="G12697" s="749" t="s">
        <v>845</v>
      </c>
      <c r="H12697" s="783">
        <v>-4.4999999999999997E-3</v>
      </c>
      <c r="K12697" t="s">
        <v>7132</v>
      </c>
      <c r="L12697" t="s">
        <v>692</v>
      </c>
      <c r="P12697" t="s">
        <v>7139</v>
      </c>
      <c r="T12697">
        <v>45838</v>
      </c>
      <c r="V12697">
        <v>165</v>
      </c>
    </row>
    <row r="12698" spans="1:22" customFormat="1" ht="15" x14ac:dyDescent="0.25">
      <c r="A12698" t="s">
        <v>262</v>
      </c>
      <c r="E12698" s="1561" t="s">
        <v>7144</v>
      </c>
      <c r="F12698" s="1561"/>
      <c r="G12698" s="749" t="s">
        <v>845</v>
      </c>
      <c r="H12698" s="783">
        <v>-5.9999999999999995E-4</v>
      </c>
      <c r="K12698" t="s">
        <v>7132</v>
      </c>
      <c r="L12698" t="s">
        <v>692</v>
      </c>
      <c r="P12698" t="s">
        <v>7145</v>
      </c>
      <c r="T12698">
        <v>45838</v>
      </c>
      <c r="V12698">
        <v>212</v>
      </c>
    </row>
    <row r="12699" spans="1:22" customFormat="1" ht="15" x14ac:dyDescent="0.25">
      <c r="A12699" t="s">
        <v>262</v>
      </c>
      <c r="E12699" s="1561" t="s">
        <v>7146</v>
      </c>
      <c r="F12699" s="1561"/>
      <c r="G12699" s="749" t="s">
        <v>845</v>
      </c>
      <c r="H12699" s="783">
        <v>-3.0000000000000001E-3</v>
      </c>
      <c r="K12699" t="s">
        <v>7132</v>
      </c>
      <c r="L12699" t="s">
        <v>692</v>
      </c>
      <c r="P12699" t="s">
        <v>7136</v>
      </c>
      <c r="T12699">
        <v>46022</v>
      </c>
      <c r="V12699">
        <v>202</v>
      </c>
    </row>
    <row r="12700" spans="1:22" customFormat="1" ht="15" x14ac:dyDescent="0.25">
      <c r="A12700" t="s">
        <v>262</v>
      </c>
      <c r="E12700" s="1561" t="s">
        <v>7147</v>
      </c>
      <c r="F12700" s="1561"/>
      <c r="G12700" s="749" t="s">
        <v>845</v>
      </c>
      <c r="H12700" s="783">
        <v>1E-4</v>
      </c>
      <c r="K12700" t="s">
        <v>7132</v>
      </c>
      <c r="L12700" t="s">
        <v>692</v>
      </c>
      <c r="P12700" t="s">
        <v>7145</v>
      </c>
      <c r="T12700">
        <v>46022</v>
      </c>
      <c r="V12700">
        <v>247</v>
      </c>
    </row>
    <row r="12701" spans="1:22" customFormat="1" ht="15" x14ac:dyDescent="0.25">
      <c r="A12701" t="s">
        <v>262</v>
      </c>
      <c r="E12701" s="1598" t="s">
        <v>7148</v>
      </c>
      <c r="F12701" s="1699"/>
      <c r="G12701" s="749" t="s">
        <v>845</v>
      </c>
      <c r="H12701" s="783">
        <v>2.7000000000000001E-3</v>
      </c>
      <c r="K12701" t="s">
        <v>7132</v>
      </c>
      <c r="L12701" t="s">
        <v>692</v>
      </c>
      <c r="P12701" t="s">
        <v>7139</v>
      </c>
      <c r="T12701">
        <v>45777</v>
      </c>
      <c r="V12701">
        <v>167</v>
      </c>
    </row>
    <row r="12702" spans="1:22" customFormat="1" ht="15" x14ac:dyDescent="0.25">
      <c r="A12702" t="s">
        <v>262</v>
      </c>
      <c r="E12702" s="1598" t="s">
        <v>7149</v>
      </c>
      <c r="F12702" s="1699"/>
      <c r="G12702" s="749" t="s">
        <v>845</v>
      </c>
      <c r="H12702" s="783">
        <v>2.3E-3</v>
      </c>
      <c r="K12702" t="s">
        <v>7132</v>
      </c>
      <c r="L12702" t="s">
        <v>692</v>
      </c>
      <c r="P12702" t="s">
        <v>7136</v>
      </c>
      <c r="T12702">
        <v>45777</v>
      </c>
      <c r="V12702">
        <v>154</v>
      </c>
    </row>
    <row r="12703" spans="1:22" customFormat="1" ht="15" x14ac:dyDescent="0.25">
      <c r="A12703" t="s">
        <v>262</v>
      </c>
      <c r="E12703" s="1561" t="s">
        <v>7121</v>
      </c>
      <c r="F12703" s="1561"/>
      <c r="G12703" s="749" t="s">
        <v>845</v>
      </c>
      <c r="H12703" s="783">
        <v>1.2800000000000001E-2</v>
      </c>
      <c r="K12703" t="s">
        <v>7132</v>
      </c>
      <c r="L12703" t="s">
        <v>694</v>
      </c>
      <c r="P12703" t="s">
        <v>7150</v>
      </c>
      <c r="V12703">
        <v>60</v>
      </c>
    </row>
    <row r="12704" spans="1:22" customFormat="1" ht="15" x14ac:dyDescent="0.25">
      <c r="A12704" t="s">
        <v>262</v>
      </c>
      <c r="E12704" s="1561" t="s">
        <v>7123</v>
      </c>
      <c r="F12704" s="1561"/>
      <c r="G12704" s="749" t="s">
        <v>845</v>
      </c>
      <c r="H12704" s="783">
        <v>9.1999999999999998E-3</v>
      </c>
      <c r="K12704" t="s">
        <v>7132</v>
      </c>
      <c r="L12704" t="s">
        <v>694</v>
      </c>
      <c r="P12704" t="s">
        <v>7151</v>
      </c>
      <c r="V12704">
        <v>87</v>
      </c>
    </row>
    <row r="12705" spans="1:22" customFormat="1" ht="15" x14ac:dyDescent="0.25">
      <c r="A12705" t="s">
        <v>262</v>
      </c>
      <c r="E12705" s="1598" t="s">
        <v>7152</v>
      </c>
      <c r="F12705" s="1598"/>
      <c r="G12705" s="1598"/>
      <c r="H12705" s="1598"/>
      <c r="K12705" t="s">
        <v>7132</v>
      </c>
      <c r="V12705">
        <v>142</v>
      </c>
    </row>
    <row r="12706" spans="1:22" customFormat="1" ht="15" x14ac:dyDescent="0.25">
      <c r="A12706" t="s">
        <v>262</v>
      </c>
      <c r="E12706" s="1609" t="s">
        <v>967</v>
      </c>
      <c r="F12706" s="1606"/>
      <c r="G12706" s="1606"/>
      <c r="H12706" s="1606"/>
      <c r="K12706" t="s">
        <v>985</v>
      </c>
      <c r="V12706">
        <v>48</v>
      </c>
    </row>
    <row r="12707" spans="1:22" customFormat="1" ht="15" x14ac:dyDescent="0.25">
      <c r="A12707" t="s">
        <v>262</v>
      </c>
      <c r="E12707" s="1601" t="s">
        <v>7125</v>
      </c>
      <c r="F12707" s="1601"/>
      <c r="G12707" s="893" t="s">
        <v>845</v>
      </c>
      <c r="H12707" s="783">
        <v>4.1000000000000003E-3</v>
      </c>
      <c r="K12707" t="s">
        <v>7132</v>
      </c>
      <c r="L12707" t="s">
        <v>968</v>
      </c>
      <c r="P12707" t="s">
        <v>7153</v>
      </c>
      <c r="V12707">
        <v>69</v>
      </c>
    </row>
    <row r="12708" spans="1:22" customFormat="1" ht="15" x14ac:dyDescent="0.25">
      <c r="A12708" t="s">
        <v>262</v>
      </c>
      <c r="E12708" s="1601" t="s">
        <v>7127</v>
      </c>
      <c r="F12708" s="1601"/>
      <c r="G12708" s="893" t="s">
        <v>845</v>
      </c>
      <c r="H12708" s="783">
        <v>4.0000000000000002E-4</v>
      </c>
      <c r="K12708" t="s">
        <v>7132</v>
      </c>
      <c r="L12708" t="s">
        <v>968</v>
      </c>
      <c r="P12708" t="s">
        <v>7153</v>
      </c>
      <c r="V12708">
        <v>78</v>
      </c>
    </row>
    <row r="12709" spans="1:22" customFormat="1" ht="15" x14ac:dyDescent="0.25">
      <c r="A12709" t="s">
        <v>262</v>
      </c>
      <c r="E12709" s="1601" t="s">
        <v>7128</v>
      </c>
      <c r="F12709" s="1601"/>
      <c r="G12709" s="893" t="s">
        <v>845</v>
      </c>
      <c r="H12709" s="783">
        <v>1.5E-3</v>
      </c>
      <c r="K12709" t="s">
        <v>7132</v>
      </c>
      <c r="L12709" t="s">
        <v>968</v>
      </c>
      <c r="P12709" t="s">
        <v>7154</v>
      </c>
      <c r="V12709">
        <v>71</v>
      </c>
    </row>
    <row r="12710" spans="1:22" customFormat="1" ht="15" x14ac:dyDescent="0.25">
      <c r="A12710" t="s">
        <v>262</v>
      </c>
      <c r="E12710" s="1601" t="s">
        <v>848</v>
      </c>
      <c r="F12710" s="1601"/>
      <c r="G12710" s="893" t="s">
        <v>777</v>
      </c>
      <c r="H12710" s="783">
        <v>0.25</v>
      </c>
      <c r="K12710" t="s">
        <v>7132</v>
      </c>
      <c r="L12710" t="s">
        <v>968</v>
      </c>
      <c r="P12710" t="s">
        <v>7155</v>
      </c>
      <c r="V12710">
        <v>63</v>
      </c>
    </row>
    <row r="12711" spans="1:22" customFormat="1" ht="15" x14ac:dyDescent="0.25">
      <c r="A12711" t="s">
        <v>262</v>
      </c>
      <c r="E12711" s="1717" t="s">
        <v>7156</v>
      </c>
      <c r="F12711" s="1498"/>
      <c r="G12711" s="1498"/>
      <c r="H12711" s="1498"/>
      <c r="K12711" t="s">
        <v>7157</v>
      </c>
      <c r="V12711">
        <v>18</v>
      </c>
    </row>
    <row r="12712" spans="1:22" customFormat="1" ht="15" x14ac:dyDescent="0.25">
      <c r="A12712" t="s">
        <v>262</v>
      </c>
      <c r="E12712" s="1609" t="s">
        <v>956</v>
      </c>
      <c r="F12712" s="1663"/>
      <c r="G12712" s="1663"/>
      <c r="H12712" s="1663"/>
      <c r="K12712" t="s">
        <v>995</v>
      </c>
      <c r="V12712">
        <v>46</v>
      </c>
    </row>
    <row r="12713" spans="1:22" customFormat="1" ht="23.25" x14ac:dyDescent="0.25">
      <c r="A12713" t="s">
        <v>262</v>
      </c>
      <c r="E12713" s="837" t="s">
        <v>7158</v>
      </c>
      <c r="F12713" s="981"/>
      <c r="G12713" s="749" t="s">
        <v>777</v>
      </c>
      <c r="H12713" s="783">
        <v>143.96</v>
      </c>
      <c r="K12713" t="s">
        <v>7157</v>
      </c>
      <c r="L12713" t="s">
        <v>690</v>
      </c>
      <c r="P12713" t="s">
        <v>7159</v>
      </c>
      <c r="V12713">
        <v>64</v>
      </c>
    </row>
    <row r="12714" spans="1:22" customFormat="1" ht="15" x14ac:dyDescent="0.25">
      <c r="A12714" t="s">
        <v>262</v>
      </c>
      <c r="E12714" s="837" t="s">
        <v>7160</v>
      </c>
      <c r="F12714" s="981"/>
      <c r="G12714" s="749" t="s">
        <v>777</v>
      </c>
      <c r="H12714" s="783">
        <v>82.64</v>
      </c>
      <c r="K12714" t="s">
        <v>7157</v>
      </c>
      <c r="L12714" t="s">
        <v>690</v>
      </c>
      <c r="P12714" t="s">
        <v>7159</v>
      </c>
      <c r="V12714">
        <v>49</v>
      </c>
    </row>
    <row r="12715" spans="1:22" customFormat="1" ht="15" x14ac:dyDescent="0.25">
      <c r="A12715" t="s">
        <v>262</v>
      </c>
      <c r="E12715" s="1561" t="s">
        <v>960</v>
      </c>
      <c r="F12715" s="1561"/>
      <c r="G12715" s="749" t="s">
        <v>777</v>
      </c>
      <c r="H12715" s="783">
        <v>0.42</v>
      </c>
      <c r="K12715" t="s">
        <v>7157</v>
      </c>
      <c r="L12715" t="s">
        <v>692</v>
      </c>
      <c r="P12715" t="s">
        <v>7161</v>
      </c>
      <c r="V12715">
        <v>64</v>
      </c>
    </row>
    <row r="12716" spans="1:22" customFormat="1" ht="15" x14ac:dyDescent="0.25">
      <c r="A12716" t="s">
        <v>262</v>
      </c>
      <c r="E12716" s="1598" t="s">
        <v>3688</v>
      </c>
      <c r="F12716" s="1598"/>
      <c r="G12716" s="749" t="s">
        <v>845</v>
      </c>
      <c r="H12716" s="783">
        <v>1.21E-2</v>
      </c>
      <c r="K12716" t="s">
        <v>7157</v>
      </c>
      <c r="L12716" t="s">
        <v>690</v>
      </c>
      <c r="P12716" t="s">
        <v>7162</v>
      </c>
      <c r="V12716">
        <v>28</v>
      </c>
    </row>
    <row r="12717" spans="1:22" customFormat="1" ht="15" x14ac:dyDescent="0.25">
      <c r="A12717" t="s">
        <v>262</v>
      </c>
      <c r="E12717" s="1561" t="s">
        <v>7108</v>
      </c>
      <c r="F12717" s="1561"/>
      <c r="G12717" s="749" t="s">
        <v>777</v>
      </c>
      <c r="H12717" s="783">
        <v>-0.44</v>
      </c>
      <c r="K12717" t="s">
        <v>7157</v>
      </c>
      <c r="L12717" t="s">
        <v>690</v>
      </c>
      <c r="P12717" t="s">
        <v>7163</v>
      </c>
      <c r="T12717">
        <v>46022</v>
      </c>
      <c r="V12717">
        <v>107</v>
      </c>
    </row>
    <row r="12718" spans="1:22" customFormat="1" ht="15" x14ac:dyDescent="0.25">
      <c r="A12718" t="s">
        <v>262</v>
      </c>
      <c r="E12718" s="1561" t="s">
        <v>7110</v>
      </c>
      <c r="F12718" s="1561"/>
      <c r="G12718" s="749" t="s">
        <v>845</v>
      </c>
      <c r="H12718" s="783">
        <v>-6.9999999999999999E-4</v>
      </c>
      <c r="K12718" t="s">
        <v>7157</v>
      </c>
      <c r="L12718" t="s">
        <v>692</v>
      </c>
      <c r="P12718" t="s">
        <v>7163</v>
      </c>
      <c r="T12718">
        <v>46022</v>
      </c>
      <c r="V12718">
        <v>107</v>
      </c>
    </row>
    <row r="12719" spans="1:22" customFormat="1" ht="15" x14ac:dyDescent="0.25">
      <c r="A12719" t="s">
        <v>262</v>
      </c>
      <c r="E12719" s="1561" t="s">
        <v>7111</v>
      </c>
      <c r="F12719" s="1561"/>
      <c r="G12719" s="749" t="s">
        <v>845</v>
      </c>
      <c r="H12719" s="783">
        <v>-8.9999999999999998E-4</v>
      </c>
      <c r="K12719" t="s">
        <v>7157</v>
      </c>
      <c r="L12719" t="s">
        <v>692</v>
      </c>
      <c r="P12719" t="s">
        <v>7164</v>
      </c>
      <c r="T12719">
        <v>46022</v>
      </c>
      <c r="V12719">
        <v>112</v>
      </c>
    </row>
    <row r="12720" spans="1:22" customFormat="1" ht="15" x14ac:dyDescent="0.25">
      <c r="A12720" t="s">
        <v>262</v>
      </c>
      <c r="E12720" s="1561" t="s">
        <v>7113</v>
      </c>
      <c r="F12720" s="1561"/>
      <c r="G12720" s="749" t="s">
        <v>845</v>
      </c>
      <c r="H12720" s="783">
        <v>1.1999999999999999E-3</v>
      </c>
      <c r="K12720" t="s">
        <v>7157</v>
      </c>
      <c r="L12720" t="s">
        <v>692</v>
      </c>
      <c r="P12720" t="s">
        <v>7163</v>
      </c>
      <c r="T12720">
        <v>45838</v>
      </c>
      <c r="V12720">
        <v>103</v>
      </c>
    </row>
    <row r="12721" spans="1:22" customFormat="1" ht="15" x14ac:dyDescent="0.25">
      <c r="A12721" t="s">
        <v>262</v>
      </c>
      <c r="E12721" s="1561" t="s">
        <v>7114</v>
      </c>
      <c r="F12721" s="1561"/>
      <c r="G12721" s="749" t="s">
        <v>845</v>
      </c>
      <c r="H12721" s="783">
        <v>2.0000000000000001E-4</v>
      </c>
      <c r="K12721" t="s">
        <v>7157</v>
      </c>
      <c r="L12721" t="s">
        <v>692</v>
      </c>
      <c r="P12721" t="s">
        <v>7165</v>
      </c>
      <c r="T12721">
        <v>45838</v>
      </c>
      <c r="V12721">
        <v>74</v>
      </c>
    </row>
    <row r="12722" spans="1:22" customFormat="1" ht="15" x14ac:dyDescent="0.25">
      <c r="A12722" t="s">
        <v>262</v>
      </c>
      <c r="E12722" s="1561" t="s">
        <v>7116</v>
      </c>
      <c r="F12722" s="1561"/>
      <c r="G12722" s="749" t="s">
        <v>845</v>
      </c>
      <c r="H12722" s="783">
        <v>-4.4999999999999997E-3</v>
      </c>
      <c r="K12722" t="s">
        <v>7157</v>
      </c>
      <c r="L12722" t="s">
        <v>692</v>
      </c>
      <c r="P12722" t="s">
        <v>7164</v>
      </c>
      <c r="T12722">
        <v>45838</v>
      </c>
      <c r="V12722">
        <v>108</v>
      </c>
    </row>
    <row r="12723" spans="1:22" customFormat="1" ht="15" x14ac:dyDescent="0.25">
      <c r="A12723" t="s">
        <v>262</v>
      </c>
      <c r="E12723" s="1561" t="s">
        <v>7117</v>
      </c>
      <c r="F12723" s="1561"/>
      <c r="G12723" s="749" t="s">
        <v>845</v>
      </c>
      <c r="H12723" s="783">
        <v>-5.9999999999999995E-4</v>
      </c>
      <c r="K12723" t="s">
        <v>7157</v>
      </c>
      <c r="L12723" t="s">
        <v>692</v>
      </c>
      <c r="P12723" t="s">
        <v>7166</v>
      </c>
      <c r="T12723">
        <v>45838</v>
      </c>
      <c r="V12723">
        <v>155</v>
      </c>
    </row>
    <row r="12724" spans="1:22" customFormat="1" ht="15" x14ac:dyDescent="0.25">
      <c r="A12724" t="s">
        <v>262</v>
      </c>
      <c r="E12724" s="1561" t="s">
        <v>7119</v>
      </c>
      <c r="F12724" s="1561"/>
      <c r="G12724" s="749" t="s">
        <v>845</v>
      </c>
      <c r="H12724" s="783">
        <v>-3.0000000000000001E-3</v>
      </c>
      <c r="K12724" t="s">
        <v>7157</v>
      </c>
      <c r="L12724" t="s">
        <v>692</v>
      </c>
      <c r="P12724" t="s">
        <v>7163</v>
      </c>
      <c r="T12724">
        <v>46022</v>
      </c>
      <c r="V12724">
        <v>145</v>
      </c>
    </row>
    <row r="12725" spans="1:22" customFormat="1" ht="15" x14ac:dyDescent="0.25">
      <c r="A12725" t="s">
        <v>262</v>
      </c>
      <c r="E12725" s="1561" t="s">
        <v>7120</v>
      </c>
      <c r="F12725" s="1561"/>
      <c r="G12725" s="749" t="s">
        <v>845</v>
      </c>
      <c r="H12725" s="783">
        <v>1E-4</v>
      </c>
      <c r="K12725" t="s">
        <v>7157</v>
      </c>
      <c r="L12725" t="s">
        <v>692</v>
      </c>
      <c r="P12725" t="s">
        <v>7166</v>
      </c>
      <c r="T12725">
        <v>46022</v>
      </c>
      <c r="V12725">
        <v>190</v>
      </c>
    </row>
    <row r="12726" spans="1:22" customFormat="1" ht="15" x14ac:dyDescent="0.25">
      <c r="A12726" t="s">
        <v>262</v>
      </c>
      <c r="E12726" s="1561" t="s">
        <v>7121</v>
      </c>
      <c r="F12726" s="1561"/>
      <c r="G12726" s="749" t="s">
        <v>845</v>
      </c>
      <c r="H12726" s="783">
        <v>1.18E-2</v>
      </c>
      <c r="K12726" t="s">
        <v>7157</v>
      </c>
      <c r="L12726" t="s">
        <v>694</v>
      </c>
      <c r="P12726" t="s">
        <v>7167</v>
      </c>
      <c r="V12726">
        <v>60</v>
      </c>
    </row>
    <row r="12727" spans="1:22" customFormat="1" ht="15" x14ac:dyDescent="0.25">
      <c r="A12727" t="s">
        <v>262</v>
      </c>
      <c r="E12727" s="1561" t="s">
        <v>7123</v>
      </c>
      <c r="F12727" s="1561"/>
      <c r="G12727" s="749" t="s">
        <v>845</v>
      </c>
      <c r="H12727" s="783">
        <v>8.6E-3</v>
      </c>
      <c r="K12727" t="s">
        <v>7157</v>
      </c>
      <c r="L12727" t="s">
        <v>694</v>
      </c>
      <c r="P12727" t="s">
        <v>7168</v>
      </c>
      <c r="V12727">
        <v>87</v>
      </c>
    </row>
    <row r="12728" spans="1:22" customFormat="1" ht="15" x14ac:dyDescent="0.25">
      <c r="A12728" t="s">
        <v>262</v>
      </c>
      <c r="E12728" s="1598" t="s">
        <v>7169</v>
      </c>
      <c r="F12728" s="1598"/>
      <c r="G12728" s="1598"/>
      <c r="H12728" s="1598"/>
      <c r="K12728" t="s">
        <v>7157</v>
      </c>
      <c r="V12728">
        <v>315</v>
      </c>
    </row>
    <row r="12729" spans="1:22" customFormat="1" ht="15" x14ac:dyDescent="0.25">
      <c r="A12729" t="s">
        <v>262</v>
      </c>
      <c r="E12729" s="1598" t="s">
        <v>7170</v>
      </c>
      <c r="F12729" s="1598"/>
      <c r="G12729" s="1598"/>
      <c r="H12729" s="1598"/>
      <c r="K12729" t="s">
        <v>7157</v>
      </c>
      <c r="V12729">
        <v>142</v>
      </c>
    </row>
    <row r="12730" spans="1:22" customFormat="1" ht="15" x14ac:dyDescent="0.25">
      <c r="A12730" t="s">
        <v>262</v>
      </c>
      <c r="E12730" s="1609" t="s">
        <v>967</v>
      </c>
      <c r="F12730" s="1606"/>
      <c r="G12730" s="1606"/>
      <c r="H12730" s="1606"/>
      <c r="K12730" t="s">
        <v>1003</v>
      </c>
      <c r="V12730">
        <v>48</v>
      </c>
    </row>
    <row r="12731" spans="1:22" customFormat="1" ht="15" x14ac:dyDescent="0.25">
      <c r="A12731" t="s">
        <v>262</v>
      </c>
      <c r="E12731" s="1601" t="s">
        <v>7125</v>
      </c>
      <c r="F12731" s="1601"/>
      <c r="G12731" s="893" t="s">
        <v>845</v>
      </c>
      <c r="H12731" s="783">
        <v>4.1000000000000003E-3</v>
      </c>
      <c r="K12731" t="s">
        <v>7157</v>
      </c>
      <c r="L12731" t="s">
        <v>968</v>
      </c>
      <c r="P12731" t="s">
        <v>7171</v>
      </c>
      <c r="V12731">
        <v>69</v>
      </c>
    </row>
    <row r="12732" spans="1:22" customFormat="1" ht="15" x14ac:dyDescent="0.25">
      <c r="A12732" t="s">
        <v>262</v>
      </c>
      <c r="E12732" s="1601" t="s">
        <v>7127</v>
      </c>
      <c r="F12732" s="1601"/>
      <c r="G12732" s="893" t="s">
        <v>845</v>
      </c>
      <c r="H12732" s="783">
        <v>4.0000000000000002E-4</v>
      </c>
      <c r="K12732" t="s">
        <v>7157</v>
      </c>
      <c r="L12732" t="s">
        <v>968</v>
      </c>
      <c r="P12732" t="s">
        <v>7171</v>
      </c>
      <c r="V12732">
        <v>78</v>
      </c>
    </row>
    <row r="12733" spans="1:22" customFormat="1" ht="15" x14ac:dyDescent="0.25">
      <c r="A12733" t="s">
        <v>262</v>
      </c>
      <c r="E12733" s="1601" t="s">
        <v>7128</v>
      </c>
      <c r="F12733" s="1601"/>
      <c r="G12733" s="893" t="s">
        <v>845</v>
      </c>
      <c r="H12733" s="783">
        <v>1.5E-3</v>
      </c>
      <c r="K12733" t="s">
        <v>7157</v>
      </c>
      <c r="L12733" t="s">
        <v>968</v>
      </c>
      <c r="P12733" t="s">
        <v>7172</v>
      </c>
      <c r="V12733">
        <v>71</v>
      </c>
    </row>
    <row r="12734" spans="1:22" customFormat="1" ht="15" x14ac:dyDescent="0.25">
      <c r="A12734" t="s">
        <v>262</v>
      </c>
      <c r="E12734" s="1601" t="s">
        <v>848</v>
      </c>
      <c r="F12734" s="1601"/>
      <c r="G12734" s="893" t="s">
        <v>777</v>
      </c>
      <c r="H12734" s="783">
        <v>0.25</v>
      </c>
      <c r="K12734" t="s">
        <v>7157</v>
      </c>
      <c r="L12734" t="s">
        <v>968</v>
      </c>
      <c r="P12734" t="s">
        <v>7173</v>
      </c>
      <c r="V12734">
        <v>63</v>
      </c>
    </row>
    <row r="12735" spans="1:22" customFormat="1" x14ac:dyDescent="0.25">
      <c r="A12735" t="s">
        <v>262</v>
      </c>
      <c r="E12735" s="1619" t="s">
        <v>7174</v>
      </c>
      <c r="F12735" s="1620"/>
      <c r="G12735" s="1620"/>
      <c r="H12735" s="1620"/>
      <c r="K12735" t="s">
        <v>7175</v>
      </c>
      <c r="V12735">
        <v>70</v>
      </c>
    </row>
    <row r="12736" spans="1:22" customFormat="1" ht="15" x14ac:dyDescent="0.25">
      <c r="A12736" t="s">
        <v>262</v>
      </c>
      <c r="E12736" s="1605" t="s">
        <v>7176</v>
      </c>
      <c r="F12736" s="1605"/>
      <c r="G12736" s="1605"/>
      <c r="H12736" s="1605"/>
      <c r="K12736" t="s">
        <v>7175</v>
      </c>
      <c r="V12736">
        <v>922</v>
      </c>
    </row>
    <row r="12737" spans="1:22" customFormat="1" ht="15" x14ac:dyDescent="0.25">
      <c r="A12737" t="s">
        <v>262</v>
      </c>
      <c r="E12737" s="1700" t="s">
        <v>950</v>
      </c>
      <c r="F12737" s="1605"/>
      <c r="G12737" s="1605"/>
      <c r="H12737" s="1605"/>
      <c r="K12737" t="s">
        <v>1010</v>
      </c>
      <c r="V12737">
        <v>11</v>
      </c>
    </row>
    <row r="12738" spans="1:22" customFormat="1" ht="15" x14ac:dyDescent="0.25">
      <c r="A12738" t="s">
        <v>262</v>
      </c>
      <c r="E12738" s="1605" t="s">
        <v>7177</v>
      </c>
      <c r="F12738" s="1605"/>
      <c r="G12738" s="1605"/>
      <c r="H12738" s="1605"/>
      <c r="K12738" t="s">
        <v>7175</v>
      </c>
      <c r="V12738">
        <v>106</v>
      </c>
    </row>
    <row r="12739" spans="1:22" customFormat="1" ht="15" x14ac:dyDescent="0.25">
      <c r="A12739" t="s">
        <v>262</v>
      </c>
      <c r="E12739" s="1625" t="s">
        <v>7178</v>
      </c>
      <c r="F12739" s="1625"/>
      <c r="G12739" s="1625"/>
      <c r="H12739" s="1625"/>
      <c r="K12739" t="s">
        <v>7175</v>
      </c>
      <c r="V12739">
        <v>227</v>
      </c>
    </row>
    <row r="12740" spans="1:22" customFormat="1" ht="15" x14ac:dyDescent="0.25">
      <c r="A12740" t="s">
        <v>262</v>
      </c>
      <c r="E12740" s="1605" t="s">
        <v>951</v>
      </c>
      <c r="F12740" s="1605"/>
      <c r="G12740" s="1605"/>
      <c r="H12740" s="1605"/>
      <c r="K12740" t="s">
        <v>7175</v>
      </c>
      <c r="V12740">
        <v>280</v>
      </c>
    </row>
    <row r="12741" spans="1:22" customFormat="1" ht="15" x14ac:dyDescent="0.25">
      <c r="A12741" t="s">
        <v>262</v>
      </c>
      <c r="E12741" s="1605" t="s">
        <v>952</v>
      </c>
      <c r="F12741" s="1605"/>
      <c r="G12741" s="1605"/>
      <c r="H12741" s="1605"/>
      <c r="K12741" t="s">
        <v>7175</v>
      </c>
      <c r="V12741">
        <v>411</v>
      </c>
    </row>
    <row r="12742" spans="1:22" customFormat="1" ht="15" x14ac:dyDescent="0.25">
      <c r="A12742" t="s">
        <v>262</v>
      </c>
      <c r="E12742" s="1605" t="s">
        <v>953</v>
      </c>
      <c r="F12742" s="1605"/>
      <c r="G12742" s="1605"/>
      <c r="H12742" s="1605"/>
      <c r="K12742" t="s">
        <v>7175</v>
      </c>
      <c r="V12742">
        <v>386</v>
      </c>
    </row>
    <row r="12743" spans="1:22" customFormat="1" ht="15" x14ac:dyDescent="0.25">
      <c r="A12743" t="s">
        <v>262</v>
      </c>
      <c r="E12743" s="1605" t="s">
        <v>7179</v>
      </c>
      <c r="F12743" s="1605"/>
      <c r="G12743" s="1605"/>
      <c r="H12743" s="1605"/>
      <c r="K12743" t="s">
        <v>7175</v>
      </c>
      <c r="V12743">
        <v>678</v>
      </c>
    </row>
    <row r="12744" spans="1:22" customFormat="1" ht="15" x14ac:dyDescent="0.25">
      <c r="A12744" t="s">
        <v>262</v>
      </c>
      <c r="E12744" s="1605" t="s">
        <v>5174</v>
      </c>
      <c r="F12744" s="1605"/>
      <c r="G12744" s="1605"/>
      <c r="H12744" s="1605"/>
      <c r="K12744" t="s">
        <v>7175</v>
      </c>
      <c r="V12744">
        <v>693</v>
      </c>
    </row>
    <row r="12745" spans="1:22" customFormat="1" ht="15" x14ac:dyDescent="0.25">
      <c r="A12745" t="s">
        <v>262</v>
      </c>
      <c r="E12745" s="1605" t="s">
        <v>954</v>
      </c>
      <c r="F12745" s="1605"/>
      <c r="G12745" s="1605"/>
      <c r="H12745" s="1605"/>
      <c r="K12745" t="s">
        <v>7175</v>
      </c>
      <c r="V12745">
        <v>246</v>
      </c>
    </row>
    <row r="12746" spans="1:22" customFormat="1" ht="15" x14ac:dyDescent="0.25">
      <c r="A12746" t="s">
        <v>262</v>
      </c>
      <c r="E12746" s="1659" t="s">
        <v>7180</v>
      </c>
      <c r="F12746" s="1660"/>
      <c r="G12746" s="1660"/>
      <c r="H12746" s="1660"/>
      <c r="K12746" t="s">
        <v>7181</v>
      </c>
      <c r="V12746">
        <v>41</v>
      </c>
    </row>
    <row r="12747" spans="1:22" customFormat="1" ht="15" x14ac:dyDescent="0.25">
      <c r="A12747" t="s">
        <v>262</v>
      </c>
      <c r="E12747" s="1605" t="s">
        <v>7182</v>
      </c>
      <c r="F12747" s="1605"/>
      <c r="G12747" s="1605"/>
      <c r="H12747" s="1605"/>
      <c r="K12747" t="s">
        <v>7181</v>
      </c>
      <c r="V12747">
        <v>179</v>
      </c>
    </row>
    <row r="12748" spans="1:22" customFormat="1" ht="15" x14ac:dyDescent="0.25">
      <c r="A12748" t="s">
        <v>262</v>
      </c>
      <c r="E12748" s="1609" t="s">
        <v>956</v>
      </c>
      <c r="F12748" s="1609"/>
      <c r="G12748" s="1609"/>
      <c r="H12748" s="1609"/>
      <c r="K12748" t="s">
        <v>1026</v>
      </c>
      <c r="V12748">
        <v>46</v>
      </c>
    </row>
    <row r="12749" spans="1:22" customFormat="1" ht="15" x14ac:dyDescent="0.25">
      <c r="A12749" t="s">
        <v>262</v>
      </c>
      <c r="E12749" s="1606" t="s">
        <v>3773</v>
      </c>
      <c r="F12749" s="1606"/>
      <c r="G12749" s="893" t="s">
        <v>777</v>
      </c>
      <c r="H12749" s="783">
        <v>25.51</v>
      </c>
      <c r="K12749" t="s">
        <v>7181</v>
      </c>
      <c r="L12749" t="s">
        <v>690</v>
      </c>
      <c r="P12749" t="s">
        <v>7183</v>
      </c>
      <c r="V12749">
        <v>14</v>
      </c>
    </row>
    <row r="12750" spans="1:22" customFormat="1" ht="15" x14ac:dyDescent="0.25">
      <c r="A12750" t="s">
        <v>262</v>
      </c>
      <c r="E12750" s="1606" t="s">
        <v>960</v>
      </c>
      <c r="F12750" s="1606"/>
      <c r="G12750" s="893" t="s">
        <v>777</v>
      </c>
      <c r="H12750" s="783">
        <v>0.42</v>
      </c>
      <c r="K12750" t="s">
        <v>7181</v>
      </c>
      <c r="L12750" t="s">
        <v>692</v>
      </c>
      <c r="P12750" t="s">
        <v>7184</v>
      </c>
      <c r="V12750">
        <v>64</v>
      </c>
    </row>
    <row r="12751" spans="1:22" customFormat="1" ht="15" x14ac:dyDescent="0.25">
      <c r="A12751" t="s">
        <v>262</v>
      </c>
      <c r="E12751" s="1606" t="s">
        <v>3688</v>
      </c>
      <c r="F12751" s="1606"/>
      <c r="G12751" s="893" t="s">
        <v>845</v>
      </c>
      <c r="H12751" s="783">
        <v>3.6999999999999998E-2</v>
      </c>
      <c r="K12751" t="s">
        <v>7181</v>
      </c>
      <c r="L12751" t="s">
        <v>690</v>
      </c>
      <c r="P12751" t="s">
        <v>7185</v>
      </c>
      <c r="V12751">
        <v>28</v>
      </c>
    </row>
    <row r="12752" spans="1:22" customFormat="1" ht="15" x14ac:dyDescent="0.25">
      <c r="A12752" t="s">
        <v>262</v>
      </c>
      <c r="E12752" s="1606" t="s">
        <v>7110</v>
      </c>
      <c r="F12752" s="1606"/>
      <c r="G12752" s="893" t="s">
        <v>845</v>
      </c>
      <c r="H12752" s="783">
        <v>-6.9999999999999999E-4</v>
      </c>
      <c r="K12752" t="s">
        <v>7181</v>
      </c>
      <c r="L12752" t="s">
        <v>692</v>
      </c>
      <c r="P12752" t="s">
        <v>7186</v>
      </c>
      <c r="T12752">
        <v>46022</v>
      </c>
      <c r="V12752">
        <v>107</v>
      </c>
    </row>
    <row r="12753" spans="1:22" customFormat="1" ht="15" x14ac:dyDescent="0.25">
      <c r="A12753" t="s">
        <v>262</v>
      </c>
      <c r="E12753" s="1606" t="s">
        <v>7108</v>
      </c>
      <c r="F12753" s="1606"/>
      <c r="G12753" s="893" t="s">
        <v>845</v>
      </c>
      <c r="H12753" s="783">
        <v>-1E-4</v>
      </c>
      <c r="K12753" t="s">
        <v>7181</v>
      </c>
      <c r="L12753" t="s">
        <v>690</v>
      </c>
      <c r="P12753" t="s">
        <v>7186</v>
      </c>
      <c r="T12753">
        <v>46022</v>
      </c>
      <c r="V12753">
        <v>107</v>
      </c>
    </row>
    <row r="12754" spans="1:22" customFormat="1" ht="15" x14ac:dyDescent="0.25">
      <c r="A12754" t="s">
        <v>262</v>
      </c>
      <c r="E12754" s="1606" t="s">
        <v>7111</v>
      </c>
      <c r="F12754" s="1606"/>
      <c r="G12754" s="893" t="s">
        <v>845</v>
      </c>
      <c r="H12754" s="783">
        <v>-8.9999999999999998E-4</v>
      </c>
      <c r="K12754" t="s">
        <v>7181</v>
      </c>
      <c r="L12754" t="s">
        <v>692</v>
      </c>
      <c r="P12754" t="s">
        <v>7187</v>
      </c>
      <c r="T12754">
        <v>46022</v>
      </c>
      <c r="V12754">
        <v>112</v>
      </c>
    </row>
    <row r="12755" spans="1:22" customFormat="1" ht="15" x14ac:dyDescent="0.25">
      <c r="A12755" t="s">
        <v>262</v>
      </c>
      <c r="E12755" s="1561" t="s">
        <v>7113</v>
      </c>
      <c r="F12755" s="1561"/>
      <c r="G12755" s="749" t="s">
        <v>845</v>
      </c>
      <c r="H12755" s="783">
        <v>1.4E-3</v>
      </c>
      <c r="K12755" t="s">
        <v>7181</v>
      </c>
      <c r="L12755" t="s">
        <v>692</v>
      </c>
      <c r="P12755" t="s">
        <v>7186</v>
      </c>
      <c r="T12755">
        <v>45838</v>
      </c>
      <c r="V12755">
        <v>103</v>
      </c>
    </row>
    <row r="12756" spans="1:22" customFormat="1" ht="15" x14ac:dyDescent="0.25">
      <c r="A12756" t="s">
        <v>262</v>
      </c>
      <c r="E12756" s="1561" t="s">
        <v>7114</v>
      </c>
      <c r="F12756" s="1561"/>
      <c r="G12756" s="749" t="s">
        <v>845</v>
      </c>
      <c r="H12756" s="783">
        <v>4.0000000000000002E-4</v>
      </c>
      <c r="K12756" t="s">
        <v>7181</v>
      </c>
      <c r="L12756" t="s">
        <v>692</v>
      </c>
      <c r="P12756" t="s">
        <v>7188</v>
      </c>
      <c r="T12756">
        <v>45838</v>
      </c>
      <c r="V12756">
        <v>74</v>
      </c>
    </row>
    <row r="12757" spans="1:22" customFormat="1" ht="15" x14ac:dyDescent="0.25">
      <c r="A12757" t="s">
        <v>262</v>
      </c>
      <c r="E12757" s="1561" t="s">
        <v>7116</v>
      </c>
      <c r="F12757" s="1561"/>
      <c r="G12757" s="749" t="s">
        <v>845</v>
      </c>
      <c r="H12757" s="783">
        <v>-4.4999999999999997E-3</v>
      </c>
      <c r="K12757" t="s">
        <v>7181</v>
      </c>
      <c r="L12757" t="s">
        <v>692</v>
      </c>
      <c r="P12757" t="s">
        <v>7187</v>
      </c>
      <c r="T12757">
        <v>45838</v>
      </c>
      <c r="V12757">
        <v>108</v>
      </c>
    </row>
    <row r="12758" spans="1:22" customFormat="1" ht="15" x14ac:dyDescent="0.25">
      <c r="A12758" t="s">
        <v>262</v>
      </c>
      <c r="E12758" s="1561" t="s">
        <v>7117</v>
      </c>
      <c r="F12758" s="1561"/>
      <c r="G12758" s="749" t="s">
        <v>845</v>
      </c>
      <c r="H12758" s="783">
        <v>-5.9999999999999995E-4</v>
      </c>
      <c r="K12758" t="s">
        <v>7181</v>
      </c>
      <c r="L12758" t="s">
        <v>692</v>
      </c>
      <c r="P12758" t="s">
        <v>7189</v>
      </c>
      <c r="T12758">
        <v>45838</v>
      </c>
      <c r="V12758">
        <v>155</v>
      </c>
    </row>
    <row r="12759" spans="1:22" customFormat="1" ht="15" x14ac:dyDescent="0.25">
      <c r="A12759" t="s">
        <v>262</v>
      </c>
      <c r="E12759" s="1561" t="s">
        <v>7119</v>
      </c>
      <c r="F12759" s="1561"/>
      <c r="G12759" s="749" t="s">
        <v>845</v>
      </c>
      <c r="H12759" s="783">
        <v>-2.8999999999999998E-3</v>
      </c>
      <c r="K12759" t="s">
        <v>7181</v>
      </c>
      <c r="L12759" t="s">
        <v>692</v>
      </c>
      <c r="P12759" t="s">
        <v>7186</v>
      </c>
      <c r="T12759">
        <v>46022</v>
      </c>
      <c r="V12759">
        <v>145</v>
      </c>
    </row>
    <row r="12760" spans="1:22" customFormat="1" ht="15" x14ac:dyDescent="0.25">
      <c r="A12760" t="s">
        <v>262</v>
      </c>
      <c r="E12760" s="1561" t="s">
        <v>7120</v>
      </c>
      <c r="F12760" s="1561"/>
      <c r="G12760" s="749" t="s">
        <v>845</v>
      </c>
      <c r="H12760" s="783">
        <v>1E-4</v>
      </c>
      <c r="K12760" t="s">
        <v>7181</v>
      </c>
      <c r="L12760" t="s">
        <v>692</v>
      </c>
      <c r="P12760" t="s">
        <v>7189</v>
      </c>
      <c r="T12760">
        <v>46022</v>
      </c>
      <c r="V12760">
        <v>190</v>
      </c>
    </row>
    <row r="12761" spans="1:22" customFormat="1" ht="15" x14ac:dyDescent="0.25">
      <c r="A12761" t="s">
        <v>262</v>
      </c>
      <c r="E12761" s="1606" t="s">
        <v>7121</v>
      </c>
      <c r="F12761" s="1606"/>
      <c r="G12761" s="893" t="s">
        <v>845</v>
      </c>
      <c r="H12761" s="783">
        <v>1.0800000000000001E-2</v>
      </c>
      <c r="K12761" t="s">
        <v>7181</v>
      </c>
      <c r="L12761" t="s">
        <v>694</v>
      </c>
      <c r="P12761" t="s">
        <v>7190</v>
      </c>
      <c r="V12761">
        <v>60</v>
      </c>
    </row>
    <row r="12762" spans="1:22" customFormat="1" ht="15" x14ac:dyDescent="0.25">
      <c r="A12762" t="s">
        <v>262</v>
      </c>
      <c r="E12762" s="1606" t="s">
        <v>7123</v>
      </c>
      <c r="F12762" s="1606"/>
      <c r="G12762" s="893" t="s">
        <v>845</v>
      </c>
      <c r="H12762" s="783">
        <v>8.3000000000000001E-3</v>
      </c>
      <c r="K12762" t="s">
        <v>7181</v>
      </c>
      <c r="L12762" t="s">
        <v>694</v>
      </c>
      <c r="P12762" t="s">
        <v>7191</v>
      </c>
      <c r="V12762">
        <v>87</v>
      </c>
    </row>
    <row r="12763" spans="1:22" customFormat="1" ht="15" x14ac:dyDescent="0.25">
      <c r="A12763" t="s">
        <v>262</v>
      </c>
      <c r="E12763" s="1609" t="s">
        <v>967</v>
      </c>
      <c r="F12763" s="1606"/>
      <c r="G12763" s="1606"/>
      <c r="H12763" s="1606"/>
      <c r="K12763" t="s">
        <v>1035</v>
      </c>
      <c r="V12763">
        <v>48</v>
      </c>
    </row>
    <row r="12764" spans="1:22" customFormat="1" ht="15" x14ac:dyDescent="0.25">
      <c r="A12764" t="s">
        <v>262</v>
      </c>
      <c r="E12764" s="1601" t="s">
        <v>7125</v>
      </c>
      <c r="F12764" s="1601"/>
      <c r="G12764" s="893" t="s">
        <v>845</v>
      </c>
      <c r="H12764" s="783">
        <v>4.1000000000000003E-3</v>
      </c>
      <c r="K12764" t="s">
        <v>7181</v>
      </c>
      <c r="L12764" t="s">
        <v>968</v>
      </c>
      <c r="P12764" t="s">
        <v>7192</v>
      </c>
      <c r="V12764">
        <v>69</v>
      </c>
    </row>
    <row r="12765" spans="1:22" customFormat="1" ht="15" x14ac:dyDescent="0.25">
      <c r="A12765" t="s">
        <v>262</v>
      </c>
      <c r="E12765" s="1601" t="s">
        <v>7127</v>
      </c>
      <c r="F12765" s="1601"/>
      <c r="G12765" s="893" t="s">
        <v>845</v>
      </c>
      <c r="H12765" s="783">
        <v>4.0000000000000002E-4</v>
      </c>
      <c r="K12765" t="s">
        <v>7181</v>
      </c>
      <c r="L12765" t="s">
        <v>968</v>
      </c>
      <c r="P12765" t="s">
        <v>7192</v>
      </c>
      <c r="V12765">
        <v>78</v>
      </c>
    </row>
    <row r="12766" spans="1:22" customFormat="1" ht="15" x14ac:dyDescent="0.25">
      <c r="A12766" t="s">
        <v>262</v>
      </c>
      <c r="E12766" s="1601" t="s">
        <v>7128</v>
      </c>
      <c r="F12766" s="1601"/>
      <c r="G12766" s="893" t="s">
        <v>845</v>
      </c>
      <c r="H12766" s="783">
        <v>1.5E-3</v>
      </c>
      <c r="K12766" t="s">
        <v>7181</v>
      </c>
      <c r="L12766" t="s">
        <v>968</v>
      </c>
      <c r="P12766" t="s">
        <v>7193</v>
      </c>
      <c r="V12766">
        <v>71</v>
      </c>
    </row>
    <row r="12767" spans="1:22" customFormat="1" ht="15" x14ac:dyDescent="0.25">
      <c r="A12767" t="s">
        <v>262</v>
      </c>
      <c r="E12767" s="1601" t="s">
        <v>848</v>
      </c>
      <c r="F12767" s="1601"/>
      <c r="G12767" s="893" t="s">
        <v>777</v>
      </c>
      <c r="H12767" s="783">
        <v>0.25</v>
      </c>
      <c r="K12767" t="s">
        <v>7181</v>
      </c>
      <c r="L12767" t="s">
        <v>968</v>
      </c>
      <c r="P12767" t="s">
        <v>7194</v>
      </c>
      <c r="V12767">
        <v>63</v>
      </c>
    </row>
    <row r="12768" spans="1:22" customFormat="1" ht="15" x14ac:dyDescent="0.25">
      <c r="A12768" t="s">
        <v>262</v>
      </c>
      <c r="E12768" s="1659" t="s">
        <v>7195</v>
      </c>
      <c r="F12768" s="1660"/>
      <c r="G12768" s="1660"/>
      <c r="H12768" s="1660"/>
      <c r="K12768" t="s">
        <v>7196</v>
      </c>
      <c r="V12768">
        <v>35</v>
      </c>
    </row>
    <row r="12769" spans="1:22" customFormat="1" ht="15" x14ac:dyDescent="0.25">
      <c r="A12769" t="s">
        <v>262</v>
      </c>
      <c r="E12769" s="1605" t="s">
        <v>7197</v>
      </c>
      <c r="F12769" s="1605"/>
      <c r="G12769" s="1605"/>
      <c r="H12769" s="1605"/>
      <c r="K12769" t="s">
        <v>7196</v>
      </c>
      <c r="V12769">
        <v>183</v>
      </c>
    </row>
    <row r="12770" spans="1:22" customFormat="1" ht="15" x14ac:dyDescent="0.25">
      <c r="A12770" t="s">
        <v>262</v>
      </c>
      <c r="E12770" s="1609" t="s">
        <v>956</v>
      </c>
      <c r="F12770" s="1609"/>
      <c r="G12770" s="1609"/>
      <c r="H12770" s="1609"/>
      <c r="K12770" t="s">
        <v>1042</v>
      </c>
      <c r="V12770">
        <v>46</v>
      </c>
    </row>
    <row r="12771" spans="1:22" customFormat="1" ht="15" x14ac:dyDescent="0.25">
      <c r="A12771" t="s">
        <v>262</v>
      </c>
      <c r="E12771" s="1610" t="s">
        <v>3773</v>
      </c>
      <c r="F12771" s="1610"/>
      <c r="G12771" s="893" t="s">
        <v>777</v>
      </c>
      <c r="H12771" s="783">
        <v>32.78</v>
      </c>
      <c r="K12771" t="s">
        <v>7196</v>
      </c>
      <c r="L12771" t="s">
        <v>690</v>
      </c>
      <c r="P12771" t="s">
        <v>7198</v>
      </c>
      <c r="V12771">
        <v>14</v>
      </c>
    </row>
    <row r="12772" spans="1:22" customFormat="1" ht="15" x14ac:dyDescent="0.25">
      <c r="A12772" t="s">
        <v>262</v>
      </c>
      <c r="E12772" s="1561" t="s">
        <v>960</v>
      </c>
      <c r="F12772" s="1561"/>
      <c r="G12772" s="893" t="s">
        <v>777</v>
      </c>
      <c r="H12772" s="783">
        <v>0.42</v>
      </c>
      <c r="K12772" t="s">
        <v>7196</v>
      </c>
      <c r="L12772" t="s">
        <v>692</v>
      </c>
      <c r="P12772" t="s">
        <v>7199</v>
      </c>
      <c r="V12772">
        <v>64</v>
      </c>
    </row>
    <row r="12773" spans="1:22" customFormat="1" ht="15" x14ac:dyDescent="0.25">
      <c r="A12773" t="s">
        <v>262</v>
      </c>
      <c r="E12773" s="1610" t="s">
        <v>3688</v>
      </c>
      <c r="F12773" s="1610"/>
      <c r="G12773" s="893" t="s">
        <v>845</v>
      </c>
      <c r="H12773" s="783">
        <v>7.6799999999999993E-2</v>
      </c>
      <c r="K12773" t="s">
        <v>7196</v>
      </c>
      <c r="L12773" t="s">
        <v>690</v>
      </c>
      <c r="P12773" t="s">
        <v>7200</v>
      </c>
      <c r="V12773">
        <v>28</v>
      </c>
    </row>
    <row r="12774" spans="1:22" customFormat="1" ht="15" x14ac:dyDescent="0.25">
      <c r="A12774" t="s">
        <v>262</v>
      </c>
      <c r="E12774" s="1561" t="s">
        <v>7137</v>
      </c>
      <c r="F12774" s="1561"/>
      <c r="G12774" s="893" t="s">
        <v>845</v>
      </c>
      <c r="H12774" s="783">
        <v>-6.9999999999999999E-4</v>
      </c>
      <c r="K12774" t="s">
        <v>7196</v>
      </c>
      <c r="L12774" t="s">
        <v>692</v>
      </c>
      <c r="P12774" t="s">
        <v>7201</v>
      </c>
      <c r="T12774">
        <v>46022</v>
      </c>
      <c r="V12774">
        <v>164</v>
      </c>
    </row>
    <row r="12775" spans="1:22" customFormat="1" ht="15" x14ac:dyDescent="0.25">
      <c r="A12775" t="s">
        <v>262</v>
      </c>
      <c r="E12775" s="1561" t="s">
        <v>7135</v>
      </c>
      <c r="F12775" s="1561"/>
      <c r="G12775" s="893" t="s">
        <v>845</v>
      </c>
      <c r="H12775" s="783">
        <v>-2.9999999999999997E-4</v>
      </c>
      <c r="K12775" t="s">
        <v>7196</v>
      </c>
      <c r="L12775" t="s">
        <v>690</v>
      </c>
      <c r="P12775" t="s">
        <v>7201</v>
      </c>
      <c r="T12775">
        <v>46022</v>
      </c>
      <c r="V12775">
        <v>164</v>
      </c>
    </row>
    <row r="12776" spans="1:22" customFormat="1" ht="15" x14ac:dyDescent="0.25">
      <c r="A12776" t="s">
        <v>262</v>
      </c>
      <c r="E12776" s="1561" t="s">
        <v>7138</v>
      </c>
      <c r="F12776" s="1561"/>
      <c r="G12776" s="893" t="s">
        <v>845</v>
      </c>
      <c r="H12776" s="783">
        <v>-8.9999999999999998E-4</v>
      </c>
      <c r="K12776" t="s">
        <v>7196</v>
      </c>
      <c r="L12776" t="s">
        <v>692</v>
      </c>
      <c r="P12776" t="s">
        <v>7202</v>
      </c>
      <c r="T12776">
        <v>46022</v>
      </c>
      <c r="V12776">
        <v>169</v>
      </c>
    </row>
    <row r="12777" spans="1:22" customFormat="1" ht="15" x14ac:dyDescent="0.25">
      <c r="A12777" t="s">
        <v>262</v>
      </c>
      <c r="E12777" s="1561" t="s">
        <v>7140</v>
      </c>
      <c r="F12777" s="1561"/>
      <c r="G12777" s="749" t="s">
        <v>845</v>
      </c>
      <c r="H12777" s="783">
        <v>1.4E-3</v>
      </c>
      <c r="K12777" t="s">
        <v>7196</v>
      </c>
      <c r="L12777" t="s">
        <v>692</v>
      </c>
      <c r="P12777" t="s">
        <v>7201</v>
      </c>
      <c r="T12777">
        <v>45838</v>
      </c>
      <c r="V12777">
        <v>160</v>
      </c>
    </row>
    <row r="12778" spans="1:22" customFormat="1" ht="15" x14ac:dyDescent="0.25">
      <c r="A12778" t="s">
        <v>262</v>
      </c>
      <c r="E12778" s="1561" t="s">
        <v>7141</v>
      </c>
      <c r="F12778" s="1561"/>
      <c r="G12778" s="749" t="s">
        <v>845</v>
      </c>
      <c r="H12778" s="783">
        <v>4.0000000000000002E-4</v>
      </c>
      <c r="K12778" t="s">
        <v>7196</v>
      </c>
      <c r="L12778" t="s">
        <v>692</v>
      </c>
      <c r="P12778" t="s">
        <v>7203</v>
      </c>
      <c r="T12778">
        <v>45838</v>
      </c>
      <c r="V12778">
        <v>131</v>
      </c>
    </row>
    <row r="12779" spans="1:22" customFormat="1" ht="15" x14ac:dyDescent="0.25">
      <c r="A12779" t="s">
        <v>262</v>
      </c>
      <c r="E12779" s="1561" t="s">
        <v>7143</v>
      </c>
      <c r="F12779" s="1561"/>
      <c r="G12779" s="749" t="s">
        <v>845</v>
      </c>
      <c r="H12779" s="783">
        <v>-4.4999999999999997E-3</v>
      </c>
      <c r="K12779" t="s">
        <v>7196</v>
      </c>
      <c r="L12779" t="s">
        <v>692</v>
      </c>
      <c r="P12779" t="s">
        <v>7202</v>
      </c>
      <c r="T12779">
        <v>45838</v>
      </c>
      <c r="V12779">
        <v>165</v>
      </c>
    </row>
    <row r="12780" spans="1:22" customFormat="1" ht="15" x14ac:dyDescent="0.25">
      <c r="A12780" t="s">
        <v>262</v>
      </c>
      <c r="E12780" s="1561" t="s">
        <v>7144</v>
      </c>
      <c r="F12780" s="1561"/>
      <c r="G12780" s="749" t="s">
        <v>845</v>
      </c>
      <c r="H12780" s="783">
        <v>-5.9999999999999995E-4</v>
      </c>
      <c r="K12780" t="s">
        <v>7196</v>
      </c>
      <c r="L12780" t="s">
        <v>692</v>
      </c>
      <c r="P12780" t="s">
        <v>7204</v>
      </c>
      <c r="T12780">
        <v>45838</v>
      </c>
      <c r="V12780">
        <v>212</v>
      </c>
    </row>
    <row r="12781" spans="1:22" customFormat="1" ht="15" x14ac:dyDescent="0.25">
      <c r="A12781" t="s">
        <v>262</v>
      </c>
      <c r="E12781" s="1561" t="s">
        <v>7146</v>
      </c>
      <c r="F12781" s="1561"/>
      <c r="G12781" s="749" t="s">
        <v>845</v>
      </c>
      <c r="H12781" s="783">
        <v>-2.8999999999999998E-3</v>
      </c>
      <c r="K12781" t="s">
        <v>7196</v>
      </c>
      <c r="L12781" t="s">
        <v>692</v>
      </c>
      <c r="P12781" t="s">
        <v>7201</v>
      </c>
      <c r="T12781">
        <v>46022</v>
      </c>
      <c r="V12781">
        <v>202</v>
      </c>
    </row>
    <row r="12782" spans="1:22" customFormat="1" ht="15" x14ac:dyDescent="0.25">
      <c r="A12782" t="s">
        <v>262</v>
      </c>
      <c r="E12782" s="1561" t="s">
        <v>7147</v>
      </c>
      <c r="F12782" s="1561"/>
      <c r="G12782" s="749" t="s">
        <v>845</v>
      </c>
      <c r="H12782" s="783">
        <v>1E-4</v>
      </c>
      <c r="K12782" t="s">
        <v>7196</v>
      </c>
      <c r="L12782" t="s">
        <v>692</v>
      </c>
      <c r="P12782" t="s">
        <v>7204</v>
      </c>
      <c r="T12782">
        <v>46022</v>
      </c>
      <c r="V12782">
        <v>247</v>
      </c>
    </row>
    <row r="12783" spans="1:22" customFormat="1" ht="15" x14ac:dyDescent="0.25">
      <c r="A12783" t="s">
        <v>262</v>
      </c>
      <c r="E12783" s="1598" t="s">
        <v>7148</v>
      </c>
      <c r="F12783" s="1699"/>
      <c r="G12783" s="893" t="s">
        <v>845</v>
      </c>
      <c r="H12783" s="783">
        <v>2.7000000000000001E-3</v>
      </c>
      <c r="K12783" t="s">
        <v>7196</v>
      </c>
      <c r="L12783" t="s">
        <v>692</v>
      </c>
      <c r="P12783" t="s">
        <v>7202</v>
      </c>
      <c r="T12783">
        <v>45777</v>
      </c>
      <c r="V12783">
        <v>167</v>
      </c>
    </row>
    <row r="12784" spans="1:22" customFormat="1" ht="15" x14ac:dyDescent="0.25">
      <c r="A12784" t="s">
        <v>262</v>
      </c>
      <c r="E12784" s="1598" t="s">
        <v>7149</v>
      </c>
      <c r="F12784" s="1699"/>
      <c r="G12784" s="893" t="s">
        <v>845</v>
      </c>
      <c r="H12784" s="783">
        <v>2.3999999999999998E-3</v>
      </c>
      <c r="K12784" t="s">
        <v>7196</v>
      </c>
      <c r="L12784" t="s">
        <v>692</v>
      </c>
      <c r="P12784" t="s">
        <v>7201</v>
      </c>
      <c r="T12784">
        <v>45777</v>
      </c>
      <c r="V12784">
        <v>154</v>
      </c>
    </row>
    <row r="12785" spans="1:22" customFormat="1" ht="15" x14ac:dyDescent="0.25">
      <c r="A12785" t="s">
        <v>262</v>
      </c>
      <c r="E12785" s="1561" t="s">
        <v>7121</v>
      </c>
      <c r="F12785" s="1561"/>
      <c r="G12785" s="893" t="s">
        <v>845</v>
      </c>
      <c r="H12785" s="783">
        <v>1.01E-2</v>
      </c>
      <c r="K12785" t="s">
        <v>7196</v>
      </c>
      <c r="L12785" t="s">
        <v>694</v>
      </c>
      <c r="P12785" t="s">
        <v>7205</v>
      </c>
      <c r="V12785">
        <v>60</v>
      </c>
    </row>
    <row r="12786" spans="1:22" customFormat="1" ht="15" x14ac:dyDescent="0.25">
      <c r="A12786" t="s">
        <v>262</v>
      </c>
      <c r="E12786" s="1561" t="s">
        <v>7123</v>
      </c>
      <c r="F12786" s="1561"/>
      <c r="G12786" s="893" t="s">
        <v>845</v>
      </c>
      <c r="H12786" s="783">
        <v>7.7999999999999996E-3</v>
      </c>
      <c r="K12786" t="s">
        <v>7196</v>
      </c>
      <c r="L12786" t="s">
        <v>694</v>
      </c>
      <c r="P12786" t="s">
        <v>7206</v>
      </c>
      <c r="V12786">
        <v>87</v>
      </c>
    </row>
    <row r="12787" spans="1:22" customFormat="1" ht="15" x14ac:dyDescent="0.25">
      <c r="A12787" t="s">
        <v>262</v>
      </c>
      <c r="E12787" s="1609" t="s">
        <v>967</v>
      </c>
      <c r="F12787" s="1606"/>
      <c r="G12787" s="1606"/>
      <c r="H12787" s="1606"/>
      <c r="K12787" t="s">
        <v>1049</v>
      </c>
      <c r="V12787">
        <v>48</v>
      </c>
    </row>
    <row r="12788" spans="1:22" customFormat="1" ht="15" x14ac:dyDescent="0.25">
      <c r="A12788" t="s">
        <v>262</v>
      </c>
      <c r="E12788" s="1601" t="s">
        <v>7125</v>
      </c>
      <c r="F12788" s="1601"/>
      <c r="G12788" s="893" t="s">
        <v>845</v>
      </c>
      <c r="H12788" s="783">
        <v>4.1000000000000003E-3</v>
      </c>
      <c r="K12788" t="s">
        <v>7196</v>
      </c>
      <c r="L12788" t="s">
        <v>968</v>
      </c>
      <c r="P12788" t="s">
        <v>7207</v>
      </c>
      <c r="V12788">
        <v>69</v>
      </c>
    </row>
    <row r="12789" spans="1:22" customFormat="1" ht="15" x14ac:dyDescent="0.25">
      <c r="A12789" t="s">
        <v>262</v>
      </c>
      <c r="E12789" s="1601" t="s">
        <v>7127</v>
      </c>
      <c r="F12789" s="1601"/>
      <c r="G12789" s="893" t="s">
        <v>845</v>
      </c>
      <c r="H12789" s="783">
        <v>4.0000000000000002E-4</v>
      </c>
      <c r="K12789" t="s">
        <v>7196</v>
      </c>
      <c r="L12789" t="s">
        <v>968</v>
      </c>
      <c r="P12789" t="s">
        <v>7207</v>
      </c>
      <c r="V12789">
        <v>78</v>
      </c>
    </row>
    <row r="12790" spans="1:22" customFormat="1" ht="15" x14ac:dyDescent="0.25">
      <c r="A12790" t="s">
        <v>262</v>
      </c>
      <c r="E12790" s="1601" t="s">
        <v>7128</v>
      </c>
      <c r="F12790" s="1601"/>
      <c r="G12790" s="893" t="s">
        <v>845</v>
      </c>
      <c r="H12790" s="783">
        <v>1.5E-3</v>
      </c>
      <c r="K12790" t="s">
        <v>7196</v>
      </c>
      <c r="L12790" t="s">
        <v>968</v>
      </c>
      <c r="P12790" t="s">
        <v>7208</v>
      </c>
      <c r="V12790">
        <v>71</v>
      </c>
    </row>
    <row r="12791" spans="1:22" customFormat="1" ht="15" x14ac:dyDescent="0.25">
      <c r="A12791" t="s">
        <v>262</v>
      </c>
      <c r="E12791" s="1601" t="s">
        <v>848</v>
      </c>
      <c r="F12791" s="1601"/>
      <c r="G12791" s="893" t="s">
        <v>777</v>
      </c>
      <c r="H12791" s="783">
        <v>0.25</v>
      </c>
      <c r="K12791" t="s">
        <v>7196</v>
      </c>
      <c r="L12791" t="s">
        <v>968</v>
      </c>
      <c r="P12791" t="s">
        <v>7209</v>
      </c>
      <c r="V12791">
        <v>63</v>
      </c>
    </row>
    <row r="12792" spans="1:22" customFormat="1" ht="15" x14ac:dyDescent="0.25">
      <c r="A12792" t="s">
        <v>262</v>
      </c>
      <c r="E12792" s="1659" t="s">
        <v>7210</v>
      </c>
      <c r="F12792" s="1660"/>
      <c r="G12792" s="1660"/>
      <c r="H12792" s="1660"/>
      <c r="K12792" t="s">
        <v>7211</v>
      </c>
      <c r="V12792">
        <v>41</v>
      </c>
    </row>
    <row r="12793" spans="1:22" customFormat="1" ht="15" x14ac:dyDescent="0.25">
      <c r="A12793" t="s">
        <v>262</v>
      </c>
      <c r="E12793" s="1516" t="s">
        <v>7212</v>
      </c>
      <c r="F12793" s="1516"/>
      <c r="G12793" s="1516"/>
      <c r="H12793" s="1516"/>
      <c r="K12793" t="s">
        <v>7211</v>
      </c>
      <c r="V12793">
        <v>541</v>
      </c>
    </row>
    <row r="12794" spans="1:22" customFormat="1" ht="15" x14ac:dyDescent="0.25">
      <c r="A12794" t="s">
        <v>262</v>
      </c>
      <c r="E12794" s="1609" t="s">
        <v>956</v>
      </c>
      <c r="F12794" s="1609"/>
      <c r="G12794" s="1609"/>
      <c r="H12794" s="1609"/>
      <c r="K12794" t="s">
        <v>1056</v>
      </c>
      <c r="V12794">
        <v>46</v>
      </c>
    </row>
    <row r="12795" spans="1:22" customFormat="1" ht="15" x14ac:dyDescent="0.25">
      <c r="A12795" t="s">
        <v>262</v>
      </c>
      <c r="E12795" s="1561" t="s">
        <v>3773</v>
      </c>
      <c r="F12795" s="1561"/>
      <c r="G12795" s="749" t="s">
        <v>777</v>
      </c>
      <c r="H12795" s="783">
        <v>96.47</v>
      </c>
      <c r="K12795" t="s">
        <v>7211</v>
      </c>
      <c r="L12795" t="s">
        <v>690</v>
      </c>
      <c r="P12795" t="s">
        <v>7213</v>
      </c>
      <c r="V12795">
        <v>14</v>
      </c>
    </row>
    <row r="12796" spans="1:22" customFormat="1" ht="15" x14ac:dyDescent="0.25">
      <c r="A12796" t="s">
        <v>262</v>
      </c>
      <c r="E12796" s="1561" t="s">
        <v>3688</v>
      </c>
      <c r="F12796" s="1561"/>
      <c r="G12796" s="749" t="s">
        <v>3775</v>
      </c>
      <c r="H12796" s="783">
        <v>12.441599999999999</v>
      </c>
      <c r="K12796" t="s">
        <v>7211</v>
      </c>
      <c r="L12796" t="s">
        <v>690</v>
      </c>
      <c r="P12796" t="s">
        <v>7214</v>
      </c>
      <c r="V12796">
        <v>28</v>
      </c>
    </row>
    <row r="12797" spans="1:22" customFormat="1" ht="15" x14ac:dyDescent="0.25">
      <c r="A12797" t="s">
        <v>262</v>
      </c>
      <c r="E12797" s="1561" t="s">
        <v>7215</v>
      </c>
      <c r="F12797" s="1561"/>
      <c r="G12797" s="749" t="s">
        <v>3775</v>
      </c>
      <c r="H12797" s="783">
        <v>-0.1053</v>
      </c>
      <c r="K12797" t="s">
        <v>7211</v>
      </c>
      <c r="L12797" t="s">
        <v>692</v>
      </c>
      <c r="P12797" t="s">
        <v>7216</v>
      </c>
      <c r="T12797">
        <v>46022</v>
      </c>
      <c r="V12797">
        <v>137</v>
      </c>
    </row>
    <row r="12798" spans="1:22" customFormat="1" ht="15" x14ac:dyDescent="0.25">
      <c r="A12798" t="s">
        <v>262</v>
      </c>
      <c r="E12798" s="1666" t="s">
        <v>7217</v>
      </c>
      <c r="F12798" s="1666"/>
      <c r="G12798" s="749" t="s">
        <v>3775</v>
      </c>
      <c r="H12798" s="783">
        <v>-0.14729999999999999</v>
      </c>
      <c r="K12798" t="s">
        <v>7211</v>
      </c>
      <c r="L12798" t="s">
        <v>692</v>
      </c>
      <c r="P12798" t="s">
        <v>7216</v>
      </c>
      <c r="T12798">
        <v>46022</v>
      </c>
      <c r="V12798">
        <v>138</v>
      </c>
    </row>
    <row r="12799" spans="1:22" customFormat="1" ht="15" x14ac:dyDescent="0.25">
      <c r="A12799" t="s">
        <v>262</v>
      </c>
      <c r="E12799" s="1561" t="s">
        <v>7108</v>
      </c>
      <c r="F12799" s="1561"/>
      <c r="G12799" s="749" t="s">
        <v>3775</v>
      </c>
      <c r="H12799" s="783">
        <v>-4.2099999999999999E-2</v>
      </c>
      <c r="K12799" t="s">
        <v>7211</v>
      </c>
      <c r="L12799" t="s">
        <v>690</v>
      </c>
      <c r="P12799" t="s">
        <v>7216</v>
      </c>
      <c r="T12799">
        <v>46022</v>
      </c>
      <c r="V12799">
        <v>107</v>
      </c>
    </row>
    <row r="12800" spans="1:22" customFormat="1" ht="15" x14ac:dyDescent="0.25">
      <c r="A12800" t="s">
        <v>262</v>
      </c>
      <c r="E12800" s="1561" t="s">
        <v>7111</v>
      </c>
      <c r="F12800" s="1561"/>
      <c r="G12800" s="749" t="s">
        <v>845</v>
      </c>
      <c r="H12800" s="783">
        <v>-8.9999999999999998E-4</v>
      </c>
      <c r="K12800" t="s">
        <v>7211</v>
      </c>
      <c r="L12800" t="s">
        <v>692</v>
      </c>
      <c r="P12800" t="s">
        <v>7218</v>
      </c>
      <c r="T12800">
        <v>46022</v>
      </c>
      <c r="V12800">
        <v>112</v>
      </c>
    </row>
    <row r="12801" spans="1:22" customFormat="1" ht="15" x14ac:dyDescent="0.25">
      <c r="A12801" t="s">
        <v>262</v>
      </c>
      <c r="E12801" s="1561" t="s">
        <v>7219</v>
      </c>
      <c r="F12801" s="1561"/>
      <c r="G12801" s="749" t="s">
        <v>3775</v>
      </c>
      <c r="H12801" s="783">
        <v>0.3216</v>
      </c>
      <c r="K12801" t="s">
        <v>7211</v>
      </c>
      <c r="L12801" t="s">
        <v>692</v>
      </c>
      <c r="P12801" t="s">
        <v>7216</v>
      </c>
      <c r="T12801">
        <v>45838</v>
      </c>
      <c r="V12801">
        <v>133</v>
      </c>
    </row>
    <row r="12802" spans="1:22" customFormat="1" ht="15" x14ac:dyDescent="0.25">
      <c r="A12802" t="s">
        <v>262</v>
      </c>
      <c r="E12802" s="1561" t="s">
        <v>7220</v>
      </c>
      <c r="F12802" s="1561"/>
      <c r="G12802" s="749" t="s">
        <v>3775</v>
      </c>
      <c r="H12802" s="783">
        <v>0.2661</v>
      </c>
      <c r="K12802" t="s">
        <v>7211</v>
      </c>
      <c r="L12802" t="s">
        <v>692</v>
      </c>
      <c r="P12802" t="s">
        <v>7216</v>
      </c>
      <c r="T12802">
        <v>45838</v>
      </c>
      <c r="V12802">
        <v>134</v>
      </c>
    </row>
    <row r="12803" spans="1:22" customFormat="1" ht="15" x14ac:dyDescent="0.25">
      <c r="A12803" t="s">
        <v>262</v>
      </c>
      <c r="E12803" s="1561" t="s">
        <v>7114</v>
      </c>
      <c r="F12803" s="1561"/>
      <c r="G12803" s="749" t="s">
        <v>3775</v>
      </c>
      <c r="H12803" s="783">
        <v>0.34129999999999999</v>
      </c>
      <c r="K12803" t="s">
        <v>7211</v>
      </c>
      <c r="L12803" t="s">
        <v>692</v>
      </c>
      <c r="P12803" t="s">
        <v>7221</v>
      </c>
      <c r="T12803">
        <v>45838</v>
      </c>
      <c r="V12803">
        <v>74</v>
      </c>
    </row>
    <row r="12804" spans="1:22" customFormat="1" ht="15" x14ac:dyDescent="0.25">
      <c r="A12804" t="s">
        <v>262</v>
      </c>
      <c r="E12804" s="1561" t="s">
        <v>7116</v>
      </c>
      <c r="F12804" s="1561"/>
      <c r="G12804" s="749" t="s">
        <v>845</v>
      </c>
      <c r="H12804" s="783">
        <v>-4.4999999999999997E-3</v>
      </c>
      <c r="K12804" t="s">
        <v>7211</v>
      </c>
      <c r="L12804" t="s">
        <v>692</v>
      </c>
      <c r="P12804" t="s">
        <v>7218</v>
      </c>
      <c r="T12804">
        <v>45838</v>
      </c>
      <c r="V12804">
        <v>108</v>
      </c>
    </row>
    <row r="12805" spans="1:22" customFormat="1" ht="15" x14ac:dyDescent="0.25">
      <c r="A12805" t="s">
        <v>262</v>
      </c>
      <c r="E12805" s="1561" t="s">
        <v>7222</v>
      </c>
      <c r="F12805" s="1561"/>
      <c r="G12805" s="749" t="s">
        <v>3775</v>
      </c>
      <c r="H12805" s="783">
        <v>-0.21590000000000001</v>
      </c>
      <c r="K12805" t="s">
        <v>7211</v>
      </c>
      <c r="L12805" t="s">
        <v>692</v>
      </c>
      <c r="P12805" t="s">
        <v>7223</v>
      </c>
      <c r="T12805">
        <v>45838</v>
      </c>
      <c r="V12805">
        <v>155</v>
      </c>
    </row>
    <row r="12806" spans="1:22" customFormat="1" ht="15" x14ac:dyDescent="0.25">
      <c r="A12806" t="s">
        <v>262</v>
      </c>
      <c r="E12806" s="1561" t="s">
        <v>7224</v>
      </c>
      <c r="F12806" s="1561"/>
      <c r="G12806" s="749" t="s">
        <v>3775</v>
      </c>
      <c r="H12806" s="783">
        <v>-0.40479999999999999</v>
      </c>
      <c r="K12806" t="s">
        <v>7211</v>
      </c>
      <c r="L12806" t="s">
        <v>692</v>
      </c>
      <c r="P12806" t="s">
        <v>7216</v>
      </c>
      <c r="T12806">
        <v>46022</v>
      </c>
      <c r="V12806">
        <v>145</v>
      </c>
    </row>
    <row r="12807" spans="1:22" customFormat="1" ht="15" x14ac:dyDescent="0.25">
      <c r="A12807" t="s">
        <v>262</v>
      </c>
      <c r="E12807" s="1561" t="s">
        <v>7225</v>
      </c>
      <c r="F12807" s="1561"/>
      <c r="G12807" s="749" t="s">
        <v>3775</v>
      </c>
      <c r="H12807" s="783">
        <v>-0.69489999999999996</v>
      </c>
      <c r="K12807" t="s">
        <v>7211</v>
      </c>
      <c r="L12807" t="s">
        <v>692</v>
      </c>
      <c r="P12807" t="s">
        <v>7216</v>
      </c>
      <c r="T12807">
        <v>46022</v>
      </c>
      <c r="V12807">
        <v>169</v>
      </c>
    </row>
    <row r="12808" spans="1:22" customFormat="1" ht="15" x14ac:dyDescent="0.25">
      <c r="A12808" t="s">
        <v>262</v>
      </c>
      <c r="E12808" s="1561" t="s">
        <v>7120</v>
      </c>
      <c r="F12808" s="1561"/>
      <c r="G12808" s="749" t="s">
        <v>3775</v>
      </c>
      <c r="H12808" s="783">
        <v>2.12E-2</v>
      </c>
      <c r="K12808" t="s">
        <v>7211</v>
      </c>
      <c r="L12808" t="s">
        <v>692</v>
      </c>
      <c r="P12808" t="s">
        <v>7223</v>
      </c>
      <c r="T12808">
        <v>46022</v>
      </c>
      <c r="V12808">
        <v>190</v>
      </c>
    </row>
    <row r="12809" spans="1:22" customFormat="1" ht="15" x14ac:dyDescent="0.25">
      <c r="A12809" t="s">
        <v>262</v>
      </c>
      <c r="E12809" s="1561" t="s">
        <v>7121</v>
      </c>
      <c r="F12809" s="1561"/>
      <c r="G12809" s="749" t="s">
        <v>3775</v>
      </c>
      <c r="H12809" s="783">
        <v>3.9828000000000001</v>
      </c>
      <c r="K12809" t="s">
        <v>7211</v>
      </c>
      <c r="L12809" t="s">
        <v>694</v>
      </c>
      <c r="P12809" t="s">
        <v>7226</v>
      </c>
      <c r="V12809">
        <v>60</v>
      </c>
    </row>
    <row r="12810" spans="1:22" customFormat="1" ht="15" x14ac:dyDescent="0.25">
      <c r="A12810" t="s">
        <v>262</v>
      </c>
      <c r="E12810" s="1561" t="s">
        <v>7123</v>
      </c>
      <c r="F12810" s="1561"/>
      <c r="G12810" s="749" t="s">
        <v>3775</v>
      </c>
      <c r="H12810" s="783">
        <v>2.9815</v>
      </c>
      <c r="K12810" t="s">
        <v>7211</v>
      </c>
      <c r="L12810" t="s">
        <v>694</v>
      </c>
      <c r="P12810" t="s">
        <v>7227</v>
      </c>
      <c r="V12810">
        <v>87</v>
      </c>
    </row>
    <row r="12811" spans="1:22" customFormat="1" ht="15" x14ac:dyDescent="0.25">
      <c r="A12811" t="s">
        <v>262</v>
      </c>
      <c r="E12811" s="1609" t="s">
        <v>967</v>
      </c>
      <c r="F12811" s="1606"/>
      <c r="G12811" s="1606"/>
      <c r="H12811" s="1606"/>
      <c r="K12811" t="s">
        <v>1065</v>
      </c>
      <c r="V12811">
        <v>48</v>
      </c>
    </row>
    <row r="12812" spans="1:22" customFormat="1" ht="15" x14ac:dyDescent="0.25">
      <c r="A12812" t="s">
        <v>262</v>
      </c>
      <c r="E12812" s="1601" t="s">
        <v>7125</v>
      </c>
      <c r="F12812" s="1601"/>
      <c r="G12812" s="893" t="s">
        <v>845</v>
      </c>
      <c r="H12812" s="783">
        <v>4.1000000000000003E-3</v>
      </c>
      <c r="K12812" t="s">
        <v>7211</v>
      </c>
      <c r="L12812" t="s">
        <v>968</v>
      </c>
      <c r="P12812" t="s">
        <v>7228</v>
      </c>
      <c r="V12812">
        <v>69</v>
      </c>
    </row>
    <row r="12813" spans="1:22" customFormat="1" ht="15" x14ac:dyDescent="0.25">
      <c r="A12813" t="s">
        <v>262</v>
      </c>
      <c r="E12813" s="1601" t="s">
        <v>7127</v>
      </c>
      <c r="F12813" s="1601"/>
      <c r="G12813" s="893" t="s">
        <v>845</v>
      </c>
      <c r="H12813" s="783">
        <v>4.0000000000000002E-4</v>
      </c>
      <c r="K12813" t="s">
        <v>7211</v>
      </c>
      <c r="L12813" t="s">
        <v>968</v>
      </c>
      <c r="P12813" t="s">
        <v>7228</v>
      </c>
      <c r="V12813">
        <v>78</v>
      </c>
    </row>
    <row r="12814" spans="1:22" customFormat="1" ht="15" x14ac:dyDescent="0.25">
      <c r="A12814" t="s">
        <v>262</v>
      </c>
      <c r="E12814" s="1601" t="s">
        <v>7128</v>
      </c>
      <c r="F12814" s="1601"/>
      <c r="G12814" s="893" t="s">
        <v>845</v>
      </c>
      <c r="H12814" s="783">
        <v>1.5E-3</v>
      </c>
      <c r="K12814" t="s">
        <v>7211</v>
      </c>
      <c r="L12814" t="s">
        <v>968</v>
      </c>
      <c r="P12814" t="s">
        <v>7229</v>
      </c>
      <c r="V12814">
        <v>71</v>
      </c>
    </row>
    <row r="12815" spans="1:22" customFormat="1" ht="15" x14ac:dyDescent="0.25">
      <c r="A12815" t="s">
        <v>262</v>
      </c>
      <c r="E12815" s="1601" t="s">
        <v>848</v>
      </c>
      <c r="F12815" s="1601"/>
      <c r="G12815" s="893" t="s">
        <v>777</v>
      </c>
      <c r="H12815" s="783">
        <v>0.25</v>
      </c>
      <c r="K12815" t="s">
        <v>7211</v>
      </c>
      <c r="L12815" t="s">
        <v>968</v>
      </c>
      <c r="P12815" t="s">
        <v>7230</v>
      </c>
      <c r="V12815">
        <v>63</v>
      </c>
    </row>
    <row r="12816" spans="1:22" customFormat="1" ht="15" x14ac:dyDescent="0.25">
      <c r="A12816" t="s">
        <v>262</v>
      </c>
      <c r="E12816" s="1763" t="s">
        <v>7231</v>
      </c>
      <c r="F12816" s="1764"/>
      <c r="G12816" s="1764"/>
      <c r="H12816" s="1764"/>
      <c r="K12816" t="s">
        <v>7232</v>
      </c>
      <c r="V12816">
        <v>35</v>
      </c>
    </row>
    <row r="12817" spans="1:22" customFormat="1" ht="15" x14ac:dyDescent="0.25">
      <c r="A12817" t="s">
        <v>262</v>
      </c>
      <c r="E12817" s="1516" t="s">
        <v>7233</v>
      </c>
      <c r="F12817" s="1516"/>
      <c r="G12817" s="1516"/>
      <c r="H12817" s="1516"/>
      <c r="K12817" t="s">
        <v>7232</v>
      </c>
      <c r="V12817">
        <v>551</v>
      </c>
    </row>
    <row r="12818" spans="1:22" customFormat="1" ht="15" x14ac:dyDescent="0.25">
      <c r="A12818" t="s">
        <v>262</v>
      </c>
      <c r="E12818" s="1609" t="s">
        <v>956</v>
      </c>
      <c r="F12818" s="1609"/>
      <c r="G12818" s="1609"/>
      <c r="H12818" s="1609"/>
      <c r="K12818" t="s">
        <v>1075</v>
      </c>
      <c r="V12818">
        <v>46</v>
      </c>
    </row>
    <row r="12819" spans="1:22" customFormat="1" ht="15" x14ac:dyDescent="0.25">
      <c r="A12819" t="s">
        <v>262</v>
      </c>
      <c r="E12819" s="1561" t="s">
        <v>3773</v>
      </c>
      <c r="F12819" s="1561"/>
      <c r="G12819" s="749" t="s">
        <v>777</v>
      </c>
      <c r="H12819" s="783">
        <v>105.55</v>
      </c>
      <c r="K12819" t="s">
        <v>7232</v>
      </c>
      <c r="L12819" t="s">
        <v>690</v>
      </c>
      <c r="P12819" t="s">
        <v>7234</v>
      </c>
      <c r="V12819">
        <v>14</v>
      </c>
    </row>
    <row r="12820" spans="1:22" customFormat="1" ht="15" x14ac:dyDescent="0.25">
      <c r="A12820" t="s">
        <v>262</v>
      </c>
      <c r="E12820" s="1561" t="s">
        <v>3688</v>
      </c>
      <c r="F12820" s="1561"/>
      <c r="G12820" s="749" t="s">
        <v>3775</v>
      </c>
      <c r="H12820" s="783">
        <v>21.398700000000002</v>
      </c>
      <c r="K12820" t="s">
        <v>7232</v>
      </c>
      <c r="L12820" t="s">
        <v>690</v>
      </c>
      <c r="P12820" t="s">
        <v>7235</v>
      </c>
      <c r="V12820">
        <v>28</v>
      </c>
    </row>
    <row r="12821" spans="1:22" customFormat="1" ht="15" x14ac:dyDescent="0.25">
      <c r="A12821" t="s">
        <v>262</v>
      </c>
      <c r="E12821" s="1561" t="s">
        <v>7236</v>
      </c>
      <c r="F12821" s="1561"/>
      <c r="G12821" s="749" t="s">
        <v>3775</v>
      </c>
      <c r="H12821" s="783">
        <v>-8.5500000000000007E-2</v>
      </c>
      <c r="K12821" t="s">
        <v>7232</v>
      </c>
      <c r="L12821" t="s">
        <v>692</v>
      </c>
      <c r="P12821" t="s">
        <v>7237</v>
      </c>
      <c r="T12821">
        <v>46022</v>
      </c>
      <c r="V12821">
        <v>187</v>
      </c>
    </row>
    <row r="12822" spans="1:22" customFormat="1" ht="15" x14ac:dyDescent="0.25">
      <c r="A12822" t="s">
        <v>262</v>
      </c>
      <c r="E12822" s="1666" t="s">
        <v>7238</v>
      </c>
      <c r="F12822" s="1666"/>
      <c r="G12822" s="749" t="s">
        <v>3775</v>
      </c>
      <c r="H12822" s="783">
        <v>-0.1195</v>
      </c>
      <c r="K12822" t="s">
        <v>7232</v>
      </c>
      <c r="L12822" t="s">
        <v>692</v>
      </c>
      <c r="P12822" t="s">
        <v>7237</v>
      </c>
      <c r="T12822">
        <v>46022</v>
      </c>
      <c r="V12822">
        <v>188</v>
      </c>
    </row>
    <row r="12823" spans="1:22" customFormat="1" ht="15" x14ac:dyDescent="0.25">
      <c r="A12823" t="s">
        <v>262</v>
      </c>
      <c r="E12823" s="1561" t="s">
        <v>7135</v>
      </c>
      <c r="F12823" s="1561"/>
      <c r="G12823" s="749" t="s">
        <v>3775</v>
      </c>
      <c r="H12823" s="783">
        <v>-7.0999999999999994E-2</v>
      </c>
      <c r="K12823" t="s">
        <v>7232</v>
      </c>
      <c r="L12823" t="s">
        <v>690</v>
      </c>
      <c r="P12823" t="s">
        <v>7237</v>
      </c>
      <c r="T12823">
        <v>46022</v>
      </c>
      <c r="V12823">
        <v>164</v>
      </c>
    </row>
    <row r="12824" spans="1:22" customFormat="1" ht="15" x14ac:dyDescent="0.25">
      <c r="A12824" t="s">
        <v>262</v>
      </c>
      <c r="E12824" s="1561" t="s">
        <v>7111</v>
      </c>
      <c r="F12824" s="1561"/>
      <c r="G12824" s="749" t="s">
        <v>845</v>
      </c>
      <c r="H12824" s="783">
        <v>-8.9999999999999998E-4</v>
      </c>
      <c r="K12824" t="s">
        <v>7232</v>
      </c>
      <c r="L12824" t="s">
        <v>692</v>
      </c>
      <c r="P12824" t="s">
        <v>7239</v>
      </c>
      <c r="T12824">
        <v>46022</v>
      </c>
      <c r="V12824">
        <v>112</v>
      </c>
    </row>
    <row r="12825" spans="1:22" customFormat="1" ht="15" x14ac:dyDescent="0.25">
      <c r="A12825" t="s">
        <v>262</v>
      </c>
      <c r="E12825" s="1561" t="s">
        <v>7240</v>
      </c>
      <c r="F12825" s="1561"/>
      <c r="G12825" s="749" t="s">
        <v>3775</v>
      </c>
      <c r="H12825" s="783">
        <v>0.2611</v>
      </c>
      <c r="K12825" t="s">
        <v>7232</v>
      </c>
      <c r="L12825" t="s">
        <v>692</v>
      </c>
      <c r="P12825" t="s">
        <v>7237</v>
      </c>
      <c r="T12825">
        <v>45838</v>
      </c>
      <c r="V12825">
        <v>183</v>
      </c>
    </row>
    <row r="12826" spans="1:22" customFormat="1" ht="15" x14ac:dyDescent="0.25">
      <c r="A12826" t="s">
        <v>262</v>
      </c>
      <c r="E12826" s="1561" t="s">
        <v>7241</v>
      </c>
      <c r="F12826" s="1561"/>
      <c r="G12826" s="749" t="s">
        <v>3775</v>
      </c>
      <c r="H12826" s="783">
        <v>0.21590000000000001</v>
      </c>
      <c r="K12826" t="s">
        <v>7232</v>
      </c>
      <c r="L12826" t="s">
        <v>692</v>
      </c>
      <c r="P12826" t="s">
        <v>7237</v>
      </c>
      <c r="T12826">
        <v>45838</v>
      </c>
      <c r="V12826">
        <v>184</v>
      </c>
    </row>
    <row r="12827" spans="1:22" customFormat="1" ht="15" x14ac:dyDescent="0.25">
      <c r="A12827" t="s">
        <v>262</v>
      </c>
      <c r="E12827" s="1561" t="s">
        <v>7141</v>
      </c>
      <c r="F12827" s="1561"/>
      <c r="G12827" s="749" t="s">
        <v>3775</v>
      </c>
      <c r="H12827" s="783">
        <v>0.38919999999999999</v>
      </c>
      <c r="K12827" t="s">
        <v>7232</v>
      </c>
      <c r="L12827" t="s">
        <v>692</v>
      </c>
      <c r="P12827" t="s">
        <v>7242</v>
      </c>
      <c r="T12827">
        <v>45838</v>
      </c>
      <c r="V12827">
        <v>131</v>
      </c>
    </row>
    <row r="12828" spans="1:22" customFormat="1" ht="15" x14ac:dyDescent="0.25">
      <c r="A12828" t="s">
        <v>262</v>
      </c>
      <c r="E12828" s="1561" t="s">
        <v>7143</v>
      </c>
      <c r="F12828" s="1561"/>
      <c r="G12828" s="749" t="s">
        <v>845</v>
      </c>
      <c r="H12828" s="783">
        <v>-4.4999999999999997E-3</v>
      </c>
      <c r="K12828" t="s">
        <v>7232</v>
      </c>
      <c r="L12828" t="s">
        <v>692</v>
      </c>
      <c r="P12828" t="s">
        <v>7239</v>
      </c>
      <c r="T12828">
        <v>45838</v>
      </c>
      <c r="V12828">
        <v>165</v>
      </c>
    </row>
    <row r="12829" spans="1:22" customFormat="1" ht="15" x14ac:dyDescent="0.25">
      <c r="A12829" t="s">
        <v>262</v>
      </c>
      <c r="E12829" s="1561" t="s">
        <v>7144</v>
      </c>
      <c r="F12829" s="1561"/>
      <c r="G12829" s="749" t="s">
        <v>3775</v>
      </c>
      <c r="H12829" s="783">
        <v>-0.1739</v>
      </c>
      <c r="K12829" t="s">
        <v>7232</v>
      </c>
      <c r="L12829" t="s">
        <v>692</v>
      </c>
      <c r="P12829" t="s">
        <v>7243</v>
      </c>
      <c r="T12829">
        <v>45838</v>
      </c>
      <c r="V12829">
        <v>212</v>
      </c>
    </row>
    <row r="12830" spans="1:22" customFormat="1" ht="15" x14ac:dyDescent="0.25">
      <c r="A12830" t="s">
        <v>262</v>
      </c>
      <c r="E12830" s="1561" t="s">
        <v>7146</v>
      </c>
      <c r="F12830" s="1561"/>
      <c r="G12830" s="749" t="s">
        <v>3775</v>
      </c>
      <c r="H12830" s="783">
        <v>-0.32790000000000002</v>
      </c>
      <c r="K12830" t="s">
        <v>7232</v>
      </c>
      <c r="L12830" t="s">
        <v>692</v>
      </c>
      <c r="P12830" t="s">
        <v>7237</v>
      </c>
      <c r="T12830">
        <v>46022</v>
      </c>
      <c r="V12830">
        <v>202</v>
      </c>
    </row>
    <row r="12831" spans="1:22" customFormat="1" ht="15" x14ac:dyDescent="0.25">
      <c r="A12831" t="s">
        <v>262</v>
      </c>
      <c r="E12831" s="1561" t="s">
        <v>7244</v>
      </c>
      <c r="F12831" s="1561"/>
      <c r="G12831" s="749" t="s">
        <v>3775</v>
      </c>
      <c r="H12831" s="783">
        <v>-0.56240000000000001</v>
      </c>
      <c r="K12831" t="s">
        <v>7232</v>
      </c>
      <c r="L12831" t="s">
        <v>692</v>
      </c>
      <c r="P12831" t="s">
        <v>7237</v>
      </c>
      <c r="T12831">
        <v>46022</v>
      </c>
      <c r="V12831">
        <v>226</v>
      </c>
    </row>
    <row r="12832" spans="1:22" customFormat="1" ht="15" x14ac:dyDescent="0.25">
      <c r="A12832" t="s">
        <v>262</v>
      </c>
      <c r="E12832" s="1561" t="s">
        <v>7147</v>
      </c>
      <c r="F12832" s="1561"/>
      <c r="G12832" s="749" t="s">
        <v>3775</v>
      </c>
      <c r="H12832" s="783">
        <v>1.72E-2</v>
      </c>
      <c r="K12832" t="s">
        <v>7232</v>
      </c>
      <c r="L12832" t="s">
        <v>692</v>
      </c>
      <c r="P12832" t="s">
        <v>7243</v>
      </c>
      <c r="T12832">
        <v>46022</v>
      </c>
      <c r="V12832">
        <v>247</v>
      </c>
    </row>
    <row r="12833" spans="1:22" customFormat="1" ht="15" x14ac:dyDescent="0.25">
      <c r="A12833" t="s">
        <v>262</v>
      </c>
      <c r="E12833" s="1598" t="s">
        <v>7148</v>
      </c>
      <c r="F12833" s="1699"/>
      <c r="G12833" s="481" t="s">
        <v>845</v>
      </c>
      <c r="H12833" s="783">
        <v>2.7000000000000001E-3</v>
      </c>
      <c r="K12833" t="s">
        <v>7232</v>
      </c>
      <c r="L12833" t="s">
        <v>692</v>
      </c>
      <c r="P12833" t="s">
        <v>7239</v>
      </c>
      <c r="T12833">
        <v>45777</v>
      </c>
      <c r="V12833">
        <v>167</v>
      </c>
    </row>
    <row r="12834" spans="1:22" customFormat="1" ht="15" x14ac:dyDescent="0.25">
      <c r="A12834" t="s">
        <v>262</v>
      </c>
      <c r="E12834" s="1598" t="s">
        <v>7149</v>
      </c>
      <c r="F12834" s="1699"/>
      <c r="G12834" s="481" t="s">
        <v>3775</v>
      </c>
      <c r="H12834" s="783">
        <v>0.69189999999999996</v>
      </c>
      <c r="K12834" t="s">
        <v>7232</v>
      </c>
      <c r="L12834" t="s">
        <v>692</v>
      </c>
      <c r="P12834" t="s">
        <v>7237</v>
      </c>
      <c r="T12834">
        <v>45777</v>
      </c>
      <c r="V12834">
        <v>154</v>
      </c>
    </row>
    <row r="12835" spans="1:22" customFormat="1" ht="15" x14ac:dyDescent="0.25">
      <c r="A12835" t="s">
        <v>262</v>
      </c>
      <c r="E12835" s="1561" t="s">
        <v>7121</v>
      </c>
      <c r="F12835" s="1561"/>
      <c r="G12835" s="749" t="s">
        <v>3775</v>
      </c>
      <c r="H12835" s="783">
        <v>3.0836000000000001</v>
      </c>
      <c r="K12835" t="s">
        <v>7232</v>
      </c>
      <c r="L12835" t="s">
        <v>694</v>
      </c>
      <c r="P12835" t="s">
        <v>7245</v>
      </c>
      <c r="V12835">
        <v>60</v>
      </c>
    </row>
    <row r="12836" spans="1:22" customFormat="1" ht="15" x14ac:dyDescent="0.25">
      <c r="A12836" t="s">
        <v>262</v>
      </c>
      <c r="E12836" s="1561" t="s">
        <v>7123</v>
      </c>
      <c r="F12836" s="1561"/>
      <c r="G12836" s="749" t="s">
        <v>3775</v>
      </c>
      <c r="H12836" s="783">
        <v>2.3487</v>
      </c>
      <c r="K12836" t="s">
        <v>7232</v>
      </c>
      <c r="L12836" t="s">
        <v>694</v>
      </c>
      <c r="P12836" t="s">
        <v>7246</v>
      </c>
      <c r="V12836">
        <v>87</v>
      </c>
    </row>
    <row r="12837" spans="1:22" customFormat="1" ht="15" x14ac:dyDescent="0.25">
      <c r="A12837" t="s">
        <v>262</v>
      </c>
      <c r="E12837" s="1609" t="s">
        <v>967</v>
      </c>
      <c r="F12837" s="1606"/>
      <c r="G12837" s="1606"/>
      <c r="H12837" s="1606"/>
      <c r="K12837" t="s">
        <v>3898</v>
      </c>
      <c r="V12837">
        <v>48</v>
      </c>
    </row>
    <row r="12838" spans="1:22" customFormat="1" ht="15" x14ac:dyDescent="0.25">
      <c r="A12838" t="s">
        <v>262</v>
      </c>
      <c r="E12838" s="1601" t="s">
        <v>7125</v>
      </c>
      <c r="F12838" s="1601"/>
      <c r="G12838" s="893" t="s">
        <v>845</v>
      </c>
      <c r="H12838" s="783">
        <v>4.1000000000000003E-3</v>
      </c>
      <c r="K12838" t="s">
        <v>7232</v>
      </c>
      <c r="L12838" t="s">
        <v>968</v>
      </c>
      <c r="P12838" t="s">
        <v>7247</v>
      </c>
      <c r="V12838">
        <v>69</v>
      </c>
    </row>
    <row r="12839" spans="1:22" customFormat="1" ht="15" x14ac:dyDescent="0.25">
      <c r="A12839" t="s">
        <v>262</v>
      </c>
      <c r="E12839" s="1601" t="s">
        <v>7127</v>
      </c>
      <c r="F12839" s="1601"/>
      <c r="G12839" s="893" t="s">
        <v>845</v>
      </c>
      <c r="H12839" s="783">
        <v>4.0000000000000002E-4</v>
      </c>
      <c r="K12839" t="s">
        <v>7232</v>
      </c>
      <c r="L12839" t="s">
        <v>968</v>
      </c>
      <c r="P12839" t="s">
        <v>7247</v>
      </c>
      <c r="V12839">
        <v>78</v>
      </c>
    </row>
    <row r="12840" spans="1:22" customFormat="1" ht="15" x14ac:dyDescent="0.25">
      <c r="A12840" t="s">
        <v>262</v>
      </c>
      <c r="E12840" s="1601" t="s">
        <v>7128</v>
      </c>
      <c r="F12840" s="1601"/>
      <c r="G12840" s="893" t="s">
        <v>845</v>
      </c>
      <c r="H12840" s="783">
        <v>1.5E-3</v>
      </c>
      <c r="K12840" t="s">
        <v>7232</v>
      </c>
      <c r="L12840" t="s">
        <v>968</v>
      </c>
      <c r="P12840" t="s">
        <v>7248</v>
      </c>
      <c r="V12840">
        <v>71</v>
      </c>
    </row>
    <row r="12841" spans="1:22" customFormat="1" ht="15" x14ac:dyDescent="0.25">
      <c r="A12841" t="s">
        <v>262</v>
      </c>
      <c r="E12841" s="1601" t="s">
        <v>848</v>
      </c>
      <c r="F12841" s="1601"/>
      <c r="G12841" s="893" t="s">
        <v>777</v>
      </c>
      <c r="H12841" s="783">
        <v>0.25</v>
      </c>
      <c r="K12841" t="s">
        <v>7232</v>
      </c>
      <c r="L12841" t="s">
        <v>968</v>
      </c>
      <c r="P12841" t="s">
        <v>7249</v>
      </c>
      <c r="V12841">
        <v>63</v>
      </c>
    </row>
    <row r="12842" spans="1:22" customFormat="1" ht="15" x14ac:dyDescent="0.25">
      <c r="A12842" t="s">
        <v>262</v>
      </c>
      <c r="E12842" s="1659" t="s">
        <v>7250</v>
      </c>
      <c r="F12842" s="1660"/>
      <c r="G12842" s="1660"/>
      <c r="H12842" s="1660"/>
      <c r="K12842" t="s">
        <v>7251</v>
      </c>
      <c r="V12842">
        <v>29</v>
      </c>
    </row>
    <row r="12843" spans="1:22" customFormat="1" ht="15" x14ac:dyDescent="0.25">
      <c r="A12843" t="s">
        <v>262</v>
      </c>
      <c r="E12843" s="1516" t="s">
        <v>7252</v>
      </c>
      <c r="F12843" s="1516"/>
      <c r="G12843" s="1516"/>
      <c r="H12843" s="1516"/>
      <c r="K12843" t="s">
        <v>7251</v>
      </c>
      <c r="V12843">
        <v>568</v>
      </c>
    </row>
    <row r="12844" spans="1:22" customFormat="1" ht="15" x14ac:dyDescent="0.25">
      <c r="A12844" t="s">
        <v>262</v>
      </c>
      <c r="E12844" s="1609" t="s">
        <v>956</v>
      </c>
      <c r="F12844" s="1609"/>
      <c r="G12844" s="1609"/>
      <c r="H12844" s="1609"/>
      <c r="K12844" t="s">
        <v>3905</v>
      </c>
      <c r="V12844">
        <v>46</v>
      </c>
    </row>
    <row r="12845" spans="1:22" customFormat="1" ht="15" x14ac:dyDescent="0.25">
      <c r="A12845" t="s">
        <v>262</v>
      </c>
      <c r="E12845" s="1561" t="s">
        <v>3773</v>
      </c>
      <c r="F12845" s="1561"/>
      <c r="G12845" s="749" t="s">
        <v>777</v>
      </c>
      <c r="H12845" s="783">
        <v>199.26</v>
      </c>
      <c r="K12845" t="s">
        <v>7251</v>
      </c>
      <c r="L12845" t="s">
        <v>690</v>
      </c>
      <c r="P12845" t="s">
        <v>7253</v>
      </c>
      <c r="V12845">
        <v>14</v>
      </c>
    </row>
    <row r="12846" spans="1:22" customFormat="1" ht="15" x14ac:dyDescent="0.25">
      <c r="A12846" t="s">
        <v>262</v>
      </c>
      <c r="E12846" s="1561" t="s">
        <v>3688</v>
      </c>
      <c r="F12846" s="1561"/>
      <c r="G12846" s="749" t="s">
        <v>3775</v>
      </c>
      <c r="H12846" s="783">
        <v>14.113800000000001</v>
      </c>
      <c r="K12846" t="s">
        <v>7251</v>
      </c>
      <c r="L12846" t="s">
        <v>690</v>
      </c>
      <c r="P12846" t="s">
        <v>7254</v>
      </c>
      <c r="V12846">
        <v>28</v>
      </c>
    </row>
    <row r="12847" spans="1:22" customFormat="1" ht="15" x14ac:dyDescent="0.25">
      <c r="A12847" t="s">
        <v>262</v>
      </c>
      <c r="E12847" s="1561" t="s">
        <v>7215</v>
      </c>
      <c r="F12847" s="1561"/>
      <c r="G12847" s="749" t="s">
        <v>3775</v>
      </c>
      <c r="H12847" s="783">
        <v>-3.9399999999999998E-2</v>
      </c>
      <c r="K12847" t="s">
        <v>7251</v>
      </c>
      <c r="L12847" t="s">
        <v>692</v>
      </c>
      <c r="P12847" t="s">
        <v>7255</v>
      </c>
      <c r="T12847">
        <v>46022</v>
      </c>
      <c r="V12847">
        <v>137</v>
      </c>
    </row>
    <row r="12848" spans="1:22" customFormat="1" ht="15" x14ac:dyDescent="0.25">
      <c r="A12848" t="s">
        <v>262</v>
      </c>
      <c r="E12848" s="1666" t="s">
        <v>7217</v>
      </c>
      <c r="F12848" s="1666"/>
      <c r="G12848" s="749" t="s">
        <v>3775</v>
      </c>
      <c r="H12848" s="783">
        <v>-5.6500000000000002E-2</v>
      </c>
      <c r="K12848" t="s">
        <v>7251</v>
      </c>
      <c r="L12848" t="s">
        <v>692</v>
      </c>
      <c r="P12848" t="s">
        <v>7255</v>
      </c>
      <c r="T12848">
        <v>46022</v>
      </c>
      <c r="V12848">
        <v>138</v>
      </c>
    </row>
    <row r="12849" spans="1:22" customFormat="1" ht="15" x14ac:dyDescent="0.25">
      <c r="A12849" t="s">
        <v>262</v>
      </c>
      <c r="E12849" s="1561" t="s">
        <v>7108</v>
      </c>
      <c r="F12849" s="1561"/>
      <c r="G12849" s="749" t="s">
        <v>3775</v>
      </c>
      <c r="H12849" s="783">
        <v>-9.2999999999999999E-2</v>
      </c>
      <c r="K12849" t="s">
        <v>7251</v>
      </c>
      <c r="L12849" t="s">
        <v>690</v>
      </c>
      <c r="P12849" t="s">
        <v>7255</v>
      </c>
      <c r="T12849">
        <v>46022</v>
      </c>
      <c r="V12849">
        <v>107</v>
      </c>
    </row>
    <row r="12850" spans="1:22" customFormat="1" ht="15" x14ac:dyDescent="0.25">
      <c r="A12850" t="s">
        <v>262</v>
      </c>
      <c r="E12850" s="1561" t="s">
        <v>7111</v>
      </c>
      <c r="F12850" s="1561"/>
      <c r="G12850" s="749" t="s">
        <v>845</v>
      </c>
      <c r="H12850" s="783">
        <v>-8.9999999999999998E-4</v>
      </c>
      <c r="K12850" t="s">
        <v>7251</v>
      </c>
      <c r="L12850" t="s">
        <v>692</v>
      </c>
      <c r="P12850" t="s">
        <v>7256</v>
      </c>
      <c r="T12850">
        <v>46022</v>
      </c>
      <c r="V12850">
        <v>112</v>
      </c>
    </row>
    <row r="12851" spans="1:22" customFormat="1" ht="15" x14ac:dyDescent="0.25">
      <c r="A12851" t="s">
        <v>262</v>
      </c>
      <c r="E12851" s="1561" t="s">
        <v>7219</v>
      </c>
      <c r="F12851" s="1561"/>
      <c r="G12851" s="749" t="s">
        <v>3775</v>
      </c>
      <c r="H12851" s="783">
        <v>0.12039999999999999</v>
      </c>
      <c r="K12851" t="s">
        <v>7251</v>
      </c>
      <c r="L12851" t="s">
        <v>692</v>
      </c>
      <c r="P12851" t="s">
        <v>7255</v>
      </c>
      <c r="T12851">
        <v>45838</v>
      </c>
      <c r="V12851">
        <v>133</v>
      </c>
    </row>
    <row r="12852" spans="1:22" customFormat="1" ht="15" x14ac:dyDescent="0.25">
      <c r="A12852" t="s">
        <v>262</v>
      </c>
      <c r="E12852" s="1561" t="s">
        <v>7220</v>
      </c>
      <c r="F12852" s="1561"/>
      <c r="G12852" s="749" t="s">
        <v>3775</v>
      </c>
      <c r="H12852" s="783">
        <v>0.10199999999999999</v>
      </c>
      <c r="K12852" t="s">
        <v>7251</v>
      </c>
      <c r="L12852" t="s">
        <v>692</v>
      </c>
      <c r="P12852" t="s">
        <v>7255</v>
      </c>
      <c r="T12852">
        <v>45838</v>
      </c>
      <c r="V12852">
        <v>134</v>
      </c>
    </row>
    <row r="12853" spans="1:22" customFormat="1" ht="15" x14ac:dyDescent="0.25">
      <c r="A12853" t="s">
        <v>262</v>
      </c>
      <c r="E12853" s="1561" t="s">
        <v>7114</v>
      </c>
      <c r="F12853" s="1561"/>
      <c r="G12853" s="749" t="s">
        <v>3775</v>
      </c>
      <c r="H12853" s="783">
        <v>0.1744</v>
      </c>
      <c r="K12853" t="s">
        <v>7251</v>
      </c>
      <c r="L12853" t="s">
        <v>692</v>
      </c>
      <c r="P12853" t="s">
        <v>7257</v>
      </c>
      <c r="T12853">
        <v>45838</v>
      </c>
      <c r="V12853">
        <v>74</v>
      </c>
    </row>
    <row r="12854" spans="1:22" customFormat="1" ht="15" x14ac:dyDescent="0.25">
      <c r="A12854" t="s">
        <v>262</v>
      </c>
      <c r="E12854" s="1561" t="s">
        <v>7116</v>
      </c>
      <c r="F12854" s="1561"/>
      <c r="G12854" s="749" t="s">
        <v>845</v>
      </c>
      <c r="H12854" s="783">
        <v>-4.4999999999999997E-3</v>
      </c>
      <c r="K12854" t="s">
        <v>7251</v>
      </c>
      <c r="L12854" t="s">
        <v>692</v>
      </c>
      <c r="P12854" t="s">
        <v>7256</v>
      </c>
      <c r="T12854">
        <v>45838</v>
      </c>
      <c r="V12854">
        <v>108</v>
      </c>
    </row>
    <row r="12855" spans="1:22" customFormat="1" ht="15" x14ac:dyDescent="0.25">
      <c r="A12855" t="s">
        <v>262</v>
      </c>
      <c r="E12855" s="1561" t="s">
        <v>7222</v>
      </c>
      <c r="F12855" s="1561"/>
      <c r="G12855" s="749" t="s">
        <v>3775</v>
      </c>
      <c r="H12855" s="783">
        <v>-8.2199999999999995E-2</v>
      </c>
      <c r="K12855" t="s">
        <v>7251</v>
      </c>
      <c r="L12855" t="s">
        <v>692</v>
      </c>
      <c r="P12855" t="s">
        <v>7258</v>
      </c>
      <c r="T12855">
        <v>45838</v>
      </c>
      <c r="V12855">
        <v>155</v>
      </c>
    </row>
    <row r="12856" spans="1:22" customFormat="1" ht="15" x14ac:dyDescent="0.25">
      <c r="A12856" t="s">
        <v>262</v>
      </c>
      <c r="E12856" s="1665" t="s">
        <v>7224</v>
      </c>
      <c r="F12856" s="1665"/>
      <c r="G12856" s="749" t="s">
        <v>3775</v>
      </c>
      <c r="H12856" s="783">
        <v>-0.1512</v>
      </c>
      <c r="K12856" t="s">
        <v>7251</v>
      </c>
      <c r="L12856" t="s">
        <v>692</v>
      </c>
      <c r="P12856" t="s">
        <v>7255</v>
      </c>
      <c r="T12856">
        <v>46022</v>
      </c>
      <c r="V12856">
        <v>145</v>
      </c>
    </row>
    <row r="12857" spans="1:22" customFormat="1" ht="15" x14ac:dyDescent="0.25">
      <c r="A12857" t="s">
        <v>262</v>
      </c>
      <c r="E12857" s="1665" t="s">
        <v>7225</v>
      </c>
      <c r="F12857" s="1665"/>
      <c r="G12857" s="749" t="s">
        <v>3775</v>
      </c>
      <c r="H12857" s="783">
        <v>-0.26679999999999998</v>
      </c>
      <c r="K12857" t="s">
        <v>7251</v>
      </c>
      <c r="L12857" t="s">
        <v>692</v>
      </c>
      <c r="P12857" t="s">
        <v>7255</v>
      </c>
      <c r="T12857">
        <v>46022</v>
      </c>
      <c r="V12857">
        <v>169</v>
      </c>
    </row>
    <row r="12858" spans="1:22" customFormat="1" ht="15" x14ac:dyDescent="0.25">
      <c r="A12858" t="s">
        <v>262</v>
      </c>
      <c r="E12858" s="1665" t="s">
        <v>7120</v>
      </c>
      <c r="F12858" s="1665"/>
      <c r="G12858" s="749" t="s">
        <v>3775</v>
      </c>
      <c r="H12858" s="783">
        <v>8.2000000000000007E-3</v>
      </c>
      <c r="K12858" t="s">
        <v>7251</v>
      </c>
      <c r="L12858" t="s">
        <v>692</v>
      </c>
      <c r="P12858" t="s">
        <v>7258</v>
      </c>
      <c r="T12858">
        <v>46022</v>
      </c>
      <c r="V12858">
        <v>190</v>
      </c>
    </row>
    <row r="12859" spans="1:22" customFormat="1" ht="15" x14ac:dyDescent="0.25">
      <c r="A12859" t="s">
        <v>262</v>
      </c>
      <c r="E12859" s="1561" t="s">
        <v>7121</v>
      </c>
      <c r="F12859" s="1561"/>
      <c r="G12859" s="749" t="s">
        <v>3775</v>
      </c>
      <c r="H12859" s="783">
        <v>1.6922999999999999</v>
      </c>
      <c r="K12859" t="s">
        <v>7251</v>
      </c>
      <c r="L12859" t="s">
        <v>694</v>
      </c>
      <c r="P12859" t="s">
        <v>7259</v>
      </c>
      <c r="V12859">
        <v>60</v>
      </c>
    </row>
    <row r="12860" spans="1:22" customFormat="1" ht="15" x14ac:dyDescent="0.25">
      <c r="A12860" t="s">
        <v>262</v>
      </c>
      <c r="E12860" s="1561" t="s">
        <v>7123</v>
      </c>
      <c r="F12860" s="1561"/>
      <c r="G12860" s="749" t="s">
        <v>3775</v>
      </c>
      <c r="H12860" s="783">
        <v>1.0078</v>
      </c>
      <c r="K12860" t="s">
        <v>7251</v>
      </c>
      <c r="L12860" t="s">
        <v>694</v>
      </c>
      <c r="P12860" t="s">
        <v>7260</v>
      </c>
      <c r="V12860">
        <v>87</v>
      </c>
    </row>
    <row r="12861" spans="1:22" customFormat="1" ht="15" x14ac:dyDescent="0.25">
      <c r="A12861" t="s">
        <v>262</v>
      </c>
      <c r="E12861" s="1609" t="s">
        <v>967</v>
      </c>
      <c r="F12861" s="1606"/>
      <c r="G12861" s="1606"/>
      <c r="H12861" s="1606"/>
      <c r="K12861" t="s">
        <v>4015</v>
      </c>
      <c r="V12861">
        <v>48</v>
      </c>
    </row>
    <row r="12862" spans="1:22" customFormat="1" ht="15" x14ac:dyDescent="0.25">
      <c r="A12862" t="s">
        <v>262</v>
      </c>
      <c r="E12862" s="1601" t="s">
        <v>7125</v>
      </c>
      <c r="F12862" s="1601"/>
      <c r="G12862" s="893" t="s">
        <v>845</v>
      </c>
      <c r="H12862" s="783">
        <v>4.1000000000000003E-3</v>
      </c>
      <c r="K12862" t="s">
        <v>7251</v>
      </c>
      <c r="L12862" t="s">
        <v>968</v>
      </c>
      <c r="P12862" t="s">
        <v>7261</v>
      </c>
      <c r="V12862">
        <v>69</v>
      </c>
    </row>
    <row r="12863" spans="1:22" customFormat="1" ht="15" x14ac:dyDescent="0.25">
      <c r="A12863" t="s">
        <v>262</v>
      </c>
      <c r="E12863" s="1601" t="s">
        <v>7127</v>
      </c>
      <c r="F12863" s="1601"/>
      <c r="G12863" s="893" t="s">
        <v>845</v>
      </c>
      <c r="H12863" s="783">
        <v>4.0000000000000002E-4</v>
      </c>
      <c r="K12863" t="s">
        <v>7251</v>
      </c>
      <c r="L12863" t="s">
        <v>968</v>
      </c>
      <c r="P12863" t="s">
        <v>7261</v>
      </c>
      <c r="V12863">
        <v>78</v>
      </c>
    </row>
    <row r="12864" spans="1:22" customFormat="1" ht="15" x14ac:dyDescent="0.25">
      <c r="A12864" t="s">
        <v>262</v>
      </c>
      <c r="E12864" s="1601" t="s">
        <v>7128</v>
      </c>
      <c r="F12864" s="1601"/>
      <c r="G12864" s="893" t="s">
        <v>845</v>
      </c>
      <c r="H12864" s="783">
        <v>1.5E-3</v>
      </c>
      <c r="K12864" t="s">
        <v>7251</v>
      </c>
      <c r="L12864" t="s">
        <v>968</v>
      </c>
      <c r="P12864" t="s">
        <v>7262</v>
      </c>
      <c r="V12864">
        <v>71</v>
      </c>
    </row>
    <row r="12865" spans="1:22" customFormat="1" ht="15" x14ac:dyDescent="0.25">
      <c r="A12865" t="s">
        <v>262</v>
      </c>
      <c r="E12865" s="1601" t="s">
        <v>848</v>
      </c>
      <c r="F12865" s="1601"/>
      <c r="G12865" s="893" t="s">
        <v>777</v>
      </c>
      <c r="H12865" s="783">
        <v>0.25</v>
      </c>
      <c r="K12865" t="s">
        <v>7251</v>
      </c>
      <c r="L12865" t="s">
        <v>968</v>
      </c>
      <c r="P12865" t="s">
        <v>7263</v>
      </c>
      <c r="V12865">
        <v>63</v>
      </c>
    </row>
    <row r="12866" spans="1:22" customFormat="1" ht="15" x14ac:dyDescent="0.25">
      <c r="A12866" t="s">
        <v>262</v>
      </c>
      <c r="E12866" s="1659" t="s">
        <v>7264</v>
      </c>
      <c r="F12866" s="1660"/>
      <c r="G12866" s="1660"/>
      <c r="H12866" s="1660"/>
      <c r="K12866" t="s">
        <v>7265</v>
      </c>
      <c r="V12866">
        <v>21</v>
      </c>
    </row>
    <row r="12867" spans="1:22" customFormat="1" ht="15" x14ac:dyDescent="0.25">
      <c r="A12867" t="s">
        <v>262</v>
      </c>
      <c r="E12867" s="1605" t="s">
        <v>7266</v>
      </c>
      <c r="F12867" s="1605"/>
      <c r="G12867" s="1605"/>
      <c r="H12867" s="1605"/>
      <c r="K12867" t="s">
        <v>7265</v>
      </c>
      <c r="V12867">
        <v>38</v>
      </c>
    </row>
    <row r="12868" spans="1:22" customFormat="1" ht="15" x14ac:dyDescent="0.25">
      <c r="A12868" t="s">
        <v>262</v>
      </c>
      <c r="E12868" s="1661" t="s">
        <v>7267</v>
      </c>
      <c r="F12868" s="1661"/>
      <c r="G12868" s="1661"/>
      <c r="H12868" s="1661"/>
      <c r="K12868" t="s">
        <v>7265</v>
      </c>
      <c r="V12868">
        <v>294</v>
      </c>
    </row>
    <row r="12869" spans="1:22" customFormat="1" ht="15" x14ac:dyDescent="0.25">
      <c r="A12869" t="s">
        <v>262</v>
      </c>
      <c r="E12869" s="1662" t="s">
        <v>7268</v>
      </c>
      <c r="F12869" s="1662"/>
      <c r="G12869" s="1662"/>
      <c r="H12869" s="1662"/>
      <c r="K12869" t="s">
        <v>7265</v>
      </c>
      <c r="V12869">
        <v>487</v>
      </c>
    </row>
    <row r="12870" spans="1:22" customFormat="1" ht="15" x14ac:dyDescent="0.25">
      <c r="A12870" t="s">
        <v>262</v>
      </c>
      <c r="E12870" s="1605" t="s">
        <v>7269</v>
      </c>
      <c r="F12870" s="1605"/>
      <c r="G12870" s="1605"/>
      <c r="H12870" s="1605"/>
      <c r="K12870" t="s">
        <v>7265</v>
      </c>
      <c r="V12870">
        <v>337</v>
      </c>
    </row>
    <row r="12871" spans="1:22" customFormat="1" ht="15" x14ac:dyDescent="0.25">
      <c r="A12871" t="s">
        <v>262</v>
      </c>
      <c r="E12871" s="1605" t="s">
        <v>7270</v>
      </c>
      <c r="F12871" s="1605"/>
      <c r="G12871" s="1605"/>
      <c r="H12871" s="1605"/>
      <c r="K12871" t="s">
        <v>7265</v>
      </c>
      <c r="V12871">
        <v>76</v>
      </c>
    </row>
    <row r="12872" spans="1:22" customFormat="1" ht="15" x14ac:dyDescent="0.25">
      <c r="A12872" t="s">
        <v>262</v>
      </c>
      <c r="E12872" s="1609" t="s">
        <v>956</v>
      </c>
      <c r="F12872" s="1663"/>
      <c r="G12872" s="1663"/>
      <c r="H12872" s="1663"/>
      <c r="K12872" t="s">
        <v>4023</v>
      </c>
      <c r="V12872">
        <v>46</v>
      </c>
    </row>
    <row r="12873" spans="1:22" customFormat="1" ht="15" x14ac:dyDescent="0.25">
      <c r="A12873" t="s">
        <v>262</v>
      </c>
      <c r="E12873" s="1561" t="s">
        <v>3773</v>
      </c>
      <c r="F12873" s="1561"/>
      <c r="G12873" s="749" t="s">
        <v>777</v>
      </c>
      <c r="H12873" s="783">
        <v>824.28</v>
      </c>
      <c r="K12873" t="s">
        <v>7265</v>
      </c>
      <c r="L12873" t="s">
        <v>690</v>
      </c>
      <c r="P12873" t="s">
        <v>7271</v>
      </c>
      <c r="V12873">
        <v>14</v>
      </c>
    </row>
    <row r="12874" spans="1:22" customFormat="1" ht="15" x14ac:dyDescent="0.25">
      <c r="A12874" t="s">
        <v>262</v>
      </c>
      <c r="E12874" s="1561" t="s">
        <v>7272</v>
      </c>
      <c r="F12874" s="1561"/>
      <c r="G12874" s="749" t="s">
        <v>777</v>
      </c>
      <c r="H12874" s="783">
        <v>417.59</v>
      </c>
      <c r="K12874" t="s">
        <v>7265</v>
      </c>
      <c r="V12874">
        <v>52</v>
      </c>
    </row>
    <row r="12875" spans="1:22" customFormat="1" ht="23.25" x14ac:dyDescent="0.25">
      <c r="A12875" t="s">
        <v>262</v>
      </c>
      <c r="E12875" s="837" t="s">
        <v>7273</v>
      </c>
      <c r="F12875" s="837"/>
      <c r="G12875" s="749" t="s">
        <v>777</v>
      </c>
      <c r="H12875" s="783">
        <v>200</v>
      </c>
      <c r="K12875" t="s">
        <v>7265</v>
      </c>
      <c r="V12875">
        <v>59</v>
      </c>
    </row>
    <row r="12876" spans="1:22" customFormat="1" ht="15" x14ac:dyDescent="0.25">
      <c r="A12876" t="s">
        <v>262</v>
      </c>
      <c r="E12876" s="1561" t="s">
        <v>7274</v>
      </c>
      <c r="F12876" s="1561"/>
      <c r="G12876" s="749" t="s">
        <v>3775</v>
      </c>
      <c r="H12876" s="783">
        <v>1.7096</v>
      </c>
      <c r="K12876" t="s">
        <v>7265</v>
      </c>
      <c r="V12876">
        <v>92</v>
      </c>
    </row>
    <row r="12877" spans="1:22" customFormat="1" ht="15" x14ac:dyDescent="0.25">
      <c r="A12877" t="s">
        <v>262</v>
      </c>
      <c r="E12877" s="1561" t="s">
        <v>7275</v>
      </c>
      <c r="F12877" s="1561"/>
      <c r="G12877" s="749" t="s">
        <v>7276</v>
      </c>
      <c r="H12877" s="783">
        <v>677.88850000000002</v>
      </c>
      <c r="K12877" t="s">
        <v>7265</v>
      </c>
      <c r="V12877">
        <v>83</v>
      </c>
    </row>
    <row r="12878" spans="1:22" customFormat="1" ht="15" x14ac:dyDescent="0.25">
      <c r="A12878" t="s">
        <v>262</v>
      </c>
      <c r="E12878" s="1507" t="s">
        <v>7277</v>
      </c>
      <c r="F12878" s="1507"/>
      <c r="G12878" s="749" t="s">
        <v>3775</v>
      </c>
      <c r="H12878" s="783">
        <v>3.6080000000000001</v>
      </c>
      <c r="K12878" t="s">
        <v>7265</v>
      </c>
      <c r="V12878">
        <v>139</v>
      </c>
    </row>
    <row r="12879" spans="1:22" customFormat="1" ht="15" x14ac:dyDescent="0.25">
      <c r="A12879" t="s">
        <v>262</v>
      </c>
      <c r="E12879" s="1561" t="s">
        <v>7278</v>
      </c>
      <c r="F12879" s="1561"/>
      <c r="G12879" s="749" t="s">
        <v>3775</v>
      </c>
      <c r="H12879" s="783">
        <v>5.7195999999999998</v>
      </c>
      <c r="K12879" t="s">
        <v>7265</v>
      </c>
      <c r="L12879" t="s">
        <v>692</v>
      </c>
      <c r="V12879">
        <v>138</v>
      </c>
    </row>
    <row r="12880" spans="1:22" customFormat="1" ht="15" x14ac:dyDescent="0.25">
      <c r="A12880" t="s">
        <v>262</v>
      </c>
      <c r="E12880" s="1561" t="s">
        <v>7279</v>
      </c>
      <c r="F12880" s="1561"/>
      <c r="G12880" s="749" t="s">
        <v>3775</v>
      </c>
      <c r="H12880" s="783">
        <v>2.1116000000000001</v>
      </c>
      <c r="K12880" t="s">
        <v>7265</v>
      </c>
      <c r="L12880" t="s">
        <v>692</v>
      </c>
      <c r="P12880" t="s">
        <v>7280</v>
      </c>
      <c r="V12880">
        <v>128</v>
      </c>
    </row>
    <row r="12881" spans="1:22" customFormat="1" ht="15" x14ac:dyDescent="0.25">
      <c r="A12881" t="s">
        <v>262</v>
      </c>
      <c r="E12881" s="1561" t="s">
        <v>7281</v>
      </c>
      <c r="F12881" s="1561"/>
      <c r="G12881" s="749" t="s">
        <v>3775</v>
      </c>
      <c r="H12881" s="783">
        <v>-0.13400000000000001</v>
      </c>
      <c r="K12881" t="s">
        <v>7265</v>
      </c>
      <c r="L12881" t="s">
        <v>692</v>
      </c>
      <c r="P12881" t="s">
        <v>7282</v>
      </c>
      <c r="T12881">
        <v>46022</v>
      </c>
      <c r="V12881">
        <v>144</v>
      </c>
    </row>
    <row r="12882" spans="1:22" customFormat="1" ht="15" x14ac:dyDescent="0.25">
      <c r="A12882" t="s">
        <v>262</v>
      </c>
      <c r="E12882" s="1666" t="s">
        <v>7283</v>
      </c>
      <c r="F12882" s="1666"/>
      <c r="G12882" s="749" t="s">
        <v>3775</v>
      </c>
      <c r="H12882" s="783">
        <v>-0.188</v>
      </c>
      <c r="K12882" t="s">
        <v>7265</v>
      </c>
      <c r="L12882" t="s">
        <v>692</v>
      </c>
      <c r="P12882" t="s">
        <v>7282</v>
      </c>
      <c r="T12882">
        <v>46022</v>
      </c>
      <c r="V12882">
        <v>145</v>
      </c>
    </row>
    <row r="12883" spans="1:22" customFormat="1" ht="15" x14ac:dyDescent="0.25">
      <c r="A12883" t="s">
        <v>262</v>
      </c>
      <c r="E12883" s="1507" t="s">
        <v>7284</v>
      </c>
      <c r="F12883" s="1507"/>
      <c r="G12883" s="749" t="s">
        <v>3775</v>
      </c>
      <c r="H12883" s="783">
        <v>-7.1999999999999998E-3</v>
      </c>
      <c r="K12883" t="s">
        <v>7265</v>
      </c>
      <c r="L12883" t="s">
        <v>690</v>
      </c>
      <c r="P12883" t="s">
        <v>7282</v>
      </c>
      <c r="T12883">
        <v>46022</v>
      </c>
      <c r="V12883">
        <v>183</v>
      </c>
    </row>
    <row r="12884" spans="1:22" customFormat="1" ht="15" x14ac:dyDescent="0.25">
      <c r="A12884" t="s">
        <v>262</v>
      </c>
      <c r="E12884" s="1507" t="s">
        <v>7111</v>
      </c>
      <c r="F12884" s="1507"/>
      <c r="G12884" s="749" t="s">
        <v>845</v>
      </c>
      <c r="H12884" s="783">
        <v>-8.9999999999999998E-4</v>
      </c>
      <c r="K12884" t="s">
        <v>7265</v>
      </c>
      <c r="L12884" t="s">
        <v>692</v>
      </c>
      <c r="P12884" t="s">
        <v>7285</v>
      </c>
      <c r="T12884">
        <v>46022</v>
      </c>
      <c r="V12884">
        <v>112</v>
      </c>
    </row>
    <row r="12885" spans="1:22" customFormat="1" ht="15" x14ac:dyDescent="0.25">
      <c r="A12885" t="s">
        <v>262</v>
      </c>
      <c r="E12885" s="1561" t="s">
        <v>7286</v>
      </c>
      <c r="F12885" s="1561"/>
      <c r="G12885" s="893" t="s">
        <v>3775</v>
      </c>
      <c r="H12885" s="783">
        <v>2.7699999999999999E-2</v>
      </c>
      <c r="K12885" t="s">
        <v>7265</v>
      </c>
      <c r="L12885" t="s">
        <v>692</v>
      </c>
      <c r="P12885" t="s">
        <v>7287</v>
      </c>
      <c r="T12885">
        <v>46022</v>
      </c>
      <c r="V12885">
        <v>144</v>
      </c>
    </row>
    <row r="12886" spans="1:22" customFormat="1" ht="15" x14ac:dyDescent="0.25">
      <c r="A12886" t="s">
        <v>262</v>
      </c>
      <c r="E12886" s="1561" t="s">
        <v>7288</v>
      </c>
      <c r="F12886" s="1561"/>
      <c r="G12886" s="893" t="s">
        <v>3775</v>
      </c>
      <c r="H12886" s="783">
        <v>3.27E-2</v>
      </c>
      <c r="K12886" t="s">
        <v>7265</v>
      </c>
      <c r="L12886" t="s">
        <v>692</v>
      </c>
      <c r="P12886" t="s">
        <v>7289</v>
      </c>
      <c r="T12886">
        <v>46022</v>
      </c>
      <c r="V12886">
        <v>144</v>
      </c>
    </row>
    <row r="12887" spans="1:22" customFormat="1" ht="15" x14ac:dyDescent="0.25">
      <c r="A12887" t="s">
        <v>262</v>
      </c>
      <c r="E12887" s="1561" t="s">
        <v>7290</v>
      </c>
      <c r="F12887" s="1561"/>
      <c r="G12887" s="893" t="s">
        <v>3775</v>
      </c>
      <c r="H12887" s="783">
        <v>3.27E-2</v>
      </c>
      <c r="K12887" t="s">
        <v>7265</v>
      </c>
      <c r="L12887" t="s">
        <v>692</v>
      </c>
      <c r="P12887" t="s">
        <v>7291</v>
      </c>
      <c r="T12887">
        <v>46022</v>
      </c>
      <c r="V12887">
        <v>144</v>
      </c>
    </row>
    <row r="12888" spans="1:22" customFormat="1" ht="15" x14ac:dyDescent="0.25">
      <c r="A12888" t="s">
        <v>262</v>
      </c>
      <c r="E12888" s="1598" t="s">
        <v>7292</v>
      </c>
      <c r="F12888" s="1598"/>
      <c r="G12888" s="893" t="s">
        <v>3775</v>
      </c>
      <c r="H12888" s="783">
        <v>-6.1800000000000001E-2</v>
      </c>
      <c r="K12888" t="s">
        <v>7265</v>
      </c>
      <c r="L12888" t="s">
        <v>692</v>
      </c>
      <c r="P12888" t="s">
        <v>7293</v>
      </c>
      <c r="T12888">
        <v>46022</v>
      </c>
      <c r="V12888">
        <v>144</v>
      </c>
    </row>
    <row r="12889" spans="1:22" customFormat="1" ht="15" x14ac:dyDescent="0.25">
      <c r="A12889" t="s">
        <v>262</v>
      </c>
      <c r="E12889" s="1598" t="s">
        <v>7294</v>
      </c>
      <c r="F12889" s="1598"/>
      <c r="G12889" s="893" t="s">
        <v>3775</v>
      </c>
      <c r="H12889" s="783">
        <v>-6.0299999999999999E-2</v>
      </c>
      <c r="K12889" t="s">
        <v>7265</v>
      </c>
      <c r="L12889" t="s">
        <v>692</v>
      </c>
      <c r="P12889" t="s">
        <v>7295</v>
      </c>
      <c r="T12889">
        <v>46022</v>
      </c>
      <c r="V12889">
        <v>146</v>
      </c>
    </row>
    <row r="12890" spans="1:22" customFormat="1" ht="15" x14ac:dyDescent="0.25">
      <c r="A12890" t="s">
        <v>262</v>
      </c>
      <c r="E12890" s="1598" t="s">
        <v>7296</v>
      </c>
      <c r="F12890" s="1598"/>
      <c r="G12890" s="893" t="s">
        <v>3775</v>
      </c>
      <c r="H12890" s="783">
        <v>-3.9199999999999999E-2</v>
      </c>
      <c r="K12890" t="s">
        <v>7265</v>
      </c>
      <c r="L12890" t="s">
        <v>692</v>
      </c>
      <c r="P12890" t="s">
        <v>7297</v>
      </c>
      <c r="T12890">
        <v>46022</v>
      </c>
      <c r="V12890">
        <v>144</v>
      </c>
    </row>
    <row r="12891" spans="1:22" customFormat="1" ht="15" x14ac:dyDescent="0.25">
      <c r="A12891" t="s">
        <v>262</v>
      </c>
      <c r="E12891" s="1598" t="s">
        <v>7298</v>
      </c>
      <c r="F12891" s="1598"/>
      <c r="G12891" s="893" t="s">
        <v>3775</v>
      </c>
      <c r="H12891" s="783">
        <v>-4.3799999999999999E-2</v>
      </c>
      <c r="K12891" t="s">
        <v>7265</v>
      </c>
      <c r="L12891" t="s">
        <v>692</v>
      </c>
      <c r="P12891" t="s">
        <v>7299</v>
      </c>
      <c r="T12891">
        <v>46022</v>
      </c>
      <c r="V12891">
        <v>144</v>
      </c>
    </row>
    <row r="12892" spans="1:22" customFormat="1" ht="15" x14ac:dyDescent="0.25">
      <c r="A12892" t="s">
        <v>262</v>
      </c>
      <c r="E12892" s="1561" t="s">
        <v>7300</v>
      </c>
      <c r="F12892" s="1561"/>
      <c r="G12892" s="749" t="s">
        <v>3775</v>
      </c>
      <c r="H12892" s="783">
        <v>0.40939999999999999</v>
      </c>
      <c r="K12892" t="s">
        <v>7265</v>
      </c>
      <c r="L12892" t="s">
        <v>692</v>
      </c>
      <c r="P12892" t="s">
        <v>7282</v>
      </c>
      <c r="T12892">
        <v>45838</v>
      </c>
      <c r="V12892">
        <v>140</v>
      </c>
    </row>
    <row r="12893" spans="1:22" customFormat="1" ht="15" x14ac:dyDescent="0.25">
      <c r="A12893" t="s">
        <v>262</v>
      </c>
      <c r="E12893" s="1561" t="s">
        <v>7301</v>
      </c>
      <c r="F12893" s="1561"/>
      <c r="G12893" s="749" t="s">
        <v>3775</v>
      </c>
      <c r="H12893" s="783">
        <v>0.34</v>
      </c>
      <c r="K12893" t="s">
        <v>7265</v>
      </c>
      <c r="L12893" t="s">
        <v>692</v>
      </c>
      <c r="P12893" t="s">
        <v>7282</v>
      </c>
      <c r="T12893">
        <v>45838</v>
      </c>
      <c r="V12893">
        <v>141</v>
      </c>
    </row>
    <row r="12894" spans="1:22" customFormat="1" ht="15" x14ac:dyDescent="0.25">
      <c r="A12894" t="s">
        <v>262</v>
      </c>
      <c r="E12894" s="1561" t="s">
        <v>7302</v>
      </c>
      <c r="F12894" s="1561"/>
      <c r="G12894" s="749" t="s">
        <v>3775</v>
      </c>
      <c r="H12894" s="783">
        <v>-2.41E-2</v>
      </c>
      <c r="K12894" t="s">
        <v>7265</v>
      </c>
      <c r="L12894" t="s">
        <v>692</v>
      </c>
      <c r="P12894" t="s">
        <v>7303</v>
      </c>
      <c r="T12894">
        <v>45838</v>
      </c>
      <c r="V12894">
        <v>150</v>
      </c>
    </row>
    <row r="12895" spans="1:22" customFormat="1" ht="15" x14ac:dyDescent="0.25">
      <c r="A12895" t="s">
        <v>262</v>
      </c>
      <c r="E12895" s="1561" t="s">
        <v>7116</v>
      </c>
      <c r="F12895" s="1561"/>
      <c r="G12895" s="749" t="s">
        <v>845</v>
      </c>
      <c r="H12895" s="783">
        <v>-4.4999999999999997E-3</v>
      </c>
      <c r="K12895" t="s">
        <v>7265</v>
      </c>
      <c r="L12895" t="s">
        <v>692</v>
      </c>
      <c r="P12895" t="s">
        <v>7285</v>
      </c>
      <c r="T12895">
        <v>45838</v>
      </c>
      <c r="V12895">
        <v>108</v>
      </c>
    </row>
    <row r="12896" spans="1:22" customFormat="1" ht="15" x14ac:dyDescent="0.25">
      <c r="A12896" t="s">
        <v>262</v>
      </c>
      <c r="E12896" s="1561" t="s">
        <v>7222</v>
      </c>
      <c r="F12896" s="1561"/>
      <c r="G12896" s="749" t="s">
        <v>3775</v>
      </c>
      <c r="H12896" s="783">
        <v>-0.24809999999999999</v>
      </c>
      <c r="K12896" t="s">
        <v>7265</v>
      </c>
      <c r="L12896" t="s">
        <v>692</v>
      </c>
      <c r="P12896" t="s">
        <v>7304</v>
      </c>
      <c r="T12896">
        <v>45838</v>
      </c>
      <c r="V12896">
        <v>155</v>
      </c>
    </row>
    <row r="12897" spans="1:22" customFormat="1" ht="15" x14ac:dyDescent="0.25">
      <c r="A12897" t="s">
        <v>262</v>
      </c>
      <c r="E12897" s="1665" t="s">
        <v>7224</v>
      </c>
      <c r="F12897" s="1665"/>
      <c r="G12897" s="749" t="s">
        <v>3775</v>
      </c>
      <c r="H12897" s="783">
        <v>-0.5141</v>
      </c>
      <c r="K12897" t="s">
        <v>7265</v>
      </c>
      <c r="L12897" t="s">
        <v>692</v>
      </c>
      <c r="P12897" t="s">
        <v>7282</v>
      </c>
      <c r="T12897">
        <v>46022</v>
      </c>
      <c r="V12897">
        <v>145</v>
      </c>
    </row>
    <row r="12898" spans="1:22" customFormat="1" ht="15" x14ac:dyDescent="0.25">
      <c r="A12898" t="s">
        <v>262</v>
      </c>
      <c r="E12898" s="1665" t="s">
        <v>7225</v>
      </c>
      <c r="F12898" s="1665"/>
      <c r="G12898" s="749" t="s">
        <v>3775</v>
      </c>
      <c r="H12898" s="783">
        <v>-0.88570000000000004</v>
      </c>
      <c r="K12898" t="s">
        <v>7265</v>
      </c>
      <c r="L12898" t="s">
        <v>692</v>
      </c>
      <c r="P12898" t="s">
        <v>7282</v>
      </c>
      <c r="T12898">
        <v>46022</v>
      </c>
      <c r="V12898">
        <v>169</v>
      </c>
    </row>
    <row r="12899" spans="1:22" customFormat="1" ht="15" x14ac:dyDescent="0.25">
      <c r="A12899" t="s">
        <v>262</v>
      </c>
      <c r="E12899" s="1665" t="s">
        <v>7120</v>
      </c>
      <c r="F12899" s="1665"/>
      <c r="G12899" s="749" t="s">
        <v>3775</v>
      </c>
      <c r="H12899" s="783">
        <v>1.2200000000000001E-2</v>
      </c>
      <c r="K12899" t="s">
        <v>7265</v>
      </c>
      <c r="L12899" t="s">
        <v>692</v>
      </c>
      <c r="P12899" t="s">
        <v>7304</v>
      </c>
      <c r="T12899">
        <v>46022</v>
      </c>
      <c r="V12899">
        <v>190</v>
      </c>
    </row>
    <row r="12900" spans="1:22" customFormat="1" ht="22.5" x14ac:dyDescent="0.25">
      <c r="A12900" t="s">
        <v>262</v>
      </c>
      <c r="E12900" s="946" t="s">
        <v>7305</v>
      </c>
      <c r="F12900" s="946"/>
      <c r="G12900" s="893"/>
      <c r="H12900" s="783"/>
      <c r="K12900" t="s">
        <v>7265</v>
      </c>
      <c r="V12900">
        <v>53</v>
      </c>
    </row>
    <row r="12901" spans="1:22" customFormat="1" ht="15" x14ac:dyDescent="0.25">
      <c r="A12901" t="s">
        <v>262</v>
      </c>
      <c r="E12901" s="1561" t="s">
        <v>7121</v>
      </c>
      <c r="F12901" s="1561"/>
      <c r="G12901" s="893" t="s">
        <v>3775</v>
      </c>
      <c r="H12901" s="783">
        <v>5.3280000000000003</v>
      </c>
      <c r="K12901" t="s">
        <v>7265</v>
      </c>
      <c r="L12901" t="s">
        <v>694</v>
      </c>
      <c r="P12901" t="s">
        <v>7306</v>
      </c>
      <c r="V12901">
        <v>60</v>
      </c>
    </row>
    <row r="12902" spans="1:22" customFormat="1" ht="15" x14ac:dyDescent="0.25">
      <c r="A12902" t="s">
        <v>262</v>
      </c>
      <c r="E12902" s="1561" t="s">
        <v>7307</v>
      </c>
      <c r="F12902" s="1561"/>
      <c r="G12902" s="893" t="s">
        <v>3775</v>
      </c>
      <c r="H12902" s="783">
        <v>0.68820000000000003</v>
      </c>
      <c r="K12902" t="s">
        <v>7265</v>
      </c>
      <c r="L12902" t="s">
        <v>694</v>
      </c>
      <c r="P12902" t="s">
        <v>7308</v>
      </c>
      <c r="V12902">
        <v>68</v>
      </c>
    </row>
    <row r="12903" spans="1:22" customFormat="1" ht="15" x14ac:dyDescent="0.25">
      <c r="A12903" t="s">
        <v>262</v>
      </c>
      <c r="E12903" s="1561" t="s">
        <v>7309</v>
      </c>
      <c r="F12903" s="1561"/>
      <c r="G12903" s="893" t="s">
        <v>3775</v>
      </c>
      <c r="H12903" s="783">
        <v>3.4893999999999998</v>
      </c>
      <c r="K12903" t="s">
        <v>7265</v>
      </c>
      <c r="L12903" t="s">
        <v>694</v>
      </c>
      <c r="P12903" t="s">
        <v>7310</v>
      </c>
      <c r="V12903">
        <v>78</v>
      </c>
    </row>
    <row r="12904" spans="1:22" customFormat="1" ht="15" x14ac:dyDescent="0.25">
      <c r="A12904" t="s">
        <v>262</v>
      </c>
      <c r="E12904" s="1609" t="s">
        <v>967</v>
      </c>
      <c r="F12904" s="1606"/>
      <c r="G12904" s="1606"/>
      <c r="H12904" s="1606"/>
      <c r="K12904" t="s">
        <v>4033</v>
      </c>
      <c r="V12904">
        <v>48</v>
      </c>
    </row>
    <row r="12905" spans="1:22" customFormat="1" ht="15" x14ac:dyDescent="0.25">
      <c r="A12905" t="s">
        <v>262</v>
      </c>
      <c r="E12905" s="1601" t="s">
        <v>7125</v>
      </c>
      <c r="F12905" s="1601"/>
      <c r="G12905" s="893" t="s">
        <v>845</v>
      </c>
      <c r="H12905" s="783">
        <v>4.1000000000000003E-3</v>
      </c>
      <c r="K12905" t="s">
        <v>7265</v>
      </c>
      <c r="L12905" t="s">
        <v>968</v>
      </c>
      <c r="P12905" t="s">
        <v>7311</v>
      </c>
      <c r="V12905">
        <v>69</v>
      </c>
    </row>
    <row r="12906" spans="1:22" customFormat="1" ht="15" x14ac:dyDescent="0.25">
      <c r="A12906" t="s">
        <v>262</v>
      </c>
      <c r="E12906" s="1601" t="s">
        <v>7127</v>
      </c>
      <c r="F12906" s="1601"/>
      <c r="G12906" s="893" t="s">
        <v>845</v>
      </c>
      <c r="H12906" s="783">
        <v>4.0000000000000002E-4</v>
      </c>
      <c r="K12906" t="s">
        <v>7265</v>
      </c>
      <c r="L12906" t="s">
        <v>968</v>
      </c>
      <c r="P12906" t="s">
        <v>7311</v>
      </c>
      <c r="V12906">
        <v>78</v>
      </c>
    </row>
    <row r="12907" spans="1:22" customFormat="1" ht="15" x14ac:dyDescent="0.25">
      <c r="A12907" t="s">
        <v>262</v>
      </c>
      <c r="E12907" s="1601" t="s">
        <v>7128</v>
      </c>
      <c r="F12907" s="1601"/>
      <c r="G12907" s="893" t="s">
        <v>845</v>
      </c>
      <c r="H12907" s="783">
        <v>1.5E-3</v>
      </c>
      <c r="K12907" t="s">
        <v>7265</v>
      </c>
      <c r="L12907" t="s">
        <v>968</v>
      </c>
      <c r="P12907" t="s">
        <v>7312</v>
      </c>
      <c r="V12907">
        <v>71</v>
      </c>
    </row>
    <row r="12908" spans="1:22" customFormat="1" ht="15" x14ac:dyDescent="0.25">
      <c r="A12908" t="s">
        <v>262</v>
      </c>
      <c r="E12908" s="1601" t="s">
        <v>848</v>
      </c>
      <c r="F12908" s="1601"/>
      <c r="G12908" s="893" t="s">
        <v>777</v>
      </c>
      <c r="H12908" s="783">
        <v>0.25</v>
      </c>
      <c r="K12908" t="s">
        <v>7265</v>
      </c>
      <c r="L12908" t="s">
        <v>968</v>
      </c>
      <c r="P12908" t="s">
        <v>7313</v>
      </c>
      <c r="V12908">
        <v>63</v>
      </c>
    </row>
    <row r="12909" spans="1:22" customFormat="1" x14ac:dyDescent="0.25">
      <c r="A12909" t="s">
        <v>262</v>
      </c>
      <c r="E12909" s="1619" t="s">
        <v>194</v>
      </c>
      <c r="F12909" s="1620"/>
      <c r="G12909" s="1620"/>
      <c r="H12909" s="1620"/>
      <c r="K12909" t="s">
        <v>7314</v>
      </c>
      <c r="V12909">
        <v>47</v>
      </c>
    </row>
    <row r="12910" spans="1:22" customFormat="1" ht="15" x14ac:dyDescent="0.25">
      <c r="A12910" t="s">
        <v>262</v>
      </c>
      <c r="E12910" s="1516" t="s">
        <v>7315</v>
      </c>
      <c r="F12910" s="1516"/>
      <c r="G12910" s="1516"/>
      <c r="H12910" s="1516"/>
      <c r="K12910" t="s">
        <v>7314</v>
      </c>
      <c r="V12910">
        <v>1027</v>
      </c>
    </row>
    <row r="12911" spans="1:22" customFormat="1" ht="15" x14ac:dyDescent="0.25">
      <c r="A12911" t="s">
        <v>262</v>
      </c>
      <c r="E12911" s="1700" t="s">
        <v>950</v>
      </c>
      <c r="F12911" s="1605"/>
      <c r="G12911" s="1605"/>
      <c r="H12911" s="1605"/>
      <c r="K12911" t="s">
        <v>4040</v>
      </c>
      <c r="V12911">
        <v>11</v>
      </c>
    </row>
    <row r="12912" spans="1:22" customFormat="1" ht="15" x14ac:dyDescent="0.25">
      <c r="A12912" t="s">
        <v>262</v>
      </c>
      <c r="E12912" s="1605" t="s">
        <v>951</v>
      </c>
      <c r="F12912" s="1605"/>
      <c r="G12912" s="1605"/>
      <c r="H12912" s="1605"/>
      <c r="K12912" t="s">
        <v>7314</v>
      </c>
      <c r="V12912">
        <v>280</v>
      </c>
    </row>
    <row r="12913" spans="1:22" customFormat="1" ht="15" x14ac:dyDescent="0.25">
      <c r="A12913" t="s">
        <v>262</v>
      </c>
      <c r="E12913" s="1605" t="s">
        <v>952</v>
      </c>
      <c r="F12913" s="1605"/>
      <c r="G12913" s="1605"/>
      <c r="H12913" s="1605"/>
      <c r="K12913" t="s">
        <v>7314</v>
      </c>
      <c r="V12913">
        <v>411</v>
      </c>
    </row>
    <row r="12914" spans="1:22" customFormat="1" ht="15" x14ac:dyDescent="0.25">
      <c r="A12914" t="s">
        <v>262</v>
      </c>
      <c r="E12914" s="1605" t="s">
        <v>953</v>
      </c>
      <c r="F12914" s="1605"/>
      <c r="G12914" s="1605"/>
      <c r="H12914" s="1605"/>
      <c r="K12914" t="s">
        <v>7314</v>
      </c>
      <c r="V12914">
        <v>386</v>
      </c>
    </row>
    <row r="12915" spans="1:22" customFormat="1" ht="15" x14ac:dyDescent="0.25">
      <c r="A12915" t="s">
        <v>262</v>
      </c>
      <c r="E12915" s="1605" t="s">
        <v>954</v>
      </c>
      <c r="F12915" s="1605"/>
      <c r="G12915" s="1605"/>
      <c r="H12915" s="1605"/>
      <c r="K12915" t="s">
        <v>7314</v>
      </c>
      <c r="V12915">
        <v>246</v>
      </c>
    </row>
    <row r="12916" spans="1:22" customFormat="1" ht="15" x14ac:dyDescent="0.25">
      <c r="A12916" t="s">
        <v>262</v>
      </c>
      <c r="E12916" s="1609" t="s">
        <v>956</v>
      </c>
      <c r="F12916" s="1663"/>
      <c r="G12916" s="1663"/>
      <c r="H12916" s="1663"/>
      <c r="K12916" t="s">
        <v>4041</v>
      </c>
      <c r="V12916">
        <v>46</v>
      </c>
    </row>
    <row r="12917" spans="1:22" customFormat="1" ht="15" x14ac:dyDescent="0.25">
      <c r="A12917" t="s">
        <v>262</v>
      </c>
      <c r="E12917" s="1561" t="s">
        <v>3773</v>
      </c>
      <c r="F12917" s="1561"/>
      <c r="G12917" s="749" t="s">
        <v>777</v>
      </c>
      <c r="H12917" s="783">
        <v>38.29</v>
      </c>
      <c r="K12917" t="s">
        <v>7314</v>
      </c>
      <c r="L12917" t="s">
        <v>690</v>
      </c>
      <c r="P12917" t="s">
        <v>7316</v>
      </c>
      <c r="V12917">
        <v>14</v>
      </c>
    </row>
    <row r="12918" spans="1:22" customFormat="1" ht="15" x14ac:dyDescent="0.25">
      <c r="A12918" t="s">
        <v>262</v>
      </c>
      <c r="E12918" s="1561" t="s">
        <v>3688</v>
      </c>
      <c r="F12918" s="1561"/>
      <c r="G12918" s="749" t="s">
        <v>845</v>
      </c>
      <c r="H12918" s="783">
        <v>3.3700000000000001E-2</v>
      </c>
      <c r="K12918" t="s">
        <v>7314</v>
      </c>
      <c r="L12918" t="s">
        <v>690</v>
      </c>
      <c r="P12918" t="s">
        <v>7317</v>
      </c>
      <c r="V12918">
        <v>28</v>
      </c>
    </row>
    <row r="12919" spans="1:22" customFormat="1" ht="15" x14ac:dyDescent="0.25">
      <c r="A12919" t="s">
        <v>262</v>
      </c>
      <c r="E12919" s="1561" t="s">
        <v>7137</v>
      </c>
      <c r="F12919" s="1561"/>
      <c r="G12919" s="749" t="s">
        <v>845</v>
      </c>
      <c r="H12919" s="783">
        <v>-6.9999999999999999E-4</v>
      </c>
      <c r="K12919" t="s">
        <v>7314</v>
      </c>
      <c r="L12919" t="s">
        <v>692</v>
      </c>
      <c r="P12919" t="s">
        <v>7318</v>
      </c>
      <c r="T12919">
        <v>46022</v>
      </c>
      <c r="V12919">
        <v>164</v>
      </c>
    </row>
    <row r="12920" spans="1:22" customFormat="1" ht="15" x14ac:dyDescent="0.25">
      <c r="A12920" t="s">
        <v>262</v>
      </c>
      <c r="E12920" s="1561" t="s">
        <v>7319</v>
      </c>
      <c r="F12920" s="1561"/>
      <c r="G12920" s="749" t="s">
        <v>845</v>
      </c>
      <c r="H12920" s="783">
        <v>-2.9999999999999997E-4</v>
      </c>
      <c r="K12920" t="s">
        <v>7314</v>
      </c>
      <c r="L12920" t="s">
        <v>690</v>
      </c>
      <c r="P12920" t="s">
        <v>7318</v>
      </c>
      <c r="T12920">
        <v>46022</v>
      </c>
      <c r="V12920">
        <v>177</v>
      </c>
    </row>
    <row r="12921" spans="1:22" customFormat="1" ht="15" x14ac:dyDescent="0.25">
      <c r="A12921" t="s">
        <v>262</v>
      </c>
      <c r="E12921" s="1507" t="s">
        <v>7138</v>
      </c>
      <c r="F12921" s="1507"/>
      <c r="G12921" s="749" t="s">
        <v>845</v>
      </c>
      <c r="H12921" s="783">
        <v>-8.9999999999999998E-4</v>
      </c>
      <c r="K12921" t="s">
        <v>7314</v>
      </c>
      <c r="L12921" t="s">
        <v>692</v>
      </c>
      <c r="P12921" t="s">
        <v>7320</v>
      </c>
      <c r="T12921">
        <v>46022</v>
      </c>
      <c r="V12921">
        <v>169</v>
      </c>
    </row>
    <row r="12922" spans="1:22" customFormat="1" ht="15" x14ac:dyDescent="0.25">
      <c r="A12922" t="s">
        <v>262</v>
      </c>
      <c r="E12922" s="1561" t="s">
        <v>7321</v>
      </c>
      <c r="F12922" s="1561"/>
      <c r="G12922" s="749" t="s">
        <v>845</v>
      </c>
      <c r="H12922" s="783">
        <v>-2.0000000000000001E-4</v>
      </c>
      <c r="K12922" t="s">
        <v>7314</v>
      </c>
      <c r="L12922" t="s">
        <v>692</v>
      </c>
      <c r="P12922" t="s">
        <v>7322</v>
      </c>
      <c r="T12922">
        <v>46022</v>
      </c>
      <c r="V12922">
        <v>137</v>
      </c>
    </row>
    <row r="12923" spans="1:22" customFormat="1" ht="15" x14ac:dyDescent="0.25">
      <c r="A12923" t="s">
        <v>262</v>
      </c>
      <c r="E12923" s="1561" t="s">
        <v>7323</v>
      </c>
      <c r="F12923" s="1561"/>
      <c r="G12923" s="749" t="s">
        <v>845</v>
      </c>
      <c r="H12923" s="783">
        <v>-6.9999999999999999E-4</v>
      </c>
      <c r="K12923" t="s">
        <v>7314</v>
      </c>
      <c r="L12923" t="s">
        <v>692</v>
      </c>
      <c r="P12923" t="s">
        <v>7324</v>
      </c>
      <c r="T12923">
        <v>46022</v>
      </c>
      <c r="V12923">
        <v>135</v>
      </c>
    </row>
    <row r="12924" spans="1:22" customFormat="1" ht="15" x14ac:dyDescent="0.25">
      <c r="A12924" t="s">
        <v>262</v>
      </c>
      <c r="E12924" s="1561" t="s">
        <v>7325</v>
      </c>
      <c r="F12924" s="1561"/>
      <c r="G12924" s="749" t="s">
        <v>845</v>
      </c>
      <c r="H12924" s="783">
        <v>-8.0000000000000004E-4</v>
      </c>
      <c r="K12924" t="s">
        <v>7314</v>
      </c>
      <c r="L12924" t="s">
        <v>692</v>
      </c>
      <c r="P12924" t="s">
        <v>7326</v>
      </c>
      <c r="T12924">
        <v>46022</v>
      </c>
      <c r="V12924">
        <v>135</v>
      </c>
    </row>
    <row r="12925" spans="1:22" customFormat="1" ht="15" x14ac:dyDescent="0.25">
      <c r="A12925" t="s">
        <v>262</v>
      </c>
      <c r="E12925" s="1561" t="s">
        <v>7327</v>
      </c>
      <c r="F12925" s="1561"/>
      <c r="G12925" s="749" t="s">
        <v>845</v>
      </c>
      <c r="H12925" s="783">
        <v>-6.9999999999999999E-4</v>
      </c>
      <c r="K12925" t="s">
        <v>7314</v>
      </c>
      <c r="L12925" t="s">
        <v>692</v>
      </c>
      <c r="P12925" t="s">
        <v>7328</v>
      </c>
      <c r="T12925">
        <v>46022</v>
      </c>
      <c r="V12925">
        <v>137</v>
      </c>
    </row>
    <row r="12926" spans="1:22" customFormat="1" ht="15" x14ac:dyDescent="0.25">
      <c r="A12926" t="s">
        <v>262</v>
      </c>
      <c r="E12926" s="1561" t="s">
        <v>7329</v>
      </c>
      <c r="F12926" s="1561"/>
      <c r="G12926" s="749" t="s">
        <v>845</v>
      </c>
      <c r="H12926" s="783">
        <v>-2.9999999999999997E-4</v>
      </c>
      <c r="K12926" t="s">
        <v>7314</v>
      </c>
      <c r="L12926" t="s">
        <v>692</v>
      </c>
      <c r="P12926" t="s">
        <v>7330</v>
      </c>
      <c r="T12926">
        <v>46022</v>
      </c>
      <c r="V12926">
        <v>137</v>
      </c>
    </row>
    <row r="12927" spans="1:22" customFormat="1" ht="15" x14ac:dyDescent="0.25">
      <c r="A12927" t="s">
        <v>262</v>
      </c>
      <c r="E12927" s="1561" t="s">
        <v>7140</v>
      </c>
      <c r="F12927" s="1561"/>
      <c r="G12927" s="749" t="s">
        <v>845</v>
      </c>
      <c r="H12927" s="783">
        <v>1.5E-3</v>
      </c>
      <c r="K12927" t="s">
        <v>7314</v>
      </c>
      <c r="L12927" t="s">
        <v>692</v>
      </c>
      <c r="P12927" t="s">
        <v>7318</v>
      </c>
      <c r="T12927">
        <v>45838</v>
      </c>
      <c r="V12927">
        <v>160</v>
      </c>
    </row>
    <row r="12928" spans="1:22" customFormat="1" ht="15" x14ac:dyDescent="0.25">
      <c r="A12928" t="s">
        <v>262</v>
      </c>
      <c r="E12928" s="1561" t="s">
        <v>7331</v>
      </c>
      <c r="F12928" s="1561"/>
      <c r="G12928" s="749" t="s">
        <v>845</v>
      </c>
      <c r="H12928" s="783">
        <v>2.0000000000000001E-4</v>
      </c>
      <c r="K12928" t="s">
        <v>7314</v>
      </c>
      <c r="L12928" t="s">
        <v>692</v>
      </c>
      <c r="P12928" t="s">
        <v>7332</v>
      </c>
      <c r="T12928">
        <v>45838</v>
      </c>
      <c r="V12928">
        <v>143</v>
      </c>
    </row>
    <row r="12929" spans="1:22" customFormat="1" ht="15" x14ac:dyDescent="0.25">
      <c r="A12929" t="s">
        <v>262</v>
      </c>
      <c r="E12929" s="1561" t="s">
        <v>7333</v>
      </c>
      <c r="F12929" s="1561"/>
      <c r="G12929" s="749" t="s">
        <v>845</v>
      </c>
      <c r="H12929" s="783">
        <v>-4.4999999999999997E-3</v>
      </c>
      <c r="K12929" t="s">
        <v>7314</v>
      </c>
      <c r="L12929" t="s">
        <v>692</v>
      </c>
      <c r="P12929" t="s">
        <v>7320</v>
      </c>
      <c r="T12929">
        <v>45838</v>
      </c>
      <c r="V12929">
        <v>165</v>
      </c>
    </row>
    <row r="12930" spans="1:22" customFormat="1" ht="15" x14ac:dyDescent="0.25">
      <c r="A12930" t="s">
        <v>262</v>
      </c>
      <c r="E12930" s="1561" t="s">
        <v>7144</v>
      </c>
      <c r="F12930" s="1561"/>
      <c r="G12930" s="749" t="s">
        <v>845</v>
      </c>
      <c r="H12930" s="783">
        <v>-5.9999999999999995E-4</v>
      </c>
      <c r="K12930" t="s">
        <v>7314</v>
      </c>
      <c r="L12930" t="s">
        <v>692</v>
      </c>
      <c r="P12930" t="s">
        <v>7334</v>
      </c>
      <c r="T12930">
        <v>45838</v>
      </c>
      <c r="V12930">
        <v>212</v>
      </c>
    </row>
    <row r="12931" spans="1:22" customFormat="1" ht="15" x14ac:dyDescent="0.25">
      <c r="A12931" t="s">
        <v>262</v>
      </c>
      <c r="E12931" s="1561" t="s">
        <v>7146</v>
      </c>
      <c r="F12931" s="1561"/>
      <c r="G12931" s="749" t="s">
        <v>845</v>
      </c>
      <c r="H12931" s="783">
        <v>-2.8999999999999998E-3</v>
      </c>
      <c r="K12931" t="s">
        <v>7314</v>
      </c>
      <c r="L12931" t="s">
        <v>692</v>
      </c>
      <c r="P12931" t="s">
        <v>7318</v>
      </c>
      <c r="T12931">
        <v>46022</v>
      </c>
      <c r="V12931">
        <v>202</v>
      </c>
    </row>
    <row r="12932" spans="1:22" customFormat="1" ht="15" x14ac:dyDescent="0.25">
      <c r="A12932" t="s">
        <v>262</v>
      </c>
      <c r="E12932" s="1561" t="s">
        <v>7147</v>
      </c>
      <c r="F12932" s="1561"/>
      <c r="G12932" s="749" t="s">
        <v>845</v>
      </c>
      <c r="H12932" s="783">
        <v>1E-4</v>
      </c>
      <c r="K12932" t="s">
        <v>7314</v>
      </c>
      <c r="L12932" t="s">
        <v>692</v>
      </c>
      <c r="P12932" t="s">
        <v>7334</v>
      </c>
      <c r="T12932">
        <v>46022</v>
      </c>
      <c r="V12932">
        <v>247</v>
      </c>
    </row>
    <row r="12933" spans="1:22" customFormat="1" ht="15" x14ac:dyDescent="0.25">
      <c r="A12933" t="s">
        <v>262</v>
      </c>
      <c r="E12933" s="1598" t="s">
        <v>7335</v>
      </c>
      <c r="F12933" s="1699"/>
      <c r="G12933" s="749" t="s">
        <v>845</v>
      </c>
      <c r="H12933" s="783">
        <v>2.5000000000000001E-3</v>
      </c>
      <c r="K12933" t="s">
        <v>7314</v>
      </c>
      <c r="L12933" t="s">
        <v>692</v>
      </c>
      <c r="P12933" t="s">
        <v>7318</v>
      </c>
      <c r="T12933">
        <v>45777</v>
      </c>
      <c r="V12933">
        <v>154</v>
      </c>
    </row>
    <row r="12934" spans="1:22" customFormat="1" ht="15" x14ac:dyDescent="0.25">
      <c r="A12934" t="s">
        <v>262</v>
      </c>
      <c r="E12934" s="1561" t="s">
        <v>7121</v>
      </c>
      <c r="F12934" s="1561"/>
      <c r="G12934" s="749" t="s">
        <v>845</v>
      </c>
      <c r="H12934" s="783">
        <v>8.5000000000000006E-3</v>
      </c>
      <c r="K12934" t="s">
        <v>7314</v>
      </c>
      <c r="L12934" t="s">
        <v>694</v>
      </c>
      <c r="P12934" t="s">
        <v>7336</v>
      </c>
      <c r="V12934">
        <v>60</v>
      </c>
    </row>
    <row r="12935" spans="1:22" customFormat="1" ht="15" x14ac:dyDescent="0.25">
      <c r="A12935" t="s">
        <v>262</v>
      </c>
      <c r="E12935" s="1561" t="s">
        <v>7123</v>
      </c>
      <c r="F12935" s="1561"/>
      <c r="G12935" s="749" t="s">
        <v>845</v>
      </c>
      <c r="H12935" s="783">
        <v>6.1999999999999998E-3</v>
      </c>
      <c r="K12935" t="s">
        <v>7314</v>
      </c>
      <c r="L12935" t="s">
        <v>694</v>
      </c>
      <c r="P12935" t="s">
        <v>7337</v>
      </c>
      <c r="V12935">
        <v>87</v>
      </c>
    </row>
    <row r="12936" spans="1:22" customFormat="1" ht="15" x14ac:dyDescent="0.25">
      <c r="A12936" t="s">
        <v>262</v>
      </c>
      <c r="E12936" s="1609" t="s">
        <v>967</v>
      </c>
      <c r="F12936" s="1606"/>
      <c r="G12936" s="1606"/>
      <c r="H12936" s="1606"/>
      <c r="K12936" t="s">
        <v>7338</v>
      </c>
      <c r="V12936">
        <v>48</v>
      </c>
    </row>
    <row r="12937" spans="1:22" customFormat="1" ht="15" x14ac:dyDescent="0.25">
      <c r="A12937" t="s">
        <v>262</v>
      </c>
      <c r="E12937" s="1601" t="s">
        <v>7125</v>
      </c>
      <c r="F12937" s="1601"/>
      <c r="G12937" s="893" t="s">
        <v>845</v>
      </c>
      <c r="H12937" s="783">
        <v>4.1000000000000003E-3</v>
      </c>
      <c r="K12937" t="s">
        <v>7314</v>
      </c>
      <c r="L12937" t="s">
        <v>968</v>
      </c>
      <c r="P12937" t="s">
        <v>7339</v>
      </c>
      <c r="V12937">
        <v>69</v>
      </c>
    </row>
    <row r="12938" spans="1:22" customFormat="1" ht="15" x14ac:dyDescent="0.25">
      <c r="A12938" t="s">
        <v>262</v>
      </c>
      <c r="E12938" s="1601" t="s">
        <v>7127</v>
      </c>
      <c r="F12938" s="1601"/>
      <c r="G12938" s="893" t="s">
        <v>845</v>
      </c>
      <c r="H12938" s="783">
        <v>4.0000000000000002E-4</v>
      </c>
      <c r="K12938" t="s">
        <v>7314</v>
      </c>
      <c r="L12938" t="s">
        <v>968</v>
      </c>
      <c r="P12938" t="s">
        <v>7339</v>
      </c>
      <c r="V12938">
        <v>78</v>
      </c>
    </row>
    <row r="12939" spans="1:22" customFormat="1" ht="15" x14ac:dyDescent="0.25">
      <c r="A12939" t="s">
        <v>262</v>
      </c>
      <c r="E12939" s="1601" t="s">
        <v>7128</v>
      </c>
      <c r="F12939" s="1601"/>
      <c r="G12939" s="893" t="s">
        <v>845</v>
      </c>
      <c r="H12939" s="783">
        <v>1.5E-3</v>
      </c>
      <c r="K12939" t="s">
        <v>7314</v>
      </c>
      <c r="L12939" t="s">
        <v>968</v>
      </c>
      <c r="P12939" t="s">
        <v>7340</v>
      </c>
      <c r="V12939">
        <v>71</v>
      </c>
    </row>
    <row r="12940" spans="1:22" customFormat="1" ht="15" x14ac:dyDescent="0.25">
      <c r="A12940" t="s">
        <v>262</v>
      </c>
      <c r="E12940" s="1601" t="s">
        <v>848</v>
      </c>
      <c r="F12940" s="1601"/>
      <c r="G12940" s="893" t="s">
        <v>777</v>
      </c>
      <c r="H12940" s="783">
        <v>0.25</v>
      </c>
      <c r="K12940" t="s">
        <v>7314</v>
      </c>
      <c r="L12940" t="s">
        <v>968</v>
      </c>
      <c r="P12940" t="s">
        <v>7341</v>
      </c>
      <c r="V12940">
        <v>63</v>
      </c>
    </row>
    <row r="12941" spans="1:22" customFormat="1" x14ac:dyDescent="0.25">
      <c r="A12941" t="s">
        <v>262</v>
      </c>
      <c r="E12941" s="1619" t="s">
        <v>198</v>
      </c>
      <c r="F12941" s="1620"/>
      <c r="G12941" s="1620"/>
      <c r="H12941" s="1620"/>
      <c r="K12941" t="s">
        <v>7342</v>
      </c>
      <c r="V12941">
        <v>40</v>
      </c>
    </row>
    <row r="12942" spans="1:22" customFormat="1" ht="15" x14ac:dyDescent="0.25">
      <c r="A12942" t="s">
        <v>262</v>
      </c>
      <c r="E12942" s="1516" t="s">
        <v>7343</v>
      </c>
      <c r="F12942" s="1516"/>
      <c r="G12942" s="1516"/>
      <c r="H12942" s="1516"/>
      <c r="K12942" t="s">
        <v>7342</v>
      </c>
      <c r="V12942">
        <v>569</v>
      </c>
    </row>
    <row r="12943" spans="1:22" customFormat="1" ht="15" x14ac:dyDescent="0.25">
      <c r="A12943" t="s">
        <v>262</v>
      </c>
      <c r="E12943" s="1700" t="s">
        <v>950</v>
      </c>
      <c r="F12943" s="1605"/>
      <c r="G12943" s="1605"/>
      <c r="H12943" s="1605"/>
      <c r="K12943" t="s">
        <v>4045</v>
      </c>
      <c r="V12943">
        <v>11</v>
      </c>
    </row>
    <row r="12944" spans="1:22" customFormat="1" ht="15" x14ac:dyDescent="0.25">
      <c r="A12944" t="s">
        <v>262</v>
      </c>
      <c r="E12944" s="1605" t="s">
        <v>951</v>
      </c>
      <c r="F12944" s="1605"/>
      <c r="G12944" s="1605"/>
      <c r="H12944" s="1605"/>
      <c r="K12944" t="s">
        <v>7342</v>
      </c>
      <c r="V12944">
        <v>280</v>
      </c>
    </row>
    <row r="12945" spans="1:22" customFormat="1" ht="15" x14ac:dyDescent="0.25">
      <c r="A12945" t="s">
        <v>262</v>
      </c>
      <c r="E12945" s="1605" t="s">
        <v>952</v>
      </c>
      <c r="F12945" s="1605"/>
      <c r="G12945" s="1605"/>
      <c r="H12945" s="1605"/>
      <c r="K12945" t="s">
        <v>7342</v>
      </c>
      <c r="V12945">
        <v>411</v>
      </c>
    </row>
    <row r="12946" spans="1:22" customFormat="1" ht="15" x14ac:dyDescent="0.25">
      <c r="A12946" t="s">
        <v>262</v>
      </c>
      <c r="E12946" s="1605" t="s">
        <v>7344</v>
      </c>
      <c r="F12946" s="1605"/>
      <c r="G12946" s="1605"/>
      <c r="H12946" s="1605"/>
      <c r="K12946" t="s">
        <v>7342</v>
      </c>
      <c r="V12946">
        <v>410</v>
      </c>
    </row>
    <row r="12947" spans="1:22" customFormat="1" ht="15" x14ac:dyDescent="0.25">
      <c r="A12947" t="s">
        <v>262</v>
      </c>
      <c r="E12947" s="1605" t="s">
        <v>954</v>
      </c>
      <c r="F12947" s="1605"/>
      <c r="G12947" s="1605"/>
      <c r="H12947" s="1605"/>
      <c r="K12947" t="s">
        <v>7342</v>
      </c>
      <c r="V12947">
        <v>246</v>
      </c>
    </row>
    <row r="12948" spans="1:22" customFormat="1" ht="15" x14ac:dyDescent="0.25">
      <c r="A12948" t="s">
        <v>262</v>
      </c>
      <c r="E12948" s="1609" t="s">
        <v>956</v>
      </c>
      <c r="F12948" s="1663"/>
      <c r="G12948" s="1663"/>
      <c r="H12948" s="1663"/>
      <c r="K12948" t="s">
        <v>4046</v>
      </c>
      <c r="V12948">
        <v>46</v>
      </c>
    </row>
    <row r="12949" spans="1:22" customFormat="1" ht="15" x14ac:dyDescent="0.25">
      <c r="A12949" t="s">
        <v>262</v>
      </c>
      <c r="E12949" s="1561" t="s">
        <v>3773</v>
      </c>
      <c r="F12949" s="1561"/>
      <c r="G12949" s="749" t="s">
        <v>777</v>
      </c>
      <c r="H12949" s="783">
        <v>3.37</v>
      </c>
      <c r="K12949" t="s">
        <v>7342</v>
      </c>
      <c r="L12949" t="s">
        <v>690</v>
      </c>
      <c r="P12949" t="s">
        <v>7345</v>
      </c>
      <c r="V12949">
        <v>14</v>
      </c>
    </row>
    <row r="12950" spans="1:22" customFormat="1" ht="15" x14ac:dyDescent="0.25">
      <c r="A12950" t="s">
        <v>262</v>
      </c>
      <c r="E12950" s="1561" t="s">
        <v>3688</v>
      </c>
      <c r="F12950" s="1561"/>
      <c r="G12950" s="749" t="s">
        <v>845</v>
      </c>
      <c r="H12950" s="783">
        <v>0.19009999999999999</v>
      </c>
      <c r="K12950" t="s">
        <v>7342</v>
      </c>
      <c r="L12950" t="s">
        <v>690</v>
      </c>
      <c r="P12950" t="s">
        <v>7346</v>
      </c>
      <c r="V12950">
        <v>28</v>
      </c>
    </row>
    <row r="12951" spans="1:22" customFormat="1" ht="15" x14ac:dyDescent="0.25">
      <c r="A12951" t="s">
        <v>262</v>
      </c>
      <c r="E12951" s="1561" t="s">
        <v>7137</v>
      </c>
      <c r="F12951" s="1561"/>
      <c r="G12951" s="749" t="s">
        <v>845</v>
      </c>
      <c r="H12951" s="783">
        <v>-6.9999999999999999E-4</v>
      </c>
      <c r="K12951" t="s">
        <v>7342</v>
      </c>
      <c r="L12951" t="s">
        <v>692</v>
      </c>
      <c r="P12951" t="s">
        <v>7347</v>
      </c>
      <c r="T12951">
        <v>46022</v>
      </c>
      <c r="V12951">
        <v>164</v>
      </c>
    </row>
    <row r="12952" spans="1:22" customFormat="1" ht="15" x14ac:dyDescent="0.25">
      <c r="A12952" t="s">
        <v>262</v>
      </c>
      <c r="E12952" s="1561" t="s">
        <v>7348</v>
      </c>
      <c r="F12952" s="1561"/>
      <c r="G12952" s="749" t="s">
        <v>845</v>
      </c>
      <c r="H12952" s="783">
        <v>-5.0000000000000001E-4</v>
      </c>
      <c r="K12952" t="s">
        <v>7342</v>
      </c>
      <c r="L12952" t="s">
        <v>690</v>
      </c>
      <c r="P12952" t="s">
        <v>7347</v>
      </c>
      <c r="T12952">
        <v>46022</v>
      </c>
      <c r="V12952">
        <v>178</v>
      </c>
    </row>
    <row r="12953" spans="1:22" customFormat="1" ht="15" x14ac:dyDescent="0.25">
      <c r="A12953" t="s">
        <v>262</v>
      </c>
      <c r="E12953" s="1507" t="s">
        <v>7138</v>
      </c>
      <c r="F12953" s="1507"/>
      <c r="G12953" s="749" t="s">
        <v>845</v>
      </c>
      <c r="H12953" s="783">
        <v>-8.9999999999999998E-4</v>
      </c>
      <c r="K12953" t="s">
        <v>7342</v>
      </c>
      <c r="L12953" t="s">
        <v>692</v>
      </c>
      <c r="P12953" t="s">
        <v>7349</v>
      </c>
      <c r="T12953">
        <v>46022</v>
      </c>
      <c r="V12953">
        <v>169</v>
      </c>
    </row>
    <row r="12954" spans="1:22" customFormat="1" ht="15" x14ac:dyDescent="0.25">
      <c r="A12954" t="s">
        <v>262</v>
      </c>
      <c r="E12954" s="1561" t="s">
        <v>7350</v>
      </c>
      <c r="F12954" s="1561"/>
      <c r="G12954" s="749" t="s">
        <v>845</v>
      </c>
      <c r="H12954" s="783">
        <v>-5.0000000000000001E-4</v>
      </c>
      <c r="K12954" t="s">
        <v>7342</v>
      </c>
      <c r="L12954" t="s">
        <v>692</v>
      </c>
      <c r="P12954" t="s">
        <v>7351</v>
      </c>
      <c r="T12954">
        <v>46022</v>
      </c>
      <c r="V12954">
        <v>146</v>
      </c>
    </row>
    <row r="12955" spans="1:22" customFormat="1" ht="15" x14ac:dyDescent="0.25">
      <c r="A12955" t="s">
        <v>262</v>
      </c>
      <c r="E12955" s="1561" t="s">
        <v>7352</v>
      </c>
      <c r="F12955" s="1561"/>
      <c r="G12955" s="749" t="s">
        <v>845</v>
      </c>
      <c r="H12955" s="783">
        <v>-1.8E-3</v>
      </c>
      <c r="K12955" t="s">
        <v>7342</v>
      </c>
      <c r="L12955" t="s">
        <v>692</v>
      </c>
      <c r="P12955" t="s">
        <v>7353</v>
      </c>
      <c r="T12955">
        <v>46022</v>
      </c>
      <c r="V12955">
        <v>146</v>
      </c>
    </row>
    <row r="12956" spans="1:22" customFormat="1" ht="15" x14ac:dyDescent="0.25">
      <c r="A12956" t="s">
        <v>262</v>
      </c>
      <c r="E12956" s="1561" t="s">
        <v>7354</v>
      </c>
      <c r="F12956" s="1561"/>
      <c r="G12956" s="749" t="s">
        <v>845</v>
      </c>
      <c r="H12956" s="783">
        <v>-5.4999999999999997E-3</v>
      </c>
      <c r="K12956" t="s">
        <v>7342</v>
      </c>
      <c r="L12956" t="s">
        <v>692</v>
      </c>
      <c r="P12956" t="s">
        <v>7355</v>
      </c>
      <c r="T12956">
        <v>46022</v>
      </c>
      <c r="V12956">
        <v>148</v>
      </c>
    </row>
    <row r="12957" spans="1:22" customFormat="1" ht="15" x14ac:dyDescent="0.25">
      <c r="A12957" t="s">
        <v>262</v>
      </c>
      <c r="E12957" s="1561" t="s">
        <v>7140</v>
      </c>
      <c r="F12957" s="1561"/>
      <c r="G12957" s="749" t="s">
        <v>845</v>
      </c>
      <c r="H12957" s="783">
        <v>1.5E-3</v>
      </c>
      <c r="K12957" t="s">
        <v>7342</v>
      </c>
      <c r="L12957" t="s">
        <v>692</v>
      </c>
      <c r="P12957" t="s">
        <v>7347</v>
      </c>
      <c r="T12957">
        <v>45838</v>
      </c>
      <c r="V12957">
        <v>160</v>
      </c>
    </row>
    <row r="12958" spans="1:22" customFormat="1" ht="15" x14ac:dyDescent="0.25">
      <c r="A12958" t="s">
        <v>262</v>
      </c>
      <c r="E12958" s="1561" t="s">
        <v>7356</v>
      </c>
      <c r="F12958" s="1561"/>
      <c r="G12958" s="749" t="s">
        <v>845</v>
      </c>
      <c r="H12958" s="783">
        <v>2.9999999999999997E-4</v>
      </c>
      <c r="K12958" t="s">
        <v>7342</v>
      </c>
      <c r="L12958" t="s">
        <v>692</v>
      </c>
      <c r="P12958" t="s">
        <v>7357</v>
      </c>
      <c r="T12958">
        <v>45838</v>
      </c>
      <c r="V12958">
        <v>143</v>
      </c>
    </row>
    <row r="12959" spans="1:22" customFormat="1" ht="15" x14ac:dyDescent="0.25">
      <c r="A12959" t="s">
        <v>262</v>
      </c>
      <c r="E12959" s="1561" t="s">
        <v>7143</v>
      </c>
      <c r="F12959" s="1561"/>
      <c r="G12959" s="749" t="s">
        <v>845</v>
      </c>
      <c r="H12959" s="783">
        <v>-4.4999999999999997E-3</v>
      </c>
      <c r="K12959" t="s">
        <v>7342</v>
      </c>
      <c r="L12959" t="s">
        <v>692</v>
      </c>
      <c r="P12959" t="s">
        <v>7349</v>
      </c>
      <c r="T12959">
        <v>45838</v>
      </c>
      <c r="V12959">
        <v>165</v>
      </c>
    </row>
    <row r="12960" spans="1:22" customFormat="1" ht="15" x14ac:dyDescent="0.25">
      <c r="A12960" t="s">
        <v>262</v>
      </c>
      <c r="E12960" s="1561" t="s">
        <v>7144</v>
      </c>
      <c r="F12960" s="1561"/>
      <c r="G12960" s="749" t="s">
        <v>845</v>
      </c>
      <c r="H12960" s="783">
        <v>-5.9999999999999995E-4</v>
      </c>
      <c r="K12960" t="s">
        <v>7342</v>
      </c>
      <c r="L12960" t="s">
        <v>692</v>
      </c>
      <c r="P12960" t="s">
        <v>7358</v>
      </c>
      <c r="T12960">
        <v>45838</v>
      </c>
      <c r="V12960">
        <v>212</v>
      </c>
    </row>
    <row r="12961" spans="1:22" customFormat="1" ht="15" x14ac:dyDescent="0.25">
      <c r="A12961" t="s">
        <v>262</v>
      </c>
      <c r="E12961" s="1561" t="s">
        <v>7146</v>
      </c>
      <c r="F12961" s="1561"/>
      <c r="G12961" s="749" t="s">
        <v>845</v>
      </c>
      <c r="H12961" s="783">
        <v>-2.8999999999999998E-3</v>
      </c>
      <c r="K12961" t="s">
        <v>7342</v>
      </c>
      <c r="L12961" t="s">
        <v>692</v>
      </c>
      <c r="P12961" t="s">
        <v>7347</v>
      </c>
      <c r="T12961">
        <v>46022</v>
      </c>
      <c r="V12961">
        <v>202</v>
      </c>
    </row>
    <row r="12962" spans="1:22" customFormat="1" ht="15" x14ac:dyDescent="0.25">
      <c r="A12962" t="s">
        <v>262</v>
      </c>
      <c r="E12962" s="1561" t="s">
        <v>7147</v>
      </c>
      <c r="F12962" s="1561"/>
      <c r="G12962" s="749" t="s">
        <v>845</v>
      </c>
      <c r="H12962" s="783">
        <v>1E-4</v>
      </c>
      <c r="K12962" t="s">
        <v>7342</v>
      </c>
      <c r="L12962" t="s">
        <v>692</v>
      </c>
      <c r="P12962" t="s">
        <v>7358</v>
      </c>
      <c r="T12962">
        <v>46022</v>
      </c>
      <c r="V12962">
        <v>247</v>
      </c>
    </row>
    <row r="12963" spans="1:22" customFormat="1" ht="15" x14ac:dyDescent="0.25">
      <c r="A12963" t="s">
        <v>262</v>
      </c>
      <c r="E12963" s="1598" t="s">
        <v>7148</v>
      </c>
      <c r="F12963" s="1699"/>
      <c r="G12963" s="749" t="s">
        <v>845</v>
      </c>
      <c r="H12963" s="783">
        <v>2.7000000000000001E-3</v>
      </c>
      <c r="K12963" t="s">
        <v>7342</v>
      </c>
      <c r="L12963" t="s">
        <v>692</v>
      </c>
      <c r="P12963" t="s">
        <v>7349</v>
      </c>
      <c r="T12963">
        <v>45777</v>
      </c>
      <c r="V12963">
        <v>167</v>
      </c>
    </row>
    <row r="12964" spans="1:22" customFormat="1" ht="15" x14ac:dyDescent="0.25">
      <c r="A12964" t="s">
        <v>262</v>
      </c>
      <c r="E12964" s="1598" t="s">
        <v>7149</v>
      </c>
      <c r="F12964" s="1699"/>
      <c r="G12964" s="749" t="s">
        <v>845</v>
      </c>
      <c r="H12964" s="783">
        <v>2.5000000000000001E-3</v>
      </c>
      <c r="K12964" t="s">
        <v>7342</v>
      </c>
      <c r="L12964" t="s">
        <v>692</v>
      </c>
      <c r="P12964" t="s">
        <v>7347</v>
      </c>
      <c r="T12964">
        <v>45777</v>
      </c>
      <c r="V12964">
        <v>154</v>
      </c>
    </row>
    <row r="12965" spans="1:22" customFormat="1" ht="15" x14ac:dyDescent="0.25">
      <c r="A12965" t="s">
        <v>262</v>
      </c>
      <c r="E12965" s="1561" t="s">
        <v>7121</v>
      </c>
      <c r="F12965" s="1561"/>
      <c r="G12965" s="749" t="s">
        <v>845</v>
      </c>
      <c r="H12965" s="783">
        <v>7.4000000000000003E-3</v>
      </c>
      <c r="K12965" t="s">
        <v>7342</v>
      </c>
      <c r="L12965" t="s">
        <v>694</v>
      </c>
      <c r="P12965" t="s">
        <v>7359</v>
      </c>
      <c r="V12965">
        <v>60</v>
      </c>
    </row>
    <row r="12966" spans="1:22" customFormat="1" ht="15" x14ac:dyDescent="0.25">
      <c r="A12966" t="s">
        <v>262</v>
      </c>
      <c r="E12966" s="1561" t="s">
        <v>7123</v>
      </c>
      <c r="F12966" s="1561"/>
      <c r="G12966" s="749" t="s">
        <v>845</v>
      </c>
      <c r="H12966" s="783">
        <v>5.7000000000000002E-3</v>
      </c>
      <c r="K12966" t="s">
        <v>7342</v>
      </c>
      <c r="L12966" t="s">
        <v>694</v>
      </c>
      <c r="P12966" t="s">
        <v>7360</v>
      </c>
      <c r="V12966">
        <v>87</v>
      </c>
    </row>
    <row r="12967" spans="1:22" customFormat="1" ht="15" x14ac:dyDescent="0.25">
      <c r="A12967" t="s">
        <v>262</v>
      </c>
      <c r="E12967" s="1609" t="s">
        <v>967</v>
      </c>
      <c r="F12967" s="1606"/>
      <c r="G12967" s="1606"/>
      <c r="H12967" s="1606"/>
      <c r="K12967" t="s">
        <v>7361</v>
      </c>
      <c r="V12967">
        <v>48</v>
      </c>
    </row>
    <row r="12968" spans="1:22" customFormat="1" ht="15" x14ac:dyDescent="0.25">
      <c r="A12968" t="s">
        <v>262</v>
      </c>
      <c r="E12968" s="1601" t="s">
        <v>7125</v>
      </c>
      <c r="F12968" s="1601"/>
      <c r="G12968" s="893" t="s">
        <v>845</v>
      </c>
      <c r="H12968" s="783">
        <v>4.1000000000000003E-3</v>
      </c>
      <c r="K12968" t="s">
        <v>7342</v>
      </c>
      <c r="L12968" t="s">
        <v>968</v>
      </c>
      <c r="P12968" t="s">
        <v>7362</v>
      </c>
      <c r="V12968">
        <v>69</v>
      </c>
    </row>
    <row r="12969" spans="1:22" customFormat="1" ht="15" x14ac:dyDescent="0.25">
      <c r="A12969" t="s">
        <v>262</v>
      </c>
      <c r="E12969" s="1601" t="s">
        <v>7127</v>
      </c>
      <c r="F12969" s="1601"/>
      <c r="G12969" s="893" t="s">
        <v>845</v>
      </c>
      <c r="H12969" s="783">
        <v>4.0000000000000002E-4</v>
      </c>
      <c r="K12969" t="s">
        <v>7342</v>
      </c>
      <c r="L12969" t="s">
        <v>968</v>
      </c>
      <c r="P12969" t="s">
        <v>7362</v>
      </c>
      <c r="V12969">
        <v>78</v>
      </c>
    </row>
    <row r="12970" spans="1:22" customFormat="1" ht="15" x14ac:dyDescent="0.25">
      <c r="A12970" t="s">
        <v>262</v>
      </c>
      <c r="E12970" s="1601" t="s">
        <v>7128</v>
      </c>
      <c r="F12970" s="1601"/>
      <c r="G12970" s="893" t="s">
        <v>845</v>
      </c>
      <c r="H12970" s="783">
        <v>1.5E-3</v>
      </c>
      <c r="K12970" t="s">
        <v>7342</v>
      </c>
      <c r="L12970" t="s">
        <v>968</v>
      </c>
      <c r="P12970" t="s">
        <v>7363</v>
      </c>
      <c r="V12970">
        <v>71</v>
      </c>
    </row>
    <row r="12971" spans="1:22" customFormat="1" ht="15" x14ac:dyDescent="0.25">
      <c r="A12971" t="s">
        <v>262</v>
      </c>
      <c r="E12971" s="1601" t="s">
        <v>848</v>
      </c>
      <c r="F12971" s="1601"/>
      <c r="G12971" s="893" t="s">
        <v>777</v>
      </c>
      <c r="H12971" s="783">
        <v>0.25</v>
      </c>
      <c r="K12971" t="s">
        <v>7342</v>
      </c>
      <c r="L12971" t="s">
        <v>968</v>
      </c>
      <c r="P12971" t="s">
        <v>7364</v>
      </c>
      <c r="V12971">
        <v>63</v>
      </c>
    </row>
    <row r="12972" spans="1:22" customFormat="1" x14ac:dyDescent="0.25">
      <c r="A12972" t="s">
        <v>262</v>
      </c>
      <c r="E12972" s="1619" t="s">
        <v>202</v>
      </c>
      <c r="F12972" s="1620"/>
      <c r="G12972" s="1620"/>
      <c r="H12972" s="1620"/>
      <c r="K12972" t="s">
        <v>7365</v>
      </c>
      <c r="V12972">
        <v>38</v>
      </c>
    </row>
    <row r="12973" spans="1:22" customFormat="1" ht="15" x14ac:dyDescent="0.25">
      <c r="A12973" t="s">
        <v>262</v>
      </c>
      <c r="E12973" s="1516" t="s">
        <v>7366</v>
      </c>
      <c r="F12973" s="1516"/>
      <c r="G12973" s="1516"/>
      <c r="H12973" s="1516"/>
      <c r="K12973" t="s">
        <v>7365</v>
      </c>
      <c r="V12973">
        <v>665</v>
      </c>
    </row>
    <row r="12974" spans="1:22" customFormat="1" ht="15" x14ac:dyDescent="0.25">
      <c r="A12974" t="s">
        <v>262</v>
      </c>
      <c r="E12974" s="1700" t="s">
        <v>950</v>
      </c>
      <c r="F12974" s="1605"/>
      <c r="G12974" s="1605"/>
      <c r="H12974" s="1605"/>
      <c r="K12974" t="s">
        <v>5551</v>
      </c>
      <c r="V12974">
        <v>11</v>
      </c>
    </row>
    <row r="12975" spans="1:22" customFormat="1" ht="15" x14ac:dyDescent="0.25">
      <c r="A12975" t="s">
        <v>262</v>
      </c>
      <c r="E12975" s="1605" t="s">
        <v>951</v>
      </c>
      <c r="F12975" s="1605"/>
      <c r="G12975" s="1605"/>
      <c r="H12975" s="1605"/>
      <c r="K12975" t="s">
        <v>7365</v>
      </c>
      <c r="V12975">
        <v>280</v>
      </c>
    </row>
    <row r="12976" spans="1:22" customFormat="1" ht="15" x14ac:dyDescent="0.25">
      <c r="A12976" t="s">
        <v>262</v>
      </c>
      <c r="E12976" s="1605" t="s">
        <v>952</v>
      </c>
      <c r="F12976" s="1605"/>
      <c r="G12976" s="1605"/>
      <c r="H12976" s="1605"/>
      <c r="K12976" t="s">
        <v>7365</v>
      </c>
      <c r="V12976">
        <v>411</v>
      </c>
    </row>
    <row r="12977" spans="1:22" customFormat="1" ht="15" x14ac:dyDescent="0.25">
      <c r="A12977" t="s">
        <v>262</v>
      </c>
      <c r="E12977" s="1605" t="s">
        <v>7367</v>
      </c>
      <c r="F12977" s="1605"/>
      <c r="G12977" s="1605"/>
      <c r="H12977" s="1605"/>
      <c r="K12977" t="s">
        <v>7365</v>
      </c>
      <c r="V12977">
        <v>410</v>
      </c>
    </row>
    <row r="12978" spans="1:22" customFormat="1" ht="15" x14ac:dyDescent="0.25">
      <c r="A12978" t="s">
        <v>262</v>
      </c>
      <c r="E12978" s="1605" t="s">
        <v>954</v>
      </c>
      <c r="F12978" s="1605"/>
      <c r="G12978" s="1605"/>
      <c r="H12978" s="1605"/>
      <c r="K12978" t="s">
        <v>7365</v>
      </c>
      <c r="V12978">
        <v>246</v>
      </c>
    </row>
    <row r="12979" spans="1:22" customFormat="1" ht="15" x14ac:dyDescent="0.25">
      <c r="A12979" t="s">
        <v>262</v>
      </c>
      <c r="E12979" s="1609" t="s">
        <v>956</v>
      </c>
      <c r="F12979" s="1663"/>
      <c r="G12979" s="1663"/>
      <c r="H12979" s="1663"/>
      <c r="K12979" t="s">
        <v>5552</v>
      </c>
      <c r="V12979">
        <v>46</v>
      </c>
    </row>
    <row r="12980" spans="1:22" customFormat="1" ht="15" x14ac:dyDescent="0.25">
      <c r="A12980" t="s">
        <v>262</v>
      </c>
      <c r="E12980" s="1561" t="s">
        <v>3773</v>
      </c>
      <c r="F12980" s="1561"/>
      <c r="G12980" s="893" t="s">
        <v>777</v>
      </c>
      <c r="H12980" s="783">
        <v>3.31</v>
      </c>
      <c r="K12980" t="s">
        <v>7365</v>
      </c>
      <c r="L12980" t="s">
        <v>690</v>
      </c>
      <c r="P12980" t="s">
        <v>7368</v>
      </c>
      <c r="V12980">
        <v>14</v>
      </c>
    </row>
    <row r="12981" spans="1:22" customFormat="1" ht="15" x14ac:dyDescent="0.25">
      <c r="A12981" t="s">
        <v>262</v>
      </c>
      <c r="E12981" s="1561" t="s">
        <v>3688</v>
      </c>
      <c r="F12981" s="1561"/>
      <c r="G12981" s="893" t="s">
        <v>845</v>
      </c>
      <c r="H12981" s="783">
        <v>0.1235</v>
      </c>
      <c r="K12981" t="s">
        <v>7365</v>
      </c>
      <c r="L12981" t="s">
        <v>690</v>
      </c>
      <c r="P12981" t="s">
        <v>7369</v>
      </c>
      <c r="V12981">
        <v>28</v>
      </c>
    </row>
    <row r="12982" spans="1:22" customFormat="1" ht="15" x14ac:dyDescent="0.25">
      <c r="A12982" t="s">
        <v>262</v>
      </c>
      <c r="E12982" s="1561" t="s">
        <v>7137</v>
      </c>
      <c r="F12982" s="1561"/>
      <c r="G12982" s="893" t="s">
        <v>845</v>
      </c>
      <c r="H12982" s="783">
        <v>-6.9999999999999999E-4</v>
      </c>
      <c r="K12982" t="s">
        <v>7365</v>
      </c>
      <c r="L12982" t="s">
        <v>692</v>
      </c>
      <c r="P12982" t="s">
        <v>7370</v>
      </c>
      <c r="T12982">
        <v>46022</v>
      </c>
      <c r="V12982">
        <v>164</v>
      </c>
    </row>
    <row r="12983" spans="1:22" customFormat="1" ht="15" x14ac:dyDescent="0.25">
      <c r="A12983" t="s">
        <v>262</v>
      </c>
      <c r="E12983" s="1561" t="s">
        <v>7319</v>
      </c>
      <c r="F12983" s="1561"/>
      <c r="G12983" s="893" t="s">
        <v>845</v>
      </c>
      <c r="H12983" s="783">
        <v>-4.0000000000000002E-4</v>
      </c>
      <c r="K12983" t="s">
        <v>7365</v>
      </c>
      <c r="L12983" t="s">
        <v>690</v>
      </c>
      <c r="P12983" t="s">
        <v>7370</v>
      </c>
      <c r="T12983">
        <v>46022</v>
      </c>
      <c r="V12983">
        <v>177</v>
      </c>
    </row>
    <row r="12984" spans="1:22" customFormat="1" ht="15" x14ac:dyDescent="0.25">
      <c r="A12984" t="s">
        <v>262</v>
      </c>
      <c r="E12984" s="1507" t="s">
        <v>7138</v>
      </c>
      <c r="F12984" s="1507"/>
      <c r="G12984" s="893" t="s">
        <v>845</v>
      </c>
      <c r="H12984" s="783">
        <v>-8.9999999999999998E-4</v>
      </c>
      <c r="K12984" t="s">
        <v>7365</v>
      </c>
      <c r="L12984" t="s">
        <v>692</v>
      </c>
      <c r="P12984" t="s">
        <v>7371</v>
      </c>
      <c r="T12984">
        <v>46022</v>
      </c>
      <c r="V12984">
        <v>169</v>
      </c>
    </row>
    <row r="12985" spans="1:22" customFormat="1" ht="15" x14ac:dyDescent="0.25">
      <c r="A12985" t="s">
        <v>262</v>
      </c>
      <c r="E12985" s="1561" t="s">
        <v>7372</v>
      </c>
      <c r="F12985" s="1561"/>
      <c r="G12985" s="893" t="s">
        <v>845</v>
      </c>
      <c r="H12985" s="783">
        <v>1E-4</v>
      </c>
      <c r="K12985" t="s">
        <v>7365</v>
      </c>
      <c r="L12985" t="s">
        <v>692</v>
      </c>
      <c r="P12985" t="s">
        <v>7373</v>
      </c>
      <c r="T12985">
        <v>46022</v>
      </c>
      <c r="V12985">
        <v>146</v>
      </c>
    </row>
    <row r="12986" spans="1:22" customFormat="1" ht="15" x14ac:dyDescent="0.25">
      <c r="A12986" t="s">
        <v>262</v>
      </c>
      <c r="E12986" s="1561" t="s">
        <v>7374</v>
      </c>
      <c r="F12986" s="1561"/>
      <c r="G12986" s="893" t="s">
        <v>845</v>
      </c>
      <c r="H12986" s="783">
        <v>-4.0000000000000002E-4</v>
      </c>
      <c r="K12986" t="s">
        <v>7365</v>
      </c>
      <c r="L12986" t="s">
        <v>692</v>
      </c>
      <c r="P12986" t="s">
        <v>7375</v>
      </c>
      <c r="T12986">
        <v>46022</v>
      </c>
      <c r="V12986">
        <v>144</v>
      </c>
    </row>
    <row r="12987" spans="1:22" customFormat="1" ht="15" x14ac:dyDescent="0.25">
      <c r="A12987" t="s">
        <v>262</v>
      </c>
      <c r="E12987" s="1561" t="s">
        <v>7376</v>
      </c>
      <c r="F12987" s="1561"/>
      <c r="G12987" s="893" t="s">
        <v>845</v>
      </c>
      <c r="H12987" s="783">
        <v>-1.1000000000000001E-3</v>
      </c>
      <c r="K12987" t="s">
        <v>7365</v>
      </c>
      <c r="L12987" t="s">
        <v>692</v>
      </c>
      <c r="P12987" t="s">
        <v>7377</v>
      </c>
      <c r="T12987">
        <v>46022</v>
      </c>
      <c r="V12987">
        <v>144</v>
      </c>
    </row>
    <row r="12988" spans="1:22" customFormat="1" ht="15" x14ac:dyDescent="0.25">
      <c r="A12988" t="s">
        <v>262</v>
      </c>
      <c r="E12988" s="1561" t="s">
        <v>7378</v>
      </c>
      <c r="F12988" s="1561"/>
      <c r="G12988" s="893" t="s">
        <v>845</v>
      </c>
      <c r="H12988" s="783">
        <v>-2.8E-3</v>
      </c>
      <c r="K12988" t="s">
        <v>7365</v>
      </c>
      <c r="L12988" t="s">
        <v>692</v>
      </c>
      <c r="P12988" t="s">
        <v>7379</v>
      </c>
      <c r="T12988">
        <v>46022</v>
      </c>
      <c r="V12988">
        <v>146</v>
      </c>
    </row>
    <row r="12989" spans="1:22" customFormat="1" ht="15" x14ac:dyDescent="0.25">
      <c r="A12989" t="s">
        <v>262</v>
      </c>
      <c r="E12989" s="1561" t="s">
        <v>7380</v>
      </c>
      <c r="F12989" s="1561"/>
      <c r="G12989" s="893" t="s">
        <v>845</v>
      </c>
      <c r="H12989" s="783">
        <v>-1.2999999999999999E-3</v>
      </c>
      <c r="K12989" t="s">
        <v>7365</v>
      </c>
      <c r="L12989" t="s">
        <v>692</v>
      </c>
      <c r="P12989" t="s">
        <v>7381</v>
      </c>
      <c r="T12989">
        <v>46022</v>
      </c>
      <c r="V12989">
        <v>146</v>
      </c>
    </row>
    <row r="12990" spans="1:22" customFormat="1" ht="15" x14ac:dyDescent="0.25">
      <c r="A12990" t="s">
        <v>262</v>
      </c>
      <c r="E12990" s="1561" t="s">
        <v>7140</v>
      </c>
      <c r="F12990" s="1561"/>
      <c r="G12990" s="749" t="s">
        <v>845</v>
      </c>
      <c r="H12990" s="783">
        <v>1.5E-3</v>
      </c>
      <c r="K12990" t="s">
        <v>7365</v>
      </c>
      <c r="L12990" t="s">
        <v>692</v>
      </c>
      <c r="P12990" t="s">
        <v>7370</v>
      </c>
      <c r="T12990">
        <v>45838</v>
      </c>
      <c r="V12990">
        <v>160</v>
      </c>
    </row>
    <row r="12991" spans="1:22" customFormat="1" ht="15" x14ac:dyDescent="0.25">
      <c r="A12991" t="s">
        <v>262</v>
      </c>
      <c r="E12991" s="1561" t="s">
        <v>7356</v>
      </c>
      <c r="F12991" s="1561"/>
      <c r="G12991" s="749" t="s">
        <v>845</v>
      </c>
      <c r="H12991" s="783">
        <v>1E-3</v>
      </c>
      <c r="K12991" t="s">
        <v>7365</v>
      </c>
      <c r="L12991" t="s">
        <v>692</v>
      </c>
      <c r="P12991" t="s">
        <v>7382</v>
      </c>
      <c r="T12991">
        <v>45838</v>
      </c>
      <c r="V12991">
        <v>143</v>
      </c>
    </row>
    <row r="12992" spans="1:22" customFormat="1" ht="15" x14ac:dyDescent="0.25">
      <c r="A12992" t="s">
        <v>262</v>
      </c>
      <c r="E12992" s="1561" t="s">
        <v>7143</v>
      </c>
      <c r="F12992" s="1561"/>
      <c r="G12992" s="749" t="s">
        <v>845</v>
      </c>
      <c r="H12992" s="783">
        <v>-4.4999999999999997E-3</v>
      </c>
      <c r="K12992" t="s">
        <v>7365</v>
      </c>
      <c r="L12992" t="s">
        <v>692</v>
      </c>
      <c r="P12992" t="s">
        <v>7371</v>
      </c>
      <c r="T12992">
        <v>45838</v>
      </c>
      <c r="V12992">
        <v>165</v>
      </c>
    </row>
    <row r="12993" spans="1:22" customFormat="1" ht="15" x14ac:dyDescent="0.25">
      <c r="A12993" t="s">
        <v>262</v>
      </c>
      <c r="E12993" s="1561" t="s">
        <v>7144</v>
      </c>
      <c r="F12993" s="1561"/>
      <c r="G12993" s="749" t="s">
        <v>845</v>
      </c>
      <c r="H12993" s="783">
        <v>-5.9999999999999995E-4</v>
      </c>
      <c r="K12993" t="s">
        <v>7365</v>
      </c>
      <c r="L12993" t="s">
        <v>692</v>
      </c>
      <c r="P12993" t="s">
        <v>7383</v>
      </c>
      <c r="T12993">
        <v>45838</v>
      </c>
      <c r="V12993">
        <v>212</v>
      </c>
    </row>
    <row r="12994" spans="1:22" customFormat="1" ht="15" x14ac:dyDescent="0.25">
      <c r="A12994" t="s">
        <v>262</v>
      </c>
      <c r="E12994" s="1561" t="s">
        <v>7146</v>
      </c>
      <c r="F12994" s="1561"/>
      <c r="G12994" s="749" t="s">
        <v>845</v>
      </c>
      <c r="H12994" s="783">
        <v>-2.8999999999999998E-3</v>
      </c>
      <c r="K12994" t="s">
        <v>7365</v>
      </c>
      <c r="L12994" t="s">
        <v>692</v>
      </c>
      <c r="P12994" t="s">
        <v>7370</v>
      </c>
      <c r="T12994">
        <v>46022</v>
      </c>
      <c r="V12994">
        <v>202</v>
      </c>
    </row>
    <row r="12995" spans="1:22" customFormat="1" ht="15" x14ac:dyDescent="0.25">
      <c r="A12995" t="s">
        <v>262</v>
      </c>
      <c r="E12995" s="1561" t="s">
        <v>7147</v>
      </c>
      <c r="F12995" s="1561"/>
      <c r="G12995" s="749" t="s">
        <v>845</v>
      </c>
      <c r="H12995" s="783">
        <v>1E-4</v>
      </c>
      <c r="K12995" t="s">
        <v>7365</v>
      </c>
      <c r="L12995" t="s">
        <v>692</v>
      </c>
      <c r="P12995" t="s">
        <v>7383</v>
      </c>
      <c r="T12995">
        <v>46022</v>
      </c>
      <c r="V12995">
        <v>247</v>
      </c>
    </row>
    <row r="12996" spans="1:22" customFormat="1" ht="15" x14ac:dyDescent="0.25">
      <c r="A12996" t="s">
        <v>262</v>
      </c>
      <c r="E12996" s="1598" t="s">
        <v>7149</v>
      </c>
      <c r="F12996" s="1699"/>
      <c r="G12996" s="749" t="s">
        <v>845</v>
      </c>
      <c r="H12996" s="783">
        <v>2.5000000000000001E-3</v>
      </c>
      <c r="K12996" t="s">
        <v>7365</v>
      </c>
      <c r="L12996" t="s">
        <v>692</v>
      </c>
      <c r="P12996" t="s">
        <v>7370</v>
      </c>
      <c r="T12996">
        <v>45777</v>
      </c>
      <c r="V12996">
        <v>154</v>
      </c>
    </row>
    <row r="12997" spans="1:22" customFormat="1" ht="15" x14ac:dyDescent="0.25">
      <c r="A12997" t="s">
        <v>262</v>
      </c>
      <c r="E12997" s="1561" t="s">
        <v>7121</v>
      </c>
      <c r="F12997" s="1561"/>
      <c r="G12997" s="893" t="s">
        <v>845</v>
      </c>
      <c r="H12997" s="783">
        <v>7.4000000000000003E-3</v>
      </c>
      <c r="K12997" t="s">
        <v>7365</v>
      </c>
      <c r="L12997" t="s">
        <v>694</v>
      </c>
      <c r="P12997" t="s">
        <v>7384</v>
      </c>
      <c r="V12997">
        <v>60</v>
      </c>
    </row>
    <row r="12998" spans="1:22" customFormat="1" ht="15" x14ac:dyDescent="0.25">
      <c r="A12998" t="s">
        <v>262</v>
      </c>
      <c r="E12998" s="1561" t="s">
        <v>7123</v>
      </c>
      <c r="F12998" s="1561"/>
      <c r="G12998" s="893" t="s">
        <v>845</v>
      </c>
      <c r="H12998" s="783">
        <v>5.7000000000000002E-3</v>
      </c>
      <c r="K12998" t="s">
        <v>7365</v>
      </c>
      <c r="L12998" t="s">
        <v>694</v>
      </c>
      <c r="P12998" t="s">
        <v>7385</v>
      </c>
      <c r="V12998">
        <v>87</v>
      </c>
    </row>
    <row r="12999" spans="1:22" customFormat="1" ht="15" x14ac:dyDescent="0.25">
      <c r="A12999" t="s">
        <v>262</v>
      </c>
      <c r="E12999" s="1609" t="s">
        <v>967</v>
      </c>
      <c r="F12999" s="1606"/>
      <c r="G12999" s="1606"/>
      <c r="H12999" s="1606"/>
      <c r="K12999" t="s">
        <v>7386</v>
      </c>
      <c r="V12999">
        <v>48</v>
      </c>
    </row>
    <row r="13000" spans="1:22" customFormat="1" ht="15" x14ac:dyDescent="0.25">
      <c r="A13000" t="s">
        <v>262</v>
      </c>
      <c r="E13000" s="1601" t="s">
        <v>7125</v>
      </c>
      <c r="F13000" s="1601"/>
      <c r="G13000" s="893" t="s">
        <v>845</v>
      </c>
      <c r="H13000" s="783">
        <v>4.1000000000000003E-3</v>
      </c>
      <c r="K13000" t="s">
        <v>7365</v>
      </c>
      <c r="L13000" t="s">
        <v>968</v>
      </c>
      <c r="P13000" t="s">
        <v>7387</v>
      </c>
      <c r="V13000">
        <v>69</v>
      </c>
    </row>
    <row r="13001" spans="1:22" customFormat="1" ht="15" x14ac:dyDescent="0.25">
      <c r="A13001" t="s">
        <v>262</v>
      </c>
      <c r="E13001" s="1601" t="s">
        <v>7127</v>
      </c>
      <c r="F13001" s="1601"/>
      <c r="G13001" s="893" t="s">
        <v>845</v>
      </c>
      <c r="H13001" s="783">
        <v>4.0000000000000002E-4</v>
      </c>
      <c r="K13001" t="s">
        <v>7365</v>
      </c>
      <c r="L13001" t="s">
        <v>968</v>
      </c>
      <c r="P13001" t="s">
        <v>7387</v>
      </c>
      <c r="V13001">
        <v>78</v>
      </c>
    </row>
    <row r="13002" spans="1:22" customFormat="1" ht="15" x14ac:dyDescent="0.25">
      <c r="A13002" t="s">
        <v>262</v>
      </c>
      <c r="E13002" s="1601" t="s">
        <v>7128</v>
      </c>
      <c r="F13002" s="1601"/>
      <c r="G13002" s="893" t="s">
        <v>845</v>
      </c>
      <c r="H13002" s="783">
        <v>1.5E-3</v>
      </c>
      <c r="K13002" t="s">
        <v>7365</v>
      </c>
      <c r="L13002" t="s">
        <v>968</v>
      </c>
      <c r="P13002" t="s">
        <v>7388</v>
      </c>
      <c r="V13002">
        <v>71</v>
      </c>
    </row>
    <row r="13003" spans="1:22" customFormat="1" ht="15" x14ac:dyDescent="0.25">
      <c r="A13003" t="s">
        <v>262</v>
      </c>
      <c r="E13003" s="1601" t="s">
        <v>848</v>
      </c>
      <c r="F13003" s="1601"/>
      <c r="G13003" s="893" t="s">
        <v>777</v>
      </c>
      <c r="H13003" s="783">
        <v>0.25</v>
      </c>
      <c r="K13003" t="s">
        <v>7365</v>
      </c>
      <c r="L13003" t="s">
        <v>968</v>
      </c>
      <c r="P13003" t="s">
        <v>7389</v>
      </c>
      <c r="V13003">
        <v>63</v>
      </c>
    </row>
    <row r="13004" spans="1:22" customFormat="1" ht="15" x14ac:dyDescent="0.25">
      <c r="A13004" t="s">
        <v>262</v>
      </c>
      <c r="E13004" s="1619" t="s">
        <v>7390</v>
      </c>
      <c r="F13004" s="1605"/>
      <c r="G13004" s="1605"/>
      <c r="H13004" s="1605"/>
      <c r="K13004" t="s">
        <v>7365</v>
      </c>
      <c r="V13004">
        <v>44</v>
      </c>
    </row>
    <row r="13005" spans="1:22" customFormat="1" ht="15" x14ac:dyDescent="0.25">
      <c r="A13005" t="s">
        <v>262</v>
      </c>
      <c r="E13005" s="1701" t="s">
        <v>7391</v>
      </c>
      <c r="F13005" s="1701"/>
      <c r="G13005" s="1701"/>
      <c r="H13005" s="1701"/>
      <c r="K13005" t="s">
        <v>7365</v>
      </c>
      <c r="V13005">
        <v>479</v>
      </c>
    </row>
    <row r="13006" spans="1:22" customFormat="1" ht="15" x14ac:dyDescent="0.25">
      <c r="A13006" t="s">
        <v>262</v>
      </c>
      <c r="E13006" s="1700" t="s">
        <v>950</v>
      </c>
      <c r="F13006" s="1605"/>
      <c r="G13006" s="1605"/>
      <c r="H13006" s="1605"/>
      <c r="K13006" t="s">
        <v>5551</v>
      </c>
      <c r="V13006">
        <v>11</v>
      </c>
    </row>
    <row r="13007" spans="1:22" customFormat="1" ht="15" x14ac:dyDescent="0.25">
      <c r="A13007" t="s">
        <v>262</v>
      </c>
      <c r="E13007" s="1605" t="s">
        <v>951</v>
      </c>
      <c r="F13007" s="1605"/>
      <c r="G13007" s="1605"/>
      <c r="H13007" s="1605"/>
      <c r="K13007" t="s">
        <v>7365</v>
      </c>
      <c r="V13007">
        <v>280</v>
      </c>
    </row>
    <row r="13008" spans="1:22" customFormat="1" ht="15" x14ac:dyDescent="0.25">
      <c r="A13008" t="s">
        <v>262</v>
      </c>
      <c r="E13008" s="1605" t="s">
        <v>952</v>
      </c>
      <c r="F13008" s="1605"/>
      <c r="G13008" s="1605"/>
      <c r="H13008" s="1605"/>
      <c r="K13008" t="s">
        <v>7365</v>
      </c>
      <c r="V13008">
        <v>411</v>
      </c>
    </row>
    <row r="13009" spans="1:22" customFormat="1" ht="15" x14ac:dyDescent="0.25">
      <c r="A13009" t="s">
        <v>262</v>
      </c>
      <c r="E13009" s="1605" t="s">
        <v>953</v>
      </c>
      <c r="F13009" s="1605"/>
      <c r="G13009" s="1605"/>
      <c r="H13009" s="1605"/>
      <c r="K13009" t="s">
        <v>7365</v>
      </c>
      <c r="V13009">
        <v>386</v>
      </c>
    </row>
    <row r="13010" spans="1:22" customFormat="1" ht="15" x14ac:dyDescent="0.25">
      <c r="A13010" t="s">
        <v>262</v>
      </c>
      <c r="E13010" s="1605" t="s">
        <v>954</v>
      </c>
      <c r="F13010" s="1605"/>
      <c r="G13010" s="1605"/>
      <c r="H13010" s="1605"/>
      <c r="K13010" t="s">
        <v>7365</v>
      </c>
      <c r="V13010">
        <v>246</v>
      </c>
    </row>
    <row r="13011" spans="1:22" customFormat="1" ht="15" x14ac:dyDescent="0.25">
      <c r="A13011" t="s">
        <v>262</v>
      </c>
      <c r="E13011" s="1659" t="s">
        <v>7392</v>
      </c>
      <c r="F13011" s="1660"/>
      <c r="G13011" s="1660"/>
      <c r="H13011" s="1660"/>
      <c r="K13011" t="s">
        <v>7393</v>
      </c>
      <c r="V13011">
        <v>28</v>
      </c>
    </row>
    <row r="13012" spans="1:22" customFormat="1" ht="15" x14ac:dyDescent="0.25">
      <c r="A13012" t="s">
        <v>262</v>
      </c>
      <c r="E13012" s="1572" t="s">
        <v>7394</v>
      </c>
      <c r="F13012" s="1572"/>
      <c r="G13012" s="1572"/>
      <c r="H13012" s="1572"/>
      <c r="K13012" t="s">
        <v>7393</v>
      </c>
      <c r="V13012">
        <v>202</v>
      </c>
    </row>
    <row r="13013" spans="1:22" customFormat="1" ht="15" x14ac:dyDescent="0.25">
      <c r="A13013" t="s">
        <v>262</v>
      </c>
      <c r="E13013" s="1609" t="s">
        <v>956</v>
      </c>
      <c r="F13013" s="1663"/>
      <c r="G13013" s="1663"/>
      <c r="H13013" s="1663"/>
      <c r="K13013" t="s">
        <v>7395</v>
      </c>
      <c r="V13013">
        <v>46</v>
      </c>
    </row>
    <row r="13014" spans="1:22" customFormat="1" ht="15" x14ac:dyDescent="0.25">
      <c r="A13014" t="s">
        <v>262</v>
      </c>
      <c r="E13014" s="1561" t="s">
        <v>3773</v>
      </c>
      <c r="F13014" s="1561"/>
      <c r="G13014" s="893" t="s">
        <v>777</v>
      </c>
      <c r="H13014" s="783">
        <v>34.36</v>
      </c>
      <c r="K13014" t="s">
        <v>7393</v>
      </c>
      <c r="L13014" t="s">
        <v>690</v>
      </c>
      <c r="P13014" t="s">
        <v>7396</v>
      </c>
      <c r="V13014">
        <v>14</v>
      </c>
    </row>
    <row r="13015" spans="1:22" customFormat="1" ht="15" x14ac:dyDescent="0.25">
      <c r="A13015" t="s">
        <v>262</v>
      </c>
      <c r="E13015" s="1561" t="s">
        <v>960</v>
      </c>
      <c r="F13015" s="1561"/>
      <c r="G13015" s="893" t="s">
        <v>777</v>
      </c>
      <c r="H13015" s="783">
        <v>0.42</v>
      </c>
      <c r="K13015" t="s">
        <v>7393</v>
      </c>
      <c r="L13015" t="s">
        <v>692</v>
      </c>
      <c r="P13015" t="s">
        <v>7397</v>
      </c>
      <c r="V13015">
        <v>64</v>
      </c>
    </row>
    <row r="13016" spans="1:22" customFormat="1" ht="15" x14ac:dyDescent="0.25">
      <c r="A13016" t="s">
        <v>262</v>
      </c>
      <c r="E13016" s="1561" t="s">
        <v>7398</v>
      </c>
      <c r="F13016" s="1561"/>
      <c r="G13016" s="893" t="s">
        <v>777</v>
      </c>
      <c r="H13016" s="783">
        <v>-0.4</v>
      </c>
      <c r="K13016" t="s">
        <v>7393</v>
      </c>
      <c r="L13016" t="s">
        <v>692</v>
      </c>
      <c r="P13016" t="s">
        <v>7399</v>
      </c>
      <c r="T13016">
        <v>46022</v>
      </c>
      <c r="V13016">
        <v>78</v>
      </c>
    </row>
    <row r="13017" spans="1:22" customFormat="1" ht="15" x14ac:dyDescent="0.25">
      <c r="A13017" t="s">
        <v>262</v>
      </c>
      <c r="E13017" s="1561" t="s">
        <v>7110</v>
      </c>
      <c r="F13017" s="1561"/>
      <c r="G13017" s="893" t="s">
        <v>845</v>
      </c>
      <c r="H13017" s="783">
        <v>-6.9999999999999999E-4</v>
      </c>
      <c r="K13017" t="s">
        <v>7393</v>
      </c>
      <c r="L13017" t="s">
        <v>692</v>
      </c>
      <c r="P13017" t="s">
        <v>7400</v>
      </c>
      <c r="T13017">
        <v>46022</v>
      </c>
      <c r="V13017">
        <v>107</v>
      </c>
    </row>
    <row r="13018" spans="1:22" customFormat="1" ht="15" x14ac:dyDescent="0.25">
      <c r="A13018" t="s">
        <v>262</v>
      </c>
      <c r="E13018" s="1561" t="s">
        <v>7111</v>
      </c>
      <c r="F13018" s="1561"/>
      <c r="G13018" s="893" t="s">
        <v>845</v>
      </c>
      <c r="H13018" s="783">
        <v>-8.9999999999999998E-4</v>
      </c>
      <c r="K13018" t="s">
        <v>7393</v>
      </c>
      <c r="L13018" t="s">
        <v>692</v>
      </c>
      <c r="P13018" t="s">
        <v>7401</v>
      </c>
      <c r="T13018">
        <v>46022</v>
      </c>
      <c r="V13018">
        <v>112</v>
      </c>
    </row>
    <row r="13019" spans="1:22" customFormat="1" ht="15" x14ac:dyDescent="0.25">
      <c r="A13019" t="s">
        <v>262</v>
      </c>
      <c r="E13019" s="1561" t="s">
        <v>7402</v>
      </c>
      <c r="F13019" s="1561"/>
      <c r="G13019" s="893" t="s">
        <v>845</v>
      </c>
      <c r="H13019" s="783">
        <v>-2.0000000000000001E-4</v>
      </c>
      <c r="K13019" t="s">
        <v>7393</v>
      </c>
      <c r="L13019" t="s">
        <v>692</v>
      </c>
      <c r="P13019" t="s">
        <v>7403</v>
      </c>
      <c r="T13019">
        <v>46022</v>
      </c>
      <c r="V13019">
        <v>78</v>
      </c>
    </row>
    <row r="13020" spans="1:22" customFormat="1" ht="15" x14ac:dyDescent="0.25">
      <c r="A13020" t="s">
        <v>262</v>
      </c>
      <c r="E13020" s="1561" t="s">
        <v>7113</v>
      </c>
      <c r="F13020" s="1561"/>
      <c r="G13020" s="749" t="s">
        <v>845</v>
      </c>
      <c r="H13020" s="783">
        <v>1.1000000000000001E-3</v>
      </c>
      <c r="K13020" t="s">
        <v>7393</v>
      </c>
      <c r="L13020" t="s">
        <v>692</v>
      </c>
      <c r="P13020" t="s">
        <v>7400</v>
      </c>
      <c r="T13020">
        <v>45838</v>
      </c>
      <c r="V13020">
        <v>103</v>
      </c>
    </row>
    <row r="13021" spans="1:22" customFormat="1" ht="15" x14ac:dyDescent="0.25">
      <c r="A13021" t="s">
        <v>262</v>
      </c>
      <c r="E13021" s="1561" t="s">
        <v>7116</v>
      </c>
      <c r="F13021" s="1561"/>
      <c r="G13021" s="749" t="s">
        <v>845</v>
      </c>
      <c r="H13021" s="783">
        <v>-4.4999999999999997E-3</v>
      </c>
      <c r="K13021" t="s">
        <v>7393</v>
      </c>
      <c r="L13021" t="s">
        <v>692</v>
      </c>
      <c r="P13021" t="s">
        <v>7401</v>
      </c>
      <c r="T13021">
        <v>45838</v>
      </c>
      <c r="V13021">
        <v>108</v>
      </c>
    </row>
    <row r="13022" spans="1:22" customFormat="1" ht="15" x14ac:dyDescent="0.25">
      <c r="A13022" t="s">
        <v>262</v>
      </c>
      <c r="E13022" s="1561" t="s">
        <v>7117</v>
      </c>
      <c r="F13022" s="1561"/>
      <c r="G13022" s="749" t="s">
        <v>845</v>
      </c>
      <c r="H13022" s="783">
        <v>-5.9999999999999995E-4</v>
      </c>
      <c r="K13022" t="s">
        <v>7393</v>
      </c>
      <c r="L13022" t="s">
        <v>692</v>
      </c>
      <c r="P13022" t="s">
        <v>7404</v>
      </c>
      <c r="T13022">
        <v>45838</v>
      </c>
      <c r="V13022">
        <v>155</v>
      </c>
    </row>
    <row r="13023" spans="1:22" customFormat="1" ht="15" x14ac:dyDescent="0.25">
      <c r="A13023" t="s">
        <v>262</v>
      </c>
      <c r="E13023" s="1561" t="s">
        <v>7119</v>
      </c>
      <c r="F13023" s="1561"/>
      <c r="G13023" s="749" t="s">
        <v>845</v>
      </c>
      <c r="H13023" s="783">
        <v>-3.0999999999999999E-3</v>
      </c>
      <c r="K13023" t="s">
        <v>7393</v>
      </c>
      <c r="L13023" t="s">
        <v>692</v>
      </c>
      <c r="P13023" t="s">
        <v>7400</v>
      </c>
      <c r="T13023">
        <v>46022</v>
      </c>
      <c r="V13023">
        <v>145</v>
      </c>
    </row>
    <row r="13024" spans="1:22" customFormat="1" ht="15" x14ac:dyDescent="0.25">
      <c r="A13024" t="s">
        <v>262</v>
      </c>
      <c r="E13024" s="1561" t="s">
        <v>7120</v>
      </c>
      <c r="F13024" s="1561"/>
      <c r="G13024" s="749" t="s">
        <v>845</v>
      </c>
      <c r="H13024" s="783">
        <v>1E-4</v>
      </c>
      <c r="K13024" t="s">
        <v>7393</v>
      </c>
      <c r="L13024" t="s">
        <v>692</v>
      </c>
      <c r="P13024" t="s">
        <v>7404</v>
      </c>
      <c r="T13024">
        <v>46022</v>
      </c>
      <c r="V13024">
        <v>190</v>
      </c>
    </row>
    <row r="13025" spans="1:22" customFormat="1" ht="15" x14ac:dyDescent="0.25">
      <c r="A13025" t="s">
        <v>262</v>
      </c>
      <c r="E13025" s="1561" t="s">
        <v>7121</v>
      </c>
      <c r="F13025" s="1561"/>
      <c r="G13025" s="893" t="s">
        <v>845</v>
      </c>
      <c r="H13025" s="783">
        <v>1.41E-2</v>
      </c>
      <c r="K13025" t="s">
        <v>7393</v>
      </c>
      <c r="L13025" t="s">
        <v>694</v>
      </c>
      <c r="P13025" t="s">
        <v>7405</v>
      </c>
      <c r="V13025">
        <v>60</v>
      </c>
    </row>
    <row r="13026" spans="1:22" customFormat="1" ht="15" x14ac:dyDescent="0.25">
      <c r="A13026" t="s">
        <v>262</v>
      </c>
      <c r="E13026" s="1561" t="s">
        <v>7123</v>
      </c>
      <c r="F13026" s="1561"/>
      <c r="G13026" s="893" t="s">
        <v>845</v>
      </c>
      <c r="H13026" s="783">
        <v>1.01E-2</v>
      </c>
      <c r="K13026" t="s">
        <v>7393</v>
      </c>
      <c r="L13026" t="s">
        <v>694</v>
      </c>
      <c r="P13026" t="s">
        <v>7406</v>
      </c>
      <c r="V13026">
        <v>87</v>
      </c>
    </row>
    <row r="13027" spans="1:22" customFormat="1" ht="15" x14ac:dyDescent="0.25">
      <c r="A13027" t="s">
        <v>262</v>
      </c>
      <c r="E13027" s="1609" t="s">
        <v>967</v>
      </c>
      <c r="F13027" s="1606"/>
      <c r="G13027" s="1606"/>
      <c r="H13027" s="1606"/>
      <c r="K13027" t="s">
        <v>7407</v>
      </c>
      <c r="V13027">
        <v>48</v>
      </c>
    </row>
    <row r="13028" spans="1:22" customFormat="1" ht="15" x14ac:dyDescent="0.25">
      <c r="A13028" t="s">
        <v>262</v>
      </c>
      <c r="E13028" s="1601" t="s">
        <v>7125</v>
      </c>
      <c r="F13028" s="1601"/>
      <c r="G13028" s="893" t="s">
        <v>845</v>
      </c>
      <c r="H13028" s="783">
        <v>4.1000000000000003E-3</v>
      </c>
      <c r="K13028" t="s">
        <v>7393</v>
      </c>
      <c r="L13028" t="s">
        <v>968</v>
      </c>
      <c r="P13028" t="s">
        <v>7408</v>
      </c>
      <c r="V13028">
        <v>69</v>
      </c>
    </row>
    <row r="13029" spans="1:22" customFormat="1" ht="15" x14ac:dyDescent="0.25">
      <c r="A13029" t="s">
        <v>262</v>
      </c>
      <c r="E13029" s="1601" t="s">
        <v>7127</v>
      </c>
      <c r="F13029" s="1601"/>
      <c r="G13029" s="893" t="s">
        <v>845</v>
      </c>
      <c r="H13029" s="783">
        <v>4.0000000000000002E-4</v>
      </c>
      <c r="K13029" t="s">
        <v>7393</v>
      </c>
      <c r="L13029" t="s">
        <v>968</v>
      </c>
      <c r="P13029" t="s">
        <v>7408</v>
      </c>
      <c r="V13029">
        <v>78</v>
      </c>
    </row>
    <row r="13030" spans="1:22" customFormat="1" ht="15" x14ac:dyDescent="0.25">
      <c r="A13030" t="s">
        <v>262</v>
      </c>
      <c r="E13030" s="1601" t="s">
        <v>7128</v>
      </c>
      <c r="F13030" s="1601"/>
      <c r="G13030" s="893" t="s">
        <v>845</v>
      </c>
      <c r="H13030" s="783">
        <v>1.5E-3</v>
      </c>
      <c r="K13030" t="s">
        <v>7393</v>
      </c>
      <c r="L13030" t="s">
        <v>968</v>
      </c>
      <c r="P13030" t="s">
        <v>7409</v>
      </c>
      <c r="V13030">
        <v>71</v>
      </c>
    </row>
    <row r="13031" spans="1:22" customFormat="1" ht="15" x14ac:dyDescent="0.25">
      <c r="A13031" t="s">
        <v>262</v>
      </c>
      <c r="E13031" s="1601" t="s">
        <v>848</v>
      </c>
      <c r="F13031" s="1601"/>
      <c r="G13031" s="893" t="s">
        <v>777</v>
      </c>
      <c r="H13031" s="783">
        <v>0.25</v>
      </c>
      <c r="K13031" t="s">
        <v>7393</v>
      </c>
      <c r="L13031" t="s">
        <v>968</v>
      </c>
      <c r="P13031" t="s">
        <v>7410</v>
      </c>
      <c r="V13031">
        <v>63</v>
      </c>
    </row>
    <row r="13032" spans="1:22" customFormat="1" ht="15" x14ac:dyDescent="0.25">
      <c r="A13032" t="s">
        <v>262</v>
      </c>
      <c r="E13032" s="1659" t="s">
        <v>7411</v>
      </c>
      <c r="F13032" s="1660"/>
      <c r="G13032" s="1660"/>
      <c r="H13032" s="1660"/>
      <c r="K13032" t="s">
        <v>7412</v>
      </c>
      <c r="V13032">
        <v>27</v>
      </c>
    </row>
    <row r="13033" spans="1:22" customFormat="1" ht="15" x14ac:dyDescent="0.25">
      <c r="A13033" t="s">
        <v>262</v>
      </c>
      <c r="E13033" s="1572" t="s">
        <v>7413</v>
      </c>
      <c r="F13033" s="1572"/>
      <c r="G13033" s="1572"/>
      <c r="H13033" s="1572"/>
      <c r="K13033" t="s">
        <v>7412</v>
      </c>
      <c r="V13033">
        <v>305</v>
      </c>
    </row>
    <row r="13034" spans="1:22" customFormat="1" ht="15" x14ac:dyDescent="0.25">
      <c r="A13034" t="s">
        <v>262</v>
      </c>
      <c r="E13034" s="1609" t="s">
        <v>956</v>
      </c>
      <c r="F13034" s="1663"/>
      <c r="G13034" s="1663"/>
      <c r="H13034" s="1663"/>
      <c r="K13034" t="s">
        <v>7414</v>
      </c>
      <c r="V13034">
        <v>46</v>
      </c>
    </row>
    <row r="13035" spans="1:22" customFormat="1" ht="15" x14ac:dyDescent="0.25">
      <c r="A13035" t="s">
        <v>262</v>
      </c>
      <c r="E13035" s="1561" t="s">
        <v>3773</v>
      </c>
      <c r="F13035" s="1561"/>
      <c r="G13035" s="893" t="s">
        <v>777</v>
      </c>
      <c r="H13035" s="783">
        <v>41.71</v>
      </c>
      <c r="K13035" t="s">
        <v>7412</v>
      </c>
      <c r="L13035" t="s">
        <v>690</v>
      </c>
      <c r="P13035" t="s">
        <v>7415</v>
      </c>
      <c r="V13035">
        <v>14</v>
      </c>
    </row>
    <row r="13036" spans="1:22" customFormat="1" ht="15" x14ac:dyDescent="0.25">
      <c r="A13036" t="s">
        <v>262</v>
      </c>
      <c r="E13036" s="1561" t="s">
        <v>960</v>
      </c>
      <c r="F13036" s="1561"/>
      <c r="G13036" s="893" t="s">
        <v>777</v>
      </c>
      <c r="H13036" s="783">
        <v>0.42</v>
      </c>
      <c r="K13036" t="s">
        <v>7412</v>
      </c>
      <c r="L13036" t="s">
        <v>692</v>
      </c>
      <c r="P13036" t="s">
        <v>7416</v>
      </c>
      <c r="V13036">
        <v>64</v>
      </c>
    </row>
    <row r="13037" spans="1:22" customFormat="1" ht="15" x14ac:dyDescent="0.25">
      <c r="A13037" t="s">
        <v>262</v>
      </c>
      <c r="E13037" s="1561" t="s">
        <v>7417</v>
      </c>
      <c r="F13037" s="1561"/>
      <c r="G13037" s="893" t="s">
        <v>777</v>
      </c>
      <c r="H13037" s="783">
        <v>-0.43</v>
      </c>
      <c r="K13037" t="s">
        <v>7412</v>
      </c>
      <c r="L13037" t="s">
        <v>692</v>
      </c>
      <c r="P13037" t="s">
        <v>7418</v>
      </c>
      <c r="T13037">
        <v>46022</v>
      </c>
      <c r="V13037">
        <v>136</v>
      </c>
    </row>
    <row r="13038" spans="1:22" customFormat="1" ht="15" x14ac:dyDescent="0.25">
      <c r="A13038" t="s">
        <v>262</v>
      </c>
      <c r="E13038" s="1561" t="s">
        <v>7419</v>
      </c>
      <c r="F13038" s="1561"/>
      <c r="G13038" s="893" t="s">
        <v>777</v>
      </c>
      <c r="H13038" s="783">
        <v>-0.46</v>
      </c>
      <c r="K13038" t="s">
        <v>7412</v>
      </c>
      <c r="L13038" t="s">
        <v>692</v>
      </c>
      <c r="P13038" t="s">
        <v>7420</v>
      </c>
      <c r="T13038">
        <v>46022</v>
      </c>
      <c r="V13038">
        <v>145</v>
      </c>
    </row>
    <row r="13039" spans="1:22" customFormat="1" ht="15" x14ac:dyDescent="0.25">
      <c r="A13039" t="s">
        <v>262</v>
      </c>
      <c r="E13039" s="1561" t="s">
        <v>7110</v>
      </c>
      <c r="F13039" s="1561"/>
      <c r="G13039" s="893" t="s">
        <v>845</v>
      </c>
      <c r="H13039" s="783">
        <v>-6.9999999999999999E-4</v>
      </c>
      <c r="K13039" t="s">
        <v>7412</v>
      </c>
      <c r="L13039" t="s">
        <v>692</v>
      </c>
      <c r="P13039" t="s">
        <v>7421</v>
      </c>
      <c r="T13039">
        <v>46022</v>
      </c>
      <c r="V13039">
        <v>107</v>
      </c>
    </row>
    <row r="13040" spans="1:22" customFormat="1" ht="15" x14ac:dyDescent="0.25">
      <c r="A13040" t="s">
        <v>262</v>
      </c>
      <c r="E13040" s="1561" t="s">
        <v>7111</v>
      </c>
      <c r="F13040" s="1561"/>
      <c r="G13040" s="893" t="s">
        <v>845</v>
      </c>
      <c r="H13040" s="783">
        <v>-8.9999999999999998E-4</v>
      </c>
      <c r="K13040" t="s">
        <v>7412</v>
      </c>
      <c r="L13040" t="s">
        <v>692</v>
      </c>
      <c r="P13040" t="s">
        <v>7422</v>
      </c>
      <c r="T13040">
        <v>46022</v>
      </c>
      <c r="V13040">
        <v>112</v>
      </c>
    </row>
    <row r="13041" spans="1:22" customFormat="1" ht="15" x14ac:dyDescent="0.25">
      <c r="A13041" t="s">
        <v>262</v>
      </c>
      <c r="E13041" s="1561" t="s">
        <v>7423</v>
      </c>
      <c r="F13041" s="1561"/>
      <c r="G13041" s="893" t="s">
        <v>845</v>
      </c>
      <c r="H13041" s="783">
        <v>-1E-4</v>
      </c>
      <c r="K13041" t="s">
        <v>7412</v>
      </c>
      <c r="L13041" t="s">
        <v>692</v>
      </c>
      <c r="P13041" t="s">
        <v>7424</v>
      </c>
      <c r="T13041">
        <v>46022</v>
      </c>
      <c r="V13041">
        <v>143</v>
      </c>
    </row>
    <row r="13042" spans="1:22" customFormat="1" ht="15" x14ac:dyDescent="0.25">
      <c r="A13042" t="s">
        <v>262</v>
      </c>
      <c r="E13042" s="1561" t="s">
        <v>7113</v>
      </c>
      <c r="F13042" s="1561"/>
      <c r="G13042" s="749" t="s">
        <v>845</v>
      </c>
      <c r="H13042" s="783">
        <v>1.1000000000000001E-3</v>
      </c>
      <c r="K13042" t="s">
        <v>7412</v>
      </c>
      <c r="L13042" t="s">
        <v>692</v>
      </c>
      <c r="P13042" t="s">
        <v>7421</v>
      </c>
      <c r="T13042">
        <v>45838</v>
      </c>
      <c r="V13042">
        <v>103</v>
      </c>
    </row>
    <row r="13043" spans="1:22" customFormat="1" ht="15" x14ac:dyDescent="0.25">
      <c r="A13043" t="s">
        <v>262</v>
      </c>
      <c r="E13043" s="1561" t="s">
        <v>7116</v>
      </c>
      <c r="F13043" s="1561"/>
      <c r="G13043" s="749" t="s">
        <v>845</v>
      </c>
      <c r="H13043" s="783">
        <v>-4.4999999999999997E-3</v>
      </c>
      <c r="K13043" t="s">
        <v>7412</v>
      </c>
      <c r="L13043" t="s">
        <v>692</v>
      </c>
      <c r="P13043" t="s">
        <v>7422</v>
      </c>
      <c r="T13043">
        <v>45838</v>
      </c>
      <c r="V13043">
        <v>108</v>
      </c>
    </row>
    <row r="13044" spans="1:22" customFormat="1" ht="15" x14ac:dyDescent="0.25">
      <c r="A13044" t="s">
        <v>262</v>
      </c>
      <c r="E13044" s="1561" t="s">
        <v>7117</v>
      </c>
      <c r="F13044" s="1561"/>
      <c r="G13044" s="749" t="s">
        <v>845</v>
      </c>
      <c r="H13044" s="783">
        <v>-5.9999999999999995E-4</v>
      </c>
      <c r="K13044" t="s">
        <v>7412</v>
      </c>
      <c r="L13044" t="s">
        <v>692</v>
      </c>
      <c r="P13044" t="s">
        <v>7425</v>
      </c>
      <c r="T13044">
        <v>45838</v>
      </c>
      <c r="V13044">
        <v>155</v>
      </c>
    </row>
    <row r="13045" spans="1:22" customFormat="1" ht="15" x14ac:dyDescent="0.25">
      <c r="A13045" t="s">
        <v>262</v>
      </c>
      <c r="E13045" s="1561" t="s">
        <v>7119</v>
      </c>
      <c r="F13045" s="1561"/>
      <c r="G13045" s="749" t="s">
        <v>845</v>
      </c>
      <c r="H13045" s="783">
        <v>-3.0999999999999999E-3</v>
      </c>
      <c r="K13045" t="s">
        <v>7412</v>
      </c>
      <c r="L13045" t="s">
        <v>692</v>
      </c>
      <c r="P13045" t="s">
        <v>7421</v>
      </c>
      <c r="T13045">
        <v>46022</v>
      </c>
      <c r="V13045">
        <v>145</v>
      </c>
    </row>
    <row r="13046" spans="1:22" customFormat="1" ht="15" x14ac:dyDescent="0.25">
      <c r="A13046" t="s">
        <v>262</v>
      </c>
      <c r="E13046" s="1561" t="s">
        <v>7120</v>
      </c>
      <c r="F13046" s="1561"/>
      <c r="G13046" s="749" t="s">
        <v>845</v>
      </c>
      <c r="H13046" s="783">
        <v>1E-4</v>
      </c>
      <c r="K13046" t="s">
        <v>7412</v>
      </c>
      <c r="L13046" t="s">
        <v>692</v>
      </c>
      <c r="P13046" t="s">
        <v>7425</v>
      </c>
      <c r="T13046">
        <v>46022</v>
      </c>
      <c r="V13046">
        <v>190</v>
      </c>
    </row>
    <row r="13047" spans="1:22" customFormat="1" ht="15" x14ac:dyDescent="0.25">
      <c r="A13047" t="s">
        <v>262</v>
      </c>
      <c r="E13047" s="1561" t="s">
        <v>7121</v>
      </c>
      <c r="F13047" s="1561"/>
      <c r="G13047" s="893" t="s">
        <v>845</v>
      </c>
      <c r="H13047" s="783">
        <v>1.35E-2</v>
      </c>
      <c r="K13047" t="s">
        <v>7412</v>
      </c>
      <c r="L13047" t="s">
        <v>694</v>
      </c>
      <c r="P13047" t="s">
        <v>7426</v>
      </c>
      <c r="V13047">
        <v>60</v>
      </c>
    </row>
    <row r="13048" spans="1:22" customFormat="1" ht="15" x14ac:dyDescent="0.25">
      <c r="A13048" t="s">
        <v>262</v>
      </c>
      <c r="E13048" s="1561" t="s">
        <v>7123</v>
      </c>
      <c r="F13048" s="1561"/>
      <c r="G13048" s="893" t="s">
        <v>845</v>
      </c>
      <c r="H13048" s="783">
        <v>9.7999999999999997E-3</v>
      </c>
      <c r="K13048" t="s">
        <v>7412</v>
      </c>
      <c r="L13048" t="s">
        <v>694</v>
      </c>
      <c r="P13048" t="s">
        <v>7427</v>
      </c>
      <c r="V13048">
        <v>87</v>
      </c>
    </row>
    <row r="13049" spans="1:22" customFormat="1" ht="15" x14ac:dyDescent="0.25">
      <c r="A13049" t="s">
        <v>262</v>
      </c>
      <c r="E13049" s="1609" t="s">
        <v>967</v>
      </c>
      <c r="F13049" s="1606"/>
      <c r="G13049" s="1606"/>
      <c r="H13049" s="1606"/>
      <c r="K13049" t="s">
        <v>7428</v>
      </c>
      <c r="V13049">
        <v>48</v>
      </c>
    </row>
    <row r="13050" spans="1:22" customFormat="1" ht="15" x14ac:dyDescent="0.25">
      <c r="A13050" t="s">
        <v>262</v>
      </c>
      <c r="E13050" s="1601" t="s">
        <v>7125</v>
      </c>
      <c r="F13050" s="1601"/>
      <c r="G13050" s="893" t="s">
        <v>845</v>
      </c>
      <c r="H13050" s="783">
        <v>4.1000000000000003E-3</v>
      </c>
      <c r="K13050" t="s">
        <v>7412</v>
      </c>
      <c r="L13050" t="s">
        <v>968</v>
      </c>
      <c r="P13050" t="s">
        <v>7429</v>
      </c>
      <c r="V13050">
        <v>69</v>
      </c>
    </row>
    <row r="13051" spans="1:22" customFormat="1" ht="15" x14ac:dyDescent="0.25">
      <c r="A13051" t="s">
        <v>262</v>
      </c>
      <c r="E13051" s="1601" t="s">
        <v>7127</v>
      </c>
      <c r="F13051" s="1601"/>
      <c r="G13051" s="893" t="s">
        <v>845</v>
      </c>
      <c r="H13051" s="783">
        <v>4.0000000000000002E-4</v>
      </c>
      <c r="K13051" t="s">
        <v>7412</v>
      </c>
      <c r="L13051" t="s">
        <v>968</v>
      </c>
      <c r="P13051" t="s">
        <v>7429</v>
      </c>
      <c r="V13051">
        <v>78</v>
      </c>
    </row>
    <row r="13052" spans="1:22" customFormat="1" ht="15" x14ac:dyDescent="0.25">
      <c r="A13052" t="s">
        <v>262</v>
      </c>
      <c r="E13052" s="1601" t="s">
        <v>7128</v>
      </c>
      <c r="F13052" s="1601"/>
      <c r="G13052" s="893" t="s">
        <v>845</v>
      </c>
      <c r="H13052" s="783">
        <v>1.5E-3</v>
      </c>
      <c r="K13052" t="s">
        <v>7412</v>
      </c>
      <c r="L13052" t="s">
        <v>968</v>
      </c>
      <c r="P13052" t="s">
        <v>7430</v>
      </c>
      <c r="V13052">
        <v>71</v>
      </c>
    </row>
    <row r="13053" spans="1:22" customFormat="1" ht="15" x14ac:dyDescent="0.25">
      <c r="A13053" t="s">
        <v>262</v>
      </c>
      <c r="E13053" s="1601" t="s">
        <v>848</v>
      </c>
      <c r="F13053" s="1601"/>
      <c r="G13053" s="893" t="s">
        <v>777</v>
      </c>
      <c r="H13053" s="783">
        <v>0.25</v>
      </c>
      <c r="K13053" t="s">
        <v>7412</v>
      </c>
      <c r="L13053" t="s">
        <v>968</v>
      </c>
      <c r="P13053" t="s">
        <v>7431</v>
      </c>
      <c r="V13053">
        <v>63</v>
      </c>
    </row>
    <row r="13054" spans="1:22" customFormat="1" x14ac:dyDescent="0.25">
      <c r="A13054" t="s">
        <v>262</v>
      </c>
      <c r="E13054" s="1619" t="s">
        <v>7432</v>
      </c>
      <c r="F13054" s="1619"/>
      <c r="G13054" s="1619"/>
      <c r="H13054" s="1619"/>
      <c r="K13054" t="s">
        <v>7412</v>
      </c>
      <c r="V13054">
        <v>40</v>
      </c>
    </row>
    <row r="13055" spans="1:22" customFormat="1" ht="15" x14ac:dyDescent="0.25">
      <c r="A13055" t="s">
        <v>262</v>
      </c>
      <c r="E13055" s="1701" t="s">
        <v>7433</v>
      </c>
      <c r="F13055" s="1701"/>
      <c r="G13055" s="1701"/>
      <c r="H13055" s="1701"/>
      <c r="K13055" t="s">
        <v>7412</v>
      </c>
      <c r="V13055">
        <v>452</v>
      </c>
    </row>
    <row r="13056" spans="1:22" customFormat="1" ht="15" x14ac:dyDescent="0.25">
      <c r="A13056" t="s">
        <v>262</v>
      </c>
      <c r="E13056" s="1700" t="s">
        <v>950</v>
      </c>
      <c r="F13056" s="1605"/>
      <c r="G13056" s="1605"/>
      <c r="H13056" s="1605"/>
      <c r="K13056" t="s">
        <v>7434</v>
      </c>
      <c r="V13056">
        <v>11</v>
      </c>
    </row>
    <row r="13057" spans="1:22" customFormat="1" ht="15" x14ac:dyDescent="0.25">
      <c r="A13057" t="s">
        <v>262</v>
      </c>
      <c r="E13057" s="1605" t="s">
        <v>951</v>
      </c>
      <c r="F13057" s="1605"/>
      <c r="G13057" s="1605"/>
      <c r="H13057" s="1605"/>
      <c r="K13057" t="s">
        <v>7412</v>
      </c>
      <c r="V13057">
        <v>280</v>
      </c>
    </row>
    <row r="13058" spans="1:22" customFormat="1" ht="15" x14ac:dyDescent="0.25">
      <c r="A13058" t="s">
        <v>262</v>
      </c>
      <c r="E13058" s="1605" t="s">
        <v>952</v>
      </c>
      <c r="F13058" s="1605"/>
      <c r="G13058" s="1605"/>
      <c r="H13058" s="1605"/>
      <c r="K13058" t="s">
        <v>7412</v>
      </c>
      <c r="V13058">
        <v>411</v>
      </c>
    </row>
    <row r="13059" spans="1:22" customFormat="1" ht="15" x14ac:dyDescent="0.25">
      <c r="A13059" t="s">
        <v>262</v>
      </c>
      <c r="E13059" s="1605" t="s">
        <v>953</v>
      </c>
      <c r="F13059" s="1605"/>
      <c r="G13059" s="1605"/>
      <c r="H13059" s="1605"/>
      <c r="K13059" t="s">
        <v>7412</v>
      </c>
      <c r="V13059">
        <v>386</v>
      </c>
    </row>
    <row r="13060" spans="1:22" customFormat="1" ht="15" x14ac:dyDescent="0.25">
      <c r="A13060" t="s">
        <v>262</v>
      </c>
      <c r="E13060" s="1605" t="s">
        <v>7179</v>
      </c>
      <c r="F13060" s="1605"/>
      <c r="G13060" s="1605"/>
      <c r="H13060" s="1605"/>
      <c r="K13060" t="s">
        <v>7412</v>
      </c>
      <c r="V13060">
        <v>678</v>
      </c>
    </row>
    <row r="13061" spans="1:22" customFormat="1" ht="15" x14ac:dyDescent="0.25">
      <c r="A13061" t="s">
        <v>262</v>
      </c>
      <c r="E13061" s="1605" t="s">
        <v>5174</v>
      </c>
      <c r="F13061" s="1605"/>
      <c r="G13061" s="1605"/>
      <c r="H13061" s="1605"/>
      <c r="K13061" t="s">
        <v>7412</v>
      </c>
      <c r="V13061">
        <v>693</v>
      </c>
    </row>
    <row r="13062" spans="1:22" customFormat="1" ht="15" x14ac:dyDescent="0.25">
      <c r="A13062" t="s">
        <v>262</v>
      </c>
      <c r="E13062" s="1605" t="s">
        <v>954</v>
      </c>
      <c r="F13062" s="1605"/>
      <c r="G13062" s="1605"/>
      <c r="H13062" s="1605"/>
      <c r="K13062" t="s">
        <v>7412</v>
      </c>
      <c r="V13062">
        <v>246</v>
      </c>
    </row>
    <row r="13063" spans="1:22" customFormat="1" ht="15" x14ac:dyDescent="0.25">
      <c r="A13063" t="s">
        <v>262</v>
      </c>
      <c r="E13063" s="1664" t="s">
        <v>7435</v>
      </c>
      <c r="F13063" s="1664"/>
      <c r="G13063" s="1664"/>
      <c r="H13063" s="1664"/>
      <c r="K13063" t="s">
        <v>7436</v>
      </c>
      <c r="V13063">
        <v>59</v>
      </c>
    </row>
    <row r="13064" spans="1:22" customFormat="1" ht="15" x14ac:dyDescent="0.25">
      <c r="A13064" t="s">
        <v>262</v>
      </c>
      <c r="E13064" s="1516" t="s">
        <v>7437</v>
      </c>
      <c r="F13064" s="1516"/>
      <c r="G13064" s="1516"/>
      <c r="H13064" s="1516"/>
      <c r="K13064" t="s">
        <v>7436</v>
      </c>
      <c r="V13064">
        <v>304</v>
      </c>
    </row>
    <row r="13065" spans="1:22" customFormat="1" ht="15" x14ac:dyDescent="0.25">
      <c r="A13065" t="s">
        <v>262</v>
      </c>
      <c r="E13065" s="1609" t="s">
        <v>956</v>
      </c>
      <c r="F13065" s="1663"/>
      <c r="G13065" s="1663"/>
      <c r="H13065" s="1663"/>
      <c r="K13065" t="s">
        <v>7438</v>
      </c>
      <c r="V13065">
        <v>46</v>
      </c>
    </row>
    <row r="13066" spans="1:22" customFormat="1" ht="15" x14ac:dyDescent="0.25">
      <c r="A13066" t="s">
        <v>262</v>
      </c>
      <c r="E13066" s="1561" t="s">
        <v>3773</v>
      </c>
      <c r="F13066" s="1561"/>
      <c r="G13066" s="749" t="s">
        <v>777</v>
      </c>
      <c r="H13066" s="783">
        <v>26.36</v>
      </c>
      <c r="K13066" t="s">
        <v>7436</v>
      </c>
      <c r="L13066" t="s">
        <v>690</v>
      </c>
      <c r="P13066" t="s">
        <v>7439</v>
      </c>
      <c r="V13066">
        <v>14</v>
      </c>
    </row>
    <row r="13067" spans="1:22" customFormat="1" ht="15" x14ac:dyDescent="0.25">
      <c r="A13067" t="s">
        <v>262</v>
      </c>
      <c r="E13067" s="1561" t="s">
        <v>960</v>
      </c>
      <c r="F13067" s="1561"/>
      <c r="G13067" s="749" t="s">
        <v>777</v>
      </c>
      <c r="H13067" s="783">
        <v>0.42</v>
      </c>
      <c r="K13067" t="s">
        <v>7436</v>
      </c>
      <c r="L13067" t="s">
        <v>692</v>
      </c>
      <c r="P13067" t="s">
        <v>7440</v>
      </c>
      <c r="V13067">
        <v>64</v>
      </c>
    </row>
    <row r="13068" spans="1:22" customFormat="1" ht="15" x14ac:dyDescent="0.25">
      <c r="A13068" t="s">
        <v>262</v>
      </c>
      <c r="E13068" s="1561" t="s">
        <v>3688</v>
      </c>
      <c r="F13068" s="1561"/>
      <c r="G13068" s="749" t="s">
        <v>845</v>
      </c>
      <c r="H13068" s="783">
        <v>1.7600000000000001E-2</v>
      </c>
      <c r="K13068" t="s">
        <v>7436</v>
      </c>
      <c r="L13068" t="s">
        <v>690</v>
      </c>
      <c r="P13068" t="s">
        <v>7441</v>
      </c>
      <c r="V13068">
        <v>28</v>
      </c>
    </row>
    <row r="13069" spans="1:22" customFormat="1" ht="15" x14ac:dyDescent="0.25">
      <c r="A13069" t="s">
        <v>262</v>
      </c>
      <c r="E13069" s="1561" t="s">
        <v>7110</v>
      </c>
      <c r="F13069" s="1561"/>
      <c r="G13069" s="749" t="s">
        <v>845</v>
      </c>
      <c r="H13069" s="783">
        <v>-6.9999999999999999E-4</v>
      </c>
      <c r="K13069" t="s">
        <v>7436</v>
      </c>
      <c r="L13069" t="s">
        <v>692</v>
      </c>
      <c r="P13069" t="s">
        <v>7442</v>
      </c>
      <c r="T13069">
        <v>46022</v>
      </c>
      <c r="V13069">
        <v>107</v>
      </c>
    </row>
    <row r="13070" spans="1:22" customFormat="1" ht="15" x14ac:dyDescent="0.25">
      <c r="A13070" t="s">
        <v>262</v>
      </c>
      <c r="E13070" s="1561" t="s">
        <v>7111</v>
      </c>
      <c r="F13070" s="1561"/>
      <c r="G13070" s="749" t="s">
        <v>845</v>
      </c>
      <c r="H13070" s="783">
        <v>-8.9999999999999998E-4</v>
      </c>
      <c r="K13070" t="s">
        <v>7436</v>
      </c>
      <c r="L13070" t="s">
        <v>692</v>
      </c>
      <c r="P13070" t="s">
        <v>7443</v>
      </c>
      <c r="T13070">
        <v>46022</v>
      </c>
      <c r="V13070">
        <v>112</v>
      </c>
    </row>
    <row r="13071" spans="1:22" customFormat="1" ht="15" x14ac:dyDescent="0.25">
      <c r="A13071" t="s">
        <v>262</v>
      </c>
      <c r="E13071" s="1561" t="s">
        <v>7402</v>
      </c>
      <c r="F13071" s="1561"/>
      <c r="G13071" s="749" t="s">
        <v>845</v>
      </c>
      <c r="H13071" s="783">
        <v>-2.0000000000000001E-4</v>
      </c>
      <c r="K13071" t="s">
        <v>7436</v>
      </c>
      <c r="L13071" t="s">
        <v>692</v>
      </c>
      <c r="P13071" t="s">
        <v>7444</v>
      </c>
      <c r="T13071">
        <v>46022</v>
      </c>
      <c r="V13071">
        <v>78</v>
      </c>
    </row>
    <row r="13072" spans="1:22" customFormat="1" ht="23.25" x14ac:dyDescent="0.25">
      <c r="A13072" t="s">
        <v>262</v>
      </c>
      <c r="E13072" s="837" t="s">
        <v>7398</v>
      </c>
      <c r="F13072" s="837"/>
      <c r="G13072" s="749" t="s">
        <v>845</v>
      </c>
      <c r="H13072" s="783">
        <v>-2.9999999999999997E-4</v>
      </c>
      <c r="K13072" t="s">
        <v>7436</v>
      </c>
      <c r="L13072" t="s">
        <v>692</v>
      </c>
      <c r="P13072" t="s">
        <v>7445</v>
      </c>
      <c r="T13072">
        <v>46022</v>
      </c>
      <c r="V13072">
        <v>78</v>
      </c>
    </row>
    <row r="13073" spans="1:22" customFormat="1" ht="15" x14ac:dyDescent="0.25">
      <c r="A13073" t="s">
        <v>262</v>
      </c>
      <c r="E13073" s="1561" t="s">
        <v>7113</v>
      </c>
      <c r="F13073" s="1561"/>
      <c r="G13073" s="749" t="s">
        <v>845</v>
      </c>
      <c r="H13073" s="783">
        <v>1.4E-3</v>
      </c>
      <c r="K13073" t="s">
        <v>7436</v>
      </c>
      <c r="L13073" t="s">
        <v>692</v>
      </c>
      <c r="P13073" t="s">
        <v>7442</v>
      </c>
      <c r="T13073">
        <v>45838</v>
      </c>
      <c r="V13073">
        <v>103</v>
      </c>
    </row>
    <row r="13074" spans="1:22" customFormat="1" ht="15" x14ac:dyDescent="0.25">
      <c r="A13074" t="s">
        <v>262</v>
      </c>
      <c r="E13074" s="1561" t="s">
        <v>7116</v>
      </c>
      <c r="F13074" s="1561"/>
      <c r="G13074" s="749" t="s">
        <v>845</v>
      </c>
      <c r="H13074" s="783">
        <v>-4.4999999999999997E-3</v>
      </c>
      <c r="K13074" t="s">
        <v>7436</v>
      </c>
      <c r="L13074" t="s">
        <v>692</v>
      </c>
      <c r="P13074" t="s">
        <v>7443</v>
      </c>
      <c r="T13074">
        <v>45838</v>
      </c>
      <c r="V13074">
        <v>108</v>
      </c>
    </row>
    <row r="13075" spans="1:22" customFormat="1" ht="15" x14ac:dyDescent="0.25">
      <c r="A13075" t="s">
        <v>262</v>
      </c>
      <c r="E13075" s="1561" t="s">
        <v>7117</v>
      </c>
      <c r="F13075" s="1561"/>
      <c r="G13075" s="749" t="s">
        <v>845</v>
      </c>
      <c r="H13075" s="783">
        <v>-5.9999999999999995E-4</v>
      </c>
      <c r="K13075" t="s">
        <v>7436</v>
      </c>
      <c r="L13075" t="s">
        <v>692</v>
      </c>
      <c r="P13075" t="s">
        <v>7446</v>
      </c>
      <c r="T13075">
        <v>45838</v>
      </c>
      <c r="V13075">
        <v>155</v>
      </c>
    </row>
    <row r="13076" spans="1:22" customFormat="1" ht="15" x14ac:dyDescent="0.25">
      <c r="A13076" t="s">
        <v>262</v>
      </c>
      <c r="E13076" s="1561" t="s">
        <v>7119</v>
      </c>
      <c r="F13076" s="1561"/>
      <c r="G13076" s="749" t="s">
        <v>845</v>
      </c>
      <c r="H13076" s="783">
        <v>-2.8999999999999998E-3</v>
      </c>
      <c r="K13076" t="s">
        <v>7436</v>
      </c>
      <c r="L13076" t="s">
        <v>692</v>
      </c>
      <c r="P13076" t="s">
        <v>7442</v>
      </c>
      <c r="T13076">
        <v>46022</v>
      </c>
      <c r="V13076">
        <v>145</v>
      </c>
    </row>
    <row r="13077" spans="1:22" customFormat="1" ht="15" x14ac:dyDescent="0.25">
      <c r="A13077" t="s">
        <v>262</v>
      </c>
      <c r="E13077" s="1561" t="s">
        <v>7120</v>
      </c>
      <c r="F13077" s="1561"/>
      <c r="G13077" s="749" t="s">
        <v>845</v>
      </c>
      <c r="H13077" s="783">
        <v>1E-4</v>
      </c>
      <c r="K13077" t="s">
        <v>7436</v>
      </c>
      <c r="L13077" t="s">
        <v>692</v>
      </c>
      <c r="P13077" t="s">
        <v>7446</v>
      </c>
      <c r="T13077">
        <v>46022</v>
      </c>
      <c r="V13077">
        <v>190</v>
      </c>
    </row>
    <row r="13078" spans="1:22" customFormat="1" ht="15" x14ac:dyDescent="0.25">
      <c r="A13078" t="s">
        <v>262</v>
      </c>
      <c r="E13078" s="1561" t="s">
        <v>7121</v>
      </c>
      <c r="F13078" s="1561"/>
      <c r="G13078" s="749" t="s">
        <v>845</v>
      </c>
      <c r="H13078" s="783">
        <v>1.09E-2</v>
      </c>
      <c r="K13078" t="s">
        <v>7436</v>
      </c>
      <c r="L13078" t="s">
        <v>694</v>
      </c>
      <c r="P13078" t="s">
        <v>7447</v>
      </c>
      <c r="V13078">
        <v>60</v>
      </c>
    </row>
    <row r="13079" spans="1:22" customFormat="1" ht="15" x14ac:dyDescent="0.25">
      <c r="A13079" t="s">
        <v>262</v>
      </c>
      <c r="E13079" s="1561" t="s">
        <v>7123</v>
      </c>
      <c r="F13079" s="1561"/>
      <c r="G13079" s="749" t="s">
        <v>845</v>
      </c>
      <c r="H13079" s="783">
        <v>8.2000000000000007E-3</v>
      </c>
      <c r="K13079" t="s">
        <v>7436</v>
      </c>
      <c r="L13079" t="s">
        <v>694</v>
      </c>
      <c r="P13079" t="s">
        <v>7448</v>
      </c>
      <c r="V13079">
        <v>87</v>
      </c>
    </row>
    <row r="13080" spans="1:22" customFormat="1" ht="15" x14ac:dyDescent="0.25">
      <c r="A13080" t="s">
        <v>262</v>
      </c>
      <c r="E13080" s="1609" t="s">
        <v>967</v>
      </c>
      <c r="F13080" s="1606"/>
      <c r="G13080" s="1606"/>
      <c r="H13080" s="1606"/>
      <c r="K13080" t="s">
        <v>7449</v>
      </c>
      <c r="V13080">
        <v>48</v>
      </c>
    </row>
    <row r="13081" spans="1:22" customFormat="1" ht="15" x14ac:dyDescent="0.25">
      <c r="A13081" t="s">
        <v>262</v>
      </c>
      <c r="E13081" s="1601" t="s">
        <v>7125</v>
      </c>
      <c r="F13081" s="1601"/>
      <c r="G13081" s="893" t="s">
        <v>845</v>
      </c>
      <c r="H13081" s="783">
        <v>4.1000000000000003E-3</v>
      </c>
      <c r="K13081" t="s">
        <v>7436</v>
      </c>
      <c r="L13081" t="s">
        <v>968</v>
      </c>
      <c r="P13081" t="s">
        <v>7450</v>
      </c>
      <c r="V13081">
        <v>69</v>
      </c>
    </row>
    <row r="13082" spans="1:22" customFormat="1" ht="15" x14ac:dyDescent="0.25">
      <c r="A13082" t="s">
        <v>262</v>
      </c>
      <c r="E13082" s="1601" t="s">
        <v>7127</v>
      </c>
      <c r="F13082" s="1601"/>
      <c r="G13082" s="893" t="s">
        <v>845</v>
      </c>
      <c r="H13082" s="783">
        <v>4.0000000000000002E-4</v>
      </c>
      <c r="K13082" t="s">
        <v>7436</v>
      </c>
      <c r="L13082" t="s">
        <v>968</v>
      </c>
      <c r="P13082" t="s">
        <v>7450</v>
      </c>
      <c r="V13082">
        <v>78</v>
      </c>
    </row>
    <row r="13083" spans="1:22" customFormat="1" ht="15" x14ac:dyDescent="0.25">
      <c r="A13083" t="s">
        <v>262</v>
      </c>
      <c r="E13083" s="1601" t="s">
        <v>7128</v>
      </c>
      <c r="F13083" s="1601"/>
      <c r="G13083" s="893" t="s">
        <v>845</v>
      </c>
      <c r="H13083" s="783">
        <v>1.5E-3</v>
      </c>
      <c r="K13083" t="s">
        <v>7436</v>
      </c>
      <c r="L13083" t="s">
        <v>968</v>
      </c>
      <c r="P13083" t="s">
        <v>7451</v>
      </c>
      <c r="V13083">
        <v>71</v>
      </c>
    </row>
    <row r="13084" spans="1:22" customFormat="1" ht="15" x14ac:dyDescent="0.25">
      <c r="A13084" t="s">
        <v>262</v>
      </c>
      <c r="E13084" s="1601" t="s">
        <v>848</v>
      </c>
      <c r="F13084" s="1601"/>
      <c r="G13084" s="893" t="s">
        <v>777</v>
      </c>
      <c r="H13084" s="783">
        <v>0.25</v>
      </c>
      <c r="K13084" t="s">
        <v>7436</v>
      </c>
      <c r="L13084" t="s">
        <v>968</v>
      </c>
      <c r="P13084" t="s">
        <v>7452</v>
      </c>
      <c r="V13084">
        <v>63</v>
      </c>
    </row>
    <row r="13085" spans="1:22" customFormat="1" ht="15" x14ac:dyDescent="0.25">
      <c r="A13085" t="s">
        <v>262</v>
      </c>
      <c r="E13085" s="1664" t="s">
        <v>7453</v>
      </c>
      <c r="F13085" s="1664"/>
      <c r="G13085" s="1664"/>
      <c r="H13085" s="1664"/>
      <c r="K13085" t="s">
        <v>7454</v>
      </c>
      <c r="V13085">
        <v>59</v>
      </c>
    </row>
    <row r="13086" spans="1:22" customFormat="1" ht="15" x14ac:dyDescent="0.25">
      <c r="A13086" t="s">
        <v>262</v>
      </c>
      <c r="E13086" s="1516" t="s">
        <v>7455</v>
      </c>
      <c r="F13086" s="1516"/>
      <c r="G13086" s="1516"/>
      <c r="H13086" s="1516"/>
      <c r="K13086" t="s">
        <v>7454</v>
      </c>
      <c r="V13086">
        <v>403</v>
      </c>
    </row>
    <row r="13087" spans="1:22" customFormat="1" ht="15" x14ac:dyDescent="0.25">
      <c r="A13087" t="s">
        <v>262</v>
      </c>
      <c r="E13087" s="1609" t="s">
        <v>956</v>
      </c>
      <c r="F13087" s="1663"/>
      <c r="G13087" s="1663"/>
      <c r="H13087" s="1663"/>
      <c r="K13087" t="s">
        <v>7456</v>
      </c>
      <c r="V13087">
        <v>46</v>
      </c>
    </row>
    <row r="13088" spans="1:22" customFormat="1" ht="15" x14ac:dyDescent="0.25">
      <c r="A13088" t="s">
        <v>262</v>
      </c>
      <c r="E13088" s="1561" t="s">
        <v>3773</v>
      </c>
      <c r="F13088" s="1561"/>
      <c r="G13088" s="749" t="s">
        <v>777</v>
      </c>
      <c r="H13088" s="783">
        <v>39.96</v>
      </c>
      <c r="K13088" t="s">
        <v>7454</v>
      </c>
      <c r="L13088" t="s">
        <v>690</v>
      </c>
      <c r="P13088" t="s">
        <v>7457</v>
      </c>
      <c r="V13088">
        <v>14</v>
      </c>
    </row>
    <row r="13089" spans="1:22" customFormat="1" ht="15" x14ac:dyDescent="0.25">
      <c r="A13089" t="s">
        <v>262</v>
      </c>
      <c r="E13089" s="1561" t="s">
        <v>960</v>
      </c>
      <c r="F13089" s="1561"/>
      <c r="G13089" s="749" t="s">
        <v>777</v>
      </c>
      <c r="H13089" s="783">
        <v>0.42</v>
      </c>
      <c r="K13089" t="s">
        <v>7454</v>
      </c>
      <c r="L13089" t="s">
        <v>692</v>
      </c>
      <c r="P13089" t="s">
        <v>7458</v>
      </c>
      <c r="V13089">
        <v>64</v>
      </c>
    </row>
    <row r="13090" spans="1:22" customFormat="1" ht="15" x14ac:dyDescent="0.25">
      <c r="A13090" t="s">
        <v>262</v>
      </c>
      <c r="E13090" s="1561" t="s">
        <v>3688</v>
      </c>
      <c r="F13090" s="1561"/>
      <c r="G13090" s="749" t="s">
        <v>845</v>
      </c>
      <c r="H13090" s="783">
        <v>2.1600000000000001E-2</v>
      </c>
      <c r="K13090" t="s">
        <v>7454</v>
      </c>
      <c r="L13090" t="s">
        <v>690</v>
      </c>
      <c r="P13090" t="s">
        <v>7459</v>
      </c>
      <c r="V13090">
        <v>28</v>
      </c>
    </row>
    <row r="13091" spans="1:22" customFormat="1" ht="15" x14ac:dyDescent="0.25">
      <c r="A13091" t="s">
        <v>262</v>
      </c>
      <c r="E13091" s="1561" t="s">
        <v>7110</v>
      </c>
      <c r="F13091" s="1561"/>
      <c r="G13091" s="749" t="s">
        <v>845</v>
      </c>
      <c r="H13091" s="783">
        <v>-6.9999999999999999E-4</v>
      </c>
      <c r="K13091" t="s">
        <v>7454</v>
      </c>
      <c r="L13091" t="s">
        <v>692</v>
      </c>
      <c r="P13091" t="s">
        <v>7460</v>
      </c>
      <c r="T13091">
        <v>46022</v>
      </c>
      <c r="V13091">
        <v>107</v>
      </c>
    </row>
    <row r="13092" spans="1:22" customFormat="1" ht="15" x14ac:dyDescent="0.25">
      <c r="A13092" t="s">
        <v>262</v>
      </c>
      <c r="E13092" s="1561" t="s">
        <v>7111</v>
      </c>
      <c r="F13092" s="1561"/>
      <c r="G13092" s="749" t="s">
        <v>845</v>
      </c>
      <c r="H13092" s="783">
        <v>-8.9999999999999998E-4</v>
      </c>
      <c r="K13092" t="s">
        <v>7454</v>
      </c>
      <c r="L13092" t="s">
        <v>692</v>
      </c>
      <c r="P13092" t="s">
        <v>7461</v>
      </c>
      <c r="T13092">
        <v>46022</v>
      </c>
      <c r="V13092">
        <v>112</v>
      </c>
    </row>
    <row r="13093" spans="1:22" customFormat="1" ht="15" x14ac:dyDescent="0.25">
      <c r="A13093" t="s">
        <v>262</v>
      </c>
      <c r="E13093" s="1561" t="s">
        <v>7462</v>
      </c>
      <c r="F13093" s="1561"/>
      <c r="G13093" s="749" t="s">
        <v>845</v>
      </c>
      <c r="H13093" s="783">
        <v>-1E-4</v>
      </c>
      <c r="K13093" t="s">
        <v>7454</v>
      </c>
      <c r="L13093" t="s">
        <v>692</v>
      </c>
      <c r="P13093" t="s">
        <v>7463</v>
      </c>
      <c r="T13093">
        <v>46022</v>
      </c>
      <c r="V13093">
        <v>139</v>
      </c>
    </row>
    <row r="13094" spans="1:22" customFormat="1" ht="15" x14ac:dyDescent="0.25">
      <c r="A13094" t="s">
        <v>262</v>
      </c>
      <c r="E13094" s="1561" t="s">
        <v>7464</v>
      </c>
      <c r="F13094" s="1561"/>
      <c r="G13094" s="749" t="s">
        <v>845</v>
      </c>
      <c r="H13094" s="783">
        <v>-4.0000000000000002E-4</v>
      </c>
      <c r="K13094" t="s">
        <v>7454</v>
      </c>
      <c r="L13094" t="s">
        <v>692</v>
      </c>
      <c r="P13094" t="s">
        <v>7465</v>
      </c>
      <c r="T13094">
        <v>46022</v>
      </c>
      <c r="V13094">
        <v>139</v>
      </c>
    </row>
    <row r="13095" spans="1:22" customFormat="1" ht="15" x14ac:dyDescent="0.25">
      <c r="A13095" t="s">
        <v>262</v>
      </c>
      <c r="E13095" s="1561" t="s">
        <v>7466</v>
      </c>
      <c r="F13095" s="1561"/>
      <c r="G13095" s="749" t="s">
        <v>845</v>
      </c>
      <c r="H13095" s="783">
        <v>-4.0000000000000002E-4</v>
      </c>
      <c r="K13095" t="s">
        <v>7454</v>
      </c>
      <c r="L13095" t="s">
        <v>692</v>
      </c>
      <c r="P13095" t="s">
        <v>7467</v>
      </c>
      <c r="T13095">
        <v>46022</v>
      </c>
      <c r="V13095">
        <v>141</v>
      </c>
    </row>
    <row r="13096" spans="1:22" customFormat="1" ht="15" x14ac:dyDescent="0.25">
      <c r="A13096" t="s">
        <v>262</v>
      </c>
      <c r="E13096" s="1561" t="s">
        <v>7113</v>
      </c>
      <c r="F13096" s="1561"/>
      <c r="G13096" s="749" t="s">
        <v>845</v>
      </c>
      <c r="H13096" s="783">
        <v>1.4E-3</v>
      </c>
      <c r="K13096" t="s">
        <v>7454</v>
      </c>
      <c r="L13096" t="s">
        <v>692</v>
      </c>
      <c r="P13096" t="s">
        <v>7460</v>
      </c>
      <c r="T13096">
        <v>45838</v>
      </c>
      <c r="V13096">
        <v>103</v>
      </c>
    </row>
    <row r="13097" spans="1:22" customFormat="1" ht="15" x14ac:dyDescent="0.25">
      <c r="A13097" t="s">
        <v>262</v>
      </c>
      <c r="E13097" s="1561" t="s">
        <v>7116</v>
      </c>
      <c r="F13097" s="1561"/>
      <c r="G13097" s="749" t="s">
        <v>845</v>
      </c>
      <c r="H13097" s="783">
        <v>-4.4999999999999997E-3</v>
      </c>
      <c r="K13097" t="s">
        <v>7454</v>
      </c>
      <c r="L13097" t="s">
        <v>692</v>
      </c>
      <c r="P13097" t="s">
        <v>7461</v>
      </c>
      <c r="T13097">
        <v>45838</v>
      </c>
      <c r="V13097">
        <v>108</v>
      </c>
    </row>
    <row r="13098" spans="1:22" customFormat="1" ht="15" x14ac:dyDescent="0.25">
      <c r="A13098" t="s">
        <v>262</v>
      </c>
      <c r="E13098" s="1561" t="s">
        <v>7117</v>
      </c>
      <c r="F13098" s="1561"/>
      <c r="G13098" s="749" t="s">
        <v>845</v>
      </c>
      <c r="H13098" s="783">
        <v>-5.9999999999999995E-4</v>
      </c>
      <c r="K13098" t="s">
        <v>7454</v>
      </c>
      <c r="L13098" t="s">
        <v>692</v>
      </c>
      <c r="P13098" t="s">
        <v>7468</v>
      </c>
      <c r="T13098">
        <v>45838</v>
      </c>
      <c r="V13098">
        <v>155</v>
      </c>
    </row>
    <row r="13099" spans="1:22" customFormat="1" ht="15" x14ac:dyDescent="0.25">
      <c r="A13099" t="s">
        <v>262</v>
      </c>
      <c r="E13099" s="1561" t="s">
        <v>7119</v>
      </c>
      <c r="F13099" s="1561"/>
      <c r="G13099" s="749" t="s">
        <v>845</v>
      </c>
      <c r="H13099" s="783">
        <v>-2.8999999999999998E-3</v>
      </c>
      <c r="K13099" t="s">
        <v>7454</v>
      </c>
      <c r="L13099" t="s">
        <v>692</v>
      </c>
      <c r="P13099" t="s">
        <v>7460</v>
      </c>
      <c r="T13099">
        <v>46022</v>
      </c>
      <c r="V13099">
        <v>145</v>
      </c>
    </row>
    <row r="13100" spans="1:22" customFormat="1" ht="15" x14ac:dyDescent="0.25">
      <c r="A13100" t="s">
        <v>262</v>
      </c>
      <c r="E13100" s="1561" t="s">
        <v>7120</v>
      </c>
      <c r="F13100" s="1561"/>
      <c r="G13100" s="749" t="s">
        <v>845</v>
      </c>
      <c r="H13100" s="783">
        <v>1E-4</v>
      </c>
      <c r="K13100" t="s">
        <v>7454</v>
      </c>
      <c r="L13100" t="s">
        <v>692</v>
      </c>
      <c r="P13100" t="s">
        <v>7468</v>
      </c>
      <c r="T13100">
        <v>46022</v>
      </c>
      <c r="V13100">
        <v>190</v>
      </c>
    </row>
    <row r="13101" spans="1:22" customFormat="1" ht="15" x14ac:dyDescent="0.25">
      <c r="A13101" t="s">
        <v>262</v>
      </c>
      <c r="E13101" s="1561" t="s">
        <v>7121</v>
      </c>
      <c r="F13101" s="1561"/>
      <c r="G13101" s="749" t="s">
        <v>845</v>
      </c>
      <c r="H13101" s="783">
        <v>1.0699999999999999E-2</v>
      </c>
      <c r="K13101" t="s">
        <v>7454</v>
      </c>
      <c r="L13101" t="s">
        <v>694</v>
      </c>
      <c r="P13101" t="s">
        <v>7469</v>
      </c>
      <c r="V13101">
        <v>60</v>
      </c>
    </row>
    <row r="13102" spans="1:22" customFormat="1" ht="15" x14ac:dyDescent="0.25">
      <c r="A13102" t="s">
        <v>262</v>
      </c>
      <c r="E13102" s="1561" t="s">
        <v>7123</v>
      </c>
      <c r="F13102" s="1561"/>
      <c r="G13102" s="749" t="s">
        <v>845</v>
      </c>
      <c r="H13102" s="783">
        <v>8.0999999999999996E-3</v>
      </c>
      <c r="K13102" t="s">
        <v>7454</v>
      </c>
      <c r="L13102" t="s">
        <v>694</v>
      </c>
      <c r="P13102" t="s">
        <v>7470</v>
      </c>
      <c r="V13102">
        <v>87</v>
      </c>
    </row>
    <row r="13103" spans="1:22" customFormat="1" ht="15" x14ac:dyDescent="0.25">
      <c r="A13103" t="s">
        <v>262</v>
      </c>
      <c r="E13103" s="1609" t="s">
        <v>967</v>
      </c>
      <c r="F13103" s="1606"/>
      <c r="G13103" s="1606"/>
      <c r="H13103" s="1606"/>
      <c r="K13103" t="s">
        <v>7471</v>
      </c>
      <c r="V13103">
        <v>48</v>
      </c>
    </row>
    <row r="13104" spans="1:22" customFormat="1" ht="15" x14ac:dyDescent="0.25">
      <c r="A13104" t="s">
        <v>262</v>
      </c>
      <c r="E13104" s="1601" t="s">
        <v>7125</v>
      </c>
      <c r="F13104" s="1601"/>
      <c r="G13104" s="893" t="s">
        <v>845</v>
      </c>
      <c r="H13104" s="783">
        <v>4.1000000000000003E-3</v>
      </c>
      <c r="K13104" t="s">
        <v>7454</v>
      </c>
      <c r="L13104" t="s">
        <v>968</v>
      </c>
      <c r="P13104" t="s">
        <v>7472</v>
      </c>
      <c r="V13104">
        <v>69</v>
      </c>
    </row>
    <row r="13105" spans="1:22" customFormat="1" ht="15" x14ac:dyDescent="0.25">
      <c r="A13105" t="s">
        <v>262</v>
      </c>
      <c r="E13105" s="1601" t="s">
        <v>7127</v>
      </c>
      <c r="F13105" s="1601"/>
      <c r="G13105" s="893" t="s">
        <v>845</v>
      </c>
      <c r="H13105" s="783">
        <v>4.0000000000000002E-4</v>
      </c>
      <c r="K13105" t="s">
        <v>7454</v>
      </c>
      <c r="L13105" t="s">
        <v>968</v>
      </c>
      <c r="P13105" t="s">
        <v>7472</v>
      </c>
      <c r="V13105">
        <v>78</v>
      </c>
    </row>
    <row r="13106" spans="1:22" customFormat="1" ht="15" x14ac:dyDescent="0.25">
      <c r="A13106" t="s">
        <v>262</v>
      </c>
      <c r="E13106" s="1601" t="s">
        <v>7128</v>
      </c>
      <c r="F13106" s="1601"/>
      <c r="G13106" s="893" t="s">
        <v>845</v>
      </c>
      <c r="H13106" s="783">
        <v>1.5E-3</v>
      </c>
      <c r="K13106" t="s">
        <v>7454</v>
      </c>
      <c r="L13106" t="s">
        <v>968</v>
      </c>
      <c r="P13106" t="s">
        <v>7473</v>
      </c>
      <c r="V13106">
        <v>71</v>
      </c>
    </row>
    <row r="13107" spans="1:22" customFormat="1" ht="15" x14ac:dyDescent="0.25">
      <c r="A13107" t="s">
        <v>262</v>
      </c>
      <c r="E13107" s="1601" t="s">
        <v>848</v>
      </c>
      <c r="F13107" s="1601"/>
      <c r="G13107" s="893" t="s">
        <v>777</v>
      </c>
      <c r="H13107" s="783">
        <v>0.25</v>
      </c>
      <c r="K13107" t="s">
        <v>7454</v>
      </c>
      <c r="L13107" t="s">
        <v>968</v>
      </c>
      <c r="P13107" t="s">
        <v>7474</v>
      </c>
      <c r="V13107">
        <v>63</v>
      </c>
    </row>
    <row r="13108" spans="1:22" customFormat="1" ht="15" x14ac:dyDescent="0.25">
      <c r="A13108" t="s">
        <v>262</v>
      </c>
      <c r="E13108" s="1664" t="s">
        <v>7475</v>
      </c>
      <c r="F13108" s="1664"/>
      <c r="G13108" s="1664"/>
      <c r="H13108" s="1664"/>
      <c r="K13108" t="s">
        <v>7476</v>
      </c>
      <c r="V13108">
        <v>59</v>
      </c>
    </row>
    <row r="13109" spans="1:22" customFormat="1" ht="15" x14ac:dyDescent="0.25">
      <c r="A13109" t="s">
        <v>262</v>
      </c>
      <c r="E13109" s="1516" t="s">
        <v>7477</v>
      </c>
      <c r="F13109" s="1516"/>
      <c r="G13109" s="1516"/>
      <c r="H13109" s="1516"/>
      <c r="K13109" t="s">
        <v>7476</v>
      </c>
      <c r="V13109">
        <v>670</v>
      </c>
    </row>
    <row r="13110" spans="1:22" customFormat="1" ht="15" x14ac:dyDescent="0.25">
      <c r="A13110" t="s">
        <v>262</v>
      </c>
      <c r="E13110" s="1609" t="s">
        <v>956</v>
      </c>
      <c r="F13110" s="1663"/>
      <c r="G13110" s="1663"/>
      <c r="H13110" s="1663"/>
      <c r="K13110" t="s">
        <v>7478</v>
      </c>
      <c r="V13110">
        <v>46</v>
      </c>
    </row>
    <row r="13111" spans="1:22" customFormat="1" ht="15" x14ac:dyDescent="0.25">
      <c r="A13111" t="s">
        <v>262</v>
      </c>
      <c r="E13111" s="1561" t="s">
        <v>3773</v>
      </c>
      <c r="F13111" s="1561"/>
      <c r="G13111" s="749" t="s">
        <v>777</v>
      </c>
      <c r="H13111" s="783">
        <v>146.47</v>
      </c>
      <c r="K13111" t="s">
        <v>7476</v>
      </c>
      <c r="L13111" t="s">
        <v>690</v>
      </c>
      <c r="P13111" t="s">
        <v>7479</v>
      </c>
      <c r="V13111">
        <v>14</v>
      </c>
    </row>
    <row r="13112" spans="1:22" customFormat="1" ht="15" x14ac:dyDescent="0.25">
      <c r="A13112" t="s">
        <v>262</v>
      </c>
      <c r="E13112" s="1561" t="s">
        <v>3688</v>
      </c>
      <c r="F13112" s="1561"/>
      <c r="G13112" s="749" t="s">
        <v>3775</v>
      </c>
      <c r="H13112" s="783">
        <v>3.1817000000000002</v>
      </c>
      <c r="K13112" t="s">
        <v>7476</v>
      </c>
      <c r="L13112" t="s">
        <v>690</v>
      </c>
      <c r="P13112" t="s">
        <v>7480</v>
      </c>
      <c r="V13112">
        <v>28</v>
      </c>
    </row>
    <row r="13113" spans="1:22" customFormat="1" ht="15" x14ac:dyDescent="0.25">
      <c r="A13113" t="s">
        <v>262</v>
      </c>
      <c r="E13113" s="1561" t="s">
        <v>7215</v>
      </c>
      <c r="F13113" s="1561"/>
      <c r="G13113" s="749" t="s">
        <v>3775</v>
      </c>
      <c r="H13113" s="783">
        <v>-9.7199999999999995E-2</v>
      </c>
      <c r="K13113" t="s">
        <v>7476</v>
      </c>
      <c r="L13113" t="s">
        <v>692</v>
      </c>
      <c r="P13113" t="s">
        <v>7481</v>
      </c>
      <c r="T13113">
        <v>46022</v>
      </c>
      <c r="V13113">
        <v>137</v>
      </c>
    </row>
    <row r="13114" spans="1:22" customFormat="1" ht="15" x14ac:dyDescent="0.25">
      <c r="A13114" t="s">
        <v>262</v>
      </c>
      <c r="E13114" s="1666" t="s">
        <v>7217</v>
      </c>
      <c r="F13114" s="1666"/>
      <c r="G13114" s="749" t="s">
        <v>3775</v>
      </c>
      <c r="H13114" s="783">
        <v>-0.1351</v>
      </c>
      <c r="K13114" t="s">
        <v>7476</v>
      </c>
      <c r="L13114" t="s">
        <v>692</v>
      </c>
      <c r="P13114" t="s">
        <v>7481</v>
      </c>
      <c r="T13114">
        <v>46022</v>
      </c>
      <c r="V13114">
        <v>138</v>
      </c>
    </row>
    <row r="13115" spans="1:22" customFormat="1" ht="15" x14ac:dyDescent="0.25">
      <c r="A13115" t="s">
        <v>262</v>
      </c>
      <c r="E13115" s="1561" t="s">
        <v>7111</v>
      </c>
      <c r="F13115" s="1561"/>
      <c r="G13115" s="749" t="s">
        <v>845</v>
      </c>
      <c r="H13115" s="783">
        <v>-8.9999999999999998E-4</v>
      </c>
      <c r="K13115" t="s">
        <v>7476</v>
      </c>
      <c r="L13115" t="s">
        <v>692</v>
      </c>
      <c r="P13115" t="s">
        <v>7482</v>
      </c>
      <c r="T13115">
        <v>46022</v>
      </c>
      <c r="V13115">
        <v>112</v>
      </c>
    </row>
    <row r="13116" spans="1:22" customFormat="1" ht="15" x14ac:dyDescent="0.25">
      <c r="A13116" t="s">
        <v>262</v>
      </c>
      <c r="E13116" s="1561" t="s">
        <v>7402</v>
      </c>
      <c r="F13116" s="1561"/>
      <c r="G13116" s="749" t="s">
        <v>3775</v>
      </c>
      <c r="H13116" s="783">
        <v>3.27E-2</v>
      </c>
      <c r="K13116" t="s">
        <v>7476</v>
      </c>
      <c r="L13116" t="s">
        <v>692</v>
      </c>
      <c r="P13116" t="s">
        <v>7483</v>
      </c>
      <c r="T13116">
        <v>46022</v>
      </c>
      <c r="V13116">
        <v>78</v>
      </c>
    </row>
    <row r="13117" spans="1:22" customFormat="1" ht="15" x14ac:dyDescent="0.25">
      <c r="A13117" t="s">
        <v>262</v>
      </c>
      <c r="E13117" s="1561" t="s">
        <v>7398</v>
      </c>
      <c r="F13117" s="1561"/>
      <c r="G13117" s="749" t="s">
        <v>3775</v>
      </c>
      <c r="H13117" s="783">
        <v>-3.9199999999999999E-2</v>
      </c>
      <c r="K13117" t="s">
        <v>7476</v>
      </c>
      <c r="L13117" t="s">
        <v>692</v>
      </c>
      <c r="P13117" t="s">
        <v>7484</v>
      </c>
      <c r="T13117">
        <v>46022</v>
      </c>
      <c r="V13117">
        <v>78</v>
      </c>
    </row>
    <row r="13118" spans="1:22" customFormat="1" ht="15" x14ac:dyDescent="0.25">
      <c r="A13118" t="s">
        <v>262</v>
      </c>
      <c r="E13118" s="1561" t="s">
        <v>7219</v>
      </c>
      <c r="F13118" s="1561"/>
      <c r="G13118" s="749" t="s">
        <v>3775</v>
      </c>
      <c r="H13118" s="783">
        <v>0.2969</v>
      </c>
      <c r="K13118" t="s">
        <v>7476</v>
      </c>
      <c r="L13118" t="s">
        <v>692</v>
      </c>
      <c r="P13118" t="s">
        <v>7481</v>
      </c>
      <c r="T13118">
        <v>45838</v>
      </c>
      <c r="V13118">
        <v>133</v>
      </c>
    </row>
    <row r="13119" spans="1:22" customFormat="1" ht="15" x14ac:dyDescent="0.25">
      <c r="A13119" t="s">
        <v>262</v>
      </c>
      <c r="E13119" s="1561" t="s">
        <v>7220</v>
      </c>
      <c r="F13119" s="1561"/>
      <c r="G13119" s="749" t="s">
        <v>3775</v>
      </c>
      <c r="H13119" s="783">
        <v>0.2442</v>
      </c>
      <c r="K13119" t="s">
        <v>7476</v>
      </c>
      <c r="L13119" t="s">
        <v>692</v>
      </c>
      <c r="P13119" t="s">
        <v>7481</v>
      </c>
      <c r="T13119">
        <v>45838</v>
      </c>
      <c r="V13119">
        <v>134</v>
      </c>
    </row>
    <row r="13120" spans="1:22" customFormat="1" ht="15" x14ac:dyDescent="0.25">
      <c r="A13120" t="s">
        <v>262</v>
      </c>
      <c r="E13120" s="1561" t="s">
        <v>7116</v>
      </c>
      <c r="F13120" s="1561"/>
      <c r="G13120" s="749" t="s">
        <v>845</v>
      </c>
      <c r="H13120" s="783">
        <v>-4.4999999999999997E-3</v>
      </c>
      <c r="K13120" t="s">
        <v>7476</v>
      </c>
      <c r="L13120" t="s">
        <v>692</v>
      </c>
      <c r="P13120" t="s">
        <v>7482</v>
      </c>
      <c r="T13120">
        <v>45838</v>
      </c>
      <c r="V13120">
        <v>108</v>
      </c>
    </row>
    <row r="13121" spans="1:22" customFormat="1" ht="15" x14ac:dyDescent="0.25">
      <c r="A13121" t="s">
        <v>262</v>
      </c>
      <c r="E13121" s="1561" t="s">
        <v>7117</v>
      </c>
      <c r="F13121" s="1561"/>
      <c r="G13121" s="749" t="s">
        <v>3775</v>
      </c>
      <c r="H13121" s="783">
        <v>-0.1981</v>
      </c>
      <c r="K13121" t="s">
        <v>7476</v>
      </c>
      <c r="L13121" t="s">
        <v>692</v>
      </c>
      <c r="P13121" t="s">
        <v>7485</v>
      </c>
      <c r="T13121">
        <v>45838</v>
      </c>
      <c r="V13121">
        <v>155</v>
      </c>
    </row>
    <row r="13122" spans="1:22" customFormat="1" ht="15" x14ac:dyDescent="0.25">
      <c r="A13122" t="s">
        <v>262</v>
      </c>
      <c r="E13122" s="1665" t="s">
        <v>7119</v>
      </c>
      <c r="F13122" s="1665"/>
      <c r="G13122" s="749" t="s">
        <v>3775</v>
      </c>
      <c r="H13122" s="783">
        <v>-0.37280000000000002</v>
      </c>
      <c r="K13122" t="s">
        <v>7476</v>
      </c>
      <c r="L13122" t="s">
        <v>692</v>
      </c>
      <c r="P13122" t="s">
        <v>7481</v>
      </c>
      <c r="T13122">
        <v>46022</v>
      </c>
      <c r="V13122">
        <v>145</v>
      </c>
    </row>
    <row r="13123" spans="1:22" customFormat="1" ht="15" x14ac:dyDescent="0.25">
      <c r="A13123" t="s">
        <v>262</v>
      </c>
      <c r="E13123" s="1665" t="s">
        <v>7225</v>
      </c>
      <c r="F13123" s="1665"/>
      <c r="G13123" s="749" t="s">
        <v>3775</v>
      </c>
      <c r="H13123" s="783">
        <v>-0.63529999999999998</v>
      </c>
      <c r="K13123" t="s">
        <v>7476</v>
      </c>
      <c r="L13123" t="s">
        <v>692</v>
      </c>
      <c r="P13123" t="s">
        <v>7481</v>
      </c>
      <c r="T13123">
        <v>46022</v>
      </c>
      <c r="V13123">
        <v>169</v>
      </c>
    </row>
    <row r="13124" spans="1:22" customFormat="1" ht="15" x14ac:dyDescent="0.25">
      <c r="A13124" t="s">
        <v>262</v>
      </c>
      <c r="E13124" s="1665" t="s">
        <v>7120</v>
      </c>
      <c r="F13124" s="1665"/>
      <c r="G13124" s="749" t="s">
        <v>3775</v>
      </c>
      <c r="H13124" s="783">
        <v>1.9699999999999999E-2</v>
      </c>
      <c r="K13124" t="s">
        <v>7476</v>
      </c>
      <c r="L13124" t="s">
        <v>692</v>
      </c>
      <c r="P13124" t="s">
        <v>7485</v>
      </c>
      <c r="T13124">
        <v>46022</v>
      </c>
      <c r="V13124">
        <v>190</v>
      </c>
    </row>
    <row r="13125" spans="1:22" customFormat="1" ht="15" x14ac:dyDescent="0.25">
      <c r="A13125" t="s">
        <v>262</v>
      </c>
      <c r="E13125" s="1561" t="s">
        <v>7121</v>
      </c>
      <c r="F13125" s="1561"/>
      <c r="G13125" s="749" t="s">
        <v>3775</v>
      </c>
      <c r="H13125" s="783">
        <v>3.6695000000000002</v>
      </c>
      <c r="K13125" t="s">
        <v>7476</v>
      </c>
      <c r="L13125" t="s">
        <v>694</v>
      </c>
      <c r="P13125" t="s">
        <v>7486</v>
      </c>
      <c r="V13125">
        <v>60</v>
      </c>
    </row>
    <row r="13126" spans="1:22" customFormat="1" ht="15" x14ac:dyDescent="0.25">
      <c r="A13126" t="s">
        <v>262</v>
      </c>
      <c r="E13126" s="1561" t="s">
        <v>7123</v>
      </c>
      <c r="F13126" s="1561"/>
      <c r="G13126" s="749" t="s">
        <v>3775</v>
      </c>
      <c r="H13126" s="783">
        <v>2.7383999999999999</v>
      </c>
      <c r="K13126" t="s">
        <v>7476</v>
      </c>
      <c r="L13126" t="s">
        <v>694</v>
      </c>
      <c r="P13126" t="s">
        <v>7487</v>
      </c>
      <c r="V13126">
        <v>87</v>
      </c>
    </row>
    <row r="13127" spans="1:22" customFormat="1" ht="15" x14ac:dyDescent="0.25">
      <c r="A13127" t="s">
        <v>262</v>
      </c>
      <c r="E13127" s="1609" t="s">
        <v>967</v>
      </c>
      <c r="F13127" s="1606"/>
      <c r="G13127" s="1606"/>
      <c r="H13127" s="1606"/>
      <c r="K13127" t="s">
        <v>7488</v>
      </c>
      <c r="V13127">
        <v>48</v>
      </c>
    </row>
    <row r="13128" spans="1:22" customFormat="1" ht="15" x14ac:dyDescent="0.25">
      <c r="A13128" t="s">
        <v>262</v>
      </c>
      <c r="E13128" s="1601" t="s">
        <v>7125</v>
      </c>
      <c r="F13128" s="1601"/>
      <c r="G13128" s="893" t="s">
        <v>845</v>
      </c>
      <c r="H13128" s="783">
        <v>4.1000000000000003E-3</v>
      </c>
      <c r="K13128" t="s">
        <v>7476</v>
      </c>
      <c r="L13128" t="s">
        <v>968</v>
      </c>
      <c r="P13128" t="s">
        <v>7489</v>
      </c>
      <c r="V13128">
        <v>69</v>
      </c>
    </row>
    <row r="13129" spans="1:22" customFormat="1" ht="15" x14ac:dyDescent="0.25">
      <c r="A13129" t="s">
        <v>262</v>
      </c>
      <c r="E13129" s="1601" t="s">
        <v>7127</v>
      </c>
      <c r="F13129" s="1601"/>
      <c r="G13129" s="893" t="s">
        <v>845</v>
      </c>
      <c r="H13129" s="783">
        <v>4.0000000000000002E-4</v>
      </c>
      <c r="K13129" t="s">
        <v>7476</v>
      </c>
      <c r="L13129" t="s">
        <v>968</v>
      </c>
      <c r="P13129" t="s">
        <v>7489</v>
      </c>
      <c r="V13129">
        <v>78</v>
      </c>
    </row>
    <row r="13130" spans="1:22" customFormat="1" ht="15" x14ac:dyDescent="0.25">
      <c r="A13130" t="s">
        <v>262</v>
      </c>
      <c r="E13130" s="1601" t="s">
        <v>7128</v>
      </c>
      <c r="F13130" s="1601"/>
      <c r="G13130" s="893" t="s">
        <v>845</v>
      </c>
      <c r="H13130" s="783">
        <v>1.5E-3</v>
      </c>
      <c r="K13130" t="s">
        <v>7476</v>
      </c>
      <c r="L13130" t="s">
        <v>968</v>
      </c>
      <c r="P13130" t="s">
        <v>7490</v>
      </c>
      <c r="V13130">
        <v>71</v>
      </c>
    </row>
    <row r="13131" spans="1:22" customFormat="1" ht="15" x14ac:dyDescent="0.25">
      <c r="A13131" t="s">
        <v>262</v>
      </c>
      <c r="E13131" s="1601" t="s">
        <v>848</v>
      </c>
      <c r="F13131" s="1601"/>
      <c r="G13131" s="893" t="s">
        <v>777</v>
      </c>
      <c r="H13131" s="783">
        <v>0.25</v>
      </c>
      <c r="K13131" t="s">
        <v>7476</v>
      </c>
      <c r="L13131" t="s">
        <v>968</v>
      </c>
      <c r="P13131" t="s">
        <v>7491</v>
      </c>
      <c r="V13131">
        <v>63</v>
      </c>
    </row>
    <row r="13132" spans="1:22" customFormat="1" ht="15" x14ac:dyDescent="0.25">
      <c r="A13132" t="s">
        <v>262</v>
      </c>
      <c r="E13132" s="1664" t="s">
        <v>7492</v>
      </c>
      <c r="F13132" s="1664"/>
      <c r="G13132" s="1664"/>
      <c r="H13132" s="1664"/>
      <c r="K13132" t="s">
        <v>7493</v>
      </c>
      <c r="V13132">
        <v>59</v>
      </c>
    </row>
    <row r="13133" spans="1:22" customFormat="1" ht="15" x14ac:dyDescent="0.25">
      <c r="A13133" t="s">
        <v>262</v>
      </c>
      <c r="E13133" s="1516" t="s">
        <v>7494</v>
      </c>
      <c r="F13133" s="1516"/>
      <c r="G13133" s="1516"/>
      <c r="H13133" s="1516"/>
      <c r="K13133" t="s">
        <v>7493</v>
      </c>
      <c r="V13133">
        <v>768</v>
      </c>
    </row>
    <row r="13134" spans="1:22" customFormat="1" ht="15" x14ac:dyDescent="0.25">
      <c r="A13134" t="s">
        <v>262</v>
      </c>
      <c r="E13134" s="1609" t="s">
        <v>956</v>
      </c>
      <c r="F13134" s="1663"/>
      <c r="G13134" s="1663"/>
      <c r="H13134" s="1663"/>
      <c r="K13134" t="s">
        <v>7495</v>
      </c>
      <c r="V13134">
        <v>46</v>
      </c>
    </row>
    <row r="13135" spans="1:22" customFormat="1" ht="15" x14ac:dyDescent="0.25">
      <c r="A13135" t="s">
        <v>262</v>
      </c>
      <c r="E13135" s="1561" t="s">
        <v>3773</v>
      </c>
      <c r="F13135" s="1561"/>
      <c r="G13135" s="749" t="s">
        <v>777</v>
      </c>
      <c r="H13135" s="783">
        <v>170.26</v>
      </c>
      <c r="K13135" t="s">
        <v>7493</v>
      </c>
      <c r="L13135" t="s">
        <v>690</v>
      </c>
      <c r="P13135" t="s">
        <v>7496</v>
      </c>
      <c r="V13135">
        <v>14</v>
      </c>
    </row>
    <row r="13136" spans="1:22" customFormat="1" ht="15" x14ac:dyDescent="0.25">
      <c r="A13136" t="s">
        <v>262</v>
      </c>
      <c r="E13136" s="1561" t="s">
        <v>3688</v>
      </c>
      <c r="F13136" s="1561"/>
      <c r="G13136" s="749" t="s">
        <v>3775</v>
      </c>
      <c r="H13136" s="783">
        <v>5.1349999999999998</v>
      </c>
      <c r="K13136" t="s">
        <v>7493</v>
      </c>
      <c r="L13136" t="s">
        <v>690</v>
      </c>
      <c r="P13136" t="s">
        <v>7497</v>
      </c>
      <c r="V13136">
        <v>28</v>
      </c>
    </row>
    <row r="13137" spans="1:22" customFormat="1" ht="15" x14ac:dyDescent="0.25">
      <c r="A13137" t="s">
        <v>262</v>
      </c>
      <c r="E13137" s="1561" t="s">
        <v>7215</v>
      </c>
      <c r="F13137" s="1561"/>
      <c r="G13137" s="749" t="s">
        <v>3775</v>
      </c>
      <c r="H13137" s="783">
        <v>-9.8000000000000004E-2</v>
      </c>
      <c r="K13137" t="s">
        <v>7493</v>
      </c>
      <c r="L13137" t="s">
        <v>692</v>
      </c>
      <c r="P13137" t="s">
        <v>7498</v>
      </c>
      <c r="T13137">
        <v>46022</v>
      </c>
      <c r="V13137">
        <v>137</v>
      </c>
    </row>
    <row r="13138" spans="1:22" customFormat="1" ht="15" x14ac:dyDescent="0.25">
      <c r="A13138" t="s">
        <v>262</v>
      </c>
      <c r="E13138" s="1666" t="s">
        <v>7217</v>
      </c>
      <c r="F13138" s="1666"/>
      <c r="G13138" s="749" t="s">
        <v>3775</v>
      </c>
      <c r="H13138" s="783">
        <v>-0.13639999999999999</v>
      </c>
      <c r="K13138" t="s">
        <v>7493</v>
      </c>
      <c r="L13138" t="s">
        <v>692</v>
      </c>
      <c r="P13138" t="s">
        <v>7498</v>
      </c>
      <c r="T13138">
        <v>46022</v>
      </c>
      <c r="V13138">
        <v>138</v>
      </c>
    </row>
    <row r="13139" spans="1:22" customFormat="1" ht="15" x14ac:dyDescent="0.25">
      <c r="A13139" t="s">
        <v>262</v>
      </c>
      <c r="E13139" s="1561" t="s">
        <v>7111</v>
      </c>
      <c r="F13139" s="1561"/>
      <c r="G13139" s="749" t="s">
        <v>845</v>
      </c>
      <c r="H13139" s="783">
        <v>-8.9999999999999998E-4</v>
      </c>
      <c r="K13139" t="s">
        <v>7493</v>
      </c>
      <c r="L13139" t="s">
        <v>692</v>
      </c>
      <c r="P13139" t="s">
        <v>7499</v>
      </c>
      <c r="T13139">
        <v>46022</v>
      </c>
      <c r="V13139">
        <v>112</v>
      </c>
    </row>
    <row r="13140" spans="1:22" customFormat="1" ht="15" x14ac:dyDescent="0.25">
      <c r="A13140" t="s">
        <v>262</v>
      </c>
      <c r="E13140" s="1561" t="s">
        <v>7500</v>
      </c>
      <c r="F13140" s="1561"/>
      <c r="G13140" s="749" t="s">
        <v>3775</v>
      </c>
      <c r="H13140" s="783">
        <v>3.27E-2</v>
      </c>
      <c r="K13140" t="s">
        <v>7493</v>
      </c>
      <c r="L13140" t="s">
        <v>692</v>
      </c>
      <c r="P13140" t="s">
        <v>7501</v>
      </c>
      <c r="T13140">
        <v>46022</v>
      </c>
      <c r="V13140">
        <v>145</v>
      </c>
    </row>
    <row r="13141" spans="1:22" customFormat="1" ht="15" x14ac:dyDescent="0.25">
      <c r="A13141" t="s">
        <v>262</v>
      </c>
      <c r="E13141" s="1561" t="s">
        <v>7502</v>
      </c>
      <c r="F13141" s="1561"/>
      <c r="G13141" s="749" t="s">
        <v>3775</v>
      </c>
      <c r="H13141" s="783">
        <v>-6.1800000000000001E-2</v>
      </c>
      <c r="K13141" t="s">
        <v>7493</v>
      </c>
      <c r="L13141" t="s">
        <v>692</v>
      </c>
      <c r="P13141" t="s">
        <v>7503</v>
      </c>
      <c r="T13141">
        <v>46022</v>
      </c>
      <c r="V13141">
        <v>145</v>
      </c>
    </row>
    <row r="13142" spans="1:22" customFormat="1" ht="15" x14ac:dyDescent="0.25">
      <c r="A13142" t="s">
        <v>262</v>
      </c>
      <c r="E13142" s="1561" t="s">
        <v>7504</v>
      </c>
      <c r="F13142" s="1561"/>
      <c r="G13142" s="749" t="s">
        <v>3775</v>
      </c>
      <c r="H13142" s="783">
        <v>-6.0299999999999999E-2</v>
      </c>
      <c r="K13142" t="s">
        <v>7493</v>
      </c>
      <c r="L13142" t="s">
        <v>692</v>
      </c>
      <c r="P13142" t="s">
        <v>7505</v>
      </c>
      <c r="T13142">
        <v>46022</v>
      </c>
      <c r="V13142">
        <v>147</v>
      </c>
    </row>
    <row r="13143" spans="1:22" customFormat="1" ht="15" x14ac:dyDescent="0.25">
      <c r="A13143" t="s">
        <v>262</v>
      </c>
      <c r="E13143" s="1561" t="s">
        <v>7219</v>
      </c>
      <c r="F13143" s="1561"/>
      <c r="G13143" s="749" t="s">
        <v>3775</v>
      </c>
      <c r="H13143" s="783">
        <v>0.29949999999999999</v>
      </c>
      <c r="K13143" t="s">
        <v>7493</v>
      </c>
      <c r="L13143" t="s">
        <v>692</v>
      </c>
      <c r="P13143" t="s">
        <v>7498</v>
      </c>
      <c r="T13143">
        <v>45838</v>
      </c>
      <c r="V13143">
        <v>133</v>
      </c>
    </row>
    <row r="13144" spans="1:22" customFormat="1" ht="15" x14ac:dyDescent="0.25">
      <c r="A13144" t="s">
        <v>262</v>
      </c>
      <c r="E13144" s="1561" t="s">
        <v>7220</v>
      </c>
      <c r="F13144" s="1561"/>
      <c r="G13144" s="749" t="s">
        <v>3775</v>
      </c>
      <c r="H13144" s="783">
        <v>0.24540000000000001</v>
      </c>
      <c r="K13144" t="s">
        <v>7493</v>
      </c>
      <c r="L13144" t="s">
        <v>692</v>
      </c>
      <c r="P13144" t="s">
        <v>7498</v>
      </c>
      <c r="T13144">
        <v>45838</v>
      </c>
      <c r="V13144">
        <v>134</v>
      </c>
    </row>
    <row r="13145" spans="1:22" customFormat="1" ht="15" x14ac:dyDescent="0.25">
      <c r="A13145" t="s">
        <v>262</v>
      </c>
      <c r="E13145" s="1561" t="s">
        <v>7116</v>
      </c>
      <c r="F13145" s="1561"/>
      <c r="G13145" s="749" t="s">
        <v>845</v>
      </c>
      <c r="H13145" s="783">
        <v>-4.4999999999999997E-3</v>
      </c>
      <c r="K13145" t="s">
        <v>7493</v>
      </c>
      <c r="L13145" t="s">
        <v>692</v>
      </c>
      <c r="P13145" t="s">
        <v>7499</v>
      </c>
      <c r="T13145">
        <v>45838</v>
      </c>
      <c r="V13145">
        <v>108</v>
      </c>
    </row>
    <row r="13146" spans="1:22" customFormat="1" ht="15" x14ac:dyDescent="0.25">
      <c r="A13146" t="s">
        <v>262</v>
      </c>
      <c r="E13146" s="1561" t="s">
        <v>7222</v>
      </c>
      <c r="F13146" s="1561"/>
      <c r="G13146" s="749" t="s">
        <v>3775</v>
      </c>
      <c r="H13146" s="783">
        <v>-0.1966</v>
      </c>
      <c r="K13146" t="s">
        <v>7493</v>
      </c>
      <c r="L13146" t="s">
        <v>692</v>
      </c>
      <c r="P13146" t="s">
        <v>7506</v>
      </c>
      <c r="T13146">
        <v>45838</v>
      </c>
      <c r="V13146">
        <v>155</v>
      </c>
    </row>
    <row r="13147" spans="1:22" customFormat="1" ht="15" x14ac:dyDescent="0.25">
      <c r="A13147" t="s">
        <v>262</v>
      </c>
      <c r="E13147" s="1665" t="s">
        <v>7224</v>
      </c>
      <c r="F13147" s="1665"/>
      <c r="G13147" s="749" t="s">
        <v>3775</v>
      </c>
      <c r="H13147" s="783">
        <v>-0.37609999999999999</v>
      </c>
      <c r="K13147" t="s">
        <v>7493</v>
      </c>
      <c r="L13147" t="s">
        <v>692</v>
      </c>
      <c r="P13147" t="s">
        <v>7498</v>
      </c>
      <c r="T13147">
        <v>46022</v>
      </c>
      <c r="V13147">
        <v>145</v>
      </c>
    </row>
    <row r="13148" spans="1:22" customFormat="1" ht="15" x14ac:dyDescent="0.25">
      <c r="A13148" t="s">
        <v>262</v>
      </c>
      <c r="E13148" s="1665" t="s">
        <v>7225</v>
      </c>
      <c r="F13148" s="1665"/>
      <c r="G13148" s="749" t="s">
        <v>3775</v>
      </c>
      <c r="H13148" s="783">
        <v>-0.63929999999999998</v>
      </c>
      <c r="K13148" t="s">
        <v>7493</v>
      </c>
      <c r="L13148" t="s">
        <v>692</v>
      </c>
      <c r="P13148" t="s">
        <v>7498</v>
      </c>
      <c r="T13148">
        <v>46022</v>
      </c>
      <c r="V13148">
        <v>169</v>
      </c>
    </row>
    <row r="13149" spans="1:22" customFormat="1" ht="15" x14ac:dyDescent="0.25">
      <c r="A13149" t="s">
        <v>262</v>
      </c>
      <c r="E13149" s="1665" t="s">
        <v>7120</v>
      </c>
      <c r="F13149" s="1665"/>
      <c r="G13149" s="749" t="s">
        <v>3775</v>
      </c>
      <c r="H13149" s="783">
        <v>1.9400000000000001E-2</v>
      </c>
      <c r="K13149" t="s">
        <v>7493</v>
      </c>
      <c r="L13149" t="s">
        <v>692</v>
      </c>
      <c r="P13149" t="s">
        <v>7506</v>
      </c>
      <c r="T13149">
        <v>46022</v>
      </c>
      <c r="V13149">
        <v>190</v>
      </c>
    </row>
    <row r="13150" spans="1:22" customFormat="1" ht="15" x14ac:dyDescent="0.25">
      <c r="A13150" t="s">
        <v>262</v>
      </c>
      <c r="E13150" s="1561" t="s">
        <v>7121</v>
      </c>
      <c r="F13150" s="1561"/>
      <c r="G13150" s="749" t="s">
        <v>3775</v>
      </c>
      <c r="H13150" s="783">
        <v>3.1602999999999999</v>
      </c>
      <c r="K13150" t="s">
        <v>7493</v>
      </c>
      <c r="L13150" t="s">
        <v>694</v>
      </c>
      <c r="P13150" t="s">
        <v>7507</v>
      </c>
      <c r="V13150">
        <v>60</v>
      </c>
    </row>
    <row r="13151" spans="1:22" customFormat="1" ht="15" x14ac:dyDescent="0.25">
      <c r="A13151" t="s">
        <v>262</v>
      </c>
      <c r="E13151" s="1561" t="s">
        <v>7123</v>
      </c>
      <c r="F13151" s="1561"/>
      <c r="G13151" s="749" t="s">
        <v>3775</v>
      </c>
      <c r="H13151" s="783">
        <v>2.4176000000000002</v>
      </c>
      <c r="K13151" t="s">
        <v>7493</v>
      </c>
      <c r="L13151" t="s">
        <v>694</v>
      </c>
      <c r="P13151" t="s">
        <v>7508</v>
      </c>
      <c r="V13151">
        <v>87</v>
      </c>
    </row>
    <row r="13152" spans="1:22" customFormat="1" ht="15" x14ac:dyDescent="0.25">
      <c r="A13152" t="s">
        <v>262</v>
      </c>
      <c r="E13152" s="1609" t="s">
        <v>967</v>
      </c>
      <c r="F13152" s="1606"/>
      <c r="G13152" s="1606"/>
      <c r="H13152" s="1606"/>
      <c r="K13152" t="s">
        <v>7509</v>
      </c>
      <c r="V13152">
        <v>48</v>
      </c>
    </row>
    <row r="13153" spans="1:22" customFormat="1" ht="15" x14ac:dyDescent="0.25">
      <c r="A13153" t="s">
        <v>262</v>
      </c>
      <c r="E13153" s="1601" t="s">
        <v>7125</v>
      </c>
      <c r="F13153" s="1601"/>
      <c r="G13153" s="893" t="s">
        <v>845</v>
      </c>
      <c r="H13153" s="783">
        <v>4.1000000000000003E-3</v>
      </c>
      <c r="K13153" t="s">
        <v>7493</v>
      </c>
      <c r="L13153" t="s">
        <v>968</v>
      </c>
      <c r="P13153" t="s">
        <v>7510</v>
      </c>
      <c r="V13153">
        <v>69</v>
      </c>
    </row>
    <row r="13154" spans="1:22" customFormat="1" ht="15" x14ac:dyDescent="0.25">
      <c r="A13154" t="s">
        <v>262</v>
      </c>
      <c r="E13154" s="1601" t="s">
        <v>7127</v>
      </c>
      <c r="F13154" s="1601"/>
      <c r="G13154" s="893" t="s">
        <v>845</v>
      </c>
      <c r="H13154" s="783">
        <v>4.0000000000000002E-4</v>
      </c>
      <c r="K13154" t="s">
        <v>7493</v>
      </c>
      <c r="L13154" t="s">
        <v>968</v>
      </c>
      <c r="P13154" t="s">
        <v>7510</v>
      </c>
      <c r="V13154">
        <v>78</v>
      </c>
    </row>
    <row r="13155" spans="1:22" customFormat="1" ht="15" x14ac:dyDescent="0.25">
      <c r="A13155" t="s">
        <v>262</v>
      </c>
      <c r="E13155" s="1601" t="s">
        <v>7128</v>
      </c>
      <c r="F13155" s="1601"/>
      <c r="G13155" s="893" t="s">
        <v>845</v>
      </c>
      <c r="H13155" s="783">
        <v>1.5E-3</v>
      </c>
      <c r="K13155" t="s">
        <v>7493</v>
      </c>
      <c r="L13155" t="s">
        <v>968</v>
      </c>
      <c r="P13155" t="s">
        <v>7511</v>
      </c>
      <c r="V13155">
        <v>71</v>
      </c>
    </row>
    <row r="13156" spans="1:22" customFormat="1" ht="15" x14ac:dyDescent="0.25">
      <c r="A13156" t="s">
        <v>262</v>
      </c>
      <c r="E13156" s="1601" t="s">
        <v>848</v>
      </c>
      <c r="F13156" s="1601"/>
      <c r="G13156" s="893" t="s">
        <v>777</v>
      </c>
      <c r="H13156" s="783">
        <v>0.25</v>
      </c>
      <c r="K13156" t="s">
        <v>7493</v>
      </c>
      <c r="L13156" t="s">
        <v>968</v>
      </c>
      <c r="P13156" t="s">
        <v>7512</v>
      </c>
      <c r="V13156">
        <v>63</v>
      </c>
    </row>
    <row r="13157" spans="1:22" customFormat="1" x14ac:dyDescent="0.25">
      <c r="A13157" t="s">
        <v>262</v>
      </c>
      <c r="E13157" s="1619" t="s">
        <v>207</v>
      </c>
      <c r="F13157" s="1620"/>
      <c r="G13157" s="1620"/>
      <c r="H13157" s="1620"/>
      <c r="K13157" t="s">
        <v>7513</v>
      </c>
      <c r="V13157">
        <v>31</v>
      </c>
    </row>
    <row r="13158" spans="1:22" customFormat="1" ht="15" x14ac:dyDescent="0.25">
      <c r="A13158" t="s">
        <v>262</v>
      </c>
      <c r="E13158" s="1516" t="s">
        <v>7514</v>
      </c>
      <c r="F13158" s="1516"/>
      <c r="G13158" s="1516"/>
      <c r="H13158" s="1516"/>
      <c r="K13158" t="s">
        <v>7513</v>
      </c>
      <c r="V13158">
        <v>465</v>
      </c>
    </row>
    <row r="13159" spans="1:22" customFormat="1" ht="15" x14ac:dyDescent="0.25">
      <c r="A13159" t="s">
        <v>262</v>
      </c>
      <c r="E13159" s="1700" t="s">
        <v>950</v>
      </c>
      <c r="F13159" s="1605"/>
      <c r="G13159" s="1605"/>
      <c r="H13159" s="1605"/>
      <c r="K13159" t="s">
        <v>7515</v>
      </c>
      <c r="V13159">
        <v>11</v>
      </c>
    </row>
    <row r="13160" spans="1:22" customFormat="1" ht="15" x14ac:dyDescent="0.25">
      <c r="A13160" t="s">
        <v>262</v>
      </c>
      <c r="E13160" s="1605" t="s">
        <v>951</v>
      </c>
      <c r="F13160" s="1605"/>
      <c r="G13160" s="1605"/>
      <c r="H13160" s="1605"/>
      <c r="K13160" t="s">
        <v>7513</v>
      </c>
      <c r="V13160">
        <v>280</v>
      </c>
    </row>
    <row r="13161" spans="1:22" customFormat="1" ht="15" x14ac:dyDescent="0.25">
      <c r="A13161" t="s">
        <v>262</v>
      </c>
      <c r="E13161" s="1605" t="s">
        <v>952</v>
      </c>
      <c r="F13161" s="1605"/>
      <c r="G13161" s="1605"/>
      <c r="H13161" s="1605"/>
      <c r="K13161" t="s">
        <v>7513</v>
      </c>
      <c r="V13161">
        <v>411</v>
      </c>
    </row>
    <row r="13162" spans="1:22" customFormat="1" ht="15" x14ac:dyDescent="0.25">
      <c r="A13162" t="s">
        <v>262</v>
      </c>
      <c r="E13162" s="1605" t="s">
        <v>1103</v>
      </c>
      <c r="F13162" s="1605"/>
      <c r="G13162" s="1605"/>
      <c r="H13162" s="1605"/>
      <c r="K13162" t="s">
        <v>7513</v>
      </c>
      <c r="V13162">
        <v>211</v>
      </c>
    </row>
    <row r="13163" spans="1:22" customFormat="1" ht="15" x14ac:dyDescent="0.25">
      <c r="A13163" t="s">
        <v>262</v>
      </c>
      <c r="E13163" s="1605" t="s">
        <v>954</v>
      </c>
      <c r="F13163" s="1605"/>
      <c r="G13163" s="1605"/>
      <c r="H13163" s="1605"/>
      <c r="K13163" t="s">
        <v>7513</v>
      </c>
      <c r="V13163">
        <v>246</v>
      </c>
    </row>
    <row r="13164" spans="1:22" customFormat="1" ht="15" x14ac:dyDescent="0.25">
      <c r="A13164" t="s">
        <v>262</v>
      </c>
      <c r="E13164" s="1609" t="s">
        <v>956</v>
      </c>
      <c r="F13164" s="1663"/>
      <c r="G13164" s="1663"/>
      <c r="H13164" s="1663"/>
      <c r="K13164" t="s">
        <v>7516</v>
      </c>
      <c r="V13164">
        <v>46</v>
      </c>
    </row>
    <row r="13165" spans="1:22" customFormat="1" ht="15" x14ac:dyDescent="0.25">
      <c r="A13165" t="s">
        <v>262</v>
      </c>
      <c r="E13165" s="1601" t="s">
        <v>3773</v>
      </c>
      <c r="F13165" s="1601"/>
      <c r="G13165" s="893" t="s">
        <v>777</v>
      </c>
      <c r="H13165" s="783">
        <v>5</v>
      </c>
      <c r="K13165" t="s">
        <v>7513</v>
      </c>
      <c r="L13165" t="s">
        <v>690</v>
      </c>
      <c r="P13165" t="s">
        <v>7517</v>
      </c>
      <c r="V13165">
        <v>14</v>
      </c>
    </row>
    <row r="13166" spans="1:22" customFormat="1" ht="18.75" x14ac:dyDescent="0.3">
      <c r="A13166" t="s">
        <v>262</v>
      </c>
      <c r="E13166" s="1602" t="s">
        <v>3825</v>
      </c>
      <c r="F13166" s="1603"/>
      <c r="G13166" s="1603"/>
      <c r="H13166" s="1603"/>
      <c r="K13166" t="s">
        <v>4865</v>
      </c>
      <c r="V13166">
        <v>10</v>
      </c>
    </row>
    <row r="13167" spans="1:22" customFormat="1" ht="15" x14ac:dyDescent="0.25">
      <c r="A13167" t="s">
        <v>262</v>
      </c>
      <c r="E13167" s="1659" t="s">
        <v>7518</v>
      </c>
      <c r="F13167" s="1703"/>
      <c r="G13167" s="1703"/>
      <c r="H13167" s="1703"/>
      <c r="V13167">
        <v>42</v>
      </c>
    </row>
    <row r="13168" spans="1:22" customFormat="1" ht="15" x14ac:dyDescent="0.25">
      <c r="A13168" t="s">
        <v>262</v>
      </c>
      <c r="E13168" s="1601" t="s">
        <v>7519</v>
      </c>
      <c r="F13168" s="1601"/>
      <c r="G13168" s="893"/>
      <c r="H13168" s="783"/>
      <c r="V13168">
        <v>95</v>
      </c>
    </row>
    <row r="13169" spans="1:22" customFormat="1" ht="15" x14ac:dyDescent="0.25">
      <c r="A13169" t="s">
        <v>262</v>
      </c>
      <c r="E13169" s="1601" t="s">
        <v>7520</v>
      </c>
      <c r="F13169" s="1601"/>
      <c r="G13169" s="893" t="s">
        <v>3775</v>
      </c>
      <c r="H13169" s="783">
        <v>-0.6</v>
      </c>
      <c r="V13169">
        <v>46</v>
      </c>
    </row>
    <row r="13170" spans="1:22" customFormat="1" ht="15" x14ac:dyDescent="0.25">
      <c r="A13170" t="s">
        <v>262</v>
      </c>
      <c r="E13170" s="1601" t="s">
        <v>7521</v>
      </c>
      <c r="F13170" s="1601"/>
      <c r="G13170" s="893" t="s">
        <v>845</v>
      </c>
      <c r="H13170" s="783">
        <v>-1.4E-3</v>
      </c>
      <c r="V13170">
        <v>47</v>
      </c>
    </row>
    <row r="13171" spans="1:22" customFormat="1" ht="15" x14ac:dyDescent="0.25">
      <c r="A13171" t="s">
        <v>262</v>
      </c>
      <c r="E13171" s="1659" t="s">
        <v>7522</v>
      </c>
      <c r="F13171" s="1703"/>
      <c r="G13171" s="1703"/>
      <c r="H13171" s="1703"/>
      <c r="V13171">
        <v>25</v>
      </c>
    </row>
    <row r="13172" spans="1:22" customFormat="1" ht="15" x14ac:dyDescent="0.25">
      <c r="A13172" t="s">
        <v>262</v>
      </c>
      <c r="E13172" s="1601" t="s">
        <v>7523</v>
      </c>
      <c r="F13172" s="1601"/>
      <c r="G13172" s="1601"/>
      <c r="H13172" s="1601"/>
      <c r="V13172">
        <v>334</v>
      </c>
    </row>
    <row r="13173" spans="1:22" customFormat="1" ht="15" x14ac:dyDescent="0.25">
      <c r="A13173" t="s">
        <v>262</v>
      </c>
      <c r="E13173" s="1601" t="s">
        <v>7524</v>
      </c>
      <c r="F13173" s="1601"/>
      <c r="G13173" s="893" t="s">
        <v>1118</v>
      </c>
      <c r="H13173" s="783">
        <v>-1.5</v>
      </c>
      <c r="V13173">
        <v>62</v>
      </c>
    </row>
    <row r="13174" spans="1:22" customFormat="1" ht="15" x14ac:dyDescent="0.25">
      <c r="A13174" t="s">
        <v>262</v>
      </c>
      <c r="E13174" s="1601" t="s">
        <v>7525</v>
      </c>
      <c r="F13174" s="1601"/>
      <c r="G13174" s="893" t="s">
        <v>1118</v>
      </c>
      <c r="H13174" s="783">
        <v>-1</v>
      </c>
      <c r="V13174">
        <v>32</v>
      </c>
    </row>
    <row r="13175" spans="1:22" customFormat="1" ht="15" x14ac:dyDescent="0.25">
      <c r="A13175" t="s">
        <v>262</v>
      </c>
      <c r="E13175" s="1601" t="s">
        <v>7526</v>
      </c>
      <c r="F13175" s="1601"/>
      <c r="G13175" s="1601"/>
      <c r="H13175" s="1601"/>
      <c r="V13175">
        <v>290</v>
      </c>
    </row>
    <row r="13176" spans="1:22" customFormat="1" ht="15" x14ac:dyDescent="0.25">
      <c r="A13176" t="s">
        <v>262</v>
      </c>
      <c r="E13176" s="1601" t="s">
        <v>7527</v>
      </c>
      <c r="F13176" s="1601"/>
      <c r="G13176" s="1601"/>
      <c r="H13176" s="1601"/>
      <c r="V13176">
        <v>130</v>
      </c>
    </row>
    <row r="13177" spans="1:22" customFormat="1" ht="15" x14ac:dyDescent="0.25">
      <c r="A13177" t="s">
        <v>262</v>
      </c>
      <c r="E13177" s="1601" t="s">
        <v>7528</v>
      </c>
      <c r="F13177" s="1601"/>
      <c r="G13177" s="1601"/>
      <c r="H13177" s="1601"/>
      <c r="V13177">
        <v>267</v>
      </c>
    </row>
    <row r="13178" spans="1:22" customFormat="1" ht="18.75" x14ac:dyDescent="0.25">
      <c r="A13178" t="s">
        <v>262</v>
      </c>
      <c r="E13178" s="1711" t="s">
        <v>3853</v>
      </c>
      <c r="F13178" s="1712"/>
      <c r="G13178" s="1712"/>
      <c r="H13178" s="1712"/>
      <c r="K13178" t="s">
        <v>4937</v>
      </c>
      <c r="V13178">
        <v>12</v>
      </c>
    </row>
    <row r="13179" spans="1:22" customFormat="1" ht="15" x14ac:dyDescent="0.25">
      <c r="A13179" t="s">
        <v>262</v>
      </c>
      <c r="E13179" s="1601" t="s">
        <v>7529</v>
      </c>
      <c r="F13179" s="1601"/>
      <c r="G13179" s="893"/>
      <c r="H13179" s="783">
        <v>1.0569999999999999</v>
      </c>
      <c r="V13179">
        <v>16</v>
      </c>
    </row>
    <row r="13180" spans="1:22" customFormat="1" ht="15" x14ac:dyDescent="0.25">
      <c r="A13180" t="s">
        <v>262</v>
      </c>
      <c r="E13180" s="1601" t="s">
        <v>7530</v>
      </c>
      <c r="F13180" s="1601"/>
      <c r="G13180" s="893"/>
      <c r="H13180" s="783">
        <v>1.0760000000000001</v>
      </c>
      <c r="V13180">
        <v>16</v>
      </c>
    </row>
    <row r="13181" spans="1:22" customFormat="1" ht="15" x14ac:dyDescent="0.25">
      <c r="A13181" t="s">
        <v>262</v>
      </c>
      <c r="E13181" s="1601" t="s">
        <v>1221</v>
      </c>
      <c r="F13181" s="1601"/>
      <c r="G13181" s="893"/>
      <c r="H13181" s="783">
        <v>1.105</v>
      </c>
      <c r="V13181">
        <v>16</v>
      </c>
    </row>
    <row r="13182" spans="1:22" customFormat="1" ht="15" x14ac:dyDescent="0.25">
      <c r="A13182" t="s">
        <v>262</v>
      </c>
      <c r="E13182" s="1601" t="s">
        <v>7531</v>
      </c>
      <c r="F13182" s="1601"/>
      <c r="G13182" s="893"/>
      <c r="H13182" s="783">
        <v>1.0669999999999999</v>
      </c>
      <c r="V13182">
        <v>21</v>
      </c>
    </row>
    <row r="13183" spans="1:22" customFormat="1" ht="15" x14ac:dyDescent="0.25">
      <c r="A13183" t="s">
        <v>262</v>
      </c>
      <c r="E13183" s="1601" t="s">
        <v>7532</v>
      </c>
      <c r="F13183" s="1601"/>
      <c r="G13183" s="893"/>
      <c r="H13183" s="783">
        <v>1.0960000000000001</v>
      </c>
      <c r="V13183">
        <v>21</v>
      </c>
    </row>
    <row r="13184" spans="1:22" customFormat="1" ht="15" x14ac:dyDescent="0.25">
      <c r="A13184" t="s">
        <v>262</v>
      </c>
      <c r="E13184" s="1601" t="s">
        <v>7533</v>
      </c>
      <c r="F13184" s="1601"/>
      <c r="G13184" s="893"/>
      <c r="H13184" s="783">
        <v>1.05</v>
      </c>
      <c r="V13184">
        <v>21</v>
      </c>
    </row>
    <row r="13185" spans="1:22" customFormat="1" ht="15" x14ac:dyDescent="0.25">
      <c r="A13185" t="s">
        <v>262</v>
      </c>
      <c r="E13185" s="1601" t="s">
        <v>7534</v>
      </c>
      <c r="F13185" s="1601"/>
      <c r="G13185" s="893"/>
      <c r="H13185" s="783">
        <v>1.0609999999999999</v>
      </c>
      <c r="V13185">
        <v>21</v>
      </c>
    </row>
    <row r="13186" spans="1:22" customFormat="1" ht="15" x14ac:dyDescent="0.25">
      <c r="A13186" t="s">
        <v>262</v>
      </c>
      <c r="E13186" s="1601" t="s">
        <v>7535</v>
      </c>
      <c r="F13186" s="1601"/>
      <c r="G13186" s="893"/>
      <c r="H13186" s="783">
        <v>1.0609999999999999</v>
      </c>
      <c r="K13186" t="s">
        <v>7536</v>
      </c>
      <c r="V13186">
        <v>29</v>
      </c>
    </row>
    <row r="13187" spans="1:22" customFormat="1" ht="15" x14ac:dyDescent="0.25">
      <c r="A13187" t="s">
        <v>262</v>
      </c>
      <c r="E13187" s="1601" t="s">
        <v>1243</v>
      </c>
      <c r="F13187" s="1601"/>
      <c r="G13187" s="893"/>
      <c r="H13187" s="783">
        <v>1.0920000000000001</v>
      </c>
      <c r="K13187" t="s">
        <v>7536</v>
      </c>
      <c r="V13187">
        <v>24</v>
      </c>
    </row>
    <row r="13188" spans="1:22" customFormat="1" ht="15" x14ac:dyDescent="0.25">
      <c r="A13188" t="s">
        <v>262</v>
      </c>
      <c r="E13188" s="1601" t="s">
        <v>7537</v>
      </c>
      <c r="F13188" s="1601"/>
      <c r="G13188" s="893"/>
      <c r="H13188" s="783">
        <v>1.0920000000000001</v>
      </c>
      <c r="K13188" t="s">
        <v>7536</v>
      </c>
      <c r="V13188">
        <v>15</v>
      </c>
    </row>
    <row r="13189" spans="1:22" customFormat="1" ht="15" x14ac:dyDescent="0.25">
      <c r="A13189" t="s">
        <v>262</v>
      </c>
      <c r="E13189" s="1601" t="s">
        <v>7538</v>
      </c>
      <c r="F13189" s="1601"/>
      <c r="G13189" s="893"/>
      <c r="H13189" s="783">
        <v>1.0920000000000001</v>
      </c>
      <c r="K13189" t="s">
        <v>7536</v>
      </c>
      <c r="V13189">
        <v>13</v>
      </c>
    </row>
    <row r="13190" spans="1:22" customFormat="1" ht="15" x14ac:dyDescent="0.25">
      <c r="A13190" t="s">
        <v>262</v>
      </c>
      <c r="E13190" s="980" t="s">
        <v>7539</v>
      </c>
      <c r="F13190" s="980"/>
      <c r="G13190" s="893"/>
      <c r="H13190" s="783">
        <v>1.0429999999999999</v>
      </c>
      <c r="K13190" t="s">
        <v>7536</v>
      </c>
      <c r="V13190">
        <v>26</v>
      </c>
    </row>
    <row r="13191" spans="1:22" customFormat="1" ht="15" x14ac:dyDescent="0.25">
      <c r="A13191" t="s">
        <v>262</v>
      </c>
      <c r="E13191" s="980" t="s">
        <v>7540</v>
      </c>
      <c r="F13191" s="980"/>
      <c r="G13191" s="893"/>
      <c r="H13191" s="783">
        <v>1.0429999999999999</v>
      </c>
      <c r="K13191" t="s">
        <v>7536</v>
      </c>
      <c r="V13191">
        <v>31</v>
      </c>
    </row>
    <row r="13192" spans="1:22" customFormat="1" ht="15" x14ac:dyDescent="0.25">
      <c r="A13192" t="s">
        <v>262</v>
      </c>
      <c r="E13192" s="980" t="s">
        <v>7541</v>
      </c>
      <c r="F13192" s="980"/>
      <c r="G13192" s="893"/>
      <c r="H13192" s="783">
        <v>1.0329999999999999</v>
      </c>
      <c r="K13192" t="s">
        <v>7536</v>
      </c>
      <c r="V13192">
        <v>31</v>
      </c>
    </row>
    <row r="13193" spans="1:22" customFormat="1" ht="15" x14ac:dyDescent="0.25">
      <c r="A13193" t="s">
        <v>262</v>
      </c>
      <c r="E13193" s="980" t="s">
        <v>7542</v>
      </c>
      <c r="F13193" s="980"/>
      <c r="G13193" s="893"/>
      <c r="H13193" s="783">
        <v>1.0640000000000001</v>
      </c>
      <c r="K13193" t="s">
        <v>7536</v>
      </c>
      <c r="V13193">
        <v>25</v>
      </c>
    </row>
    <row r="13194" spans="1:22" customFormat="1" ht="15" x14ac:dyDescent="0.25">
      <c r="A13194" t="s">
        <v>262</v>
      </c>
      <c r="E13194" s="980" t="s">
        <v>7543</v>
      </c>
      <c r="F13194" s="980"/>
      <c r="G13194" s="893"/>
      <c r="H13194" s="783">
        <v>1.0640000000000001</v>
      </c>
      <c r="K13194" t="s">
        <v>7536</v>
      </c>
      <c r="V13194">
        <v>31</v>
      </c>
    </row>
    <row r="13195" spans="1:22" customFormat="1" ht="15" x14ac:dyDescent="0.25">
      <c r="A13195" t="s">
        <v>262</v>
      </c>
      <c r="E13195" s="980" t="s">
        <v>7544</v>
      </c>
      <c r="F13195" s="980"/>
      <c r="G13195" s="893"/>
      <c r="H13195" s="783">
        <v>1.0529999999999999</v>
      </c>
      <c r="K13195" t="s">
        <v>7536</v>
      </c>
      <c r="V13195">
        <v>31</v>
      </c>
    </row>
    <row r="13196" spans="1:22" customFormat="1" ht="15" x14ac:dyDescent="0.25">
      <c r="A13196" t="s">
        <v>262</v>
      </c>
      <c r="E13196" s="980" t="s">
        <v>7545</v>
      </c>
      <c r="F13196" s="980"/>
      <c r="G13196" s="893"/>
      <c r="H13196" s="783"/>
      <c r="K13196" t="s">
        <v>7546</v>
      </c>
      <c r="V13196">
        <v>21</v>
      </c>
    </row>
    <row r="13197" spans="1:22" customFormat="1" ht="15" x14ac:dyDescent="0.25">
      <c r="A13197" t="s">
        <v>262</v>
      </c>
      <c r="E13197" s="980" t="s">
        <v>7547</v>
      </c>
      <c r="F13197" s="980"/>
      <c r="G13197" s="893"/>
      <c r="H13197" s="783"/>
      <c r="K13197" t="s">
        <v>7546</v>
      </c>
      <c r="V13197">
        <v>25</v>
      </c>
    </row>
    <row r="13198" spans="1:22" customFormat="1" ht="22.5" x14ac:dyDescent="0.25">
      <c r="A13198" t="s">
        <v>262</v>
      </c>
      <c r="E13198" s="982" t="s">
        <v>7548</v>
      </c>
      <c r="F13198" s="980"/>
      <c r="G13198" s="893"/>
      <c r="H13198" s="783">
        <v>1</v>
      </c>
      <c r="K13198" t="s">
        <v>7546</v>
      </c>
      <c r="V13198">
        <v>46</v>
      </c>
    </row>
    <row r="13199" spans="1:22" customFormat="1" ht="22.5" x14ac:dyDescent="0.25">
      <c r="A13199" t="s">
        <v>262</v>
      </c>
      <c r="E13199" s="982" t="s">
        <v>7549</v>
      </c>
      <c r="F13199" s="980"/>
      <c r="G13199" s="893"/>
      <c r="H13199" s="783">
        <v>1.028</v>
      </c>
      <c r="K13199" t="s">
        <v>7546</v>
      </c>
      <c r="V13199">
        <v>53</v>
      </c>
    </row>
    <row r="13200" spans="1:22" customFormat="1" ht="15" x14ac:dyDescent="0.25">
      <c r="A13200" t="s">
        <v>262</v>
      </c>
      <c r="E13200" s="980" t="s">
        <v>7550</v>
      </c>
      <c r="F13200" s="980"/>
      <c r="G13200" s="893"/>
      <c r="H13200" s="783"/>
      <c r="K13200" t="s">
        <v>7546</v>
      </c>
      <c r="V13200">
        <v>18</v>
      </c>
    </row>
    <row r="13201" spans="1:22" customFormat="1" ht="22.5" x14ac:dyDescent="0.25">
      <c r="A13201" t="s">
        <v>262</v>
      </c>
      <c r="E13201" s="982" t="s">
        <v>7548</v>
      </c>
      <c r="F13201" s="980"/>
      <c r="G13201" s="893"/>
      <c r="H13201" s="783">
        <v>1.006</v>
      </c>
      <c r="K13201" t="s">
        <v>7546</v>
      </c>
      <c r="V13201">
        <v>46</v>
      </c>
    </row>
    <row r="13202" spans="1:22" customFormat="1" ht="22.5" x14ac:dyDescent="0.25">
      <c r="A13202" t="s">
        <v>262</v>
      </c>
      <c r="E13202" s="982" t="s">
        <v>7549</v>
      </c>
      <c r="F13202" s="980"/>
      <c r="G13202" s="893"/>
      <c r="H13202" s="783">
        <v>1.034</v>
      </c>
      <c r="K13202" t="s">
        <v>7546</v>
      </c>
      <c r="V13202">
        <v>53</v>
      </c>
    </row>
    <row r="13203" spans="1:22" customFormat="1" ht="18.75" x14ac:dyDescent="0.3">
      <c r="A13203" t="s">
        <v>262</v>
      </c>
      <c r="E13203" s="1602" t="s">
        <v>3828</v>
      </c>
      <c r="F13203" s="1603"/>
      <c r="G13203" s="1603"/>
      <c r="H13203" s="1603"/>
      <c r="K13203" t="s">
        <v>4866</v>
      </c>
      <c r="V13203">
        <v>24</v>
      </c>
    </row>
    <row r="13204" spans="1:22" customFormat="1" ht="15" x14ac:dyDescent="0.25">
      <c r="A13204" t="s">
        <v>262</v>
      </c>
      <c r="E13204" s="1621" t="s">
        <v>950</v>
      </c>
      <c r="F13204" s="1605"/>
      <c r="G13204" s="1605"/>
      <c r="H13204" s="1605"/>
      <c r="K13204" t="s">
        <v>7546</v>
      </c>
      <c r="V13204">
        <v>11</v>
      </c>
    </row>
    <row r="13205" spans="1:22" customFormat="1" ht="15" x14ac:dyDescent="0.25">
      <c r="A13205" t="s">
        <v>262</v>
      </c>
      <c r="E13205" s="1605" t="s">
        <v>951</v>
      </c>
      <c r="F13205" s="1605"/>
      <c r="G13205" s="1605"/>
      <c r="H13205" s="1605"/>
      <c r="K13205" t="s">
        <v>7546</v>
      </c>
      <c r="V13205">
        <v>280</v>
      </c>
    </row>
    <row r="13206" spans="1:22" customFormat="1" ht="15" x14ac:dyDescent="0.25">
      <c r="A13206" t="s">
        <v>262</v>
      </c>
      <c r="E13206" s="1605" t="s">
        <v>1081</v>
      </c>
      <c r="F13206" s="1605"/>
      <c r="G13206" s="1605"/>
      <c r="H13206" s="1605"/>
      <c r="K13206" t="s">
        <v>7546</v>
      </c>
      <c r="V13206">
        <v>353</v>
      </c>
    </row>
    <row r="13207" spans="1:22" customFormat="1" ht="15" x14ac:dyDescent="0.25">
      <c r="A13207" t="s">
        <v>262</v>
      </c>
      <c r="E13207" s="1605" t="s">
        <v>954</v>
      </c>
      <c r="F13207" s="1605"/>
      <c r="G13207" s="1605"/>
      <c r="H13207" s="1605"/>
      <c r="K13207" t="s">
        <v>7546</v>
      </c>
      <c r="V13207">
        <v>246</v>
      </c>
    </row>
    <row r="13208" spans="1:22" customFormat="1" ht="15" x14ac:dyDescent="0.25">
      <c r="A13208" t="s">
        <v>262</v>
      </c>
      <c r="E13208" s="1609" t="s">
        <v>3830</v>
      </c>
      <c r="F13208" s="1703"/>
      <c r="G13208" s="1703"/>
      <c r="H13208" s="1703"/>
      <c r="K13208" t="s">
        <v>4867</v>
      </c>
      <c r="V13208">
        <v>23</v>
      </c>
    </row>
    <row r="13209" spans="1:22" customFormat="1" ht="15" x14ac:dyDescent="0.25">
      <c r="A13209" t="s">
        <v>262</v>
      </c>
      <c r="E13209" s="1709" t="s">
        <v>4868</v>
      </c>
      <c r="F13209" s="1710"/>
      <c r="G13209" s="983" t="s">
        <v>777</v>
      </c>
      <c r="H13209" s="783">
        <v>92.51</v>
      </c>
      <c r="K13209" t="s">
        <v>7546</v>
      </c>
      <c r="V13209">
        <v>32</v>
      </c>
    </row>
    <row r="13210" spans="1:22" customFormat="1" ht="15" x14ac:dyDescent="0.25">
      <c r="A13210" t="s">
        <v>262</v>
      </c>
      <c r="E13210" s="1709" t="s">
        <v>4869</v>
      </c>
      <c r="F13210" s="1710"/>
      <c r="G13210" s="983" t="s">
        <v>777</v>
      </c>
      <c r="H13210" s="783">
        <v>25</v>
      </c>
      <c r="K13210" t="s">
        <v>7546</v>
      </c>
      <c r="V13210">
        <v>29</v>
      </c>
    </row>
    <row r="13211" spans="1:22" customFormat="1" ht="15" x14ac:dyDescent="0.25">
      <c r="A13211" t="s">
        <v>262</v>
      </c>
      <c r="E13211" s="1709" t="s">
        <v>4870</v>
      </c>
      <c r="F13211" s="1710"/>
      <c r="G13211" s="983" t="s">
        <v>777</v>
      </c>
      <c r="H13211" s="783">
        <v>7</v>
      </c>
      <c r="K13211" t="s">
        <v>7546</v>
      </c>
      <c r="V13211">
        <v>22</v>
      </c>
    </row>
    <row r="13212" spans="1:22" customFormat="1" ht="15" x14ac:dyDescent="0.25">
      <c r="A13212" t="s">
        <v>262</v>
      </c>
      <c r="E13212" s="1709" t="s">
        <v>4871</v>
      </c>
      <c r="F13212" s="1710"/>
      <c r="G13212" s="983" t="s">
        <v>777</v>
      </c>
      <c r="H13212" s="783">
        <v>38</v>
      </c>
      <c r="K13212" t="s">
        <v>7546</v>
      </c>
      <c r="V13212">
        <v>90</v>
      </c>
    </row>
    <row r="13213" spans="1:22" customFormat="1" ht="15" x14ac:dyDescent="0.25">
      <c r="A13213" t="s">
        <v>262</v>
      </c>
      <c r="E13213" s="1709" t="s">
        <v>4872</v>
      </c>
      <c r="F13213" s="1710"/>
      <c r="G13213" s="983" t="s">
        <v>777</v>
      </c>
      <c r="H13213" s="783">
        <v>90</v>
      </c>
      <c r="K13213" t="s">
        <v>7546</v>
      </c>
      <c r="V13213">
        <v>55</v>
      </c>
    </row>
    <row r="13214" spans="1:22" customFormat="1" ht="15" x14ac:dyDescent="0.25">
      <c r="A13214" t="s">
        <v>262</v>
      </c>
      <c r="E13214" s="1604" t="s">
        <v>3838</v>
      </c>
      <c r="F13214" s="1494"/>
      <c r="G13214" s="983" t="s">
        <v>777</v>
      </c>
      <c r="H13214" s="783">
        <v>30</v>
      </c>
      <c r="K13214" t="s">
        <v>7546</v>
      </c>
      <c r="V13214">
        <v>74</v>
      </c>
    </row>
    <row r="13215" spans="1:22" customFormat="1" ht="15" x14ac:dyDescent="0.25">
      <c r="A13215" t="s">
        <v>262</v>
      </c>
      <c r="E13215" s="1704" t="s">
        <v>4062</v>
      </c>
      <c r="F13215" s="1705"/>
      <c r="G13215" s="1705"/>
      <c r="H13215" s="1705"/>
      <c r="K13215" t="s">
        <v>4874</v>
      </c>
      <c r="V13215">
        <v>22</v>
      </c>
    </row>
    <row r="13216" spans="1:22" customFormat="1" ht="15" x14ac:dyDescent="0.25">
      <c r="A13216" t="s">
        <v>262</v>
      </c>
      <c r="E13216" s="1604" t="s">
        <v>4666</v>
      </c>
      <c r="F13216" s="1494"/>
      <c r="G13216" s="983" t="s">
        <v>1118</v>
      </c>
      <c r="H13216" s="783">
        <v>1.5</v>
      </c>
      <c r="K13216" t="s">
        <v>7546</v>
      </c>
      <c r="V13216">
        <v>99</v>
      </c>
    </row>
    <row r="13217" spans="1:22" customFormat="1" ht="15" x14ac:dyDescent="0.25">
      <c r="A13217" t="s">
        <v>262</v>
      </c>
      <c r="E13217" s="1494" t="s">
        <v>4876</v>
      </c>
      <c r="F13217" s="1494"/>
      <c r="G13217" s="983" t="s">
        <v>777</v>
      </c>
      <c r="H13217" s="783">
        <v>65</v>
      </c>
      <c r="K13217" t="s">
        <v>7546</v>
      </c>
      <c r="V13217">
        <v>54</v>
      </c>
    </row>
    <row r="13218" spans="1:22" customFormat="1" ht="15" x14ac:dyDescent="0.25">
      <c r="A13218" t="s">
        <v>262</v>
      </c>
      <c r="E13218" s="1494" t="s">
        <v>4877</v>
      </c>
      <c r="F13218" s="1494"/>
      <c r="G13218" s="983" t="s">
        <v>777</v>
      </c>
      <c r="H13218" s="783">
        <v>185</v>
      </c>
      <c r="K13218" t="s">
        <v>7546</v>
      </c>
      <c r="V13218">
        <v>53</v>
      </c>
    </row>
    <row r="13219" spans="1:22" customFormat="1" ht="15" x14ac:dyDescent="0.25">
      <c r="A13219" t="s">
        <v>262</v>
      </c>
      <c r="E13219" s="1494" t="s">
        <v>4878</v>
      </c>
      <c r="F13219" s="1494"/>
      <c r="G13219" s="983" t="s">
        <v>777</v>
      </c>
      <c r="H13219" s="783">
        <v>185</v>
      </c>
      <c r="K13219" t="s">
        <v>7546</v>
      </c>
      <c r="V13219">
        <v>53</v>
      </c>
    </row>
    <row r="13220" spans="1:22" customFormat="1" ht="15" x14ac:dyDescent="0.25">
      <c r="A13220" t="s">
        <v>262</v>
      </c>
      <c r="E13220" s="1494" t="s">
        <v>4879</v>
      </c>
      <c r="F13220" s="1494"/>
      <c r="G13220" s="983" t="s">
        <v>777</v>
      </c>
      <c r="H13220" s="783">
        <v>415</v>
      </c>
      <c r="K13220" t="s">
        <v>7546</v>
      </c>
      <c r="V13220">
        <v>52</v>
      </c>
    </row>
    <row r="13221" spans="1:22" customFormat="1" ht="15" x14ac:dyDescent="0.25">
      <c r="A13221" t="s">
        <v>262</v>
      </c>
      <c r="E13221" s="1704" t="s">
        <v>3846</v>
      </c>
      <c r="F13221" s="1705"/>
      <c r="G13221" s="1705"/>
      <c r="H13221" s="1705"/>
      <c r="K13221" t="s">
        <v>7546</v>
      </c>
      <c r="V13221">
        <v>5</v>
      </c>
    </row>
    <row r="13222" spans="1:22" customFormat="1" ht="15" x14ac:dyDescent="0.25">
      <c r="A13222" t="s">
        <v>262</v>
      </c>
      <c r="E13222" s="1494" t="s">
        <v>4880</v>
      </c>
      <c r="F13222" s="1494"/>
      <c r="G13222" s="983" t="s">
        <v>777</v>
      </c>
      <c r="H13222" s="783" t="s">
        <v>4881</v>
      </c>
      <c r="K13222" t="s">
        <v>7546</v>
      </c>
      <c r="V13222">
        <v>62</v>
      </c>
    </row>
    <row r="13223" spans="1:22" customFormat="1" ht="15" x14ac:dyDescent="0.25">
      <c r="A13223" t="s">
        <v>262</v>
      </c>
      <c r="E13223" s="1494" t="s">
        <v>4882</v>
      </c>
      <c r="F13223" s="1494"/>
      <c r="G13223" s="983" t="s">
        <v>777</v>
      </c>
      <c r="H13223" s="783" t="s">
        <v>4883</v>
      </c>
      <c r="K13223" t="s">
        <v>7546</v>
      </c>
      <c r="V13223">
        <v>61</v>
      </c>
    </row>
    <row r="13224" spans="1:22" customFormat="1" ht="15" x14ac:dyDescent="0.25">
      <c r="A13224" t="s">
        <v>262</v>
      </c>
      <c r="E13224" s="1494" t="s">
        <v>4885</v>
      </c>
      <c r="F13224" s="1494"/>
      <c r="G13224" s="983" t="s">
        <v>777</v>
      </c>
      <c r="H13224" s="783">
        <v>39.14</v>
      </c>
      <c r="K13224" t="s">
        <v>7546</v>
      </c>
      <c r="V13224">
        <v>51</v>
      </c>
    </row>
    <row r="13225" spans="1:22" customFormat="1" ht="15" x14ac:dyDescent="0.25">
      <c r="A13225" t="s">
        <v>262</v>
      </c>
      <c r="E13225" s="1494" t="s">
        <v>4886</v>
      </c>
      <c r="F13225" s="1494"/>
      <c r="G13225" s="983" t="s">
        <v>777</v>
      </c>
      <c r="H13225" s="783">
        <v>245</v>
      </c>
      <c r="K13225" t="s">
        <v>7546</v>
      </c>
      <c r="V13225">
        <v>77</v>
      </c>
    </row>
    <row r="13226" spans="1:22" customFormat="1" ht="15" x14ac:dyDescent="0.25">
      <c r="A13226" t="s">
        <v>262</v>
      </c>
      <c r="E13226" s="1494" t="s">
        <v>7551</v>
      </c>
      <c r="F13226" s="1494"/>
      <c r="G13226" s="983" t="s">
        <v>777</v>
      </c>
      <c r="H13226" s="783">
        <v>475</v>
      </c>
      <c r="K13226" t="s">
        <v>7546</v>
      </c>
      <c r="V13226">
        <v>76</v>
      </c>
    </row>
    <row r="13227" spans="1:22" customFormat="1" ht="15" x14ac:dyDescent="0.25">
      <c r="A13227" t="s">
        <v>262</v>
      </c>
      <c r="E13227" s="1494" t="s">
        <v>4888</v>
      </c>
      <c r="F13227" s="1494"/>
      <c r="G13227" s="983" t="s">
        <v>777</v>
      </c>
      <c r="H13227" s="783">
        <v>595.20000000000005</v>
      </c>
      <c r="K13227" t="s">
        <v>7546</v>
      </c>
      <c r="V13227">
        <v>66</v>
      </c>
    </row>
    <row r="13228" spans="1:22" customFormat="1" ht="15" x14ac:dyDescent="0.25">
      <c r="A13228" t="s">
        <v>262</v>
      </c>
      <c r="E13228" s="1494" t="s">
        <v>7552</v>
      </c>
      <c r="F13228" s="1494"/>
      <c r="G13228" s="983" t="s">
        <v>777</v>
      </c>
      <c r="H13228" s="783">
        <v>2499.29</v>
      </c>
      <c r="K13228" t="s">
        <v>7546</v>
      </c>
      <c r="V13228">
        <v>18</v>
      </c>
    </row>
    <row r="13229" spans="1:22" customFormat="1" ht="15" x14ac:dyDescent="0.25">
      <c r="A13229" t="s">
        <v>262</v>
      </c>
      <c r="E13229" s="1494" t="s">
        <v>4890</v>
      </c>
      <c r="F13229" s="1494"/>
      <c r="G13229" s="983" t="s">
        <v>777</v>
      </c>
      <c r="H13229" s="783">
        <v>3717.21</v>
      </c>
      <c r="K13229" t="s">
        <v>7546</v>
      </c>
      <c r="V13229">
        <v>15</v>
      </c>
    </row>
    <row r="13230" spans="1:22" customFormat="1" ht="45" x14ac:dyDescent="0.25">
      <c r="A13230" t="s">
        <v>262</v>
      </c>
      <c r="E13230" s="1494" t="s">
        <v>7553</v>
      </c>
      <c r="F13230" s="1494"/>
      <c r="G13230" s="983" t="s">
        <v>777</v>
      </c>
      <c r="H13230" s="985" t="s">
        <v>7554</v>
      </c>
      <c r="K13230" t="s">
        <v>7546</v>
      </c>
      <c r="V13230">
        <v>17</v>
      </c>
    </row>
    <row r="13231" spans="1:22" customFormat="1" ht="15" x14ac:dyDescent="0.25">
      <c r="A13231" t="s">
        <v>262</v>
      </c>
      <c r="E13231" s="1494" t="s">
        <v>4893</v>
      </c>
      <c r="F13231" s="1494"/>
      <c r="G13231" s="983" t="s">
        <v>777</v>
      </c>
      <c r="H13231" s="783">
        <v>4.42</v>
      </c>
      <c r="K13231" t="s">
        <v>7546</v>
      </c>
      <c r="V13231">
        <v>31</v>
      </c>
    </row>
    <row r="13232" spans="1:22" customFormat="1" ht="15" x14ac:dyDescent="0.25">
      <c r="A13232" t="s">
        <v>262</v>
      </c>
      <c r="E13232" s="1494" t="s">
        <v>4894</v>
      </c>
      <c r="F13232" s="1494"/>
      <c r="G13232" s="983" t="s">
        <v>777</v>
      </c>
      <c r="H13232" s="783">
        <v>3.18</v>
      </c>
      <c r="K13232" t="s">
        <v>7546</v>
      </c>
      <c r="V13232">
        <v>34</v>
      </c>
    </row>
    <row r="13233" spans="1:22" customFormat="1" ht="15" x14ac:dyDescent="0.25">
      <c r="A13233" t="s">
        <v>262</v>
      </c>
      <c r="E13233" s="1494" t="s">
        <v>4895</v>
      </c>
      <c r="F13233" s="1494"/>
      <c r="G13233" s="983" t="s">
        <v>777</v>
      </c>
      <c r="H13233" s="783">
        <v>2.78</v>
      </c>
      <c r="K13233" t="s">
        <v>7546</v>
      </c>
      <c r="V13233">
        <v>31</v>
      </c>
    </row>
    <row r="13234" spans="1:22" customFormat="1" ht="15" x14ac:dyDescent="0.25">
      <c r="A13234" t="s">
        <v>262</v>
      </c>
      <c r="E13234" s="984" t="s">
        <v>4896</v>
      </c>
      <c r="F13234" s="984"/>
      <c r="G13234" s="983" t="s">
        <v>777</v>
      </c>
      <c r="H13234" s="783">
        <v>100</v>
      </c>
      <c r="K13234" t="s">
        <v>7546</v>
      </c>
      <c r="V13234">
        <v>37</v>
      </c>
    </row>
    <row r="13235" spans="1:22" customFormat="1" ht="15" x14ac:dyDescent="0.25">
      <c r="A13235" t="s">
        <v>262</v>
      </c>
      <c r="E13235" s="1494" t="s">
        <v>7555</v>
      </c>
      <c r="F13235" s="1494"/>
      <c r="G13235" s="983" t="s">
        <v>777</v>
      </c>
      <c r="H13235" s="783">
        <v>1612.75</v>
      </c>
      <c r="K13235" t="s">
        <v>7546</v>
      </c>
      <c r="V13235">
        <v>38</v>
      </c>
    </row>
    <row r="13236" spans="1:22" customFormat="1" ht="15" x14ac:dyDescent="0.25">
      <c r="A13236" t="s">
        <v>262</v>
      </c>
      <c r="E13236" s="1494" t="s">
        <v>4898</v>
      </c>
      <c r="F13236" s="1494"/>
      <c r="G13236" s="983" t="s">
        <v>777</v>
      </c>
      <c r="H13236" s="783">
        <v>1512.75</v>
      </c>
      <c r="K13236" t="s">
        <v>7546</v>
      </c>
      <c r="V13236">
        <v>38</v>
      </c>
    </row>
    <row r="13237" spans="1:22" customFormat="1" ht="15" x14ac:dyDescent="0.25">
      <c r="A13237" t="s">
        <v>262</v>
      </c>
      <c r="E13237" s="1494" t="s">
        <v>4899</v>
      </c>
      <c r="F13237" s="1494"/>
      <c r="G13237" s="983" t="s">
        <v>777</v>
      </c>
      <c r="H13237" s="783">
        <v>3329.86</v>
      </c>
      <c r="K13237" t="s">
        <v>7546</v>
      </c>
      <c r="V13237">
        <v>44</v>
      </c>
    </row>
    <row r="13238" spans="1:22" customFormat="1" ht="15" x14ac:dyDescent="0.25">
      <c r="A13238" t="s">
        <v>262</v>
      </c>
      <c r="E13238" s="1494" t="s">
        <v>4900</v>
      </c>
      <c r="F13238" s="1494"/>
      <c r="G13238" s="983" t="s">
        <v>777</v>
      </c>
      <c r="H13238" s="783">
        <v>2996.97</v>
      </c>
      <c r="K13238" t="s">
        <v>7546</v>
      </c>
      <c r="V13238">
        <v>55</v>
      </c>
    </row>
    <row r="13239" spans="1:22" customFormat="1" ht="15" x14ac:dyDescent="0.25">
      <c r="A13239" t="s">
        <v>262</v>
      </c>
      <c r="E13239" s="1494" t="s">
        <v>4901</v>
      </c>
      <c r="F13239" s="1494"/>
      <c r="G13239" s="983" t="s">
        <v>777</v>
      </c>
      <c r="H13239" s="783">
        <v>3405.38</v>
      </c>
      <c r="K13239" t="s">
        <v>7546</v>
      </c>
      <c r="V13239">
        <v>56</v>
      </c>
    </row>
    <row r="13240" spans="1:22" customFormat="1" ht="15" x14ac:dyDescent="0.25">
      <c r="A13240" t="s">
        <v>262</v>
      </c>
      <c r="E13240" s="1494" t="s">
        <v>7556</v>
      </c>
      <c r="F13240" s="1494"/>
      <c r="G13240" s="983" t="s">
        <v>777</v>
      </c>
      <c r="H13240" s="783">
        <v>2054.41</v>
      </c>
      <c r="K13240" t="s">
        <v>7546</v>
      </c>
      <c r="V13240">
        <v>68</v>
      </c>
    </row>
    <row r="13241" spans="1:22" customFormat="1" ht="15" x14ac:dyDescent="0.25">
      <c r="A13241" t="s">
        <v>262</v>
      </c>
      <c r="E13241" s="1494" t="s">
        <v>7557</v>
      </c>
      <c r="F13241" s="1494"/>
      <c r="G13241" s="983" t="s">
        <v>777</v>
      </c>
      <c r="H13241" s="783">
        <v>9011.83</v>
      </c>
      <c r="K13241" t="s">
        <v>7546</v>
      </c>
      <c r="V13241">
        <v>120</v>
      </c>
    </row>
    <row r="13242" spans="1:22" customFormat="1" ht="15" x14ac:dyDescent="0.25">
      <c r="A13242" t="s">
        <v>262</v>
      </c>
      <c r="E13242" s="1494" t="s">
        <v>7558</v>
      </c>
      <c r="F13242" s="1494"/>
      <c r="G13242" s="983" t="s">
        <v>777</v>
      </c>
      <c r="H13242" s="783">
        <v>5969.89</v>
      </c>
      <c r="K13242" t="s">
        <v>7546</v>
      </c>
      <c r="V13242">
        <v>138</v>
      </c>
    </row>
    <row r="13243" spans="1:22" customFormat="1" ht="15" x14ac:dyDescent="0.25">
      <c r="A13243" t="s">
        <v>262</v>
      </c>
      <c r="E13243" s="1494" t="s">
        <v>4905</v>
      </c>
      <c r="F13243" s="1494"/>
      <c r="G13243" s="983"/>
      <c r="H13243" s="783" t="s">
        <v>4906</v>
      </c>
      <c r="K13243" t="s">
        <v>7546</v>
      </c>
      <c r="V13243">
        <v>47</v>
      </c>
    </row>
    <row r="13244" spans="1:22" customFormat="1" ht="15" x14ac:dyDescent="0.25">
      <c r="A13244" t="s">
        <v>262</v>
      </c>
      <c r="E13244" s="1494" t="s">
        <v>4907</v>
      </c>
      <c r="F13244" s="1494"/>
      <c r="G13244" s="983"/>
      <c r="H13244" s="783" t="s">
        <v>4906</v>
      </c>
      <c r="K13244" t="s">
        <v>7546</v>
      </c>
      <c r="V13244">
        <v>54</v>
      </c>
    </row>
    <row r="13245" spans="1:22" customFormat="1" ht="15" x14ac:dyDescent="0.25">
      <c r="A13245" t="s">
        <v>262</v>
      </c>
      <c r="E13245" s="1494" t="s">
        <v>4908</v>
      </c>
      <c r="F13245" s="1494"/>
      <c r="G13245" s="983" t="s">
        <v>777</v>
      </c>
      <c r="H13245" s="783">
        <v>2.04</v>
      </c>
      <c r="K13245" t="s">
        <v>7546</v>
      </c>
      <c r="V13245">
        <v>66</v>
      </c>
    </row>
    <row r="13246" spans="1:22" customFormat="1" ht="15" x14ac:dyDescent="0.25">
      <c r="A13246" t="s">
        <v>262</v>
      </c>
      <c r="E13246" s="1494" t="s">
        <v>7559</v>
      </c>
      <c r="F13246" s="1494"/>
      <c r="G13246" s="983" t="s">
        <v>777</v>
      </c>
      <c r="H13246" s="783">
        <v>10</v>
      </c>
      <c r="K13246" t="s">
        <v>7546</v>
      </c>
      <c r="V13246">
        <v>28</v>
      </c>
    </row>
    <row r="13247" spans="1:22" customFormat="1" ht="15" x14ac:dyDescent="0.25">
      <c r="A13247" t="s">
        <v>262</v>
      </c>
      <c r="E13247" s="1494" t="s">
        <v>7560</v>
      </c>
      <c r="F13247" s="1494"/>
      <c r="G13247" s="983" t="s">
        <v>777</v>
      </c>
      <c r="H13247" s="783">
        <v>7</v>
      </c>
      <c r="K13247" t="s">
        <v>7546</v>
      </c>
      <c r="V13247">
        <v>33</v>
      </c>
    </row>
    <row r="13248" spans="1:22" customFormat="1" ht="22.5" x14ac:dyDescent="0.25">
      <c r="A13248" t="s">
        <v>262</v>
      </c>
      <c r="E13248" s="984" t="s">
        <v>7561</v>
      </c>
      <c r="F13248" s="984"/>
      <c r="G13248" s="983"/>
      <c r="H13248" s="985"/>
      <c r="K13248" t="s">
        <v>7546</v>
      </c>
      <c r="V13248">
        <v>78</v>
      </c>
    </row>
    <row r="13249" spans="1:22" customFormat="1" ht="22.5" x14ac:dyDescent="0.25">
      <c r="A13249" t="s">
        <v>262</v>
      </c>
      <c r="E13249" s="986" t="s">
        <v>4912</v>
      </c>
      <c r="F13249" s="984"/>
      <c r="G13249" s="983"/>
      <c r="H13249" s="985"/>
      <c r="K13249" t="s">
        <v>7546</v>
      </c>
      <c r="V13249">
        <v>64</v>
      </c>
    </row>
    <row r="13250" spans="1:22" customFormat="1" ht="15" x14ac:dyDescent="0.25">
      <c r="A13250" t="s">
        <v>262</v>
      </c>
      <c r="E13250" s="1494" t="s">
        <v>4913</v>
      </c>
      <c r="F13250" s="1494"/>
      <c r="G13250" s="983" t="s">
        <v>777</v>
      </c>
      <c r="H13250" s="783">
        <v>90.6</v>
      </c>
      <c r="K13250" t="s">
        <v>7546</v>
      </c>
      <c r="V13250">
        <v>31</v>
      </c>
    </row>
    <row r="13251" spans="1:22" customFormat="1" ht="15" x14ac:dyDescent="0.25">
      <c r="A13251" t="s">
        <v>262</v>
      </c>
      <c r="E13251" s="1494" t="s">
        <v>4914</v>
      </c>
      <c r="F13251" s="1494"/>
      <c r="G13251" s="983" t="s">
        <v>777</v>
      </c>
      <c r="H13251" s="783">
        <v>108.72</v>
      </c>
      <c r="K13251" t="s">
        <v>7546</v>
      </c>
      <c r="V13251">
        <v>31</v>
      </c>
    </row>
    <row r="13252" spans="1:22" customFormat="1" ht="15" x14ac:dyDescent="0.25">
      <c r="A13252" t="s">
        <v>262</v>
      </c>
      <c r="E13252" s="1494" t="s">
        <v>4915</v>
      </c>
      <c r="F13252" s="1494"/>
      <c r="G13252" s="983" t="s">
        <v>777</v>
      </c>
      <c r="H13252" s="783">
        <v>120.8</v>
      </c>
      <c r="K13252" t="s">
        <v>7546</v>
      </c>
      <c r="V13252">
        <v>31</v>
      </c>
    </row>
    <row r="13253" spans="1:22" customFormat="1" ht="15" x14ac:dyDescent="0.25">
      <c r="A13253" t="s">
        <v>262</v>
      </c>
      <c r="E13253" s="1494" t="s">
        <v>4916</v>
      </c>
      <c r="F13253" s="1494"/>
      <c r="G13253" s="983" t="s">
        <v>777</v>
      </c>
      <c r="H13253" s="783">
        <v>129.43</v>
      </c>
      <c r="K13253" t="s">
        <v>7546</v>
      </c>
      <c r="V13253">
        <v>31</v>
      </c>
    </row>
    <row r="13254" spans="1:22" customFormat="1" ht="15" x14ac:dyDescent="0.25">
      <c r="A13254" t="s">
        <v>262</v>
      </c>
      <c r="E13254" s="1494" t="s">
        <v>4917</v>
      </c>
      <c r="F13254" s="1494"/>
      <c r="G13254" s="983" t="s">
        <v>777</v>
      </c>
      <c r="H13254" s="783">
        <v>135.9</v>
      </c>
      <c r="K13254" t="s">
        <v>7546</v>
      </c>
      <c r="V13254">
        <v>31</v>
      </c>
    </row>
    <row r="13255" spans="1:22" customFormat="1" ht="15" x14ac:dyDescent="0.25">
      <c r="A13255" t="s">
        <v>262</v>
      </c>
      <c r="E13255" s="1494" t="s">
        <v>4918</v>
      </c>
      <c r="F13255" s="1494"/>
      <c r="G13255" s="983" t="s">
        <v>777</v>
      </c>
      <c r="H13255" s="783">
        <v>140.93</v>
      </c>
      <c r="K13255" t="s">
        <v>7546</v>
      </c>
      <c r="V13255">
        <v>31</v>
      </c>
    </row>
    <row r="13256" spans="1:22" customFormat="1" ht="15" x14ac:dyDescent="0.25">
      <c r="A13256" t="s">
        <v>262</v>
      </c>
      <c r="E13256" s="1494" t="s">
        <v>4919</v>
      </c>
      <c r="F13256" s="1494"/>
      <c r="G13256" s="983" t="s">
        <v>777</v>
      </c>
      <c r="H13256" s="783">
        <v>144.96</v>
      </c>
      <c r="K13256" t="s">
        <v>7546</v>
      </c>
      <c r="V13256">
        <v>31</v>
      </c>
    </row>
    <row r="13257" spans="1:22" customFormat="1" ht="15" x14ac:dyDescent="0.25">
      <c r="A13257" t="s">
        <v>262</v>
      </c>
      <c r="E13257" s="1494" t="s">
        <v>4920</v>
      </c>
      <c r="F13257" s="1494"/>
      <c r="G13257" s="983" t="s">
        <v>777</v>
      </c>
      <c r="H13257" s="783">
        <v>148.25</v>
      </c>
      <c r="K13257" t="s">
        <v>7546</v>
      </c>
      <c r="V13257">
        <v>31</v>
      </c>
    </row>
    <row r="13258" spans="1:22" customFormat="1" ht="15" x14ac:dyDescent="0.25">
      <c r="A13258" t="s">
        <v>262</v>
      </c>
      <c r="E13258" s="1494" t="s">
        <v>4921</v>
      </c>
      <c r="F13258" s="1494"/>
      <c r="G13258" s="983" t="s">
        <v>777</v>
      </c>
      <c r="H13258" s="783">
        <v>151</v>
      </c>
      <c r="K13258" t="s">
        <v>7546</v>
      </c>
      <c r="V13258">
        <v>31</v>
      </c>
    </row>
    <row r="13259" spans="1:22" customFormat="1" ht="15" x14ac:dyDescent="0.25">
      <c r="A13259" t="s">
        <v>262</v>
      </c>
      <c r="E13259" s="1494" t="s">
        <v>4922</v>
      </c>
      <c r="F13259" s="1494"/>
      <c r="G13259" s="983" t="s">
        <v>777</v>
      </c>
      <c r="H13259" s="783">
        <v>153.32</v>
      </c>
      <c r="K13259" t="s">
        <v>7546</v>
      </c>
      <c r="V13259">
        <v>31</v>
      </c>
    </row>
    <row r="13260" spans="1:22" customFormat="1" ht="15" x14ac:dyDescent="0.25">
      <c r="A13260" t="s">
        <v>262</v>
      </c>
      <c r="E13260" s="1494" t="s">
        <v>4923</v>
      </c>
      <c r="F13260" s="1494"/>
      <c r="G13260" s="983" t="s">
        <v>777</v>
      </c>
      <c r="H13260" s="783">
        <v>155.31</v>
      </c>
      <c r="K13260" t="s">
        <v>7546</v>
      </c>
      <c r="V13260">
        <v>31</v>
      </c>
    </row>
    <row r="13261" spans="1:22" customFormat="1" ht="15" x14ac:dyDescent="0.25">
      <c r="A13261" t="s">
        <v>262</v>
      </c>
      <c r="E13261" s="1708" t="s">
        <v>4924</v>
      </c>
      <c r="F13261" s="1708"/>
      <c r="G13261" s="983"/>
      <c r="H13261" s="985"/>
      <c r="K13261" t="s">
        <v>7546</v>
      </c>
      <c r="V13261">
        <v>69</v>
      </c>
    </row>
    <row r="13262" spans="1:22" customFormat="1" ht="15" x14ac:dyDescent="0.25">
      <c r="A13262" t="s">
        <v>262</v>
      </c>
      <c r="E13262" s="1494" t="s">
        <v>7562</v>
      </c>
      <c r="F13262" s="1494"/>
      <c r="G13262" s="983" t="s">
        <v>777</v>
      </c>
      <c r="H13262" s="783">
        <v>90.6</v>
      </c>
      <c r="K13262" t="s">
        <v>7546</v>
      </c>
      <c r="V13262">
        <v>37</v>
      </c>
    </row>
    <row r="13263" spans="1:22" customFormat="1" ht="15" x14ac:dyDescent="0.25">
      <c r="A13263" t="s">
        <v>262</v>
      </c>
      <c r="E13263" s="1494" t="s">
        <v>7563</v>
      </c>
      <c r="F13263" s="1494"/>
      <c r="G13263" s="983" t="s">
        <v>777</v>
      </c>
      <c r="H13263" s="783">
        <v>108.72</v>
      </c>
      <c r="K13263" t="s">
        <v>7546</v>
      </c>
      <c r="V13263">
        <v>37</v>
      </c>
    </row>
    <row r="13264" spans="1:22" customFormat="1" ht="15" x14ac:dyDescent="0.25">
      <c r="A13264" t="s">
        <v>262</v>
      </c>
      <c r="E13264" s="1494" t="s">
        <v>7564</v>
      </c>
      <c r="F13264" s="1494"/>
      <c r="G13264" s="983" t="s">
        <v>777</v>
      </c>
      <c r="H13264" s="783">
        <v>120.8</v>
      </c>
      <c r="K13264" t="s">
        <v>7546</v>
      </c>
      <c r="V13264">
        <v>37</v>
      </c>
    </row>
    <row r="13265" spans="1:22" customFormat="1" ht="15" x14ac:dyDescent="0.25">
      <c r="A13265" t="s">
        <v>262</v>
      </c>
      <c r="E13265" s="1494" t="s">
        <v>7565</v>
      </c>
      <c r="F13265" s="1494"/>
      <c r="G13265" s="983" t="s">
        <v>777</v>
      </c>
      <c r="H13265" s="783">
        <v>129.43</v>
      </c>
      <c r="K13265" t="s">
        <v>7546</v>
      </c>
      <c r="V13265">
        <v>37</v>
      </c>
    </row>
    <row r="13266" spans="1:22" customFormat="1" ht="15" x14ac:dyDescent="0.25">
      <c r="A13266" t="s">
        <v>262</v>
      </c>
      <c r="E13266" s="1494" t="s">
        <v>7566</v>
      </c>
      <c r="F13266" s="1494"/>
      <c r="G13266" s="983" t="s">
        <v>777</v>
      </c>
      <c r="H13266" s="783">
        <v>135.9</v>
      </c>
      <c r="K13266" t="s">
        <v>7546</v>
      </c>
      <c r="V13266">
        <v>37</v>
      </c>
    </row>
    <row r="13267" spans="1:22" customFormat="1" ht="15" x14ac:dyDescent="0.25">
      <c r="A13267" t="s">
        <v>262</v>
      </c>
      <c r="E13267" s="1494" t="s">
        <v>7567</v>
      </c>
      <c r="F13267" s="1494"/>
      <c r="G13267" s="983" t="s">
        <v>777</v>
      </c>
      <c r="H13267" s="783">
        <v>140.93</v>
      </c>
      <c r="K13267" t="s">
        <v>7546</v>
      </c>
      <c r="V13267">
        <v>37</v>
      </c>
    </row>
    <row r="13268" spans="1:22" customFormat="1" ht="15" x14ac:dyDescent="0.25">
      <c r="A13268" t="s">
        <v>262</v>
      </c>
      <c r="E13268" s="1494" t="s">
        <v>7568</v>
      </c>
      <c r="F13268" s="1494"/>
      <c r="G13268" s="983" t="s">
        <v>777</v>
      </c>
      <c r="H13268" s="783">
        <v>144.96</v>
      </c>
      <c r="K13268" t="s">
        <v>7546</v>
      </c>
      <c r="V13268">
        <v>37</v>
      </c>
    </row>
    <row r="13269" spans="1:22" customFormat="1" ht="15" x14ac:dyDescent="0.25">
      <c r="A13269" t="s">
        <v>262</v>
      </c>
      <c r="E13269" s="1494" t="s">
        <v>7569</v>
      </c>
      <c r="F13269" s="1494"/>
      <c r="G13269" s="983" t="s">
        <v>777</v>
      </c>
      <c r="H13269" s="783">
        <v>148.25</v>
      </c>
      <c r="K13269" t="s">
        <v>7546</v>
      </c>
      <c r="V13269">
        <v>37</v>
      </c>
    </row>
    <row r="13270" spans="1:22" customFormat="1" ht="15" x14ac:dyDescent="0.25">
      <c r="A13270" t="s">
        <v>262</v>
      </c>
      <c r="E13270" s="1494" t="s">
        <v>7570</v>
      </c>
      <c r="F13270" s="1494"/>
      <c r="G13270" s="983" t="s">
        <v>777</v>
      </c>
      <c r="H13270" s="783">
        <v>151</v>
      </c>
      <c r="K13270" t="s">
        <v>7546</v>
      </c>
      <c r="V13270">
        <v>37</v>
      </c>
    </row>
    <row r="13271" spans="1:22" customFormat="1" ht="15" x14ac:dyDescent="0.25">
      <c r="A13271" t="s">
        <v>262</v>
      </c>
      <c r="E13271" s="1494" t="s">
        <v>7571</v>
      </c>
      <c r="F13271" s="1494"/>
      <c r="G13271" s="983" t="s">
        <v>777</v>
      </c>
      <c r="H13271" s="783">
        <v>153.32</v>
      </c>
      <c r="K13271" t="s">
        <v>7546</v>
      </c>
      <c r="V13271">
        <v>37</v>
      </c>
    </row>
    <row r="13272" spans="1:22" customFormat="1" ht="15" x14ac:dyDescent="0.25">
      <c r="A13272" t="s">
        <v>262</v>
      </c>
      <c r="E13272" s="1494" t="s">
        <v>7572</v>
      </c>
      <c r="F13272" s="1494"/>
      <c r="G13272" s="983" t="s">
        <v>777</v>
      </c>
      <c r="H13272" s="783">
        <v>155.31</v>
      </c>
      <c r="K13272" t="s">
        <v>7546</v>
      </c>
      <c r="V13272">
        <v>37</v>
      </c>
    </row>
    <row r="13273" spans="1:22" customFormat="1" ht="18.75" x14ac:dyDescent="0.3">
      <c r="A13273" t="s">
        <v>262</v>
      </c>
      <c r="E13273" s="1599" t="s">
        <v>3851</v>
      </c>
      <c r="F13273" s="1600"/>
      <c r="G13273" s="1600"/>
      <c r="H13273" s="1600"/>
      <c r="K13273" t="s">
        <v>4936</v>
      </c>
      <c r="V13273">
        <v>38</v>
      </c>
    </row>
    <row r="13274" spans="1:22" customFormat="1" ht="15" x14ac:dyDescent="0.25">
      <c r="A13274" t="s">
        <v>262</v>
      </c>
      <c r="E13274" s="1621" t="s">
        <v>950</v>
      </c>
      <c r="F13274" s="1605"/>
      <c r="G13274" s="1605"/>
      <c r="H13274" s="1605"/>
      <c r="K13274" t="s">
        <v>7573</v>
      </c>
      <c r="V13274">
        <v>11</v>
      </c>
    </row>
    <row r="13275" spans="1:22" customFormat="1" ht="15" x14ac:dyDescent="0.25">
      <c r="A13275" t="s">
        <v>262</v>
      </c>
      <c r="E13275" s="1605" t="s">
        <v>951</v>
      </c>
      <c r="F13275" s="1605"/>
      <c r="G13275" s="1605"/>
      <c r="H13275" s="1605"/>
      <c r="K13275" t="s">
        <v>7546</v>
      </c>
      <c r="V13275">
        <v>280</v>
      </c>
    </row>
    <row r="13276" spans="1:22" customFormat="1" ht="15" x14ac:dyDescent="0.25">
      <c r="A13276" t="s">
        <v>262</v>
      </c>
      <c r="E13276" s="1605" t="s">
        <v>952</v>
      </c>
      <c r="F13276" s="1605"/>
      <c r="G13276" s="1605"/>
      <c r="H13276" s="1605"/>
      <c r="K13276" t="s">
        <v>7546</v>
      </c>
      <c r="V13276">
        <v>411</v>
      </c>
    </row>
    <row r="13277" spans="1:22" customFormat="1" ht="15" x14ac:dyDescent="0.25">
      <c r="A13277" t="s">
        <v>262</v>
      </c>
      <c r="E13277" s="1605" t="s">
        <v>1103</v>
      </c>
      <c r="F13277" s="1605"/>
      <c r="G13277" s="1605"/>
      <c r="H13277" s="1605"/>
      <c r="K13277" t="s">
        <v>7546</v>
      </c>
      <c r="V13277">
        <v>211</v>
      </c>
    </row>
    <row r="13278" spans="1:22" customFormat="1" ht="15" x14ac:dyDescent="0.25">
      <c r="A13278" t="s">
        <v>262</v>
      </c>
      <c r="E13278" s="1605" t="s">
        <v>954</v>
      </c>
      <c r="F13278" s="1605"/>
      <c r="G13278" s="1605"/>
      <c r="H13278" s="1605"/>
      <c r="K13278" t="s">
        <v>7546</v>
      </c>
      <c r="V13278">
        <v>246</v>
      </c>
    </row>
    <row r="13279" spans="1:22" customFormat="1" ht="15" x14ac:dyDescent="0.25">
      <c r="A13279" t="s">
        <v>262</v>
      </c>
      <c r="E13279" s="1706" t="s">
        <v>4598</v>
      </c>
      <c r="F13279" s="1706"/>
      <c r="G13279" s="1707"/>
      <c r="H13279" s="1707"/>
      <c r="K13279" t="s">
        <v>7546</v>
      </c>
      <c r="V13279">
        <v>141</v>
      </c>
    </row>
    <row r="13280" spans="1:22" customFormat="1" ht="15" x14ac:dyDescent="0.25">
      <c r="A13280" t="s">
        <v>262</v>
      </c>
      <c r="E13280" s="1601" t="s">
        <v>849</v>
      </c>
      <c r="F13280" s="1601"/>
      <c r="G13280" s="749" t="s">
        <v>777</v>
      </c>
      <c r="H13280" s="783">
        <v>121.23</v>
      </c>
      <c r="K13280" t="s">
        <v>7546</v>
      </c>
      <c r="V13280">
        <v>106</v>
      </c>
    </row>
    <row r="13281" spans="1:22" customFormat="1" ht="15" x14ac:dyDescent="0.25">
      <c r="A13281" t="s">
        <v>262</v>
      </c>
      <c r="E13281" s="1601" t="s">
        <v>850</v>
      </c>
      <c r="F13281" s="1601"/>
      <c r="G13281" s="749" t="s">
        <v>777</v>
      </c>
      <c r="H13281" s="783">
        <v>48.5</v>
      </c>
      <c r="K13281" t="s">
        <v>7546</v>
      </c>
      <c r="V13281">
        <v>34</v>
      </c>
    </row>
    <row r="13282" spans="1:22" customFormat="1" ht="15" x14ac:dyDescent="0.25">
      <c r="A13282" t="s">
        <v>262</v>
      </c>
      <c r="E13282" s="1601" t="s">
        <v>851</v>
      </c>
      <c r="F13282" s="1601"/>
      <c r="G13282" s="749" t="s">
        <v>777</v>
      </c>
      <c r="H13282" s="783">
        <v>1.2</v>
      </c>
      <c r="K13282" t="s">
        <v>7546</v>
      </c>
      <c r="V13282">
        <v>51</v>
      </c>
    </row>
    <row r="13283" spans="1:22" customFormat="1" ht="15" x14ac:dyDescent="0.25">
      <c r="A13283" t="s">
        <v>262</v>
      </c>
      <c r="E13283" s="1601" t="s">
        <v>853</v>
      </c>
      <c r="F13283" s="1601"/>
      <c r="G13283" s="749" t="s">
        <v>777</v>
      </c>
      <c r="H13283" s="783">
        <v>0.71</v>
      </c>
      <c r="K13283" t="s">
        <v>7546</v>
      </c>
      <c r="V13283">
        <v>75</v>
      </c>
    </row>
    <row r="13284" spans="1:22" customFormat="1" ht="15" x14ac:dyDescent="0.25">
      <c r="A13284" t="s">
        <v>262</v>
      </c>
      <c r="E13284" s="1713" t="s">
        <v>854</v>
      </c>
      <c r="F13284" s="1713"/>
      <c r="G13284" s="749" t="s">
        <v>777</v>
      </c>
      <c r="H13284" s="783">
        <v>-0.71</v>
      </c>
      <c r="K13284" t="s">
        <v>7546</v>
      </c>
      <c r="V13284">
        <v>72</v>
      </c>
    </row>
    <row r="13285" spans="1:22" customFormat="1" ht="15" x14ac:dyDescent="0.25">
      <c r="A13285" t="s">
        <v>262</v>
      </c>
      <c r="E13285" s="1601" t="s">
        <v>855</v>
      </c>
      <c r="F13285" s="1601"/>
      <c r="G13285" s="749"/>
      <c r="H13285" s="783"/>
      <c r="K13285" t="s">
        <v>7546</v>
      </c>
      <c r="V13285">
        <v>34</v>
      </c>
    </row>
    <row r="13286" spans="1:22" customFormat="1" ht="15" x14ac:dyDescent="0.25">
      <c r="A13286" t="s">
        <v>262</v>
      </c>
      <c r="E13286" s="1601" t="s">
        <v>7574</v>
      </c>
      <c r="F13286" s="1601"/>
      <c r="G13286" s="749" t="s">
        <v>777</v>
      </c>
      <c r="H13286" s="783">
        <v>0.61</v>
      </c>
      <c r="K13286" t="s">
        <v>7546</v>
      </c>
      <c r="V13286">
        <v>80</v>
      </c>
    </row>
    <row r="13287" spans="1:22" customFormat="1" ht="15" x14ac:dyDescent="0.25">
      <c r="A13287" t="s">
        <v>262</v>
      </c>
      <c r="E13287" s="1601" t="s">
        <v>7575</v>
      </c>
      <c r="F13287" s="1601"/>
      <c r="G13287" s="749" t="s">
        <v>777</v>
      </c>
      <c r="H13287" s="783">
        <v>1.2</v>
      </c>
      <c r="K13287" t="s">
        <v>7546</v>
      </c>
      <c r="V13287">
        <v>83</v>
      </c>
    </row>
    <row r="13288" spans="1:22" customFormat="1" ht="15" x14ac:dyDescent="0.25">
      <c r="A13288" t="s">
        <v>262</v>
      </c>
      <c r="E13288" s="1601" t="s">
        <v>1108</v>
      </c>
      <c r="F13288" s="1601"/>
      <c r="G13288" s="749"/>
      <c r="H13288" s="783"/>
      <c r="K13288" t="s">
        <v>7546</v>
      </c>
      <c r="V13288">
        <v>91</v>
      </c>
    </row>
    <row r="13289" spans="1:22" customFormat="1" ht="15" x14ac:dyDescent="0.25">
      <c r="A13289" t="s">
        <v>262</v>
      </c>
      <c r="E13289" s="1601" t="s">
        <v>1109</v>
      </c>
      <c r="F13289" s="1601"/>
      <c r="G13289" s="749"/>
      <c r="H13289" s="783"/>
      <c r="K13289" t="s">
        <v>7546</v>
      </c>
      <c r="V13289">
        <v>96</v>
      </c>
    </row>
    <row r="13290" spans="1:22" customFormat="1" ht="15" x14ac:dyDescent="0.25">
      <c r="A13290" t="s">
        <v>262</v>
      </c>
      <c r="E13290" s="1601" t="s">
        <v>856</v>
      </c>
      <c r="F13290" s="1601"/>
      <c r="G13290" s="749"/>
      <c r="H13290" s="783"/>
      <c r="K13290" t="s">
        <v>7546</v>
      </c>
      <c r="V13290">
        <v>77</v>
      </c>
    </row>
    <row r="13291" spans="1:22" customFormat="1" ht="15" x14ac:dyDescent="0.25">
      <c r="A13291" t="s">
        <v>262</v>
      </c>
      <c r="E13291" s="1601" t="s">
        <v>5373</v>
      </c>
      <c r="F13291" s="1601"/>
      <c r="G13291" s="749" t="s">
        <v>777</v>
      </c>
      <c r="H13291" s="783" t="s">
        <v>857</v>
      </c>
      <c r="K13291" t="s">
        <v>7546</v>
      </c>
      <c r="V13291">
        <v>40</v>
      </c>
    </row>
    <row r="13292" spans="1:22" customFormat="1" ht="15" x14ac:dyDescent="0.25">
      <c r="A13292" t="s">
        <v>262</v>
      </c>
      <c r="E13292" s="1601" t="s">
        <v>5374</v>
      </c>
      <c r="F13292" s="1601"/>
      <c r="G13292" s="749" t="s">
        <v>777</v>
      </c>
      <c r="H13292" s="783">
        <v>4.8499999999999996</v>
      </c>
      <c r="K13292" t="s">
        <v>7546</v>
      </c>
      <c r="V13292">
        <v>91</v>
      </c>
    </row>
    <row r="13293" spans="1:22" customFormat="1" ht="15" x14ac:dyDescent="0.25">
      <c r="A13293" t="s">
        <v>262</v>
      </c>
      <c r="E13293" s="1601" t="s">
        <v>858</v>
      </c>
      <c r="F13293" s="1601"/>
      <c r="G13293" s="749" t="s">
        <v>777</v>
      </c>
      <c r="H13293" s="783">
        <v>2.42</v>
      </c>
      <c r="J13293" t="s">
        <v>7576</v>
      </c>
      <c r="K13293" t="s">
        <v>7546</v>
      </c>
      <c r="V13293">
        <v>199</v>
      </c>
    </row>
    <row r="13294" spans="1:22" customFormat="1" ht="23.25" x14ac:dyDescent="0.25">
      <c r="A13294" t="s">
        <v>176</v>
      </c>
      <c r="C13294" t="s">
        <v>3755</v>
      </c>
      <c r="E13294" s="1550" t="s">
        <v>176</v>
      </c>
      <c r="F13294" s="1550"/>
      <c r="G13294" s="1550"/>
      <c r="H13294" s="1550"/>
      <c r="I13294" t="s">
        <v>94</v>
      </c>
      <c r="J13294" t="s">
        <v>5259</v>
      </c>
      <c r="K13294" t="s">
        <v>176</v>
      </c>
      <c r="M13294">
        <v>5</v>
      </c>
      <c r="V13294">
        <v>19</v>
      </c>
    </row>
    <row r="13295" spans="1:22" customFormat="1" x14ac:dyDescent="0.25">
      <c r="A13295" t="s">
        <v>176</v>
      </c>
      <c r="C13295" t="s">
        <v>3757</v>
      </c>
      <c r="E13295" s="1551" t="s">
        <v>944</v>
      </c>
      <c r="F13295" s="1551"/>
      <c r="G13295" s="1551"/>
      <c r="H13295" s="1551"/>
      <c r="V13295">
        <v>27</v>
      </c>
    </row>
    <row r="13296" spans="1:22" customFormat="1" ht="15.75" x14ac:dyDescent="0.25">
      <c r="A13296" t="s">
        <v>176</v>
      </c>
      <c r="C13296" t="s">
        <v>3758</v>
      </c>
      <c r="E13296" s="1543" t="s">
        <v>6847</v>
      </c>
      <c r="F13296" s="1543"/>
      <c r="G13296" s="1543"/>
      <c r="H13296" s="1543"/>
      <c r="S13296">
        <v>45778</v>
      </c>
      <c r="V13296">
        <v>45</v>
      </c>
    </row>
    <row r="13297" spans="1:22" customFormat="1" ht="15" x14ac:dyDescent="0.25">
      <c r="A13297" t="s">
        <v>176</v>
      </c>
      <c r="C13297" t="s">
        <v>3759</v>
      </c>
      <c r="E13297" s="1544" t="s">
        <v>945</v>
      </c>
      <c r="F13297" s="1544"/>
      <c r="G13297" s="1544"/>
      <c r="H13297" s="1544"/>
      <c r="V13297">
        <v>52</v>
      </c>
    </row>
    <row r="13298" spans="1:22" customFormat="1" ht="15" x14ac:dyDescent="0.25">
      <c r="A13298" t="s">
        <v>176</v>
      </c>
      <c r="E13298" s="1544" t="s">
        <v>946</v>
      </c>
      <c r="F13298" s="1544"/>
      <c r="G13298" s="1544"/>
      <c r="H13298" s="1544"/>
      <c r="V13298">
        <v>53</v>
      </c>
    </row>
    <row r="13299" spans="1:22" customFormat="1" ht="15" x14ac:dyDescent="0.25">
      <c r="A13299" t="s">
        <v>176</v>
      </c>
      <c r="E13299" s="1513" t="s">
        <v>7577</v>
      </c>
      <c r="F13299" s="1513"/>
      <c r="G13299" s="1513"/>
      <c r="H13299" s="1513"/>
      <c r="K13299" t="s">
        <v>7577</v>
      </c>
      <c r="V13299">
        <v>12</v>
      </c>
    </row>
    <row r="13300" spans="1:22" customFormat="1" ht="15" x14ac:dyDescent="0.25">
      <c r="A13300" t="s">
        <v>176</v>
      </c>
      <c r="E13300" s="1492" t="s">
        <v>170</v>
      </c>
      <c r="F13300" s="1516"/>
      <c r="G13300" s="1516"/>
      <c r="H13300" s="1516"/>
      <c r="K13300" t="s">
        <v>947</v>
      </c>
      <c r="V13300">
        <v>34</v>
      </c>
    </row>
    <row r="13301" spans="1:22" customFormat="1" ht="15" x14ac:dyDescent="0.25">
      <c r="A13301" t="s">
        <v>176</v>
      </c>
      <c r="E13301" s="1516" t="s">
        <v>5261</v>
      </c>
      <c r="F13301" s="1516"/>
      <c r="G13301" s="1516"/>
      <c r="H13301" s="1516"/>
      <c r="K13301" t="s">
        <v>947</v>
      </c>
      <c r="V13301">
        <v>585</v>
      </c>
    </row>
    <row r="13302" spans="1:22" customFormat="1" ht="15" x14ac:dyDescent="0.25">
      <c r="A13302" t="s">
        <v>176</v>
      </c>
      <c r="E13302" s="1515" t="s">
        <v>950</v>
      </c>
      <c r="F13302" s="1516"/>
      <c r="G13302" s="1516"/>
      <c r="H13302" s="1516"/>
      <c r="K13302" t="s">
        <v>949</v>
      </c>
      <c r="V13302">
        <v>11</v>
      </c>
    </row>
    <row r="13303" spans="1:22" customFormat="1" ht="15" x14ac:dyDescent="0.25">
      <c r="A13303" t="s">
        <v>176</v>
      </c>
      <c r="E13303" s="1516" t="s">
        <v>951</v>
      </c>
      <c r="F13303" s="1516"/>
      <c r="G13303" s="1516"/>
      <c r="H13303" s="1516"/>
      <c r="K13303" t="s">
        <v>947</v>
      </c>
      <c r="V13303">
        <v>280</v>
      </c>
    </row>
    <row r="13304" spans="1:22" customFormat="1" ht="15" x14ac:dyDescent="0.25">
      <c r="A13304" t="s">
        <v>176</v>
      </c>
      <c r="E13304" s="1516" t="s">
        <v>952</v>
      </c>
      <c r="F13304" s="1516"/>
      <c r="G13304" s="1516"/>
      <c r="H13304" s="1516"/>
      <c r="K13304" t="s">
        <v>947</v>
      </c>
      <c r="V13304">
        <v>411</v>
      </c>
    </row>
    <row r="13305" spans="1:22" customFormat="1" ht="15" x14ac:dyDescent="0.25">
      <c r="A13305" t="s">
        <v>176</v>
      </c>
      <c r="E13305" s="1516" t="s">
        <v>3761</v>
      </c>
      <c r="F13305" s="1516"/>
      <c r="G13305" s="1516"/>
      <c r="H13305" s="1516"/>
      <c r="K13305" t="s">
        <v>947</v>
      </c>
      <c r="V13305">
        <v>387</v>
      </c>
    </row>
    <row r="13306" spans="1:22" customFormat="1" ht="15" x14ac:dyDescent="0.25">
      <c r="A13306" t="s">
        <v>176</v>
      </c>
      <c r="E13306" s="1516" t="s">
        <v>3762</v>
      </c>
      <c r="F13306" s="1516"/>
      <c r="G13306" s="1516"/>
      <c r="H13306" s="1516"/>
      <c r="K13306" t="s">
        <v>947</v>
      </c>
      <c r="V13306">
        <v>247</v>
      </c>
    </row>
    <row r="13307" spans="1:22" customFormat="1" ht="15" x14ac:dyDescent="0.25">
      <c r="A13307" t="s">
        <v>176</v>
      </c>
      <c r="E13307" s="1596" t="s">
        <v>956</v>
      </c>
      <c r="F13307" s="1572"/>
      <c r="G13307" s="1572"/>
      <c r="H13307" s="1572"/>
      <c r="K13307" t="s">
        <v>955</v>
      </c>
      <c r="V13307">
        <v>46</v>
      </c>
    </row>
    <row r="13308" spans="1:22" customFormat="1" ht="15" x14ac:dyDescent="0.25">
      <c r="A13308" t="s">
        <v>176</v>
      </c>
      <c r="E13308" s="1561" t="s">
        <v>3773</v>
      </c>
      <c r="F13308" s="1561"/>
      <c r="G13308" s="393" t="s">
        <v>777</v>
      </c>
      <c r="H13308" s="576">
        <v>55.28</v>
      </c>
      <c r="K13308" t="s">
        <v>947</v>
      </c>
      <c r="L13308" t="s">
        <v>690</v>
      </c>
      <c r="P13308" t="s">
        <v>957</v>
      </c>
      <c r="V13308">
        <v>14</v>
      </c>
    </row>
    <row r="13309" spans="1:22" customFormat="1" ht="15" x14ac:dyDescent="0.25">
      <c r="A13309" t="s">
        <v>176</v>
      </c>
      <c r="E13309" s="1561" t="s">
        <v>7578</v>
      </c>
      <c r="F13309" s="1610"/>
      <c r="G13309" s="393" t="s">
        <v>777</v>
      </c>
      <c r="H13309" s="576">
        <v>-3.75</v>
      </c>
      <c r="K13309" t="s">
        <v>947</v>
      </c>
      <c r="L13309" t="s">
        <v>690</v>
      </c>
      <c r="P13309" t="s">
        <v>963</v>
      </c>
      <c r="V13309">
        <v>110</v>
      </c>
    </row>
    <row r="13310" spans="1:22" customFormat="1" ht="15" x14ac:dyDescent="0.25">
      <c r="A13310" t="s">
        <v>176</v>
      </c>
      <c r="E13310" s="1561" t="s">
        <v>960</v>
      </c>
      <c r="F13310" s="1561"/>
      <c r="G13310" s="393" t="s">
        <v>777</v>
      </c>
      <c r="H13310" s="576">
        <v>0.42</v>
      </c>
      <c r="K13310" t="s">
        <v>947</v>
      </c>
      <c r="L13310" t="s">
        <v>692</v>
      </c>
      <c r="P13310" t="s">
        <v>959</v>
      </c>
      <c r="V13310">
        <v>64</v>
      </c>
    </row>
    <row r="13311" spans="1:22" customFormat="1" ht="15" x14ac:dyDescent="0.25">
      <c r="A13311" t="s">
        <v>176</v>
      </c>
      <c r="E13311" s="1561" t="s">
        <v>7579</v>
      </c>
      <c r="F13311" s="1610"/>
      <c r="G13311" s="393" t="s">
        <v>845</v>
      </c>
      <c r="H13311" s="577">
        <v>-3.0000000000000001E-3</v>
      </c>
      <c r="K13311" t="s">
        <v>947</v>
      </c>
      <c r="L13311" t="s">
        <v>692</v>
      </c>
      <c r="P13311" t="s">
        <v>963</v>
      </c>
      <c r="T13311">
        <v>46142</v>
      </c>
      <c r="V13311">
        <v>110</v>
      </c>
    </row>
    <row r="13312" spans="1:22" customFormat="1" ht="15" x14ac:dyDescent="0.25">
      <c r="A13312" t="s">
        <v>176</v>
      </c>
      <c r="E13312" s="1561" t="s">
        <v>7580</v>
      </c>
      <c r="F13312" s="1610"/>
      <c r="G13312" s="393" t="s">
        <v>845</v>
      </c>
      <c r="H13312" s="577">
        <v>6.6E-3</v>
      </c>
      <c r="K13312" t="s">
        <v>947</v>
      </c>
      <c r="P13312" t="s">
        <v>7581</v>
      </c>
      <c r="T13312">
        <v>46142</v>
      </c>
      <c r="V13312">
        <v>139</v>
      </c>
    </row>
    <row r="13313" spans="1:22" customFormat="1" ht="15" x14ac:dyDescent="0.25">
      <c r="A13313" t="s">
        <v>176</v>
      </c>
      <c r="E13313" s="1561" t="s">
        <v>7582</v>
      </c>
      <c r="F13313" s="1610"/>
      <c r="G13313" s="393" t="s">
        <v>845</v>
      </c>
      <c r="H13313" s="577">
        <v>1E-4</v>
      </c>
      <c r="K13313" t="s">
        <v>947</v>
      </c>
      <c r="L13313" t="s">
        <v>692</v>
      </c>
      <c r="P13313" t="s">
        <v>7583</v>
      </c>
      <c r="T13313">
        <v>46142</v>
      </c>
      <c r="V13313">
        <v>89</v>
      </c>
    </row>
    <row r="13314" spans="1:22" customFormat="1" ht="15" x14ac:dyDescent="0.25">
      <c r="A13314" t="s">
        <v>176</v>
      </c>
      <c r="E13314" s="1561" t="s">
        <v>243</v>
      </c>
      <c r="F13314" s="1561"/>
      <c r="G13314" s="360" t="s">
        <v>845</v>
      </c>
      <c r="H13314" s="577">
        <v>1.17E-2</v>
      </c>
      <c r="K13314" t="s">
        <v>947</v>
      </c>
      <c r="L13314" t="s">
        <v>694</v>
      </c>
      <c r="P13314" t="s">
        <v>964</v>
      </c>
      <c r="V13314">
        <v>47</v>
      </c>
    </row>
    <row r="13315" spans="1:22" customFormat="1" ht="15" x14ac:dyDescent="0.25">
      <c r="A13315" t="s">
        <v>176</v>
      </c>
      <c r="E13315" s="1561" t="s">
        <v>208</v>
      </c>
      <c r="F13315" s="1561"/>
      <c r="G13315" s="360" t="s">
        <v>845</v>
      </c>
      <c r="H13315" s="577">
        <v>6.8999999999999999E-3</v>
      </c>
      <c r="K13315" t="s">
        <v>947</v>
      </c>
      <c r="L13315" t="s">
        <v>694</v>
      </c>
      <c r="P13315" t="s">
        <v>5265</v>
      </c>
      <c r="V13315">
        <v>65</v>
      </c>
    </row>
    <row r="13316" spans="1:22" customFormat="1" ht="15" x14ac:dyDescent="0.25">
      <c r="A13316" t="s">
        <v>176</v>
      </c>
      <c r="E13316" s="1596" t="s">
        <v>967</v>
      </c>
      <c r="F13316" s="1561"/>
      <c r="G13316" s="584"/>
      <c r="H13316" s="584"/>
      <c r="K13316" t="s">
        <v>966</v>
      </c>
      <c r="V13316">
        <v>48</v>
      </c>
    </row>
    <row r="13317" spans="1:22" customFormat="1" ht="15" x14ac:dyDescent="0.25">
      <c r="A13317" t="s">
        <v>176</v>
      </c>
      <c r="E13317" s="1561" t="s">
        <v>844</v>
      </c>
      <c r="F13317" s="1561"/>
      <c r="G13317" s="393" t="s">
        <v>845</v>
      </c>
      <c r="H13317" s="577">
        <v>4.1000000000000003E-3</v>
      </c>
      <c r="K13317" t="s">
        <v>947</v>
      </c>
      <c r="L13317" t="s">
        <v>968</v>
      </c>
      <c r="P13317" t="s">
        <v>969</v>
      </c>
      <c r="V13317">
        <v>55</v>
      </c>
    </row>
    <row r="13318" spans="1:22" customFormat="1" ht="15" x14ac:dyDescent="0.25">
      <c r="A13318" t="s">
        <v>176</v>
      </c>
      <c r="E13318" s="1561" t="s">
        <v>846</v>
      </c>
      <c r="F13318" s="1561"/>
      <c r="G13318" s="393" t="s">
        <v>845</v>
      </c>
      <c r="H13318" s="577">
        <v>4.0000000000000002E-4</v>
      </c>
      <c r="K13318" t="s">
        <v>947</v>
      </c>
      <c r="L13318" t="s">
        <v>968</v>
      </c>
      <c r="P13318" t="s">
        <v>969</v>
      </c>
      <c r="V13318">
        <v>65</v>
      </c>
    </row>
    <row r="13319" spans="1:22" customFormat="1" ht="15" x14ac:dyDescent="0.25">
      <c r="A13319" t="s">
        <v>176</v>
      </c>
      <c r="E13319" s="1561" t="s">
        <v>847</v>
      </c>
      <c r="F13319" s="1561"/>
      <c r="G13319" s="393" t="s">
        <v>845</v>
      </c>
      <c r="H13319" s="577">
        <v>1.5E-3</v>
      </c>
      <c r="K13319" t="s">
        <v>947</v>
      </c>
      <c r="L13319" t="s">
        <v>968</v>
      </c>
      <c r="P13319" t="s">
        <v>970</v>
      </c>
      <c r="V13319">
        <v>57</v>
      </c>
    </row>
    <row r="13320" spans="1:22" customFormat="1" ht="15" x14ac:dyDescent="0.25">
      <c r="A13320" t="s">
        <v>176</v>
      </c>
      <c r="E13320" s="1561" t="s">
        <v>848</v>
      </c>
      <c r="F13320" s="1561"/>
      <c r="G13320" s="584" t="s">
        <v>777</v>
      </c>
      <c r="H13320" s="576">
        <v>0.25</v>
      </c>
      <c r="K13320" t="s">
        <v>947</v>
      </c>
      <c r="L13320" t="s">
        <v>968</v>
      </c>
      <c r="P13320" t="s">
        <v>971</v>
      </c>
      <c r="V13320">
        <v>63</v>
      </c>
    </row>
    <row r="13321" spans="1:22" customFormat="1" x14ac:dyDescent="0.25">
      <c r="A13321" t="s">
        <v>176</v>
      </c>
      <c r="E13321" s="1492" t="s">
        <v>174</v>
      </c>
      <c r="F13321" s="1493"/>
      <c r="G13321" s="1493"/>
      <c r="H13321" s="1493"/>
      <c r="K13321" t="s">
        <v>972</v>
      </c>
      <c r="V13321">
        <v>54</v>
      </c>
    </row>
    <row r="13322" spans="1:22" customFormat="1" ht="15" x14ac:dyDescent="0.25">
      <c r="A13322" t="s">
        <v>176</v>
      </c>
      <c r="E13322" s="1516" t="s">
        <v>5266</v>
      </c>
      <c r="F13322" s="1516"/>
      <c r="G13322" s="1516"/>
      <c r="H13322" s="1516"/>
      <c r="K13322" t="s">
        <v>972</v>
      </c>
      <c r="V13322">
        <v>271</v>
      </c>
    </row>
    <row r="13323" spans="1:22" customFormat="1" ht="15" x14ac:dyDescent="0.25">
      <c r="A13323" t="s">
        <v>176</v>
      </c>
      <c r="E13323" s="1515" t="s">
        <v>950</v>
      </c>
      <c r="F13323" s="1516"/>
      <c r="G13323" s="1516"/>
      <c r="H13323" s="1516"/>
      <c r="K13323" t="s">
        <v>974</v>
      </c>
      <c r="V13323">
        <v>11</v>
      </c>
    </row>
    <row r="13324" spans="1:22" customFormat="1" ht="15" x14ac:dyDescent="0.25">
      <c r="A13324" t="s">
        <v>176</v>
      </c>
      <c r="E13324" s="1516" t="s">
        <v>951</v>
      </c>
      <c r="F13324" s="1516"/>
      <c r="G13324" s="1516"/>
      <c r="H13324" s="1516"/>
      <c r="K13324" t="s">
        <v>972</v>
      </c>
      <c r="V13324">
        <v>280</v>
      </c>
    </row>
    <row r="13325" spans="1:22" customFormat="1" ht="15" x14ac:dyDescent="0.25">
      <c r="A13325" t="s">
        <v>176</v>
      </c>
      <c r="E13325" s="1516" t="s">
        <v>952</v>
      </c>
      <c r="F13325" s="1516"/>
      <c r="G13325" s="1516"/>
      <c r="H13325" s="1516"/>
      <c r="K13325" t="s">
        <v>972</v>
      </c>
      <c r="V13325">
        <v>411</v>
      </c>
    </row>
    <row r="13326" spans="1:22" customFormat="1" ht="15" x14ac:dyDescent="0.25">
      <c r="A13326" t="s">
        <v>176</v>
      </c>
      <c r="E13326" s="1516" t="s">
        <v>3761</v>
      </c>
      <c r="F13326" s="1516"/>
      <c r="G13326" s="1516"/>
      <c r="H13326" s="1516"/>
      <c r="K13326" t="s">
        <v>972</v>
      </c>
      <c r="V13326">
        <v>387</v>
      </c>
    </row>
    <row r="13327" spans="1:22" customFormat="1" ht="15" x14ac:dyDescent="0.25">
      <c r="A13327" t="s">
        <v>176</v>
      </c>
      <c r="E13327" s="1516" t="s">
        <v>3762</v>
      </c>
      <c r="F13327" s="1516"/>
      <c r="G13327" s="1516"/>
      <c r="H13327" s="1516"/>
      <c r="K13327" t="s">
        <v>972</v>
      </c>
      <c r="V13327">
        <v>247</v>
      </c>
    </row>
    <row r="13328" spans="1:22" customFormat="1" ht="15" x14ac:dyDescent="0.25">
      <c r="A13328" t="s">
        <v>176</v>
      </c>
      <c r="E13328" s="1596" t="s">
        <v>956</v>
      </c>
      <c r="F13328" s="1714"/>
      <c r="G13328" s="1572"/>
      <c r="H13328" s="1572"/>
      <c r="K13328" t="s">
        <v>975</v>
      </c>
      <c r="V13328">
        <v>46</v>
      </c>
    </row>
    <row r="13329" spans="1:22" customFormat="1" ht="15" x14ac:dyDescent="0.25">
      <c r="A13329" t="s">
        <v>176</v>
      </c>
      <c r="E13329" s="1561" t="s">
        <v>3773</v>
      </c>
      <c r="F13329" s="1561"/>
      <c r="G13329" s="393" t="s">
        <v>777</v>
      </c>
      <c r="H13329" s="576">
        <v>89.51</v>
      </c>
      <c r="K13329" t="s">
        <v>972</v>
      </c>
      <c r="L13329" t="s">
        <v>690</v>
      </c>
      <c r="P13329" t="s">
        <v>976</v>
      </c>
      <c r="V13329">
        <v>14</v>
      </c>
    </row>
    <row r="13330" spans="1:22" customFormat="1" ht="15" x14ac:dyDescent="0.25">
      <c r="A13330" t="s">
        <v>176</v>
      </c>
      <c r="E13330" s="1561" t="s">
        <v>960</v>
      </c>
      <c r="F13330" s="1561"/>
      <c r="G13330" s="393" t="s">
        <v>777</v>
      </c>
      <c r="H13330" s="576">
        <v>0.42</v>
      </c>
      <c r="K13330" t="s">
        <v>972</v>
      </c>
      <c r="L13330" t="s">
        <v>692</v>
      </c>
      <c r="P13330" t="s">
        <v>977</v>
      </c>
      <c r="V13330">
        <v>64</v>
      </c>
    </row>
    <row r="13331" spans="1:22" customFormat="1" ht="15" x14ac:dyDescent="0.25">
      <c r="A13331" t="s">
        <v>176</v>
      </c>
      <c r="E13331" s="1561" t="s">
        <v>3688</v>
      </c>
      <c r="F13331" s="1561"/>
      <c r="G13331" s="360" t="s">
        <v>845</v>
      </c>
      <c r="H13331" s="577">
        <v>5.8999999999999999E-3</v>
      </c>
      <c r="K13331" t="s">
        <v>972</v>
      </c>
      <c r="L13331" t="s">
        <v>690</v>
      </c>
      <c r="P13331" t="s">
        <v>978</v>
      </c>
      <c r="V13331">
        <v>28</v>
      </c>
    </row>
    <row r="13332" spans="1:22" customFormat="1" ht="15" x14ac:dyDescent="0.25">
      <c r="A13332" t="s">
        <v>176</v>
      </c>
      <c r="E13332" s="1561" t="s">
        <v>7584</v>
      </c>
      <c r="F13332" s="1610"/>
      <c r="G13332" s="360" t="s">
        <v>845</v>
      </c>
      <c r="H13332" s="577">
        <v>-2.7000000000000001E-3</v>
      </c>
      <c r="K13332" t="s">
        <v>972</v>
      </c>
      <c r="L13332" t="s">
        <v>692</v>
      </c>
      <c r="P13332" t="s">
        <v>982</v>
      </c>
      <c r="T13332">
        <v>46142</v>
      </c>
      <c r="V13332">
        <v>104</v>
      </c>
    </row>
    <row r="13333" spans="1:22" customFormat="1" ht="15" x14ac:dyDescent="0.25">
      <c r="A13333" t="s">
        <v>176</v>
      </c>
      <c r="E13333" s="1561" t="s">
        <v>7585</v>
      </c>
      <c r="F13333" s="1610"/>
      <c r="G13333" s="360" t="s">
        <v>845</v>
      </c>
      <c r="H13333" s="577">
        <v>-4.1000000000000003E-3</v>
      </c>
      <c r="K13333" t="s">
        <v>972</v>
      </c>
      <c r="L13333" t="s">
        <v>690</v>
      </c>
      <c r="P13333" t="s">
        <v>982</v>
      </c>
      <c r="V13333">
        <v>104</v>
      </c>
    </row>
    <row r="13334" spans="1:22" customFormat="1" ht="15" x14ac:dyDescent="0.25">
      <c r="A13334" t="s">
        <v>176</v>
      </c>
      <c r="E13334" s="1561" t="s">
        <v>7586</v>
      </c>
      <c r="F13334" s="1610"/>
      <c r="G13334" s="360" t="s">
        <v>845</v>
      </c>
      <c r="H13334" s="577">
        <v>6.6E-3</v>
      </c>
      <c r="K13334" t="s">
        <v>972</v>
      </c>
      <c r="P13334" t="s">
        <v>7587</v>
      </c>
      <c r="T13334">
        <v>46142</v>
      </c>
      <c r="V13334">
        <v>139</v>
      </c>
    </row>
    <row r="13335" spans="1:22" customFormat="1" ht="15" x14ac:dyDescent="0.25">
      <c r="A13335" t="s">
        <v>176</v>
      </c>
      <c r="E13335" s="1561" t="s">
        <v>7582</v>
      </c>
      <c r="F13335" s="1610"/>
      <c r="G13335" s="360" t="s">
        <v>845</v>
      </c>
      <c r="H13335" s="577">
        <v>1E-4</v>
      </c>
      <c r="K13335" t="s">
        <v>972</v>
      </c>
      <c r="L13335" t="s">
        <v>692</v>
      </c>
      <c r="P13335" t="s">
        <v>6626</v>
      </c>
      <c r="T13335">
        <v>46142</v>
      </c>
      <c r="V13335">
        <v>89</v>
      </c>
    </row>
    <row r="13336" spans="1:22" customFormat="1" ht="15" x14ac:dyDescent="0.25">
      <c r="A13336" t="s">
        <v>176</v>
      </c>
      <c r="E13336" s="1561" t="s">
        <v>243</v>
      </c>
      <c r="F13336" s="1561"/>
      <c r="G13336" s="360" t="s">
        <v>845</v>
      </c>
      <c r="H13336" s="577">
        <v>1.0200000000000001E-2</v>
      </c>
      <c r="K13336" t="s">
        <v>972</v>
      </c>
      <c r="L13336" t="s">
        <v>694</v>
      </c>
      <c r="P13336" t="s">
        <v>983</v>
      </c>
      <c r="V13336">
        <v>47</v>
      </c>
    </row>
    <row r="13337" spans="1:22" customFormat="1" ht="15" x14ac:dyDescent="0.25">
      <c r="A13337" t="s">
        <v>176</v>
      </c>
      <c r="E13337" s="1561" t="s">
        <v>208</v>
      </c>
      <c r="F13337" s="1561"/>
      <c r="G13337" s="360" t="s">
        <v>845</v>
      </c>
      <c r="H13337" s="577">
        <v>5.7000000000000002E-3</v>
      </c>
      <c r="K13337" t="s">
        <v>972</v>
      </c>
      <c r="L13337" t="s">
        <v>694</v>
      </c>
      <c r="P13337" t="s">
        <v>5267</v>
      </c>
      <c r="V13337">
        <v>65</v>
      </c>
    </row>
    <row r="13338" spans="1:22" customFormat="1" ht="15" x14ac:dyDescent="0.25">
      <c r="A13338" t="s">
        <v>176</v>
      </c>
      <c r="E13338" s="1596" t="s">
        <v>967</v>
      </c>
      <c r="F13338" s="1649"/>
      <c r="G13338" s="584"/>
      <c r="H13338" s="584"/>
      <c r="K13338" t="s">
        <v>985</v>
      </c>
      <c r="V13338">
        <v>48</v>
      </c>
    </row>
    <row r="13339" spans="1:22" customFormat="1" ht="15" x14ac:dyDescent="0.25">
      <c r="A13339" t="s">
        <v>176</v>
      </c>
      <c r="E13339" s="1561" t="s">
        <v>844</v>
      </c>
      <c r="F13339" s="1561"/>
      <c r="G13339" s="393" t="s">
        <v>845</v>
      </c>
      <c r="H13339" s="577">
        <v>4.1000000000000003E-3</v>
      </c>
      <c r="K13339" t="s">
        <v>972</v>
      </c>
      <c r="L13339" t="s">
        <v>968</v>
      </c>
      <c r="P13339" t="s">
        <v>986</v>
      </c>
      <c r="V13339">
        <v>55</v>
      </c>
    </row>
    <row r="13340" spans="1:22" customFormat="1" ht="15" x14ac:dyDescent="0.25">
      <c r="A13340" t="s">
        <v>176</v>
      </c>
      <c r="E13340" s="1561" t="s">
        <v>846</v>
      </c>
      <c r="F13340" s="1561"/>
      <c r="G13340" s="393" t="s">
        <v>845</v>
      </c>
      <c r="H13340" s="577">
        <v>4.0000000000000002E-4</v>
      </c>
      <c r="K13340" t="s">
        <v>972</v>
      </c>
      <c r="L13340" t="s">
        <v>968</v>
      </c>
      <c r="P13340" t="s">
        <v>986</v>
      </c>
      <c r="V13340">
        <v>65</v>
      </c>
    </row>
    <row r="13341" spans="1:22" customFormat="1" ht="15" x14ac:dyDescent="0.25">
      <c r="A13341" t="s">
        <v>176</v>
      </c>
      <c r="E13341" s="1561" t="s">
        <v>847</v>
      </c>
      <c r="F13341" s="1561"/>
      <c r="G13341" s="393" t="s">
        <v>845</v>
      </c>
      <c r="H13341" s="577">
        <v>1.5E-3</v>
      </c>
      <c r="K13341" t="s">
        <v>972</v>
      </c>
      <c r="L13341" t="s">
        <v>968</v>
      </c>
      <c r="P13341" t="s">
        <v>987</v>
      </c>
      <c r="V13341">
        <v>57</v>
      </c>
    </row>
    <row r="13342" spans="1:22" customFormat="1" ht="15" x14ac:dyDescent="0.25">
      <c r="A13342" t="s">
        <v>176</v>
      </c>
      <c r="E13342" s="1561" t="s">
        <v>848</v>
      </c>
      <c r="F13342" s="1561"/>
      <c r="G13342" s="584" t="s">
        <v>777</v>
      </c>
      <c r="H13342" s="576">
        <v>0.25</v>
      </c>
      <c r="K13342" t="s">
        <v>972</v>
      </c>
      <c r="L13342" t="s">
        <v>968</v>
      </c>
      <c r="P13342" t="s">
        <v>988</v>
      </c>
      <c r="V13342">
        <v>63</v>
      </c>
    </row>
    <row r="13343" spans="1:22" customFormat="1" x14ac:dyDescent="0.25">
      <c r="A13343" t="s">
        <v>176</v>
      </c>
      <c r="E13343" s="1492" t="s">
        <v>3767</v>
      </c>
      <c r="F13343" s="1493"/>
      <c r="G13343" s="1493"/>
      <c r="H13343" s="1493"/>
      <c r="K13343" t="s">
        <v>3768</v>
      </c>
      <c r="V13343">
        <v>53</v>
      </c>
    </row>
    <row r="13344" spans="1:22" customFormat="1" ht="15" x14ac:dyDescent="0.25">
      <c r="A13344" t="s">
        <v>176</v>
      </c>
      <c r="E13344" s="1516" t="s">
        <v>5268</v>
      </c>
      <c r="F13344" s="1516"/>
      <c r="G13344" s="1516"/>
      <c r="H13344" s="1516"/>
      <c r="K13344" t="s">
        <v>3768</v>
      </c>
      <c r="V13344">
        <v>308</v>
      </c>
    </row>
    <row r="13345" spans="1:22" customFormat="1" ht="15" x14ac:dyDescent="0.25">
      <c r="A13345" t="s">
        <v>176</v>
      </c>
      <c r="E13345" s="1515" t="s">
        <v>950</v>
      </c>
      <c r="F13345" s="1516"/>
      <c r="G13345" s="1516"/>
      <c r="H13345" s="1516"/>
      <c r="K13345" t="s">
        <v>992</v>
      </c>
      <c r="V13345">
        <v>11</v>
      </c>
    </row>
    <row r="13346" spans="1:22" customFormat="1" ht="15" x14ac:dyDescent="0.25">
      <c r="A13346" t="s">
        <v>176</v>
      </c>
      <c r="E13346" s="1516" t="s">
        <v>951</v>
      </c>
      <c r="F13346" s="1516"/>
      <c r="G13346" s="1516"/>
      <c r="H13346" s="1516"/>
      <c r="K13346" t="s">
        <v>3768</v>
      </c>
      <c r="V13346">
        <v>280</v>
      </c>
    </row>
    <row r="13347" spans="1:22" customFormat="1" ht="15" x14ac:dyDescent="0.25">
      <c r="A13347" t="s">
        <v>176</v>
      </c>
      <c r="E13347" s="1516" t="s">
        <v>952</v>
      </c>
      <c r="F13347" s="1516"/>
      <c r="G13347" s="1516"/>
      <c r="H13347" s="1516"/>
      <c r="K13347" t="s">
        <v>3768</v>
      </c>
      <c r="V13347">
        <v>411</v>
      </c>
    </row>
    <row r="13348" spans="1:22" customFormat="1" ht="15" x14ac:dyDescent="0.25">
      <c r="A13348" t="s">
        <v>176</v>
      </c>
      <c r="E13348" s="1516" t="s">
        <v>3761</v>
      </c>
      <c r="F13348" s="1516"/>
      <c r="G13348" s="1516"/>
      <c r="H13348" s="1516"/>
      <c r="K13348" t="s">
        <v>3768</v>
      </c>
      <c r="V13348">
        <v>387</v>
      </c>
    </row>
    <row r="13349" spans="1:22" customFormat="1" ht="15" x14ac:dyDescent="0.25">
      <c r="A13349" t="s">
        <v>176</v>
      </c>
      <c r="E13349" s="1516" t="s">
        <v>993</v>
      </c>
      <c r="F13349" s="1516"/>
      <c r="G13349" s="1516"/>
      <c r="H13349" s="1516"/>
      <c r="K13349" t="s">
        <v>3768</v>
      </c>
      <c r="V13349">
        <v>680</v>
      </c>
    </row>
    <row r="13350" spans="1:22" customFormat="1" ht="15" x14ac:dyDescent="0.25">
      <c r="A13350" t="s">
        <v>176</v>
      </c>
      <c r="E13350" s="1516" t="s">
        <v>994</v>
      </c>
      <c r="F13350" s="1516"/>
      <c r="G13350" s="1516"/>
      <c r="H13350" s="1516"/>
      <c r="K13350" t="s">
        <v>3768</v>
      </c>
      <c r="V13350">
        <v>725</v>
      </c>
    </row>
    <row r="13351" spans="1:22" customFormat="1" ht="15" x14ac:dyDescent="0.25">
      <c r="A13351" t="s">
        <v>176</v>
      </c>
      <c r="E13351" s="1516" t="s">
        <v>3762</v>
      </c>
      <c r="F13351" s="1516"/>
      <c r="G13351" s="1516"/>
      <c r="H13351" s="1516"/>
      <c r="K13351" t="s">
        <v>3768</v>
      </c>
      <c r="V13351">
        <v>247</v>
      </c>
    </row>
    <row r="13352" spans="1:22" customFormat="1" ht="15" x14ac:dyDescent="0.25">
      <c r="A13352" t="s">
        <v>176</v>
      </c>
      <c r="E13352" s="1596" t="s">
        <v>956</v>
      </c>
      <c r="F13352" s="1572"/>
      <c r="G13352" s="1572"/>
      <c r="H13352" s="1572"/>
      <c r="K13352" t="s">
        <v>995</v>
      </c>
      <c r="V13352">
        <v>46</v>
      </c>
    </row>
    <row r="13353" spans="1:22" customFormat="1" ht="15" x14ac:dyDescent="0.25">
      <c r="A13353" t="s">
        <v>176</v>
      </c>
      <c r="E13353" s="1561" t="s">
        <v>3773</v>
      </c>
      <c r="F13353" s="1561"/>
      <c r="G13353" s="393" t="s">
        <v>777</v>
      </c>
      <c r="H13353" s="576">
        <v>661.9</v>
      </c>
      <c r="K13353" t="s">
        <v>3768</v>
      </c>
      <c r="L13353" t="s">
        <v>690</v>
      </c>
      <c r="P13353" t="s">
        <v>3774</v>
      </c>
      <c r="V13353">
        <v>14</v>
      </c>
    </row>
    <row r="13354" spans="1:22" customFormat="1" ht="15" x14ac:dyDescent="0.25">
      <c r="A13354" t="s">
        <v>176</v>
      </c>
      <c r="E13354" s="1561" t="s">
        <v>3688</v>
      </c>
      <c r="F13354" s="1561"/>
      <c r="G13354" s="393" t="s">
        <v>3775</v>
      </c>
      <c r="H13354" s="577">
        <v>4.4718</v>
      </c>
      <c r="K13354" t="s">
        <v>3768</v>
      </c>
      <c r="L13354" t="s">
        <v>690</v>
      </c>
      <c r="P13354" t="s">
        <v>3776</v>
      </c>
      <c r="V13354">
        <v>28</v>
      </c>
    </row>
    <row r="13355" spans="1:22" customFormat="1" ht="15" x14ac:dyDescent="0.25">
      <c r="A13355" t="s">
        <v>176</v>
      </c>
      <c r="E13355" s="1561" t="s">
        <v>7579</v>
      </c>
      <c r="F13355" s="1610"/>
      <c r="G13355" s="393" t="s">
        <v>3775</v>
      </c>
      <c r="H13355" s="577">
        <v>-0.89580000000000004</v>
      </c>
      <c r="K13355" t="s">
        <v>3768</v>
      </c>
      <c r="L13355" t="s">
        <v>692</v>
      </c>
      <c r="P13355" t="s">
        <v>3779</v>
      </c>
      <c r="T13355">
        <v>46142</v>
      </c>
      <c r="V13355">
        <v>110</v>
      </c>
    </row>
    <row r="13356" spans="1:22" customFormat="1" ht="15" x14ac:dyDescent="0.25">
      <c r="A13356" t="s">
        <v>176</v>
      </c>
      <c r="E13356" s="1561" t="s">
        <v>7578</v>
      </c>
      <c r="F13356" s="1610"/>
      <c r="G13356" s="393" t="s">
        <v>3775</v>
      </c>
      <c r="H13356" s="577">
        <v>-0.5595</v>
      </c>
      <c r="K13356" t="s">
        <v>3768</v>
      </c>
      <c r="L13356" t="s">
        <v>690</v>
      </c>
      <c r="P13356" t="s">
        <v>3779</v>
      </c>
      <c r="V13356">
        <v>110</v>
      </c>
    </row>
    <row r="13357" spans="1:22" customFormat="1" ht="15" x14ac:dyDescent="0.25">
      <c r="A13357" t="s">
        <v>176</v>
      </c>
      <c r="E13357" s="1561" t="s">
        <v>7586</v>
      </c>
      <c r="F13357" s="1610"/>
      <c r="G13357" s="393" t="s">
        <v>845</v>
      </c>
      <c r="H13357" s="577">
        <v>6.6E-3</v>
      </c>
      <c r="K13357" t="s">
        <v>3768</v>
      </c>
      <c r="P13357" t="s">
        <v>7588</v>
      </c>
      <c r="T13357">
        <v>46142</v>
      </c>
      <c r="V13357">
        <v>139</v>
      </c>
    </row>
    <row r="13358" spans="1:22" customFormat="1" ht="15" x14ac:dyDescent="0.25">
      <c r="A13358" t="s">
        <v>176</v>
      </c>
      <c r="E13358" s="1561" t="s">
        <v>7582</v>
      </c>
      <c r="F13358" s="1610"/>
      <c r="G13358" s="393" t="s">
        <v>3775</v>
      </c>
      <c r="H13358" s="577">
        <v>5.6300000000000003E-2</v>
      </c>
      <c r="K13358" t="s">
        <v>3768</v>
      </c>
      <c r="L13358" t="s">
        <v>692</v>
      </c>
      <c r="P13358" t="s">
        <v>7589</v>
      </c>
      <c r="T13358">
        <v>46142</v>
      </c>
      <c r="V13358">
        <v>89</v>
      </c>
    </row>
    <row r="13359" spans="1:22" customFormat="1" ht="15" x14ac:dyDescent="0.25">
      <c r="A13359" t="s">
        <v>176</v>
      </c>
      <c r="E13359" s="1561" t="s">
        <v>243</v>
      </c>
      <c r="F13359" s="1561"/>
      <c r="G13359" s="393" t="s">
        <v>3775</v>
      </c>
      <c r="H13359" s="577">
        <v>4.1630000000000003</v>
      </c>
      <c r="K13359" t="s">
        <v>3768</v>
      </c>
      <c r="L13359" t="s">
        <v>694</v>
      </c>
      <c r="P13359" t="s">
        <v>3780</v>
      </c>
      <c r="V13359">
        <v>47</v>
      </c>
    </row>
    <row r="13360" spans="1:22" customFormat="1" ht="15" x14ac:dyDescent="0.25">
      <c r="A13360" t="s">
        <v>176</v>
      </c>
      <c r="E13360" s="1561" t="s">
        <v>175</v>
      </c>
      <c r="F13360" s="1561"/>
      <c r="G13360" s="393" t="s">
        <v>3775</v>
      </c>
      <c r="H13360" s="577">
        <v>2.3734999999999999</v>
      </c>
      <c r="K13360" t="s">
        <v>3768</v>
      </c>
      <c r="L13360" t="s">
        <v>694</v>
      </c>
      <c r="P13360" t="s">
        <v>3781</v>
      </c>
      <c r="V13360">
        <v>74</v>
      </c>
    </row>
    <row r="13361" spans="1:22" customFormat="1" ht="15" x14ac:dyDescent="0.25">
      <c r="A13361" t="s">
        <v>176</v>
      </c>
      <c r="E13361" s="1561" t="s">
        <v>251</v>
      </c>
      <c r="F13361" s="1561"/>
      <c r="G13361" s="393" t="s">
        <v>3775</v>
      </c>
      <c r="H13361" s="577">
        <v>4.4166999999999996</v>
      </c>
      <c r="K13361" t="s">
        <v>3768</v>
      </c>
      <c r="L13361" t="s">
        <v>694</v>
      </c>
      <c r="P13361" t="s">
        <v>3780</v>
      </c>
      <c r="V13361">
        <v>66</v>
      </c>
    </row>
    <row r="13362" spans="1:22" customFormat="1" ht="15" x14ac:dyDescent="0.25">
      <c r="A13362" t="s">
        <v>176</v>
      </c>
      <c r="E13362" s="1561" t="s">
        <v>185</v>
      </c>
      <c r="F13362" s="1561"/>
      <c r="G13362" s="393" t="s">
        <v>3775</v>
      </c>
      <c r="H13362" s="577">
        <v>2.6232000000000002</v>
      </c>
      <c r="K13362" t="s">
        <v>3768</v>
      </c>
      <c r="L13362" t="s">
        <v>694</v>
      </c>
      <c r="P13362" t="s">
        <v>3781</v>
      </c>
      <c r="V13362">
        <v>93</v>
      </c>
    </row>
    <row r="13363" spans="1:22" customFormat="1" ht="15" x14ac:dyDescent="0.25">
      <c r="A13363" t="s">
        <v>176</v>
      </c>
      <c r="E13363" s="1596" t="s">
        <v>967</v>
      </c>
      <c r="F13363" s="1561"/>
      <c r="G13363" s="584"/>
      <c r="H13363" s="584"/>
      <c r="K13363" t="s">
        <v>1003</v>
      </c>
      <c r="V13363">
        <v>48</v>
      </c>
    </row>
    <row r="13364" spans="1:22" customFormat="1" ht="15" x14ac:dyDescent="0.25">
      <c r="A13364" t="s">
        <v>176</v>
      </c>
      <c r="E13364" s="1561" t="s">
        <v>844</v>
      </c>
      <c r="F13364" s="1561"/>
      <c r="G13364" s="393" t="s">
        <v>845</v>
      </c>
      <c r="H13364" s="577">
        <v>4.1000000000000003E-3</v>
      </c>
      <c r="K13364" t="s">
        <v>3768</v>
      </c>
      <c r="L13364" t="s">
        <v>968</v>
      </c>
      <c r="P13364" t="s">
        <v>3782</v>
      </c>
      <c r="V13364">
        <v>55</v>
      </c>
    </row>
    <row r="13365" spans="1:22" customFormat="1" ht="15" x14ac:dyDescent="0.25">
      <c r="A13365" t="s">
        <v>176</v>
      </c>
      <c r="E13365" s="1561" t="s">
        <v>846</v>
      </c>
      <c r="F13365" s="1561"/>
      <c r="G13365" s="393" t="s">
        <v>845</v>
      </c>
      <c r="H13365" s="577">
        <v>4.0000000000000002E-4</v>
      </c>
      <c r="K13365" t="s">
        <v>3768</v>
      </c>
      <c r="L13365" t="s">
        <v>968</v>
      </c>
      <c r="P13365" t="s">
        <v>3782</v>
      </c>
      <c r="V13365">
        <v>65</v>
      </c>
    </row>
    <row r="13366" spans="1:22" customFormat="1" ht="15" x14ac:dyDescent="0.25">
      <c r="A13366" t="s">
        <v>176</v>
      </c>
      <c r="E13366" s="1561" t="s">
        <v>847</v>
      </c>
      <c r="F13366" s="1561"/>
      <c r="G13366" s="393" t="s">
        <v>845</v>
      </c>
      <c r="H13366" s="577">
        <v>1.5E-3</v>
      </c>
      <c r="K13366" t="s">
        <v>3768</v>
      </c>
      <c r="L13366" t="s">
        <v>968</v>
      </c>
      <c r="P13366" t="s">
        <v>3783</v>
      </c>
      <c r="V13366">
        <v>57</v>
      </c>
    </row>
    <row r="13367" spans="1:22" customFormat="1" ht="15" x14ac:dyDescent="0.25">
      <c r="A13367" t="s">
        <v>176</v>
      </c>
      <c r="E13367" s="1561" t="s">
        <v>848</v>
      </c>
      <c r="F13367" s="1561"/>
      <c r="G13367" s="393" t="s">
        <v>777</v>
      </c>
      <c r="H13367" s="576">
        <v>0.25</v>
      </c>
      <c r="K13367" t="s">
        <v>3768</v>
      </c>
      <c r="L13367" t="s">
        <v>968</v>
      </c>
      <c r="P13367" t="s">
        <v>3784</v>
      </c>
      <c r="V13367">
        <v>63</v>
      </c>
    </row>
    <row r="13368" spans="1:22" customFormat="1" x14ac:dyDescent="0.25">
      <c r="A13368" t="s">
        <v>176</v>
      </c>
      <c r="E13368" s="1492" t="s">
        <v>202</v>
      </c>
      <c r="F13368" s="1493"/>
      <c r="G13368" s="1493"/>
      <c r="H13368" s="1493"/>
      <c r="K13368" t="s">
        <v>4402</v>
      </c>
      <c r="V13368">
        <v>38</v>
      </c>
    </row>
    <row r="13369" spans="1:22" customFormat="1" ht="15" x14ac:dyDescent="0.25">
      <c r="A13369" t="s">
        <v>176</v>
      </c>
      <c r="E13369" s="1516" t="s">
        <v>5269</v>
      </c>
      <c r="F13369" s="1516"/>
      <c r="G13369" s="1516"/>
      <c r="H13369" s="1516"/>
      <c r="K13369" t="s">
        <v>4402</v>
      </c>
      <c r="V13369">
        <v>479</v>
      </c>
    </row>
    <row r="13370" spans="1:22" customFormat="1" ht="15" x14ac:dyDescent="0.25">
      <c r="A13370" t="s">
        <v>176</v>
      </c>
      <c r="E13370" s="1515" t="s">
        <v>950</v>
      </c>
      <c r="F13370" s="1516"/>
      <c r="G13370" s="1516"/>
      <c r="H13370" s="1516"/>
      <c r="K13370" t="s">
        <v>1010</v>
      </c>
      <c r="V13370">
        <v>11</v>
      </c>
    </row>
    <row r="13371" spans="1:22" customFormat="1" ht="15" x14ac:dyDescent="0.25">
      <c r="A13371" t="s">
        <v>176</v>
      </c>
      <c r="E13371" s="1516" t="s">
        <v>951</v>
      </c>
      <c r="F13371" s="1516"/>
      <c r="G13371" s="1516"/>
      <c r="H13371" s="1516"/>
      <c r="K13371" t="s">
        <v>4402</v>
      </c>
      <c r="V13371">
        <v>280</v>
      </c>
    </row>
    <row r="13372" spans="1:22" customFormat="1" ht="15" x14ac:dyDescent="0.25">
      <c r="A13372" t="s">
        <v>176</v>
      </c>
      <c r="E13372" s="1516" t="s">
        <v>952</v>
      </c>
      <c r="F13372" s="1516"/>
      <c r="G13372" s="1516"/>
      <c r="H13372" s="1516"/>
      <c r="K13372" t="s">
        <v>4402</v>
      </c>
      <c r="V13372">
        <v>411</v>
      </c>
    </row>
    <row r="13373" spans="1:22" customFormat="1" ht="15" x14ac:dyDescent="0.25">
      <c r="A13373" t="s">
        <v>176</v>
      </c>
      <c r="E13373" s="1516" t="s">
        <v>3761</v>
      </c>
      <c r="F13373" s="1516"/>
      <c r="G13373" s="1516"/>
      <c r="H13373" s="1516"/>
      <c r="K13373" t="s">
        <v>4402</v>
      </c>
      <c r="V13373">
        <v>387</v>
      </c>
    </row>
    <row r="13374" spans="1:22" customFormat="1" ht="15" x14ac:dyDescent="0.25">
      <c r="A13374" t="s">
        <v>176</v>
      </c>
      <c r="E13374" s="1516" t="s">
        <v>3762</v>
      </c>
      <c r="F13374" s="1516"/>
      <c r="G13374" s="1516"/>
      <c r="H13374" s="1516"/>
      <c r="K13374" t="s">
        <v>4402</v>
      </c>
      <c r="V13374">
        <v>247</v>
      </c>
    </row>
    <row r="13375" spans="1:22" customFormat="1" ht="15" x14ac:dyDescent="0.25">
      <c r="A13375" t="s">
        <v>176</v>
      </c>
      <c r="E13375" s="1596" t="s">
        <v>956</v>
      </c>
      <c r="F13375" s="1572"/>
      <c r="G13375" s="1572"/>
      <c r="H13375" s="1572"/>
      <c r="K13375" t="s">
        <v>1011</v>
      </c>
      <c r="V13375">
        <v>46</v>
      </c>
    </row>
    <row r="13376" spans="1:22" customFormat="1" ht="15" x14ac:dyDescent="0.25">
      <c r="A13376" t="s">
        <v>176</v>
      </c>
      <c r="E13376" s="1561" t="s">
        <v>3874</v>
      </c>
      <c r="F13376" s="1561"/>
      <c r="G13376" s="393" t="s">
        <v>777</v>
      </c>
      <c r="H13376" s="576">
        <v>16.95</v>
      </c>
      <c r="K13376" t="s">
        <v>4402</v>
      </c>
      <c r="L13376" t="s">
        <v>690</v>
      </c>
      <c r="P13376" t="s">
        <v>4404</v>
      </c>
      <c r="V13376">
        <v>31</v>
      </c>
    </row>
    <row r="13377" spans="1:22" customFormat="1" ht="15" x14ac:dyDescent="0.25">
      <c r="A13377" t="s">
        <v>176</v>
      </c>
      <c r="E13377" s="1561" t="s">
        <v>3688</v>
      </c>
      <c r="F13377" s="1561"/>
      <c r="G13377" s="393" t="s">
        <v>3775</v>
      </c>
      <c r="H13377" s="577">
        <v>12.5259</v>
      </c>
      <c r="K13377" t="s">
        <v>4402</v>
      </c>
      <c r="L13377" t="s">
        <v>690</v>
      </c>
      <c r="P13377" t="s">
        <v>4405</v>
      </c>
      <c r="V13377">
        <v>28</v>
      </c>
    </row>
    <row r="13378" spans="1:22" customFormat="1" ht="15" x14ac:dyDescent="0.25">
      <c r="A13378" t="s">
        <v>176</v>
      </c>
      <c r="E13378" s="1561" t="s">
        <v>7579</v>
      </c>
      <c r="F13378" s="1610"/>
      <c r="G13378" s="393" t="s">
        <v>3775</v>
      </c>
      <c r="H13378" s="577">
        <v>-0.84970000000000001</v>
      </c>
      <c r="K13378" t="s">
        <v>4402</v>
      </c>
      <c r="L13378" t="s">
        <v>692</v>
      </c>
      <c r="P13378" t="s">
        <v>4407</v>
      </c>
      <c r="T13378">
        <v>46142</v>
      </c>
      <c r="V13378">
        <v>110</v>
      </c>
    </row>
    <row r="13379" spans="1:22" customFormat="1" ht="15" x14ac:dyDescent="0.25">
      <c r="A13379" t="s">
        <v>176</v>
      </c>
      <c r="E13379" s="1561" t="s">
        <v>7578</v>
      </c>
      <c r="F13379" s="1610"/>
      <c r="G13379" s="393" t="s">
        <v>3775</v>
      </c>
      <c r="H13379" s="577">
        <v>-8.7584999999999997</v>
      </c>
      <c r="K13379" t="s">
        <v>4402</v>
      </c>
      <c r="L13379" t="s">
        <v>690</v>
      </c>
      <c r="P13379" t="s">
        <v>4407</v>
      </c>
      <c r="V13379">
        <v>110</v>
      </c>
    </row>
    <row r="13380" spans="1:22" customFormat="1" ht="15" x14ac:dyDescent="0.25">
      <c r="A13380" t="s">
        <v>176</v>
      </c>
      <c r="E13380" s="1561" t="s">
        <v>7590</v>
      </c>
      <c r="F13380" s="1610"/>
      <c r="G13380" s="393" t="s">
        <v>845</v>
      </c>
      <c r="H13380" s="577">
        <v>6.6E-3</v>
      </c>
      <c r="K13380" t="s">
        <v>4402</v>
      </c>
      <c r="P13380" t="s">
        <v>7591</v>
      </c>
      <c r="T13380">
        <v>46142</v>
      </c>
      <c r="V13380">
        <v>138</v>
      </c>
    </row>
    <row r="13381" spans="1:22" customFormat="1" ht="15" x14ac:dyDescent="0.25">
      <c r="A13381" t="s">
        <v>176</v>
      </c>
      <c r="E13381" s="1561" t="s">
        <v>7582</v>
      </c>
      <c r="F13381" s="1610"/>
      <c r="G13381" s="393" t="s">
        <v>3775</v>
      </c>
      <c r="H13381" s="577">
        <v>4.4999999999999998E-2</v>
      </c>
      <c r="K13381" t="s">
        <v>4402</v>
      </c>
      <c r="L13381" t="s">
        <v>692</v>
      </c>
      <c r="P13381" t="s">
        <v>7592</v>
      </c>
      <c r="T13381">
        <v>46142</v>
      </c>
      <c r="V13381">
        <v>89</v>
      </c>
    </row>
    <row r="13382" spans="1:22" customFormat="1" ht="15" x14ac:dyDescent="0.25">
      <c r="A13382" t="s">
        <v>176</v>
      </c>
      <c r="E13382" s="1561" t="s">
        <v>243</v>
      </c>
      <c r="F13382" s="1561"/>
      <c r="G13382" s="393" t="s">
        <v>3775</v>
      </c>
      <c r="H13382" s="577">
        <v>3.1398999999999999</v>
      </c>
      <c r="K13382" t="s">
        <v>4402</v>
      </c>
      <c r="L13382" t="s">
        <v>694</v>
      </c>
      <c r="P13382" t="s">
        <v>4408</v>
      </c>
      <c r="V13382">
        <v>47</v>
      </c>
    </row>
    <row r="13383" spans="1:22" customFormat="1" ht="15" x14ac:dyDescent="0.25">
      <c r="A13383" t="s">
        <v>176</v>
      </c>
      <c r="E13383" s="1561" t="s">
        <v>175</v>
      </c>
      <c r="F13383" s="1561"/>
      <c r="G13383" s="393" t="s">
        <v>3775</v>
      </c>
      <c r="H13383" s="577">
        <v>1.8348</v>
      </c>
      <c r="K13383" t="s">
        <v>4402</v>
      </c>
      <c r="L13383" t="s">
        <v>694</v>
      </c>
      <c r="P13383" t="s">
        <v>4409</v>
      </c>
      <c r="V13383">
        <v>74</v>
      </c>
    </row>
    <row r="13384" spans="1:22" customFormat="1" ht="15" x14ac:dyDescent="0.25">
      <c r="A13384" t="s">
        <v>176</v>
      </c>
      <c r="E13384" s="1596" t="s">
        <v>967</v>
      </c>
      <c r="F13384" s="1561"/>
      <c r="G13384" s="584"/>
      <c r="H13384" s="584"/>
      <c r="K13384" t="s">
        <v>1019</v>
      </c>
      <c r="V13384">
        <v>48</v>
      </c>
    </row>
    <row r="13385" spans="1:22" customFormat="1" ht="15" x14ac:dyDescent="0.25">
      <c r="A13385" t="s">
        <v>176</v>
      </c>
      <c r="E13385" s="1561" t="s">
        <v>844</v>
      </c>
      <c r="F13385" s="1561"/>
      <c r="G13385" s="393" t="s">
        <v>845</v>
      </c>
      <c r="H13385" s="577">
        <v>4.1000000000000003E-3</v>
      </c>
      <c r="K13385" t="s">
        <v>4402</v>
      </c>
      <c r="L13385" t="s">
        <v>968</v>
      </c>
      <c r="P13385" t="s">
        <v>4410</v>
      </c>
      <c r="V13385">
        <v>55</v>
      </c>
    </row>
    <row r="13386" spans="1:22" customFormat="1" ht="15" x14ac:dyDescent="0.25">
      <c r="A13386" t="s">
        <v>176</v>
      </c>
      <c r="E13386" s="1561" t="s">
        <v>846</v>
      </c>
      <c r="F13386" s="1561"/>
      <c r="G13386" s="393" t="s">
        <v>845</v>
      </c>
      <c r="H13386" s="577">
        <v>4.0000000000000002E-4</v>
      </c>
      <c r="K13386" t="s">
        <v>4402</v>
      </c>
      <c r="L13386" t="s">
        <v>968</v>
      </c>
      <c r="P13386" t="s">
        <v>4410</v>
      </c>
      <c r="V13386">
        <v>65</v>
      </c>
    </row>
    <row r="13387" spans="1:22" customFormat="1" ht="15" x14ac:dyDescent="0.25">
      <c r="A13387" t="s">
        <v>176</v>
      </c>
      <c r="E13387" s="1561" t="s">
        <v>847</v>
      </c>
      <c r="F13387" s="1561"/>
      <c r="G13387" s="393" t="s">
        <v>845</v>
      </c>
      <c r="H13387" s="577">
        <v>1.5E-3</v>
      </c>
      <c r="K13387" t="s">
        <v>4402</v>
      </c>
      <c r="L13387" t="s">
        <v>968</v>
      </c>
      <c r="P13387" t="s">
        <v>4411</v>
      </c>
      <c r="V13387">
        <v>57</v>
      </c>
    </row>
    <row r="13388" spans="1:22" customFormat="1" ht="15" x14ac:dyDescent="0.25">
      <c r="A13388" t="s">
        <v>176</v>
      </c>
      <c r="E13388" s="1561" t="s">
        <v>848</v>
      </c>
      <c r="F13388" s="1561"/>
      <c r="G13388" s="584" t="s">
        <v>777</v>
      </c>
      <c r="H13388" s="576">
        <v>0.25</v>
      </c>
      <c r="K13388" t="s">
        <v>4402</v>
      </c>
      <c r="L13388" t="s">
        <v>968</v>
      </c>
      <c r="P13388" t="s">
        <v>4412</v>
      </c>
      <c r="V13388">
        <v>63</v>
      </c>
    </row>
    <row r="13389" spans="1:22" customFormat="1" x14ac:dyDescent="0.25">
      <c r="A13389" t="s">
        <v>176</v>
      </c>
      <c r="E13389" s="1492" t="s">
        <v>207</v>
      </c>
      <c r="F13389" s="1493"/>
      <c r="G13389" s="1493"/>
      <c r="H13389" s="1765"/>
      <c r="K13389" t="s">
        <v>4413</v>
      </c>
      <c r="V13389">
        <v>31</v>
      </c>
    </row>
    <row r="13390" spans="1:22" customFormat="1" ht="15" x14ac:dyDescent="0.25">
      <c r="A13390" t="s">
        <v>176</v>
      </c>
      <c r="E13390" s="1516" t="s">
        <v>4775</v>
      </c>
      <c r="F13390" s="1516"/>
      <c r="G13390" s="1516"/>
      <c r="H13390" s="1516"/>
      <c r="K13390" t="s">
        <v>4413</v>
      </c>
      <c r="V13390">
        <v>286</v>
      </c>
    </row>
    <row r="13391" spans="1:22" customFormat="1" ht="15" x14ac:dyDescent="0.25">
      <c r="A13391" t="s">
        <v>176</v>
      </c>
      <c r="E13391" s="1515" t="s">
        <v>950</v>
      </c>
      <c r="F13391" s="1516"/>
      <c r="G13391" s="1516"/>
      <c r="H13391" s="1516"/>
      <c r="K13391" t="s">
        <v>1025</v>
      </c>
      <c r="V13391">
        <v>11</v>
      </c>
    </row>
    <row r="13392" spans="1:22" customFormat="1" ht="15" x14ac:dyDescent="0.25">
      <c r="A13392" t="s">
        <v>176</v>
      </c>
      <c r="E13392" s="1516" t="s">
        <v>951</v>
      </c>
      <c r="F13392" s="1516"/>
      <c r="G13392" s="1516"/>
      <c r="H13392" s="1516"/>
      <c r="K13392" t="s">
        <v>4413</v>
      </c>
      <c r="V13392">
        <v>280</v>
      </c>
    </row>
    <row r="13393" spans="1:22" customFormat="1" ht="15" x14ac:dyDescent="0.25">
      <c r="A13393" t="s">
        <v>176</v>
      </c>
      <c r="E13393" s="1516" t="s">
        <v>952</v>
      </c>
      <c r="F13393" s="1516"/>
      <c r="G13393" s="1516"/>
      <c r="H13393" s="1516"/>
      <c r="K13393" t="s">
        <v>4413</v>
      </c>
      <c r="V13393">
        <v>411</v>
      </c>
    </row>
    <row r="13394" spans="1:22" customFormat="1" ht="15" x14ac:dyDescent="0.25">
      <c r="A13394" t="s">
        <v>176</v>
      </c>
      <c r="E13394" s="1516" t="s">
        <v>1103</v>
      </c>
      <c r="F13394" s="1516"/>
      <c r="G13394" s="1516"/>
      <c r="H13394" s="1516"/>
      <c r="K13394" t="s">
        <v>4413</v>
      </c>
      <c r="V13394">
        <v>211</v>
      </c>
    </row>
    <row r="13395" spans="1:22" customFormat="1" ht="15" x14ac:dyDescent="0.25">
      <c r="A13395" t="s">
        <v>176</v>
      </c>
      <c r="E13395" s="1516" t="s">
        <v>3762</v>
      </c>
      <c r="F13395" s="1516"/>
      <c r="G13395" s="1516"/>
      <c r="H13395" s="1516"/>
      <c r="K13395" t="s">
        <v>4413</v>
      </c>
      <c r="V13395">
        <v>247</v>
      </c>
    </row>
    <row r="13396" spans="1:22" customFormat="1" ht="15" x14ac:dyDescent="0.25">
      <c r="A13396" t="s">
        <v>176</v>
      </c>
      <c r="E13396" s="1596" t="s">
        <v>956</v>
      </c>
      <c r="F13396" s="1572"/>
      <c r="G13396" s="1572"/>
      <c r="H13396" s="1572"/>
      <c r="K13396" t="s">
        <v>1026</v>
      </c>
      <c r="V13396">
        <v>46</v>
      </c>
    </row>
    <row r="13397" spans="1:22" customFormat="1" ht="15" x14ac:dyDescent="0.25">
      <c r="A13397" t="s">
        <v>176</v>
      </c>
      <c r="E13397" s="1561" t="s">
        <v>3773</v>
      </c>
      <c r="F13397" s="1561"/>
      <c r="G13397" s="584" t="s">
        <v>777</v>
      </c>
      <c r="H13397" s="576">
        <v>5</v>
      </c>
      <c r="K13397" t="s">
        <v>4413</v>
      </c>
      <c r="L13397" t="s">
        <v>690</v>
      </c>
      <c r="P13397" t="s">
        <v>4414</v>
      </c>
      <c r="V13397">
        <v>14</v>
      </c>
    </row>
    <row r="13398" spans="1:22" customFormat="1" ht="18.75" x14ac:dyDescent="0.3">
      <c r="A13398" t="s">
        <v>176</v>
      </c>
      <c r="E13398" s="840" t="s">
        <v>3825</v>
      </c>
      <c r="F13398" s="381"/>
      <c r="G13398" s="381"/>
      <c r="H13398" s="382"/>
      <c r="K13398" t="s">
        <v>5271</v>
      </c>
      <c r="V13398">
        <v>10</v>
      </c>
    </row>
    <row r="13399" spans="1:22" customFormat="1" ht="15" x14ac:dyDescent="0.25">
      <c r="A13399" t="s">
        <v>176</v>
      </c>
      <c r="E13399" s="1561" t="s">
        <v>1078</v>
      </c>
      <c r="F13399" s="1561"/>
      <c r="G13399" s="584" t="s">
        <v>3775</v>
      </c>
      <c r="H13399" s="577">
        <v>-0.28999999999999998</v>
      </c>
      <c r="V13399">
        <v>68</v>
      </c>
    </row>
    <row r="13400" spans="1:22" customFormat="1" ht="15" x14ac:dyDescent="0.25">
      <c r="A13400" t="s">
        <v>176</v>
      </c>
      <c r="E13400" s="1561" t="s">
        <v>1079</v>
      </c>
      <c r="F13400" s="1561"/>
      <c r="G13400" s="584" t="s">
        <v>1118</v>
      </c>
      <c r="H13400" s="576">
        <v>-1</v>
      </c>
      <c r="V13400">
        <v>87</v>
      </c>
    </row>
    <row r="13401" spans="1:22" customFormat="1" ht="18.75" x14ac:dyDescent="0.3">
      <c r="A13401" t="s">
        <v>176</v>
      </c>
      <c r="E13401" s="1647" t="s">
        <v>3828</v>
      </c>
      <c r="F13401" s="1766"/>
      <c r="G13401" s="1766"/>
      <c r="H13401" s="1766"/>
      <c r="K13401" t="s">
        <v>5272</v>
      </c>
      <c r="V13401">
        <v>24</v>
      </c>
    </row>
    <row r="13402" spans="1:22" customFormat="1" ht="15" x14ac:dyDescent="0.25">
      <c r="A13402" t="s">
        <v>176</v>
      </c>
      <c r="E13402" s="1516" t="s">
        <v>951</v>
      </c>
      <c r="F13402" s="1516"/>
      <c r="G13402" s="1516"/>
      <c r="H13402" s="1516"/>
      <c r="V13402">
        <v>280</v>
      </c>
    </row>
    <row r="13403" spans="1:22" customFormat="1" ht="15" x14ac:dyDescent="0.25">
      <c r="A13403" t="s">
        <v>176</v>
      </c>
      <c r="E13403" s="1516" t="s">
        <v>1081</v>
      </c>
      <c r="F13403" s="1516"/>
      <c r="G13403" s="1516"/>
      <c r="H13403" s="1516"/>
      <c r="V13403">
        <v>353</v>
      </c>
    </row>
    <row r="13404" spans="1:22" customFormat="1" ht="15" x14ac:dyDescent="0.25">
      <c r="A13404" t="s">
        <v>176</v>
      </c>
      <c r="E13404" s="1516" t="s">
        <v>3762</v>
      </c>
      <c r="F13404" s="1516"/>
      <c r="G13404" s="1516"/>
      <c r="H13404" s="1516"/>
      <c r="V13404">
        <v>247</v>
      </c>
    </row>
    <row r="13405" spans="1:22" customFormat="1" ht="15" x14ac:dyDescent="0.25">
      <c r="A13405" t="s">
        <v>176</v>
      </c>
      <c r="E13405" s="839" t="s">
        <v>3830</v>
      </c>
      <c r="F13405" s="838"/>
      <c r="G13405" s="838"/>
      <c r="H13405" s="433"/>
      <c r="K13405" t="s">
        <v>5273</v>
      </c>
      <c r="V13405">
        <v>23</v>
      </c>
    </row>
    <row r="13406" spans="1:22" customFormat="1" ht="15" x14ac:dyDescent="0.25">
      <c r="A13406" t="s">
        <v>176</v>
      </c>
      <c r="E13406" s="1569" t="s">
        <v>5149</v>
      </c>
      <c r="F13406" s="1569"/>
      <c r="G13406" s="584" t="s">
        <v>777</v>
      </c>
      <c r="H13406" s="576">
        <v>25</v>
      </c>
      <c r="V13406">
        <v>42</v>
      </c>
    </row>
    <row r="13407" spans="1:22" customFormat="1" ht="15" x14ac:dyDescent="0.25">
      <c r="A13407" t="s">
        <v>176</v>
      </c>
      <c r="E13407" s="1569" t="s">
        <v>5151</v>
      </c>
      <c r="F13407" s="1569"/>
      <c r="G13407" s="584" t="s">
        <v>777</v>
      </c>
      <c r="H13407" s="576">
        <v>25</v>
      </c>
      <c r="V13407">
        <v>96</v>
      </c>
    </row>
    <row r="13408" spans="1:22" customFormat="1" ht="15" x14ac:dyDescent="0.25">
      <c r="A13408" t="s">
        <v>176</v>
      </c>
      <c r="E13408" s="1569" t="s">
        <v>5274</v>
      </c>
      <c r="F13408" s="1569"/>
      <c r="G13408" s="584" t="s">
        <v>777</v>
      </c>
      <c r="H13408" s="576">
        <v>25</v>
      </c>
      <c r="V13408">
        <v>26</v>
      </c>
    </row>
    <row r="13409" spans="1:22" customFormat="1" ht="15" x14ac:dyDescent="0.25">
      <c r="A13409" t="s">
        <v>176</v>
      </c>
      <c r="E13409" s="859" t="s">
        <v>4062</v>
      </c>
      <c r="F13409" s="1"/>
      <c r="G13409" s="1"/>
      <c r="H13409" s="649"/>
      <c r="K13409" t="s">
        <v>5275</v>
      </c>
      <c r="V13409">
        <v>22</v>
      </c>
    </row>
    <row r="13410" spans="1:22" customFormat="1" ht="15" x14ac:dyDescent="0.25">
      <c r="A13410" t="s">
        <v>176</v>
      </c>
      <c r="E13410" s="1767" t="s">
        <v>5276</v>
      </c>
      <c r="F13410" s="1767"/>
      <c r="G13410" s="584" t="s">
        <v>1118</v>
      </c>
      <c r="H13410" s="576">
        <v>1.5</v>
      </c>
      <c r="V13410">
        <v>114</v>
      </c>
    </row>
    <row r="13411" spans="1:22" customFormat="1" ht="15" x14ac:dyDescent="0.25">
      <c r="A13411" t="s">
        <v>176</v>
      </c>
      <c r="E13411" s="1569" t="s">
        <v>5155</v>
      </c>
      <c r="F13411" s="1569"/>
      <c r="G13411" s="584" t="s">
        <v>777</v>
      </c>
      <c r="H13411" s="576">
        <v>28</v>
      </c>
      <c r="V13411">
        <v>52</v>
      </c>
    </row>
    <row r="13412" spans="1:22" customFormat="1" ht="15" x14ac:dyDescent="0.25">
      <c r="A13412" t="s">
        <v>176</v>
      </c>
      <c r="E13412" s="1569" t="s">
        <v>5156</v>
      </c>
      <c r="F13412" s="1569"/>
      <c r="G13412" s="584" t="s">
        <v>777</v>
      </c>
      <c r="H13412" s="576">
        <v>315</v>
      </c>
      <c r="V13412">
        <v>51</v>
      </c>
    </row>
    <row r="13413" spans="1:22" customFormat="1" ht="15" x14ac:dyDescent="0.25">
      <c r="A13413" t="s">
        <v>176</v>
      </c>
      <c r="E13413" s="1569" t="s">
        <v>5157</v>
      </c>
      <c r="F13413" s="1569"/>
      <c r="G13413" s="584" t="s">
        <v>777</v>
      </c>
      <c r="H13413" s="576">
        <v>28</v>
      </c>
      <c r="V13413">
        <v>51</v>
      </c>
    </row>
    <row r="13414" spans="1:22" customFormat="1" ht="15" x14ac:dyDescent="0.25">
      <c r="A13414" t="s">
        <v>176</v>
      </c>
      <c r="E13414" s="1569" t="s">
        <v>5158</v>
      </c>
      <c r="F13414" s="1569"/>
      <c r="G13414" s="584" t="s">
        <v>777</v>
      </c>
      <c r="H13414" s="576">
        <v>315</v>
      </c>
      <c r="V13414">
        <v>50</v>
      </c>
    </row>
    <row r="13415" spans="1:22" customFormat="1" ht="15" x14ac:dyDescent="0.25">
      <c r="A13415" t="s">
        <v>176</v>
      </c>
      <c r="E13415" s="839" t="s">
        <v>3846</v>
      </c>
      <c r="F13415" s="807"/>
      <c r="G13415" s="268"/>
      <c r="H13415" s="650"/>
      <c r="V13415">
        <v>5</v>
      </c>
    </row>
    <row r="13416" spans="1:22" customFormat="1" ht="15" x14ac:dyDescent="0.25">
      <c r="A13416" t="s">
        <v>176</v>
      </c>
      <c r="E13416" s="1569" t="s">
        <v>5277</v>
      </c>
      <c r="F13416" s="1569"/>
      <c r="G13416" s="584" t="s">
        <v>777</v>
      </c>
      <c r="H13416" s="576">
        <v>39.14</v>
      </c>
      <c r="V13416">
        <v>67</v>
      </c>
    </row>
    <row r="13417" spans="1:22" customFormat="1" ht="15" x14ac:dyDescent="0.25">
      <c r="A13417" t="s">
        <v>176</v>
      </c>
      <c r="E13417" s="1569" t="s">
        <v>5278</v>
      </c>
      <c r="F13417" s="1569"/>
      <c r="G13417" s="584"/>
      <c r="H13417" s="650">
        <v>39.14</v>
      </c>
      <c r="V13417">
        <v>51</v>
      </c>
    </row>
    <row r="13418" spans="1:22" customFormat="1" ht="18.75" x14ac:dyDescent="0.3">
      <c r="A13418" t="s">
        <v>176</v>
      </c>
      <c r="E13418" s="1647" t="s">
        <v>3851</v>
      </c>
      <c r="F13418" s="1766"/>
      <c r="G13418" s="1766"/>
      <c r="H13418" s="1766"/>
      <c r="K13418" t="s">
        <v>5279</v>
      </c>
      <c r="V13418">
        <v>38</v>
      </c>
    </row>
    <row r="13419" spans="1:22" customFormat="1" ht="15" x14ac:dyDescent="0.25">
      <c r="A13419" t="s">
        <v>176</v>
      </c>
      <c r="E13419" s="1516" t="s">
        <v>951</v>
      </c>
      <c r="F13419" s="1516"/>
      <c r="G13419" s="1516"/>
      <c r="H13419" s="1516"/>
      <c r="V13419">
        <v>280</v>
      </c>
    </row>
    <row r="13420" spans="1:22" customFormat="1" ht="15" x14ac:dyDescent="0.25">
      <c r="A13420" t="s">
        <v>176</v>
      </c>
      <c r="E13420" s="1516" t="s">
        <v>952</v>
      </c>
      <c r="F13420" s="1516"/>
      <c r="G13420" s="1516"/>
      <c r="H13420" s="1516"/>
      <c r="V13420">
        <v>411</v>
      </c>
    </row>
    <row r="13421" spans="1:22" customFormat="1" ht="15" x14ac:dyDescent="0.25">
      <c r="A13421" t="s">
        <v>176</v>
      </c>
      <c r="E13421" s="1516" t="s">
        <v>1103</v>
      </c>
      <c r="F13421" s="1516"/>
      <c r="G13421" s="1516"/>
      <c r="H13421" s="1516"/>
      <c r="V13421">
        <v>211</v>
      </c>
    </row>
    <row r="13422" spans="1:22" customFormat="1" ht="15" x14ac:dyDescent="0.25">
      <c r="A13422" t="s">
        <v>176</v>
      </c>
      <c r="E13422" s="1516" t="s">
        <v>3762</v>
      </c>
      <c r="F13422" s="1516"/>
      <c r="G13422" s="1516"/>
      <c r="H13422" s="1516"/>
      <c r="V13422">
        <v>247</v>
      </c>
    </row>
    <row r="13423" spans="1:22" customFormat="1" ht="15" x14ac:dyDescent="0.25">
      <c r="A13423" t="s">
        <v>176</v>
      </c>
      <c r="E13423" s="1516" t="s">
        <v>1104</v>
      </c>
      <c r="F13423" s="1516"/>
      <c r="G13423" s="1516"/>
      <c r="H13423" s="1516"/>
      <c r="V13423">
        <v>142</v>
      </c>
    </row>
    <row r="13424" spans="1:22" customFormat="1" ht="15" x14ac:dyDescent="0.25">
      <c r="A13424" t="s">
        <v>176</v>
      </c>
      <c r="E13424" s="1561" t="s">
        <v>849</v>
      </c>
      <c r="F13424" s="1561"/>
      <c r="G13424" s="585" t="s">
        <v>777</v>
      </c>
      <c r="H13424" s="349">
        <v>121.23</v>
      </c>
      <c r="V13424">
        <v>106</v>
      </c>
    </row>
    <row r="13425" spans="1:22" customFormat="1" ht="15" x14ac:dyDescent="0.25">
      <c r="A13425" t="s">
        <v>176</v>
      </c>
      <c r="E13425" s="1561" t="s">
        <v>850</v>
      </c>
      <c r="F13425" s="1561"/>
      <c r="G13425" s="585" t="s">
        <v>777</v>
      </c>
      <c r="H13425" s="349">
        <v>48.5</v>
      </c>
      <c r="V13425">
        <v>34</v>
      </c>
    </row>
    <row r="13426" spans="1:22" customFormat="1" ht="15" x14ac:dyDescent="0.25">
      <c r="A13426" t="s">
        <v>176</v>
      </c>
      <c r="E13426" s="1561" t="s">
        <v>851</v>
      </c>
      <c r="F13426" s="1561"/>
      <c r="G13426" s="585" t="s">
        <v>852</v>
      </c>
      <c r="H13426" s="349">
        <v>1.2</v>
      </c>
      <c r="V13426">
        <v>51</v>
      </c>
    </row>
    <row r="13427" spans="1:22" customFormat="1" ht="15" x14ac:dyDescent="0.25">
      <c r="A13427" t="s">
        <v>176</v>
      </c>
      <c r="E13427" s="1561" t="s">
        <v>853</v>
      </c>
      <c r="F13427" s="1561"/>
      <c r="G13427" s="585" t="s">
        <v>852</v>
      </c>
      <c r="H13427" s="349">
        <v>0.71</v>
      </c>
      <c r="V13427">
        <v>75</v>
      </c>
    </row>
    <row r="13428" spans="1:22" customFormat="1" ht="15" x14ac:dyDescent="0.25">
      <c r="A13428" t="s">
        <v>176</v>
      </c>
      <c r="E13428" s="1561" t="s">
        <v>854</v>
      </c>
      <c r="F13428" s="1561"/>
      <c r="G13428" s="585" t="s">
        <v>852</v>
      </c>
      <c r="H13428" s="349">
        <v>-0.71</v>
      </c>
      <c r="V13428">
        <v>72</v>
      </c>
    </row>
    <row r="13429" spans="1:22" customFormat="1" ht="15" x14ac:dyDescent="0.25">
      <c r="A13429" t="s">
        <v>176</v>
      </c>
      <c r="E13429" s="1561" t="s">
        <v>855</v>
      </c>
      <c r="F13429" s="1561"/>
      <c r="G13429" s="585"/>
      <c r="H13429" s="651"/>
      <c r="V13429">
        <v>34</v>
      </c>
    </row>
    <row r="13430" spans="1:22" customFormat="1" ht="15" x14ac:dyDescent="0.25">
      <c r="A13430" t="s">
        <v>176</v>
      </c>
      <c r="E13430" s="1574" t="s">
        <v>1106</v>
      </c>
      <c r="F13430" s="1574"/>
      <c r="G13430" s="585" t="s">
        <v>777</v>
      </c>
      <c r="H13430" s="349">
        <v>0.61</v>
      </c>
      <c r="V13430">
        <v>57</v>
      </c>
    </row>
    <row r="13431" spans="1:22" customFormat="1" ht="15" x14ac:dyDescent="0.25">
      <c r="A13431" t="s">
        <v>176</v>
      </c>
      <c r="E13431" s="1574" t="s">
        <v>1107</v>
      </c>
      <c r="F13431" s="1574"/>
      <c r="G13431" s="585" t="s">
        <v>777</v>
      </c>
      <c r="H13431" s="349">
        <v>1.2</v>
      </c>
      <c r="V13431">
        <v>60</v>
      </c>
    </row>
    <row r="13432" spans="1:22" customFormat="1" ht="15" x14ac:dyDescent="0.25">
      <c r="A13432" t="s">
        <v>176</v>
      </c>
      <c r="E13432" s="1561" t="s">
        <v>1108</v>
      </c>
      <c r="F13432" s="1561"/>
      <c r="G13432" s="585"/>
      <c r="H13432" s="651"/>
      <c r="V13432">
        <v>91</v>
      </c>
    </row>
    <row r="13433" spans="1:22" customFormat="1" ht="15" x14ac:dyDescent="0.25">
      <c r="A13433" t="s">
        <v>176</v>
      </c>
      <c r="E13433" s="1561" t="s">
        <v>1109</v>
      </c>
      <c r="F13433" s="1561"/>
      <c r="G13433" s="585"/>
      <c r="H13433" s="651"/>
      <c r="V13433">
        <v>96</v>
      </c>
    </row>
    <row r="13434" spans="1:22" customFormat="1" ht="15" x14ac:dyDescent="0.25">
      <c r="A13434" t="s">
        <v>176</v>
      </c>
      <c r="E13434" s="1561" t="s">
        <v>856</v>
      </c>
      <c r="F13434" s="1561"/>
      <c r="G13434" s="585"/>
      <c r="H13434" s="651"/>
      <c r="V13434">
        <v>77</v>
      </c>
    </row>
    <row r="13435" spans="1:22" customFormat="1" ht="15" x14ac:dyDescent="0.25">
      <c r="A13435" t="s">
        <v>176</v>
      </c>
      <c r="E13435" s="1574" t="s">
        <v>1111</v>
      </c>
      <c r="F13435" s="1574"/>
      <c r="G13435" s="585" t="s">
        <v>777</v>
      </c>
      <c r="H13435" s="651" t="s">
        <v>857</v>
      </c>
      <c r="V13435">
        <v>18</v>
      </c>
    </row>
    <row r="13436" spans="1:22" customFormat="1" ht="15" x14ac:dyDescent="0.25">
      <c r="A13436" t="s">
        <v>176</v>
      </c>
      <c r="E13436" s="1574" t="s">
        <v>1112</v>
      </c>
      <c r="F13436" s="1574"/>
      <c r="G13436" s="585" t="s">
        <v>777</v>
      </c>
      <c r="H13436" s="349">
        <v>4.8499999999999996</v>
      </c>
      <c r="V13436">
        <v>69</v>
      </c>
    </row>
    <row r="13437" spans="1:22" customFormat="1" ht="15" x14ac:dyDescent="0.25">
      <c r="A13437" t="s">
        <v>176</v>
      </c>
      <c r="E13437" s="1507" t="s">
        <v>858</v>
      </c>
      <c r="F13437" s="1507"/>
      <c r="G13437" s="268" t="s">
        <v>777</v>
      </c>
      <c r="H13437" s="576">
        <v>2.42</v>
      </c>
      <c r="V13437">
        <v>199</v>
      </c>
    </row>
    <row r="13438" spans="1:22" customFormat="1" ht="15" x14ac:dyDescent="0.25">
      <c r="A13438" t="s">
        <v>176</v>
      </c>
      <c r="E13438" s="1647" t="s">
        <v>3853</v>
      </c>
      <c r="F13438" s="1754"/>
      <c r="G13438" s="1754"/>
      <c r="H13438" s="1754"/>
      <c r="K13438" t="s">
        <v>5280</v>
      </c>
      <c r="V13438">
        <v>12</v>
      </c>
    </row>
    <row r="13439" spans="1:22" customFormat="1" ht="15" x14ac:dyDescent="0.25">
      <c r="A13439" t="s">
        <v>176</v>
      </c>
      <c r="E13439" s="1507" t="s">
        <v>1114</v>
      </c>
      <c r="F13439" s="1507"/>
      <c r="G13439" s="1507"/>
      <c r="H13439" s="1507"/>
      <c r="V13439">
        <v>203</v>
      </c>
    </row>
    <row r="13440" spans="1:22" customFormat="1" ht="15" x14ac:dyDescent="0.25">
      <c r="A13440" t="s">
        <v>176</v>
      </c>
      <c r="E13440" s="1561" t="s">
        <v>1115</v>
      </c>
      <c r="F13440" s="1561"/>
      <c r="G13440" s="584"/>
      <c r="H13440" s="650">
        <v>1.0753999999999999</v>
      </c>
      <c r="V13440">
        <v>57</v>
      </c>
    </row>
    <row r="13441" spans="1:22" customFormat="1" ht="15" x14ac:dyDescent="0.25">
      <c r="A13441" t="s">
        <v>176</v>
      </c>
      <c r="E13441" s="1561" t="s">
        <v>1117</v>
      </c>
      <c r="F13441" s="1561"/>
      <c r="G13441" s="584"/>
      <c r="H13441" s="650">
        <v>1.0647524752475246</v>
      </c>
      <c r="J13441" t="s">
        <v>5281</v>
      </c>
      <c r="V13441">
        <v>55</v>
      </c>
    </row>
    <row r="13442" spans="1:22" customFormat="1" ht="23.25" x14ac:dyDescent="0.25">
      <c r="A13442" t="s">
        <v>273</v>
      </c>
      <c r="C13442" t="s">
        <v>3755</v>
      </c>
      <c r="E13442" s="1576" t="s">
        <v>273</v>
      </c>
      <c r="F13442" s="1685"/>
      <c r="G13442" s="1685"/>
      <c r="H13442" s="1685"/>
      <c r="I13442" t="s">
        <v>94</v>
      </c>
      <c r="J13442" t="s">
        <v>5446</v>
      </c>
      <c r="K13442" t="s">
        <v>273</v>
      </c>
      <c r="M13442">
        <v>7</v>
      </c>
      <c r="V13442">
        <v>32</v>
      </c>
    </row>
    <row r="13443" spans="1:22" customFormat="1" x14ac:dyDescent="0.25">
      <c r="A13443" t="s">
        <v>273</v>
      </c>
      <c r="C13443" t="s">
        <v>3757</v>
      </c>
      <c r="E13443" s="1577" t="s">
        <v>944</v>
      </c>
      <c r="F13443" s="1686"/>
      <c r="G13443" s="1686"/>
      <c r="H13443" s="1686"/>
      <c r="V13443">
        <v>27</v>
      </c>
    </row>
    <row r="13444" spans="1:22" customFormat="1" ht="15.75" x14ac:dyDescent="0.25">
      <c r="A13444" t="s">
        <v>273</v>
      </c>
      <c r="C13444" t="s">
        <v>3758</v>
      </c>
      <c r="E13444" s="1585" t="s">
        <v>6847</v>
      </c>
      <c r="F13444" s="1585"/>
      <c r="G13444" s="1585"/>
      <c r="H13444" s="1585"/>
      <c r="S13444">
        <v>45778</v>
      </c>
      <c r="V13444">
        <v>45</v>
      </c>
    </row>
    <row r="13445" spans="1:22" customFormat="1" ht="15" x14ac:dyDescent="0.25">
      <c r="A13445" t="s">
        <v>273</v>
      </c>
      <c r="C13445" t="s">
        <v>3759</v>
      </c>
      <c r="E13445" s="1575" t="s">
        <v>945</v>
      </c>
      <c r="F13445" s="1679"/>
      <c r="G13445" s="1679"/>
      <c r="H13445" s="1679"/>
      <c r="V13445">
        <v>52</v>
      </c>
    </row>
    <row r="13446" spans="1:22" customFormat="1" ht="15" x14ac:dyDescent="0.25">
      <c r="A13446" t="s">
        <v>273</v>
      </c>
      <c r="E13446" s="1575" t="s">
        <v>946</v>
      </c>
      <c r="F13446" s="1679"/>
      <c r="G13446" s="1679"/>
      <c r="H13446" s="1679"/>
      <c r="V13446">
        <v>53</v>
      </c>
    </row>
    <row r="13447" spans="1:22" customFormat="1" ht="15" x14ac:dyDescent="0.25">
      <c r="A13447" t="s">
        <v>273</v>
      </c>
      <c r="E13447" s="1534" t="s">
        <v>7593</v>
      </c>
      <c r="F13447" s="1534"/>
      <c r="G13447" s="1534"/>
      <c r="H13447" s="1534"/>
      <c r="K13447" t="s">
        <v>7593</v>
      </c>
      <c r="V13447">
        <v>12</v>
      </c>
    </row>
    <row r="13448" spans="1:22" customFormat="1" ht="15" x14ac:dyDescent="0.25">
      <c r="A13448" t="s">
        <v>273</v>
      </c>
      <c r="E13448" s="1538" t="s">
        <v>170</v>
      </c>
      <c r="F13448" s="1496"/>
      <c r="G13448" s="1496"/>
      <c r="H13448" s="1496"/>
      <c r="K13448" t="s">
        <v>947</v>
      </c>
      <c r="V13448">
        <v>34</v>
      </c>
    </row>
    <row r="13449" spans="1:22" customFormat="1" ht="15" x14ac:dyDescent="0.25">
      <c r="A13449" t="s">
        <v>273</v>
      </c>
      <c r="E13449" s="1496" t="s">
        <v>5447</v>
      </c>
      <c r="F13449" s="1496"/>
      <c r="G13449" s="1496"/>
      <c r="H13449" s="1496"/>
      <c r="K13449" t="s">
        <v>947</v>
      </c>
      <c r="V13449">
        <v>414</v>
      </c>
    </row>
    <row r="13450" spans="1:22" customFormat="1" ht="15" x14ac:dyDescent="0.25">
      <c r="A13450" t="s">
        <v>273</v>
      </c>
      <c r="E13450" s="1533" t="s">
        <v>950</v>
      </c>
      <c r="F13450" s="1496"/>
      <c r="G13450" s="1496"/>
      <c r="H13450" s="1496"/>
      <c r="K13450" t="s">
        <v>949</v>
      </c>
      <c r="V13450">
        <v>11</v>
      </c>
    </row>
    <row r="13451" spans="1:22" customFormat="1" ht="15" x14ac:dyDescent="0.25">
      <c r="A13451" t="s">
        <v>273</v>
      </c>
      <c r="E13451" s="1496" t="s">
        <v>951</v>
      </c>
      <c r="F13451" s="1496"/>
      <c r="G13451" s="1496"/>
      <c r="H13451" s="1496"/>
      <c r="K13451" t="s">
        <v>947</v>
      </c>
      <c r="V13451">
        <v>280</v>
      </c>
    </row>
    <row r="13452" spans="1:22" customFormat="1" ht="15" x14ac:dyDescent="0.25">
      <c r="A13452" t="s">
        <v>273</v>
      </c>
      <c r="E13452" s="1496" t="s">
        <v>952</v>
      </c>
      <c r="F13452" s="1496"/>
      <c r="G13452" s="1496"/>
      <c r="H13452" s="1496"/>
      <c r="K13452" t="s">
        <v>947</v>
      </c>
      <c r="V13452">
        <v>411</v>
      </c>
    </row>
    <row r="13453" spans="1:22" customFormat="1" ht="15" x14ac:dyDescent="0.25">
      <c r="A13453" t="s">
        <v>273</v>
      </c>
      <c r="E13453" s="1496" t="s">
        <v>3761</v>
      </c>
      <c r="F13453" s="1496"/>
      <c r="G13453" s="1496"/>
      <c r="H13453" s="1496"/>
      <c r="K13453" t="s">
        <v>947</v>
      </c>
      <c r="V13453">
        <v>387</v>
      </c>
    </row>
    <row r="13454" spans="1:22" customFormat="1" ht="15" x14ac:dyDescent="0.25">
      <c r="A13454" t="s">
        <v>273</v>
      </c>
      <c r="E13454" s="1496" t="s">
        <v>3762</v>
      </c>
      <c r="F13454" s="1496"/>
      <c r="G13454" s="1496"/>
      <c r="H13454" s="1496"/>
      <c r="K13454" t="s">
        <v>947</v>
      </c>
      <c r="V13454">
        <v>247</v>
      </c>
    </row>
    <row r="13455" spans="1:22" customFormat="1" ht="15" x14ac:dyDescent="0.25">
      <c r="A13455" t="s">
        <v>273</v>
      </c>
      <c r="E13455" s="1488" t="s">
        <v>956</v>
      </c>
      <c r="F13455" s="1590"/>
      <c r="G13455" s="1590"/>
      <c r="H13455" s="1590"/>
      <c r="K13455" t="s">
        <v>955</v>
      </c>
      <c r="V13455">
        <v>46</v>
      </c>
    </row>
    <row r="13456" spans="1:22" customFormat="1" ht="15" x14ac:dyDescent="0.25">
      <c r="A13456" t="s">
        <v>273</v>
      </c>
      <c r="E13456" s="1597" t="s">
        <v>3773</v>
      </c>
      <c r="F13456" s="1597"/>
      <c r="G13456" s="892" t="s">
        <v>777</v>
      </c>
      <c r="H13456" s="349">
        <v>40.01</v>
      </c>
      <c r="K13456" t="s">
        <v>947</v>
      </c>
      <c r="L13456" t="s">
        <v>690</v>
      </c>
      <c r="P13456" t="s">
        <v>957</v>
      </c>
      <c r="V13456">
        <v>14</v>
      </c>
    </row>
    <row r="13457" spans="1:22" customFormat="1" ht="15" x14ac:dyDescent="0.25">
      <c r="A13457" t="s">
        <v>273</v>
      </c>
      <c r="E13457" s="1597" t="s">
        <v>7594</v>
      </c>
      <c r="F13457" s="1598"/>
      <c r="G13457" s="360" t="s">
        <v>777</v>
      </c>
      <c r="H13457" s="576">
        <v>-0.02</v>
      </c>
      <c r="K13457" t="s">
        <v>947</v>
      </c>
      <c r="L13457" t="s">
        <v>692</v>
      </c>
      <c r="P13457" t="s">
        <v>963</v>
      </c>
      <c r="T13457">
        <v>46142</v>
      </c>
      <c r="V13457">
        <v>116</v>
      </c>
    </row>
    <row r="13458" spans="1:22" customFormat="1" ht="15" x14ac:dyDescent="0.25">
      <c r="A13458" t="s">
        <v>273</v>
      </c>
      <c r="E13458" s="1597" t="s">
        <v>7595</v>
      </c>
      <c r="F13458" s="1598"/>
      <c r="G13458" s="892" t="s">
        <v>777</v>
      </c>
      <c r="H13458" s="349">
        <v>-0.9</v>
      </c>
      <c r="K13458" t="s">
        <v>947</v>
      </c>
      <c r="L13458" t="s">
        <v>690</v>
      </c>
      <c r="P13458" t="s">
        <v>963</v>
      </c>
      <c r="T13458">
        <v>46142</v>
      </c>
      <c r="V13458">
        <v>104</v>
      </c>
    </row>
    <row r="13459" spans="1:22" customFormat="1" ht="15" x14ac:dyDescent="0.25">
      <c r="A13459" t="s">
        <v>273</v>
      </c>
      <c r="E13459" s="1597" t="s">
        <v>960</v>
      </c>
      <c r="F13459" s="1597"/>
      <c r="G13459" s="892" t="s">
        <v>777</v>
      </c>
      <c r="H13459" s="642">
        <v>0.42</v>
      </c>
      <c r="K13459" t="s">
        <v>947</v>
      </c>
      <c r="L13459" t="s">
        <v>692</v>
      </c>
      <c r="P13459" t="s">
        <v>959</v>
      </c>
      <c r="V13459">
        <v>64</v>
      </c>
    </row>
    <row r="13460" spans="1:22" customFormat="1" ht="15" x14ac:dyDescent="0.25">
      <c r="A13460" t="s">
        <v>273</v>
      </c>
      <c r="E13460" s="1597" t="s">
        <v>910</v>
      </c>
      <c r="F13460" s="1597"/>
      <c r="G13460" s="892" t="s">
        <v>845</v>
      </c>
      <c r="H13460" s="904">
        <v>4.1999999999999997E-3</v>
      </c>
      <c r="K13460" t="s">
        <v>947</v>
      </c>
      <c r="L13460" t="s">
        <v>692</v>
      </c>
      <c r="P13460" t="s">
        <v>961</v>
      </c>
      <c r="V13460">
        <v>24</v>
      </c>
    </row>
    <row r="13461" spans="1:22" customFormat="1" ht="15" x14ac:dyDescent="0.25">
      <c r="A13461" t="s">
        <v>273</v>
      </c>
      <c r="E13461" s="1597" t="s">
        <v>7584</v>
      </c>
      <c r="F13461" s="1598"/>
      <c r="G13461" s="892" t="s">
        <v>845</v>
      </c>
      <c r="H13461" s="904">
        <v>-2E-3</v>
      </c>
      <c r="K13461" t="s">
        <v>947</v>
      </c>
      <c r="L13461" t="s">
        <v>692</v>
      </c>
      <c r="P13461" t="s">
        <v>963</v>
      </c>
      <c r="T13461">
        <v>46142</v>
      </c>
      <c r="V13461">
        <v>104</v>
      </c>
    </row>
    <row r="13462" spans="1:22" customFormat="1" ht="15" x14ac:dyDescent="0.25">
      <c r="A13462" t="s">
        <v>273</v>
      </c>
      <c r="E13462" s="1597" t="s">
        <v>7596</v>
      </c>
      <c r="F13462" s="1598"/>
      <c r="G13462" s="360" t="s">
        <v>845</v>
      </c>
      <c r="H13462" s="605">
        <v>1.6999999999999999E-3</v>
      </c>
      <c r="K13462" t="s">
        <v>947</v>
      </c>
      <c r="L13462" t="s">
        <v>692</v>
      </c>
      <c r="P13462" t="s">
        <v>962</v>
      </c>
      <c r="T13462">
        <v>46142</v>
      </c>
      <c r="V13462">
        <v>140</v>
      </c>
    </row>
    <row r="13463" spans="1:22" customFormat="1" ht="15" x14ac:dyDescent="0.25">
      <c r="A13463" t="s">
        <v>273</v>
      </c>
      <c r="E13463" s="1597" t="s">
        <v>243</v>
      </c>
      <c r="F13463" s="1597"/>
      <c r="G13463" s="892" t="s">
        <v>845</v>
      </c>
      <c r="H13463" s="353">
        <v>8.8999999999999999E-3</v>
      </c>
      <c r="K13463" t="s">
        <v>947</v>
      </c>
      <c r="L13463" t="s">
        <v>694</v>
      </c>
      <c r="P13463" t="s">
        <v>964</v>
      </c>
      <c r="V13463">
        <v>47</v>
      </c>
    </row>
    <row r="13464" spans="1:22" customFormat="1" ht="15" x14ac:dyDescent="0.25">
      <c r="A13464" t="s">
        <v>273</v>
      </c>
      <c r="E13464" s="1597" t="s">
        <v>175</v>
      </c>
      <c r="F13464" s="1597"/>
      <c r="G13464" s="892" t="s">
        <v>845</v>
      </c>
      <c r="H13464" s="353">
        <v>7.1999999999999998E-3</v>
      </c>
      <c r="K13464" t="s">
        <v>947</v>
      </c>
      <c r="L13464" t="s">
        <v>694</v>
      </c>
      <c r="P13464" t="s">
        <v>965</v>
      </c>
      <c r="V13464">
        <v>74</v>
      </c>
    </row>
    <row r="13465" spans="1:22" customFormat="1" ht="15" x14ac:dyDescent="0.25">
      <c r="A13465" t="s">
        <v>273</v>
      </c>
      <c r="E13465" s="1488" t="s">
        <v>967</v>
      </c>
      <c r="F13465" s="1495"/>
      <c r="G13465" s="1495"/>
      <c r="H13465" s="1495"/>
      <c r="K13465" t="s">
        <v>966</v>
      </c>
      <c r="V13465">
        <v>48</v>
      </c>
    </row>
    <row r="13466" spans="1:22" customFormat="1" ht="15" x14ac:dyDescent="0.25">
      <c r="A13466" t="s">
        <v>273</v>
      </c>
      <c r="E13466" s="1495" t="s">
        <v>844</v>
      </c>
      <c r="F13466" s="1495"/>
      <c r="G13466" s="360" t="s">
        <v>845</v>
      </c>
      <c r="H13466" s="605">
        <v>4.1000000000000003E-3</v>
      </c>
      <c r="K13466" t="s">
        <v>947</v>
      </c>
      <c r="L13466" t="s">
        <v>968</v>
      </c>
      <c r="P13466" t="s">
        <v>969</v>
      </c>
      <c r="V13466">
        <v>55</v>
      </c>
    </row>
    <row r="13467" spans="1:22" customFormat="1" ht="15" x14ac:dyDescent="0.25">
      <c r="A13467" t="s">
        <v>273</v>
      </c>
      <c r="E13467" s="1495" t="s">
        <v>846</v>
      </c>
      <c r="F13467" s="1495"/>
      <c r="G13467" s="360" t="s">
        <v>845</v>
      </c>
      <c r="H13467" s="605">
        <v>4.0000000000000002E-4</v>
      </c>
      <c r="K13467" t="s">
        <v>947</v>
      </c>
      <c r="L13467" t="s">
        <v>968</v>
      </c>
      <c r="P13467" t="s">
        <v>969</v>
      </c>
      <c r="V13467">
        <v>65</v>
      </c>
    </row>
    <row r="13468" spans="1:22" customFormat="1" ht="15" x14ac:dyDescent="0.25">
      <c r="A13468" t="s">
        <v>273</v>
      </c>
      <c r="E13468" s="1495" t="s">
        <v>847</v>
      </c>
      <c r="F13468" s="1495"/>
      <c r="G13468" s="360" t="s">
        <v>845</v>
      </c>
      <c r="H13468" s="605">
        <v>1.5E-3</v>
      </c>
      <c r="K13468" t="s">
        <v>947</v>
      </c>
      <c r="L13468" t="s">
        <v>968</v>
      </c>
      <c r="P13468" t="s">
        <v>970</v>
      </c>
      <c r="V13468">
        <v>57</v>
      </c>
    </row>
    <row r="13469" spans="1:22" customFormat="1" ht="15" x14ac:dyDescent="0.25">
      <c r="A13469" t="s">
        <v>273</v>
      </c>
      <c r="E13469" s="1495" t="s">
        <v>848</v>
      </c>
      <c r="F13469" s="1495"/>
      <c r="G13469" s="360" t="s">
        <v>777</v>
      </c>
      <c r="H13469" s="604">
        <v>0.25</v>
      </c>
      <c r="K13469" t="s">
        <v>947</v>
      </c>
      <c r="L13469" t="s">
        <v>968</v>
      </c>
      <c r="P13469" t="s">
        <v>971</v>
      </c>
      <c r="V13469">
        <v>63</v>
      </c>
    </row>
    <row r="13470" spans="1:22" customFormat="1" x14ac:dyDescent="0.25">
      <c r="A13470" t="s">
        <v>273</v>
      </c>
      <c r="E13470" s="1538" t="s">
        <v>174</v>
      </c>
      <c r="F13470" s="1571"/>
      <c r="G13470" s="1571"/>
      <c r="H13470" s="1571"/>
      <c r="K13470" t="s">
        <v>972</v>
      </c>
      <c r="V13470">
        <v>54</v>
      </c>
    </row>
    <row r="13471" spans="1:22" customFormat="1" ht="15" x14ac:dyDescent="0.25">
      <c r="A13471" t="s">
        <v>273</v>
      </c>
      <c r="E13471" s="1496" t="s">
        <v>5449</v>
      </c>
      <c r="F13471" s="1496"/>
      <c r="G13471" s="1496"/>
      <c r="H13471" s="1496"/>
      <c r="K13471" t="s">
        <v>972</v>
      </c>
      <c r="V13471">
        <v>321</v>
      </c>
    </row>
    <row r="13472" spans="1:22" customFormat="1" ht="15" x14ac:dyDescent="0.25">
      <c r="A13472" t="s">
        <v>273</v>
      </c>
      <c r="E13472" s="1533" t="s">
        <v>950</v>
      </c>
      <c r="F13472" s="1496"/>
      <c r="G13472" s="1496"/>
      <c r="H13472" s="1496"/>
      <c r="K13472" t="s">
        <v>974</v>
      </c>
      <c r="V13472">
        <v>11</v>
      </c>
    </row>
    <row r="13473" spans="1:22" customFormat="1" ht="15" x14ac:dyDescent="0.25">
      <c r="A13473" t="s">
        <v>273</v>
      </c>
      <c r="E13473" s="1496" t="s">
        <v>951</v>
      </c>
      <c r="F13473" s="1496"/>
      <c r="G13473" s="1496"/>
      <c r="H13473" s="1496"/>
      <c r="K13473" t="s">
        <v>972</v>
      </c>
      <c r="V13473">
        <v>280</v>
      </c>
    </row>
    <row r="13474" spans="1:22" customFormat="1" ht="15" x14ac:dyDescent="0.25">
      <c r="A13474" t="s">
        <v>273</v>
      </c>
      <c r="E13474" s="1496" t="s">
        <v>952</v>
      </c>
      <c r="F13474" s="1496"/>
      <c r="G13474" s="1496"/>
      <c r="H13474" s="1496"/>
      <c r="K13474" t="s">
        <v>972</v>
      </c>
      <c r="V13474">
        <v>411</v>
      </c>
    </row>
    <row r="13475" spans="1:22" customFormat="1" ht="15" x14ac:dyDescent="0.25">
      <c r="A13475" t="s">
        <v>273</v>
      </c>
      <c r="E13475" s="1496" t="s">
        <v>3761</v>
      </c>
      <c r="F13475" s="1496"/>
      <c r="G13475" s="1496"/>
      <c r="H13475" s="1496"/>
      <c r="K13475" t="s">
        <v>972</v>
      </c>
      <c r="V13475">
        <v>387</v>
      </c>
    </row>
    <row r="13476" spans="1:22" customFormat="1" ht="15" x14ac:dyDescent="0.25">
      <c r="A13476" t="s">
        <v>273</v>
      </c>
      <c r="E13476" s="1496" t="s">
        <v>3762</v>
      </c>
      <c r="F13476" s="1496"/>
      <c r="G13476" s="1496"/>
      <c r="H13476" s="1496"/>
      <c r="K13476" t="s">
        <v>972</v>
      </c>
      <c r="V13476">
        <v>247</v>
      </c>
    </row>
    <row r="13477" spans="1:22" customFormat="1" ht="15" x14ac:dyDescent="0.25">
      <c r="A13477" t="s">
        <v>273</v>
      </c>
      <c r="E13477" s="1488" t="s">
        <v>956</v>
      </c>
      <c r="F13477" s="1590"/>
      <c r="G13477" s="1590"/>
      <c r="H13477" s="1590"/>
      <c r="K13477" t="s">
        <v>975</v>
      </c>
      <c r="V13477">
        <v>46</v>
      </c>
    </row>
    <row r="13478" spans="1:22" customFormat="1" ht="15" x14ac:dyDescent="0.25">
      <c r="A13478" t="s">
        <v>273</v>
      </c>
      <c r="E13478" s="1597" t="s">
        <v>3773</v>
      </c>
      <c r="F13478" s="1597"/>
      <c r="G13478" s="892" t="s">
        <v>777</v>
      </c>
      <c r="H13478" s="349">
        <v>45.05</v>
      </c>
      <c r="K13478" t="s">
        <v>972</v>
      </c>
      <c r="L13478" t="s">
        <v>690</v>
      </c>
      <c r="P13478" t="s">
        <v>976</v>
      </c>
      <c r="V13478">
        <v>14</v>
      </c>
    </row>
    <row r="13479" spans="1:22" customFormat="1" ht="15" x14ac:dyDescent="0.25">
      <c r="A13479" t="s">
        <v>273</v>
      </c>
      <c r="E13479" s="1597" t="s">
        <v>960</v>
      </c>
      <c r="F13479" s="1597"/>
      <c r="G13479" s="892" t="s">
        <v>777</v>
      </c>
      <c r="H13479" s="349">
        <v>0.42</v>
      </c>
      <c r="K13479" t="s">
        <v>972</v>
      </c>
      <c r="L13479" t="s">
        <v>692</v>
      </c>
      <c r="P13479" t="s">
        <v>977</v>
      </c>
      <c r="V13479">
        <v>64</v>
      </c>
    </row>
    <row r="13480" spans="1:22" customFormat="1" ht="15" x14ac:dyDescent="0.25">
      <c r="A13480" t="s">
        <v>273</v>
      </c>
      <c r="E13480" s="1597" t="s">
        <v>3688</v>
      </c>
      <c r="F13480" s="1597"/>
      <c r="G13480" s="892" t="s">
        <v>845</v>
      </c>
      <c r="H13480" s="353">
        <v>1.35E-2</v>
      </c>
      <c r="K13480" t="s">
        <v>972</v>
      </c>
      <c r="L13480" t="s">
        <v>690</v>
      </c>
      <c r="P13480" t="s">
        <v>978</v>
      </c>
      <c r="V13480">
        <v>28</v>
      </c>
    </row>
    <row r="13481" spans="1:22" customFormat="1" ht="15" x14ac:dyDescent="0.25">
      <c r="A13481" t="s">
        <v>273</v>
      </c>
      <c r="E13481" s="1597" t="s">
        <v>910</v>
      </c>
      <c r="F13481" s="1597"/>
      <c r="G13481" s="892" t="s">
        <v>845</v>
      </c>
      <c r="H13481" s="904">
        <v>3.8999999999999998E-3</v>
      </c>
      <c r="K13481" t="s">
        <v>972</v>
      </c>
      <c r="L13481" t="s">
        <v>692</v>
      </c>
      <c r="P13481" t="s">
        <v>980</v>
      </c>
      <c r="V13481">
        <v>24</v>
      </c>
    </row>
    <row r="13482" spans="1:22" customFormat="1" ht="15" x14ac:dyDescent="0.25">
      <c r="A13482" t="s">
        <v>273</v>
      </c>
      <c r="E13482" s="1597" t="s">
        <v>7584</v>
      </c>
      <c r="F13482" s="1598"/>
      <c r="G13482" s="892" t="s">
        <v>845</v>
      </c>
      <c r="H13482" s="904">
        <v>-1.9E-3</v>
      </c>
      <c r="K13482" t="s">
        <v>972</v>
      </c>
      <c r="L13482" t="s">
        <v>692</v>
      </c>
      <c r="P13482" t="s">
        <v>982</v>
      </c>
      <c r="T13482">
        <v>46142</v>
      </c>
      <c r="V13482">
        <v>104</v>
      </c>
    </row>
    <row r="13483" spans="1:22" customFormat="1" ht="15" x14ac:dyDescent="0.25">
      <c r="A13483" t="s">
        <v>273</v>
      </c>
      <c r="E13483" s="1597" t="s">
        <v>7597</v>
      </c>
      <c r="F13483" s="1598"/>
      <c r="G13483" s="360" t="s">
        <v>845</v>
      </c>
      <c r="H13483" s="605">
        <v>1.6999999999999999E-3</v>
      </c>
      <c r="K13483" t="s">
        <v>972</v>
      </c>
      <c r="L13483" t="s">
        <v>692</v>
      </c>
      <c r="P13483" t="s">
        <v>981</v>
      </c>
      <c r="T13483">
        <v>46142</v>
      </c>
      <c r="V13483">
        <v>140</v>
      </c>
    </row>
    <row r="13484" spans="1:22" customFormat="1" ht="15" x14ac:dyDescent="0.25">
      <c r="A13484" t="s">
        <v>273</v>
      </c>
      <c r="E13484" s="1597" t="s">
        <v>7595</v>
      </c>
      <c r="F13484" s="1598"/>
      <c r="G13484" s="892" t="s">
        <v>845</v>
      </c>
      <c r="H13484" s="904">
        <v>-1.2999999999999999E-3</v>
      </c>
      <c r="K13484" t="s">
        <v>972</v>
      </c>
      <c r="L13484" t="s">
        <v>690</v>
      </c>
      <c r="P13484" t="s">
        <v>982</v>
      </c>
      <c r="T13484">
        <v>46142</v>
      </c>
      <c r="V13484">
        <v>104</v>
      </c>
    </row>
    <row r="13485" spans="1:22" customFormat="1" ht="15" x14ac:dyDescent="0.25">
      <c r="A13485" t="s">
        <v>273</v>
      </c>
      <c r="E13485" s="1597" t="s">
        <v>243</v>
      </c>
      <c r="F13485" s="1597"/>
      <c r="G13485" s="892" t="s">
        <v>845</v>
      </c>
      <c r="H13485" s="353">
        <v>8.0999999999999996E-3</v>
      </c>
      <c r="K13485" t="s">
        <v>972</v>
      </c>
      <c r="L13485" t="s">
        <v>694</v>
      </c>
      <c r="P13485" t="s">
        <v>983</v>
      </c>
      <c r="V13485">
        <v>47</v>
      </c>
    </row>
    <row r="13486" spans="1:22" customFormat="1" ht="15" x14ac:dyDescent="0.25">
      <c r="A13486" t="s">
        <v>273</v>
      </c>
      <c r="E13486" s="1597" t="s">
        <v>175</v>
      </c>
      <c r="F13486" s="1597"/>
      <c r="G13486" s="892" t="s">
        <v>845</v>
      </c>
      <c r="H13486" s="353">
        <v>6.6E-3</v>
      </c>
      <c r="K13486" t="s">
        <v>972</v>
      </c>
      <c r="L13486" t="s">
        <v>694</v>
      </c>
      <c r="P13486" t="s">
        <v>984</v>
      </c>
      <c r="V13486">
        <v>74</v>
      </c>
    </row>
    <row r="13487" spans="1:22" customFormat="1" ht="15" x14ac:dyDescent="0.25">
      <c r="A13487" t="s">
        <v>273</v>
      </c>
      <c r="E13487" s="1488" t="s">
        <v>967</v>
      </c>
      <c r="F13487" s="1495"/>
      <c r="G13487" s="1495"/>
      <c r="H13487" s="1495"/>
      <c r="K13487" t="s">
        <v>985</v>
      </c>
      <c r="V13487">
        <v>48</v>
      </c>
    </row>
    <row r="13488" spans="1:22" customFormat="1" ht="15" x14ac:dyDescent="0.25">
      <c r="A13488" t="s">
        <v>273</v>
      </c>
      <c r="E13488" s="1597" t="s">
        <v>844</v>
      </c>
      <c r="F13488" s="1597"/>
      <c r="G13488" s="892" t="s">
        <v>845</v>
      </c>
      <c r="H13488" s="904">
        <v>4.1000000000000003E-3</v>
      </c>
      <c r="K13488" t="s">
        <v>972</v>
      </c>
      <c r="L13488" t="s">
        <v>968</v>
      </c>
      <c r="P13488" t="s">
        <v>986</v>
      </c>
      <c r="V13488">
        <v>55</v>
      </c>
    </row>
    <row r="13489" spans="1:22" customFormat="1" ht="15" x14ac:dyDescent="0.25">
      <c r="A13489" t="s">
        <v>273</v>
      </c>
      <c r="E13489" s="1597" t="s">
        <v>846</v>
      </c>
      <c r="F13489" s="1597"/>
      <c r="G13489" s="892" t="s">
        <v>845</v>
      </c>
      <c r="H13489" s="904">
        <v>4.0000000000000002E-4</v>
      </c>
      <c r="K13489" t="s">
        <v>972</v>
      </c>
      <c r="L13489" t="s">
        <v>968</v>
      </c>
      <c r="P13489" t="s">
        <v>986</v>
      </c>
      <c r="V13489">
        <v>65</v>
      </c>
    </row>
    <row r="13490" spans="1:22" customFormat="1" ht="15" x14ac:dyDescent="0.25">
      <c r="A13490" t="s">
        <v>273</v>
      </c>
      <c r="E13490" s="1597" t="s">
        <v>847</v>
      </c>
      <c r="F13490" s="1597"/>
      <c r="G13490" s="892" t="s">
        <v>845</v>
      </c>
      <c r="H13490" s="904">
        <v>1.5E-3</v>
      </c>
      <c r="K13490" t="s">
        <v>972</v>
      </c>
      <c r="L13490" t="s">
        <v>968</v>
      </c>
      <c r="P13490" t="s">
        <v>987</v>
      </c>
      <c r="V13490">
        <v>57</v>
      </c>
    </row>
    <row r="13491" spans="1:22" customFormat="1" ht="15" x14ac:dyDescent="0.25">
      <c r="A13491" t="s">
        <v>273</v>
      </c>
      <c r="E13491" s="1597" t="s">
        <v>848</v>
      </c>
      <c r="F13491" s="1597"/>
      <c r="G13491" s="892" t="s">
        <v>777</v>
      </c>
      <c r="H13491" s="642">
        <v>0.25</v>
      </c>
      <c r="K13491" t="s">
        <v>972</v>
      </c>
      <c r="L13491" t="s">
        <v>968</v>
      </c>
      <c r="P13491" t="s">
        <v>988</v>
      </c>
      <c r="V13491">
        <v>63</v>
      </c>
    </row>
    <row r="13492" spans="1:22" customFormat="1" x14ac:dyDescent="0.25">
      <c r="A13492" t="s">
        <v>273</v>
      </c>
      <c r="E13492" s="1538" t="s">
        <v>3767</v>
      </c>
      <c r="F13492" s="1571"/>
      <c r="G13492" s="1571"/>
      <c r="H13492" s="1571"/>
      <c r="K13492" t="s">
        <v>3768</v>
      </c>
      <c r="V13492">
        <v>53</v>
      </c>
    </row>
    <row r="13493" spans="1:22" customFormat="1" ht="15" x14ac:dyDescent="0.25">
      <c r="A13493" t="s">
        <v>273</v>
      </c>
      <c r="E13493" s="1496" t="s">
        <v>5450</v>
      </c>
      <c r="F13493" s="1496"/>
      <c r="G13493" s="1496"/>
      <c r="H13493" s="1496"/>
      <c r="K13493" t="s">
        <v>3768</v>
      </c>
      <c r="V13493">
        <v>355</v>
      </c>
    </row>
    <row r="13494" spans="1:22" customFormat="1" ht="15" x14ac:dyDescent="0.25">
      <c r="A13494" t="s">
        <v>273</v>
      </c>
      <c r="E13494" s="1533" t="s">
        <v>950</v>
      </c>
      <c r="F13494" s="1496"/>
      <c r="G13494" s="1496"/>
      <c r="H13494" s="1496"/>
      <c r="K13494" t="s">
        <v>992</v>
      </c>
      <c r="V13494">
        <v>11</v>
      </c>
    </row>
    <row r="13495" spans="1:22" customFormat="1" ht="15" x14ac:dyDescent="0.25">
      <c r="A13495" t="s">
        <v>273</v>
      </c>
      <c r="E13495" s="1496" t="s">
        <v>951</v>
      </c>
      <c r="F13495" s="1496"/>
      <c r="G13495" s="1496"/>
      <c r="H13495" s="1496"/>
      <c r="K13495" t="s">
        <v>3768</v>
      </c>
      <c r="V13495">
        <v>280</v>
      </c>
    </row>
    <row r="13496" spans="1:22" customFormat="1" ht="15" x14ac:dyDescent="0.25">
      <c r="A13496" t="s">
        <v>273</v>
      </c>
      <c r="E13496" s="1496" t="s">
        <v>952</v>
      </c>
      <c r="F13496" s="1496"/>
      <c r="G13496" s="1496"/>
      <c r="H13496" s="1496"/>
      <c r="K13496" t="s">
        <v>3768</v>
      </c>
      <c r="V13496">
        <v>411</v>
      </c>
    </row>
    <row r="13497" spans="1:22" customFormat="1" ht="15" x14ac:dyDescent="0.25">
      <c r="A13497" t="s">
        <v>273</v>
      </c>
      <c r="E13497" s="1496" t="s">
        <v>3761</v>
      </c>
      <c r="F13497" s="1496"/>
      <c r="G13497" s="1496"/>
      <c r="H13497" s="1496"/>
      <c r="K13497" t="s">
        <v>3768</v>
      </c>
      <c r="V13497">
        <v>387</v>
      </c>
    </row>
    <row r="13498" spans="1:22" customFormat="1" ht="15" x14ac:dyDescent="0.25">
      <c r="A13498" t="s">
        <v>273</v>
      </c>
      <c r="E13498" s="1496" t="s">
        <v>4741</v>
      </c>
      <c r="F13498" s="1496"/>
      <c r="G13498" s="1496"/>
      <c r="H13498" s="1496"/>
      <c r="K13498" t="s">
        <v>3768</v>
      </c>
      <c r="V13498">
        <v>684</v>
      </c>
    </row>
    <row r="13499" spans="1:22" customFormat="1" ht="15" x14ac:dyDescent="0.25">
      <c r="A13499" t="s">
        <v>273</v>
      </c>
      <c r="E13499" s="1496" t="s">
        <v>3771</v>
      </c>
      <c r="F13499" s="1496"/>
      <c r="G13499" s="1496"/>
      <c r="H13499" s="1496"/>
      <c r="K13499" t="s">
        <v>3768</v>
      </c>
      <c r="V13499">
        <v>677</v>
      </c>
    </row>
    <row r="13500" spans="1:22" customFormat="1" ht="15" x14ac:dyDescent="0.25">
      <c r="A13500" t="s">
        <v>273</v>
      </c>
      <c r="E13500" s="1496" t="s">
        <v>3762</v>
      </c>
      <c r="F13500" s="1496"/>
      <c r="G13500" s="1496"/>
      <c r="H13500" s="1496"/>
      <c r="K13500" t="s">
        <v>3768</v>
      </c>
      <c r="V13500">
        <v>247</v>
      </c>
    </row>
    <row r="13501" spans="1:22" customFormat="1" ht="15" x14ac:dyDescent="0.25">
      <c r="A13501" t="s">
        <v>273</v>
      </c>
      <c r="E13501" s="1488" t="s">
        <v>956</v>
      </c>
      <c r="F13501" s="1590"/>
      <c r="G13501" s="1590"/>
      <c r="H13501" s="1590"/>
      <c r="K13501" t="s">
        <v>995</v>
      </c>
      <c r="V13501">
        <v>46</v>
      </c>
    </row>
    <row r="13502" spans="1:22" customFormat="1" ht="15" x14ac:dyDescent="0.25">
      <c r="A13502" t="s">
        <v>273</v>
      </c>
      <c r="E13502" s="1597" t="s">
        <v>3773</v>
      </c>
      <c r="F13502" s="1597"/>
      <c r="G13502" s="892" t="s">
        <v>777</v>
      </c>
      <c r="H13502" s="349">
        <v>271.06</v>
      </c>
      <c r="K13502" t="s">
        <v>3768</v>
      </c>
      <c r="L13502" t="s">
        <v>690</v>
      </c>
      <c r="P13502" t="s">
        <v>3774</v>
      </c>
      <c r="V13502">
        <v>14</v>
      </c>
    </row>
    <row r="13503" spans="1:22" customFormat="1" ht="15" x14ac:dyDescent="0.25">
      <c r="A13503" t="s">
        <v>273</v>
      </c>
      <c r="E13503" s="1597" t="s">
        <v>3688</v>
      </c>
      <c r="F13503" s="1597"/>
      <c r="G13503" s="892" t="s">
        <v>3775</v>
      </c>
      <c r="H13503" s="353">
        <v>3.2378999999999998</v>
      </c>
      <c r="K13503" t="s">
        <v>3768</v>
      </c>
      <c r="L13503" t="s">
        <v>690</v>
      </c>
      <c r="P13503" t="s">
        <v>3776</v>
      </c>
      <c r="V13503">
        <v>28</v>
      </c>
    </row>
    <row r="13504" spans="1:22" customFormat="1" ht="15" x14ac:dyDescent="0.25">
      <c r="A13504" t="s">
        <v>273</v>
      </c>
      <c r="E13504" s="1597" t="s">
        <v>910</v>
      </c>
      <c r="F13504" s="1597"/>
      <c r="G13504" s="892" t="s">
        <v>3775</v>
      </c>
      <c r="H13504" s="904">
        <v>1.6032999999999999</v>
      </c>
      <c r="K13504" t="s">
        <v>3768</v>
      </c>
      <c r="L13504" t="s">
        <v>692</v>
      </c>
      <c r="P13504" t="s">
        <v>3777</v>
      </c>
      <c r="V13504">
        <v>24</v>
      </c>
    </row>
    <row r="13505" spans="1:22" customFormat="1" ht="15" x14ac:dyDescent="0.25">
      <c r="A13505" t="s">
        <v>273</v>
      </c>
      <c r="E13505" s="1597" t="s">
        <v>7584</v>
      </c>
      <c r="F13505" s="1598"/>
      <c r="G13505" s="892" t="s">
        <v>3775</v>
      </c>
      <c r="H13505" s="904">
        <v>-0.72889999999999999</v>
      </c>
      <c r="K13505" t="s">
        <v>3768</v>
      </c>
      <c r="L13505" t="s">
        <v>692</v>
      </c>
      <c r="P13505" t="s">
        <v>3779</v>
      </c>
      <c r="T13505">
        <v>46142</v>
      </c>
      <c r="V13505">
        <v>104</v>
      </c>
    </row>
    <row r="13506" spans="1:22" customFormat="1" ht="15" x14ac:dyDescent="0.25">
      <c r="A13506" t="s">
        <v>273</v>
      </c>
      <c r="E13506" s="1597" t="s">
        <v>7598</v>
      </c>
      <c r="F13506" s="1598"/>
      <c r="G13506" s="360" t="s">
        <v>845</v>
      </c>
      <c r="H13506" s="605">
        <v>1.6999999999999999E-3</v>
      </c>
      <c r="K13506" t="s">
        <v>3768</v>
      </c>
      <c r="L13506" t="s">
        <v>692</v>
      </c>
      <c r="P13506" t="s">
        <v>4232</v>
      </c>
      <c r="T13506">
        <v>46142</v>
      </c>
      <c r="V13506">
        <v>141</v>
      </c>
    </row>
    <row r="13507" spans="1:22" customFormat="1" ht="15" x14ac:dyDescent="0.25">
      <c r="A13507" t="s">
        <v>273</v>
      </c>
      <c r="E13507" s="1597" t="s">
        <v>7595</v>
      </c>
      <c r="F13507" s="1598"/>
      <c r="G13507" s="892" t="s">
        <v>3775</v>
      </c>
      <c r="H13507" s="904">
        <v>-0.64149999999999996</v>
      </c>
      <c r="K13507" t="s">
        <v>3768</v>
      </c>
      <c r="L13507" t="s">
        <v>690</v>
      </c>
      <c r="P13507" t="s">
        <v>3779</v>
      </c>
      <c r="T13507">
        <v>46142</v>
      </c>
      <c r="V13507">
        <v>104</v>
      </c>
    </row>
    <row r="13508" spans="1:22" customFormat="1" ht="15" x14ac:dyDescent="0.25">
      <c r="A13508" t="s">
        <v>273</v>
      </c>
      <c r="E13508" s="1597" t="s">
        <v>7599</v>
      </c>
      <c r="F13508" s="1598"/>
      <c r="G13508" s="360" t="s">
        <v>3775</v>
      </c>
      <c r="H13508" s="605">
        <v>-9.1000000000000004E-3</v>
      </c>
      <c r="K13508" t="s">
        <v>3768</v>
      </c>
      <c r="L13508" t="s">
        <v>692</v>
      </c>
      <c r="P13508" t="s">
        <v>3779</v>
      </c>
      <c r="T13508">
        <v>46142</v>
      </c>
      <c r="V13508">
        <v>115</v>
      </c>
    </row>
    <row r="13509" spans="1:22" customFormat="1" ht="15" x14ac:dyDescent="0.25">
      <c r="A13509" t="s">
        <v>273</v>
      </c>
      <c r="E13509" s="1597" t="s">
        <v>243</v>
      </c>
      <c r="F13509" s="1597"/>
      <c r="G13509" s="892" t="s">
        <v>3775</v>
      </c>
      <c r="H13509" s="353">
        <v>3.5495000000000001</v>
      </c>
      <c r="K13509" t="s">
        <v>3768</v>
      </c>
      <c r="L13509" t="s">
        <v>694</v>
      </c>
      <c r="P13509" t="s">
        <v>3780</v>
      </c>
      <c r="V13509">
        <v>47</v>
      </c>
    </row>
    <row r="13510" spans="1:22" customFormat="1" ht="15" x14ac:dyDescent="0.25">
      <c r="A13510" t="s">
        <v>273</v>
      </c>
      <c r="E13510" s="1597" t="s">
        <v>175</v>
      </c>
      <c r="F13510" s="1597"/>
      <c r="G13510" s="892" t="s">
        <v>3775</v>
      </c>
      <c r="H13510" s="353">
        <v>2.9129</v>
      </c>
      <c r="K13510" t="s">
        <v>3768</v>
      </c>
      <c r="L13510" t="s">
        <v>694</v>
      </c>
      <c r="P13510" t="s">
        <v>3781</v>
      </c>
      <c r="V13510">
        <v>74</v>
      </c>
    </row>
    <row r="13511" spans="1:22" customFormat="1" ht="15" x14ac:dyDescent="0.25">
      <c r="A13511" t="s">
        <v>273</v>
      </c>
      <c r="E13511" s="1488" t="s">
        <v>967</v>
      </c>
      <c r="F13511" s="1495"/>
      <c r="G13511" s="1495"/>
      <c r="H13511" s="1495"/>
      <c r="K13511" t="s">
        <v>1003</v>
      </c>
      <c r="V13511">
        <v>48</v>
      </c>
    </row>
    <row r="13512" spans="1:22" customFormat="1" ht="15" x14ac:dyDescent="0.25">
      <c r="A13512" t="s">
        <v>273</v>
      </c>
      <c r="E13512" s="1495" t="s">
        <v>844</v>
      </c>
      <c r="F13512" s="1495"/>
      <c r="G13512" s="360" t="s">
        <v>845</v>
      </c>
      <c r="H13512" s="605">
        <v>4.1000000000000003E-3</v>
      </c>
      <c r="K13512" t="s">
        <v>3768</v>
      </c>
      <c r="L13512" t="s">
        <v>968</v>
      </c>
      <c r="P13512" t="s">
        <v>3782</v>
      </c>
      <c r="V13512">
        <v>55</v>
      </c>
    </row>
    <row r="13513" spans="1:22" customFormat="1" ht="15" x14ac:dyDescent="0.25">
      <c r="A13513" t="s">
        <v>273</v>
      </c>
      <c r="E13513" s="1495" t="s">
        <v>846</v>
      </c>
      <c r="F13513" s="1495"/>
      <c r="G13513" s="360" t="s">
        <v>845</v>
      </c>
      <c r="H13513" s="605">
        <v>4.0000000000000002E-4</v>
      </c>
      <c r="K13513" t="s">
        <v>3768</v>
      </c>
      <c r="L13513" t="s">
        <v>968</v>
      </c>
      <c r="P13513" t="s">
        <v>3782</v>
      </c>
      <c r="V13513">
        <v>65</v>
      </c>
    </row>
    <row r="13514" spans="1:22" customFormat="1" ht="15" x14ac:dyDescent="0.25">
      <c r="A13514" t="s">
        <v>273</v>
      </c>
      <c r="E13514" s="1495" t="s">
        <v>847</v>
      </c>
      <c r="F13514" s="1495"/>
      <c r="G13514" s="360" t="s">
        <v>845</v>
      </c>
      <c r="H13514" s="605">
        <v>1.5E-3</v>
      </c>
      <c r="K13514" t="s">
        <v>3768</v>
      </c>
      <c r="L13514" t="s">
        <v>968</v>
      </c>
      <c r="P13514" t="s">
        <v>3783</v>
      </c>
      <c r="V13514">
        <v>57</v>
      </c>
    </row>
    <row r="13515" spans="1:22" customFormat="1" ht="15" x14ac:dyDescent="0.25">
      <c r="A13515" t="s">
        <v>273</v>
      </c>
      <c r="E13515" s="1495" t="s">
        <v>848</v>
      </c>
      <c r="F13515" s="1495"/>
      <c r="G13515" s="360" t="s">
        <v>777</v>
      </c>
      <c r="H13515" s="604">
        <v>0.25</v>
      </c>
      <c r="K13515" t="s">
        <v>3768</v>
      </c>
      <c r="L13515" t="s">
        <v>968</v>
      </c>
      <c r="P13515" t="s">
        <v>3784</v>
      </c>
      <c r="V13515">
        <v>63</v>
      </c>
    </row>
    <row r="13516" spans="1:22" customFormat="1" x14ac:dyDescent="0.25">
      <c r="A13516" t="s">
        <v>273</v>
      </c>
      <c r="E13516" s="1538" t="s">
        <v>194</v>
      </c>
      <c r="F13516" s="1571"/>
      <c r="G13516" s="1571"/>
      <c r="H13516" s="1571"/>
      <c r="K13516" t="s">
        <v>3785</v>
      </c>
      <c r="V13516">
        <v>47</v>
      </c>
    </row>
    <row r="13517" spans="1:22" customFormat="1" ht="15" x14ac:dyDescent="0.25">
      <c r="A13517" t="s">
        <v>273</v>
      </c>
      <c r="E13517" s="1496" t="s">
        <v>5451</v>
      </c>
      <c r="F13517" s="1496"/>
      <c r="G13517" s="1496"/>
      <c r="H13517" s="1496"/>
      <c r="K13517" t="s">
        <v>3785</v>
      </c>
      <c r="V13517">
        <v>415</v>
      </c>
    </row>
    <row r="13518" spans="1:22" customFormat="1" ht="15" x14ac:dyDescent="0.25">
      <c r="A13518" t="s">
        <v>273</v>
      </c>
      <c r="E13518" s="1533" t="s">
        <v>950</v>
      </c>
      <c r="F13518" s="1496"/>
      <c r="G13518" s="1496"/>
      <c r="H13518" s="1496"/>
      <c r="K13518" t="s">
        <v>1010</v>
      </c>
      <c r="V13518">
        <v>11</v>
      </c>
    </row>
    <row r="13519" spans="1:22" customFormat="1" ht="15" x14ac:dyDescent="0.25">
      <c r="A13519" t="s">
        <v>273</v>
      </c>
      <c r="E13519" s="1496" t="s">
        <v>951</v>
      </c>
      <c r="F13519" s="1496"/>
      <c r="G13519" s="1496"/>
      <c r="H13519" s="1496"/>
      <c r="K13519" t="s">
        <v>3785</v>
      </c>
      <c r="V13519">
        <v>280</v>
      </c>
    </row>
    <row r="13520" spans="1:22" customFormat="1" ht="15" x14ac:dyDescent="0.25">
      <c r="A13520" t="s">
        <v>273</v>
      </c>
      <c r="E13520" s="1496" t="s">
        <v>952</v>
      </c>
      <c r="F13520" s="1496"/>
      <c r="G13520" s="1496"/>
      <c r="H13520" s="1496"/>
      <c r="K13520" t="s">
        <v>3785</v>
      </c>
      <c r="V13520">
        <v>411</v>
      </c>
    </row>
    <row r="13521" spans="1:22" customFormat="1" ht="15" x14ac:dyDescent="0.25">
      <c r="A13521" t="s">
        <v>273</v>
      </c>
      <c r="E13521" s="1496" t="s">
        <v>3761</v>
      </c>
      <c r="F13521" s="1496"/>
      <c r="G13521" s="1496"/>
      <c r="H13521" s="1496"/>
      <c r="K13521" t="s">
        <v>3785</v>
      </c>
      <c r="V13521">
        <v>387</v>
      </c>
    </row>
    <row r="13522" spans="1:22" customFormat="1" ht="15" x14ac:dyDescent="0.25">
      <c r="A13522" t="s">
        <v>273</v>
      </c>
      <c r="E13522" s="1496" t="s">
        <v>3762</v>
      </c>
      <c r="F13522" s="1496"/>
      <c r="G13522" s="1496"/>
      <c r="H13522" s="1496"/>
      <c r="K13522" t="s">
        <v>3785</v>
      </c>
      <c r="V13522">
        <v>247</v>
      </c>
    </row>
    <row r="13523" spans="1:22" customFormat="1" ht="15" x14ac:dyDescent="0.25">
      <c r="A13523" t="s">
        <v>273</v>
      </c>
      <c r="E13523" s="1488" t="s">
        <v>956</v>
      </c>
      <c r="F13523" s="1590"/>
      <c r="G13523" s="1590"/>
      <c r="H13523" s="1590"/>
      <c r="K13523" t="s">
        <v>1011</v>
      </c>
      <c r="V13523">
        <v>46</v>
      </c>
    </row>
    <row r="13524" spans="1:22" customFormat="1" ht="15" x14ac:dyDescent="0.25">
      <c r="A13524" t="s">
        <v>273</v>
      </c>
      <c r="E13524" s="1597" t="s">
        <v>3874</v>
      </c>
      <c r="F13524" s="1597"/>
      <c r="G13524" s="892" t="s">
        <v>777</v>
      </c>
      <c r="H13524" s="349">
        <v>13.03</v>
      </c>
      <c r="K13524" t="s">
        <v>3785</v>
      </c>
      <c r="L13524" t="s">
        <v>690</v>
      </c>
      <c r="P13524" t="s">
        <v>3788</v>
      </c>
      <c r="V13524">
        <v>31</v>
      </c>
    </row>
    <row r="13525" spans="1:22" customFormat="1" ht="15" x14ac:dyDescent="0.25">
      <c r="A13525" t="s">
        <v>273</v>
      </c>
      <c r="E13525" s="1597" t="s">
        <v>3688</v>
      </c>
      <c r="F13525" s="1597"/>
      <c r="G13525" s="892" t="s">
        <v>845</v>
      </c>
      <c r="H13525" s="353">
        <v>2.5399999999999999E-2</v>
      </c>
      <c r="K13525" t="s">
        <v>3785</v>
      </c>
      <c r="L13525" t="s">
        <v>690</v>
      </c>
      <c r="P13525" t="s">
        <v>3789</v>
      </c>
      <c r="V13525">
        <v>28</v>
      </c>
    </row>
    <row r="13526" spans="1:22" customFormat="1" ht="15" x14ac:dyDescent="0.25">
      <c r="A13526" t="s">
        <v>273</v>
      </c>
      <c r="E13526" s="1597" t="s">
        <v>910</v>
      </c>
      <c r="F13526" s="1597"/>
      <c r="G13526" s="892" t="s">
        <v>845</v>
      </c>
      <c r="H13526" s="904">
        <v>3.8999999999999998E-3</v>
      </c>
      <c r="K13526" t="s">
        <v>3785</v>
      </c>
      <c r="L13526" t="s">
        <v>692</v>
      </c>
      <c r="P13526" t="s">
        <v>3790</v>
      </c>
      <c r="V13526">
        <v>24</v>
      </c>
    </row>
    <row r="13527" spans="1:22" customFormat="1" ht="15" x14ac:dyDescent="0.25">
      <c r="A13527" t="s">
        <v>273</v>
      </c>
      <c r="E13527" s="1597" t="s">
        <v>7584</v>
      </c>
      <c r="F13527" s="1598"/>
      <c r="G13527" s="892" t="s">
        <v>845</v>
      </c>
      <c r="H13527" s="904">
        <v>-1.8E-3</v>
      </c>
      <c r="K13527" t="s">
        <v>3785</v>
      </c>
      <c r="L13527" t="s">
        <v>692</v>
      </c>
      <c r="P13527" t="s">
        <v>3792</v>
      </c>
      <c r="T13527">
        <v>46142</v>
      </c>
      <c r="V13527">
        <v>104</v>
      </c>
    </row>
    <row r="13528" spans="1:22" customFormat="1" ht="15" x14ac:dyDescent="0.25">
      <c r="A13528" t="s">
        <v>273</v>
      </c>
      <c r="E13528" s="1597" t="s">
        <v>7598</v>
      </c>
      <c r="F13528" s="1598"/>
      <c r="G13528" s="360" t="s">
        <v>845</v>
      </c>
      <c r="H13528" s="605">
        <v>1.6999999999999999E-3</v>
      </c>
      <c r="K13528" t="s">
        <v>3785</v>
      </c>
      <c r="L13528" t="s">
        <v>692</v>
      </c>
      <c r="P13528" t="s">
        <v>4818</v>
      </c>
      <c r="T13528">
        <v>46142</v>
      </c>
      <c r="V13528">
        <v>141</v>
      </c>
    </row>
    <row r="13529" spans="1:22" customFormat="1" ht="15" x14ac:dyDescent="0.25">
      <c r="A13529" t="s">
        <v>273</v>
      </c>
      <c r="E13529" s="1597" t="s">
        <v>7595</v>
      </c>
      <c r="F13529" s="1598"/>
      <c r="G13529" s="892" t="s">
        <v>845</v>
      </c>
      <c r="H13529" s="904">
        <v>-1.4E-3</v>
      </c>
      <c r="K13529" t="s">
        <v>3785</v>
      </c>
      <c r="L13529" t="s">
        <v>690</v>
      </c>
      <c r="P13529" t="s">
        <v>3792</v>
      </c>
      <c r="T13529">
        <v>46142</v>
      </c>
      <c r="V13529">
        <v>104</v>
      </c>
    </row>
    <row r="13530" spans="1:22" customFormat="1" ht="15" x14ac:dyDescent="0.25">
      <c r="A13530" t="s">
        <v>273</v>
      </c>
      <c r="E13530" s="1597" t="s">
        <v>243</v>
      </c>
      <c r="F13530" s="1597"/>
      <c r="G13530" s="892" t="s">
        <v>845</v>
      </c>
      <c r="H13530" s="353">
        <v>8.0999999999999996E-3</v>
      </c>
      <c r="K13530" t="s">
        <v>3785</v>
      </c>
      <c r="L13530" t="s">
        <v>694</v>
      </c>
      <c r="P13530" t="s">
        <v>3793</v>
      </c>
      <c r="V13530">
        <v>47</v>
      </c>
    </row>
    <row r="13531" spans="1:22" customFormat="1" ht="15" x14ac:dyDescent="0.25">
      <c r="A13531" t="s">
        <v>273</v>
      </c>
      <c r="E13531" s="1597" t="s">
        <v>175</v>
      </c>
      <c r="F13531" s="1597"/>
      <c r="G13531" s="892" t="s">
        <v>845</v>
      </c>
      <c r="H13531" s="353">
        <v>6.6E-3</v>
      </c>
      <c r="K13531" t="s">
        <v>3785</v>
      </c>
      <c r="L13531" t="s">
        <v>694</v>
      </c>
      <c r="P13531" t="s">
        <v>3794</v>
      </c>
      <c r="V13531">
        <v>74</v>
      </c>
    </row>
    <row r="13532" spans="1:22" customFormat="1" ht="15" x14ac:dyDescent="0.25">
      <c r="A13532" t="s">
        <v>273</v>
      </c>
      <c r="E13532" s="1488" t="s">
        <v>967</v>
      </c>
      <c r="F13532" s="1495"/>
      <c r="G13532" s="1495"/>
      <c r="H13532" s="1495"/>
      <c r="K13532" t="s">
        <v>1019</v>
      </c>
      <c r="V13532">
        <v>48</v>
      </c>
    </row>
    <row r="13533" spans="1:22" customFormat="1" ht="15" x14ac:dyDescent="0.25">
      <c r="A13533" t="s">
        <v>273</v>
      </c>
      <c r="E13533" s="1597" t="s">
        <v>844</v>
      </c>
      <c r="F13533" s="1597"/>
      <c r="G13533" s="892" t="s">
        <v>845</v>
      </c>
      <c r="H13533" s="904">
        <v>4.1000000000000003E-3</v>
      </c>
      <c r="K13533" t="s">
        <v>3785</v>
      </c>
      <c r="L13533" t="s">
        <v>968</v>
      </c>
      <c r="P13533" t="s">
        <v>3795</v>
      </c>
      <c r="V13533">
        <v>55</v>
      </c>
    </row>
    <row r="13534" spans="1:22" customFormat="1" ht="15" x14ac:dyDescent="0.25">
      <c r="A13534" t="s">
        <v>273</v>
      </c>
      <c r="E13534" s="1597" t="s">
        <v>846</v>
      </c>
      <c r="F13534" s="1597"/>
      <c r="G13534" s="892" t="s">
        <v>845</v>
      </c>
      <c r="H13534" s="904">
        <v>4.0000000000000002E-4</v>
      </c>
      <c r="K13534" t="s">
        <v>3785</v>
      </c>
      <c r="L13534" t="s">
        <v>968</v>
      </c>
      <c r="P13534" t="s">
        <v>3795</v>
      </c>
      <c r="V13534">
        <v>65</v>
      </c>
    </row>
    <row r="13535" spans="1:22" customFormat="1" ht="15" x14ac:dyDescent="0.25">
      <c r="A13535" t="s">
        <v>273</v>
      </c>
      <c r="E13535" s="1597" t="s">
        <v>847</v>
      </c>
      <c r="F13535" s="1597"/>
      <c r="G13535" s="892" t="s">
        <v>845</v>
      </c>
      <c r="H13535" s="904">
        <v>1.5E-3</v>
      </c>
      <c r="K13535" t="s">
        <v>3785</v>
      </c>
      <c r="L13535" t="s">
        <v>968</v>
      </c>
      <c r="P13535" t="s">
        <v>3796</v>
      </c>
      <c r="V13535">
        <v>57</v>
      </c>
    </row>
    <row r="13536" spans="1:22" customFormat="1" ht="15" x14ac:dyDescent="0.25">
      <c r="A13536" t="s">
        <v>273</v>
      </c>
      <c r="E13536" s="1597" t="s">
        <v>848</v>
      </c>
      <c r="F13536" s="1597"/>
      <c r="G13536" s="892" t="s">
        <v>777</v>
      </c>
      <c r="H13536" s="642">
        <v>0.25</v>
      </c>
      <c r="K13536" t="s">
        <v>3785</v>
      </c>
      <c r="L13536" t="s">
        <v>968</v>
      </c>
      <c r="P13536" t="s">
        <v>3797</v>
      </c>
      <c r="V13536">
        <v>63</v>
      </c>
    </row>
    <row r="13537" spans="1:22" customFormat="1" x14ac:dyDescent="0.25">
      <c r="A13537" t="s">
        <v>273</v>
      </c>
      <c r="E13537" s="1538" t="s">
        <v>198</v>
      </c>
      <c r="F13537" s="1571"/>
      <c r="G13537" s="1571"/>
      <c r="H13537" s="1571"/>
      <c r="K13537" t="s">
        <v>3798</v>
      </c>
      <c r="V13537">
        <v>40</v>
      </c>
    </row>
    <row r="13538" spans="1:22" customFormat="1" ht="15" x14ac:dyDescent="0.25">
      <c r="A13538" t="s">
        <v>273</v>
      </c>
      <c r="E13538" s="1496" t="s">
        <v>5452</v>
      </c>
      <c r="F13538" s="1496"/>
      <c r="G13538" s="1496"/>
      <c r="H13538" s="1496"/>
      <c r="K13538" t="s">
        <v>3798</v>
      </c>
      <c r="V13538">
        <v>250</v>
      </c>
    </row>
    <row r="13539" spans="1:22" customFormat="1" ht="15" x14ac:dyDescent="0.25">
      <c r="A13539" t="s">
        <v>273</v>
      </c>
      <c r="E13539" s="1533" t="s">
        <v>950</v>
      </c>
      <c r="F13539" s="1496"/>
      <c r="G13539" s="1496"/>
      <c r="H13539" s="1496"/>
      <c r="K13539" t="s">
        <v>1025</v>
      </c>
      <c r="V13539">
        <v>11</v>
      </c>
    </row>
    <row r="13540" spans="1:22" customFormat="1" ht="15" x14ac:dyDescent="0.25">
      <c r="A13540" t="s">
        <v>273</v>
      </c>
      <c r="E13540" s="1496" t="s">
        <v>951</v>
      </c>
      <c r="F13540" s="1496"/>
      <c r="G13540" s="1496"/>
      <c r="H13540" s="1496"/>
      <c r="K13540" t="s">
        <v>3798</v>
      </c>
      <c r="V13540">
        <v>280</v>
      </c>
    </row>
    <row r="13541" spans="1:22" customFormat="1" ht="15" x14ac:dyDescent="0.25">
      <c r="A13541" t="s">
        <v>273</v>
      </c>
      <c r="E13541" s="1496" t="s">
        <v>952</v>
      </c>
      <c r="F13541" s="1496"/>
      <c r="G13541" s="1496"/>
      <c r="H13541" s="1496"/>
      <c r="K13541" t="s">
        <v>3798</v>
      </c>
      <c r="V13541">
        <v>411</v>
      </c>
    </row>
    <row r="13542" spans="1:22" customFormat="1" ht="15" x14ac:dyDescent="0.25">
      <c r="A13542" t="s">
        <v>273</v>
      </c>
      <c r="E13542" s="1496" t="s">
        <v>3761</v>
      </c>
      <c r="F13542" s="1496"/>
      <c r="G13542" s="1496"/>
      <c r="H13542" s="1496"/>
      <c r="K13542" t="s">
        <v>3798</v>
      </c>
      <c r="V13542">
        <v>387</v>
      </c>
    </row>
    <row r="13543" spans="1:22" customFormat="1" ht="15" x14ac:dyDescent="0.25">
      <c r="A13543" t="s">
        <v>273</v>
      </c>
      <c r="E13543" s="1496" t="s">
        <v>3762</v>
      </c>
      <c r="F13543" s="1496"/>
      <c r="G13543" s="1496"/>
      <c r="H13543" s="1496"/>
      <c r="K13543" t="s">
        <v>3798</v>
      </c>
      <c r="V13543">
        <v>247</v>
      </c>
    </row>
    <row r="13544" spans="1:22" customFormat="1" ht="15" x14ac:dyDescent="0.25">
      <c r="A13544" t="s">
        <v>273</v>
      </c>
      <c r="E13544" s="1488" t="s">
        <v>956</v>
      </c>
      <c r="F13544" s="1590"/>
      <c r="G13544" s="1590"/>
      <c r="H13544" s="1590"/>
      <c r="K13544" t="s">
        <v>1026</v>
      </c>
      <c r="V13544">
        <v>46</v>
      </c>
    </row>
    <row r="13545" spans="1:22" customFormat="1" ht="15" x14ac:dyDescent="0.25">
      <c r="A13545" t="s">
        <v>273</v>
      </c>
      <c r="E13545" s="1597" t="s">
        <v>3874</v>
      </c>
      <c r="F13545" s="1597"/>
      <c r="G13545" s="892" t="s">
        <v>777</v>
      </c>
      <c r="H13545" s="349">
        <v>6.55</v>
      </c>
      <c r="K13545" t="s">
        <v>3798</v>
      </c>
      <c r="L13545" t="s">
        <v>690</v>
      </c>
      <c r="P13545" t="s">
        <v>3801</v>
      </c>
      <c r="V13545">
        <v>31</v>
      </c>
    </row>
    <row r="13546" spans="1:22" customFormat="1" ht="15" x14ac:dyDescent="0.25">
      <c r="A13546" t="s">
        <v>273</v>
      </c>
      <c r="E13546" s="1597" t="s">
        <v>3688</v>
      </c>
      <c r="F13546" s="1597"/>
      <c r="G13546" s="892" t="s">
        <v>3775</v>
      </c>
      <c r="H13546" s="353">
        <v>22.798300000000001</v>
      </c>
      <c r="K13546" t="s">
        <v>3798</v>
      </c>
      <c r="L13546" t="s">
        <v>690</v>
      </c>
      <c r="P13546" t="s">
        <v>3802</v>
      </c>
      <c r="V13546">
        <v>28</v>
      </c>
    </row>
    <row r="13547" spans="1:22" customFormat="1" ht="15" x14ac:dyDescent="0.25">
      <c r="A13547" t="s">
        <v>273</v>
      </c>
      <c r="E13547" s="1597" t="s">
        <v>910</v>
      </c>
      <c r="F13547" s="1597"/>
      <c r="G13547" s="892" t="s">
        <v>3775</v>
      </c>
      <c r="H13547" s="904">
        <v>1.1400999999999999</v>
      </c>
      <c r="K13547" t="s">
        <v>3798</v>
      </c>
      <c r="L13547" t="s">
        <v>692</v>
      </c>
      <c r="P13547" t="s">
        <v>3803</v>
      </c>
      <c r="V13547">
        <v>24</v>
      </c>
    </row>
    <row r="13548" spans="1:22" customFormat="1" ht="15" x14ac:dyDescent="0.25">
      <c r="A13548" t="s">
        <v>273</v>
      </c>
      <c r="E13548" s="1597" t="s">
        <v>7584</v>
      </c>
      <c r="F13548" s="1598"/>
      <c r="G13548" s="892" t="s">
        <v>3775</v>
      </c>
      <c r="H13548" s="904">
        <v>-0.67769999999999997</v>
      </c>
      <c r="K13548" t="s">
        <v>3798</v>
      </c>
      <c r="L13548" t="s">
        <v>692</v>
      </c>
      <c r="P13548" t="s">
        <v>3805</v>
      </c>
      <c r="T13548">
        <v>46142</v>
      </c>
      <c r="V13548">
        <v>104</v>
      </c>
    </row>
    <row r="13549" spans="1:22" customFormat="1" ht="15" x14ac:dyDescent="0.25">
      <c r="A13549" t="s">
        <v>273</v>
      </c>
      <c r="E13549" s="1597" t="s">
        <v>7595</v>
      </c>
      <c r="F13549" s="1598"/>
      <c r="G13549" s="892" t="s">
        <v>3775</v>
      </c>
      <c r="H13549" s="904">
        <v>-0.83430000000000004</v>
      </c>
      <c r="K13549" t="s">
        <v>3798</v>
      </c>
      <c r="L13549" t="s">
        <v>690</v>
      </c>
      <c r="P13549" t="s">
        <v>3805</v>
      </c>
      <c r="T13549">
        <v>46142</v>
      </c>
      <c r="V13549">
        <v>104</v>
      </c>
    </row>
    <row r="13550" spans="1:22" customFormat="1" ht="15" x14ac:dyDescent="0.25">
      <c r="A13550" t="s">
        <v>273</v>
      </c>
      <c r="E13550" s="1597" t="s">
        <v>7594</v>
      </c>
      <c r="F13550" s="1598"/>
      <c r="G13550" s="360" t="s">
        <v>3775</v>
      </c>
      <c r="H13550" s="605">
        <v>-8.0999999999999996E-3</v>
      </c>
      <c r="K13550" t="s">
        <v>3798</v>
      </c>
      <c r="L13550" t="s">
        <v>692</v>
      </c>
      <c r="P13550" t="s">
        <v>3805</v>
      </c>
      <c r="T13550">
        <v>46142</v>
      </c>
      <c r="V13550">
        <v>116</v>
      </c>
    </row>
    <row r="13551" spans="1:22" customFormat="1" ht="15" x14ac:dyDescent="0.25">
      <c r="A13551" t="s">
        <v>273</v>
      </c>
      <c r="E13551" s="1597" t="s">
        <v>243</v>
      </c>
      <c r="F13551" s="1597"/>
      <c r="G13551" s="892" t="s">
        <v>3775</v>
      </c>
      <c r="H13551" s="353">
        <v>2.5257999999999998</v>
      </c>
      <c r="K13551" t="s">
        <v>3798</v>
      </c>
      <c r="L13551" t="s">
        <v>694</v>
      </c>
      <c r="P13551" t="s">
        <v>3806</v>
      </c>
      <c r="V13551">
        <v>47</v>
      </c>
    </row>
    <row r="13552" spans="1:22" customFormat="1" ht="15" x14ac:dyDescent="0.25">
      <c r="A13552" t="s">
        <v>273</v>
      </c>
      <c r="E13552" s="1597" t="s">
        <v>175</v>
      </c>
      <c r="F13552" s="1597"/>
      <c r="G13552" s="892" t="s">
        <v>3775</v>
      </c>
      <c r="H13552" s="353">
        <v>2.0712999999999999</v>
      </c>
      <c r="K13552" t="s">
        <v>3798</v>
      </c>
      <c r="L13552" t="s">
        <v>694</v>
      </c>
      <c r="P13552" t="s">
        <v>3807</v>
      </c>
      <c r="V13552">
        <v>74</v>
      </c>
    </row>
    <row r="13553" spans="1:22" customFormat="1" ht="15" x14ac:dyDescent="0.25">
      <c r="A13553" t="s">
        <v>273</v>
      </c>
      <c r="E13553" s="1488" t="s">
        <v>967</v>
      </c>
      <c r="F13553" s="1495"/>
      <c r="G13553" s="1495"/>
      <c r="H13553" s="1495"/>
      <c r="K13553" t="s">
        <v>1035</v>
      </c>
      <c r="V13553">
        <v>48</v>
      </c>
    </row>
    <row r="13554" spans="1:22" customFormat="1" ht="15" x14ac:dyDescent="0.25">
      <c r="A13554" t="s">
        <v>273</v>
      </c>
      <c r="E13554" s="1597" t="s">
        <v>844</v>
      </c>
      <c r="F13554" s="1597"/>
      <c r="G13554" s="892" t="s">
        <v>845</v>
      </c>
      <c r="H13554" s="353">
        <v>4.1000000000000003E-3</v>
      </c>
      <c r="K13554" t="s">
        <v>3798</v>
      </c>
      <c r="L13554" t="s">
        <v>968</v>
      </c>
      <c r="P13554" t="s">
        <v>3808</v>
      </c>
      <c r="V13554">
        <v>55</v>
      </c>
    </row>
    <row r="13555" spans="1:22" customFormat="1" ht="15" x14ac:dyDescent="0.25">
      <c r="A13555" t="s">
        <v>273</v>
      </c>
      <c r="E13555" s="1597" t="s">
        <v>846</v>
      </c>
      <c r="F13555" s="1597"/>
      <c r="G13555" s="892" t="s">
        <v>845</v>
      </c>
      <c r="H13555" s="353">
        <v>4.0000000000000002E-4</v>
      </c>
      <c r="K13555" t="s">
        <v>3798</v>
      </c>
      <c r="L13555" t="s">
        <v>968</v>
      </c>
      <c r="P13555" t="s">
        <v>3808</v>
      </c>
      <c r="V13555">
        <v>65</v>
      </c>
    </row>
    <row r="13556" spans="1:22" customFormat="1" ht="15" x14ac:dyDescent="0.25">
      <c r="A13556" t="s">
        <v>273</v>
      </c>
      <c r="E13556" s="1597" t="s">
        <v>847</v>
      </c>
      <c r="F13556" s="1597"/>
      <c r="G13556" s="892" t="s">
        <v>845</v>
      </c>
      <c r="H13556" s="353">
        <v>1.5E-3</v>
      </c>
      <c r="K13556" t="s">
        <v>3798</v>
      </c>
      <c r="L13556" t="s">
        <v>968</v>
      </c>
      <c r="P13556" t="s">
        <v>3809</v>
      </c>
      <c r="V13556">
        <v>57</v>
      </c>
    </row>
    <row r="13557" spans="1:22" customFormat="1" ht="15" x14ac:dyDescent="0.25">
      <c r="A13557" t="s">
        <v>273</v>
      </c>
      <c r="E13557" s="1597" t="s">
        <v>848</v>
      </c>
      <c r="F13557" s="1597"/>
      <c r="G13557" s="892" t="s">
        <v>777</v>
      </c>
      <c r="H13557" s="642">
        <v>0.25</v>
      </c>
      <c r="K13557" t="s">
        <v>3798</v>
      </c>
      <c r="L13557" t="s">
        <v>968</v>
      </c>
      <c r="P13557" t="s">
        <v>3810</v>
      </c>
      <c r="V13557">
        <v>63</v>
      </c>
    </row>
    <row r="13558" spans="1:22" customFormat="1" x14ac:dyDescent="0.25">
      <c r="A13558" t="s">
        <v>273</v>
      </c>
      <c r="E13558" s="1538" t="s">
        <v>202</v>
      </c>
      <c r="F13558" s="1571"/>
      <c r="G13558" s="1571"/>
      <c r="H13558" s="1571"/>
      <c r="K13558" t="s">
        <v>3811</v>
      </c>
      <c r="V13558">
        <v>38</v>
      </c>
    </row>
    <row r="13559" spans="1:22" customFormat="1" ht="15" x14ac:dyDescent="0.25">
      <c r="A13559" t="s">
        <v>273</v>
      </c>
      <c r="E13559" s="1496" t="s">
        <v>5453</v>
      </c>
      <c r="F13559" s="1496"/>
      <c r="G13559" s="1496"/>
      <c r="H13559" s="1496"/>
      <c r="K13559" t="s">
        <v>3811</v>
      </c>
      <c r="V13559">
        <v>526</v>
      </c>
    </row>
    <row r="13560" spans="1:22" customFormat="1" ht="15" x14ac:dyDescent="0.25">
      <c r="A13560" t="s">
        <v>273</v>
      </c>
      <c r="E13560" s="1533" t="s">
        <v>950</v>
      </c>
      <c r="F13560" s="1496"/>
      <c r="G13560" s="1496"/>
      <c r="H13560" s="1496"/>
      <c r="K13560" t="s">
        <v>1041</v>
      </c>
      <c r="V13560">
        <v>11</v>
      </c>
    </row>
    <row r="13561" spans="1:22" customFormat="1" ht="15" x14ac:dyDescent="0.25">
      <c r="A13561" t="s">
        <v>273</v>
      </c>
      <c r="E13561" s="1496" t="s">
        <v>951</v>
      </c>
      <c r="F13561" s="1496"/>
      <c r="G13561" s="1496"/>
      <c r="H13561" s="1496"/>
      <c r="K13561" t="s">
        <v>3811</v>
      </c>
      <c r="V13561">
        <v>280</v>
      </c>
    </row>
    <row r="13562" spans="1:22" customFormat="1" ht="15" x14ac:dyDescent="0.25">
      <c r="A13562" t="s">
        <v>273</v>
      </c>
      <c r="E13562" s="1496" t="s">
        <v>952</v>
      </c>
      <c r="F13562" s="1496"/>
      <c r="G13562" s="1496"/>
      <c r="H13562" s="1496"/>
      <c r="K13562" t="s">
        <v>3811</v>
      </c>
      <c r="V13562">
        <v>411</v>
      </c>
    </row>
    <row r="13563" spans="1:22" customFormat="1" ht="15" x14ac:dyDescent="0.25">
      <c r="A13563" t="s">
        <v>273</v>
      </c>
      <c r="E13563" s="1496" t="s">
        <v>3761</v>
      </c>
      <c r="F13563" s="1496"/>
      <c r="G13563" s="1496"/>
      <c r="H13563" s="1496"/>
      <c r="K13563" t="s">
        <v>3811</v>
      </c>
      <c r="V13563">
        <v>387</v>
      </c>
    </row>
    <row r="13564" spans="1:22" customFormat="1" ht="15" x14ac:dyDescent="0.25">
      <c r="A13564" t="s">
        <v>273</v>
      </c>
      <c r="E13564" s="1496" t="s">
        <v>3762</v>
      </c>
      <c r="F13564" s="1496"/>
      <c r="G13564" s="1496"/>
      <c r="H13564" s="1496"/>
      <c r="K13564" t="s">
        <v>3811</v>
      </c>
      <c r="V13564">
        <v>247</v>
      </c>
    </row>
    <row r="13565" spans="1:22" customFormat="1" ht="15" x14ac:dyDescent="0.25">
      <c r="A13565" t="s">
        <v>273</v>
      </c>
      <c r="E13565" s="1488" t="s">
        <v>956</v>
      </c>
      <c r="F13565" s="1590"/>
      <c r="G13565" s="1590"/>
      <c r="H13565" s="1590"/>
      <c r="K13565" t="s">
        <v>1042</v>
      </c>
      <c r="V13565">
        <v>46</v>
      </c>
    </row>
    <row r="13566" spans="1:22" customFormat="1" ht="15" x14ac:dyDescent="0.25">
      <c r="A13566" t="s">
        <v>273</v>
      </c>
      <c r="E13566" s="1597" t="s">
        <v>3874</v>
      </c>
      <c r="F13566" s="1597"/>
      <c r="G13566" s="892" t="s">
        <v>777</v>
      </c>
      <c r="H13566" s="349">
        <v>1.83</v>
      </c>
      <c r="K13566" t="s">
        <v>3811</v>
      </c>
      <c r="L13566" t="s">
        <v>690</v>
      </c>
      <c r="P13566" t="s">
        <v>3813</v>
      </c>
      <c r="V13566">
        <v>31</v>
      </c>
    </row>
    <row r="13567" spans="1:22" customFormat="1" ht="15" x14ac:dyDescent="0.25">
      <c r="A13567" t="s">
        <v>273</v>
      </c>
      <c r="E13567" s="1597" t="s">
        <v>3688</v>
      </c>
      <c r="F13567" s="1597"/>
      <c r="G13567" s="892" t="s">
        <v>3775</v>
      </c>
      <c r="H13567" s="353">
        <v>8.3565000000000005</v>
      </c>
      <c r="K13567" t="s">
        <v>3811</v>
      </c>
      <c r="L13567" t="s">
        <v>690</v>
      </c>
      <c r="P13567" t="s">
        <v>3814</v>
      </c>
      <c r="V13567">
        <v>28</v>
      </c>
    </row>
    <row r="13568" spans="1:22" customFormat="1" ht="15" x14ac:dyDescent="0.25">
      <c r="A13568" t="s">
        <v>273</v>
      </c>
      <c r="E13568" s="1597" t="s">
        <v>910</v>
      </c>
      <c r="F13568" s="1597"/>
      <c r="G13568" s="892" t="s">
        <v>3775</v>
      </c>
      <c r="H13568" s="904">
        <v>1.1298999999999999</v>
      </c>
      <c r="K13568" t="s">
        <v>3811</v>
      </c>
      <c r="L13568" t="s">
        <v>692</v>
      </c>
      <c r="P13568" t="s">
        <v>3815</v>
      </c>
      <c r="V13568">
        <v>24</v>
      </c>
    </row>
    <row r="13569" spans="1:22" customFormat="1" ht="15" x14ac:dyDescent="0.25">
      <c r="A13569" t="s">
        <v>273</v>
      </c>
      <c r="E13569" s="1597" t="s">
        <v>7584</v>
      </c>
      <c r="F13569" s="1598"/>
      <c r="G13569" s="892" t="s">
        <v>3775</v>
      </c>
      <c r="H13569" s="904">
        <v>-0.63900000000000001</v>
      </c>
      <c r="K13569" t="s">
        <v>3811</v>
      </c>
      <c r="L13569" t="s">
        <v>692</v>
      </c>
      <c r="P13569" t="s">
        <v>3817</v>
      </c>
      <c r="T13569">
        <v>46142</v>
      </c>
      <c r="V13569">
        <v>104</v>
      </c>
    </row>
    <row r="13570" spans="1:22" customFormat="1" ht="15" x14ac:dyDescent="0.25">
      <c r="A13570" t="s">
        <v>273</v>
      </c>
      <c r="E13570" s="1597" t="s">
        <v>7598</v>
      </c>
      <c r="F13570" s="1598"/>
      <c r="G13570" s="360" t="s">
        <v>845</v>
      </c>
      <c r="H13570" s="605">
        <v>1.6999999999999999E-3</v>
      </c>
      <c r="K13570" t="s">
        <v>3811</v>
      </c>
      <c r="L13570" t="s">
        <v>692</v>
      </c>
      <c r="P13570" t="s">
        <v>4543</v>
      </c>
      <c r="T13570">
        <v>46142</v>
      </c>
      <c r="V13570">
        <v>141</v>
      </c>
    </row>
    <row r="13571" spans="1:22" customFormat="1" ht="15" x14ac:dyDescent="0.25">
      <c r="A13571" t="s">
        <v>273</v>
      </c>
      <c r="E13571" s="1597" t="s">
        <v>7595</v>
      </c>
      <c r="F13571" s="1598"/>
      <c r="G13571" s="892" t="s">
        <v>3775</v>
      </c>
      <c r="H13571" s="904">
        <v>-0.12</v>
      </c>
      <c r="K13571" t="s">
        <v>3811</v>
      </c>
      <c r="L13571" t="s">
        <v>690</v>
      </c>
      <c r="P13571" t="s">
        <v>3817</v>
      </c>
      <c r="T13571">
        <v>46142</v>
      </c>
      <c r="V13571">
        <v>104</v>
      </c>
    </row>
    <row r="13572" spans="1:22" customFormat="1" ht="15" x14ac:dyDescent="0.25">
      <c r="A13572" t="s">
        <v>273</v>
      </c>
      <c r="E13572" s="1597" t="s">
        <v>7594</v>
      </c>
      <c r="F13572" s="1598"/>
      <c r="G13572" s="360" t="s">
        <v>3775</v>
      </c>
      <c r="H13572" s="605">
        <v>-7.9000000000000008E-3</v>
      </c>
      <c r="K13572" t="s">
        <v>3811</v>
      </c>
      <c r="L13572" t="s">
        <v>692</v>
      </c>
      <c r="P13572" t="s">
        <v>3817</v>
      </c>
      <c r="T13572">
        <v>46142</v>
      </c>
      <c r="V13572">
        <v>116</v>
      </c>
    </row>
    <row r="13573" spans="1:22" customFormat="1" ht="15" x14ac:dyDescent="0.25">
      <c r="A13573" t="s">
        <v>273</v>
      </c>
      <c r="E13573" s="1597" t="s">
        <v>243</v>
      </c>
      <c r="F13573" s="1597"/>
      <c r="G13573" s="892" t="s">
        <v>3775</v>
      </c>
      <c r="H13573" s="353">
        <v>2.4971999999999999</v>
      </c>
      <c r="K13573" t="s">
        <v>3811</v>
      </c>
      <c r="L13573" t="s">
        <v>694</v>
      </c>
      <c r="P13573" t="s">
        <v>3818</v>
      </c>
      <c r="V13573">
        <v>47</v>
      </c>
    </row>
    <row r="13574" spans="1:22" customFormat="1" ht="15" x14ac:dyDescent="0.25">
      <c r="A13574" t="s">
        <v>273</v>
      </c>
      <c r="E13574" s="1597" t="s">
        <v>175</v>
      </c>
      <c r="F13574" s="1597"/>
      <c r="G13574" s="892" t="s">
        <v>3775</v>
      </c>
      <c r="H13574" s="353">
        <v>2.0528</v>
      </c>
      <c r="K13574" t="s">
        <v>3811</v>
      </c>
      <c r="L13574" t="s">
        <v>694</v>
      </c>
      <c r="P13574" t="s">
        <v>3819</v>
      </c>
      <c r="V13574">
        <v>74</v>
      </c>
    </row>
    <row r="13575" spans="1:22" customFormat="1" ht="15" x14ac:dyDescent="0.25">
      <c r="A13575" t="s">
        <v>273</v>
      </c>
      <c r="E13575" s="1488" t="s">
        <v>967</v>
      </c>
      <c r="F13575" s="1495"/>
      <c r="G13575" s="1495"/>
      <c r="H13575" s="1495"/>
      <c r="K13575" t="s">
        <v>1049</v>
      </c>
      <c r="V13575">
        <v>48</v>
      </c>
    </row>
    <row r="13576" spans="1:22" customFormat="1" ht="15" x14ac:dyDescent="0.25">
      <c r="A13576" t="s">
        <v>273</v>
      </c>
      <c r="E13576" s="1597" t="s">
        <v>844</v>
      </c>
      <c r="F13576" s="1597"/>
      <c r="G13576" s="892" t="s">
        <v>845</v>
      </c>
      <c r="H13576" s="904">
        <v>4.1000000000000003E-3</v>
      </c>
      <c r="K13576" t="s">
        <v>3811</v>
      </c>
      <c r="L13576" t="s">
        <v>968</v>
      </c>
      <c r="P13576" t="s">
        <v>3820</v>
      </c>
      <c r="V13576">
        <v>55</v>
      </c>
    </row>
    <row r="13577" spans="1:22" customFormat="1" ht="15" x14ac:dyDescent="0.25">
      <c r="A13577" t="s">
        <v>273</v>
      </c>
      <c r="E13577" s="1597" t="s">
        <v>846</v>
      </c>
      <c r="F13577" s="1597"/>
      <c r="G13577" s="892" t="s">
        <v>845</v>
      </c>
      <c r="H13577" s="904">
        <v>4.0000000000000002E-4</v>
      </c>
      <c r="K13577" t="s">
        <v>3811</v>
      </c>
      <c r="L13577" t="s">
        <v>968</v>
      </c>
      <c r="P13577" t="s">
        <v>3820</v>
      </c>
      <c r="V13577">
        <v>65</v>
      </c>
    </row>
    <row r="13578" spans="1:22" customFormat="1" ht="15" x14ac:dyDescent="0.25">
      <c r="A13578" t="s">
        <v>273</v>
      </c>
      <c r="E13578" s="1597" t="s">
        <v>847</v>
      </c>
      <c r="F13578" s="1597"/>
      <c r="G13578" s="892" t="s">
        <v>845</v>
      </c>
      <c r="H13578" s="904">
        <v>1.5E-3</v>
      </c>
      <c r="K13578" t="s">
        <v>3811</v>
      </c>
      <c r="L13578" t="s">
        <v>968</v>
      </c>
      <c r="P13578" t="s">
        <v>3821</v>
      </c>
      <c r="V13578">
        <v>57</v>
      </c>
    </row>
    <row r="13579" spans="1:22" customFormat="1" ht="15" x14ac:dyDescent="0.25">
      <c r="A13579" t="s">
        <v>273</v>
      </c>
      <c r="E13579" s="1597" t="s">
        <v>848</v>
      </c>
      <c r="F13579" s="1597"/>
      <c r="G13579" s="892" t="s">
        <v>777</v>
      </c>
      <c r="H13579" s="642">
        <v>0.25</v>
      </c>
      <c r="K13579" t="s">
        <v>3811</v>
      </c>
      <c r="L13579" t="s">
        <v>968</v>
      </c>
      <c r="P13579" t="s">
        <v>3822</v>
      </c>
      <c r="V13579">
        <v>63</v>
      </c>
    </row>
    <row r="13580" spans="1:22" customFormat="1" x14ac:dyDescent="0.25">
      <c r="A13580" t="s">
        <v>273</v>
      </c>
      <c r="E13580" s="1538" t="s">
        <v>207</v>
      </c>
      <c r="F13580" s="1571"/>
      <c r="G13580" s="1571"/>
      <c r="H13580" s="1571"/>
      <c r="K13580" t="s">
        <v>3823</v>
      </c>
      <c r="V13580">
        <v>31</v>
      </c>
    </row>
    <row r="13581" spans="1:22" customFormat="1" ht="15" x14ac:dyDescent="0.25">
      <c r="A13581" t="s">
        <v>273</v>
      </c>
      <c r="E13581" s="1496" t="s">
        <v>4775</v>
      </c>
      <c r="F13581" s="1496"/>
      <c r="G13581" s="1496"/>
      <c r="H13581" s="1496"/>
      <c r="K13581" t="s">
        <v>3823</v>
      </c>
      <c r="V13581">
        <v>286</v>
      </c>
    </row>
    <row r="13582" spans="1:22" customFormat="1" ht="15" x14ac:dyDescent="0.25">
      <c r="A13582" t="s">
        <v>273</v>
      </c>
      <c r="E13582" s="1533" t="s">
        <v>950</v>
      </c>
      <c r="F13582" s="1496"/>
      <c r="G13582" s="1496"/>
      <c r="H13582" s="1496"/>
      <c r="K13582" t="s">
        <v>1055</v>
      </c>
      <c r="V13582">
        <v>11</v>
      </c>
    </row>
    <row r="13583" spans="1:22" customFormat="1" ht="15" x14ac:dyDescent="0.25">
      <c r="A13583" t="s">
        <v>273</v>
      </c>
      <c r="E13583" s="1496" t="s">
        <v>951</v>
      </c>
      <c r="F13583" s="1496"/>
      <c r="G13583" s="1496"/>
      <c r="H13583" s="1496"/>
      <c r="K13583" t="s">
        <v>3823</v>
      </c>
      <c r="V13583">
        <v>280</v>
      </c>
    </row>
    <row r="13584" spans="1:22" customFormat="1" ht="15" x14ac:dyDescent="0.25">
      <c r="A13584" t="s">
        <v>273</v>
      </c>
      <c r="E13584" s="1496" t="s">
        <v>952</v>
      </c>
      <c r="F13584" s="1496"/>
      <c r="G13584" s="1496"/>
      <c r="H13584" s="1496"/>
      <c r="K13584" t="s">
        <v>3823</v>
      </c>
      <c r="V13584">
        <v>411</v>
      </c>
    </row>
    <row r="13585" spans="1:22" customFormat="1" ht="15" x14ac:dyDescent="0.25">
      <c r="A13585" t="s">
        <v>273</v>
      </c>
      <c r="E13585" s="1496" t="s">
        <v>1103</v>
      </c>
      <c r="F13585" s="1496"/>
      <c r="G13585" s="1496"/>
      <c r="H13585" s="1496"/>
      <c r="K13585" t="s">
        <v>3823</v>
      </c>
      <c r="V13585">
        <v>211</v>
      </c>
    </row>
    <row r="13586" spans="1:22" customFormat="1" ht="15" x14ac:dyDescent="0.25">
      <c r="A13586" t="s">
        <v>273</v>
      </c>
      <c r="E13586" s="1496" t="s">
        <v>3762</v>
      </c>
      <c r="F13586" s="1496"/>
      <c r="G13586" s="1496"/>
      <c r="H13586" s="1496"/>
      <c r="K13586" t="s">
        <v>3823</v>
      </c>
      <c r="V13586">
        <v>247</v>
      </c>
    </row>
    <row r="13587" spans="1:22" customFormat="1" ht="15" x14ac:dyDescent="0.25">
      <c r="A13587" t="s">
        <v>273</v>
      </c>
      <c r="E13587" s="1488" t="s">
        <v>956</v>
      </c>
      <c r="F13587" s="1607"/>
      <c r="G13587" s="1607"/>
      <c r="H13587" s="1607"/>
      <c r="K13587" t="s">
        <v>1056</v>
      </c>
      <c r="V13587">
        <v>46</v>
      </c>
    </row>
    <row r="13588" spans="1:22" customFormat="1" ht="15" x14ac:dyDescent="0.25">
      <c r="A13588" t="s">
        <v>273</v>
      </c>
      <c r="E13588" s="1495" t="s">
        <v>3773</v>
      </c>
      <c r="F13588" s="1495"/>
      <c r="G13588" s="360" t="s">
        <v>777</v>
      </c>
      <c r="H13588" s="576">
        <v>10</v>
      </c>
      <c r="K13588" t="s">
        <v>3823</v>
      </c>
      <c r="L13588" t="s">
        <v>690</v>
      </c>
      <c r="P13588" t="s">
        <v>3824</v>
      </c>
      <c r="V13588">
        <v>14</v>
      </c>
    </row>
    <row r="13589" spans="1:22" customFormat="1" ht="18.75" x14ac:dyDescent="0.3">
      <c r="A13589" t="s">
        <v>273</v>
      </c>
      <c r="E13589" s="1608" t="s">
        <v>3825</v>
      </c>
      <c r="F13589" s="1491"/>
      <c r="G13589" s="1491"/>
      <c r="H13589" s="1491"/>
      <c r="K13589" t="s">
        <v>5454</v>
      </c>
      <c r="V13589">
        <v>10</v>
      </c>
    </row>
    <row r="13590" spans="1:22" customFormat="1" ht="15" x14ac:dyDescent="0.25">
      <c r="A13590" t="s">
        <v>273</v>
      </c>
      <c r="E13590" s="1495" t="s">
        <v>1078</v>
      </c>
      <c r="F13590" s="1495"/>
      <c r="G13590" s="360" t="s">
        <v>3775</v>
      </c>
      <c r="H13590" s="605">
        <v>-0.6</v>
      </c>
      <c r="V13590">
        <v>68</v>
      </c>
    </row>
    <row r="13591" spans="1:22" customFormat="1" ht="15" x14ac:dyDescent="0.25">
      <c r="A13591" t="s">
        <v>273</v>
      </c>
      <c r="E13591" s="1495" t="s">
        <v>1079</v>
      </c>
      <c r="F13591" s="1495"/>
      <c r="G13591" s="360" t="s">
        <v>1118</v>
      </c>
      <c r="H13591" s="604">
        <v>-1</v>
      </c>
      <c r="V13591">
        <v>87</v>
      </c>
    </row>
    <row r="13592" spans="1:22" customFormat="1" ht="18.75" x14ac:dyDescent="0.3">
      <c r="A13592" t="s">
        <v>273</v>
      </c>
      <c r="E13592" s="1490" t="s">
        <v>3828</v>
      </c>
      <c r="F13592" s="1491"/>
      <c r="G13592" s="1491"/>
      <c r="H13592" s="1491"/>
      <c r="K13592" t="s">
        <v>5455</v>
      </c>
      <c r="V13592">
        <v>24</v>
      </c>
    </row>
    <row r="13593" spans="1:22" customFormat="1" ht="15" x14ac:dyDescent="0.25">
      <c r="A13593" t="s">
        <v>273</v>
      </c>
      <c r="E13593" s="1496" t="s">
        <v>951</v>
      </c>
      <c r="F13593" s="1496"/>
      <c r="G13593" s="1496"/>
      <c r="H13593" s="1496"/>
      <c r="V13593">
        <v>280</v>
      </c>
    </row>
    <row r="13594" spans="1:22" customFormat="1" ht="15" x14ac:dyDescent="0.25">
      <c r="A13594" t="s">
        <v>273</v>
      </c>
      <c r="E13594" s="1496" t="s">
        <v>1081</v>
      </c>
      <c r="F13594" s="1496"/>
      <c r="G13594" s="1496"/>
      <c r="H13594" s="1496"/>
      <c r="V13594">
        <v>353</v>
      </c>
    </row>
    <row r="13595" spans="1:22" customFormat="1" ht="15" x14ac:dyDescent="0.25">
      <c r="A13595" t="s">
        <v>273</v>
      </c>
      <c r="E13595" s="1496" t="s">
        <v>3762</v>
      </c>
      <c r="F13595" s="1496"/>
      <c r="G13595" s="1496"/>
      <c r="H13595" s="1496"/>
      <c r="V13595">
        <v>247</v>
      </c>
    </row>
    <row r="13596" spans="1:22" customFormat="1" ht="15" x14ac:dyDescent="0.25">
      <c r="A13596" t="s">
        <v>273</v>
      </c>
      <c r="E13596" s="1488" t="s">
        <v>3830</v>
      </c>
      <c r="F13596" s="1489"/>
      <c r="G13596" s="1489"/>
      <c r="H13596" s="1489"/>
      <c r="K13596" t="s">
        <v>5456</v>
      </c>
      <c r="V13596">
        <v>23</v>
      </c>
    </row>
    <row r="13597" spans="1:22" customFormat="1" ht="15" x14ac:dyDescent="0.25">
      <c r="A13597" t="s">
        <v>273</v>
      </c>
      <c r="E13597" s="1487" t="s">
        <v>3832</v>
      </c>
      <c r="F13597" s="1487"/>
      <c r="G13597" s="360" t="s">
        <v>777</v>
      </c>
      <c r="H13597" s="604">
        <v>15</v>
      </c>
      <c r="V13597">
        <v>19</v>
      </c>
    </row>
    <row r="13598" spans="1:22" customFormat="1" ht="15" x14ac:dyDescent="0.25">
      <c r="A13598" t="s">
        <v>273</v>
      </c>
      <c r="E13598" s="1487" t="s">
        <v>5457</v>
      </c>
      <c r="F13598" s="1487"/>
      <c r="G13598" s="360" t="s">
        <v>777</v>
      </c>
      <c r="H13598" s="604">
        <v>15</v>
      </c>
      <c r="V13598">
        <v>36</v>
      </c>
    </row>
    <row r="13599" spans="1:22" customFormat="1" ht="15" x14ac:dyDescent="0.25">
      <c r="A13599" t="s">
        <v>273</v>
      </c>
      <c r="E13599" s="1487" t="s">
        <v>4055</v>
      </c>
      <c r="F13599" s="1487"/>
      <c r="G13599" s="360" t="s">
        <v>777</v>
      </c>
      <c r="H13599" s="604">
        <v>15</v>
      </c>
      <c r="V13599">
        <v>37</v>
      </c>
    </row>
    <row r="13600" spans="1:22" customFormat="1" ht="15" x14ac:dyDescent="0.25">
      <c r="A13600" t="s">
        <v>273</v>
      </c>
      <c r="E13600" s="1487" t="s">
        <v>4057</v>
      </c>
      <c r="F13600" s="1487"/>
      <c r="G13600" s="360" t="s">
        <v>777</v>
      </c>
      <c r="H13600" s="604">
        <v>15</v>
      </c>
      <c r="V13600">
        <v>17</v>
      </c>
    </row>
    <row r="13601" spans="1:22" customFormat="1" ht="15" x14ac:dyDescent="0.25">
      <c r="A13601" t="s">
        <v>273</v>
      </c>
      <c r="E13601" s="1487" t="s">
        <v>3836</v>
      </c>
      <c r="F13601" s="1487"/>
      <c r="G13601" s="360" t="s">
        <v>777</v>
      </c>
      <c r="H13601" s="604">
        <v>15</v>
      </c>
      <c r="V13601">
        <v>35</v>
      </c>
    </row>
    <row r="13602" spans="1:22" customFormat="1" ht="15" x14ac:dyDescent="0.25">
      <c r="A13602" t="s">
        <v>273</v>
      </c>
      <c r="E13602" s="1487" t="s">
        <v>4059</v>
      </c>
      <c r="F13602" s="1487"/>
      <c r="G13602" s="360" t="s">
        <v>777</v>
      </c>
      <c r="H13602" s="604">
        <v>15</v>
      </c>
      <c r="V13602">
        <v>19</v>
      </c>
    </row>
    <row r="13603" spans="1:22" customFormat="1" ht="15" x14ac:dyDescent="0.25">
      <c r="A13603" t="s">
        <v>273</v>
      </c>
      <c r="E13603" s="1487" t="s">
        <v>3837</v>
      </c>
      <c r="F13603" s="1487"/>
      <c r="G13603" s="360" t="s">
        <v>777</v>
      </c>
      <c r="H13603" s="604">
        <v>30</v>
      </c>
      <c r="V13603">
        <v>89</v>
      </c>
    </row>
    <row r="13604" spans="1:22" customFormat="1" ht="15" x14ac:dyDescent="0.25">
      <c r="A13604" t="s">
        <v>273</v>
      </c>
      <c r="E13604" s="1487" t="s">
        <v>3914</v>
      </c>
      <c r="F13604" s="1487"/>
      <c r="G13604" s="360" t="s">
        <v>777</v>
      </c>
      <c r="H13604" s="604">
        <v>30</v>
      </c>
      <c r="V13604">
        <v>19</v>
      </c>
    </row>
    <row r="13605" spans="1:22" customFormat="1" ht="15" x14ac:dyDescent="0.25">
      <c r="A13605" t="s">
        <v>273</v>
      </c>
      <c r="E13605" s="1487" t="s">
        <v>3838</v>
      </c>
      <c r="F13605" s="1487"/>
      <c r="G13605" s="360" t="s">
        <v>777</v>
      </c>
      <c r="H13605" s="604">
        <v>30</v>
      </c>
      <c r="V13605">
        <v>74</v>
      </c>
    </row>
    <row r="13606" spans="1:22" customFormat="1" ht="15" x14ac:dyDescent="0.25">
      <c r="A13606" t="s">
        <v>273</v>
      </c>
      <c r="E13606" s="1488" t="s">
        <v>4062</v>
      </c>
      <c r="F13606" s="1489"/>
      <c r="G13606" s="1489"/>
      <c r="H13606" s="1489"/>
      <c r="K13606" t="s">
        <v>5458</v>
      </c>
      <c r="V13606">
        <v>22</v>
      </c>
    </row>
    <row r="13607" spans="1:22" customFormat="1" ht="15" x14ac:dyDescent="0.25">
      <c r="A13607" t="s">
        <v>273</v>
      </c>
      <c r="E13607" s="1487" t="s">
        <v>4700</v>
      </c>
      <c r="F13607" s="1487"/>
      <c r="G13607" s="360"/>
      <c r="H13607" s="616"/>
      <c r="V13607">
        <v>24</v>
      </c>
    </row>
    <row r="13608" spans="1:22" customFormat="1" ht="15" x14ac:dyDescent="0.25">
      <c r="A13608" t="s">
        <v>273</v>
      </c>
      <c r="E13608" s="1487" t="s">
        <v>4701</v>
      </c>
      <c r="F13608" s="1487"/>
      <c r="G13608" s="360" t="s">
        <v>1118</v>
      </c>
      <c r="H13608" s="604">
        <v>1.5</v>
      </c>
      <c r="V13608">
        <v>74</v>
      </c>
    </row>
    <row r="13609" spans="1:22" customFormat="1" ht="15" x14ac:dyDescent="0.25">
      <c r="A13609" t="s">
        <v>273</v>
      </c>
      <c r="E13609" s="1487" t="s">
        <v>3842</v>
      </c>
      <c r="F13609" s="1487"/>
      <c r="G13609" s="360" t="s">
        <v>777</v>
      </c>
      <c r="H13609" s="604">
        <v>65</v>
      </c>
      <c r="V13609">
        <v>44</v>
      </c>
    </row>
    <row r="13610" spans="1:22" customFormat="1" ht="15" x14ac:dyDescent="0.25">
      <c r="A13610" t="s">
        <v>273</v>
      </c>
      <c r="E13610" s="1487" t="s">
        <v>3843</v>
      </c>
      <c r="F13610" s="1487"/>
      <c r="G13610" s="360" t="s">
        <v>777</v>
      </c>
      <c r="H13610" s="604">
        <v>185</v>
      </c>
      <c r="V13610">
        <v>43</v>
      </c>
    </row>
    <row r="13611" spans="1:22" customFormat="1" ht="15" x14ac:dyDescent="0.25">
      <c r="A13611" t="s">
        <v>273</v>
      </c>
      <c r="E13611" s="1487" t="s">
        <v>3844</v>
      </c>
      <c r="F13611" s="1487"/>
      <c r="G13611" s="360" t="s">
        <v>777</v>
      </c>
      <c r="H13611" s="604">
        <v>185</v>
      </c>
      <c r="V13611">
        <v>43</v>
      </c>
    </row>
    <row r="13612" spans="1:22" customFormat="1" ht="15" x14ac:dyDescent="0.25">
      <c r="A13612" t="s">
        <v>273</v>
      </c>
      <c r="E13612" s="1487" t="s">
        <v>3845</v>
      </c>
      <c r="F13612" s="1487"/>
      <c r="G13612" s="360" t="s">
        <v>777</v>
      </c>
      <c r="H13612" s="604">
        <v>415</v>
      </c>
      <c r="V13612">
        <v>42</v>
      </c>
    </row>
    <row r="13613" spans="1:22" customFormat="1" ht="15" x14ac:dyDescent="0.25">
      <c r="A13613" t="s">
        <v>273</v>
      </c>
      <c r="E13613" s="1488" t="s">
        <v>3846</v>
      </c>
      <c r="F13613" s="1489"/>
      <c r="G13613" s="1489"/>
      <c r="H13613" s="1489"/>
      <c r="V13613">
        <v>5</v>
      </c>
    </row>
    <row r="13614" spans="1:22" customFormat="1" ht="15" x14ac:dyDescent="0.25">
      <c r="A13614" t="s">
        <v>273</v>
      </c>
      <c r="E13614" s="1487" t="s">
        <v>3848</v>
      </c>
      <c r="F13614" s="1487"/>
      <c r="G13614" s="360" t="s">
        <v>777</v>
      </c>
      <c r="H13614" s="604">
        <v>500</v>
      </c>
      <c r="V13614">
        <v>64</v>
      </c>
    </row>
    <row r="13615" spans="1:22" customFormat="1" ht="15" x14ac:dyDescent="0.25">
      <c r="A13615" t="s">
        <v>273</v>
      </c>
      <c r="E13615" s="1487" t="s">
        <v>4808</v>
      </c>
      <c r="F13615" s="1487"/>
      <c r="G13615" s="360" t="s">
        <v>777</v>
      </c>
      <c r="H13615" s="604">
        <v>300</v>
      </c>
      <c r="V13615">
        <v>67</v>
      </c>
    </row>
    <row r="13616" spans="1:22" customFormat="1" ht="15" x14ac:dyDescent="0.25">
      <c r="A13616" t="s">
        <v>273</v>
      </c>
      <c r="E13616" s="1487" t="s">
        <v>3849</v>
      </c>
      <c r="F13616" s="1487"/>
      <c r="G13616" s="360" t="s">
        <v>777</v>
      </c>
      <c r="H13616" s="604">
        <v>1000</v>
      </c>
      <c r="V13616">
        <v>66</v>
      </c>
    </row>
    <row r="13617" spans="1:22" customFormat="1" ht="15" x14ac:dyDescent="0.25">
      <c r="A13617" t="s">
        <v>273</v>
      </c>
      <c r="E13617" s="1487" t="s">
        <v>4217</v>
      </c>
      <c r="F13617" s="1487"/>
      <c r="G13617" s="360" t="s">
        <v>777</v>
      </c>
      <c r="H13617" s="604">
        <v>30</v>
      </c>
      <c r="V13617">
        <v>39</v>
      </c>
    </row>
    <row r="13618" spans="1:22" customFormat="1" ht="15" x14ac:dyDescent="0.25">
      <c r="A13618" t="s">
        <v>273</v>
      </c>
      <c r="E13618" s="1487" t="s">
        <v>4627</v>
      </c>
      <c r="F13618" s="1487"/>
      <c r="G13618" s="360" t="s">
        <v>777</v>
      </c>
      <c r="H13618" s="604">
        <v>39.14</v>
      </c>
      <c r="V13618">
        <v>105</v>
      </c>
    </row>
    <row r="13619" spans="1:22" customFormat="1" ht="18.75" x14ac:dyDescent="0.3">
      <c r="A13619" t="s">
        <v>273</v>
      </c>
      <c r="E13619" s="1490" t="s">
        <v>3851</v>
      </c>
      <c r="F13619" s="1491"/>
      <c r="G13619" s="1491"/>
      <c r="H13619" s="1491"/>
      <c r="K13619" t="s">
        <v>5459</v>
      </c>
      <c r="V13619">
        <v>38</v>
      </c>
    </row>
    <row r="13620" spans="1:22" customFormat="1" ht="15" x14ac:dyDescent="0.25">
      <c r="A13620" t="s">
        <v>273</v>
      </c>
      <c r="E13620" s="1496" t="s">
        <v>951</v>
      </c>
      <c r="F13620" s="1496"/>
      <c r="G13620" s="1496"/>
      <c r="H13620" s="1496"/>
      <c r="V13620">
        <v>280</v>
      </c>
    </row>
    <row r="13621" spans="1:22" customFormat="1" ht="15" x14ac:dyDescent="0.25">
      <c r="A13621" t="s">
        <v>273</v>
      </c>
      <c r="E13621" s="1496" t="s">
        <v>952</v>
      </c>
      <c r="F13621" s="1496"/>
      <c r="G13621" s="1496"/>
      <c r="H13621" s="1496"/>
      <c r="V13621">
        <v>411</v>
      </c>
    </row>
    <row r="13622" spans="1:22" customFormat="1" ht="15" x14ac:dyDescent="0.25">
      <c r="A13622" t="s">
        <v>273</v>
      </c>
      <c r="E13622" s="1496" t="s">
        <v>1103</v>
      </c>
      <c r="F13622" s="1496"/>
      <c r="G13622" s="1496"/>
      <c r="H13622" s="1496"/>
      <c r="V13622">
        <v>211</v>
      </c>
    </row>
    <row r="13623" spans="1:22" customFormat="1" ht="15" x14ac:dyDescent="0.25">
      <c r="A13623" t="s">
        <v>273</v>
      </c>
      <c r="E13623" s="1496" t="s">
        <v>3762</v>
      </c>
      <c r="F13623" s="1496"/>
      <c r="G13623" s="1496"/>
      <c r="H13623" s="1496"/>
      <c r="V13623">
        <v>247</v>
      </c>
    </row>
    <row r="13624" spans="1:22" customFormat="1" ht="15" x14ac:dyDescent="0.25">
      <c r="A13624" t="s">
        <v>273</v>
      </c>
      <c r="E13624" s="1496" t="s">
        <v>1104</v>
      </c>
      <c r="F13624" s="1496"/>
      <c r="G13624" s="1496"/>
      <c r="H13624" s="1496"/>
      <c r="V13624">
        <v>142</v>
      </c>
    </row>
    <row r="13625" spans="1:22" customFormat="1" ht="15" x14ac:dyDescent="0.25">
      <c r="A13625" t="s">
        <v>273</v>
      </c>
      <c r="E13625" s="1495" t="s">
        <v>849</v>
      </c>
      <c r="F13625" s="1495"/>
      <c r="G13625" s="611" t="s">
        <v>777</v>
      </c>
      <c r="H13625" s="614">
        <v>121.23</v>
      </c>
      <c r="V13625">
        <v>106</v>
      </c>
    </row>
    <row r="13626" spans="1:22" customFormat="1" ht="15" x14ac:dyDescent="0.25">
      <c r="A13626" t="s">
        <v>273</v>
      </c>
      <c r="E13626" s="1495" t="s">
        <v>4471</v>
      </c>
      <c r="F13626" s="1495"/>
      <c r="G13626" s="611" t="s">
        <v>777</v>
      </c>
      <c r="H13626" s="614">
        <v>48.5</v>
      </c>
      <c r="V13626">
        <v>34</v>
      </c>
    </row>
    <row r="13627" spans="1:22" customFormat="1" ht="15" x14ac:dyDescent="0.25">
      <c r="A13627" t="s">
        <v>273</v>
      </c>
      <c r="E13627" s="1495" t="s">
        <v>4472</v>
      </c>
      <c r="F13627" s="1495"/>
      <c r="G13627" s="611" t="s">
        <v>852</v>
      </c>
      <c r="H13627" s="614">
        <v>1.2</v>
      </c>
      <c r="V13627">
        <v>51</v>
      </c>
    </row>
    <row r="13628" spans="1:22" customFormat="1" ht="15" x14ac:dyDescent="0.25">
      <c r="A13628" t="s">
        <v>273</v>
      </c>
      <c r="E13628" s="1495" t="s">
        <v>853</v>
      </c>
      <c r="F13628" s="1495"/>
      <c r="G13628" s="611" t="s">
        <v>852</v>
      </c>
      <c r="H13628" s="614">
        <v>0.71</v>
      </c>
      <c r="V13628">
        <v>75</v>
      </c>
    </row>
    <row r="13629" spans="1:22" customFormat="1" ht="15" x14ac:dyDescent="0.25">
      <c r="A13629" t="s">
        <v>273</v>
      </c>
      <c r="E13629" s="1495" t="s">
        <v>854</v>
      </c>
      <c r="F13629" s="1495"/>
      <c r="G13629" s="611" t="s">
        <v>852</v>
      </c>
      <c r="H13629" s="614">
        <v>-0.71</v>
      </c>
      <c r="V13629">
        <v>72</v>
      </c>
    </row>
    <row r="13630" spans="1:22" customFormat="1" ht="15" x14ac:dyDescent="0.25">
      <c r="A13630" t="s">
        <v>273</v>
      </c>
      <c r="E13630" s="1591" t="s">
        <v>855</v>
      </c>
      <c r="F13630" s="1591"/>
      <c r="G13630" s="1702"/>
      <c r="H13630" s="1702"/>
      <c r="V13630">
        <v>34</v>
      </c>
    </row>
    <row r="13631" spans="1:22" customFormat="1" ht="15" x14ac:dyDescent="0.25">
      <c r="A13631" t="s">
        <v>273</v>
      </c>
      <c r="E13631" s="1591" t="s">
        <v>1106</v>
      </c>
      <c r="F13631" s="1591"/>
      <c r="G13631" s="611" t="s">
        <v>777</v>
      </c>
      <c r="H13631" s="614">
        <v>0.61</v>
      </c>
      <c r="V13631">
        <v>57</v>
      </c>
    </row>
    <row r="13632" spans="1:22" customFormat="1" ht="15" x14ac:dyDescent="0.25">
      <c r="A13632" t="s">
        <v>273</v>
      </c>
      <c r="E13632" s="1591" t="s">
        <v>1107</v>
      </c>
      <c r="F13632" s="1591"/>
      <c r="G13632" s="611" t="s">
        <v>777</v>
      </c>
      <c r="H13632" s="614">
        <v>1.2</v>
      </c>
      <c r="V13632">
        <v>60</v>
      </c>
    </row>
    <row r="13633" spans="1:22" customFormat="1" ht="15" x14ac:dyDescent="0.25">
      <c r="A13633" t="s">
        <v>273</v>
      </c>
      <c r="E13633" s="1495" t="s">
        <v>1108</v>
      </c>
      <c r="F13633" s="1495"/>
      <c r="G13633" s="1489"/>
      <c r="H13633" s="1489"/>
      <c r="V13633">
        <v>91</v>
      </c>
    </row>
    <row r="13634" spans="1:22" customFormat="1" ht="15" x14ac:dyDescent="0.25">
      <c r="A13634" t="s">
        <v>273</v>
      </c>
      <c r="E13634" s="1495" t="s">
        <v>1109</v>
      </c>
      <c r="F13634" s="1495"/>
      <c r="G13634" s="1489"/>
      <c r="H13634" s="1489"/>
      <c r="V13634">
        <v>96</v>
      </c>
    </row>
    <row r="13635" spans="1:22" customFormat="1" ht="15" x14ac:dyDescent="0.25">
      <c r="A13635" t="s">
        <v>273</v>
      </c>
      <c r="E13635" s="1591" t="s">
        <v>856</v>
      </c>
      <c r="F13635" s="1591"/>
      <c r="G13635" s="1702"/>
      <c r="H13635" s="1702"/>
      <c r="V13635">
        <v>77</v>
      </c>
    </row>
    <row r="13636" spans="1:22" customFormat="1" ht="15" x14ac:dyDescent="0.25">
      <c r="A13636" t="s">
        <v>273</v>
      </c>
      <c r="E13636" s="1591" t="s">
        <v>1111</v>
      </c>
      <c r="F13636" s="1591"/>
      <c r="G13636" s="611" t="s">
        <v>777</v>
      </c>
      <c r="H13636" s="613" t="s">
        <v>857</v>
      </c>
      <c r="V13636">
        <v>18</v>
      </c>
    </row>
    <row r="13637" spans="1:22" customFormat="1" ht="15" x14ac:dyDescent="0.25">
      <c r="A13637" t="s">
        <v>273</v>
      </c>
      <c r="E13637" s="1591" t="s">
        <v>1112</v>
      </c>
      <c r="F13637" s="1591"/>
      <c r="G13637" s="611" t="s">
        <v>777</v>
      </c>
      <c r="H13637" s="614">
        <v>4.8499999999999996</v>
      </c>
      <c r="V13637">
        <v>69</v>
      </c>
    </row>
    <row r="13638" spans="1:22" customFormat="1" ht="15" x14ac:dyDescent="0.25">
      <c r="A13638" t="s">
        <v>273</v>
      </c>
      <c r="E13638" s="1597" t="s">
        <v>858</v>
      </c>
      <c r="F13638" s="1597"/>
      <c r="G13638" s="360" t="s">
        <v>777</v>
      </c>
      <c r="H13638" s="604">
        <v>2.42</v>
      </c>
      <c r="V13638">
        <v>199</v>
      </c>
    </row>
    <row r="13639" spans="1:22" customFormat="1" ht="18.75" x14ac:dyDescent="0.3">
      <c r="A13639" t="s">
        <v>273</v>
      </c>
      <c r="E13639" s="1490" t="s">
        <v>3853</v>
      </c>
      <c r="F13639" s="1491"/>
      <c r="G13639" s="1491"/>
      <c r="H13639" s="1491"/>
      <c r="K13639" t="s">
        <v>5460</v>
      </c>
      <c r="V13639">
        <v>12</v>
      </c>
    </row>
    <row r="13640" spans="1:22" customFormat="1" ht="15" x14ac:dyDescent="0.25">
      <c r="A13640" t="s">
        <v>273</v>
      </c>
      <c r="E13640" s="1524" t="s">
        <v>1114</v>
      </c>
      <c r="F13640" s="1524"/>
      <c r="G13640" s="1524"/>
      <c r="H13640" s="1524"/>
      <c r="V13640">
        <v>203</v>
      </c>
    </row>
    <row r="13641" spans="1:22" customFormat="1" ht="15" x14ac:dyDescent="0.25">
      <c r="A13641" t="s">
        <v>273</v>
      </c>
      <c r="E13641" s="1495" t="s">
        <v>1115</v>
      </c>
      <c r="F13641" s="1495"/>
      <c r="G13641" s="360"/>
      <c r="H13641" s="616">
        <v>1.0651999999999999</v>
      </c>
      <c r="V13641">
        <v>57</v>
      </c>
    </row>
    <row r="13642" spans="1:22" customFormat="1" ht="15" x14ac:dyDescent="0.25">
      <c r="A13642" t="s">
        <v>273</v>
      </c>
      <c r="E13642" s="1495" t="s">
        <v>1117</v>
      </c>
      <c r="F13642" s="1495"/>
      <c r="G13642" s="360"/>
      <c r="H13642" s="616">
        <v>1.0545</v>
      </c>
      <c r="J13642" t="s">
        <v>5461</v>
      </c>
      <c r="V13642">
        <v>55</v>
      </c>
    </row>
    <row r="13643" spans="1:22" customFormat="1" ht="23.25" x14ac:dyDescent="0.25">
      <c r="A13643" t="s">
        <v>200</v>
      </c>
      <c r="C13643" t="s">
        <v>3755</v>
      </c>
      <c r="E13643" s="1550" t="s">
        <v>200</v>
      </c>
      <c r="F13643" s="1550"/>
      <c r="G13643" s="1550"/>
      <c r="H13643" s="1550"/>
      <c r="I13643" t="s">
        <v>94</v>
      </c>
      <c r="J13643" t="s">
        <v>5170</v>
      </c>
      <c r="K13643" t="s">
        <v>200</v>
      </c>
      <c r="M13643">
        <v>7</v>
      </c>
      <c r="V13643">
        <v>28</v>
      </c>
    </row>
    <row r="13644" spans="1:22" customFormat="1" x14ac:dyDescent="0.25">
      <c r="A13644" t="s">
        <v>200</v>
      </c>
      <c r="C13644" t="s">
        <v>3757</v>
      </c>
      <c r="E13644" s="1551" t="s">
        <v>944</v>
      </c>
      <c r="F13644" s="1551"/>
      <c r="G13644" s="1551"/>
      <c r="H13644" s="1551"/>
      <c r="V13644">
        <v>27</v>
      </c>
    </row>
    <row r="13645" spans="1:22" customFormat="1" ht="15.75" x14ac:dyDescent="0.25">
      <c r="A13645" t="s">
        <v>200</v>
      </c>
      <c r="C13645" t="s">
        <v>3758</v>
      </c>
      <c r="E13645" s="1543" t="s">
        <v>6511</v>
      </c>
      <c r="F13645" s="1543"/>
      <c r="G13645" s="1543"/>
      <c r="H13645" s="1543"/>
      <c r="S13645">
        <v>45658</v>
      </c>
      <c r="V13645">
        <v>49</v>
      </c>
    </row>
    <row r="13646" spans="1:22" customFormat="1" ht="15" x14ac:dyDescent="0.25">
      <c r="A13646" t="s">
        <v>200</v>
      </c>
      <c r="C13646" t="s">
        <v>3759</v>
      </c>
      <c r="E13646" s="1544" t="s">
        <v>945</v>
      </c>
      <c r="F13646" s="1544"/>
      <c r="G13646" s="1544"/>
      <c r="H13646" s="1544"/>
      <c r="V13646">
        <v>52</v>
      </c>
    </row>
    <row r="13647" spans="1:22" customFormat="1" ht="15" x14ac:dyDescent="0.25">
      <c r="A13647" t="s">
        <v>200</v>
      </c>
      <c r="E13647" s="1544" t="s">
        <v>946</v>
      </c>
      <c r="F13647" s="1544"/>
      <c r="G13647" s="1544"/>
      <c r="H13647" s="1544"/>
      <c r="V13647">
        <v>53</v>
      </c>
    </row>
    <row r="13648" spans="1:22" customFormat="1" ht="15" x14ac:dyDescent="0.25">
      <c r="A13648" t="s">
        <v>200</v>
      </c>
      <c r="E13648" s="1513" t="s">
        <v>7600</v>
      </c>
      <c r="F13648" s="1513"/>
      <c r="G13648" s="1513"/>
      <c r="H13648" s="1513"/>
      <c r="K13648" t="s">
        <v>7600</v>
      </c>
      <c r="V13648">
        <v>12</v>
      </c>
    </row>
    <row r="13649" spans="1:22" customFormat="1" ht="15" x14ac:dyDescent="0.25">
      <c r="A13649" t="s">
        <v>200</v>
      </c>
      <c r="E13649" s="1492" t="s">
        <v>170</v>
      </c>
      <c r="F13649" s="1516"/>
      <c r="G13649" s="1516"/>
      <c r="H13649" s="1516"/>
      <c r="K13649" t="s">
        <v>947</v>
      </c>
      <c r="V13649">
        <v>34</v>
      </c>
    </row>
    <row r="13650" spans="1:22" customFormat="1" ht="15" x14ac:dyDescent="0.25">
      <c r="A13650" t="s">
        <v>200</v>
      </c>
      <c r="E13650" s="1516" t="s">
        <v>5171</v>
      </c>
      <c r="F13650" s="1516"/>
      <c r="G13650" s="1516"/>
      <c r="H13650" s="1516"/>
      <c r="K13650" t="s">
        <v>947</v>
      </c>
      <c r="V13650">
        <v>260</v>
      </c>
    </row>
    <row r="13651" spans="1:22" customFormat="1" ht="15" x14ac:dyDescent="0.25">
      <c r="A13651" t="s">
        <v>200</v>
      </c>
      <c r="E13651" s="1515" t="s">
        <v>950</v>
      </c>
      <c r="F13651" s="1516"/>
      <c r="G13651" s="1516"/>
      <c r="H13651" s="1516"/>
      <c r="K13651" t="s">
        <v>949</v>
      </c>
      <c r="V13651">
        <v>11</v>
      </c>
    </row>
    <row r="13652" spans="1:22" customFormat="1" ht="15" x14ac:dyDescent="0.25">
      <c r="A13652" t="s">
        <v>200</v>
      </c>
      <c r="E13652" s="1516" t="s">
        <v>951</v>
      </c>
      <c r="F13652" s="1516"/>
      <c r="G13652" s="1516"/>
      <c r="H13652" s="1516"/>
      <c r="K13652" t="s">
        <v>947</v>
      </c>
      <c r="V13652">
        <v>280</v>
      </c>
    </row>
    <row r="13653" spans="1:22" customFormat="1" ht="15" x14ac:dyDescent="0.25">
      <c r="A13653" t="s">
        <v>200</v>
      </c>
      <c r="E13653" s="1516" t="s">
        <v>952</v>
      </c>
      <c r="F13653" s="1516"/>
      <c r="G13653" s="1516"/>
      <c r="H13653" s="1516"/>
      <c r="K13653" t="s">
        <v>947</v>
      </c>
      <c r="V13653">
        <v>411</v>
      </c>
    </row>
    <row r="13654" spans="1:22" customFormat="1" ht="15" x14ac:dyDescent="0.25">
      <c r="A13654" t="s">
        <v>200</v>
      </c>
      <c r="E13654" s="1516" t="s">
        <v>3761</v>
      </c>
      <c r="F13654" s="1516"/>
      <c r="G13654" s="1516"/>
      <c r="H13654" s="1516"/>
      <c r="K13654" t="s">
        <v>947</v>
      </c>
      <c r="V13654">
        <v>387</v>
      </c>
    </row>
    <row r="13655" spans="1:22" customFormat="1" ht="15" x14ac:dyDescent="0.25">
      <c r="A13655" t="s">
        <v>200</v>
      </c>
      <c r="E13655" s="1516" t="s">
        <v>3762</v>
      </c>
      <c r="F13655" s="1516"/>
      <c r="G13655" s="1516"/>
      <c r="H13655" s="1516"/>
      <c r="K13655" t="s">
        <v>947</v>
      </c>
      <c r="V13655">
        <v>247</v>
      </c>
    </row>
    <row r="13656" spans="1:22" customFormat="1" ht="15" x14ac:dyDescent="0.25">
      <c r="A13656" t="s">
        <v>200</v>
      </c>
      <c r="E13656" s="1596" t="s">
        <v>956</v>
      </c>
      <c r="F13656" s="1572"/>
      <c r="G13656" s="1572"/>
      <c r="H13656" s="1572"/>
      <c r="K13656" t="s">
        <v>955</v>
      </c>
      <c r="V13656">
        <v>46</v>
      </c>
    </row>
    <row r="13657" spans="1:22" customFormat="1" ht="15" x14ac:dyDescent="0.25">
      <c r="A13657" t="s">
        <v>200</v>
      </c>
      <c r="E13657" s="1561" t="s">
        <v>3773</v>
      </c>
      <c r="F13657" s="1561"/>
      <c r="G13657" s="584" t="s">
        <v>777</v>
      </c>
      <c r="H13657" s="576">
        <v>34.130000000000003</v>
      </c>
      <c r="K13657" t="s">
        <v>947</v>
      </c>
      <c r="L13657" t="s">
        <v>690</v>
      </c>
      <c r="P13657" t="s">
        <v>957</v>
      </c>
      <c r="V13657">
        <v>14</v>
      </c>
    </row>
    <row r="13658" spans="1:22" customFormat="1" ht="15" x14ac:dyDescent="0.25">
      <c r="A13658" t="s">
        <v>200</v>
      </c>
      <c r="E13658" s="1561" t="s">
        <v>7601</v>
      </c>
      <c r="F13658" s="1561"/>
      <c r="G13658" s="584" t="s">
        <v>777</v>
      </c>
      <c r="H13658" s="576">
        <v>-1.73</v>
      </c>
      <c r="K13658" t="s">
        <v>947</v>
      </c>
      <c r="L13658" t="s">
        <v>690</v>
      </c>
      <c r="P13658" t="s">
        <v>963</v>
      </c>
      <c r="T13658">
        <v>46022</v>
      </c>
      <c r="V13658">
        <v>107</v>
      </c>
    </row>
    <row r="13659" spans="1:22" customFormat="1" ht="15" x14ac:dyDescent="0.25">
      <c r="A13659" t="s">
        <v>200</v>
      </c>
      <c r="E13659" s="1561" t="s">
        <v>960</v>
      </c>
      <c r="F13659" s="1561"/>
      <c r="G13659" s="584" t="s">
        <v>777</v>
      </c>
      <c r="H13659" s="576">
        <v>0.42</v>
      </c>
      <c r="K13659" t="s">
        <v>947</v>
      </c>
      <c r="L13659" t="s">
        <v>692</v>
      </c>
      <c r="P13659" t="s">
        <v>959</v>
      </c>
      <c r="V13659">
        <v>64</v>
      </c>
    </row>
    <row r="13660" spans="1:22" customFormat="1" ht="15" x14ac:dyDescent="0.25">
      <c r="A13660" t="s">
        <v>200</v>
      </c>
      <c r="E13660" s="1561" t="s">
        <v>910</v>
      </c>
      <c r="F13660" s="1561"/>
      <c r="G13660" s="584" t="s">
        <v>845</v>
      </c>
      <c r="H13660" s="577">
        <v>3.5000000000000001E-3</v>
      </c>
      <c r="K13660" t="s">
        <v>947</v>
      </c>
      <c r="L13660" t="s">
        <v>692</v>
      </c>
      <c r="P13660" t="s">
        <v>961</v>
      </c>
      <c r="V13660">
        <v>24</v>
      </c>
    </row>
    <row r="13661" spans="1:22" customFormat="1" ht="15" x14ac:dyDescent="0.25">
      <c r="A13661" t="s">
        <v>200</v>
      </c>
      <c r="E13661" s="1561" t="s">
        <v>6520</v>
      </c>
      <c r="F13661" s="1561"/>
      <c r="G13661" s="584" t="s">
        <v>845</v>
      </c>
      <c r="H13661" s="577">
        <v>1.6000000000000001E-3</v>
      </c>
      <c r="K13661" t="s">
        <v>947</v>
      </c>
      <c r="L13661" t="s">
        <v>692</v>
      </c>
      <c r="P13661" t="s">
        <v>963</v>
      </c>
      <c r="T13661">
        <v>46022</v>
      </c>
      <c r="V13661">
        <v>99</v>
      </c>
    </row>
    <row r="13662" spans="1:22" customFormat="1" ht="15" x14ac:dyDescent="0.25">
      <c r="A13662" t="s">
        <v>200</v>
      </c>
      <c r="E13662" s="1561" t="s">
        <v>7602</v>
      </c>
      <c r="F13662" s="1561"/>
      <c r="G13662" s="584" t="s">
        <v>845</v>
      </c>
      <c r="H13662" s="577">
        <v>3.5000000000000001E-3</v>
      </c>
      <c r="K13662" t="s">
        <v>947</v>
      </c>
      <c r="L13662" t="s">
        <v>692</v>
      </c>
      <c r="P13662" t="s">
        <v>962</v>
      </c>
      <c r="T13662">
        <v>46022</v>
      </c>
      <c r="V13662">
        <v>143</v>
      </c>
    </row>
    <row r="13663" spans="1:22" customFormat="1" ht="15" x14ac:dyDescent="0.25">
      <c r="A13663" t="s">
        <v>200</v>
      </c>
      <c r="E13663" s="1561" t="s">
        <v>243</v>
      </c>
      <c r="F13663" s="1561"/>
      <c r="G13663" s="584" t="s">
        <v>845</v>
      </c>
      <c r="H13663" s="577">
        <v>1.0500000000000001E-2</v>
      </c>
      <c r="K13663" t="s">
        <v>947</v>
      </c>
      <c r="L13663" t="s">
        <v>694</v>
      </c>
      <c r="P13663" t="s">
        <v>964</v>
      </c>
      <c r="V13663">
        <v>47</v>
      </c>
    </row>
    <row r="13664" spans="1:22" customFormat="1" ht="15" x14ac:dyDescent="0.25">
      <c r="A13664" t="s">
        <v>200</v>
      </c>
      <c r="E13664" s="1561" t="s">
        <v>175</v>
      </c>
      <c r="F13664" s="1561"/>
      <c r="G13664" s="584" t="s">
        <v>845</v>
      </c>
      <c r="H13664" s="577">
        <v>8.0999999999999996E-3</v>
      </c>
      <c r="K13664" t="s">
        <v>947</v>
      </c>
      <c r="L13664" t="s">
        <v>694</v>
      </c>
      <c r="P13664" t="s">
        <v>965</v>
      </c>
      <c r="V13664">
        <v>74</v>
      </c>
    </row>
    <row r="13665" spans="1:22" customFormat="1" ht="15" x14ac:dyDescent="0.25">
      <c r="A13665" t="s">
        <v>200</v>
      </c>
      <c r="E13665" s="1596" t="s">
        <v>967</v>
      </c>
      <c r="F13665" s="1649"/>
      <c r="G13665" s="584"/>
      <c r="H13665" s="584"/>
      <c r="K13665" t="s">
        <v>966</v>
      </c>
      <c r="V13665">
        <v>48</v>
      </c>
    </row>
    <row r="13666" spans="1:22" customFormat="1" ht="15" x14ac:dyDescent="0.25">
      <c r="A13666" t="s">
        <v>200</v>
      </c>
      <c r="E13666" s="1561" t="s">
        <v>844</v>
      </c>
      <c r="F13666" s="1561"/>
      <c r="G13666" s="584" t="s">
        <v>845</v>
      </c>
      <c r="H13666" s="577">
        <v>4.1000000000000003E-3</v>
      </c>
      <c r="K13666" t="s">
        <v>947</v>
      </c>
      <c r="L13666" t="s">
        <v>968</v>
      </c>
      <c r="P13666" t="s">
        <v>969</v>
      </c>
      <c r="V13666">
        <v>55</v>
      </c>
    </row>
    <row r="13667" spans="1:22" customFormat="1" ht="15" x14ac:dyDescent="0.25">
      <c r="A13667" t="s">
        <v>200</v>
      </c>
      <c r="E13667" s="1561" t="s">
        <v>846</v>
      </c>
      <c r="F13667" s="1561"/>
      <c r="G13667" s="584" t="s">
        <v>845</v>
      </c>
      <c r="H13667" s="577">
        <v>4.0000000000000002E-4</v>
      </c>
      <c r="K13667" t="s">
        <v>947</v>
      </c>
      <c r="L13667" t="s">
        <v>968</v>
      </c>
      <c r="P13667" t="s">
        <v>969</v>
      </c>
      <c r="V13667">
        <v>65</v>
      </c>
    </row>
    <row r="13668" spans="1:22" customFormat="1" ht="15" x14ac:dyDescent="0.25">
      <c r="A13668" t="s">
        <v>200</v>
      </c>
      <c r="E13668" s="1561" t="s">
        <v>847</v>
      </c>
      <c r="F13668" s="1561"/>
      <c r="G13668" s="584" t="s">
        <v>845</v>
      </c>
      <c r="H13668" s="577">
        <v>1.5E-3</v>
      </c>
      <c r="K13668" t="s">
        <v>947</v>
      </c>
      <c r="L13668" t="s">
        <v>968</v>
      </c>
      <c r="P13668" t="s">
        <v>970</v>
      </c>
      <c r="V13668">
        <v>57</v>
      </c>
    </row>
    <row r="13669" spans="1:22" customFormat="1" ht="15" x14ac:dyDescent="0.25">
      <c r="A13669" t="s">
        <v>200</v>
      </c>
      <c r="E13669" s="1561" t="s">
        <v>848</v>
      </c>
      <c r="F13669" s="1561"/>
      <c r="G13669" s="584" t="s">
        <v>777</v>
      </c>
      <c r="H13669" s="576">
        <v>0.25</v>
      </c>
      <c r="K13669" t="s">
        <v>947</v>
      </c>
      <c r="L13669" t="s">
        <v>968</v>
      </c>
      <c r="P13669" t="s">
        <v>971</v>
      </c>
      <c r="V13669">
        <v>63</v>
      </c>
    </row>
    <row r="13670" spans="1:22" customFormat="1" x14ac:dyDescent="0.25">
      <c r="A13670" t="s">
        <v>200</v>
      </c>
      <c r="E13670" s="1492" t="s">
        <v>174</v>
      </c>
      <c r="F13670" s="1493"/>
      <c r="G13670" s="1493"/>
      <c r="H13670" s="1493"/>
      <c r="K13670" t="s">
        <v>972</v>
      </c>
      <c r="V13670">
        <v>54</v>
      </c>
    </row>
    <row r="13671" spans="1:22" customFormat="1" ht="15" x14ac:dyDescent="0.25">
      <c r="A13671" t="s">
        <v>200</v>
      </c>
      <c r="E13671" s="1516" t="s">
        <v>5172</v>
      </c>
      <c r="F13671" s="1516"/>
      <c r="G13671" s="1516"/>
      <c r="H13671" s="1516"/>
      <c r="K13671" t="s">
        <v>972</v>
      </c>
      <c r="V13671">
        <v>337</v>
      </c>
    </row>
    <row r="13672" spans="1:22" customFormat="1" ht="15" x14ac:dyDescent="0.25">
      <c r="A13672" t="s">
        <v>200</v>
      </c>
      <c r="E13672" s="1515" t="s">
        <v>950</v>
      </c>
      <c r="F13672" s="1516"/>
      <c r="G13672" s="1516"/>
      <c r="H13672" s="1516"/>
      <c r="K13672" t="s">
        <v>974</v>
      </c>
      <c r="V13672">
        <v>11</v>
      </c>
    </row>
    <row r="13673" spans="1:22" customFormat="1" ht="15" x14ac:dyDescent="0.25">
      <c r="A13673" t="s">
        <v>200</v>
      </c>
      <c r="E13673" s="1516" t="s">
        <v>951</v>
      </c>
      <c r="F13673" s="1516"/>
      <c r="G13673" s="1516"/>
      <c r="H13673" s="1516"/>
      <c r="K13673" t="s">
        <v>972</v>
      </c>
      <c r="V13673">
        <v>280</v>
      </c>
    </row>
    <row r="13674" spans="1:22" customFormat="1" ht="15" x14ac:dyDescent="0.25">
      <c r="A13674" t="s">
        <v>200</v>
      </c>
      <c r="E13674" s="1516" t="s">
        <v>952</v>
      </c>
      <c r="F13674" s="1516"/>
      <c r="G13674" s="1516"/>
      <c r="H13674" s="1516"/>
      <c r="K13674" t="s">
        <v>972</v>
      </c>
      <c r="V13674">
        <v>411</v>
      </c>
    </row>
    <row r="13675" spans="1:22" customFormat="1" ht="15" x14ac:dyDescent="0.25">
      <c r="A13675" t="s">
        <v>200</v>
      </c>
      <c r="E13675" s="1516" t="s">
        <v>3761</v>
      </c>
      <c r="F13675" s="1516"/>
      <c r="G13675" s="1516"/>
      <c r="H13675" s="1516"/>
      <c r="K13675" t="s">
        <v>972</v>
      </c>
      <c r="V13675">
        <v>387</v>
      </c>
    </row>
    <row r="13676" spans="1:22" customFormat="1" ht="15" x14ac:dyDescent="0.25">
      <c r="A13676" t="s">
        <v>200</v>
      </c>
      <c r="E13676" s="1516" t="s">
        <v>3762</v>
      </c>
      <c r="F13676" s="1516"/>
      <c r="G13676" s="1516"/>
      <c r="H13676" s="1516"/>
      <c r="K13676" t="s">
        <v>972</v>
      </c>
      <c r="V13676">
        <v>247</v>
      </c>
    </row>
    <row r="13677" spans="1:22" customFormat="1" ht="15" x14ac:dyDescent="0.25">
      <c r="A13677" t="s">
        <v>200</v>
      </c>
      <c r="E13677" s="1596" t="s">
        <v>956</v>
      </c>
      <c r="F13677" s="1572"/>
      <c r="G13677" s="1572"/>
      <c r="H13677" s="1572"/>
      <c r="K13677" t="s">
        <v>975</v>
      </c>
      <c r="V13677">
        <v>46</v>
      </c>
    </row>
    <row r="13678" spans="1:22" customFormat="1" ht="15" x14ac:dyDescent="0.25">
      <c r="A13678" t="s">
        <v>200</v>
      </c>
      <c r="E13678" s="1561" t="s">
        <v>3773</v>
      </c>
      <c r="F13678" s="1561"/>
      <c r="G13678" s="584" t="s">
        <v>777</v>
      </c>
      <c r="H13678" s="576">
        <v>23.5</v>
      </c>
      <c r="K13678" t="s">
        <v>972</v>
      </c>
      <c r="L13678" t="s">
        <v>690</v>
      </c>
      <c r="P13678" t="s">
        <v>976</v>
      </c>
      <c r="V13678">
        <v>14</v>
      </c>
    </row>
    <row r="13679" spans="1:22" customFormat="1" ht="15" x14ac:dyDescent="0.25">
      <c r="A13679" t="s">
        <v>200</v>
      </c>
      <c r="E13679" s="1561" t="s">
        <v>960</v>
      </c>
      <c r="F13679" s="1561"/>
      <c r="G13679" s="584" t="s">
        <v>777</v>
      </c>
      <c r="H13679" s="576">
        <v>0.42</v>
      </c>
      <c r="K13679" t="s">
        <v>972</v>
      </c>
      <c r="L13679" t="s">
        <v>692</v>
      </c>
      <c r="P13679" t="s">
        <v>977</v>
      </c>
      <c r="V13679">
        <v>64</v>
      </c>
    </row>
    <row r="13680" spans="1:22" customFormat="1" ht="15" x14ac:dyDescent="0.25">
      <c r="A13680" t="s">
        <v>200</v>
      </c>
      <c r="E13680" s="1561" t="s">
        <v>3688</v>
      </c>
      <c r="F13680" s="1561"/>
      <c r="G13680" s="584" t="s">
        <v>845</v>
      </c>
      <c r="H13680" s="577">
        <v>2.4500000000000001E-2</v>
      </c>
      <c r="K13680" t="s">
        <v>972</v>
      </c>
      <c r="L13680" t="s">
        <v>690</v>
      </c>
      <c r="P13680" t="s">
        <v>978</v>
      </c>
      <c r="V13680">
        <v>28</v>
      </c>
    </row>
    <row r="13681" spans="1:22" customFormat="1" ht="15" x14ac:dyDescent="0.25">
      <c r="A13681" t="s">
        <v>200</v>
      </c>
      <c r="E13681" s="1561" t="s">
        <v>910</v>
      </c>
      <c r="F13681" s="1561"/>
      <c r="G13681" s="584" t="s">
        <v>845</v>
      </c>
      <c r="H13681" s="577">
        <v>3.0999999999999999E-3</v>
      </c>
      <c r="K13681" t="s">
        <v>972</v>
      </c>
      <c r="L13681" t="s">
        <v>692</v>
      </c>
      <c r="P13681" t="s">
        <v>980</v>
      </c>
      <c r="V13681">
        <v>24</v>
      </c>
    </row>
    <row r="13682" spans="1:22" customFormat="1" ht="15" x14ac:dyDescent="0.25">
      <c r="A13682" t="s">
        <v>200</v>
      </c>
      <c r="E13682" s="1561" t="s">
        <v>6520</v>
      </c>
      <c r="F13682" s="1561"/>
      <c r="G13682" s="584" t="s">
        <v>845</v>
      </c>
      <c r="H13682" s="577">
        <v>2E-3</v>
      </c>
      <c r="K13682" t="s">
        <v>972</v>
      </c>
      <c r="L13682" t="s">
        <v>692</v>
      </c>
      <c r="P13682" t="s">
        <v>982</v>
      </c>
      <c r="T13682">
        <v>46022</v>
      </c>
      <c r="V13682">
        <v>99</v>
      </c>
    </row>
    <row r="13683" spans="1:22" customFormat="1" ht="15" x14ac:dyDescent="0.25">
      <c r="A13683" t="s">
        <v>200</v>
      </c>
      <c r="E13683" s="1561" t="s">
        <v>7602</v>
      </c>
      <c r="F13683" s="1561"/>
      <c r="G13683" s="584" t="s">
        <v>845</v>
      </c>
      <c r="H13683" s="577">
        <v>3.5000000000000001E-3</v>
      </c>
      <c r="K13683" t="s">
        <v>972</v>
      </c>
      <c r="L13683" t="s">
        <v>692</v>
      </c>
      <c r="P13683" t="s">
        <v>981</v>
      </c>
      <c r="T13683">
        <v>46022</v>
      </c>
      <c r="V13683">
        <v>143</v>
      </c>
    </row>
    <row r="13684" spans="1:22" customFormat="1" ht="15" x14ac:dyDescent="0.25">
      <c r="A13684" t="s">
        <v>200</v>
      </c>
      <c r="E13684" s="1561" t="s">
        <v>7601</v>
      </c>
      <c r="F13684" s="1561"/>
      <c r="G13684" s="584" t="s">
        <v>845</v>
      </c>
      <c r="H13684" s="577">
        <v>-2.0999999999999999E-3</v>
      </c>
      <c r="K13684" t="s">
        <v>972</v>
      </c>
      <c r="L13684" t="s">
        <v>690</v>
      </c>
      <c r="P13684" t="s">
        <v>982</v>
      </c>
      <c r="T13684">
        <v>46022</v>
      </c>
      <c r="V13684">
        <v>107</v>
      </c>
    </row>
    <row r="13685" spans="1:22" customFormat="1" ht="15" x14ac:dyDescent="0.25">
      <c r="A13685" t="s">
        <v>200</v>
      </c>
      <c r="E13685" s="1561" t="s">
        <v>243</v>
      </c>
      <c r="F13685" s="1561"/>
      <c r="G13685" s="584" t="s">
        <v>845</v>
      </c>
      <c r="H13685" s="577">
        <v>9.5999999999999992E-3</v>
      </c>
      <c r="K13685" t="s">
        <v>972</v>
      </c>
      <c r="L13685" t="s">
        <v>694</v>
      </c>
      <c r="P13685" t="s">
        <v>983</v>
      </c>
      <c r="V13685">
        <v>47</v>
      </c>
    </row>
    <row r="13686" spans="1:22" customFormat="1" ht="15" x14ac:dyDescent="0.25">
      <c r="A13686" t="s">
        <v>200</v>
      </c>
      <c r="E13686" s="1561" t="s">
        <v>175</v>
      </c>
      <c r="F13686" s="1561"/>
      <c r="G13686" s="584" t="s">
        <v>845</v>
      </c>
      <c r="H13686" s="577">
        <v>7.3000000000000001E-3</v>
      </c>
      <c r="K13686" t="s">
        <v>972</v>
      </c>
      <c r="L13686" t="s">
        <v>694</v>
      </c>
      <c r="P13686" t="s">
        <v>984</v>
      </c>
      <c r="V13686">
        <v>74</v>
      </c>
    </row>
    <row r="13687" spans="1:22" customFormat="1" ht="15" x14ac:dyDescent="0.25">
      <c r="A13687" t="s">
        <v>200</v>
      </c>
      <c r="E13687" s="1596" t="s">
        <v>967</v>
      </c>
      <c r="F13687" s="1561"/>
      <c r="G13687" s="584"/>
      <c r="H13687" s="584"/>
      <c r="K13687" t="s">
        <v>985</v>
      </c>
      <c r="V13687">
        <v>48</v>
      </c>
    </row>
    <row r="13688" spans="1:22" customFormat="1" ht="15" x14ac:dyDescent="0.25">
      <c r="A13688" t="s">
        <v>200</v>
      </c>
      <c r="E13688" s="1561" t="s">
        <v>844</v>
      </c>
      <c r="F13688" s="1561"/>
      <c r="G13688" s="584" t="s">
        <v>845</v>
      </c>
      <c r="H13688" s="577">
        <v>4.1000000000000003E-3</v>
      </c>
      <c r="K13688" t="s">
        <v>972</v>
      </c>
      <c r="L13688" t="s">
        <v>968</v>
      </c>
      <c r="P13688" t="s">
        <v>986</v>
      </c>
      <c r="V13688">
        <v>55</v>
      </c>
    </row>
    <row r="13689" spans="1:22" customFormat="1" ht="15" x14ac:dyDescent="0.25">
      <c r="A13689" t="s">
        <v>200</v>
      </c>
      <c r="E13689" s="1561" t="s">
        <v>846</v>
      </c>
      <c r="F13689" s="1561"/>
      <c r="G13689" s="584" t="s">
        <v>845</v>
      </c>
      <c r="H13689" s="577">
        <v>4.0000000000000002E-4</v>
      </c>
      <c r="K13689" t="s">
        <v>972</v>
      </c>
      <c r="L13689" t="s">
        <v>968</v>
      </c>
      <c r="P13689" t="s">
        <v>986</v>
      </c>
      <c r="V13689">
        <v>65</v>
      </c>
    </row>
    <row r="13690" spans="1:22" customFormat="1" ht="15" x14ac:dyDescent="0.25">
      <c r="A13690" t="s">
        <v>200</v>
      </c>
      <c r="E13690" s="1561" t="s">
        <v>847</v>
      </c>
      <c r="F13690" s="1561"/>
      <c r="G13690" s="584" t="s">
        <v>845</v>
      </c>
      <c r="H13690" s="577">
        <v>1.5E-3</v>
      </c>
      <c r="K13690" t="s">
        <v>972</v>
      </c>
      <c r="L13690" t="s">
        <v>968</v>
      </c>
      <c r="P13690" t="s">
        <v>987</v>
      </c>
      <c r="V13690">
        <v>57</v>
      </c>
    </row>
    <row r="13691" spans="1:22" customFormat="1" ht="15" x14ac:dyDescent="0.25">
      <c r="A13691" t="s">
        <v>200</v>
      </c>
      <c r="E13691" s="1561" t="s">
        <v>848</v>
      </c>
      <c r="F13691" s="1561"/>
      <c r="G13691" s="584" t="s">
        <v>777</v>
      </c>
      <c r="H13691" s="576">
        <v>0.25</v>
      </c>
      <c r="K13691" t="s">
        <v>972</v>
      </c>
      <c r="L13691" t="s">
        <v>968</v>
      </c>
      <c r="P13691" t="s">
        <v>988</v>
      </c>
      <c r="V13691">
        <v>63</v>
      </c>
    </row>
    <row r="13692" spans="1:22" customFormat="1" x14ac:dyDescent="0.25">
      <c r="A13692" t="s">
        <v>200</v>
      </c>
      <c r="E13692" s="1492" t="s">
        <v>3767</v>
      </c>
      <c r="F13692" s="1493"/>
      <c r="G13692" s="1493"/>
      <c r="H13692" s="1493"/>
      <c r="K13692" t="s">
        <v>3768</v>
      </c>
      <c r="V13692">
        <v>53</v>
      </c>
    </row>
    <row r="13693" spans="1:22" customFormat="1" ht="15" x14ac:dyDescent="0.25">
      <c r="A13693" t="s">
        <v>200</v>
      </c>
      <c r="E13693" s="1516" t="s">
        <v>7603</v>
      </c>
      <c r="F13693" s="1516"/>
      <c r="G13693" s="1516"/>
      <c r="H13693" s="1516"/>
      <c r="K13693" t="s">
        <v>3768</v>
      </c>
      <c r="V13693">
        <v>388</v>
      </c>
    </row>
    <row r="13694" spans="1:22" customFormat="1" ht="15" x14ac:dyDescent="0.25">
      <c r="A13694" t="s">
        <v>200</v>
      </c>
      <c r="E13694" s="1515" t="s">
        <v>950</v>
      </c>
      <c r="F13694" s="1516"/>
      <c r="G13694" s="1516"/>
      <c r="H13694" s="1516"/>
      <c r="K13694" t="s">
        <v>992</v>
      </c>
      <c r="V13694">
        <v>11</v>
      </c>
    </row>
    <row r="13695" spans="1:22" customFormat="1" ht="15" x14ac:dyDescent="0.25">
      <c r="A13695" t="s">
        <v>200</v>
      </c>
      <c r="E13695" s="1516" t="s">
        <v>951</v>
      </c>
      <c r="F13695" s="1516"/>
      <c r="G13695" s="1516"/>
      <c r="H13695" s="1516"/>
      <c r="K13695" t="s">
        <v>3768</v>
      </c>
      <c r="V13695">
        <v>280</v>
      </c>
    </row>
    <row r="13696" spans="1:22" customFormat="1" ht="15" x14ac:dyDescent="0.25">
      <c r="A13696" t="s">
        <v>200</v>
      </c>
      <c r="E13696" s="1516" t="s">
        <v>952</v>
      </c>
      <c r="F13696" s="1516"/>
      <c r="G13696" s="1516"/>
      <c r="H13696" s="1516"/>
      <c r="K13696" t="s">
        <v>3768</v>
      </c>
      <c r="V13696">
        <v>411</v>
      </c>
    </row>
    <row r="13697" spans="1:22" customFormat="1" ht="15" x14ac:dyDescent="0.25">
      <c r="A13697" t="s">
        <v>200</v>
      </c>
      <c r="E13697" s="1516" t="s">
        <v>3761</v>
      </c>
      <c r="F13697" s="1516"/>
      <c r="G13697" s="1516"/>
      <c r="H13697" s="1516"/>
      <c r="K13697" t="s">
        <v>3768</v>
      </c>
      <c r="V13697">
        <v>387</v>
      </c>
    </row>
    <row r="13698" spans="1:22" customFormat="1" ht="15" x14ac:dyDescent="0.25">
      <c r="A13698" t="s">
        <v>200</v>
      </c>
      <c r="E13698" s="1516" t="s">
        <v>3771</v>
      </c>
      <c r="F13698" s="1516"/>
      <c r="G13698" s="1516"/>
      <c r="H13698" s="1516"/>
      <c r="K13698" t="s">
        <v>3768</v>
      </c>
      <c r="V13698">
        <v>677</v>
      </c>
    </row>
    <row r="13699" spans="1:22" customFormat="1" ht="15" x14ac:dyDescent="0.25">
      <c r="A13699" t="s">
        <v>200</v>
      </c>
      <c r="E13699" s="1516" t="s">
        <v>3772</v>
      </c>
      <c r="F13699" s="1516"/>
      <c r="G13699" s="1516"/>
      <c r="H13699" s="1516"/>
      <c r="K13699" t="s">
        <v>3768</v>
      </c>
      <c r="V13699">
        <v>693</v>
      </c>
    </row>
    <row r="13700" spans="1:22" customFormat="1" ht="15" x14ac:dyDescent="0.25">
      <c r="A13700" t="s">
        <v>200</v>
      </c>
      <c r="E13700" s="1516" t="s">
        <v>3762</v>
      </c>
      <c r="F13700" s="1516"/>
      <c r="G13700" s="1516"/>
      <c r="H13700" s="1516"/>
      <c r="K13700" t="s">
        <v>3768</v>
      </c>
      <c r="V13700">
        <v>247</v>
      </c>
    </row>
    <row r="13701" spans="1:22" customFormat="1" ht="15" x14ac:dyDescent="0.25">
      <c r="A13701" t="s">
        <v>200</v>
      </c>
      <c r="E13701" s="1596" t="s">
        <v>956</v>
      </c>
      <c r="F13701" s="1572"/>
      <c r="G13701" s="1572"/>
      <c r="H13701" s="1572"/>
      <c r="K13701" t="s">
        <v>995</v>
      </c>
      <c r="V13701">
        <v>46</v>
      </c>
    </row>
    <row r="13702" spans="1:22" customFormat="1" ht="15" x14ac:dyDescent="0.25">
      <c r="A13702" t="s">
        <v>200</v>
      </c>
      <c r="E13702" s="1561" t="s">
        <v>3773</v>
      </c>
      <c r="F13702" s="1561"/>
      <c r="G13702" s="584" t="s">
        <v>777</v>
      </c>
      <c r="H13702" s="576">
        <v>198.93</v>
      </c>
      <c r="K13702" t="s">
        <v>3768</v>
      </c>
      <c r="L13702" t="s">
        <v>690</v>
      </c>
      <c r="P13702" t="s">
        <v>3774</v>
      </c>
      <c r="V13702">
        <v>14</v>
      </c>
    </row>
    <row r="13703" spans="1:22" customFormat="1" ht="15" x14ac:dyDescent="0.25">
      <c r="A13703" t="s">
        <v>200</v>
      </c>
      <c r="E13703" s="1561" t="s">
        <v>3688</v>
      </c>
      <c r="F13703" s="1561"/>
      <c r="G13703" s="584" t="s">
        <v>3775</v>
      </c>
      <c r="H13703" s="577">
        <v>4.9522000000000004</v>
      </c>
      <c r="K13703" t="s">
        <v>3768</v>
      </c>
      <c r="L13703" t="s">
        <v>690</v>
      </c>
      <c r="P13703" t="s">
        <v>3776</v>
      </c>
      <c r="V13703">
        <v>28</v>
      </c>
    </row>
    <row r="13704" spans="1:22" customFormat="1" ht="15" x14ac:dyDescent="0.25">
      <c r="A13704" t="s">
        <v>200</v>
      </c>
      <c r="E13704" s="1561" t="s">
        <v>910</v>
      </c>
      <c r="F13704" s="1561"/>
      <c r="G13704" s="584" t="s">
        <v>3775</v>
      </c>
      <c r="H13704" s="577">
        <v>1.177</v>
      </c>
      <c r="K13704" t="s">
        <v>3768</v>
      </c>
      <c r="L13704" t="s">
        <v>692</v>
      </c>
      <c r="P13704" t="s">
        <v>3777</v>
      </c>
      <c r="V13704">
        <v>24</v>
      </c>
    </row>
    <row r="13705" spans="1:22" customFormat="1" ht="15" x14ac:dyDescent="0.25">
      <c r="A13705" t="s">
        <v>200</v>
      </c>
      <c r="E13705" s="1561" t="s">
        <v>6520</v>
      </c>
      <c r="F13705" s="1561"/>
      <c r="G13705" s="584" t="s">
        <v>3775</v>
      </c>
      <c r="H13705" s="577">
        <v>0.78459999999999996</v>
      </c>
      <c r="K13705" t="s">
        <v>3768</v>
      </c>
      <c r="L13705" t="s">
        <v>692</v>
      </c>
      <c r="P13705" t="s">
        <v>3779</v>
      </c>
      <c r="T13705">
        <v>46022</v>
      </c>
      <c r="V13705">
        <v>99</v>
      </c>
    </row>
    <row r="13706" spans="1:22" customFormat="1" ht="15" x14ac:dyDescent="0.25">
      <c r="A13706" t="s">
        <v>200</v>
      </c>
      <c r="E13706" s="1561" t="s">
        <v>7604</v>
      </c>
      <c r="F13706" s="1561"/>
      <c r="G13706" s="584" t="s">
        <v>3775</v>
      </c>
      <c r="H13706" s="577">
        <v>-7.9000000000000001E-2</v>
      </c>
      <c r="K13706" t="s">
        <v>3768</v>
      </c>
      <c r="L13706" t="s">
        <v>692</v>
      </c>
      <c r="P13706" t="s">
        <v>3779</v>
      </c>
      <c r="T13706">
        <v>46022</v>
      </c>
      <c r="V13706">
        <v>159</v>
      </c>
    </row>
    <row r="13707" spans="1:22" customFormat="1" ht="15" x14ac:dyDescent="0.25">
      <c r="A13707" t="s">
        <v>200</v>
      </c>
      <c r="E13707" s="1561" t="s">
        <v>7605</v>
      </c>
      <c r="F13707" s="1561"/>
      <c r="G13707" s="584" t="s">
        <v>845</v>
      </c>
      <c r="H13707" s="577">
        <v>3.5000000000000001E-3</v>
      </c>
      <c r="K13707" t="s">
        <v>3768</v>
      </c>
      <c r="L13707" t="s">
        <v>692</v>
      </c>
      <c r="P13707" t="s">
        <v>4232</v>
      </c>
      <c r="T13707">
        <v>46022</v>
      </c>
      <c r="V13707">
        <v>143</v>
      </c>
    </row>
    <row r="13708" spans="1:22" customFormat="1" ht="15" x14ac:dyDescent="0.25">
      <c r="A13708" t="s">
        <v>200</v>
      </c>
      <c r="E13708" s="1561" t="s">
        <v>7606</v>
      </c>
      <c r="F13708" s="1561"/>
      <c r="G13708" s="584" t="s">
        <v>3775</v>
      </c>
      <c r="H13708" s="577">
        <v>-0.3528</v>
      </c>
      <c r="K13708" t="s">
        <v>3768</v>
      </c>
      <c r="L13708" t="s">
        <v>690</v>
      </c>
      <c r="P13708" t="s">
        <v>3779</v>
      </c>
      <c r="V13708">
        <v>113</v>
      </c>
    </row>
    <row r="13709" spans="1:22" customFormat="1" ht="15" x14ac:dyDescent="0.25">
      <c r="A13709" t="s">
        <v>200</v>
      </c>
      <c r="E13709" s="1561" t="s">
        <v>243</v>
      </c>
      <c r="F13709" s="1561"/>
      <c r="G13709" s="584" t="s">
        <v>3775</v>
      </c>
      <c r="H13709" s="577">
        <v>3.8426</v>
      </c>
      <c r="K13709" t="s">
        <v>3768</v>
      </c>
      <c r="L13709" t="s">
        <v>694</v>
      </c>
      <c r="P13709" t="s">
        <v>3780</v>
      </c>
      <c r="V13709">
        <v>47</v>
      </c>
    </row>
    <row r="13710" spans="1:22" customFormat="1" ht="15" x14ac:dyDescent="0.25">
      <c r="A13710" t="s">
        <v>200</v>
      </c>
      <c r="E13710" s="1561" t="s">
        <v>175</v>
      </c>
      <c r="F13710" s="1561"/>
      <c r="G13710" s="584" t="s">
        <v>3775</v>
      </c>
      <c r="H13710" s="577">
        <v>2.8692000000000002</v>
      </c>
      <c r="K13710" t="s">
        <v>3768</v>
      </c>
      <c r="L13710" t="s">
        <v>694</v>
      </c>
      <c r="P13710" t="s">
        <v>3781</v>
      </c>
      <c r="V13710">
        <v>74</v>
      </c>
    </row>
    <row r="13711" spans="1:22" customFormat="1" ht="15" x14ac:dyDescent="0.25">
      <c r="A13711" t="s">
        <v>200</v>
      </c>
      <c r="E13711" s="1596" t="s">
        <v>967</v>
      </c>
      <c r="F13711" s="1561"/>
      <c r="G13711" s="584"/>
      <c r="H13711" s="584"/>
      <c r="K13711" t="s">
        <v>1003</v>
      </c>
      <c r="V13711">
        <v>48</v>
      </c>
    </row>
    <row r="13712" spans="1:22" customFormat="1" ht="15" x14ac:dyDescent="0.25">
      <c r="A13712" t="s">
        <v>200</v>
      </c>
      <c r="E13712" s="1561" t="s">
        <v>844</v>
      </c>
      <c r="F13712" s="1561"/>
      <c r="G13712" s="584" t="s">
        <v>845</v>
      </c>
      <c r="H13712" s="577">
        <v>4.1000000000000003E-3</v>
      </c>
      <c r="K13712" t="s">
        <v>3768</v>
      </c>
      <c r="L13712" t="s">
        <v>968</v>
      </c>
      <c r="P13712" t="s">
        <v>3782</v>
      </c>
      <c r="V13712">
        <v>55</v>
      </c>
    </row>
    <row r="13713" spans="1:22" customFormat="1" ht="15" x14ac:dyDescent="0.25">
      <c r="A13713" t="s">
        <v>200</v>
      </c>
      <c r="E13713" s="1561" t="s">
        <v>846</v>
      </c>
      <c r="F13713" s="1561"/>
      <c r="G13713" s="584" t="s">
        <v>845</v>
      </c>
      <c r="H13713" s="577">
        <v>4.0000000000000002E-4</v>
      </c>
      <c r="K13713" t="s">
        <v>3768</v>
      </c>
      <c r="L13713" t="s">
        <v>968</v>
      </c>
      <c r="P13713" t="s">
        <v>3782</v>
      </c>
      <c r="V13713">
        <v>65</v>
      </c>
    </row>
    <row r="13714" spans="1:22" customFormat="1" ht="15" x14ac:dyDescent="0.25">
      <c r="A13714" t="s">
        <v>200</v>
      </c>
      <c r="E13714" s="1561" t="s">
        <v>847</v>
      </c>
      <c r="F13714" s="1561"/>
      <c r="G13714" s="584" t="s">
        <v>845</v>
      </c>
      <c r="H13714" s="577">
        <v>1.5E-3</v>
      </c>
      <c r="K13714" t="s">
        <v>3768</v>
      </c>
      <c r="L13714" t="s">
        <v>968</v>
      </c>
      <c r="P13714" t="s">
        <v>3783</v>
      </c>
      <c r="V13714">
        <v>57</v>
      </c>
    </row>
    <row r="13715" spans="1:22" customFormat="1" ht="15" x14ac:dyDescent="0.25">
      <c r="A13715" t="s">
        <v>200</v>
      </c>
      <c r="E13715" s="1561" t="s">
        <v>848</v>
      </c>
      <c r="F13715" s="1561"/>
      <c r="G13715" s="584" t="s">
        <v>777</v>
      </c>
      <c r="H13715" s="576">
        <v>0.25</v>
      </c>
      <c r="K13715" t="s">
        <v>3768</v>
      </c>
      <c r="L13715" t="s">
        <v>968</v>
      </c>
      <c r="P13715" t="s">
        <v>3784</v>
      </c>
      <c r="V13715">
        <v>63</v>
      </c>
    </row>
    <row r="13716" spans="1:22" customFormat="1" x14ac:dyDescent="0.25">
      <c r="A13716" t="s">
        <v>200</v>
      </c>
      <c r="E13716" s="1492" t="s">
        <v>194</v>
      </c>
      <c r="F13716" s="1493"/>
      <c r="G13716" s="1493"/>
      <c r="H13716" s="1493"/>
      <c r="K13716" t="s">
        <v>3785</v>
      </c>
      <c r="V13716">
        <v>47</v>
      </c>
    </row>
    <row r="13717" spans="1:22" customFormat="1" ht="15" x14ac:dyDescent="0.25">
      <c r="A13717" t="s">
        <v>200</v>
      </c>
      <c r="E13717" s="1516" t="s">
        <v>7607</v>
      </c>
      <c r="F13717" s="1516"/>
      <c r="G13717" s="1516"/>
      <c r="H13717" s="1516"/>
      <c r="K13717" t="s">
        <v>3785</v>
      </c>
      <c r="V13717">
        <v>735</v>
      </c>
    </row>
    <row r="13718" spans="1:22" customFormat="1" ht="15" x14ac:dyDescent="0.25">
      <c r="A13718" t="s">
        <v>200</v>
      </c>
      <c r="E13718" s="1515" t="s">
        <v>950</v>
      </c>
      <c r="F13718" s="1516"/>
      <c r="G13718" s="1516"/>
      <c r="H13718" s="1516"/>
      <c r="K13718" t="s">
        <v>1010</v>
      </c>
      <c r="V13718">
        <v>11</v>
      </c>
    </row>
    <row r="13719" spans="1:22" customFormat="1" ht="15" x14ac:dyDescent="0.25">
      <c r="A13719" t="s">
        <v>200</v>
      </c>
      <c r="E13719" s="1516" t="s">
        <v>951</v>
      </c>
      <c r="F13719" s="1516"/>
      <c r="G13719" s="1516"/>
      <c r="H13719" s="1516"/>
      <c r="K13719" t="s">
        <v>3785</v>
      </c>
      <c r="V13719">
        <v>280</v>
      </c>
    </row>
    <row r="13720" spans="1:22" customFormat="1" ht="15" x14ac:dyDescent="0.25">
      <c r="A13720" t="s">
        <v>200</v>
      </c>
      <c r="E13720" s="1516" t="s">
        <v>952</v>
      </c>
      <c r="F13720" s="1516"/>
      <c r="G13720" s="1516"/>
      <c r="H13720" s="1516"/>
      <c r="K13720" t="s">
        <v>3785</v>
      </c>
      <c r="V13720">
        <v>411</v>
      </c>
    </row>
    <row r="13721" spans="1:22" customFormat="1" ht="15" x14ac:dyDescent="0.25">
      <c r="A13721" t="s">
        <v>200</v>
      </c>
      <c r="E13721" s="1516" t="s">
        <v>3761</v>
      </c>
      <c r="F13721" s="1516"/>
      <c r="G13721" s="1516"/>
      <c r="H13721" s="1516"/>
      <c r="K13721" t="s">
        <v>3785</v>
      </c>
      <c r="V13721">
        <v>387</v>
      </c>
    </row>
    <row r="13722" spans="1:22" customFormat="1" ht="15" x14ac:dyDescent="0.25">
      <c r="A13722" t="s">
        <v>200</v>
      </c>
      <c r="E13722" s="1516" t="s">
        <v>3762</v>
      </c>
      <c r="F13722" s="1516"/>
      <c r="G13722" s="1516"/>
      <c r="H13722" s="1516"/>
      <c r="K13722" t="s">
        <v>3785</v>
      </c>
      <c r="V13722">
        <v>247</v>
      </c>
    </row>
    <row r="13723" spans="1:22" customFormat="1" ht="15" x14ac:dyDescent="0.25">
      <c r="A13723" t="s">
        <v>200</v>
      </c>
      <c r="E13723" s="1596" t="s">
        <v>956</v>
      </c>
      <c r="F13723" s="1572"/>
      <c r="G13723" s="1572"/>
      <c r="H13723" s="1572"/>
      <c r="K13723" t="s">
        <v>1011</v>
      </c>
      <c r="V13723">
        <v>46</v>
      </c>
    </row>
    <row r="13724" spans="1:22" customFormat="1" ht="15" x14ac:dyDescent="0.25">
      <c r="A13724" t="s">
        <v>200</v>
      </c>
      <c r="E13724" s="1561" t="s">
        <v>3893</v>
      </c>
      <c r="F13724" s="1561"/>
      <c r="G13724" s="584" t="s">
        <v>777</v>
      </c>
      <c r="H13724" s="576">
        <v>13.73</v>
      </c>
      <c r="K13724" t="s">
        <v>3785</v>
      </c>
      <c r="L13724" t="s">
        <v>690</v>
      </c>
      <c r="P13724" t="s">
        <v>3788</v>
      </c>
      <c r="V13724">
        <v>29</v>
      </c>
    </row>
    <row r="13725" spans="1:22" customFormat="1" ht="15" x14ac:dyDescent="0.25">
      <c r="A13725" t="s">
        <v>200</v>
      </c>
      <c r="E13725" s="1561" t="s">
        <v>3688</v>
      </c>
      <c r="F13725" s="1561"/>
      <c r="G13725" s="584" t="s">
        <v>845</v>
      </c>
      <c r="H13725" s="577">
        <v>2.1299999999999999E-2</v>
      </c>
      <c r="K13725" t="s">
        <v>3785</v>
      </c>
      <c r="L13725" t="s">
        <v>690</v>
      </c>
      <c r="P13725" t="s">
        <v>3789</v>
      </c>
      <c r="V13725">
        <v>28</v>
      </c>
    </row>
    <row r="13726" spans="1:22" customFormat="1" ht="15" x14ac:dyDescent="0.25">
      <c r="A13726" t="s">
        <v>200</v>
      </c>
      <c r="E13726" s="1561" t="s">
        <v>910</v>
      </c>
      <c r="F13726" s="1561"/>
      <c r="G13726" s="584" t="s">
        <v>845</v>
      </c>
      <c r="H13726" s="577">
        <v>3.0999999999999999E-3</v>
      </c>
      <c r="K13726" t="s">
        <v>3785</v>
      </c>
      <c r="L13726" t="s">
        <v>692</v>
      </c>
      <c r="P13726" t="s">
        <v>3790</v>
      </c>
      <c r="V13726">
        <v>24</v>
      </c>
    </row>
    <row r="13727" spans="1:22" customFormat="1" ht="15" x14ac:dyDescent="0.25">
      <c r="A13727" t="s">
        <v>200</v>
      </c>
      <c r="E13727" s="1561" t="s">
        <v>6520</v>
      </c>
      <c r="F13727" s="1561"/>
      <c r="G13727" s="584" t="s">
        <v>845</v>
      </c>
      <c r="H13727" s="577">
        <v>1.8E-3</v>
      </c>
      <c r="K13727" t="s">
        <v>3785</v>
      </c>
      <c r="L13727" t="s">
        <v>692</v>
      </c>
      <c r="P13727" t="s">
        <v>3792</v>
      </c>
      <c r="T13727">
        <v>46022</v>
      </c>
      <c r="V13727">
        <v>99</v>
      </c>
    </row>
    <row r="13728" spans="1:22" customFormat="1" ht="15" x14ac:dyDescent="0.25">
      <c r="A13728" t="s">
        <v>200</v>
      </c>
      <c r="E13728" s="1561" t="s">
        <v>7602</v>
      </c>
      <c r="F13728" s="1561"/>
      <c r="G13728" s="584" t="s">
        <v>845</v>
      </c>
      <c r="H13728" s="577">
        <v>3.5000000000000001E-3</v>
      </c>
      <c r="K13728" t="s">
        <v>3785</v>
      </c>
      <c r="L13728" t="s">
        <v>692</v>
      </c>
      <c r="P13728" t="s">
        <v>4818</v>
      </c>
      <c r="T13728">
        <v>46022</v>
      </c>
      <c r="V13728">
        <v>143</v>
      </c>
    </row>
    <row r="13729" spans="1:22" customFormat="1" ht="15" x14ac:dyDescent="0.25">
      <c r="A13729" t="s">
        <v>200</v>
      </c>
      <c r="E13729" s="1561" t="s">
        <v>7601</v>
      </c>
      <c r="F13729" s="1561"/>
      <c r="G13729" s="584" t="s">
        <v>845</v>
      </c>
      <c r="H13729" s="577">
        <v>-1.5E-3</v>
      </c>
      <c r="K13729" t="s">
        <v>3785</v>
      </c>
      <c r="L13729" t="s">
        <v>690</v>
      </c>
      <c r="P13729" t="s">
        <v>3792</v>
      </c>
      <c r="T13729">
        <v>46022</v>
      </c>
      <c r="V13729">
        <v>107</v>
      </c>
    </row>
    <row r="13730" spans="1:22" customFormat="1" ht="15" x14ac:dyDescent="0.25">
      <c r="A13730" t="s">
        <v>200</v>
      </c>
      <c r="E13730" s="1561" t="s">
        <v>243</v>
      </c>
      <c r="F13730" s="1561"/>
      <c r="G13730" s="584" t="s">
        <v>845</v>
      </c>
      <c r="H13730" s="577">
        <v>9.5999999999999992E-3</v>
      </c>
      <c r="K13730" t="s">
        <v>3785</v>
      </c>
      <c r="L13730" t="s">
        <v>694</v>
      </c>
      <c r="P13730" t="s">
        <v>3793</v>
      </c>
      <c r="V13730">
        <v>47</v>
      </c>
    </row>
    <row r="13731" spans="1:22" customFormat="1" ht="15" x14ac:dyDescent="0.25">
      <c r="A13731" t="s">
        <v>200</v>
      </c>
      <c r="E13731" s="1561" t="s">
        <v>175</v>
      </c>
      <c r="F13731" s="1561"/>
      <c r="G13731" s="584" t="s">
        <v>845</v>
      </c>
      <c r="H13731" s="577">
        <v>7.3000000000000001E-3</v>
      </c>
      <c r="K13731" t="s">
        <v>3785</v>
      </c>
      <c r="L13731" t="s">
        <v>694</v>
      </c>
      <c r="P13731" t="s">
        <v>3794</v>
      </c>
      <c r="V13731">
        <v>74</v>
      </c>
    </row>
    <row r="13732" spans="1:22" customFormat="1" ht="15" x14ac:dyDescent="0.25">
      <c r="A13732" t="s">
        <v>200</v>
      </c>
      <c r="E13732" s="1596" t="s">
        <v>967</v>
      </c>
      <c r="F13732" s="1561"/>
      <c r="G13732" s="584"/>
      <c r="H13732" s="584"/>
      <c r="K13732" t="s">
        <v>1019</v>
      </c>
      <c r="V13732">
        <v>48</v>
      </c>
    </row>
    <row r="13733" spans="1:22" customFormat="1" ht="15" x14ac:dyDescent="0.25">
      <c r="A13733" t="s">
        <v>200</v>
      </c>
      <c r="E13733" s="1561" t="s">
        <v>844</v>
      </c>
      <c r="F13733" s="1561"/>
      <c r="G13733" s="584" t="s">
        <v>845</v>
      </c>
      <c r="H13733" s="577">
        <v>4.1000000000000003E-3</v>
      </c>
      <c r="K13733" t="s">
        <v>3785</v>
      </c>
      <c r="L13733" t="s">
        <v>968</v>
      </c>
      <c r="P13733" t="s">
        <v>3795</v>
      </c>
      <c r="V13733">
        <v>55</v>
      </c>
    </row>
    <row r="13734" spans="1:22" customFormat="1" ht="15" x14ac:dyDescent="0.25">
      <c r="A13734" t="s">
        <v>200</v>
      </c>
      <c r="E13734" s="1561" t="s">
        <v>846</v>
      </c>
      <c r="F13734" s="1561"/>
      <c r="G13734" s="584" t="s">
        <v>845</v>
      </c>
      <c r="H13734" s="577">
        <v>4.0000000000000002E-4</v>
      </c>
      <c r="K13734" t="s">
        <v>3785</v>
      </c>
      <c r="L13734" t="s">
        <v>968</v>
      </c>
      <c r="P13734" t="s">
        <v>3795</v>
      </c>
      <c r="V13734">
        <v>65</v>
      </c>
    </row>
    <row r="13735" spans="1:22" customFormat="1" ht="15" x14ac:dyDescent="0.25">
      <c r="A13735" t="s">
        <v>200</v>
      </c>
      <c r="E13735" s="1561" t="s">
        <v>847</v>
      </c>
      <c r="F13735" s="1561"/>
      <c r="G13735" s="584" t="s">
        <v>845</v>
      </c>
      <c r="H13735" s="577">
        <v>1.5E-3</v>
      </c>
      <c r="K13735" t="s">
        <v>3785</v>
      </c>
      <c r="L13735" t="s">
        <v>968</v>
      </c>
      <c r="P13735" t="s">
        <v>3796</v>
      </c>
      <c r="V13735">
        <v>57</v>
      </c>
    </row>
    <row r="13736" spans="1:22" customFormat="1" ht="15" x14ac:dyDescent="0.25">
      <c r="A13736" t="s">
        <v>200</v>
      </c>
      <c r="E13736" s="1561" t="s">
        <v>848</v>
      </c>
      <c r="F13736" s="1561"/>
      <c r="G13736" s="584" t="s">
        <v>777</v>
      </c>
      <c r="H13736" s="576">
        <v>0.25</v>
      </c>
      <c r="K13736" t="s">
        <v>3785</v>
      </c>
      <c r="L13736" t="s">
        <v>968</v>
      </c>
      <c r="P13736" t="s">
        <v>3797</v>
      </c>
      <c r="V13736">
        <v>63</v>
      </c>
    </row>
    <row r="13737" spans="1:22" customFormat="1" x14ac:dyDescent="0.25">
      <c r="A13737" t="s">
        <v>200</v>
      </c>
      <c r="E13737" s="1647" t="s">
        <v>198</v>
      </c>
      <c r="F13737" s="1647"/>
      <c r="G13737" s="1647"/>
      <c r="H13737" s="1647"/>
      <c r="K13737" t="s">
        <v>3798</v>
      </c>
      <c r="V13737">
        <v>40</v>
      </c>
    </row>
    <row r="13738" spans="1:22" customFormat="1" ht="15" x14ac:dyDescent="0.25">
      <c r="A13738" t="s">
        <v>200</v>
      </c>
      <c r="E13738" s="1572" t="s">
        <v>7608</v>
      </c>
      <c r="F13738" s="1572"/>
      <c r="G13738" s="1572"/>
      <c r="H13738" s="1572"/>
      <c r="K13738" t="s">
        <v>3798</v>
      </c>
      <c r="V13738">
        <v>299</v>
      </c>
    </row>
    <row r="13739" spans="1:22" customFormat="1" ht="15" x14ac:dyDescent="0.25">
      <c r="A13739" t="s">
        <v>200</v>
      </c>
      <c r="E13739" s="1621" t="s">
        <v>950</v>
      </c>
      <c r="F13739" s="1516"/>
      <c r="G13739" s="1516"/>
      <c r="H13739" s="1516"/>
      <c r="K13739" t="s">
        <v>1025</v>
      </c>
      <c r="V13739">
        <v>11</v>
      </c>
    </row>
    <row r="13740" spans="1:22" customFormat="1" ht="15" x14ac:dyDescent="0.25">
      <c r="A13740" t="s">
        <v>200</v>
      </c>
      <c r="E13740" s="1605" t="s">
        <v>5173</v>
      </c>
      <c r="F13740" s="1516"/>
      <c r="G13740" s="1516"/>
      <c r="H13740" s="1516"/>
      <c r="K13740" t="s">
        <v>3798</v>
      </c>
      <c r="V13740">
        <v>281</v>
      </c>
    </row>
    <row r="13741" spans="1:22" customFormat="1" ht="15" x14ac:dyDescent="0.25">
      <c r="A13741" t="s">
        <v>200</v>
      </c>
      <c r="E13741" s="1605" t="s">
        <v>952</v>
      </c>
      <c r="F13741" s="1516"/>
      <c r="G13741" s="1516"/>
      <c r="H13741" s="1516"/>
      <c r="K13741" t="s">
        <v>3798</v>
      </c>
      <c r="V13741">
        <v>411</v>
      </c>
    </row>
    <row r="13742" spans="1:22" customFormat="1" ht="15" x14ac:dyDescent="0.25">
      <c r="A13742" t="s">
        <v>200</v>
      </c>
      <c r="E13742" s="1605" t="s">
        <v>953</v>
      </c>
      <c r="F13742" s="1516"/>
      <c r="G13742" s="1516"/>
      <c r="H13742" s="1516"/>
      <c r="K13742" t="s">
        <v>3798</v>
      </c>
      <c r="V13742">
        <v>386</v>
      </c>
    </row>
    <row r="13743" spans="1:22" customFormat="1" ht="15" x14ac:dyDescent="0.25">
      <c r="A13743" t="s">
        <v>200</v>
      </c>
      <c r="E13743" s="1605" t="s">
        <v>3762</v>
      </c>
      <c r="F13743" s="1516"/>
      <c r="G13743" s="1516"/>
      <c r="H13743" s="1516"/>
      <c r="K13743" t="s">
        <v>3798</v>
      </c>
      <c r="V13743">
        <v>247</v>
      </c>
    </row>
    <row r="13744" spans="1:22" customFormat="1" ht="15" x14ac:dyDescent="0.25">
      <c r="A13744" t="s">
        <v>200</v>
      </c>
      <c r="E13744" s="1609" t="s">
        <v>956</v>
      </c>
      <c r="F13744" s="1572"/>
      <c r="G13744" s="1572"/>
      <c r="H13744" s="1572"/>
      <c r="K13744" t="s">
        <v>1026</v>
      </c>
      <c r="V13744">
        <v>46</v>
      </c>
    </row>
    <row r="13745" spans="1:22" customFormat="1" ht="15" x14ac:dyDescent="0.25">
      <c r="A13745" t="s">
        <v>200</v>
      </c>
      <c r="E13745" s="1606" t="s">
        <v>3874</v>
      </c>
      <c r="F13745" s="1561"/>
      <c r="G13745" s="988" t="s">
        <v>777</v>
      </c>
      <c r="H13745" s="989">
        <v>6.82</v>
      </c>
      <c r="K13745" t="s">
        <v>3798</v>
      </c>
      <c r="L13745" t="s">
        <v>690</v>
      </c>
      <c r="P13745" t="s">
        <v>3801</v>
      </c>
      <c r="V13745">
        <v>31</v>
      </c>
    </row>
    <row r="13746" spans="1:22" customFormat="1" ht="15" x14ac:dyDescent="0.25">
      <c r="A13746" t="s">
        <v>200</v>
      </c>
      <c r="E13746" s="1606" t="s">
        <v>3688</v>
      </c>
      <c r="F13746" s="1561"/>
      <c r="G13746" s="988" t="s">
        <v>3775</v>
      </c>
      <c r="H13746" s="990">
        <v>18.045200000000001</v>
      </c>
      <c r="K13746" t="s">
        <v>3798</v>
      </c>
      <c r="L13746" t="s">
        <v>690</v>
      </c>
      <c r="P13746" t="s">
        <v>3802</v>
      </c>
      <c r="V13746">
        <v>28</v>
      </c>
    </row>
    <row r="13747" spans="1:22" customFormat="1" ht="15" x14ac:dyDescent="0.25">
      <c r="A13747" t="s">
        <v>200</v>
      </c>
      <c r="E13747" s="1606" t="s">
        <v>910</v>
      </c>
      <c r="F13747" s="1561"/>
      <c r="G13747" s="988" t="s">
        <v>3775</v>
      </c>
      <c r="H13747" s="990">
        <v>0.92879999999999996</v>
      </c>
      <c r="K13747" t="s">
        <v>3798</v>
      </c>
      <c r="L13747" t="s">
        <v>692</v>
      </c>
      <c r="P13747" t="s">
        <v>3803</v>
      </c>
      <c r="V13747">
        <v>24</v>
      </c>
    </row>
    <row r="13748" spans="1:22" customFormat="1" ht="15" x14ac:dyDescent="0.25">
      <c r="A13748" t="s">
        <v>200</v>
      </c>
      <c r="E13748" s="1561" t="s">
        <v>6520</v>
      </c>
      <c r="F13748" s="1561"/>
      <c r="G13748" s="988" t="s">
        <v>3775</v>
      </c>
      <c r="H13748" s="990">
        <v>0.63539999999999996</v>
      </c>
      <c r="K13748" t="s">
        <v>3798</v>
      </c>
      <c r="L13748" t="s">
        <v>692</v>
      </c>
      <c r="P13748" t="s">
        <v>3805</v>
      </c>
      <c r="T13748">
        <v>46022</v>
      </c>
      <c r="V13748">
        <v>99</v>
      </c>
    </row>
    <row r="13749" spans="1:22" customFormat="1" ht="15" x14ac:dyDescent="0.25">
      <c r="A13749" t="s">
        <v>200</v>
      </c>
      <c r="E13749" s="1561" t="s">
        <v>7602</v>
      </c>
      <c r="F13749" s="1561"/>
      <c r="G13749" s="987" t="s">
        <v>845</v>
      </c>
      <c r="H13749" s="991">
        <v>3.5000000000000001E-3</v>
      </c>
      <c r="K13749" t="s">
        <v>3798</v>
      </c>
      <c r="L13749" t="s">
        <v>692</v>
      </c>
      <c r="P13749" t="s">
        <v>5137</v>
      </c>
      <c r="T13749">
        <v>46022</v>
      </c>
      <c r="V13749">
        <v>143</v>
      </c>
    </row>
    <row r="13750" spans="1:22" customFormat="1" ht="15" x14ac:dyDescent="0.25">
      <c r="A13750" t="s">
        <v>200</v>
      </c>
      <c r="E13750" s="1561" t="s">
        <v>7601</v>
      </c>
      <c r="F13750" s="1561"/>
      <c r="G13750" s="988" t="s">
        <v>3775</v>
      </c>
      <c r="H13750" s="990">
        <v>-0.86839999999999995</v>
      </c>
      <c r="K13750" t="s">
        <v>3798</v>
      </c>
      <c r="L13750" t="s">
        <v>690</v>
      </c>
      <c r="P13750" t="s">
        <v>3805</v>
      </c>
      <c r="T13750">
        <v>46022</v>
      </c>
      <c r="V13750">
        <v>107</v>
      </c>
    </row>
    <row r="13751" spans="1:22" customFormat="1" ht="15" x14ac:dyDescent="0.25">
      <c r="A13751" t="s">
        <v>200</v>
      </c>
      <c r="E13751" s="1606" t="s">
        <v>243</v>
      </c>
      <c r="F13751" s="1561"/>
      <c r="G13751" s="988" t="s">
        <v>3775</v>
      </c>
      <c r="H13751" s="990">
        <v>2.9125000000000001</v>
      </c>
      <c r="K13751" t="s">
        <v>3798</v>
      </c>
      <c r="L13751" t="s">
        <v>694</v>
      </c>
      <c r="P13751" t="s">
        <v>3806</v>
      </c>
      <c r="V13751">
        <v>47</v>
      </c>
    </row>
    <row r="13752" spans="1:22" customFormat="1" ht="15" x14ac:dyDescent="0.25">
      <c r="A13752" t="s">
        <v>200</v>
      </c>
      <c r="E13752" s="1606" t="s">
        <v>175</v>
      </c>
      <c r="F13752" s="1561"/>
      <c r="G13752" s="988" t="s">
        <v>3775</v>
      </c>
      <c r="H13752" s="990">
        <v>2.2643</v>
      </c>
      <c r="K13752" t="s">
        <v>3798</v>
      </c>
      <c r="L13752" t="s">
        <v>694</v>
      </c>
      <c r="P13752" t="s">
        <v>3807</v>
      </c>
      <c r="V13752">
        <v>74</v>
      </c>
    </row>
    <row r="13753" spans="1:22" customFormat="1" ht="15" x14ac:dyDescent="0.25">
      <c r="A13753" t="s">
        <v>200</v>
      </c>
      <c r="E13753" s="1609" t="s">
        <v>967</v>
      </c>
      <c r="F13753" s="1561"/>
      <c r="G13753" s="992"/>
      <c r="H13753" s="993"/>
      <c r="K13753" t="s">
        <v>1035</v>
      </c>
      <c r="V13753">
        <v>48</v>
      </c>
    </row>
    <row r="13754" spans="1:22" customFormat="1" ht="15" x14ac:dyDescent="0.25">
      <c r="A13754" t="s">
        <v>200</v>
      </c>
      <c r="E13754" s="1606" t="s">
        <v>844</v>
      </c>
      <c r="F13754" s="1561"/>
      <c r="G13754" s="988" t="s">
        <v>845</v>
      </c>
      <c r="H13754" s="990">
        <v>4.1000000000000003E-3</v>
      </c>
      <c r="K13754" t="s">
        <v>3798</v>
      </c>
      <c r="L13754" t="s">
        <v>968</v>
      </c>
      <c r="P13754" t="s">
        <v>3808</v>
      </c>
      <c r="V13754">
        <v>55</v>
      </c>
    </row>
    <row r="13755" spans="1:22" customFormat="1" ht="15" x14ac:dyDescent="0.25">
      <c r="A13755" t="s">
        <v>200</v>
      </c>
      <c r="E13755" s="1606" t="s">
        <v>846</v>
      </c>
      <c r="F13755" s="1561"/>
      <c r="G13755" s="988" t="s">
        <v>845</v>
      </c>
      <c r="H13755" s="990">
        <v>4.0000000000000002E-4</v>
      </c>
      <c r="K13755" t="s">
        <v>3798</v>
      </c>
      <c r="L13755" t="s">
        <v>968</v>
      </c>
      <c r="P13755" t="s">
        <v>3808</v>
      </c>
      <c r="V13755">
        <v>65</v>
      </c>
    </row>
    <row r="13756" spans="1:22" customFormat="1" ht="15" x14ac:dyDescent="0.25">
      <c r="A13756" t="s">
        <v>200</v>
      </c>
      <c r="E13756" s="1606" t="s">
        <v>847</v>
      </c>
      <c r="F13756" s="1561"/>
      <c r="G13756" s="988" t="s">
        <v>845</v>
      </c>
      <c r="H13756" s="990">
        <v>1.5E-3</v>
      </c>
      <c r="K13756" t="s">
        <v>3798</v>
      </c>
      <c r="L13756" t="s">
        <v>968</v>
      </c>
      <c r="P13756" t="s">
        <v>3809</v>
      </c>
      <c r="V13756">
        <v>57</v>
      </c>
    </row>
    <row r="13757" spans="1:22" customFormat="1" ht="15" x14ac:dyDescent="0.25">
      <c r="A13757" t="s">
        <v>200</v>
      </c>
      <c r="E13757" s="1606" t="s">
        <v>848</v>
      </c>
      <c r="F13757" s="1561"/>
      <c r="G13757" s="988" t="s">
        <v>777</v>
      </c>
      <c r="H13757" s="989">
        <v>0.25</v>
      </c>
      <c r="K13757" t="s">
        <v>3798</v>
      </c>
      <c r="L13757" t="s">
        <v>968</v>
      </c>
      <c r="P13757" t="s">
        <v>3810</v>
      </c>
      <c r="V13757">
        <v>63</v>
      </c>
    </row>
    <row r="13758" spans="1:22" customFormat="1" x14ac:dyDescent="0.25">
      <c r="A13758" t="s">
        <v>200</v>
      </c>
      <c r="E13758" s="1492" t="s">
        <v>202</v>
      </c>
      <c r="F13758" s="1493"/>
      <c r="G13758" s="1493"/>
      <c r="H13758" s="1493"/>
      <c r="K13758" t="s">
        <v>3811</v>
      </c>
      <c r="V13758">
        <v>38</v>
      </c>
    </row>
    <row r="13759" spans="1:22" customFormat="1" ht="15" x14ac:dyDescent="0.25">
      <c r="A13759" t="s">
        <v>200</v>
      </c>
      <c r="E13759" s="1516" t="s">
        <v>5037</v>
      </c>
      <c r="F13759" s="1516"/>
      <c r="G13759" s="1516"/>
      <c r="H13759" s="1516"/>
      <c r="K13759" t="s">
        <v>3811</v>
      </c>
      <c r="V13759">
        <v>523</v>
      </c>
    </row>
    <row r="13760" spans="1:22" customFormat="1" ht="15" x14ac:dyDescent="0.25">
      <c r="A13760" t="s">
        <v>200</v>
      </c>
      <c r="E13760" s="1515" t="s">
        <v>950</v>
      </c>
      <c r="F13760" s="1516"/>
      <c r="G13760" s="1516"/>
      <c r="H13760" s="1516"/>
      <c r="K13760" t="s">
        <v>1041</v>
      </c>
      <c r="V13760">
        <v>11</v>
      </c>
    </row>
    <row r="13761" spans="1:22" customFormat="1" ht="15" x14ac:dyDescent="0.25">
      <c r="A13761" t="s">
        <v>200</v>
      </c>
      <c r="E13761" s="1516" t="s">
        <v>951</v>
      </c>
      <c r="F13761" s="1516"/>
      <c r="G13761" s="1516"/>
      <c r="H13761" s="1516"/>
      <c r="K13761" t="s">
        <v>3811</v>
      </c>
      <c r="V13761">
        <v>280</v>
      </c>
    </row>
    <row r="13762" spans="1:22" customFormat="1" ht="15" x14ac:dyDescent="0.25">
      <c r="A13762" t="s">
        <v>200</v>
      </c>
      <c r="E13762" s="1516" t="s">
        <v>952</v>
      </c>
      <c r="F13762" s="1516"/>
      <c r="G13762" s="1516"/>
      <c r="H13762" s="1516"/>
      <c r="K13762" t="s">
        <v>3811</v>
      </c>
      <c r="V13762">
        <v>411</v>
      </c>
    </row>
    <row r="13763" spans="1:22" customFormat="1" ht="15" x14ac:dyDescent="0.25">
      <c r="A13763" t="s">
        <v>200</v>
      </c>
      <c r="E13763" s="1516" t="s">
        <v>3761</v>
      </c>
      <c r="F13763" s="1516"/>
      <c r="G13763" s="1516"/>
      <c r="H13763" s="1516"/>
      <c r="K13763" t="s">
        <v>3811</v>
      </c>
      <c r="V13763">
        <v>387</v>
      </c>
    </row>
    <row r="13764" spans="1:22" customFormat="1" ht="15" x14ac:dyDescent="0.25">
      <c r="A13764" t="s">
        <v>200</v>
      </c>
      <c r="E13764" s="1516" t="s">
        <v>3762</v>
      </c>
      <c r="F13764" s="1516"/>
      <c r="G13764" s="1516"/>
      <c r="H13764" s="1516"/>
      <c r="K13764" t="s">
        <v>3811</v>
      </c>
      <c r="V13764">
        <v>247</v>
      </c>
    </row>
    <row r="13765" spans="1:22" customFormat="1" ht="15" x14ac:dyDescent="0.25">
      <c r="A13765" t="s">
        <v>200</v>
      </c>
      <c r="E13765" s="1596" t="s">
        <v>956</v>
      </c>
      <c r="F13765" s="1572"/>
      <c r="G13765" s="1572"/>
      <c r="H13765" s="1572"/>
      <c r="K13765" t="s">
        <v>1042</v>
      </c>
      <c r="V13765">
        <v>46</v>
      </c>
    </row>
    <row r="13766" spans="1:22" customFormat="1" ht="15" x14ac:dyDescent="0.25">
      <c r="A13766" t="s">
        <v>200</v>
      </c>
      <c r="E13766" s="1561" t="s">
        <v>3874</v>
      </c>
      <c r="F13766" s="1561"/>
      <c r="G13766" s="584" t="s">
        <v>777</v>
      </c>
      <c r="H13766" s="576">
        <v>3.69</v>
      </c>
      <c r="K13766" t="s">
        <v>3811</v>
      </c>
      <c r="L13766" t="s">
        <v>690</v>
      </c>
      <c r="P13766" t="s">
        <v>3813</v>
      </c>
      <c r="V13766">
        <v>31</v>
      </c>
    </row>
    <row r="13767" spans="1:22" customFormat="1" ht="15" x14ac:dyDescent="0.25">
      <c r="A13767" t="s">
        <v>200</v>
      </c>
      <c r="E13767" s="1561" t="s">
        <v>3688</v>
      </c>
      <c r="F13767" s="1561"/>
      <c r="G13767" s="584" t="s">
        <v>3775</v>
      </c>
      <c r="H13767" s="577">
        <v>17.9559</v>
      </c>
      <c r="K13767" t="s">
        <v>3811</v>
      </c>
      <c r="L13767" t="s">
        <v>690</v>
      </c>
      <c r="P13767" t="s">
        <v>3814</v>
      </c>
      <c r="V13767">
        <v>28</v>
      </c>
    </row>
    <row r="13768" spans="1:22" customFormat="1" ht="15" x14ac:dyDescent="0.25">
      <c r="A13768" t="s">
        <v>200</v>
      </c>
      <c r="E13768" s="1561" t="s">
        <v>910</v>
      </c>
      <c r="F13768" s="1561"/>
      <c r="G13768" s="584" t="s">
        <v>3775</v>
      </c>
      <c r="H13768" s="577">
        <v>0.90990000000000004</v>
      </c>
      <c r="K13768" t="s">
        <v>3811</v>
      </c>
      <c r="L13768" t="s">
        <v>692</v>
      </c>
      <c r="P13768" t="s">
        <v>3815</v>
      </c>
      <c r="V13768">
        <v>24</v>
      </c>
    </row>
    <row r="13769" spans="1:22" customFormat="1" ht="15" x14ac:dyDescent="0.25">
      <c r="A13769" t="s">
        <v>200</v>
      </c>
      <c r="E13769" s="1561" t="s">
        <v>6520</v>
      </c>
      <c r="F13769" s="1561"/>
      <c r="G13769" s="584" t="s">
        <v>3775</v>
      </c>
      <c r="H13769" s="577">
        <v>1.0258</v>
      </c>
      <c r="K13769" t="s">
        <v>3811</v>
      </c>
      <c r="L13769" t="s">
        <v>692</v>
      </c>
      <c r="P13769" t="s">
        <v>3817</v>
      </c>
      <c r="T13769">
        <v>46022</v>
      </c>
      <c r="V13769">
        <v>99</v>
      </c>
    </row>
    <row r="13770" spans="1:22" customFormat="1" ht="15" x14ac:dyDescent="0.25">
      <c r="A13770" t="s">
        <v>200</v>
      </c>
      <c r="E13770" s="1561" t="s">
        <v>7605</v>
      </c>
      <c r="F13770" s="1561"/>
      <c r="G13770" s="584" t="s">
        <v>845</v>
      </c>
      <c r="H13770" s="577">
        <v>3.5000000000000001E-3</v>
      </c>
      <c r="K13770" t="s">
        <v>3811</v>
      </c>
      <c r="L13770" t="s">
        <v>692</v>
      </c>
      <c r="P13770" t="s">
        <v>4543</v>
      </c>
      <c r="T13770">
        <v>46022</v>
      </c>
      <c r="V13770">
        <v>143</v>
      </c>
    </row>
    <row r="13771" spans="1:22" customFormat="1" ht="15" x14ac:dyDescent="0.25">
      <c r="A13771" t="s">
        <v>200</v>
      </c>
      <c r="E13771" s="1561" t="s">
        <v>7601</v>
      </c>
      <c r="F13771" s="1561"/>
      <c r="G13771" s="584" t="s">
        <v>3775</v>
      </c>
      <c r="H13771" s="577">
        <v>3.4394999999999998</v>
      </c>
      <c r="K13771" t="s">
        <v>3811</v>
      </c>
      <c r="L13771" t="s">
        <v>690</v>
      </c>
      <c r="P13771" t="s">
        <v>3817</v>
      </c>
      <c r="T13771">
        <v>46022</v>
      </c>
      <c r="V13771">
        <v>107</v>
      </c>
    </row>
    <row r="13772" spans="1:22" customFormat="1" ht="15" x14ac:dyDescent="0.25">
      <c r="A13772" t="s">
        <v>200</v>
      </c>
      <c r="E13772" s="1561" t="s">
        <v>243</v>
      </c>
      <c r="F13772" s="1561"/>
      <c r="G13772" s="584" t="s">
        <v>3775</v>
      </c>
      <c r="H13772" s="577">
        <v>2.8978999999999999</v>
      </c>
      <c r="K13772" t="s">
        <v>3811</v>
      </c>
      <c r="L13772" t="s">
        <v>694</v>
      </c>
      <c r="P13772" t="s">
        <v>3818</v>
      </c>
      <c r="V13772">
        <v>47</v>
      </c>
    </row>
    <row r="13773" spans="1:22" customFormat="1" ht="15" x14ac:dyDescent="0.25">
      <c r="A13773" t="s">
        <v>200</v>
      </c>
      <c r="E13773" s="1561" t="s">
        <v>175</v>
      </c>
      <c r="F13773" s="1561"/>
      <c r="G13773" s="584" t="s">
        <v>3775</v>
      </c>
      <c r="H13773" s="577">
        <v>2.218</v>
      </c>
      <c r="K13773" t="s">
        <v>3811</v>
      </c>
      <c r="L13773" t="s">
        <v>694</v>
      </c>
      <c r="P13773" t="s">
        <v>3819</v>
      </c>
      <c r="V13773">
        <v>74</v>
      </c>
    </row>
    <row r="13774" spans="1:22" customFormat="1" ht="15" x14ac:dyDescent="0.25">
      <c r="A13774" t="s">
        <v>200</v>
      </c>
      <c r="E13774" s="1596" t="s">
        <v>967</v>
      </c>
      <c r="F13774" s="1561"/>
      <c r="G13774" s="584"/>
      <c r="H13774" s="584"/>
      <c r="K13774" t="s">
        <v>1049</v>
      </c>
      <c r="V13774">
        <v>48</v>
      </c>
    </row>
    <row r="13775" spans="1:22" customFormat="1" ht="15" x14ac:dyDescent="0.25">
      <c r="A13775" t="s">
        <v>200</v>
      </c>
      <c r="E13775" s="1561" t="s">
        <v>844</v>
      </c>
      <c r="F13775" s="1561"/>
      <c r="G13775" s="584" t="s">
        <v>845</v>
      </c>
      <c r="H13775" s="577">
        <v>4.1000000000000003E-3</v>
      </c>
      <c r="K13775" t="s">
        <v>3811</v>
      </c>
      <c r="L13775" t="s">
        <v>968</v>
      </c>
      <c r="P13775" t="s">
        <v>3820</v>
      </c>
      <c r="V13775">
        <v>55</v>
      </c>
    </row>
    <row r="13776" spans="1:22" customFormat="1" ht="15" x14ac:dyDescent="0.25">
      <c r="A13776" t="s">
        <v>200</v>
      </c>
      <c r="E13776" s="1561" t="s">
        <v>846</v>
      </c>
      <c r="F13776" s="1561"/>
      <c r="G13776" s="584" t="s">
        <v>845</v>
      </c>
      <c r="H13776" s="577">
        <v>4.0000000000000002E-4</v>
      </c>
      <c r="K13776" t="s">
        <v>3811</v>
      </c>
      <c r="L13776" t="s">
        <v>968</v>
      </c>
      <c r="P13776" t="s">
        <v>3820</v>
      </c>
      <c r="V13776">
        <v>65</v>
      </c>
    </row>
    <row r="13777" spans="1:22" customFormat="1" ht="15" x14ac:dyDescent="0.25">
      <c r="A13777" t="s">
        <v>200</v>
      </c>
      <c r="E13777" s="1561" t="s">
        <v>847</v>
      </c>
      <c r="F13777" s="1561"/>
      <c r="G13777" s="584" t="s">
        <v>845</v>
      </c>
      <c r="H13777" s="577">
        <v>1.5E-3</v>
      </c>
      <c r="K13777" t="s">
        <v>3811</v>
      </c>
      <c r="L13777" t="s">
        <v>968</v>
      </c>
      <c r="P13777" t="s">
        <v>3821</v>
      </c>
      <c r="V13777">
        <v>57</v>
      </c>
    </row>
    <row r="13778" spans="1:22" customFormat="1" ht="15" x14ac:dyDescent="0.25">
      <c r="A13778" t="s">
        <v>200</v>
      </c>
      <c r="E13778" s="1561" t="s">
        <v>848</v>
      </c>
      <c r="F13778" s="1561"/>
      <c r="G13778" s="584" t="s">
        <v>777</v>
      </c>
      <c r="H13778" s="576">
        <v>0.25</v>
      </c>
      <c r="K13778" t="s">
        <v>3811</v>
      </c>
      <c r="L13778" t="s">
        <v>968</v>
      </c>
      <c r="P13778" t="s">
        <v>3822</v>
      </c>
      <c r="V13778">
        <v>63</v>
      </c>
    </row>
    <row r="13779" spans="1:22" customFormat="1" x14ac:dyDescent="0.25">
      <c r="A13779" t="s">
        <v>200</v>
      </c>
      <c r="E13779" s="1492" t="s">
        <v>207</v>
      </c>
      <c r="F13779" s="1493"/>
      <c r="G13779" s="1493"/>
      <c r="H13779" s="1493"/>
      <c r="K13779" t="s">
        <v>3823</v>
      </c>
      <c r="V13779">
        <v>31</v>
      </c>
    </row>
    <row r="13780" spans="1:22" customFormat="1" ht="15" x14ac:dyDescent="0.25">
      <c r="A13780" t="s">
        <v>200</v>
      </c>
      <c r="E13780" s="1516" t="s">
        <v>5045</v>
      </c>
      <c r="F13780" s="1516"/>
      <c r="G13780" s="1516"/>
      <c r="H13780" s="1516"/>
      <c r="K13780" t="s">
        <v>3823</v>
      </c>
      <c r="V13780">
        <v>285</v>
      </c>
    </row>
    <row r="13781" spans="1:22" customFormat="1" ht="15" x14ac:dyDescent="0.25">
      <c r="A13781" t="s">
        <v>200</v>
      </c>
      <c r="E13781" s="1515" t="s">
        <v>950</v>
      </c>
      <c r="F13781" s="1516"/>
      <c r="G13781" s="1516"/>
      <c r="H13781" s="1516"/>
      <c r="K13781" t="s">
        <v>1055</v>
      </c>
      <c r="V13781">
        <v>11</v>
      </c>
    </row>
    <row r="13782" spans="1:22" customFormat="1" ht="15" x14ac:dyDescent="0.25">
      <c r="A13782" t="s">
        <v>200</v>
      </c>
      <c r="E13782" s="1516" t="s">
        <v>951</v>
      </c>
      <c r="F13782" s="1516"/>
      <c r="G13782" s="1516"/>
      <c r="H13782" s="1516"/>
      <c r="K13782" t="s">
        <v>3823</v>
      </c>
      <c r="V13782">
        <v>280</v>
      </c>
    </row>
    <row r="13783" spans="1:22" customFormat="1" ht="15" x14ac:dyDescent="0.25">
      <c r="A13783" t="s">
        <v>200</v>
      </c>
      <c r="E13783" s="1516" t="s">
        <v>952</v>
      </c>
      <c r="F13783" s="1516"/>
      <c r="G13783" s="1516"/>
      <c r="H13783" s="1516"/>
      <c r="K13783" t="s">
        <v>3823</v>
      </c>
      <c r="V13783">
        <v>411</v>
      </c>
    </row>
    <row r="13784" spans="1:22" customFormat="1" ht="15" x14ac:dyDescent="0.25">
      <c r="A13784" t="s">
        <v>200</v>
      </c>
      <c r="E13784" s="1516" t="s">
        <v>1103</v>
      </c>
      <c r="F13784" s="1516"/>
      <c r="G13784" s="1516"/>
      <c r="H13784" s="1516"/>
      <c r="K13784" t="s">
        <v>3823</v>
      </c>
      <c r="V13784">
        <v>211</v>
      </c>
    </row>
    <row r="13785" spans="1:22" customFormat="1" ht="15" x14ac:dyDescent="0.25">
      <c r="A13785" t="s">
        <v>200</v>
      </c>
      <c r="E13785" s="1516" t="s">
        <v>3762</v>
      </c>
      <c r="F13785" s="1516"/>
      <c r="G13785" s="1516"/>
      <c r="H13785" s="1516"/>
      <c r="K13785" t="s">
        <v>3823</v>
      </c>
      <c r="V13785">
        <v>247</v>
      </c>
    </row>
    <row r="13786" spans="1:22" customFormat="1" ht="15" x14ac:dyDescent="0.25">
      <c r="A13786" t="s">
        <v>200</v>
      </c>
      <c r="E13786" s="1596" t="s">
        <v>956</v>
      </c>
      <c r="F13786" s="1572"/>
      <c r="G13786" s="1572"/>
      <c r="H13786" s="1572"/>
      <c r="K13786" t="s">
        <v>1056</v>
      </c>
      <c r="V13786">
        <v>46</v>
      </c>
    </row>
    <row r="13787" spans="1:22" customFormat="1" ht="15" x14ac:dyDescent="0.25">
      <c r="A13787" t="s">
        <v>200</v>
      </c>
      <c r="E13787" s="1561" t="s">
        <v>3773</v>
      </c>
      <c r="F13787" s="1561"/>
      <c r="G13787" s="584" t="s">
        <v>777</v>
      </c>
      <c r="H13787" s="576">
        <v>10</v>
      </c>
      <c r="K13787" t="s">
        <v>3823</v>
      </c>
      <c r="L13787" t="s">
        <v>690</v>
      </c>
      <c r="P13787" t="s">
        <v>3824</v>
      </c>
      <c r="V13787">
        <v>14</v>
      </c>
    </row>
    <row r="13788" spans="1:22" customFormat="1" ht="18.75" x14ac:dyDescent="0.3">
      <c r="A13788" t="s">
        <v>200</v>
      </c>
      <c r="E13788" s="840" t="s">
        <v>3825</v>
      </c>
      <c r="F13788" s="381"/>
      <c r="G13788" s="381"/>
      <c r="H13788" s="382"/>
      <c r="K13788" t="s">
        <v>5175</v>
      </c>
      <c r="V13788">
        <v>10</v>
      </c>
    </row>
    <row r="13789" spans="1:22" customFormat="1" ht="15" x14ac:dyDescent="0.25">
      <c r="A13789" t="s">
        <v>200</v>
      </c>
      <c r="E13789" s="1561" t="s">
        <v>1078</v>
      </c>
      <c r="F13789" s="1561"/>
      <c r="G13789" s="584" t="s">
        <v>3775</v>
      </c>
      <c r="H13789" s="577">
        <v>-0.6</v>
      </c>
      <c r="V13789">
        <v>68</v>
      </c>
    </row>
    <row r="13790" spans="1:22" customFormat="1" ht="15" x14ac:dyDescent="0.25">
      <c r="A13790" t="s">
        <v>200</v>
      </c>
      <c r="E13790" s="1561" t="s">
        <v>1079</v>
      </c>
      <c r="F13790" s="1561"/>
      <c r="G13790" s="584" t="s">
        <v>1118</v>
      </c>
      <c r="H13790" s="576">
        <v>-1</v>
      </c>
      <c r="V13790">
        <v>87</v>
      </c>
    </row>
    <row r="13791" spans="1:22" customFormat="1" ht="36.75" x14ac:dyDescent="0.3">
      <c r="A13791" t="s">
        <v>200</v>
      </c>
      <c r="E13791" s="840" t="s">
        <v>3828</v>
      </c>
      <c r="F13791" s="381"/>
      <c r="G13791" s="381"/>
      <c r="H13791" s="382"/>
      <c r="K13791" t="s">
        <v>5176</v>
      </c>
      <c r="V13791">
        <v>24</v>
      </c>
    </row>
    <row r="13792" spans="1:22" customFormat="1" ht="15" x14ac:dyDescent="0.25">
      <c r="A13792" t="s">
        <v>200</v>
      </c>
      <c r="E13792" s="1516" t="s">
        <v>951</v>
      </c>
      <c r="F13792" s="1516"/>
      <c r="G13792" s="1516"/>
      <c r="H13792" s="1516"/>
      <c r="V13792">
        <v>280</v>
      </c>
    </row>
    <row r="13793" spans="1:22" customFormat="1" ht="15" x14ac:dyDescent="0.25">
      <c r="A13793" t="s">
        <v>200</v>
      </c>
      <c r="E13793" s="1516" t="s">
        <v>1081</v>
      </c>
      <c r="F13793" s="1516"/>
      <c r="G13793" s="1516"/>
      <c r="H13793" s="1516"/>
      <c r="V13793">
        <v>353</v>
      </c>
    </row>
    <row r="13794" spans="1:22" customFormat="1" ht="15" x14ac:dyDescent="0.25">
      <c r="A13794" t="s">
        <v>200</v>
      </c>
      <c r="E13794" s="1516" t="s">
        <v>3762</v>
      </c>
      <c r="F13794" s="1516"/>
      <c r="G13794" s="1516"/>
      <c r="H13794" s="1516"/>
      <c r="V13794">
        <v>247</v>
      </c>
    </row>
    <row r="13795" spans="1:22" customFormat="1" ht="15" x14ac:dyDescent="0.25">
      <c r="A13795" t="s">
        <v>200</v>
      </c>
      <c r="E13795" s="839" t="s">
        <v>3830</v>
      </c>
      <c r="F13795" s="486"/>
      <c r="G13795" s="486"/>
      <c r="H13795" s="653"/>
      <c r="K13795" t="s">
        <v>5177</v>
      </c>
      <c r="V13795">
        <v>23</v>
      </c>
    </row>
    <row r="13796" spans="1:22" customFormat="1" ht="15" x14ac:dyDescent="0.25">
      <c r="A13796" t="s">
        <v>200</v>
      </c>
      <c r="E13796" s="1611" t="s">
        <v>3832</v>
      </c>
      <c r="F13796" s="1569"/>
      <c r="G13796" s="584" t="s">
        <v>777</v>
      </c>
      <c r="H13796" s="576">
        <v>15</v>
      </c>
      <c r="V13796">
        <v>19</v>
      </c>
    </row>
    <row r="13797" spans="1:22" customFormat="1" ht="15" x14ac:dyDescent="0.25">
      <c r="A13797" t="s">
        <v>200</v>
      </c>
      <c r="E13797" s="1611" t="s">
        <v>3833</v>
      </c>
      <c r="F13797" s="1569"/>
      <c r="G13797" s="584" t="s">
        <v>777</v>
      </c>
      <c r="H13797" s="576">
        <v>15</v>
      </c>
      <c r="V13797">
        <v>20</v>
      </c>
    </row>
    <row r="13798" spans="1:22" customFormat="1" ht="15" x14ac:dyDescent="0.25">
      <c r="A13798" t="s">
        <v>200</v>
      </c>
      <c r="E13798" s="1611" t="s">
        <v>4054</v>
      </c>
      <c r="F13798" s="1569"/>
      <c r="G13798" s="584" t="s">
        <v>777</v>
      </c>
      <c r="H13798" s="576">
        <v>15</v>
      </c>
      <c r="V13798">
        <v>26</v>
      </c>
    </row>
    <row r="13799" spans="1:22" customFormat="1" ht="15" x14ac:dyDescent="0.25">
      <c r="A13799" t="s">
        <v>200</v>
      </c>
      <c r="E13799" s="1611" t="s">
        <v>3834</v>
      </c>
      <c r="F13799" s="1569"/>
      <c r="G13799" s="584" t="s">
        <v>777</v>
      </c>
      <c r="H13799" s="576">
        <v>15</v>
      </c>
      <c r="V13799">
        <v>39</v>
      </c>
    </row>
    <row r="13800" spans="1:22" customFormat="1" ht="15" x14ac:dyDescent="0.25">
      <c r="A13800" t="s">
        <v>200</v>
      </c>
      <c r="E13800" s="1611" t="s">
        <v>4055</v>
      </c>
      <c r="F13800" s="1569"/>
      <c r="G13800" s="584" t="s">
        <v>777</v>
      </c>
      <c r="H13800" s="576">
        <v>15</v>
      </c>
      <c r="V13800">
        <v>37</v>
      </c>
    </row>
    <row r="13801" spans="1:22" customFormat="1" ht="15" x14ac:dyDescent="0.25">
      <c r="A13801" t="s">
        <v>200</v>
      </c>
      <c r="E13801" s="1611" t="s">
        <v>4056</v>
      </c>
      <c r="F13801" s="1569"/>
      <c r="G13801" s="584" t="s">
        <v>777</v>
      </c>
      <c r="H13801" s="576">
        <v>15</v>
      </c>
      <c r="V13801">
        <v>15</v>
      </c>
    </row>
    <row r="13802" spans="1:22" customFormat="1" ht="15" x14ac:dyDescent="0.25">
      <c r="A13802" t="s">
        <v>200</v>
      </c>
      <c r="E13802" s="1611" t="s">
        <v>4057</v>
      </c>
      <c r="F13802" s="1569"/>
      <c r="G13802" s="584" t="s">
        <v>777</v>
      </c>
      <c r="H13802" s="576">
        <v>15</v>
      </c>
      <c r="V13802">
        <v>17</v>
      </c>
    </row>
    <row r="13803" spans="1:22" customFormat="1" ht="15" x14ac:dyDescent="0.25">
      <c r="A13803" t="s">
        <v>200</v>
      </c>
      <c r="E13803" s="1611" t="s">
        <v>4419</v>
      </c>
      <c r="F13803" s="1569"/>
      <c r="G13803" s="584" t="s">
        <v>777</v>
      </c>
      <c r="H13803" s="576">
        <v>15</v>
      </c>
      <c r="V13803">
        <v>19</v>
      </c>
    </row>
    <row r="13804" spans="1:22" customFormat="1" ht="15" x14ac:dyDescent="0.25">
      <c r="A13804" t="s">
        <v>200</v>
      </c>
      <c r="E13804" s="1611" t="s">
        <v>4058</v>
      </c>
      <c r="F13804" s="1569"/>
      <c r="G13804" s="584" t="s">
        <v>777</v>
      </c>
      <c r="H13804" s="576">
        <v>15</v>
      </c>
      <c r="V13804">
        <v>15</v>
      </c>
    </row>
    <row r="13805" spans="1:22" customFormat="1" ht="15" x14ac:dyDescent="0.25">
      <c r="A13805" t="s">
        <v>200</v>
      </c>
      <c r="E13805" s="1611" t="s">
        <v>3835</v>
      </c>
      <c r="F13805" s="1569"/>
      <c r="G13805" s="584" t="s">
        <v>777</v>
      </c>
      <c r="H13805" s="576">
        <v>15</v>
      </c>
      <c r="V13805">
        <v>56</v>
      </c>
    </row>
    <row r="13806" spans="1:22" customFormat="1" ht="15" x14ac:dyDescent="0.25">
      <c r="A13806" t="s">
        <v>200</v>
      </c>
      <c r="E13806" s="1611" t="s">
        <v>3836</v>
      </c>
      <c r="F13806" s="1569"/>
      <c r="G13806" s="584" t="s">
        <v>777</v>
      </c>
      <c r="H13806" s="576">
        <v>15</v>
      </c>
      <c r="V13806">
        <v>35</v>
      </c>
    </row>
    <row r="13807" spans="1:22" customFormat="1" ht="15" x14ac:dyDescent="0.25">
      <c r="A13807" t="s">
        <v>200</v>
      </c>
      <c r="E13807" s="1611" t="s">
        <v>4420</v>
      </c>
      <c r="F13807" s="1569"/>
      <c r="G13807" s="584" t="s">
        <v>777</v>
      </c>
      <c r="H13807" s="576">
        <v>15</v>
      </c>
      <c r="V13807">
        <v>24</v>
      </c>
    </row>
    <row r="13808" spans="1:22" customFormat="1" ht="15" x14ac:dyDescent="0.25">
      <c r="A13808" t="s">
        <v>200</v>
      </c>
      <c r="E13808" s="1611" t="s">
        <v>4059</v>
      </c>
      <c r="F13808" s="1569"/>
      <c r="G13808" s="584" t="s">
        <v>777</v>
      </c>
      <c r="H13808" s="576">
        <v>15</v>
      </c>
      <c r="V13808">
        <v>19</v>
      </c>
    </row>
    <row r="13809" spans="1:22" customFormat="1" ht="15" x14ac:dyDescent="0.25">
      <c r="A13809" t="s">
        <v>200</v>
      </c>
      <c r="E13809" s="1611" t="s">
        <v>3837</v>
      </c>
      <c r="F13809" s="1569"/>
      <c r="G13809" s="584" t="s">
        <v>777</v>
      </c>
      <c r="H13809" s="576">
        <v>30</v>
      </c>
      <c r="V13809">
        <v>89</v>
      </c>
    </row>
    <row r="13810" spans="1:22" customFormat="1" ht="15" x14ac:dyDescent="0.25">
      <c r="A13810" t="s">
        <v>200</v>
      </c>
      <c r="E13810" s="1611" t="s">
        <v>3914</v>
      </c>
      <c r="F13810" s="1569"/>
      <c r="G13810" s="584" t="s">
        <v>777</v>
      </c>
      <c r="H13810" s="576">
        <v>30</v>
      </c>
      <c r="V13810">
        <v>19</v>
      </c>
    </row>
    <row r="13811" spans="1:22" customFormat="1" ht="15" x14ac:dyDescent="0.25">
      <c r="A13811" t="s">
        <v>200</v>
      </c>
      <c r="E13811" s="1611" t="s">
        <v>3838</v>
      </c>
      <c r="F13811" s="1569"/>
      <c r="G13811" s="584" t="s">
        <v>777</v>
      </c>
      <c r="H13811" s="576">
        <v>30</v>
      </c>
      <c r="V13811">
        <v>74</v>
      </c>
    </row>
    <row r="13812" spans="1:22" customFormat="1" ht="15" x14ac:dyDescent="0.25">
      <c r="A13812" t="s">
        <v>200</v>
      </c>
      <c r="E13812" s="839" t="s">
        <v>4062</v>
      </c>
      <c r="F13812" s="810"/>
      <c r="G13812" s="810"/>
      <c r="H13812" s="811"/>
      <c r="K13812" t="s">
        <v>5178</v>
      </c>
      <c r="V13812">
        <v>22</v>
      </c>
    </row>
    <row r="13813" spans="1:22" customFormat="1" ht="15" x14ac:dyDescent="0.25">
      <c r="A13813" t="s">
        <v>200</v>
      </c>
      <c r="E13813" s="1569" t="s">
        <v>5050</v>
      </c>
      <c r="F13813" s="1569"/>
      <c r="G13813" s="584" t="s">
        <v>1118</v>
      </c>
      <c r="H13813" s="576">
        <v>1.5</v>
      </c>
      <c r="V13813">
        <v>94</v>
      </c>
    </row>
    <row r="13814" spans="1:22" customFormat="1" ht="15" x14ac:dyDescent="0.25">
      <c r="A13814" t="s">
        <v>200</v>
      </c>
      <c r="E13814" s="1569" t="s">
        <v>3842</v>
      </c>
      <c r="F13814" s="1569"/>
      <c r="G13814" s="584" t="s">
        <v>777</v>
      </c>
      <c r="H13814" s="576">
        <v>65</v>
      </c>
      <c r="V13814">
        <v>44</v>
      </c>
    </row>
    <row r="13815" spans="1:22" customFormat="1" ht="15" x14ac:dyDescent="0.25">
      <c r="A13815" t="s">
        <v>200</v>
      </c>
      <c r="E13815" s="1569" t="s">
        <v>3843</v>
      </c>
      <c r="F13815" s="1569"/>
      <c r="G13815" s="584" t="s">
        <v>777</v>
      </c>
      <c r="H13815" s="576">
        <v>185</v>
      </c>
      <c r="V13815">
        <v>43</v>
      </c>
    </row>
    <row r="13816" spans="1:22" customFormat="1" ht="15" x14ac:dyDescent="0.25">
      <c r="A13816" t="s">
        <v>200</v>
      </c>
      <c r="E13816" s="1569" t="s">
        <v>3844</v>
      </c>
      <c r="F13816" s="1569"/>
      <c r="G13816" s="584" t="s">
        <v>777</v>
      </c>
      <c r="H13816" s="576">
        <v>185</v>
      </c>
      <c r="V13816">
        <v>43</v>
      </c>
    </row>
    <row r="13817" spans="1:22" customFormat="1" ht="15" x14ac:dyDescent="0.25">
      <c r="A13817" t="s">
        <v>200</v>
      </c>
      <c r="E13817" s="1569" t="s">
        <v>3845</v>
      </c>
      <c r="F13817" s="1569"/>
      <c r="G13817" s="584" t="s">
        <v>777</v>
      </c>
      <c r="H13817" s="576">
        <v>415</v>
      </c>
      <c r="V13817">
        <v>42</v>
      </c>
    </row>
    <row r="13818" spans="1:22" customFormat="1" ht="15" x14ac:dyDescent="0.25">
      <c r="A13818" t="s">
        <v>200</v>
      </c>
      <c r="E13818" s="839" t="s">
        <v>3846</v>
      </c>
      <c r="F13818" s="486"/>
      <c r="G13818" s="486"/>
      <c r="H13818" s="653"/>
      <c r="V13818">
        <v>5</v>
      </c>
    </row>
    <row r="13819" spans="1:22" customFormat="1" ht="15" x14ac:dyDescent="0.25">
      <c r="A13819" t="s">
        <v>200</v>
      </c>
      <c r="E13819" s="1611" t="s">
        <v>4217</v>
      </c>
      <c r="F13819" s="1569"/>
      <c r="G13819" s="584" t="s">
        <v>777</v>
      </c>
      <c r="H13819" s="576">
        <v>30</v>
      </c>
      <c r="V13819">
        <v>39</v>
      </c>
    </row>
    <row r="13820" spans="1:22" customFormat="1" ht="15" x14ac:dyDescent="0.25">
      <c r="A13820" t="s">
        <v>200</v>
      </c>
      <c r="E13820" s="1611" t="s">
        <v>3847</v>
      </c>
      <c r="F13820" s="1569"/>
      <c r="G13820" s="584" t="s">
        <v>777</v>
      </c>
      <c r="H13820" s="576">
        <v>160</v>
      </c>
      <c r="V13820">
        <v>34</v>
      </c>
    </row>
    <row r="13821" spans="1:22" customFormat="1" ht="15" x14ac:dyDescent="0.25">
      <c r="A13821" t="s">
        <v>200</v>
      </c>
      <c r="E13821" s="1611" t="s">
        <v>3848</v>
      </c>
      <c r="F13821" s="1569"/>
      <c r="G13821" s="584" t="s">
        <v>777</v>
      </c>
      <c r="H13821" s="576">
        <v>500</v>
      </c>
      <c r="V13821">
        <v>64</v>
      </c>
    </row>
    <row r="13822" spans="1:22" customFormat="1" ht="15" x14ac:dyDescent="0.25">
      <c r="A13822" t="s">
        <v>200</v>
      </c>
      <c r="E13822" s="1611" t="s">
        <v>4808</v>
      </c>
      <c r="F13822" s="1569"/>
      <c r="G13822" s="584" t="s">
        <v>777</v>
      </c>
      <c r="H13822" s="576">
        <v>300</v>
      </c>
      <c r="V13822">
        <v>67</v>
      </c>
    </row>
    <row r="13823" spans="1:22" customFormat="1" ht="15" x14ac:dyDescent="0.25">
      <c r="A13823" t="s">
        <v>200</v>
      </c>
      <c r="E13823" s="1611" t="s">
        <v>3849</v>
      </c>
      <c r="F13823" s="1569"/>
      <c r="G13823" s="584" t="s">
        <v>777</v>
      </c>
      <c r="H13823" s="994">
        <v>1000</v>
      </c>
      <c r="V13823">
        <v>66</v>
      </c>
    </row>
    <row r="13824" spans="1:22" customFormat="1" ht="15" x14ac:dyDescent="0.25">
      <c r="A13824" t="s">
        <v>200</v>
      </c>
      <c r="E13824" s="1718" t="s">
        <v>4069</v>
      </c>
      <c r="F13824" s="1718"/>
      <c r="G13824" s="481" t="s">
        <v>777</v>
      </c>
      <c r="H13824" s="349">
        <v>39.14</v>
      </c>
      <c r="V13824">
        <v>106</v>
      </c>
    </row>
    <row r="13825" spans="1:22" customFormat="1" ht="18.75" x14ac:dyDescent="0.25">
      <c r="A13825" t="s">
        <v>200</v>
      </c>
      <c r="E13825" s="860" t="s">
        <v>3851</v>
      </c>
      <c r="F13825" s="589"/>
      <c r="G13825" s="476"/>
      <c r="H13825" s="475"/>
      <c r="K13825" t="s">
        <v>5179</v>
      </c>
      <c r="V13825">
        <v>38</v>
      </c>
    </row>
    <row r="13826" spans="1:22" customFormat="1" ht="15" x14ac:dyDescent="0.25">
      <c r="A13826" t="s">
        <v>200</v>
      </c>
      <c r="E13826" s="1516" t="s">
        <v>951</v>
      </c>
      <c r="F13826" s="1516"/>
      <c r="G13826" s="1516"/>
      <c r="H13826" s="1516"/>
      <c r="V13826">
        <v>280</v>
      </c>
    </row>
    <row r="13827" spans="1:22" customFormat="1" ht="15" x14ac:dyDescent="0.25">
      <c r="A13827" t="s">
        <v>200</v>
      </c>
      <c r="E13827" s="1516" t="s">
        <v>952</v>
      </c>
      <c r="F13827" s="1516"/>
      <c r="G13827" s="1516"/>
      <c r="H13827" s="1516"/>
      <c r="V13827">
        <v>411</v>
      </c>
    </row>
    <row r="13828" spans="1:22" customFormat="1" ht="15" x14ac:dyDescent="0.25">
      <c r="A13828" t="s">
        <v>200</v>
      </c>
      <c r="E13828" s="1516" t="s">
        <v>1103</v>
      </c>
      <c r="F13828" s="1516"/>
      <c r="G13828" s="1516"/>
      <c r="H13828" s="1516"/>
      <c r="V13828">
        <v>211</v>
      </c>
    </row>
    <row r="13829" spans="1:22" customFormat="1" ht="15" x14ac:dyDescent="0.25">
      <c r="A13829" t="s">
        <v>200</v>
      </c>
      <c r="E13829" s="1516" t="s">
        <v>3762</v>
      </c>
      <c r="F13829" s="1516"/>
      <c r="G13829" s="1516"/>
      <c r="H13829" s="1516"/>
      <c r="V13829">
        <v>247</v>
      </c>
    </row>
    <row r="13830" spans="1:22" customFormat="1" ht="15" x14ac:dyDescent="0.25">
      <c r="A13830" t="s">
        <v>200</v>
      </c>
      <c r="E13830" s="1516" t="s">
        <v>1104</v>
      </c>
      <c r="F13830" s="1516"/>
      <c r="G13830" s="1516"/>
      <c r="H13830" s="1516"/>
      <c r="V13830">
        <v>142</v>
      </c>
    </row>
    <row r="13831" spans="1:22" customFormat="1" ht="15" x14ac:dyDescent="0.25">
      <c r="A13831" t="s">
        <v>200</v>
      </c>
      <c r="E13831" s="1569" t="s">
        <v>849</v>
      </c>
      <c r="F13831" s="1569"/>
      <c r="G13831" s="268" t="s">
        <v>777</v>
      </c>
      <c r="H13831" s="576">
        <v>121.23</v>
      </c>
      <c r="V13831">
        <v>106</v>
      </c>
    </row>
    <row r="13832" spans="1:22" customFormat="1" ht="15" x14ac:dyDescent="0.25">
      <c r="A13832" t="s">
        <v>200</v>
      </c>
      <c r="E13832" s="1569" t="s">
        <v>850</v>
      </c>
      <c r="F13832" s="1569"/>
      <c r="G13832" s="268" t="s">
        <v>777</v>
      </c>
      <c r="H13832" s="576">
        <v>48.5</v>
      </c>
      <c r="V13832">
        <v>34</v>
      </c>
    </row>
    <row r="13833" spans="1:22" customFormat="1" ht="15" x14ac:dyDescent="0.25">
      <c r="A13833" t="s">
        <v>200</v>
      </c>
      <c r="E13833" s="1569" t="s">
        <v>851</v>
      </c>
      <c r="F13833" s="1569"/>
      <c r="G13833" s="268" t="s">
        <v>852</v>
      </c>
      <c r="H13833" s="576">
        <v>1.2</v>
      </c>
      <c r="V13833">
        <v>51</v>
      </c>
    </row>
    <row r="13834" spans="1:22" customFormat="1" ht="15" x14ac:dyDescent="0.25">
      <c r="A13834" t="s">
        <v>200</v>
      </c>
      <c r="E13834" s="1569" t="s">
        <v>853</v>
      </c>
      <c r="F13834" s="1569"/>
      <c r="G13834" s="268" t="s">
        <v>852</v>
      </c>
      <c r="H13834" s="576">
        <v>0.71</v>
      </c>
      <c r="V13834">
        <v>75</v>
      </c>
    </row>
    <row r="13835" spans="1:22" customFormat="1" ht="15" x14ac:dyDescent="0.25">
      <c r="A13835" t="s">
        <v>200</v>
      </c>
      <c r="E13835" s="1569" t="s">
        <v>854</v>
      </c>
      <c r="F13835" s="1569"/>
      <c r="G13835" s="268" t="s">
        <v>852</v>
      </c>
      <c r="H13835" s="576">
        <v>-0.71</v>
      </c>
      <c r="V13835">
        <v>72</v>
      </c>
    </row>
    <row r="13836" spans="1:22" customFormat="1" ht="15" x14ac:dyDescent="0.25">
      <c r="A13836" t="s">
        <v>200</v>
      </c>
      <c r="E13836" s="1569" t="s">
        <v>855</v>
      </c>
      <c r="F13836" s="1569"/>
      <c r="G13836" s="268"/>
      <c r="H13836" s="650"/>
      <c r="V13836">
        <v>34</v>
      </c>
    </row>
    <row r="13837" spans="1:22" customFormat="1" ht="15" x14ac:dyDescent="0.25">
      <c r="A13837" t="s">
        <v>200</v>
      </c>
      <c r="E13837" s="1574" t="s">
        <v>1106</v>
      </c>
      <c r="F13837" s="1574"/>
      <c r="G13837" s="268" t="s">
        <v>777</v>
      </c>
      <c r="H13837" s="576">
        <v>0.61</v>
      </c>
      <c r="V13837">
        <v>57</v>
      </c>
    </row>
    <row r="13838" spans="1:22" customFormat="1" ht="15" x14ac:dyDescent="0.25">
      <c r="A13838" t="s">
        <v>200</v>
      </c>
      <c r="E13838" s="1574" t="s">
        <v>1107</v>
      </c>
      <c r="F13838" s="1574"/>
      <c r="G13838" s="268" t="s">
        <v>777</v>
      </c>
      <c r="H13838" s="576">
        <v>1.2</v>
      </c>
      <c r="V13838">
        <v>60</v>
      </c>
    </row>
    <row r="13839" spans="1:22" customFormat="1" ht="15" x14ac:dyDescent="0.25">
      <c r="A13839" t="s">
        <v>200</v>
      </c>
      <c r="E13839" s="1569" t="s">
        <v>1108</v>
      </c>
      <c r="F13839" s="1569"/>
      <c r="G13839" s="268"/>
      <c r="H13839" s="650"/>
      <c r="V13839">
        <v>91</v>
      </c>
    </row>
    <row r="13840" spans="1:22" customFormat="1" ht="15" x14ac:dyDescent="0.25">
      <c r="A13840" t="s">
        <v>200</v>
      </c>
      <c r="E13840" s="1569" t="s">
        <v>1109</v>
      </c>
      <c r="F13840" s="1569"/>
      <c r="G13840" s="268"/>
      <c r="H13840" s="650"/>
      <c r="V13840">
        <v>96</v>
      </c>
    </row>
    <row r="13841" spans="1:22" customFormat="1" ht="15" x14ac:dyDescent="0.25">
      <c r="A13841" t="s">
        <v>200</v>
      </c>
      <c r="E13841" s="1569" t="s">
        <v>856</v>
      </c>
      <c r="F13841" s="1569"/>
      <c r="G13841" s="268"/>
      <c r="H13841" s="650"/>
      <c r="V13841">
        <v>77</v>
      </c>
    </row>
    <row r="13842" spans="1:22" customFormat="1" ht="15" x14ac:dyDescent="0.25">
      <c r="A13842" t="s">
        <v>200</v>
      </c>
      <c r="E13842" s="1574" t="s">
        <v>1111</v>
      </c>
      <c r="F13842" s="1574"/>
      <c r="G13842" s="268" t="s">
        <v>777</v>
      </c>
      <c r="H13842" s="650" t="s">
        <v>857</v>
      </c>
      <c r="V13842">
        <v>18</v>
      </c>
    </row>
    <row r="13843" spans="1:22" customFormat="1" ht="15" x14ac:dyDescent="0.25">
      <c r="A13843" t="s">
        <v>200</v>
      </c>
      <c r="E13843" s="1574" t="s">
        <v>1112</v>
      </c>
      <c r="F13843" s="1574"/>
      <c r="G13843" s="268" t="s">
        <v>777</v>
      </c>
      <c r="H13843" s="576">
        <v>4.8499999999999996</v>
      </c>
      <c r="V13843">
        <v>69</v>
      </c>
    </row>
    <row r="13844" spans="1:22" customFormat="1" ht="15" x14ac:dyDescent="0.25">
      <c r="A13844" t="s">
        <v>200</v>
      </c>
      <c r="E13844" s="1517" t="s">
        <v>7609</v>
      </c>
      <c r="F13844" s="1517"/>
      <c r="G13844" s="268" t="s">
        <v>777</v>
      </c>
      <c r="H13844" s="576">
        <v>2.42</v>
      </c>
      <c r="V13844">
        <v>205</v>
      </c>
    </row>
    <row r="13845" spans="1:22" customFormat="1" ht="18.75" x14ac:dyDescent="0.25">
      <c r="A13845" t="s">
        <v>200</v>
      </c>
      <c r="E13845" s="840" t="s">
        <v>3853</v>
      </c>
      <c r="F13845" s="476"/>
      <c r="G13845" s="476"/>
      <c r="H13845" s="475"/>
      <c r="K13845" t="s">
        <v>5180</v>
      </c>
      <c r="V13845">
        <v>12</v>
      </c>
    </row>
    <row r="13846" spans="1:22" customFormat="1" ht="15" x14ac:dyDescent="0.25">
      <c r="A13846" t="s">
        <v>200</v>
      </c>
      <c r="E13846" s="1507" t="s">
        <v>1114</v>
      </c>
      <c r="F13846" s="1507"/>
      <c r="G13846" s="1507"/>
      <c r="H13846" s="1507"/>
      <c r="V13846">
        <v>203</v>
      </c>
    </row>
    <row r="13847" spans="1:22" customFormat="1" ht="15" x14ac:dyDescent="0.25">
      <c r="A13847" t="s">
        <v>200</v>
      </c>
      <c r="E13847" s="1561" t="s">
        <v>1115</v>
      </c>
      <c r="F13847" s="1561"/>
      <c r="G13847" s="584"/>
      <c r="H13847" s="650">
        <v>1.0485</v>
      </c>
      <c r="V13847">
        <v>57</v>
      </c>
    </row>
    <row r="13848" spans="1:22" customFormat="1" ht="15" x14ac:dyDescent="0.25">
      <c r="A13848" t="s">
        <v>200</v>
      </c>
      <c r="E13848" s="1561" t="s">
        <v>1117</v>
      </c>
      <c r="F13848" s="1561"/>
      <c r="G13848" s="584"/>
      <c r="H13848" s="650">
        <v>1.0386</v>
      </c>
      <c r="J13848" t="s">
        <v>5181</v>
      </c>
      <c r="V13848">
        <v>55</v>
      </c>
    </row>
    <row r="13849" spans="1:22" customFormat="1" ht="23.25" x14ac:dyDescent="0.25">
      <c r="A13849" t="s">
        <v>311</v>
      </c>
      <c r="C13849" t="s">
        <v>3755</v>
      </c>
      <c r="E13849" s="1550" t="s">
        <v>311</v>
      </c>
      <c r="F13849" s="1550"/>
      <c r="G13849" s="1550"/>
      <c r="H13849" s="1550"/>
      <c r="I13849" t="s">
        <v>94</v>
      </c>
      <c r="J13849" t="s">
        <v>5907</v>
      </c>
      <c r="K13849" t="s">
        <v>311</v>
      </c>
      <c r="M13849">
        <v>9</v>
      </c>
      <c r="V13849">
        <v>37</v>
      </c>
    </row>
    <row r="13850" spans="1:22" customFormat="1" x14ac:dyDescent="0.25">
      <c r="A13850" t="s">
        <v>311</v>
      </c>
      <c r="C13850" t="s">
        <v>3757</v>
      </c>
      <c r="E13850" s="1551" t="s">
        <v>944</v>
      </c>
      <c r="F13850" s="1551"/>
      <c r="G13850" s="1551"/>
      <c r="H13850" s="1551"/>
      <c r="V13850">
        <v>27</v>
      </c>
    </row>
    <row r="13851" spans="1:22" customFormat="1" ht="15.75" x14ac:dyDescent="0.25">
      <c r="A13851" t="s">
        <v>311</v>
      </c>
      <c r="C13851" t="s">
        <v>3758</v>
      </c>
      <c r="E13851" s="1543" t="s">
        <v>6511</v>
      </c>
      <c r="F13851" s="1543"/>
      <c r="G13851" s="1543"/>
      <c r="H13851" s="1543"/>
      <c r="S13851">
        <v>45658</v>
      </c>
      <c r="V13851">
        <v>49</v>
      </c>
    </row>
    <row r="13852" spans="1:22" customFormat="1" ht="15" x14ac:dyDescent="0.25">
      <c r="A13852" t="s">
        <v>311</v>
      </c>
      <c r="C13852" t="s">
        <v>3759</v>
      </c>
      <c r="E13852" s="1544" t="s">
        <v>945</v>
      </c>
      <c r="F13852" s="1544"/>
      <c r="G13852" s="1544"/>
      <c r="H13852" s="1544"/>
      <c r="V13852">
        <v>52</v>
      </c>
    </row>
    <row r="13853" spans="1:22" customFormat="1" ht="15" x14ac:dyDescent="0.25">
      <c r="A13853" t="s">
        <v>311</v>
      </c>
      <c r="E13853" s="1544" t="s">
        <v>946</v>
      </c>
      <c r="F13853" s="1544"/>
      <c r="G13853" s="1544"/>
      <c r="H13853" s="1544"/>
      <c r="V13853">
        <v>53</v>
      </c>
    </row>
    <row r="13854" spans="1:22" customFormat="1" ht="15" x14ac:dyDescent="0.25">
      <c r="A13854" t="s">
        <v>311</v>
      </c>
      <c r="E13854" s="1477" t="s">
        <v>7610</v>
      </c>
      <c r="F13854" s="1477"/>
      <c r="G13854" s="1477"/>
      <c r="H13854" s="1477"/>
      <c r="K13854" t="s">
        <v>7610</v>
      </c>
      <c r="V13854">
        <v>13</v>
      </c>
    </row>
    <row r="13855" spans="1:22" customFormat="1" x14ac:dyDescent="0.25">
      <c r="A13855" t="s">
        <v>311</v>
      </c>
      <c r="E13855" s="1499" t="s">
        <v>170</v>
      </c>
      <c r="F13855" s="1499"/>
      <c r="G13855" s="1530"/>
      <c r="H13855" s="1530"/>
      <c r="K13855" t="s">
        <v>947</v>
      </c>
      <c r="V13855">
        <v>34</v>
      </c>
    </row>
    <row r="13856" spans="1:22" customFormat="1" ht="15" x14ac:dyDescent="0.25">
      <c r="A13856" t="s">
        <v>311</v>
      </c>
      <c r="E13856" s="1497" t="s">
        <v>5908</v>
      </c>
      <c r="F13856" s="1497"/>
      <c r="G13856" s="1497"/>
      <c r="H13856" s="1497"/>
      <c r="K13856" t="s">
        <v>947</v>
      </c>
      <c r="V13856">
        <v>739</v>
      </c>
    </row>
    <row r="13857" spans="1:22" customFormat="1" ht="15" x14ac:dyDescent="0.25">
      <c r="A13857" t="s">
        <v>311</v>
      </c>
      <c r="E13857" s="1501" t="s">
        <v>950</v>
      </c>
      <c r="F13857" s="1501"/>
      <c r="G13857" s="1502"/>
      <c r="H13857" s="1502"/>
      <c r="K13857" t="s">
        <v>949</v>
      </c>
      <c r="V13857">
        <v>11</v>
      </c>
    </row>
    <row r="13858" spans="1:22" customFormat="1" ht="15" x14ac:dyDescent="0.25">
      <c r="A13858" t="s">
        <v>311</v>
      </c>
      <c r="E13858" s="1497" t="s">
        <v>5909</v>
      </c>
      <c r="F13858" s="1497"/>
      <c r="G13858" s="1497"/>
      <c r="H13858" s="1497"/>
      <c r="K13858" t="s">
        <v>947</v>
      </c>
      <c r="V13858">
        <v>282</v>
      </c>
    </row>
    <row r="13859" spans="1:22" customFormat="1" ht="15" x14ac:dyDescent="0.25">
      <c r="A13859" t="s">
        <v>311</v>
      </c>
      <c r="E13859" s="1497" t="s">
        <v>5910</v>
      </c>
      <c r="F13859" s="1497"/>
      <c r="G13859" s="1497"/>
      <c r="H13859" s="1497"/>
      <c r="K13859" t="s">
        <v>947</v>
      </c>
      <c r="V13859">
        <v>413</v>
      </c>
    </row>
    <row r="13860" spans="1:22" customFormat="1" ht="15" x14ac:dyDescent="0.25">
      <c r="A13860" t="s">
        <v>311</v>
      </c>
      <c r="E13860" s="1497" t="s">
        <v>5911</v>
      </c>
      <c r="F13860" s="1497"/>
      <c r="G13860" s="1497"/>
      <c r="H13860" s="1497"/>
      <c r="K13860" t="s">
        <v>947</v>
      </c>
      <c r="V13860">
        <v>389</v>
      </c>
    </row>
    <row r="13861" spans="1:22" customFormat="1" ht="15" x14ac:dyDescent="0.25">
      <c r="A13861" t="s">
        <v>311</v>
      </c>
      <c r="E13861" s="1497" t="s">
        <v>5912</v>
      </c>
      <c r="F13861" s="1497"/>
      <c r="G13861" s="1497"/>
      <c r="H13861" s="1497"/>
      <c r="K13861" t="s">
        <v>947</v>
      </c>
      <c r="V13861">
        <v>248</v>
      </c>
    </row>
    <row r="13862" spans="1:22" customFormat="1" ht="15" x14ac:dyDescent="0.25">
      <c r="A13862" t="s">
        <v>311</v>
      </c>
      <c r="E13862" s="1717" t="s">
        <v>956</v>
      </c>
      <c r="F13862" s="1717"/>
      <c r="G13862" s="1498"/>
      <c r="H13862" s="1498"/>
      <c r="K13862" t="s">
        <v>955</v>
      </c>
      <c r="V13862">
        <v>46</v>
      </c>
    </row>
    <row r="13863" spans="1:22" customFormat="1" ht="15" x14ac:dyDescent="0.25">
      <c r="A13863" t="s">
        <v>311</v>
      </c>
      <c r="E13863" s="854" t="s">
        <v>3773</v>
      </c>
      <c r="F13863" s="854"/>
      <c r="G13863" s="754" t="s">
        <v>777</v>
      </c>
      <c r="H13863" s="20">
        <v>49.24</v>
      </c>
      <c r="K13863" t="s">
        <v>947</v>
      </c>
      <c r="L13863" t="s">
        <v>690</v>
      </c>
      <c r="P13863" t="s">
        <v>957</v>
      </c>
      <c r="V13863">
        <v>14</v>
      </c>
    </row>
    <row r="13864" spans="1:22" customFormat="1" ht="26.25" x14ac:dyDescent="0.25">
      <c r="A13864" t="s">
        <v>311</v>
      </c>
      <c r="E13864" s="854" t="s">
        <v>7611</v>
      </c>
      <c r="F13864" s="854"/>
      <c r="G13864" s="754" t="s">
        <v>777</v>
      </c>
      <c r="H13864" s="20">
        <v>0.41</v>
      </c>
      <c r="K13864" t="s">
        <v>947</v>
      </c>
      <c r="L13864" t="s">
        <v>692</v>
      </c>
      <c r="P13864" t="s">
        <v>959</v>
      </c>
      <c r="V13864">
        <v>79</v>
      </c>
    </row>
    <row r="13865" spans="1:22" customFormat="1" ht="39" x14ac:dyDescent="0.25">
      <c r="A13865" t="s">
        <v>311</v>
      </c>
      <c r="E13865" s="854" t="s">
        <v>7612</v>
      </c>
      <c r="F13865" s="854"/>
      <c r="G13865" s="754" t="s">
        <v>777</v>
      </c>
      <c r="H13865" s="20">
        <v>0.04</v>
      </c>
      <c r="K13865" t="s">
        <v>947</v>
      </c>
      <c r="L13865" t="s">
        <v>690</v>
      </c>
      <c r="P13865" t="s">
        <v>7613</v>
      </c>
      <c r="V13865">
        <v>98</v>
      </c>
    </row>
    <row r="13866" spans="1:22" customFormat="1" ht="26.25" x14ac:dyDescent="0.25">
      <c r="A13866" t="s">
        <v>311</v>
      </c>
      <c r="E13866" s="854" t="s">
        <v>7614</v>
      </c>
      <c r="F13866" s="854"/>
      <c r="G13866" s="754" t="s">
        <v>777</v>
      </c>
      <c r="H13866" s="20">
        <v>-0.09</v>
      </c>
      <c r="K13866" t="s">
        <v>947</v>
      </c>
      <c r="L13866" t="s">
        <v>690</v>
      </c>
      <c r="P13866" t="s">
        <v>7615</v>
      </c>
      <c r="T13866">
        <v>46022</v>
      </c>
      <c r="V13866">
        <v>87</v>
      </c>
    </row>
    <row r="13867" spans="1:22" customFormat="1" ht="39" x14ac:dyDescent="0.25">
      <c r="A13867" t="s">
        <v>311</v>
      </c>
      <c r="E13867" s="854" t="s">
        <v>7616</v>
      </c>
      <c r="F13867" s="854"/>
      <c r="G13867" s="754" t="s">
        <v>777</v>
      </c>
      <c r="H13867" s="20">
        <v>-0.65</v>
      </c>
      <c r="K13867" t="s">
        <v>947</v>
      </c>
      <c r="L13867" t="s">
        <v>690</v>
      </c>
      <c r="P13867" t="s">
        <v>5568</v>
      </c>
      <c r="T13867">
        <v>46022</v>
      </c>
      <c r="V13867">
        <v>87</v>
      </c>
    </row>
    <row r="13868" spans="1:22" customFormat="1" ht="39" x14ac:dyDescent="0.25">
      <c r="A13868" t="s">
        <v>311</v>
      </c>
      <c r="E13868" s="854" t="s">
        <v>7617</v>
      </c>
      <c r="F13868" s="854"/>
      <c r="G13868" s="754" t="s">
        <v>777</v>
      </c>
      <c r="H13868" s="20">
        <v>-1.79</v>
      </c>
      <c r="K13868" t="s">
        <v>947</v>
      </c>
      <c r="L13868" t="s">
        <v>690</v>
      </c>
      <c r="P13868" t="s">
        <v>7618</v>
      </c>
      <c r="T13868">
        <v>46022</v>
      </c>
      <c r="V13868">
        <v>116</v>
      </c>
    </row>
    <row r="13869" spans="1:22" customFormat="1" ht="39" x14ac:dyDescent="0.25">
      <c r="A13869" t="s">
        <v>311</v>
      </c>
      <c r="E13869" s="854" t="s">
        <v>7619</v>
      </c>
      <c r="F13869" s="854"/>
      <c r="G13869" s="754" t="s">
        <v>777</v>
      </c>
      <c r="H13869" s="20">
        <v>-0.03</v>
      </c>
      <c r="K13869" t="s">
        <v>947</v>
      </c>
      <c r="L13869" t="s">
        <v>690</v>
      </c>
      <c r="P13869" t="s">
        <v>5602</v>
      </c>
      <c r="V13869">
        <v>98</v>
      </c>
    </row>
    <row r="13870" spans="1:22" customFormat="1" ht="39" x14ac:dyDescent="0.25">
      <c r="A13870" t="s">
        <v>311</v>
      </c>
      <c r="E13870" s="854" t="s">
        <v>7620</v>
      </c>
      <c r="F13870" s="854"/>
      <c r="G13870" s="754" t="s">
        <v>777</v>
      </c>
      <c r="H13870" s="20">
        <v>-1.41</v>
      </c>
      <c r="K13870" t="s">
        <v>947</v>
      </c>
      <c r="L13870" t="s">
        <v>690</v>
      </c>
      <c r="P13870" t="s">
        <v>7621</v>
      </c>
      <c r="T13870">
        <v>46387</v>
      </c>
      <c r="V13870">
        <v>103</v>
      </c>
    </row>
    <row r="13871" spans="1:22" customFormat="1" ht="39" x14ac:dyDescent="0.25">
      <c r="A13871" t="s">
        <v>311</v>
      </c>
      <c r="E13871" s="854" t="s">
        <v>7622</v>
      </c>
      <c r="F13871" s="854"/>
      <c r="G13871" s="754" t="s">
        <v>777</v>
      </c>
      <c r="H13871" s="20">
        <v>-0.34</v>
      </c>
      <c r="K13871" t="s">
        <v>947</v>
      </c>
      <c r="L13871" t="s">
        <v>690</v>
      </c>
      <c r="P13871" t="s">
        <v>7623</v>
      </c>
      <c r="V13871">
        <v>104</v>
      </c>
    </row>
    <row r="13872" spans="1:22" customFormat="1" ht="39" x14ac:dyDescent="0.25">
      <c r="A13872" t="s">
        <v>311</v>
      </c>
      <c r="E13872" s="854" t="s">
        <v>7624</v>
      </c>
      <c r="F13872" s="854"/>
      <c r="G13872" s="754" t="s">
        <v>777</v>
      </c>
      <c r="H13872" s="20">
        <v>0.2</v>
      </c>
      <c r="K13872" t="s">
        <v>947</v>
      </c>
      <c r="L13872" t="s">
        <v>690</v>
      </c>
      <c r="P13872" t="s">
        <v>4160</v>
      </c>
      <c r="T13872">
        <v>46022</v>
      </c>
      <c r="V13872">
        <v>87</v>
      </c>
    </row>
    <row r="13873" spans="1:22" customFormat="1" ht="39" x14ac:dyDescent="0.25">
      <c r="A13873" t="s">
        <v>311</v>
      </c>
      <c r="E13873" s="854" t="s">
        <v>5989</v>
      </c>
      <c r="F13873" s="854"/>
      <c r="G13873" s="754" t="s">
        <v>845</v>
      </c>
      <c r="H13873" s="20">
        <v>2.3E-3</v>
      </c>
      <c r="K13873" t="s">
        <v>947</v>
      </c>
      <c r="L13873" t="s">
        <v>692</v>
      </c>
      <c r="P13873" t="s">
        <v>963</v>
      </c>
      <c r="T13873">
        <v>46022</v>
      </c>
      <c r="V13873">
        <v>92</v>
      </c>
    </row>
    <row r="13874" spans="1:22" customFormat="1" ht="51.75" x14ac:dyDescent="0.25">
      <c r="A13874" t="s">
        <v>311</v>
      </c>
      <c r="E13874" s="854" t="s">
        <v>7625</v>
      </c>
      <c r="F13874" s="854"/>
      <c r="G13874" s="754" t="s">
        <v>845</v>
      </c>
      <c r="H13874" s="20">
        <v>1.8000000000000001E-4</v>
      </c>
      <c r="K13874" t="s">
        <v>947</v>
      </c>
      <c r="L13874" t="s">
        <v>692</v>
      </c>
      <c r="P13874" t="s">
        <v>3764</v>
      </c>
      <c r="T13874">
        <v>46022</v>
      </c>
      <c r="V13874">
        <v>137</v>
      </c>
    </row>
    <row r="13875" spans="1:22" customFormat="1" ht="51.75" x14ac:dyDescent="0.25">
      <c r="A13875" t="s">
        <v>311</v>
      </c>
      <c r="E13875" s="854" t="s">
        <v>7626</v>
      </c>
      <c r="F13875" s="854"/>
      <c r="G13875" s="754" t="s">
        <v>845</v>
      </c>
      <c r="H13875" s="20">
        <v>1.24E-3</v>
      </c>
      <c r="K13875" t="s">
        <v>947</v>
      </c>
      <c r="L13875" t="s">
        <v>692</v>
      </c>
      <c r="P13875" t="s">
        <v>962</v>
      </c>
      <c r="T13875">
        <v>46022</v>
      </c>
      <c r="V13875">
        <v>131</v>
      </c>
    </row>
    <row r="13876" spans="1:22" customFormat="1" ht="26.25" x14ac:dyDescent="0.25">
      <c r="A13876" t="s">
        <v>311</v>
      </c>
      <c r="E13876" s="854" t="s">
        <v>243</v>
      </c>
      <c r="F13876" s="854"/>
      <c r="G13876" s="754" t="s">
        <v>845</v>
      </c>
      <c r="H13876" s="20">
        <v>1.4E-2</v>
      </c>
      <c r="K13876" t="s">
        <v>947</v>
      </c>
      <c r="L13876" t="s">
        <v>694</v>
      </c>
      <c r="P13876" t="s">
        <v>964</v>
      </c>
      <c r="V13876">
        <v>47</v>
      </c>
    </row>
    <row r="13877" spans="1:22" customFormat="1" ht="26.25" x14ac:dyDescent="0.25">
      <c r="A13877" t="s">
        <v>311</v>
      </c>
      <c r="E13877" s="854" t="s">
        <v>175</v>
      </c>
      <c r="F13877" s="854"/>
      <c r="G13877" s="754" t="s">
        <v>845</v>
      </c>
      <c r="H13877" s="20">
        <v>9.5899999999999996E-3</v>
      </c>
      <c r="K13877" t="s">
        <v>947</v>
      </c>
      <c r="L13877" t="s">
        <v>694</v>
      </c>
      <c r="P13877" t="s">
        <v>965</v>
      </c>
      <c r="V13877">
        <v>74</v>
      </c>
    </row>
    <row r="13878" spans="1:22" customFormat="1" ht="30" x14ac:dyDescent="0.25">
      <c r="A13878" t="s">
        <v>311</v>
      </c>
      <c r="E13878" s="944" t="s">
        <v>967</v>
      </c>
      <c r="F13878" s="944"/>
      <c r="G13878" s="584"/>
      <c r="H13878" s="268"/>
      <c r="K13878" t="s">
        <v>966</v>
      </c>
      <c r="V13878">
        <v>48</v>
      </c>
    </row>
    <row r="13879" spans="1:22" customFormat="1" ht="26.25" x14ac:dyDescent="0.25">
      <c r="A13879" t="s">
        <v>311</v>
      </c>
      <c r="E13879" s="854" t="s">
        <v>844</v>
      </c>
      <c r="F13879" s="854"/>
      <c r="G13879" s="754" t="s">
        <v>845</v>
      </c>
      <c r="H13879" s="870">
        <v>4.1000000000000003E-3</v>
      </c>
      <c r="K13879" t="s">
        <v>947</v>
      </c>
      <c r="L13879" t="s">
        <v>968</v>
      </c>
      <c r="P13879" t="s">
        <v>969</v>
      </c>
      <c r="V13879">
        <v>55</v>
      </c>
    </row>
    <row r="13880" spans="1:22" customFormat="1" ht="26.25" x14ac:dyDescent="0.25">
      <c r="A13880" t="s">
        <v>311</v>
      </c>
      <c r="E13880" s="854" t="s">
        <v>846</v>
      </c>
      <c r="F13880" s="854"/>
      <c r="G13880" s="754" t="s">
        <v>845</v>
      </c>
      <c r="H13880" s="870">
        <v>4.0000000000000002E-4</v>
      </c>
      <c r="K13880" t="s">
        <v>947</v>
      </c>
      <c r="L13880" t="s">
        <v>968</v>
      </c>
      <c r="P13880" t="s">
        <v>969</v>
      </c>
      <c r="V13880">
        <v>65</v>
      </c>
    </row>
    <row r="13881" spans="1:22" customFormat="1" ht="26.25" x14ac:dyDescent="0.25">
      <c r="A13881" t="s">
        <v>311</v>
      </c>
      <c r="E13881" s="854" t="s">
        <v>847</v>
      </c>
      <c r="F13881" s="854"/>
      <c r="G13881" s="754" t="s">
        <v>845</v>
      </c>
      <c r="H13881" s="870">
        <v>1.4E-3</v>
      </c>
      <c r="K13881" t="s">
        <v>947</v>
      </c>
      <c r="L13881" t="s">
        <v>968</v>
      </c>
      <c r="P13881" t="s">
        <v>970</v>
      </c>
      <c r="V13881">
        <v>57</v>
      </c>
    </row>
    <row r="13882" spans="1:22" customFormat="1" ht="26.25" x14ac:dyDescent="0.25">
      <c r="A13882" t="s">
        <v>311</v>
      </c>
      <c r="E13882" s="854" t="s">
        <v>848</v>
      </c>
      <c r="F13882" s="854"/>
      <c r="G13882" s="754" t="s">
        <v>777</v>
      </c>
      <c r="H13882" s="870">
        <v>0.25</v>
      </c>
      <c r="K13882" t="s">
        <v>947</v>
      </c>
      <c r="L13882" t="s">
        <v>968</v>
      </c>
      <c r="P13882" t="s">
        <v>971</v>
      </c>
      <c r="V13882">
        <v>63</v>
      </c>
    </row>
    <row r="13883" spans="1:22" customFormat="1" ht="45" x14ac:dyDescent="0.25">
      <c r="A13883" t="s">
        <v>311</v>
      </c>
      <c r="E13883" s="1715" t="s">
        <v>5914</v>
      </c>
      <c r="F13883" s="1715"/>
      <c r="G13883" s="1716"/>
      <c r="H13883" s="1716"/>
      <c r="K13883" s="363" t="s">
        <v>5915</v>
      </c>
      <c r="V13883">
        <v>65</v>
      </c>
    </row>
    <row r="13884" spans="1:22" customFormat="1" ht="45" x14ac:dyDescent="0.25">
      <c r="A13884" t="s">
        <v>311</v>
      </c>
      <c r="E13884" s="1497" t="s">
        <v>5916</v>
      </c>
      <c r="F13884" s="1497"/>
      <c r="G13884" s="1497"/>
      <c r="H13884" s="1497"/>
      <c r="K13884" s="363" t="s">
        <v>5915</v>
      </c>
      <c r="V13884">
        <v>644</v>
      </c>
    </row>
    <row r="13885" spans="1:22" customFormat="1" ht="15" x14ac:dyDescent="0.25">
      <c r="A13885" t="s">
        <v>311</v>
      </c>
      <c r="E13885" s="1501" t="s">
        <v>950</v>
      </c>
      <c r="F13885" s="1501"/>
      <c r="G13885" s="1502"/>
      <c r="H13885" s="1502"/>
      <c r="K13885" t="s">
        <v>974</v>
      </c>
      <c r="V13885">
        <v>11</v>
      </c>
    </row>
    <row r="13886" spans="1:22" customFormat="1" ht="45" x14ac:dyDescent="0.25">
      <c r="A13886" t="s">
        <v>311</v>
      </c>
      <c r="E13886" s="1497" t="s">
        <v>951</v>
      </c>
      <c r="F13886" s="1497"/>
      <c r="G13886" s="1497"/>
      <c r="H13886" s="1497"/>
      <c r="K13886" s="363" t="s">
        <v>5915</v>
      </c>
      <c r="V13886">
        <v>280</v>
      </c>
    </row>
    <row r="13887" spans="1:22" customFormat="1" ht="45" x14ac:dyDescent="0.25">
      <c r="A13887" t="s">
        <v>311</v>
      </c>
      <c r="E13887" s="1497" t="s">
        <v>952</v>
      </c>
      <c r="F13887" s="1497"/>
      <c r="G13887" s="1497"/>
      <c r="H13887" s="1497"/>
      <c r="K13887" s="363" t="s">
        <v>5915</v>
      </c>
      <c r="V13887">
        <v>411</v>
      </c>
    </row>
    <row r="13888" spans="1:22" customFormat="1" ht="45" x14ac:dyDescent="0.25">
      <c r="A13888" t="s">
        <v>311</v>
      </c>
      <c r="E13888" s="1497" t="s">
        <v>3761</v>
      </c>
      <c r="F13888" s="1497"/>
      <c r="G13888" s="1497"/>
      <c r="H13888" s="1497"/>
      <c r="K13888" s="363" t="s">
        <v>5915</v>
      </c>
      <c r="V13888">
        <v>387</v>
      </c>
    </row>
    <row r="13889" spans="1:22" customFormat="1" ht="45" x14ac:dyDescent="0.25">
      <c r="A13889" t="s">
        <v>311</v>
      </c>
      <c r="E13889" s="1497" t="s">
        <v>954</v>
      </c>
      <c r="F13889" s="1497"/>
      <c r="G13889" s="1497"/>
      <c r="H13889" s="1497"/>
      <c r="K13889" s="363" t="s">
        <v>5915</v>
      </c>
      <c r="V13889">
        <v>246</v>
      </c>
    </row>
    <row r="13890" spans="1:22" customFormat="1" ht="15" x14ac:dyDescent="0.25">
      <c r="A13890" t="s">
        <v>311</v>
      </c>
      <c r="E13890" s="1717" t="s">
        <v>956</v>
      </c>
      <c r="F13890" s="1717"/>
      <c r="G13890" s="1498"/>
      <c r="H13890" s="1498"/>
      <c r="K13890" t="s">
        <v>975</v>
      </c>
      <c r="V13890">
        <v>46</v>
      </c>
    </row>
    <row r="13891" spans="1:22" customFormat="1" ht="165" x14ac:dyDescent="0.25">
      <c r="A13891" t="s">
        <v>311</v>
      </c>
      <c r="E13891" s="854" t="s">
        <v>3773</v>
      </c>
      <c r="F13891" s="854"/>
      <c r="G13891" s="754" t="s">
        <v>777</v>
      </c>
      <c r="H13891" s="995">
        <v>40.39</v>
      </c>
      <c r="K13891" s="363" t="s">
        <v>5915</v>
      </c>
      <c r="L13891" t="s">
        <v>690</v>
      </c>
      <c r="P13891" s="363" t="s">
        <v>5917</v>
      </c>
      <c r="V13891">
        <v>14</v>
      </c>
    </row>
    <row r="13892" spans="1:22" customFormat="1" ht="165" x14ac:dyDescent="0.25">
      <c r="A13892" t="s">
        <v>311</v>
      </c>
      <c r="E13892" s="854" t="s">
        <v>7611</v>
      </c>
      <c r="F13892" s="854"/>
      <c r="G13892" s="754" t="s">
        <v>777</v>
      </c>
      <c r="H13892" s="995">
        <v>0.41</v>
      </c>
      <c r="K13892" s="363" t="s">
        <v>5915</v>
      </c>
      <c r="L13892" t="s">
        <v>692</v>
      </c>
      <c r="P13892" s="363" t="s">
        <v>5918</v>
      </c>
      <c r="V13892">
        <v>79</v>
      </c>
    </row>
    <row r="13893" spans="1:22" customFormat="1" ht="180" x14ac:dyDescent="0.25">
      <c r="A13893" t="s">
        <v>311</v>
      </c>
      <c r="E13893" s="854" t="s">
        <v>7612</v>
      </c>
      <c r="F13893" s="854"/>
      <c r="G13893" s="754" t="s">
        <v>777</v>
      </c>
      <c r="H13893" s="995">
        <v>0.03</v>
      </c>
      <c r="K13893" s="363" t="s">
        <v>5915</v>
      </c>
      <c r="L13893" t="s">
        <v>690</v>
      </c>
      <c r="P13893" s="363" t="s">
        <v>7627</v>
      </c>
      <c r="V13893">
        <v>98</v>
      </c>
    </row>
    <row r="13894" spans="1:22" customFormat="1" ht="180" x14ac:dyDescent="0.25">
      <c r="A13894" t="s">
        <v>311</v>
      </c>
      <c r="E13894" s="854" t="s">
        <v>7614</v>
      </c>
      <c r="F13894" s="854"/>
      <c r="G13894" s="754" t="s">
        <v>777</v>
      </c>
      <c r="H13894" s="995">
        <v>-7.0000000000000007E-2</v>
      </c>
      <c r="K13894" s="363" t="s">
        <v>5915</v>
      </c>
      <c r="L13894" t="s">
        <v>690</v>
      </c>
      <c r="P13894" s="363" t="s">
        <v>7628</v>
      </c>
      <c r="T13894">
        <v>46022</v>
      </c>
      <c r="V13894">
        <v>87</v>
      </c>
    </row>
    <row r="13895" spans="1:22" customFormat="1" ht="180" x14ac:dyDescent="0.25">
      <c r="A13895" t="s">
        <v>311</v>
      </c>
      <c r="E13895" s="854" t="s">
        <v>7616</v>
      </c>
      <c r="F13895" s="854"/>
      <c r="G13895" s="754" t="s">
        <v>777</v>
      </c>
      <c r="H13895" s="995">
        <v>-0.51</v>
      </c>
      <c r="K13895" s="363" t="s">
        <v>5915</v>
      </c>
      <c r="L13895" t="s">
        <v>690</v>
      </c>
      <c r="P13895" s="363" t="s">
        <v>7629</v>
      </c>
      <c r="T13895">
        <v>46022</v>
      </c>
      <c r="V13895">
        <v>87</v>
      </c>
    </row>
    <row r="13896" spans="1:22" customFormat="1" ht="180" x14ac:dyDescent="0.25">
      <c r="A13896" t="s">
        <v>311</v>
      </c>
      <c r="E13896" s="854" t="s">
        <v>7617</v>
      </c>
      <c r="F13896" s="854"/>
      <c r="G13896" s="754" t="s">
        <v>777</v>
      </c>
      <c r="H13896" s="995">
        <v>-1.4</v>
      </c>
      <c r="K13896" s="363" t="s">
        <v>5915</v>
      </c>
      <c r="L13896" t="s">
        <v>690</v>
      </c>
      <c r="P13896" s="363" t="s">
        <v>7630</v>
      </c>
      <c r="T13896">
        <v>46022</v>
      </c>
      <c r="V13896">
        <v>116</v>
      </c>
    </row>
    <row r="13897" spans="1:22" customFormat="1" ht="180" x14ac:dyDescent="0.25">
      <c r="A13897" t="s">
        <v>311</v>
      </c>
      <c r="E13897" s="854" t="s">
        <v>7619</v>
      </c>
      <c r="F13897" s="854"/>
      <c r="G13897" s="754" t="s">
        <v>777</v>
      </c>
      <c r="H13897" s="995">
        <v>-0.03</v>
      </c>
      <c r="K13897" s="363" t="s">
        <v>5915</v>
      </c>
      <c r="L13897" t="s">
        <v>690</v>
      </c>
      <c r="P13897" s="363" t="s">
        <v>7631</v>
      </c>
      <c r="V13897">
        <v>98</v>
      </c>
    </row>
    <row r="13898" spans="1:22" customFormat="1" ht="180" x14ac:dyDescent="0.25">
      <c r="A13898" t="s">
        <v>311</v>
      </c>
      <c r="E13898" s="854" t="s">
        <v>7620</v>
      </c>
      <c r="F13898" s="854"/>
      <c r="G13898" s="754" t="s">
        <v>777</v>
      </c>
      <c r="H13898" s="995">
        <v>-1.1000000000000001</v>
      </c>
      <c r="K13898" s="363" t="s">
        <v>5915</v>
      </c>
      <c r="L13898" t="s">
        <v>690</v>
      </c>
      <c r="P13898" s="363" t="s">
        <v>7632</v>
      </c>
      <c r="T13898">
        <v>46387</v>
      </c>
      <c r="V13898">
        <v>103</v>
      </c>
    </row>
    <row r="13899" spans="1:22" customFormat="1" ht="180" x14ac:dyDescent="0.25">
      <c r="A13899" t="s">
        <v>311</v>
      </c>
      <c r="E13899" s="854" t="s">
        <v>7622</v>
      </c>
      <c r="F13899" s="854"/>
      <c r="G13899" s="754" t="s">
        <v>777</v>
      </c>
      <c r="H13899" s="995">
        <v>-0.27</v>
      </c>
      <c r="K13899" s="363" t="s">
        <v>5915</v>
      </c>
      <c r="L13899" t="s">
        <v>690</v>
      </c>
      <c r="P13899" s="363" t="s">
        <v>7633</v>
      </c>
      <c r="V13899">
        <v>104</v>
      </c>
    </row>
    <row r="13900" spans="1:22" customFormat="1" ht="180" x14ac:dyDescent="0.25">
      <c r="A13900" t="s">
        <v>311</v>
      </c>
      <c r="E13900" s="854" t="s">
        <v>7624</v>
      </c>
      <c r="F13900" s="854"/>
      <c r="G13900" s="754" t="s">
        <v>777</v>
      </c>
      <c r="H13900" s="20">
        <v>0.16</v>
      </c>
      <c r="K13900" s="363" t="s">
        <v>5915</v>
      </c>
      <c r="L13900" t="s">
        <v>690</v>
      </c>
      <c r="P13900" s="363" t="s">
        <v>7634</v>
      </c>
      <c r="T13900">
        <v>46022</v>
      </c>
      <c r="V13900">
        <v>87</v>
      </c>
    </row>
    <row r="13901" spans="1:22" customFormat="1" ht="180" x14ac:dyDescent="0.25">
      <c r="A13901" t="s">
        <v>311</v>
      </c>
      <c r="E13901" s="854" t="s">
        <v>5989</v>
      </c>
      <c r="F13901" s="854"/>
      <c r="G13901" s="754" t="s">
        <v>845</v>
      </c>
      <c r="H13901" s="20">
        <v>1.99E-3</v>
      </c>
      <c r="K13901" s="363" t="s">
        <v>5915</v>
      </c>
      <c r="L13901" t="s">
        <v>692</v>
      </c>
      <c r="P13901" s="363" t="s">
        <v>5919</v>
      </c>
      <c r="T13901">
        <v>46022</v>
      </c>
      <c r="V13901">
        <v>92</v>
      </c>
    </row>
    <row r="13902" spans="1:22" customFormat="1" ht="165" x14ac:dyDescent="0.25">
      <c r="A13902" t="s">
        <v>311</v>
      </c>
      <c r="E13902" s="854" t="s">
        <v>7625</v>
      </c>
      <c r="F13902" s="854"/>
      <c r="G13902" s="754" t="s">
        <v>845</v>
      </c>
      <c r="H13902" s="20">
        <v>1.8000000000000001E-4</v>
      </c>
      <c r="K13902" s="363" t="s">
        <v>5915</v>
      </c>
      <c r="L13902" t="s">
        <v>692</v>
      </c>
      <c r="P13902" s="363" t="s">
        <v>5920</v>
      </c>
      <c r="T13902">
        <v>46022</v>
      </c>
      <c r="V13902">
        <v>137</v>
      </c>
    </row>
    <row r="13903" spans="1:22" customFormat="1" ht="165" x14ac:dyDescent="0.25">
      <c r="A13903" t="s">
        <v>311</v>
      </c>
      <c r="E13903" s="854" t="s">
        <v>7626</v>
      </c>
      <c r="F13903" s="854"/>
      <c r="G13903" s="754" t="s">
        <v>845</v>
      </c>
      <c r="H13903" s="20">
        <v>1.24E-3</v>
      </c>
      <c r="K13903" s="363" t="s">
        <v>5915</v>
      </c>
      <c r="L13903" t="s">
        <v>692</v>
      </c>
      <c r="P13903" s="363" t="s">
        <v>7635</v>
      </c>
      <c r="T13903">
        <v>46022</v>
      </c>
      <c r="V13903">
        <v>131</v>
      </c>
    </row>
    <row r="13904" spans="1:22" customFormat="1" ht="255" x14ac:dyDescent="0.25">
      <c r="A13904" t="s">
        <v>311</v>
      </c>
      <c r="E13904" s="854" t="s">
        <v>243</v>
      </c>
      <c r="F13904" s="854"/>
      <c r="G13904" s="754" t="s">
        <v>845</v>
      </c>
      <c r="H13904" s="20">
        <v>1.4E-2</v>
      </c>
      <c r="K13904" s="363" t="s">
        <v>5915</v>
      </c>
      <c r="L13904" t="s">
        <v>694</v>
      </c>
      <c r="P13904" s="363" t="s">
        <v>5921</v>
      </c>
      <c r="V13904">
        <v>47</v>
      </c>
    </row>
    <row r="13905" spans="1:22" customFormat="1" ht="315" x14ac:dyDescent="0.25">
      <c r="A13905" t="s">
        <v>311</v>
      </c>
      <c r="E13905" s="854" t="s">
        <v>175</v>
      </c>
      <c r="F13905" s="854"/>
      <c r="G13905" s="754" t="s">
        <v>845</v>
      </c>
      <c r="H13905" s="20">
        <v>9.5899999999999996E-3</v>
      </c>
      <c r="K13905" s="363" t="s">
        <v>5915</v>
      </c>
      <c r="L13905" t="s">
        <v>694</v>
      </c>
      <c r="P13905" s="363" t="s">
        <v>5922</v>
      </c>
      <c r="V13905">
        <v>74</v>
      </c>
    </row>
    <row r="13906" spans="1:22" customFormat="1" ht="30" x14ac:dyDescent="0.25">
      <c r="A13906" t="s">
        <v>311</v>
      </c>
      <c r="E13906" s="944" t="s">
        <v>967</v>
      </c>
      <c r="F13906" s="944"/>
      <c r="G13906" s="848"/>
      <c r="H13906" s="848"/>
      <c r="K13906" t="s">
        <v>985</v>
      </c>
      <c r="V13906">
        <v>48</v>
      </c>
    </row>
    <row r="13907" spans="1:22" customFormat="1" ht="165" x14ac:dyDescent="0.25">
      <c r="A13907" t="s">
        <v>311</v>
      </c>
      <c r="E13907" s="854" t="s">
        <v>844</v>
      </c>
      <c r="F13907" s="854"/>
      <c r="G13907" s="754" t="s">
        <v>845</v>
      </c>
      <c r="H13907" s="870">
        <v>4.1000000000000003E-3</v>
      </c>
      <c r="K13907" s="363" t="s">
        <v>5915</v>
      </c>
      <c r="L13907" t="s">
        <v>968</v>
      </c>
      <c r="P13907" s="363" t="s">
        <v>5923</v>
      </c>
      <c r="V13907">
        <v>55</v>
      </c>
    </row>
    <row r="13908" spans="1:22" customFormat="1" ht="165" x14ac:dyDescent="0.25">
      <c r="A13908" t="s">
        <v>311</v>
      </c>
      <c r="E13908" s="854" t="s">
        <v>846</v>
      </c>
      <c r="F13908" s="854"/>
      <c r="G13908" s="754" t="s">
        <v>845</v>
      </c>
      <c r="H13908" s="870">
        <v>4.0000000000000002E-4</v>
      </c>
      <c r="K13908" s="363" t="s">
        <v>5915</v>
      </c>
      <c r="L13908" t="s">
        <v>968</v>
      </c>
      <c r="P13908" s="363" t="s">
        <v>5923</v>
      </c>
      <c r="V13908">
        <v>65</v>
      </c>
    </row>
    <row r="13909" spans="1:22" customFormat="1" ht="165" x14ac:dyDescent="0.25">
      <c r="A13909" t="s">
        <v>311</v>
      </c>
      <c r="E13909" s="854" t="s">
        <v>847</v>
      </c>
      <c r="F13909" s="854"/>
      <c r="G13909" s="754" t="s">
        <v>845</v>
      </c>
      <c r="H13909" s="870">
        <v>1.4E-3</v>
      </c>
      <c r="K13909" s="363" t="s">
        <v>5915</v>
      </c>
      <c r="L13909" t="s">
        <v>968</v>
      </c>
      <c r="P13909" s="363" t="s">
        <v>5924</v>
      </c>
      <c r="V13909">
        <v>57</v>
      </c>
    </row>
    <row r="13910" spans="1:22" customFormat="1" ht="165" x14ac:dyDescent="0.25">
      <c r="A13910" t="s">
        <v>311</v>
      </c>
      <c r="E13910" s="854" t="s">
        <v>848</v>
      </c>
      <c r="F13910" s="854"/>
      <c r="G13910" s="754" t="s">
        <v>777</v>
      </c>
      <c r="H13910" s="870">
        <v>0.25</v>
      </c>
      <c r="K13910" s="363" t="s">
        <v>5915</v>
      </c>
      <c r="L13910" t="s">
        <v>968</v>
      </c>
      <c r="P13910" s="363" t="s">
        <v>5925</v>
      </c>
      <c r="V13910">
        <v>63</v>
      </c>
    </row>
    <row r="13911" spans="1:22" customFormat="1" x14ac:dyDescent="0.25">
      <c r="A13911" t="s">
        <v>311</v>
      </c>
      <c r="E13911" s="1499" t="s">
        <v>174</v>
      </c>
      <c r="F13911" s="1499"/>
      <c r="G13911" s="1499"/>
      <c r="H13911" s="1499"/>
      <c r="K13911" t="s">
        <v>4723</v>
      </c>
      <c r="V13911">
        <v>54</v>
      </c>
    </row>
    <row r="13912" spans="1:22" customFormat="1" ht="15" x14ac:dyDescent="0.25">
      <c r="A13912" t="s">
        <v>311</v>
      </c>
      <c r="E13912" s="1497" t="s">
        <v>5102</v>
      </c>
      <c r="F13912" s="1497"/>
      <c r="G13912" s="1497"/>
      <c r="H13912" s="1497"/>
      <c r="K13912" t="s">
        <v>4723</v>
      </c>
      <c r="V13912">
        <v>291</v>
      </c>
    </row>
    <row r="13913" spans="1:22" customFormat="1" ht="15" x14ac:dyDescent="0.25">
      <c r="A13913" t="s">
        <v>311</v>
      </c>
      <c r="E13913" s="1501" t="s">
        <v>950</v>
      </c>
      <c r="F13913" s="1501"/>
      <c r="G13913" s="1502"/>
      <c r="H13913" s="1502"/>
      <c r="K13913" t="s">
        <v>992</v>
      </c>
      <c r="V13913">
        <v>11</v>
      </c>
    </row>
    <row r="13914" spans="1:22" customFormat="1" ht="15" x14ac:dyDescent="0.25">
      <c r="A13914" t="s">
        <v>311</v>
      </c>
      <c r="E13914" s="1497" t="s">
        <v>951</v>
      </c>
      <c r="F13914" s="1497"/>
      <c r="G13914" s="1497"/>
      <c r="H13914" s="1497"/>
      <c r="K13914" t="s">
        <v>4723</v>
      </c>
      <c r="V13914">
        <v>280</v>
      </c>
    </row>
    <row r="13915" spans="1:22" customFormat="1" ht="15" x14ac:dyDescent="0.25">
      <c r="A13915" t="s">
        <v>311</v>
      </c>
      <c r="E13915" s="1497" t="s">
        <v>952</v>
      </c>
      <c r="F13915" s="1497"/>
      <c r="G13915" s="1497"/>
      <c r="H13915" s="1497"/>
      <c r="K13915" t="s">
        <v>4723</v>
      </c>
      <c r="V13915">
        <v>411</v>
      </c>
    </row>
    <row r="13916" spans="1:22" customFormat="1" ht="15" x14ac:dyDescent="0.25">
      <c r="A13916" t="s">
        <v>311</v>
      </c>
      <c r="E13916" s="1497" t="s">
        <v>3761</v>
      </c>
      <c r="F13916" s="1497"/>
      <c r="G13916" s="1497"/>
      <c r="H13916" s="1497"/>
      <c r="K13916" t="s">
        <v>4723</v>
      </c>
      <c r="V13916">
        <v>387</v>
      </c>
    </row>
    <row r="13917" spans="1:22" customFormat="1" ht="15" x14ac:dyDescent="0.25">
      <c r="A13917" t="s">
        <v>311</v>
      </c>
      <c r="E13917" s="1497" t="s">
        <v>954</v>
      </c>
      <c r="F13917" s="1497"/>
      <c r="G13917" s="1497"/>
      <c r="H13917" s="1497"/>
      <c r="K13917" t="s">
        <v>4723</v>
      </c>
      <c r="V13917">
        <v>246</v>
      </c>
    </row>
    <row r="13918" spans="1:22" customFormat="1" ht="15" x14ac:dyDescent="0.25">
      <c r="A13918" t="s">
        <v>311</v>
      </c>
      <c r="E13918" s="1503" t="s">
        <v>956</v>
      </c>
      <c r="F13918" s="1503"/>
      <c r="G13918" s="1504"/>
      <c r="H13918" s="1504"/>
      <c r="K13918" t="s">
        <v>995</v>
      </c>
      <c r="V13918">
        <v>46</v>
      </c>
    </row>
    <row r="13919" spans="1:22" customFormat="1" ht="15" x14ac:dyDescent="0.25">
      <c r="A13919" t="s">
        <v>311</v>
      </c>
      <c r="E13919" s="854" t="s">
        <v>3773</v>
      </c>
      <c r="F13919" s="854"/>
      <c r="G13919" s="754" t="s">
        <v>777</v>
      </c>
      <c r="H13919" s="995">
        <v>43.7</v>
      </c>
      <c r="K13919" t="s">
        <v>4723</v>
      </c>
      <c r="L13919" t="s">
        <v>690</v>
      </c>
      <c r="P13919" t="s">
        <v>4725</v>
      </c>
      <c r="V13919">
        <v>14</v>
      </c>
    </row>
    <row r="13920" spans="1:22" customFormat="1" ht="26.25" x14ac:dyDescent="0.25">
      <c r="A13920" t="s">
        <v>311</v>
      </c>
      <c r="E13920" s="854" t="s">
        <v>7611</v>
      </c>
      <c r="F13920" s="854"/>
      <c r="G13920" s="754" t="s">
        <v>777</v>
      </c>
      <c r="H13920" s="995">
        <v>0.41</v>
      </c>
      <c r="K13920" t="s">
        <v>4723</v>
      </c>
      <c r="L13920" t="s">
        <v>692</v>
      </c>
      <c r="P13920" t="s">
        <v>4727</v>
      </c>
      <c r="V13920">
        <v>79</v>
      </c>
    </row>
    <row r="13921" spans="1:22" customFormat="1" ht="15" x14ac:dyDescent="0.25">
      <c r="A13921" t="s">
        <v>311</v>
      </c>
      <c r="E13921" s="854" t="s">
        <v>3688</v>
      </c>
      <c r="F13921" s="854"/>
      <c r="G13921" s="754" t="s">
        <v>845</v>
      </c>
      <c r="H13921" s="20">
        <v>4.5350000000000001E-2</v>
      </c>
      <c r="K13921" t="s">
        <v>4723</v>
      </c>
      <c r="L13921" t="s">
        <v>690</v>
      </c>
      <c r="P13921" t="s">
        <v>4728</v>
      </c>
      <c r="V13921">
        <v>28</v>
      </c>
    </row>
    <row r="13922" spans="1:22" customFormat="1" ht="39" x14ac:dyDescent="0.25">
      <c r="A13922" t="s">
        <v>311</v>
      </c>
      <c r="E13922" s="854" t="s">
        <v>7612</v>
      </c>
      <c r="F13922" s="854"/>
      <c r="G13922" s="754" t="s">
        <v>845</v>
      </c>
      <c r="H13922" s="20">
        <v>5.0000000000000002E-5</v>
      </c>
      <c r="K13922" t="s">
        <v>4723</v>
      </c>
      <c r="L13922" t="s">
        <v>690</v>
      </c>
      <c r="P13922" t="s">
        <v>7636</v>
      </c>
      <c r="V13922">
        <v>98</v>
      </c>
    </row>
    <row r="13923" spans="1:22" customFormat="1" ht="26.25" x14ac:dyDescent="0.25">
      <c r="A13923" t="s">
        <v>311</v>
      </c>
      <c r="E13923" s="854" t="s">
        <v>7614</v>
      </c>
      <c r="F13923" s="854"/>
      <c r="G13923" s="754" t="s">
        <v>845</v>
      </c>
      <c r="H13923" s="995">
        <v>-1.2E-4</v>
      </c>
      <c r="K13923" t="s">
        <v>4723</v>
      </c>
      <c r="L13923" t="s">
        <v>690</v>
      </c>
      <c r="P13923" t="s">
        <v>7637</v>
      </c>
      <c r="T13923">
        <v>46022</v>
      </c>
      <c r="V13923">
        <v>87</v>
      </c>
    </row>
    <row r="13924" spans="1:22" customFormat="1" ht="39" x14ac:dyDescent="0.25">
      <c r="A13924" t="s">
        <v>311</v>
      </c>
      <c r="E13924" s="854" t="s">
        <v>7616</v>
      </c>
      <c r="F13924" s="854"/>
      <c r="G13924" s="754" t="s">
        <v>845</v>
      </c>
      <c r="H13924" s="995">
        <v>-8.3000000000000001E-4</v>
      </c>
      <c r="K13924" t="s">
        <v>4723</v>
      </c>
      <c r="L13924" t="s">
        <v>690</v>
      </c>
      <c r="P13924" t="s">
        <v>7638</v>
      </c>
      <c r="T13924">
        <v>46022</v>
      </c>
      <c r="V13924">
        <v>87</v>
      </c>
    </row>
    <row r="13925" spans="1:22" customFormat="1" ht="39" x14ac:dyDescent="0.25">
      <c r="A13925" t="s">
        <v>311</v>
      </c>
      <c r="E13925" s="854" t="s">
        <v>7617</v>
      </c>
      <c r="F13925" s="854"/>
      <c r="G13925" s="754" t="s">
        <v>845</v>
      </c>
      <c r="H13925" s="995">
        <v>-2.2599999999999999E-3</v>
      </c>
      <c r="K13925" t="s">
        <v>4723</v>
      </c>
      <c r="L13925" t="s">
        <v>690</v>
      </c>
      <c r="P13925" t="s">
        <v>7639</v>
      </c>
      <c r="T13925">
        <v>46022</v>
      </c>
      <c r="V13925">
        <v>116</v>
      </c>
    </row>
    <row r="13926" spans="1:22" customFormat="1" ht="39" x14ac:dyDescent="0.25">
      <c r="A13926" t="s">
        <v>311</v>
      </c>
      <c r="E13926" s="854" t="s">
        <v>7619</v>
      </c>
      <c r="F13926" s="854"/>
      <c r="G13926" s="754" t="s">
        <v>845</v>
      </c>
      <c r="H13926" s="995">
        <v>-4.0000000000000003E-5</v>
      </c>
      <c r="K13926" t="s">
        <v>4723</v>
      </c>
      <c r="L13926" t="s">
        <v>690</v>
      </c>
      <c r="P13926" t="s">
        <v>7640</v>
      </c>
      <c r="V13926">
        <v>98</v>
      </c>
    </row>
    <row r="13927" spans="1:22" customFormat="1" ht="39" x14ac:dyDescent="0.25">
      <c r="A13927" t="s">
        <v>311</v>
      </c>
      <c r="E13927" s="854" t="s">
        <v>7620</v>
      </c>
      <c r="F13927" s="854"/>
      <c r="G13927" s="754" t="s">
        <v>845</v>
      </c>
      <c r="H13927" s="995">
        <v>-1.7899999999999999E-3</v>
      </c>
      <c r="K13927" t="s">
        <v>4723</v>
      </c>
      <c r="L13927" t="s">
        <v>690</v>
      </c>
      <c r="P13927" t="s">
        <v>7641</v>
      </c>
      <c r="T13927">
        <v>46387</v>
      </c>
      <c r="V13927">
        <v>103</v>
      </c>
    </row>
    <row r="13928" spans="1:22" customFormat="1" ht="39" x14ac:dyDescent="0.25">
      <c r="A13928" t="s">
        <v>311</v>
      </c>
      <c r="E13928" s="854" t="s">
        <v>7622</v>
      </c>
      <c r="F13928" s="854"/>
      <c r="G13928" s="754" t="s">
        <v>845</v>
      </c>
      <c r="H13928" s="995">
        <v>-4.2999999999999999E-4</v>
      </c>
      <c r="K13928" t="s">
        <v>4723</v>
      </c>
      <c r="L13928" t="s">
        <v>690</v>
      </c>
      <c r="P13928" t="s">
        <v>7642</v>
      </c>
      <c r="V13928">
        <v>104</v>
      </c>
    </row>
    <row r="13929" spans="1:22" customFormat="1" ht="39" x14ac:dyDescent="0.25">
      <c r="A13929" t="s">
        <v>311</v>
      </c>
      <c r="E13929" s="854" t="s">
        <v>7624</v>
      </c>
      <c r="F13929" s="854"/>
      <c r="G13929" s="754" t="s">
        <v>845</v>
      </c>
      <c r="H13929" s="20">
        <v>2.5999999999999998E-4</v>
      </c>
      <c r="K13929" t="s">
        <v>4723</v>
      </c>
      <c r="L13929" t="s">
        <v>690</v>
      </c>
      <c r="P13929" t="s">
        <v>7643</v>
      </c>
      <c r="T13929">
        <v>46022</v>
      </c>
      <c r="V13929">
        <v>87</v>
      </c>
    </row>
    <row r="13930" spans="1:22" customFormat="1" ht="39" x14ac:dyDescent="0.25">
      <c r="A13930" t="s">
        <v>311</v>
      </c>
      <c r="E13930" s="996" t="s">
        <v>5989</v>
      </c>
      <c r="F13930" s="996"/>
      <c r="G13930" s="997" t="s">
        <v>845</v>
      </c>
      <c r="H13930" s="995">
        <v>2.49E-3</v>
      </c>
      <c r="K13930" t="s">
        <v>4723</v>
      </c>
      <c r="L13930" t="s">
        <v>692</v>
      </c>
      <c r="P13930" t="s">
        <v>4731</v>
      </c>
      <c r="T13930">
        <v>46022</v>
      </c>
      <c r="V13930">
        <v>92</v>
      </c>
    </row>
    <row r="13931" spans="1:22" customFormat="1" ht="51.75" x14ac:dyDescent="0.25">
      <c r="A13931" t="s">
        <v>311</v>
      </c>
      <c r="E13931" s="996" t="s">
        <v>7625</v>
      </c>
      <c r="F13931" s="996"/>
      <c r="G13931" s="997" t="s">
        <v>845</v>
      </c>
      <c r="H13931" s="995">
        <v>1.8000000000000001E-4</v>
      </c>
      <c r="K13931" t="s">
        <v>4723</v>
      </c>
      <c r="L13931" t="s">
        <v>692</v>
      </c>
      <c r="P13931" t="s">
        <v>4732</v>
      </c>
      <c r="T13931">
        <v>46022</v>
      </c>
      <c r="V13931">
        <v>137</v>
      </c>
    </row>
    <row r="13932" spans="1:22" customFormat="1" ht="51.75" x14ac:dyDescent="0.25">
      <c r="A13932" t="s">
        <v>311</v>
      </c>
      <c r="E13932" s="996" t="s">
        <v>7626</v>
      </c>
      <c r="F13932" s="996"/>
      <c r="G13932" s="997" t="s">
        <v>845</v>
      </c>
      <c r="H13932" s="995">
        <v>1.24E-3</v>
      </c>
      <c r="K13932" t="s">
        <v>4723</v>
      </c>
      <c r="L13932" t="s">
        <v>692</v>
      </c>
      <c r="P13932" t="s">
        <v>4730</v>
      </c>
      <c r="T13932">
        <v>46022</v>
      </c>
      <c r="V13932">
        <v>131</v>
      </c>
    </row>
    <row r="13933" spans="1:22" customFormat="1" ht="26.25" x14ac:dyDescent="0.25">
      <c r="A13933" t="s">
        <v>311</v>
      </c>
      <c r="E13933" s="854" t="s">
        <v>243</v>
      </c>
      <c r="F13933" s="854"/>
      <c r="G13933" s="754" t="s">
        <v>845</v>
      </c>
      <c r="H13933" s="995">
        <v>1.363E-2</v>
      </c>
      <c r="K13933" t="s">
        <v>4723</v>
      </c>
      <c r="L13933" t="s">
        <v>694</v>
      </c>
      <c r="P13933" t="s">
        <v>4733</v>
      </c>
      <c r="V13933">
        <v>47</v>
      </c>
    </row>
    <row r="13934" spans="1:22" customFormat="1" ht="26.25" x14ac:dyDescent="0.25">
      <c r="A13934" t="s">
        <v>311</v>
      </c>
      <c r="E13934" s="854" t="s">
        <v>175</v>
      </c>
      <c r="F13934" s="854"/>
      <c r="G13934" s="754" t="s">
        <v>845</v>
      </c>
      <c r="H13934" s="995">
        <v>8.5800000000000008E-3</v>
      </c>
      <c r="K13934" t="s">
        <v>4723</v>
      </c>
      <c r="L13934" t="s">
        <v>694</v>
      </c>
      <c r="P13934" t="s">
        <v>4734</v>
      </c>
      <c r="V13934">
        <v>74</v>
      </c>
    </row>
    <row r="13935" spans="1:22" customFormat="1" ht="30" x14ac:dyDescent="0.25">
      <c r="A13935" t="s">
        <v>311</v>
      </c>
      <c r="E13935" s="944" t="s">
        <v>967</v>
      </c>
      <c r="F13935" s="944"/>
      <c r="G13935" s="848"/>
      <c r="H13935" s="848"/>
      <c r="K13935" t="s">
        <v>1003</v>
      </c>
      <c r="V13935">
        <v>48</v>
      </c>
    </row>
    <row r="13936" spans="1:22" customFormat="1" ht="26.25" x14ac:dyDescent="0.25">
      <c r="A13936" t="s">
        <v>311</v>
      </c>
      <c r="E13936" s="854" t="s">
        <v>844</v>
      </c>
      <c r="F13936" s="854"/>
      <c r="G13936" s="754" t="s">
        <v>845</v>
      </c>
      <c r="H13936" s="870">
        <v>4.1000000000000003E-3</v>
      </c>
      <c r="K13936" t="s">
        <v>4723</v>
      </c>
      <c r="L13936" t="s">
        <v>968</v>
      </c>
      <c r="P13936" t="s">
        <v>4735</v>
      </c>
      <c r="V13936">
        <v>55</v>
      </c>
    </row>
    <row r="13937" spans="1:22" customFormat="1" ht="26.25" x14ac:dyDescent="0.25">
      <c r="A13937" t="s">
        <v>311</v>
      </c>
      <c r="E13937" s="854" t="s">
        <v>846</v>
      </c>
      <c r="F13937" s="854"/>
      <c r="G13937" s="754" t="s">
        <v>845</v>
      </c>
      <c r="H13937" s="870">
        <v>4.0000000000000002E-4</v>
      </c>
      <c r="K13937" t="s">
        <v>4723</v>
      </c>
      <c r="L13937" t="s">
        <v>968</v>
      </c>
      <c r="P13937" t="s">
        <v>4735</v>
      </c>
      <c r="V13937">
        <v>65</v>
      </c>
    </row>
    <row r="13938" spans="1:22" customFormat="1" ht="26.25" x14ac:dyDescent="0.25">
      <c r="A13938" t="s">
        <v>311</v>
      </c>
      <c r="E13938" s="854" t="s">
        <v>847</v>
      </c>
      <c r="F13938" s="854"/>
      <c r="G13938" s="754" t="s">
        <v>845</v>
      </c>
      <c r="H13938" s="870">
        <v>1.4E-3</v>
      </c>
      <c r="K13938" t="s">
        <v>4723</v>
      </c>
      <c r="L13938" t="s">
        <v>968</v>
      </c>
      <c r="P13938" t="s">
        <v>4736</v>
      </c>
      <c r="V13938">
        <v>57</v>
      </c>
    </row>
    <row r="13939" spans="1:22" customFormat="1" ht="26.25" x14ac:dyDescent="0.25">
      <c r="A13939" t="s">
        <v>311</v>
      </c>
      <c r="E13939" s="854" t="s">
        <v>848</v>
      </c>
      <c r="F13939" s="854"/>
      <c r="G13939" s="754" t="s">
        <v>777</v>
      </c>
      <c r="H13939" s="870">
        <v>0.25</v>
      </c>
      <c r="K13939" t="s">
        <v>4723</v>
      </c>
      <c r="L13939" t="s">
        <v>968</v>
      </c>
      <c r="P13939" t="s">
        <v>4737</v>
      </c>
      <c r="V13939">
        <v>63</v>
      </c>
    </row>
    <row r="13940" spans="1:22" customFormat="1" x14ac:dyDescent="0.25">
      <c r="A13940" t="s">
        <v>311</v>
      </c>
      <c r="E13940" s="1499" t="s">
        <v>990</v>
      </c>
      <c r="F13940" s="1499"/>
      <c r="G13940" s="1499"/>
      <c r="H13940" s="1499"/>
      <c r="K13940" t="s">
        <v>5926</v>
      </c>
      <c r="V13940">
        <v>51</v>
      </c>
    </row>
    <row r="13941" spans="1:22" customFormat="1" ht="15" x14ac:dyDescent="0.25">
      <c r="A13941" t="s">
        <v>311</v>
      </c>
      <c r="E13941" s="1497" t="s">
        <v>5927</v>
      </c>
      <c r="F13941" s="1497"/>
      <c r="G13941" s="1497"/>
      <c r="H13941" s="1497"/>
      <c r="K13941" t="s">
        <v>5926</v>
      </c>
      <c r="V13941">
        <v>526</v>
      </c>
    </row>
    <row r="13942" spans="1:22" customFormat="1" ht="15" x14ac:dyDescent="0.25">
      <c r="A13942" t="s">
        <v>311</v>
      </c>
      <c r="E13942" s="1501" t="s">
        <v>950</v>
      </c>
      <c r="F13942" s="1501"/>
      <c r="G13942" s="1502"/>
      <c r="H13942" s="1502"/>
      <c r="K13942" t="s">
        <v>1010</v>
      </c>
      <c r="V13942">
        <v>11</v>
      </c>
    </row>
    <row r="13943" spans="1:22" customFormat="1" ht="15" x14ac:dyDescent="0.25">
      <c r="A13943" t="s">
        <v>311</v>
      </c>
      <c r="E13943" s="1497" t="s">
        <v>951</v>
      </c>
      <c r="F13943" s="1497"/>
      <c r="G13943" s="1497"/>
      <c r="H13943" s="1497"/>
      <c r="K13943" t="s">
        <v>5926</v>
      </c>
      <c r="V13943">
        <v>280</v>
      </c>
    </row>
    <row r="13944" spans="1:22" customFormat="1" ht="15" x14ac:dyDescent="0.25">
      <c r="A13944" t="s">
        <v>311</v>
      </c>
      <c r="E13944" s="1497" t="s">
        <v>952</v>
      </c>
      <c r="F13944" s="1497"/>
      <c r="G13944" s="1497"/>
      <c r="H13944" s="1497"/>
      <c r="K13944" t="s">
        <v>5926</v>
      </c>
      <c r="V13944">
        <v>411</v>
      </c>
    </row>
    <row r="13945" spans="1:22" customFormat="1" ht="15" x14ac:dyDescent="0.25">
      <c r="A13945" t="s">
        <v>311</v>
      </c>
      <c r="E13945" s="1497" t="s">
        <v>3761</v>
      </c>
      <c r="F13945" s="1497"/>
      <c r="G13945" s="1497"/>
      <c r="H13945" s="1497"/>
      <c r="K13945" t="s">
        <v>5926</v>
      </c>
      <c r="V13945">
        <v>387</v>
      </c>
    </row>
    <row r="13946" spans="1:22" customFormat="1" ht="15" x14ac:dyDescent="0.25">
      <c r="A13946" t="s">
        <v>311</v>
      </c>
      <c r="E13946" s="1497" t="s">
        <v>5928</v>
      </c>
      <c r="F13946" s="1497"/>
      <c r="G13946" s="1497"/>
      <c r="H13946" s="1497"/>
      <c r="K13946" t="s">
        <v>5926</v>
      </c>
      <c r="V13946">
        <v>610</v>
      </c>
    </row>
    <row r="13947" spans="1:22" customFormat="1" ht="15" x14ac:dyDescent="0.25">
      <c r="A13947" t="s">
        <v>311</v>
      </c>
      <c r="E13947" s="1497" t="s">
        <v>5929</v>
      </c>
      <c r="F13947" s="1497"/>
      <c r="G13947" s="1497"/>
      <c r="H13947" s="1497"/>
      <c r="K13947" t="s">
        <v>5926</v>
      </c>
      <c r="V13947">
        <v>636</v>
      </c>
    </row>
    <row r="13948" spans="1:22" customFormat="1" ht="15" x14ac:dyDescent="0.25">
      <c r="A13948" t="s">
        <v>311</v>
      </c>
      <c r="E13948" s="1497" t="s">
        <v>954</v>
      </c>
      <c r="F13948" s="1497"/>
      <c r="G13948" s="1497"/>
      <c r="H13948" s="1497"/>
      <c r="K13948" t="s">
        <v>5926</v>
      </c>
      <c r="V13948">
        <v>246</v>
      </c>
    </row>
    <row r="13949" spans="1:22" customFormat="1" ht="15" x14ac:dyDescent="0.25">
      <c r="A13949" t="s">
        <v>311</v>
      </c>
      <c r="E13949" s="1503" t="s">
        <v>956</v>
      </c>
      <c r="F13949" s="1503"/>
      <c r="G13949" s="1504"/>
      <c r="H13949" s="1504"/>
      <c r="K13949" t="s">
        <v>1011</v>
      </c>
      <c r="V13949">
        <v>46</v>
      </c>
    </row>
    <row r="13950" spans="1:22" customFormat="1" ht="15" x14ac:dyDescent="0.25">
      <c r="A13950" t="s">
        <v>311</v>
      </c>
      <c r="E13950" s="854" t="s">
        <v>3773</v>
      </c>
      <c r="F13950" s="854"/>
      <c r="G13950" s="754" t="s">
        <v>777</v>
      </c>
      <c r="H13950" s="995">
        <v>61.86</v>
      </c>
      <c r="K13950" t="s">
        <v>5926</v>
      </c>
      <c r="L13950" t="s">
        <v>690</v>
      </c>
      <c r="P13950" t="s">
        <v>5930</v>
      </c>
      <c r="V13950">
        <v>14</v>
      </c>
    </row>
    <row r="13951" spans="1:22" customFormat="1" ht="15" x14ac:dyDescent="0.25">
      <c r="A13951" t="s">
        <v>311</v>
      </c>
      <c r="E13951" s="854" t="s">
        <v>3688</v>
      </c>
      <c r="F13951" s="854"/>
      <c r="G13951" s="754" t="s">
        <v>5931</v>
      </c>
      <c r="H13951" s="995">
        <v>10.125400000000001</v>
      </c>
      <c r="K13951" t="s">
        <v>5926</v>
      </c>
      <c r="L13951" t="s">
        <v>690</v>
      </c>
      <c r="P13951" t="s">
        <v>5932</v>
      </c>
      <c r="V13951">
        <v>28</v>
      </c>
    </row>
    <row r="13952" spans="1:22" customFormat="1" ht="39" x14ac:dyDescent="0.25">
      <c r="A13952" t="s">
        <v>311</v>
      </c>
      <c r="E13952" s="854" t="s">
        <v>7612</v>
      </c>
      <c r="F13952" s="854"/>
      <c r="G13952" s="754" t="s">
        <v>5931</v>
      </c>
      <c r="H13952" s="995">
        <v>6.3E-3</v>
      </c>
      <c r="K13952" t="s">
        <v>5926</v>
      </c>
      <c r="L13952" t="s">
        <v>690</v>
      </c>
      <c r="P13952" t="s">
        <v>7644</v>
      </c>
      <c r="V13952">
        <v>98</v>
      </c>
    </row>
    <row r="13953" spans="1:22" customFormat="1" ht="26.25" x14ac:dyDescent="0.25">
      <c r="A13953" t="s">
        <v>311</v>
      </c>
      <c r="E13953" s="854" t="s">
        <v>7614</v>
      </c>
      <c r="F13953" s="854"/>
      <c r="G13953" s="754" t="s">
        <v>5931</v>
      </c>
      <c r="H13953" s="995">
        <v>-1.9699999999999999E-2</v>
      </c>
      <c r="K13953" t="s">
        <v>5926</v>
      </c>
      <c r="L13953" t="s">
        <v>690</v>
      </c>
      <c r="P13953" t="s">
        <v>7645</v>
      </c>
      <c r="T13953">
        <v>46022</v>
      </c>
      <c r="V13953">
        <v>87</v>
      </c>
    </row>
    <row r="13954" spans="1:22" customFormat="1" ht="39" x14ac:dyDescent="0.25">
      <c r="A13954" t="s">
        <v>311</v>
      </c>
      <c r="E13954" s="854" t="s">
        <v>7646</v>
      </c>
      <c r="F13954" s="854"/>
      <c r="G13954" s="754" t="s">
        <v>5931</v>
      </c>
      <c r="H13954" s="995">
        <v>-4.7199999999999999E-2</v>
      </c>
      <c r="K13954" t="s">
        <v>5926</v>
      </c>
      <c r="P13954" t="s">
        <v>7647</v>
      </c>
      <c r="V13954">
        <v>91</v>
      </c>
    </row>
    <row r="13955" spans="1:22" customFormat="1" ht="39" x14ac:dyDescent="0.25">
      <c r="A13955" t="s">
        <v>311</v>
      </c>
      <c r="E13955" s="854" t="s">
        <v>7616</v>
      </c>
      <c r="F13955" s="854"/>
      <c r="G13955" s="754" t="s">
        <v>5931</v>
      </c>
      <c r="H13955" s="995">
        <v>-0.13950000000000001</v>
      </c>
      <c r="K13955" t="s">
        <v>5926</v>
      </c>
      <c r="L13955" t="s">
        <v>690</v>
      </c>
      <c r="P13955" t="s">
        <v>7648</v>
      </c>
      <c r="T13955">
        <v>46022</v>
      </c>
      <c r="V13955">
        <v>87</v>
      </c>
    </row>
    <row r="13956" spans="1:22" customFormat="1" ht="39" x14ac:dyDescent="0.25">
      <c r="A13956" t="s">
        <v>311</v>
      </c>
      <c r="E13956" s="854" t="s">
        <v>7617</v>
      </c>
      <c r="F13956" s="854"/>
      <c r="G13956" s="754" t="s">
        <v>5931</v>
      </c>
      <c r="H13956" s="995">
        <v>-0.3805</v>
      </c>
      <c r="K13956" t="s">
        <v>5926</v>
      </c>
      <c r="L13956" t="s">
        <v>690</v>
      </c>
      <c r="P13956" t="s">
        <v>7649</v>
      </c>
      <c r="T13956">
        <v>46022</v>
      </c>
      <c r="V13956">
        <v>116</v>
      </c>
    </row>
    <row r="13957" spans="1:22" customFormat="1" ht="39" x14ac:dyDescent="0.25">
      <c r="A13957" t="s">
        <v>311</v>
      </c>
      <c r="E13957" s="854" t="s">
        <v>7619</v>
      </c>
      <c r="F13957" s="854"/>
      <c r="G13957" s="754" t="s">
        <v>5931</v>
      </c>
      <c r="H13957" s="995">
        <v>-5.1999999999999998E-3</v>
      </c>
      <c r="K13957" t="s">
        <v>5926</v>
      </c>
      <c r="L13957" t="s">
        <v>690</v>
      </c>
      <c r="P13957" t="s">
        <v>7650</v>
      </c>
      <c r="V13957">
        <v>98</v>
      </c>
    </row>
    <row r="13958" spans="1:22" customFormat="1" ht="39" x14ac:dyDescent="0.25">
      <c r="A13958" t="s">
        <v>311</v>
      </c>
      <c r="E13958" s="854" t="s">
        <v>7620</v>
      </c>
      <c r="F13958" s="854"/>
      <c r="G13958" s="754" t="s">
        <v>5931</v>
      </c>
      <c r="H13958" s="995">
        <v>-0.30059999999999998</v>
      </c>
      <c r="K13958" t="s">
        <v>5926</v>
      </c>
      <c r="L13958" t="s">
        <v>690</v>
      </c>
      <c r="P13958" t="s">
        <v>7651</v>
      </c>
      <c r="T13958">
        <v>46387</v>
      </c>
      <c r="V13958">
        <v>103</v>
      </c>
    </row>
    <row r="13959" spans="1:22" customFormat="1" ht="39" x14ac:dyDescent="0.25">
      <c r="A13959" t="s">
        <v>311</v>
      </c>
      <c r="E13959" s="854" t="s">
        <v>7622</v>
      </c>
      <c r="F13959" s="854"/>
      <c r="G13959" s="754" t="s">
        <v>5931</v>
      </c>
      <c r="H13959" s="995">
        <v>-7.2599999999999998E-2</v>
      </c>
      <c r="K13959" t="s">
        <v>5926</v>
      </c>
      <c r="L13959" t="s">
        <v>690</v>
      </c>
      <c r="P13959" t="s">
        <v>7652</v>
      </c>
      <c r="V13959">
        <v>104</v>
      </c>
    </row>
    <row r="13960" spans="1:22" customFormat="1" ht="39" x14ac:dyDescent="0.25">
      <c r="A13960" t="s">
        <v>311</v>
      </c>
      <c r="E13960" s="854" t="s">
        <v>7624</v>
      </c>
      <c r="F13960" s="854"/>
      <c r="G13960" s="754" t="s">
        <v>5931</v>
      </c>
      <c r="H13960" s="20">
        <v>4.3299999999999998E-2</v>
      </c>
      <c r="K13960" t="s">
        <v>5926</v>
      </c>
      <c r="L13960" t="s">
        <v>690</v>
      </c>
      <c r="P13960" t="s">
        <v>7653</v>
      </c>
      <c r="T13960">
        <v>46022</v>
      </c>
      <c r="V13960">
        <v>87</v>
      </c>
    </row>
    <row r="13961" spans="1:22" customFormat="1" ht="39" x14ac:dyDescent="0.25">
      <c r="A13961" t="s">
        <v>311</v>
      </c>
      <c r="E13961" s="854" t="s">
        <v>5989</v>
      </c>
      <c r="F13961" s="854"/>
      <c r="G13961" s="754" t="s">
        <v>5931</v>
      </c>
      <c r="H13961" s="995">
        <v>0.79090000000000005</v>
      </c>
      <c r="K13961" t="s">
        <v>5926</v>
      </c>
      <c r="L13961" t="s">
        <v>692</v>
      </c>
      <c r="P13961" t="s">
        <v>5933</v>
      </c>
      <c r="T13961">
        <v>46022</v>
      </c>
      <c r="V13961">
        <v>92</v>
      </c>
    </row>
    <row r="13962" spans="1:22" customFormat="1" ht="51.75" x14ac:dyDescent="0.25">
      <c r="A13962" t="s">
        <v>311</v>
      </c>
      <c r="E13962" s="854" t="s">
        <v>7654</v>
      </c>
      <c r="F13962" s="854"/>
      <c r="G13962" s="754" t="s">
        <v>5931</v>
      </c>
      <c r="H13962" s="995">
        <v>0.2399</v>
      </c>
      <c r="K13962" t="s">
        <v>5926</v>
      </c>
      <c r="L13962" t="s">
        <v>692</v>
      </c>
      <c r="P13962" t="s">
        <v>5933</v>
      </c>
      <c r="T13962">
        <v>46022</v>
      </c>
      <c r="V13962">
        <v>130</v>
      </c>
    </row>
    <row r="13963" spans="1:22" customFormat="1" ht="51.75" x14ac:dyDescent="0.25">
      <c r="A13963" t="s">
        <v>311</v>
      </c>
      <c r="E13963" s="854" t="s">
        <v>7625</v>
      </c>
      <c r="F13963" s="854"/>
      <c r="G13963" s="754" t="s">
        <v>5931</v>
      </c>
      <c r="H13963" s="995">
        <v>6.5500000000000003E-2</v>
      </c>
      <c r="K13963" t="s">
        <v>5926</v>
      </c>
      <c r="L13963" t="s">
        <v>692</v>
      </c>
      <c r="P13963" t="s">
        <v>5934</v>
      </c>
      <c r="T13963">
        <v>46022</v>
      </c>
      <c r="V13963">
        <v>137</v>
      </c>
    </row>
    <row r="13964" spans="1:22" customFormat="1" ht="51.75" x14ac:dyDescent="0.25">
      <c r="A13964" t="s">
        <v>311</v>
      </c>
      <c r="E13964" s="854" t="s">
        <v>7626</v>
      </c>
      <c r="F13964" s="854"/>
      <c r="G13964" s="754" t="s">
        <v>845</v>
      </c>
      <c r="H13964" s="995">
        <v>1.24E-3</v>
      </c>
      <c r="K13964" t="s">
        <v>5926</v>
      </c>
      <c r="L13964" t="s">
        <v>692</v>
      </c>
      <c r="P13964" t="s">
        <v>7655</v>
      </c>
      <c r="T13964">
        <v>46022</v>
      </c>
      <c r="V13964">
        <v>131</v>
      </c>
    </row>
    <row r="13965" spans="1:22" customFormat="1" ht="26.25" x14ac:dyDescent="0.25">
      <c r="A13965" t="s">
        <v>311</v>
      </c>
      <c r="E13965" s="854" t="s">
        <v>243</v>
      </c>
      <c r="F13965" s="854"/>
      <c r="G13965" s="754" t="s">
        <v>3775</v>
      </c>
      <c r="H13965" s="995">
        <v>4.6086999999999998</v>
      </c>
      <c r="K13965" t="s">
        <v>5926</v>
      </c>
      <c r="L13965" t="s">
        <v>694</v>
      </c>
      <c r="P13965" t="s">
        <v>5935</v>
      </c>
      <c r="V13965">
        <v>47</v>
      </c>
    </row>
    <row r="13966" spans="1:22" customFormat="1" ht="26.25" x14ac:dyDescent="0.25">
      <c r="A13966" t="s">
        <v>311</v>
      </c>
      <c r="E13966" s="854" t="s">
        <v>175</v>
      </c>
      <c r="F13966" s="854"/>
      <c r="G13966" s="754" t="s">
        <v>3775</v>
      </c>
      <c r="H13966" s="995">
        <v>3.1008</v>
      </c>
      <c r="K13966" t="s">
        <v>5926</v>
      </c>
      <c r="L13966" t="s">
        <v>694</v>
      </c>
      <c r="P13966" t="s">
        <v>5936</v>
      </c>
      <c r="V13966">
        <v>74</v>
      </c>
    </row>
    <row r="13967" spans="1:22" customFormat="1" ht="30" x14ac:dyDescent="0.25">
      <c r="A13967" t="s">
        <v>311</v>
      </c>
      <c r="E13967" s="944" t="s">
        <v>967</v>
      </c>
      <c r="F13967" s="944"/>
      <c r="G13967" s="848"/>
      <c r="H13967" s="848"/>
      <c r="K13967" t="s">
        <v>1019</v>
      </c>
      <c r="V13967">
        <v>48</v>
      </c>
    </row>
    <row r="13968" spans="1:22" customFormat="1" ht="26.25" x14ac:dyDescent="0.25">
      <c r="A13968" t="s">
        <v>311</v>
      </c>
      <c r="E13968" s="854" t="s">
        <v>844</v>
      </c>
      <c r="F13968" s="854"/>
      <c r="G13968" s="754" t="s">
        <v>845</v>
      </c>
      <c r="H13968" s="870">
        <v>4.1000000000000003E-3</v>
      </c>
      <c r="K13968" t="s">
        <v>5926</v>
      </c>
      <c r="L13968" t="s">
        <v>968</v>
      </c>
      <c r="P13968" t="s">
        <v>5937</v>
      </c>
      <c r="V13968">
        <v>55</v>
      </c>
    </row>
    <row r="13969" spans="1:22" customFormat="1" ht="26.25" x14ac:dyDescent="0.25">
      <c r="A13969" t="s">
        <v>311</v>
      </c>
      <c r="E13969" s="854" t="s">
        <v>846</v>
      </c>
      <c r="F13969" s="854"/>
      <c r="G13969" s="754" t="s">
        <v>845</v>
      </c>
      <c r="H13969" s="870">
        <v>4.0000000000000002E-4</v>
      </c>
      <c r="K13969" t="s">
        <v>5926</v>
      </c>
      <c r="L13969" t="s">
        <v>968</v>
      </c>
      <c r="P13969" t="s">
        <v>5937</v>
      </c>
      <c r="V13969">
        <v>65</v>
      </c>
    </row>
    <row r="13970" spans="1:22" customFormat="1" ht="26.25" x14ac:dyDescent="0.25">
      <c r="A13970" t="s">
        <v>311</v>
      </c>
      <c r="E13970" s="854" t="s">
        <v>847</v>
      </c>
      <c r="F13970" s="854"/>
      <c r="G13970" s="754" t="s">
        <v>845</v>
      </c>
      <c r="H13970" s="870">
        <v>1.4E-3</v>
      </c>
      <c r="K13970" t="s">
        <v>5926</v>
      </c>
      <c r="L13970" t="s">
        <v>968</v>
      </c>
      <c r="P13970" t="s">
        <v>5938</v>
      </c>
      <c r="V13970">
        <v>57</v>
      </c>
    </row>
    <row r="13971" spans="1:22" customFormat="1" ht="26.25" x14ac:dyDescent="0.25">
      <c r="A13971" t="s">
        <v>311</v>
      </c>
      <c r="E13971" s="854" t="s">
        <v>848</v>
      </c>
      <c r="F13971" s="854"/>
      <c r="G13971" s="754" t="s">
        <v>777</v>
      </c>
      <c r="H13971" s="870">
        <v>0.25</v>
      </c>
      <c r="K13971" t="s">
        <v>5926</v>
      </c>
      <c r="L13971" t="s">
        <v>968</v>
      </c>
      <c r="P13971" t="s">
        <v>5939</v>
      </c>
      <c r="V13971">
        <v>63</v>
      </c>
    </row>
    <row r="13972" spans="1:22" customFormat="1" x14ac:dyDescent="0.25">
      <c r="A13972" t="s">
        <v>311</v>
      </c>
      <c r="E13972" s="1499" t="s">
        <v>1008</v>
      </c>
      <c r="F13972" s="1499"/>
      <c r="G13972" s="1499"/>
      <c r="H13972" s="1499"/>
      <c r="K13972" t="s">
        <v>5940</v>
      </c>
      <c r="V13972">
        <v>56</v>
      </c>
    </row>
    <row r="13973" spans="1:22" customFormat="1" ht="15" x14ac:dyDescent="0.25">
      <c r="A13973" t="s">
        <v>311</v>
      </c>
      <c r="E13973" s="1497" t="s">
        <v>5941</v>
      </c>
      <c r="F13973" s="1497"/>
      <c r="G13973" s="1497"/>
      <c r="H13973" s="1497"/>
      <c r="K13973" t="s">
        <v>5940</v>
      </c>
      <c r="V13973">
        <v>543</v>
      </c>
    </row>
    <row r="13974" spans="1:22" customFormat="1" ht="15" x14ac:dyDescent="0.25">
      <c r="A13974" t="s">
        <v>311</v>
      </c>
      <c r="E13974" s="1501" t="s">
        <v>950</v>
      </c>
      <c r="F13974" s="1501"/>
      <c r="G13974" s="1502"/>
      <c r="H13974" s="1502"/>
      <c r="K13974" t="s">
        <v>1025</v>
      </c>
      <c r="V13974">
        <v>11</v>
      </c>
    </row>
    <row r="13975" spans="1:22" customFormat="1" ht="15" x14ac:dyDescent="0.25">
      <c r="A13975" t="s">
        <v>311</v>
      </c>
      <c r="E13975" s="1497" t="s">
        <v>951</v>
      </c>
      <c r="F13975" s="1497"/>
      <c r="G13975" s="1497"/>
      <c r="H13975" s="1497"/>
      <c r="K13975" t="s">
        <v>5940</v>
      </c>
      <c r="V13975">
        <v>280</v>
      </c>
    </row>
    <row r="13976" spans="1:22" customFormat="1" ht="15" x14ac:dyDescent="0.25">
      <c r="A13976" t="s">
        <v>311</v>
      </c>
      <c r="E13976" s="1497" t="s">
        <v>952</v>
      </c>
      <c r="F13976" s="1497"/>
      <c r="G13976" s="1497"/>
      <c r="H13976" s="1497"/>
      <c r="K13976" t="s">
        <v>5940</v>
      </c>
      <c r="V13976">
        <v>411</v>
      </c>
    </row>
    <row r="13977" spans="1:22" customFormat="1" ht="15" x14ac:dyDescent="0.25">
      <c r="A13977" t="s">
        <v>311</v>
      </c>
      <c r="E13977" s="1497" t="s">
        <v>3761</v>
      </c>
      <c r="F13977" s="1497"/>
      <c r="G13977" s="1497"/>
      <c r="H13977" s="1497"/>
      <c r="K13977" t="s">
        <v>5940</v>
      </c>
      <c r="V13977">
        <v>387</v>
      </c>
    </row>
    <row r="13978" spans="1:22" customFormat="1" ht="15" x14ac:dyDescent="0.25">
      <c r="A13978" t="s">
        <v>311</v>
      </c>
      <c r="E13978" s="1497" t="s">
        <v>5928</v>
      </c>
      <c r="F13978" s="1497"/>
      <c r="G13978" s="1497"/>
      <c r="H13978" s="1497"/>
      <c r="K13978" t="s">
        <v>5940</v>
      </c>
      <c r="V13978">
        <v>610</v>
      </c>
    </row>
    <row r="13979" spans="1:22" customFormat="1" ht="15" x14ac:dyDescent="0.25">
      <c r="A13979" t="s">
        <v>311</v>
      </c>
      <c r="E13979" s="1497" t="s">
        <v>5929</v>
      </c>
      <c r="F13979" s="1497"/>
      <c r="G13979" s="1497"/>
      <c r="H13979" s="1497"/>
      <c r="K13979" t="s">
        <v>5940</v>
      </c>
      <c r="V13979">
        <v>636</v>
      </c>
    </row>
    <row r="13980" spans="1:22" customFormat="1" ht="15" x14ac:dyDescent="0.25">
      <c r="A13980" t="s">
        <v>311</v>
      </c>
      <c r="E13980" s="1497" t="s">
        <v>954</v>
      </c>
      <c r="F13980" s="1497"/>
      <c r="G13980" s="1497"/>
      <c r="H13980" s="1497"/>
      <c r="K13980" t="s">
        <v>5940</v>
      </c>
      <c r="V13980">
        <v>246</v>
      </c>
    </row>
    <row r="13981" spans="1:22" customFormat="1" ht="15" x14ac:dyDescent="0.25">
      <c r="A13981" t="s">
        <v>311</v>
      </c>
      <c r="E13981" s="1503" t="s">
        <v>956</v>
      </c>
      <c r="F13981" s="1503"/>
      <c r="G13981" s="1504"/>
      <c r="H13981" s="1504"/>
      <c r="K13981" t="s">
        <v>1026</v>
      </c>
      <c r="V13981">
        <v>46</v>
      </c>
    </row>
    <row r="13982" spans="1:22" customFormat="1" ht="15" x14ac:dyDescent="0.25">
      <c r="A13982" t="s">
        <v>311</v>
      </c>
      <c r="E13982" s="854" t="s">
        <v>3773</v>
      </c>
      <c r="F13982" s="854"/>
      <c r="G13982" s="754" t="s">
        <v>777</v>
      </c>
      <c r="H13982" s="995">
        <v>1094.1500000000001</v>
      </c>
      <c r="K13982" t="s">
        <v>5940</v>
      </c>
      <c r="L13982" t="s">
        <v>690</v>
      </c>
      <c r="P13982" t="s">
        <v>5942</v>
      </c>
      <c r="V13982">
        <v>14</v>
      </c>
    </row>
    <row r="13983" spans="1:22" customFormat="1" ht="15" x14ac:dyDescent="0.25">
      <c r="A13983" t="s">
        <v>311</v>
      </c>
      <c r="E13983" s="854" t="s">
        <v>3688</v>
      </c>
      <c r="F13983" s="854"/>
      <c r="G13983" s="754" t="s">
        <v>5931</v>
      </c>
      <c r="H13983" s="995">
        <v>8.3927999999999994</v>
      </c>
      <c r="K13983" t="s">
        <v>5940</v>
      </c>
      <c r="L13983" t="s">
        <v>690</v>
      </c>
      <c r="P13983" t="s">
        <v>5943</v>
      </c>
      <c r="V13983">
        <v>28</v>
      </c>
    </row>
    <row r="13984" spans="1:22" customFormat="1" ht="39" x14ac:dyDescent="0.25">
      <c r="A13984" t="s">
        <v>311</v>
      </c>
      <c r="E13984" s="854" t="s">
        <v>7612</v>
      </c>
      <c r="F13984" s="854"/>
      <c r="G13984" s="754" t="s">
        <v>5931</v>
      </c>
      <c r="H13984" s="995">
        <v>4.7000000000000002E-3</v>
      </c>
      <c r="K13984" t="s">
        <v>5940</v>
      </c>
      <c r="L13984" t="s">
        <v>690</v>
      </c>
      <c r="P13984" t="s">
        <v>7656</v>
      </c>
      <c r="V13984">
        <v>98</v>
      </c>
    </row>
    <row r="13985" spans="1:22" customFormat="1" ht="26.25" x14ac:dyDescent="0.25">
      <c r="A13985" t="s">
        <v>311</v>
      </c>
      <c r="E13985" s="854" t="s">
        <v>7614</v>
      </c>
      <c r="F13985" s="854"/>
      <c r="G13985" s="754" t="s">
        <v>5931</v>
      </c>
      <c r="H13985" s="995">
        <v>-1.6899999999999998E-2</v>
      </c>
      <c r="K13985" t="s">
        <v>5940</v>
      </c>
      <c r="L13985" t="s">
        <v>690</v>
      </c>
      <c r="P13985" t="s">
        <v>7657</v>
      </c>
      <c r="T13985">
        <v>46022</v>
      </c>
      <c r="V13985">
        <v>87</v>
      </c>
    </row>
    <row r="13986" spans="1:22" customFormat="1" ht="39" x14ac:dyDescent="0.25">
      <c r="A13986" t="s">
        <v>311</v>
      </c>
      <c r="E13986" s="854" t="s">
        <v>7646</v>
      </c>
      <c r="F13986" s="854"/>
      <c r="G13986" s="754" t="s">
        <v>5931</v>
      </c>
      <c r="H13986" s="995">
        <v>-4.0300000000000002E-2</v>
      </c>
      <c r="K13986" t="s">
        <v>5940</v>
      </c>
      <c r="P13986" t="s">
        <v>7658</v>
      </c>
      <c r="V13986">
        <v>91</v>
      </c>
    </row>
    <row r="13987" spans="1:22" customFormat="1" ht="39" x14ac:dyDescent="0.25">
      <c r="A13987" t="s">
        <v>311</v>
      </c>
      <c r="E13987" s="854" t="s">
        <v>7616</v>
      </c>
      <c r="F13987" s="854"/>
      <c r="G13987" s="754" t="s">
        <v>5931</v>
      </c>
      <c r="H13987" s="995">
        <v>-0.1191</v>
      </c>
      <c r="K13987" t="s">
        <v>5940</v>
      </c>
      <c r="L13987" t="s">
        <v>690</v>
      </c>
      <c r="P13987" t="s">
        <v>7659</v>
      </c>
      <c r="T13987">
        <v>46022</v>
      </c>
      <c r="V13987">
        <v>87</v>
      </c>
    </row>
    <row r="13988" spans="1:22" customFormat="1" ht="39" x14ac:dyDescent="0.25">
      <c r="A13988" t="s">
        <v>311</v>
      </c>
      <c r="E13988" s="854" t="s">
        <v>7617</v>
      </c>
      <c r="F13988" s="854"/>
      <c r="G13988" s="754" t="s">
        <v>5931</v>
      </c>
      <c r="H13988" s="995">
        <v>-0.3251</v>
      </c>
      <c r="K13988" t="s">
        <v>5940</v>
      </c>
      <c r="L13988" t="s">
        <v>690</v>
      </c>
      <c r="P13988" t="s">
        <v>7660</v>
      </c>
      <c r="T13988">
        <v>46022</v>
      </c>
      <c r="V13988">
        <v>116</v>
      </c>
    </row>
    <row r="13989" spans="1:22" customFormat="1" ht="39" x14ac:dyDescent="0.25">
      <c r="A13989" t="s">
        <v>311</v>
      </c>
      <c r="E13989" s="854" t="s">
        <v>7619</v>
      </c>
      <c r="F13989" s="854"/>
      <c r="G13989" s="754" t="s">
        <v>5931</v>
      </c>
      <c r="H13989" s="995">
        <v>-3.8999999999999998E-3</v>
      </c>
      <c r="K13989" t="s">
        <v>5940</v>
      </c>
      <c r="L13989" t="s">
        <v>690</v>
      </c>
      <c r="P13989" t="s">
        <v>7661</v>
      </c>
      <c r="V13989">
        <v>98</v>
      </c>
    </row>
    <row r="13990" spans="1:22" customFormat="1" ht="39" x14ac:dyDescent="0.25">
      <c r="A13990" t="s">
        <v>311</v>
      </c>
      <c r="E13990" s="854" t="s">
        <v>7620</v>
      </c>
      <c r="F13990" s="854"/>
      <c r="G13990" s="754" t="s">
        <v>5931</v>
      </c>
      <c r="H13990" s="995">
        <v>-0.25679999999999997</v>
      </c>
      <c r="K13990" t="s">
        <v>5940</v>
      </c>
      <c r="L13990" t="s">
        <v>690</v>
      </c>
      <c r="P13990" t="s">
        <v>7662</v>
      </c>
      <c r="T13990">
        <v>46387</v>
      </c>
      <c r="V13990">
        <v>103</v>
      </c>
    </row>
    <row r="13991" spans="1:22" customFormat="1" ht="39" x14ac:dyDescent="0.25">
      <c r="A13991" t="s">
        <v>311</v>
      </c>
      <c r="E13991" s="854" t="s">
        <v>7622</v>
      </c>
      <c r="F13991" s="854"/>
      <c r="G13991" s="754" t="s">
        <v>5931</v>
      </c>
      <c r="H13991" s="995">
        <v>-6.2100000000000002E-2</v>
      </c>
      <c r="K13991" t="s">
        <v>5940</v>
      </c>
      <c r="L13991" t="s">
        <v>690</v>
      </c>
      <c r="P13991" t="s">
        <v>7663</v>
      </c>
      <c r="V13991">
        <v>104</v>
      </c>
    </row>
    <row r="13992" spans="1:22" customFormat="1" ht="39" x14ac:dyDescent="0.25">
      <c r="A13992" t="s">
        <v>311</v>
      </c>
      <c r="E13992" s="854" t="s">
        <v>7624</v>
      </c>
      <c r="F13992" s="854"/>
      <c r="G13992" s="754" t="s">
        <v>5931</v>
      </c>
      <c r="H13992" s="20">
        <v>3.6999999999999998E-2</v>
      </c>
      <c r="K13992" t="s">
        <v>5940</v>
      </c>
      <c r="L13992" t="s">
        <v>690</v>
      </c>
      <c r="P13992" t="s">
        <v>7664</v>
      </c>
      <c r="T13992">
        <v>46022</v>
      </c>
      <c r="V13992">
        <v>87</v>
      </c>
    </row>
    <row r="13993" spans="1:22" customFormat="1" ht="39" x14ac:dyDescent="0.25">
      <c r="A13993" t="s">
        <v>311</v>
      </c>
      <c r="E13993" s="996" t="s">
        <v>5989</v>
      </c>
      <c r="F13993" s="996"/>
      <c r="G13993" s="754" t="s">
        <v>5931</v>
      </c>
      <c r="H13993" s="995">
        <v>0.89490000000000003</v>
      </c>
      <c r="K13993" t="s">
        <v>5940</v>
      </c>
      <c r="L13993" t="s">
        <v>692</v>
      </c>
      <c r="P13993" t="s">
        <v>5944</v>
      </c>
      <c r="T13993">
        <v>46022</v>
      </c>
      <c r="V13993">
        <v>92</v>
      </c>
    </row>
    <row r="13994" spans="1:22" customFormat="1" ht="51.75" x14ac:dyDescent="0.25">
      <c r="A13994" t="s">
        <v>311</v>
      </c>
      <c r="E13994" s="996" t="s">
        <v>7654</v>
      </c>
      <c r="F13994" s="996"/>
      <c r="G13994" s="754" t="s">
        <v>5931</v>
      </c>
      <c r="H13994" s="995">
        <v>0.27179999999999999</v>
      </c>
      <c r="K13994" t="s">
        <v>5940</v>
      </c>
      <c r="L13994" t="s">
        <v>692</v>
      </c>
      <c r="P13994" t="s">
        <v>5944</v>
      </c>
      <c r="T13994">
        <v>46022</v>
      </c>
      <c r="V13994">
        <v>130</v>
      </c>
    </row>
    <row r="13995" spans="1:22" customFormat="1" ht="51.75" x14ac:dyDescent="0.25">
      <c r="A13995" t="s">
        <v>311</v>
      </c>
      <c r="E13995" s="996" t="s">
        <v>7625</v>
      </c>
      <c r="F13995" s="996"/>
      <c r="G13995" s="754" t="s">
        <v>5931</v>
      </c>
      <c r="H13995" s="995">
        <v>8.3500000000000005E-2</v>
      </c>
      <c r="K13995" t="s">
        <v>5940</v>
      </c>
      <c r="L13995" t="s">
        <v>692</v>
      </c>
      <c r="P13995" t="s">
        <v>5945</v>
      </c>
      <c r="T13995">
        <v>46022</v>
      </c>
      <c r="V13995">
        <v>137</v>
      </c>
    </row>
    <row r="13996" spans="1:22" customFormat="1" ht="51.75" x14ac:dyDescent="0.25">
      <c r="A13996" t="s">
        <v>311</v>
      </c>
      <c r="E13996" s="996" t="s">
        <v>7626</v>
      </c>
      <c r="F13996" s="996"/>
      <c r="G13996" s="754" t="s">
        <v>845</v>
      </c>
      <c r="H13996" s="995">
        <v>1.24E-3</v>
      </c>
      <c r="K13996" t="s">
        <v>5940</v>
      </c>
      <c r="L13996" t="s">
        <v>692</v>
      </c>
      <c r="P13996" t="s">
        <v>7665</v>
      </c>
      <c r="T13996">
        <v>46022</v>
      </c>
      <c r="V13996">
        <v>131</v>
      </c>
    </row>
    <row r="13997" spans="1:22" customFormat="1" ht="26.25" x14ac:dyDescent="0.25">
      <c r="A13997" t="s">
        <v>311</v>
      </c>
      <c r="E13997" s="854" t="s">
        <v>243</v>
      </c>
      <c r="F13997" s="854"/>
      <c r="G13997" s="754" t="s">
        <v>3775</v>
      </c>
      <c r="H13997" s="755">
        <v>4.4528999999999996</v>
      </c>
      <c r="K13997" t="s">
        <v>5940</v>
      </c>
      <c r="L13997" t="s">
        <v>694</v>
      </c>
      <c r="P13997" t="s">
        <v>5946</v>
      </c>
      <c r="V13997">
        <v>47</v>
      </c>
    </row>
    <row r="13998" spans="1:22" customFormat="1" ht="26.25" x14ac:dyDescent="0.25">
      <c r="A13998" t="s">
        <v>311</v>
      </c>
      <c r="E13998" s="854" t="s">
        <v>175</v>
      </c>
      <c r="F13998" s="854"/>
      <c r="G13998" s="754" t="s">
        <v>3775</v>
      </c>
      <c r="H13998" s="755">
        <v>3.0975999999999999</v>
      </c>
      <c r="K13998" t="s">
        <v>5940</v>
      </c>
      <c r="L13998" t="s">
        <v>694</v>
      </c>
      <c r="P13998" t="s">
        <v>5947</v>
      </c>
      <c r="V13998">
        <v>74</v>
      </c>
    </row>
    <row r="13999" spans="1:22" customFormat="1" ht="30" x14ac:dyDescent="0.25">
      <c r="A13999" t="s">
        <v>311</v>
      </c>
      <c r="E13999" s="944" t="s">
        <v>967</v>
      </c>
      <c r="F13999" s="944"/>
      <c r="G13999" s="848"/>
      <c r="H13999" s="848"/>
      <c r="K13999" t="s">
        <v>1035</v>
      </c>
      <c r="V13999">
        <v>48</v>
      </c>
    </row>
    <row r="14000" spans="1:22" customFormat="1" ht="26.25" x14ac:dyDescent="0.25">
      <c r="A14000" t="s">
        <v>311</v>
      </c>
      <c r="E14000" s="854" t="s">
        <v>844</v>
      </c>
      <c r="F14000" s="854"/>
      <c r="G14000" s="754" t="s">
        <v>845</v>
      </c>
      <c r="H14000" s="870">
        <v>4.1000000000000003E-3</v>
      </c>
      <c r="K14000" t="s">
        <v>5940</v>
      </c>
      <c r="L14000" t="s">
        <v>968</v>
      </c>
      <c r="P14000" t="s">
        <v>5948</v>
      </c>
      <c r="V14000">
        <v>55</v>
      </c>
    </row>
    <row r="14001" spans="1:22" customFormat="1" ht="26.25" x14ac:dyDescent="0.25">
      <c r="A14001" t="s">
        <v>311</v>
      </c>
      <c r="E14001" s="854" t="s">
        <v>846</v>
      </c>
      <c r="F14001" s="854"/>
      <c r="G14001" s="754" t="s">
        <v>845</v>
      </c>
      <c r="H14001" s="870">
        <v>4.0000000000000002E-4</v>
      </c>
      <c r="K14001" t="s">
        <v>5940</v>
      </c>
      <c r="L14001" t="s">
        <v>968</v>
      </c>
      <c r="P14001" t="s">
        <v>5948</v>
      </c>
      <c r="V14001">
        <v>65</v>
      </c>
    </row>
    <row r="14002" spans="1:22" customFormat="1" ht="26.25" x14ac:dyDescent="0.25">
      <c r="A14002" t="s">
        <v>311</v>
      </c>
      <c r="E14002" s="854" t="s">
        <v>847</v>
      </c>
      <c r="F14002" s="854"/>
      <c r="G14002" s="754" t="s">
        <v>845</v>
      </c>
      <c r="H14002" s="870">
        <v>1.4E-3</v>
      </c>
      <c r="K14002" t="s">
        <v>5940</v>
      </c>
      <c r="L14002" t="s">
        <v>968</v>
      </c>
      <c r="P14002" t="s">
        <v>5949</v>
      </c>
      <c r="V14002">
        <v>57</v>
      </c>
    </row>
    <row r="14003" spans="1:22" customFormat="1" ht="26.25" x14ac:dyDescent="0.25">
      <c r="A14003" t="s">
        <v>311</v>
      </c>
      <c r="E14003" s="854" t="s">
        <v>848</v>
      </c>
      <c r="F14003" s="854"/>
      <c r="G14003" s="754" t="s">
        <v>777</v>
      </c>
      <c r="H14003" s="870">
        <v>0.25</v>
      </c>
      <c r="K14003" t="s">
        <v>5940</v>
      </c>
      <c r="L14003" t="s">
        <v>968</v>
      </c>
      <c r="P14003" t="s">
        <v>5950</v>
      </c>
      <c r="V14003">
        <v>63</v>
      </c>
    </row>
    <row r="14004" spans="1:22" customFormat="1" x14ac:dyDescent="0.25">
      <c r="A14004" t="s">
        <v>311</v>
      </c>
      <c r="E14004" s="1499" t="s">
        <v>189</v>
      </c>
      <c r="F14004" s="1499"/>
      <c r="G14004" s="1500"/>
      <c r="H14004" s="1500"/>
      <c r="K14004" t="s">
        <v>4761</v>
      </c>
      <c r="V14004">
        <v>32</v>
      </c>
    </row>
    <row r="14005" spans="1:22" customFormat="1" ht="15" x14ac:dyDescent="0.25">
      <c r="A14005" t="s">
        <v>311</v>
      </c>
      <c r="E14005" s="1497" t="s">
        <v>4235</v>
      </c>
      <c r="F14005" s="1497"/>
      <c r="G14005" s="1497"/>
      <c r="H14005" s="1497"/>
      <c r="K14005" t="s">
        <v>4761</v>
      </c>
      <c r="V14005">
        <v>352</v>
      </c>
    </row>
    <row r="14006" spans="1:22" customFormat="1" ht="15" x14ac:dyDescent="0.25">
      <c r="A14006" t="s">
        <v>311</v>
      </c>
      <c r="E14006" s="1501" t="s">
        <v>950</v>
      </c>
      <c r="F14006" s="1501"/>
      <c r="G14006" s="1502"/>
      <c r="H14006" s="1502"/>
      <c r="K14006" t="s">
        <v>1041</v>
      </c>
      <c r="V14006">
        <v>11</v>
      </c>
    </row>
    <row r="14007" spans="1:22" customFormat="1" ht="15" x14ac:dyDescent="0.25">
      <c r="A14007" t="s">
        <v>311</v>
      </c>
      <c r="E14007" s="1497" t="s">
        <v>951</v>
      </c>
      <c r="F14007" s="1497"/>
      <c r="G14007" s="1497"/>
      <c r="H14007" s="1497"/>
      <c r="K14007" t="s">
        <v>4761</v>
      </c>
      <c r="V14007">
        <v>280</v>
      </c>
    </row>
    <row r="14008" spans="1:22" customFormat="1" ht="15" x14ac:dyDescent="0.25">
      <c r="A14008" t="s">
        <v>311</v>
      </c>
      <c r="E14008" s="1497" t="s">
        <v>952</v>
      </c>
      <c r="F14008" s="1497"/>
      <c r="G14008" s="1497"/>
      <c r="H14008" s="1497"/>
      <c r="K14008" t="s">
        <v>4761</v>
      </c>
      <c r="V14008">
        <v>411</v>
      </c>
    </row>
    <row r="14009" spans="1:22" customFormat="1" ht="15" x14ac:dyDescent="0.25">
      <c r="A14009" t="s">
        <v>311</v>
      </c>
      <c r="E14009" s="1497" t="s">
        <v>3761</v>
      </c>
      <c r="F14009" s="1497"/>
      <c r="G14009" s="1497"/>
      <c r="H14009" s="1497"/>
      <c r="K14009" t="s">
        <v>4761</v>
      </c>
      <c r="V14009">
        <v>387</v>
      </c>
    </row>
    <row r="14010" spans="1:22" customFormat="1" ht="15" x14ac:dyDescent="0.25">
      <c r="A14010" t="s">
        <v>311</v>
      </c>
      <c r="E14010" s="1497" t="s">
        <v>5928</v>
      </c>
      <c r="F14010" s="1497"/>
      <c r="G14010" s="1497"/>
      <c r="H14010" s="1497"/>
      <c r="K14010" t="s">
        <v>4761</v>
      </c>
      <c r="V14010">
        <v>610</v>
      </c>
    </row>
    <row r="14011" spans="1:22" customFormat="1" ht="15" x14ac:dyDescent="0.25">
      <c r="A14011" t="s">
        <v>311</v>
      </c>
      <c r="E14011" s="1497" t="s">
        <v>5929</v>
      </c>
      <c r="F14011" s="1497"/>
      <c r="G14011" s="1497"/>
      <c r="H14011" s="1497"/>
      <c r="K14011" t="s">
        <v>4761</v>
      </c>
      <c r="V14011">
        <v>636</v>
      </c>
    </row>
    <row r="14012" spans="1:22" customFormat="1" ht="15" x14ac:dyDescent="0.25">
      <c r="A14012" t="s">
        <v>311</v>
      </c>
      <c r="E14012" s="1497" t="s">
        <v>954</v>
      </c>
      <c r="F14012" s="1497"/>
      <c r="G14012" s="1497"/>
      <c r="H14012" s="1497"/>
      <c r="K14012" t="s">
        <v>4761</v>
      </c>
      <c r="V14012">
        <v>246</v>
      </c>
    </row>
    <row r="14013" spans="1:22" customFormat="1" ht="15" x14ac:dyDescent="0.25">
      <c r="A14013" t="s">
        <v>311</v>
      </c>
      <c r="E14013" s="1503" t="s">
        <v>956</v>
      </c>
      <c r="F14013" s="1503"/>
      <c r="G14013" s="1504"/>
      <c r="H14013" s="1504"/>
      <c r="K14013" t="s">
        <v>1042</v>
      </c>
      <c r="V14013">
        <v>46</v>
      </c>
    </row>
    <row r="14014" spans="1:22" customFormat="1" ht="15" x14ac:dyDescent="0.25">
      <c r="A14014" t="s">
        <v>311</v>
      </c>
      <c r="E14014" s="854" t="s">
        <v>3773</v>
      </c>
      <c r="F14014" s="854"/>
      <c r="G14014" s="754" t="s">
        <v>777</v>
      </c>
      <c r="H14014" s="995">
        <v>4843.5200000000004</v>
      </c>
      <c r="K14014" t="s">
        <v>4761</v>
      </c>
      <c r="L14014" t="s">
        <v>690</v>
      </c>
      <c r="P14014" t="s">
        <v>4763</v>
      </c>
      <c r="V14014">
        <v>14</v>
      </c>
    </row>
    <row r="14015" spans="1:22" customFormat="1" ht="15" x14ac:dyDescent="0.25">
      <c r="A14015" t="s">
        <v>311</v>
      </c>
      <c r="E14015" s="854" t="s">
        <v>3688</v>
      </c>
      <c r="F14015" s="854"/>
      <c r="G14015" s="754" t="s">
        <v>5931</v>
      </c>
      <c r="H14015" s="995">
        <v>9.0792999999999999</v>
      </c>
      <c r="K14015" t="s">
        <v>4761</v>
      </c>
      <c r="L14015" t="s">
        <v>690</v>
      </c>
      <c r="P14015" t="s">
        <v>4764</v>
      </c>
      <c r="V14015">
        <v>28</v>
      </c>
    </row>
    <row r="14016" spans="1:22" customFormat="1" ht="39" x14ac:dyDescent="0.25">
      <c r="A14016" t="s">
        <v>311</v>
      </c>
      <c r="E14016" s="854" t="s">
        <v>7612</v>
      </c>
      <c r="F14016" s="854"/>
      <c r="G14016" s="754" t="s">
        <v>5931</v>
      </c>
      <c r="H14016" s="995">
        <v>3.8E-3</v>
      </c>
      <c r="K14016" t="s">
        <v>4761</v>
      </c>
      <c r="L14016" t="s">
        <v>690</v>
      </c>
      <c r="P14016" t="s">
        <v>7666</v>
      </c>
      <c r="V14016">
        <v>98</v>
      </c>
    </row>
    <row r="14017" spans="1:22" customFormat="1" ht="26.25" x14ac:dyDescent="0.25">
      <c r="A14017" t="s">
        <v>311</v>
      </c>
      <c r="E14017" s="854" t="s">
        <v>7614</v>
      </c>
      <c r="F14017" s="854"/>
      <c r="G14017" s="754" t="s">
        <v>5931</v>
      </c>
      <c r="H14017" s="995">
        <v>-1.7299999999999999E-2</v>
      </c>
      <c r="K14017" t="s">
        <v>4761</v>
      </c>
      <c r="L14017" t="s">
        <v>690</v>
      </c>
      <c r="P14017" t="s">
        <v>7667</v>
      </c>
      <c r="T14017">
        <v>46022</v>
      </c>
      <c r="V14017">
        <v>87</v>
      </c>
    </row>
    <row r="14018" spans="1:22" customFormat="1" ht="39" x14ac:dyDescent="0.25">
      <c r="A14018" t="s">
        <v>311</v>
      </c>
      <c r="E14018" s="854" t="s">
        <v>7646</v>
      </c>
      <c r="F14018" s="854"/>
      <c r="G14018" s="754" t="s">
        <v>5931</v>
      </c>
      <c r="H14018" s="995">
        <v>-4.1399999999999999E-2</v>
      </c>
      <c r="K14018" t="s">
        <v>4761</v>
      </c>
      <c r="P14018" t="s">
        <v>7668</v>
      </c>
      <c r="V14018">
        <v>91</v>
      </c>
    </row>
    <row r="14019" spans="1:22" customFormat="1" ht="39" x14ac:dyDescent="0.25">
      <c r="A14019" t="s">
        <v>311</v>
      </c>
      <c r="E14019" s="854" t="s">
        <v>7616</v>
      </c>
      <c r="F14019" s="854"/>
      <c r="G14019" s="754" t="s">
        <v>5931</v>
      </c>
      <c r="H14019" s="995">
        <v>-0.1225</v>
      </c>
      <c r="K14019" t="s">
        <v>4761</v>
      </c>
      <c r="L14019" t="s">
        <v>690</v>
      </c>
      <c r="P14019" t="s">
        <v>7669</v>
      </c>
      <c r="T14019">
        <v>46022</v>
      </c>
      <c r="V14019">
        <v>87</v>
      </c>
    </row>
    <row r="14020" spans="1:22" customFormat="1" ht="39" x14ac:dyDescent="0.25">
      <c r="A14020" t="s">
        <v>311</v>
      </c>
      <c r="E14020" s="854" t="s">
        <v>7617</v>
      </c>
      <c r="F14020" s="854"/>
      <c r="G14020" s="754" t="s">
        <v>5931</v>
      </c>
      <c r="H14020" s="995">
        <v>-0.3342</v>
      </c>
      <c r="K14020" t="s">
        <v>4761</v>
      </c>
      <c r="L14020" t="s">
        <v>690</v>
      </c>
      <c r="P14020" t="s">
        <v>7670</v>
      </c>
      <c r="T14020">
        <v>46022</v>
      </c>
      <c r="V14020">
        <v>116</v>
      </c>
    </row>
    <row r="14021" spans="1:22" customFormat="1" ht="39" x14ac:dyDescent="0.25">
      <c r="A14021" t="s">
        <v>311</v>
      </c>
      <c r="E14021" s="854" t="s">
        <v>7619</v>
      </c>
      <c r="F14021" s="854"/>
      <c r="G14021" s="754" t="s">
        <v>5931</v>
      </c>
      <c r="H14021" s="995">
        <v>-3.0999999999999999E-3</v>
      </c>
      <c r="K14021" t="s">
        <v>4761</v>
      </c>
      <c r="L14021" t="s">
        <v>690</v>
      </c>
      <c r="P14021" t="s">
        <v>7671</v>
      </c>
      <c r="V14021">
        <v>98</v>
      </c>
    </row>
    <row r="14022" spans="1:22" customFormat="1" ht="39" x14ac:dyDescent="0.25">
      <c r="A14022" t="s">
        <v>311</v>
      </c>
      <c r="E14022" s="854" t="s">
        <v>7620</v>
      </c>
      <c r="F14022" s="854"/>
      <c r="G14022" s="754" t="s">
        <v>5931</v>
      </c>
      <c r="H14022" s="995">
        <v>-0.26390000000000002</v>
      </c>
      <c r="K14022" t="s">
        <v>4761</v>
      </c>
      <c r="L14022" t="s">
        <v>690</v>
      </c>
      <c r="P14022" t="s">
        <v>7672</v>
      </c>
      <c r="T14022">
        <v>46387</v>
      </c>
      <c r="V14022">
        <v>103</v>
      </c>
    </row>
    <row r="14023" spans="1:22" customFormat="1" ht="39" x14ac:dyDescent="0.25">
      <c r="A14023" t="s">
        <v>311</v>
      </c>
      <c r="E14023" s="854" t="s">
        <v>7622</v>
      </c>
      <c r="F14023" s="854"/>
      <c r="G14023" s="754" t="s">
        <v>5931</v>
      </c>
      <c r="H14023" s="995">
        <v>-6.3799999999999996E-2</v>
      </c>
      <c r="K14023" t="s">
        <v>4761</v>
      </c>
      <c r="L14023" t="s">
        <v>690</v>
      </c>
      <c r="P14023" t="s">
        <v>7673</v>
      </c>
      <c r="V14023">
        <v>104</v>
      </c>
    </row>
    <row r="14024" spans="1:22" customFormat="1" ht="39" x14ac:dyDescent="0.25">
      <c r="A14024" t="s">
        <v>311</v>
      </c>
      <c r="E14024" s="854" t="s">
        <v>7624</v>
      </c>
      <c r="F14024" s="854"/>
      <c r="G14024" s="754" t="s">
        <v>5931</v>
      </c>
      <c r="H14024" s="20">
        <v>3.7999999999999999E-2</v>
      </c>
      <c r="K14024" t="s">
        <v>4761</v>
      </c>
      <c r="L14024" t="s">
        <v>690</v>
      </c>
      <c r="P14024" t="s">
        <v>7674</v>
      </c>
      <c r="T14024">
        <v>46022</v>
      </c>
      <c r="V14024">
        <v>87</v>
      </c>
    </row>
    <row r="14025" spans="1:22" customFormat="1" ht="39" x14ac:dyDescent="0.25">
      <c r="A14025" t="s">
        <v>311</v>
      </c>
      <c r="E14025" s="996" t="s">
        <v>5989</v>
      </c>
      <c r="F14025" s="996"/>
      <c r="G14025" s="754" t="s">
        <v>5931</v>
      </c>
      <c r="H14025" s="995">
        <v>0.87370000000000003</v>
      </c>
      <c r="K14025" t="s">
        <v>4761</v>
      </c>
      <c r="L14025" t="s">
        <v>692</v>
      </c>
      <c r="P14025" t="s">
        <v>4766</v>
      </c>
      <c r="T14025">
        <v>46022</v>
      </c>
      <c r="V14025">
        <v>92</v>
      </c>
    </row>
    <row r="14026" spans="1:22" customFormat="1" ht="51.75" x14ac:dyDescent="0.25">
      <c r="A14026" t="s">
        <v>311</v>
      </c>
      <c r="E14026" s="996" t="s">
        <v>7654</v>
      </c>
      <c r="F14026" s="996"/>
      <c r="G14026" s="754" t="s">
        <v>5931</v>
      </c>
      <c r="H14026" s="995">
        <v>0.26100000000000001</v>
      </c>
      <c r="K14026" t="s">
        <v>4761</v>
      </c>
      <c r="L14026" t="s">
        <v>692</v>
      </c>
      <c r="P14026" t="s">
        <v>4766</v>
      </c>
      <c r="T14026">
        <v>46022</v>
      </c>
      <c r="V14026">
        <v>130</v>
      </c>
    </row>
    <row r="14027" spans="1:22" customFormat="1" ht="51.75" x14ac:dyDescent="0.25">
      <c r="A14027" t="s">
        <v>311</v>
      </c>
      <c r="E14027" s="996" t="s">
        <v>7625</v>
      </c>
      <c r="F14027" s="996"/>
      <c r="G14027" s="754" t="s">
        <v>5931</v>
      </c>
      <c r="H14027" s="995">
        <v>6.4500000000000002E-2</v>
      </c>
      <c r="K14027" t="s">
        <v>4761</v>
      </c>
      <c r="L14027" t="s">
        <v>692</v>
      </c>
      <c r="P14027" t="s">
        <v>5951</v>
      </c>
      <c r="T14027">
        <v>46022</v>
      </c>
      <c r="V14027">
        <v>137</v>
      </c>
    </row>
    <row r="14028" spans="1:22" customFormat="1" ht="51.75" x14ac:dyDescent="0.25">
      <c r="A14028" t="s">
        <v>311</v>
      </c>
      <c r="E14028" s="996" t="s">
        <v>7626</v>
      </c>
      <c r="F14028" s="996"/>
      <c r="G14028" s="754" t="s">
        <v>845</v>
      </c>
      <c r="H14028" s="995">
        <v>1.24E-3</v>
      </c>
      <c r="K14028" t="s">
        <v>4761</v>
      </c>
      <c r="L14028" t="s">
        <v>692</v>
      </c>
      <c r="P14028" t="s">
        <v>7675</v>
      </c>
      <c r="T14028">
        <v>46022</v>
      </c>
      <c r="V14028">
        <v>131</v>
      </c>
    </row>
    <row r="14029" spans="1:22" customFormat="1" ht="26.25" x14ac:dyDescent="0.25">
      <c r="A14029" t="s">
        <v>311</v>
      </c>
      <c r="E14029" s="854" t="s">
        <v>243</v>
      </c>
      <c r="F14029" s="854"/>
      <c r="G14029" s="754" t="s">
        <v>3775</v>
      </c>
      <c r="H14029" s="995">
        <v>5.0759999999999996</v>
      </c>
      <c r="K14029" t="s">
        <v>4761</v>
      </c>
      <c r="L14029" t="s">
        <v>694</v>
      </c>
      <c r="P14029" t="s">
        <v>4767</v>
      </c>
      <c r="V14029">
        <v>47</v>
      </c>
    </row>
    <row r="14030" spans="1:22" customFormat="1" ht="26.25" x14ac:dyDescent="0.25">
      <c r="A14030" t="s">
        <v>311</v>
      </c>
      <c r="E14030" s="854" t="s">
        <v>175</v>
      </c>
      <c r="F14030" s="854"/>
      <c r="G14030" s="754" t="s">
        <v>3775</v>
      </c>
      <c r="H14030" s="995">
        <v>3.4415</v>
      </c>
      <c r="K14030" t="s">
        <v>4761</v>
      </c>
      <c r="L14030" t="s">
        <v>694</v>
      </c>
      <c r="P14030" t="s">
        <v>4768</v>
      </c>
      <c r="V14030">
        <v>74</v>
      </c>
    </row>
    <row r="14031" spans="1:22" customFormat="1" ht="30" x14ac:dyDescent="0.25">
      <c r="A14031" t="s">
        <v>311</v>
      </c>
      <c r="E14031" s="944" t="s">
        <v>967</v>
      </c>
      <c r="F14031" s="944"/>
      <c r="G14031" s="848"/>
      <c r="H14031" s="848"/>
      <c r="K14031" t="s">
        <v>1049</v>
      </c>
      <c r="V14031">
        <v>48</v>
      </c>
    </row>
    <row r="14032" spans="1:22" customFormat="1" ht="26.25" x14ac:dyDescent="0.25">
      <c r="A14032" t="s">
        <v>311</v>
      </c>
      <c r="E14032" s="854" t="s">
        <v>844</v>
      </c>
      <c r="F14032" s="854"/>
      <c r="G14032" s="754" t="s">
        <v>845</v>
      </c>
      <c r="H14032" s="870">
        <v>4.1000000000000003E-3</v>
      </c>
      <c r="K14032" t="s">
        <v>4761</v>
      </c>
      <c r="L14032" t="s">
        <v>968</v>
      </c>
      <c r="P14032" t="s">
        <v>4769</v>
      </c>
      <c r="V14032">
        <v>55</v>
      </c>
    </row>
    <row r="14033" spans="1:22" customFormat="1" ht="26.25" x14ac:dyDescent="0.25">
      <c r="A14033" t="s">
        <v>311</v>
      </c>
      <c r="E14033" s="854" t="s">
        <v>846</v>
      </c>
      <c r="F14033" s="854"/>
      <c r="G14033" s="754" t="s">
        <v>845</v>
      </c>
      <c r="H14033" s="870">
        <v>4.0000000000000002E-4</v>
      </c>
      <c r="K14033" t="s">
        <v>4761</v>
      </c>
      <c r="L14033" t="s">
        <v>968</v>
      </c>
      <c r="P14033" t="s">
        <v>4769</v>
      </c>
      <c r="V14033">
        <v>65</v>
      </c>
    </row>
    <row r="14034" spans="1:22" customFormat="1" ht="26.25" x14ac:dyDescent="0.25">
      <c r="A14034" t="s">
        <v>311</v>
      </c>
      <c r="E14034" s="854" t="s">
        <v>847</v>
      </c>
      <c r="F14034" s="854"/>
      <c r="G14034" s="754" t="s">
        <v>845</v>
      </c>
      <c r="H14034" s="870">
        <v>1.4E-3</v>
      </c>
      <c r="K14034" t="s">
        <v>4761</v>
      </c>
      <c r="L14034" t="s">
        <v>968</v>
      </c>
      <c r="P14034" t="s">
        <v>4770</v>
      </c>
      <c r="V14034">
        <v>57</v>
      </c>
    </row>
    <row r="14035" spans="1:22" customFormat="1" ht="26.25" x14ac:dyDescent="0.25">
      <c r="A14035" t="s">
        <v>311</v>
      </c>
      <c r="E14035" s="854" t="s">
        <v>848</v>
      </c>
      <c r="F14035" s="854"/>
      <c r="G14035" s="754" t="s">
        <v>777</v>
      </c>
      <c r="H14035" s="870">
        <v>0.25</v>
      </c>
      <c r="K14035" t="s">
        <v>4761</v>
      </c>
      <c r="L14035" t="s">
        <v>968</v>
      </c>
      <c r="P14035" t="s">
        <v>4771</v>
      </c>
      <c r="V14035">
        <v>63</v>
      </c>
    </row>
    <row r="14036" spans="1:22" customFormat="1" x14ac:dyDescent="0.25">
      <c r="A14036" t="s">
        <v>311</v>
      </c>
      <c r="E14036" s="1499" t="s">
        <v>194</v>
      </c>
      <c r="F14036" s="1499"/>
      <c r="G14036" s="1500"/>
      <c r="H14036" s="1500"/>
      <c r="K14036" t="s">
        <v>4265</v>
      </c>
      <c r="V14036">
        <v>47</v>
      </c>
    </row>
    <row r="14037" spans="1:22" customFormat="1" ht="15" x14ac:dyDescent="0.25">
      <c r="A14037" t="s">
        <v>311</v>
      </c>
      <c r="E14037" s="1497" t="s">
        <v>5952</v>
      </c>
      <c r="F14037" s="1497"/>
      <c r="G14037" s="1497"/>
      <c r="H14037" s="1497"/>
      <c r="K14037" t="s">
        <v>4265</v>
      </c>
      <c r="V14037">
        <v>729</v>
      </c>
    </row>
    <row r="14038" spans="1:22" customFormat="1" ht="15" x14ac:dyDescent="0.25">
      <c r="A14038" t="s">
        <v>311</v>
      </c>
      <c r="E14038" s="1501" t="s">
        <v>950</v>
      </c>
      <c r="F14038" s="1501"/>
      <c r="G14038" s="1502"/>
      <c r="H14038" s="1502"/>
      <c r="K14038" t="s">
        <v>1055</v>
      </c>
      <c r="V14038">
        <v>11</v>
      </c>
    </row>
    <row r="14039" spans="1:22" customFormat="1" ht="15" x14ac:dyDescent="0.25">
      <c r="A14039" t="s">
        <v>311</v>
      </c>
      <c r="E14039" s="1497" t="s">
        <v>951</v>
      </c>
      <c r="F14039" s="1497"/>
      <c r="G14039" s="1497"/>
      <c r="H14039" s="1497"/>
      <c r="K14039" t="s">
        <v>4265</v>
      </c>
      <c r="V14039">
        <v>280</v>
      </c>
    </row>
    <row r="14040" spans="1:22" customFormat="1" ht="15" x14ac:dyDescent="0.25">
      <c r="A14040" t="s">
        <v>311</v>
      </c>
      <c r="E14040" s="1497" t="s">
        <v>5953</v>
      </c>
      <c r="F14040" s="1497"/>
      <c r="G14040" s="1497"/>
      <c r="H14040" s="1497"/>
      <c r="K14040" t="s">
        <v>4265</v>
      </c>
      <c r="V14040">
        <v>412</v>
      </c>
    </row>
    <row r="14041" spans="1:22" customFormat="1" ht="15" x14ac:dyDescent="0.25">
      <c r="A14041" t="s">
        <v>311</v>
      </c>
      <c r="E14041" s="1497" t="s">
        <v>3761</v>
      </c>
      <c r="F14041" s="1497"/>
      <c r="G14041" s="1497"/>
      <c r="H14041" s="1497"/>
      <c r="K14041" t="s">
        <v>4265</v>
      </c>
      <c r="V14041">
        <v>387</v>
      </c>
    </row>
    <row r="14042" spans="1:22" customFormat="1" ht="15" x14ac:dyDescent="0.25">
      <c r="A14042" t="s">
        <v>311</v>
      </c>
      <c r="E14042" s="1497" t="s">
        <v>954</v>
      </c>
      <c r="F14042" s="1497"/>
      <c r="G14042" s="1497"/>
      <c r="H14042" s="1497"/>
      <c r="K14042" t="s">
        <v>4265</v>
      </c>
      <c r="V14042">
        <v>246</v>
      </c>
    </row>
    <row r="14043" spans="1:22" customFormat="1" ht="15" x14ac:dyDescent="0.25">
      <c r="A14043" t="s">
        <v>311</v>
      </c>
      <c r="E14043" s="1503" t="s">
        <v>956</v>
      </c>
      <c r="F14043" s="1503"/>
      <c r="G14043" s="1504"/>
      <c r="H14043" s="1504"/>
      <c r="K14043" t="s">
        <v>1056</v>
      </c>
      <c r="V14043">
        <v>46</v>
      </c>
    </row>
    <row r="14044" spans="1:22" customFormat="1" ht="15" x14ac:dyDescent="0.25">
      <c r="A14044" t="s">
        <v>311</v>
      </c>
      <c r="E14044" s="854" t="s">
        <v>3773</v>
      </c>
      <c r="F14044" s="854"/>
      <c r="G14044" s="754" t="s">
        <v>777</v>
      </c>
      <c r="H14044" s="995">
        <v>7.73</v>
      </c>
      <c r="K14044" t="s">
        <v>4265</v>
      </c>
      <c r="L14044" t="s">
        <v>690</v>
      </c>
      <c r="P14044" t="s">
        <v>4267</v>
      </c>
      <c r="V14044">
        <v>14</v>
      </c>
    </row>
    <row r="14045" spans="1:22" customFormat="1" ht="15" x14ac:dyDescent="0.25">
      <c r="A14045" t="s">
        <v>311</v>
      </c>
      <c r="E14045" s="854" t="s">
        <v>5954</v>
      </c>
      <c r="F14045" s="854"/>
      <c r="G14045" s="754" t="s">
        <v>777</v>
      </c>
      <c r="H14045" s="995">
        <v>0.8</v>
      </c>
      <c r="K14045" t="s">
        <v>4265</v>
      </c>
      <c r="L14045" t="s">
        <v>690</v>
      </c>
      <c r="P14045" t="s">
        <v>7676</v>
      </c>
      <c r="V14045">
        <v>34</v>
      </c>
    </row>
    <row r="14046" spans="1:22" customFormat="1" ht="15" x14ac:dyDescent="0.25">
      <c r="A14046" t="s">
        <v>311</v>
      </c>
      <c r="E14046" s="854" t="s">
        <v>3688</v>
      </c>
      <c r="F14046" s="854"/>
      <c r="G14046" s="754" t="s">
        <v>845</v>
      </c>
      <c r="H14046" s="20">
        <v>9.7360000000000002E-2</v>
      </c>
      <c r="K14046" t="s">
        <v>4265</v>
      </c>
      <c r="L14046" t="s">
        <v>690</v>
      </c>
      <c r="P14046" t="s">
        <v>4268</v>
      </c>
      <c r="V14046">
        <v>28</v>
      </c>
    </row>
    <row r="14047" spans="1:22" customFormat="1" ht="39" x14ac:dyDescent="0.25">
      <c r="A14047" t="s">
        <v>311</v>
      </c>
      <c r="E14047" s="854" t="s">
        <v>7612</v>
      </c>
      <c r="F14047" s="854"/>
      <c r="G14047" s="754" t="s">
        <v>845</v>
      </c>
      <c r="H14047" s="20">
        <v>6.9999999999999994E-5</v>
      </c>
      <c r="K14047" t="s">
        <v>4265</v>
      </c>
      <c r="L14047" t="s">
        <v>690</v>
      </c>
      <c r="P14047" t="s">
        <v>7677</v>
      </c>
      <c r="V14047">
        <v>98</v>
      </c>
    </row>
    <row r="14048" spans="1:22" customFormat="1" ht="26.25" x14ac:dyDescent="0.25">
      <c r="A14048" t="s">
        <v>311</v>
      </c>
      <c r="E14048" s="854" t="s">
        <v>7614</v>
      </c>
      <c r="F14048" s="854"/>
      <c r="G14048" s="754" t="s">
        <v>845</v>
      </c>
      <c r="H14048" s="20">
        <v>-2.0000000000000001E-4</v>
      </c>
      <c r="K14048" t="s">
        <v>4265</v>
      </c>
      <c r="L14048" t="s">
        <v>690</v>
      </c>
      <c r="P14048" t="s">
        <v>7678</v>
      </c>
      <c r="T14048">
        <v>46022</v>
      </c>
      <c r="V14048">
        <v>87</v>
      </c>
    </row>
    <row r="14049" spans="1:22" customFormat="1" ht="39" x14ac:dyDescent="0.25">
      <c r="A14049" t="s">
        <v>311</v>
      </c>
      <c r="E14049" s="854" t="s">
        <v>7646</v>
      </c>
      <c r="F14049" s="854"/>
      <c r="G14049" s="754" t="s">
        <v>845</v>
      </c>
      <c r="H14049" s="20">
        <v>-4.6999999999999999E-4</v>
      </c>
      <c r="K14049" t="s">
        <v>4265</v>
      </c>
      <c r="P14049" t="s">
        <v>7679</v>
      </c>
      <c r="V14049">
        <v>91</v>
      </c>
    </row>
    <row r="14050" spans="1:22" customFormat="1" ht="39" x14ac:dyDescent="0.25">
      <c r="A14050" t="s">
        <v>311</v>
      </c>
      <c r="E14050" s="854" t="s">
        <v>7616</v>
      </c>
      <c r="F14050" s="854"/>
      <c r="G14050" s="754" t="s">
        <v>845</v>
      </c>
      <c r="H14050" s="20">
        <v>-1.3799999999999999E-3</v>
      </c>
      <c r="K14050" t="s">
        <v>4265</v>
      </c>
      <c r="L14050" t="s">
        <v>690</v>
      </c>
      <c r="P14050" t="s">
        <v>7680</v>
      </c>
      <c r="T14050">
        <v>46022</v>
      </c>
      <c r="V14050">
        <v>87</v>
      </c>
    </row>
    <row r="14051" spans="1:22" customFormat="1" ht="39" x14ac:dyDescent="0.25">
      <c r="A14051" t="s">
        <v>311</v>
      </c>
      <c r="E14051" s="854" t="s">
        <v>7617</v>
      </c>
      <c r="F14051" s="854"/>
      <c r="G14051" s="754" t="s">
        <v>845</v>
      </c>
      <c r="H14051" s="20">
        <v>-3.7799999999999999E-3</v>
      </c>
      <c r="K14051" t="s">
        <v>4265</v>
      </c>
      <c r="L14051" t="s">
        <v>690</v>
      </c>
      <c r="P14051" t="s">
        <v>6674</v>
      </c>
      <c r="T14051">
        <v>46022</v>
      </c>
      <c r="V14051">
        <v>116</v>
      </c>
    </row>
    <row r="14052" spans="1:22" customFormat="1" ht="39" x14ac:dyDescent="0.25">
      <c r="A14052" t="s">
        <v>311</v>
      </c>
      <c r="E14052" s="854" t="s">
        <v>7619</v>
      </c>
      <c r="F14052" s="854"/>
      <c r="G14052" s="754" t="s">
        <v>845</v>
      </c>
      <c r="H14052" s="20">
        <v>-6.0000000000000002E-5</v>
      </c>
      <c r="K14052" t="s">
        <v>4265</v>
      </c>
      <c r="L14052" t="s">
        <v>690</v>
      </c>
      <c r="P14052" t="s">
        <v>6675</v>
      </c>
      <c r="V14052">
        <v>98</v>
      </c>
    </row>
    <row r="14053" spans="1:22" customFormat="1" ht="39" x14ac:dyDescent="0.25">
      <c r="A14053" t="s">
        <v>311</v>
      </c>
      <c r="E14053" s="854" t="s">
        <v>7620</v>
      </c>
      <c r="F14053" s="854"/>
      <c r="G14053" s="754" t="s">
        <v>845</v>
      </c>
      <c r="H14053" s="20">
        <v>-2.98E-3</v>
      </c>
      <c r="K14053" t="s">
        <v>4265</v>
      </c>
      <c r="L14053" t="s">
        <v>690</v>
      </c>
      <c r="P14053" t="s">
        <v>7681</v>
      </c>
      <c r="T14053">
        <v>46387</v>
      </c>
      <c r="V14053">
        <v>103</v>
      </c>
    </row>
    <row r="14054" spans="1:22" customFormat="1" ht="39" x14ac:dyDescent="0.25">
      <c r="A14054" t="s">
        <v>311</v>
      </c>
      <c r="E14054" s="854" t="s">
        <v>7622</v>
      </c>
      <c r="F14054" s="854"/>
      <c r="G14054" s="754" t="s">
        <v>845</v>
      </c>
      <c r="H14054" s="20">
        <v>-7.2000000000000005E-4</v>
      </c>
      <c r="K14054" t="s">
        <v>4265</v>
      </c>
      <c r="L14054" t="s">
        <v>690</v>
      </c>
      <c r="P14054" t="s">
        <v>7682</v>
      </c>
      <c r="V14054">
        <v>104</v>
      </c>
    </row>
    <row r="14055" spans="1:22" customFormat="1" ht="39" x14ac:dyDescent="0.25">
      <c r="A14055" t="s">
        <v>311</v>
      </c>
      <c r="E14055" s="854" t="s">
        <v>7624</v>
      </c>
      <c r="F14055" s="854"/>
      <c r="G14055" s="754" t="s">
        <v>845</v>
      </c>
      <c r="H14055" s="20">
        <v>4.2999999999999999E-4</v>
      </c>
      <c r="K14055" t="s">
        <v>4265</v>
      </c>
      <c r="L14055" t="s">
        <v>690</v>
      </c>
      <c r="P14055" t="s">
        <v>7683</v>
      </c>
      <c r="T14055">
        <v>46022</v>
      </c>
      <c r="V14055">
        <v>87</v>
      </c>
    </row>
    <row r="14056" spans="1:22" customFormat="1" ht="39" x14ac:dyDescent="0.25">
      <c r="A14056" t="s">
        <v>311</v>
      </c>
      <c r="E14056" s="854" t="s">
        <v>5989</v>
      </c>
      <c r="F14056" s="854"/>
      <c r="G14056" s="754" t="s">
        <v>845</v>
      </c>
      <c r="H14056" s="995">
        <v>2.5500000000000002E-3</v>
      </c>
      <c r="K14056" t="s">
        <v>4265</v>
      </c>
      <c r="L14056" t="s">
        <v>692</v>
      </c>
      <c r="P14056" t="s">
        <v>4272</v>
      </c>
      <c r="T14056">
        <v>46022</v>
      </c>
      <c r="V14056">
        <v>92</v>
      </c>
    </row>
    <row r="14057" spans="1:22" customFormat="1" ht="51.75" x14ac:dyDescent="0.25">
      <c r="A14057" t="s">
        <v>311</v>
      </c>
      <c r="E14057" s="854" t="s">
        <v>7625</v>
      </c>
      <c r="F14057" s="854"/>
      <c r="G14057" s="754" t="s">
        <v>845</v>
      </c>
      <c r="H14057" s="995">
        <v>1.8000000000000001E-4</v>
      </c>
      <c r="K14057" t="s">
        <v>4265</v>
      </c>
      <c r="L14057" t="s">
        <v>692</v>
      </c>
      <c r="P14057" t="s">
        <v>4273</v>
      </c>
      <c r="T14057">
        <v>46022</v>
      </c>
      <c r="V14057">
        <v>137</v>
      </c>
    </row>
    <row r="14058" spans="1:22" customFormat="1" ht="51.75" x14ac:dyDescent="0.25">
      <c r="A14058" t="s">
        <v>311</v>
      </c>
      <c r="E14058" s="854" t="s">
        <v>7626</v>
      </c>
      <c r="F14058" s="854"/>
      <c r="G14058" s="754" t="s">
        <v>845</v>
      </c>
      <c r="H14058" s="995">
        <v>1.24E-3</v>
      </c>
      <c r="K14058" t="s">
        <v>4265</v>
      </c>
      <c r="L14058" t="s">
        <v>692</v>
      </c>
      <c r="P14058" t="s">
        <v>4270</v>
      </c>
      <c r="T14058">
        <v>46022</v>
      </c>
      <c r="V14058">
        <v>131</v>
      </c>
    </row>
    <row r="14059" spans="1:22" customFormat="1" ht="26.25" x14ac:dyDescent="0.25">
      <c r="A14059" t="s">
        <v>311</v>
      </c>
      <c r="E14059" s="854" t="s">
        <v>243</v>
      </c>
      <c r="F14059" s="854"/>
      <c r="G14059" s="754" t="s">
        <v>845</v>
      </c>
      <c r="H14059" s="995">
        <v>8.4700000000000001E-3</v>
      </c>
      <c r="K14059" t="s">
        <v>4265</v>
      </c>
      <c r="L14059" t="s">
        <v>694</v>
      </c>
      <c r="P14059" t="s">
        <v>4274</v>
      </c>
      <c r="V14059">
        <v>47</v>
      </c>
    </row>
    <row r="14060" spans="1:22" customFormat="1" ht="26.25" x14ac:dyDescent="0.25">
      <c r="A14060" t="s">
        <v>311</v>
      </c>
      <c r="E14060" s="854" t="s">
        <v>175</v>
      </c>
      <c r="F14060" s="854"/>
      <c r="G14060" s="754" t="s">
        <v>845</v>
      </c>
      <c r="H14060" s="995">
        <v>6.0600000000000003E-3</v>
      </c>
      <c r="K14060" t="s">
        <v>4265</v>
      </c>
      <c r="L14060" t="s">
        <v>694</v>
      </c>
      <c r="P14060" t="s">
        <v>4275</v>
      </c>
      <c r="V14060">
        <v>74</v>
      </c>
    </row>
    <row r="14061" spans="1:22" customFormat="1" ht="30" x14ac:dyDescent="0.25">
      <c r="A14061" t="s">
        <v>311</v>
      </c>
      <c r="E14061" s="944" t="s">
        <v>967</v>
      </c>
      <c r="F14061" s="944"/>
      <c r="G14061" s="848"/>
      <c r="H14061" s="848"/>
      <c r="K14061" t="s">
        <v>1065</v>
      </c>
      <c r="V14061">
        <v>48</v>
      </c>
    </row>
    <row r="14062" spans="1:22" customFormat="1" ht="26.25" x14ac:dyDescent="0.25">
      <c r="A14062" t="s">
        <v>311</v>
      </c>
      <c r="E14062" s="854" t="s">
        <v>844</v>
      </c>
      <c r="F14062" s="854"/>
      <c r="G14062" s="754" t="s">
        <v>845</v>
      </c>
      <c r="H14062" s="870">
        <v>4.1000000000000003E-3</v>
      </c>
      <c r="K14062" t="s">
        <v>4265</v>
      </c>
      <c r="L14062" t="s">
        <v>968</v>
      </c>
      <c r="P14062" t="s">
        <v>4276</v>
      </c>
      <c r="V14062">
        <v>55</v>
      </c>
    </row>
    <row r="14063" spans="1:22" customFormat="1" ht="26.25" x14ac:dyDescent="0.25">
      <c r="A14063" t="s">
        <v>311</v>
      </c>
      <c r="E14063" s="854" t="s">
        <v>846</v>
      </c>
      <c r="F14063" s="854"/>
      <c r="G14063" s="754" t="s">
        <v>845</v>
      </c>
      <c r="H14063" s="870">
        <v>4.0000000000000002E-4</v>
      </c>
      <c r="K14063" t="s">
        <v>4265</v>
      </c>
      <c r="L14063" t="s">
        <v>968</v>
      </c>
      <c r="P14063" t="s">
        <v>4276</v>
      </c>
      <c r="V14063">
        <v>65</v>
      </c>
    </row>
    <row r="14064" spans="1:22" customFormat="1" ht="26.25" x14ac:dyDescent="0.25">
      <c r="A14064" t="s">
        <v>311</v>
      </c>
      <c r="E14064" s="854" t="s">
        <v>847</v>
      </c>
      <c r="F14064" s="854"/>
      <c r="G14064" s="754" t="s">
        <v>845</v>
      </c>
      <c r="H14064" s="870">
        <v>1.4E-3</v>
      </c>
      <c r="K14064" t="s">
        <v>4265</v>
      </c>
      <c r="L14064" t="s">
        <v>968</v>
      </c>
      <c r="P14064" t="s">
        <v>4277</v>
      </c>
      <c r="V14064">
        <v>57</v>
      </c>
    </row>
    <row r="14065" spans="1:22" customFormat="1" ht="26.25" x14ac:dyDescent="0.25">
      <c r="A14065" t="s">
        <v>311</v>
      </c>
      <c r="E14065" s="854" t="s">
        <v>848</v>
      </c>
      <c r="F14065" s="854"/>
      <c r="G14065" s="754" t="s">
        <v>777</v>
      </c>
      <c r="H14065" s="870">
        <v>0.25</v>
      </c>
      <c r="K14065" t="s">
        <v>4265</v>
      </c>
      <c r="L14065" t="s">
        <v>968</v>
      </c>
      <c r="P14065" t="s">
        <v>4278</v>
      </c>
      <c r="V14065">
        <v>63</v>
      </c>
    </row>
    <row r="14066" spans="1:22" customFormat="1" x14ac:dyDescent="0.25">
      <c r="A14066" t="s">
        <v>311</v>
      </c>
      <c r="E14066" s="1492" t="s">
        <v>202</v>
      </c>
      <c r="F14066" s="1492"/>
      <c r="G14066" s="1500"/>
      <c r="H14066" s="1500"/>
      <c r="K14066" t="s">
        <v>3891</v>
      </c>
      <c r="V14066">
        <v>38</v>
      </c>
    </row>
    <row r="14067" spans="1:22" customFormat="1" ht="15" x14ac:dyDescent="0.25">
      <c r="A14067" t="s">
        <v>311</v>
      </c>
      <c r="E14067" s="1497" t="s">
        <v>5108</v>
      </c>
      <c r="F14067" s="1497"/>
      <c r="G14067" s="1497"/>
      <c r="H14067" s="1497"/>
      <c r="K14067" t="s">
        <v>3891</v>
      </c>
      <c r="V14067">
        <v>526</v>
      </c>
    </row>
    <row r="14068" spans="1:22" customFormat="1" ht="15" x14ac:dyDescent="0.25">
      <c r="A14068" t="s">
        <v>311</v>
      </c>
      <c r="E14068" s="1501" t="s">
        <v>950</v>
      </c>
      <c r="F14068" s="1501"/>
      <c r="G14068" s="1502"/>
      <c r="H14068" s="1502"/>
      <c r="K14068" t="s">
        <v>1071</v>
      </c>
      <c r="V14068">
        <v>11</v>
      </c>
    </row>
    <row r="14069" spans="1:22" customFormat="1" ht="15" x14ac:dyDescent="0.25">
      <c r="A14069" t="s">
        <v>311</v>
      </c>
      <c r="E14069" s="1497" t="s">
        <v>951</v>
      </c>
      <c r="F14069" s="1497"/>
      <c r="G14069" s="1497"/>
      <c r="H14069" s="1497"/>
      <c r="K14069" t="s">
        <v>3891</v>
      </c>
      <c r="V14069">
        <v>280</v>
      </c>
    </row>
    <row r="14070" spans="1:22" customFormat="1" ht="15" x14ac:dyDescent="0.25">
      <c r="A14070" t="s">
        <v>311</v>
      </c>
      <c r="E14070" s="1497" t="s">
        <v>952</v>
      </c>
      <c r="F14070" s="1497"/>
      <c r="G14070" s="1497"/>
      <c r="H14070" s="1497"/>
      <c r="K14070" t="s">
        <v>3891</v>
      </c>
      <c r="V14070">
        <v>411</v>
      </c>
    </row>
    <row r="14071" spans="1:22" customFormat="1" ht="15" x14ac:dyDescent="0.25">
      <c r="A14071" t="s">
        <v>311</v>
      </c>
      <c r="E14071" s="1497" t="s">
        <v>3761</v>
      </c>
      <c r="F14071" s="1497"/>
      <c r="G14071" s="1497"/>
      <c r="H14071" s="1497"/>
      <c r="K14071" t="s">
        <v>3891</v>
      </c>
      <c r="V14071">
        <v>387</v>
      </c>
    </row>
    <row r="14072" spans="1:22" customFormat="1" ht="15" x14ac:dyDescent="0.25">
      <c r="A14072" t="s">
        <v>311</v>
      </c>
      <c r="E14072" s="1497" t="s">
        <v>954</v>
      </c>
      <c r="F14072" s="1497"/>
      <c r="G14072" s="1497"/>
      <c r="H14072" s="1497"/>
      <c r="K14072" t="s">
        <v>3891</v>
      </c>
      <c r="V14072">
        <v>246</v>
      </c>
    </row>
    <row r="14073" spans="1:22" customFormat="1" ht="15" x14ac:dyDescent="0.25">
      <c r="A14073" t="s">
        <v>311</v>
      </c>
      <c r="E14073" s="1503" t="s">
        <v>956</v>
      </c>
      <c r="F14073" s="1503"/>
      <c r="G14073" s="1504"/>
      <c r="H14073" s="1504"/>
      <c r="K14073" t="s">
        <v>1075</v>
      </c>
      <c r="V14073">
        <v>46</v>
      </c>
    </row>
    <row r="14074" spans="1:22" customFormat="1" ht="15" x14ac:dyDescent="0.25">
      <c r="A14074" t="s">
        <v>311</v>
      </c>
      <c r="E14074" s="854" t="s">
        <v>4449</v>
      </c>
      <c r="F14074" s="854"/>
      <c r="G14074" s="754" t="s">
        <v>777</v>
      </c>
      <c r="H14074" s="995">
        <v>2</v>
      </c>
      <c r="K14074" t="s">
        <v>3891</v>
      </c>
      <c r="L14074" t="s">
        <v>690</v>
      </c>
      <c r="P14074" t="s">
        <v>3894</v>
      </c>
      <c r="V14074">
        <v>27</v>
      </c>
    </row>
    <row r="14075" spans="1:22" customFormat="1" ht="15" x14ac:dyDescent="0.25">
      <c r="A14075" t="s">
        <v>311</v>
      </c>
      <c r="E14075" s="854" t="s">
        <v>3688</v>
      </c>
      <c r="F14075" s="854"/>
      <c r="G14075" s="754" t="s">
        <v>5931</v>
      </c>
      <c r="H14075" s="995">
        <v>44.686300000000003</v>
      </c>
      <c r="K14075" t="s">
        <v>3891</v>
      </c>
      <c r="L14075" t="s">
        <v>690</v>
      </c>
      <c r="P14075" t="s">
        <v>3895</v>
      </c>
      <c r="V14075">
        <v>28</v>
      </c>
    </row>
    <row r="14076" spans="1:22" customFormat="1" ht="39" x14ac:dyDescent="0.25">
      <c r="A14076" t="s">
        <v>311</v>
      </c>
      <c r="E14076" s="854" t="s">
        <v>7612</v>
      </c>
      <c r="F14076" s="854"/>
      <c r="G14076" s="754" t="s">
        <v>5931</v>
      </c>
      <c r="H14076" s="995">
        <v>0.49640000000000001</v>
      </c>
      <c r="K14076" t="s">
        <v>3891</v>
      </c>
      <c r="L14076" t="s">
        <v>690</v>
      </c>
      <c r="P14076" t="s">
        <v>7684</v>
      </c>
      <c r="V14076">
        <v>98</v>
      </c>
    </row>
    <row r="14077" spans="1:22" customFormat="1" ht="26.25" x14ac:dyDescent="0.25">
      <c r="A14077" t="s">
        <v>311</v>
      </c>
      <c r="E14077" s="854" t="s">
        <v>7614</v>
      </c>
      <c r="F14077" s="854"/>
      <c r="G14077" s="754" t="s">
        <v>5931</v>
      </c>
      <c r="H14077" s="995">
        <v>-9.8799999999999999E-2</v>
      </c>
      <c r="K14077" t="s">
        <v>3891</v>
      </c>
      <c r="L14077" t="s">
        <v>690</v>
      </c>
      <c r="P14077" t="s">
        <v>7685</v>
      </c>
      <c r="T14077">
        <v>46022</v>
      </c>
      <c r="V14077">
        <v>87</v>
      </c>
    </row>
    <row r="14078" spans="1:22" customFormat="1" ht="39" x14ac:dyDescent="0.25">
      <c r="A14078" t="s">
        <v>311</v>
      </c>
      <c r="E14078" s="854" t="s">
        <v>7646</v>
      </c>
      <c r="F14078" s="854"/>
      <c r="G14078" s="754" t="s">
        <v>5931</v>
      </c>
      <c r="H14078" s="995">
        <v>-0.23599999999999999</v>
      </c>
      <c r="K14078" t="s">
        <v>3891</v>
      </c>
      <c r="P14078" t="s">
        <v>7686</v>
      </c>
      <c r="V14078">
        <v>91</v>
      </c>
    </row>
    <row r="14079" spans="1:22" customFormat="1" ht="39" x14ac:dyDescent="0.25">
      <c r="A14079" t="s">
        <v>311</v>
      </c>
      <c r="E14079" s="854" t="s">
        <v>7616</v>
      </c>
      <c r="F14079" s="854"/>
      <c r="G14079" s="754" t="s">
        <v>5931</v>
      </c>
      <c r="H14079" s="995">
        <v>-0.69769999999999999</v>
      </c>
      <c r="K14079" t="s">
        <v>3891</v>
      </c>
      <c r="L14079" t="s">
        <v>690</v>
      </c>
      <c r="P14079" t="s">
        <v>7687</v>
      </c>
      <c r="T14079">
        <v>46022</v>
      </c>
      <c r="V14079">
        <v>87</v>
      </c>
    </row>
    <row r="14080" spans="1:22" customFormat="1" ht="39" x14ac:dyDescent="0.25">
      <c r="A14080" t="s">
        <v>311</v>
      </c>
      <c r="E14080" s="854" t="s">
        <v>7617</v>
      </c>
      <c r="F14080" s="854"/>
      <c r="G14080" s="754" t="s">
        <v>5931</v>
      </c>
      <c r="H14080" s="995">
        <v>-1.9037999999999999</v>
      </c>
      <c r="K14080" t="s">
        <v>3891</v>
      </c>
      <c r="L14080" t="s">
        <v>690</v>
      </c>
      <c r="P14080" t="s">
        <v>7688</v>
      </c>
      <c r="T14080">
        <v>46022</v>
      </c>
      <c r="V14080">
        <v>116</v>
      </c>
    </row>
    <row r="14081" spans="1:22" customFormat="1" ht="39" x14ac:dyDescent="0.25">
      <c r="A14081" t="s">
        <v>311</v>
      </c>
      <c r="E14081" s="854" t="s">
        <v>7619</v>
      </c>
      <c r="F14081" s="854"/>
      <c r="G14081" s="754" t="s">
        <v>5931</v>
      </c>
      <c r="H14081" s="995">
        <v>-0.40989999999999999</v>
      </c>
      <c r="K14081" t="s">
        <v>3891</v>
      </c>
      <c r="L14081" t="s">
        <v>690</v>
      </c>
      <c r="P14081" t="s">
        <v>7689</v>
      </c>
      <c r="V14081">
        <v>98</v>
      </c>
    </row>
    <row r="14082" spans="1:22" customFormat="1" ht="39" x14ac:dyDescent="0.25">
      <c r="A14082" t="s">
        <v>311</v>
      </c>
      <c r="E14082" s="854" t="s">
        <v>7620</v>
      </c>
      <c r="F14082" s="854"/>
      <c r="G14082" s="754" t="s">
        <v>5931</v>
      </c>
      <c r="H14082" s="995">
        <v>-1.5037</v>
      </c>
      <c r="K14082" t="s">
        <v>3891</v>
      </c>
      <c r="L14082" t="s">
        <v>690</v>
      </c>
      <c r="P14082" t="s">
        <v>7690</v>
      </c>
      <c r="T14082">
        <v>46387</v>
      </c>
      <c r="V14082">
        <v>103</v>
      </c>
    </row>
    <row r="14083" spans="1:22" customFormat="1" ht="39" x14ac:dyDescent="0.25">
      <c r="A14083" t="s">
        <v>311</v>
      </c>
      <c r="E14083" s="854" t="s">
        <v>7622</v>
      </c>
      <c r="F14083" s="854"/>
      <c r="G14083" s="754" t="s">
        <v>5931</v>
      </c>
      <c r="H14083" s="995">
        <v>-0.3634</v>
      </c>
      <c r="K14083" t="s">
        <v>3891</v>
      </c>
      <c r="L14083" t="s">
        <v>690</v>
      </c>
      <c r="P14083" t="s">
        <v>7691</v>
      </c>
      <c r="V14083">
        <v>104</v>
      </c>
    </row>
    <row r="14084" spans="1:22" customFormat="1" ht="39" x14ac:dyDescent="0.25">
      <c r="A14084" t="s">
        <v>311</v>
      </c>
      <c r="E14084" s="854" t="s">
        <v>7624</v>
      </c>
      <c r="F14084" s="854"/>
      <c r="G14084" s="754" t="s">
        <v>5931</v>
      </c>
      <c r="H14084" s="20">
        <v>0.21640000000000001</v>
      </c>
      <c r="K14084" t="s">
        <v>3891</v>
      </c>
      <c r="L14084" t="s">
        <v>690</v>
      </c>
      <c r="P14084" t="s">
        <v>7692</v>
      </c>
      <c r="T14084">
        <v>46022</v>
      </c>
      <c r="V14084">
        <v>87</v>
      </c>
    </row>
    <row r="14085" spans="1:22" customFormat="1" ht="39" x14ac:dyDescent="0.25">
      <c r="A14085" t="s">
        <v>311</v>
      </c>
      <c r="E14085" s="854" t="s">
        <v>5989</v>
      </c>
      <c r="F14085" s="854"/>
      <c r="G14085" s="754" t="s">
        <v>5931</v>
      </c>
      <c r="H14085" s="995">
        <v>0.81799999999999995</v>
      </c>
      <c r="K14085" t="s">
        <v>3891</v>
      </c>
      <c r="L14085" t="s">
        <v>692</v>
      </c>
      <c r="P14085" t="s">
        <v>4353</v>
      </c>
      <c r="T14085">
        <v>46022</v>
      </c>
      <c r="V14085">
        <v>92</v>
      </c>
    </row>
    <row r="14086" spans="1:22" customFormat="1" ht="51.75" x14ac:dyDescent="0.25">
      <c r="A14086" t="s">
        <v>311</v>
      </c>
      <c r="E14086" s="854" t="s">
        <v>7625</v>
      </c>
      <c r="F14086" s="854"/>
      <c r="G14086" s="754" t="s">
        <v>5931</v>
      </c>
      <c r="H14086" s="995">
        <v>5.6899999999999999E-2</v>
      </c>
      <c r="K14086" t="s">
        <v>3891</v>
      </c>
      <c r="L14086" t="s">
        <v>692</v>
      </c>
      <c r="P14086" t="s">
        <v>4354</v>
      </c>
      <c r="T14086">
        <v>46022</v>
      </c>
      <c r="V14086">
        <v>137</v>
      </c>
    </row>
    <row r="14087" spans="1:22" customFormat="1" ht="51.75" x14ac:dyDescent="0.25">
      <c r="A14087" t="s">
        <v>311</v>
      </c>
      <c r="E14087" s="854" t="s">
        <v>7626</v>
      </c>
      <c r="F14087" s="854"/>
      <c r="G14087" s="754" t="s">
        <v>845</v>
      </c>
      <c r="H14087" s="995">
        <v>1.24E-3</v>
      </c>
      <c r="K14087" t="s">
        <v>3891</v>
      </c>
      <c r="L14087" t="s">
        <v>692</v>
      </c>
      <c r="P14087" t="s">
        <v>4351</v>
      </c>
      <c r="T14087">
        <v>46022</v>
      </c>
      <c r="V14087">
        <v>131</v>
      </c>
    </row>
    <row r="14088" spans="1:22" customFormat="1" ht="26.25" x14ac:dyDescent="0.25">
      <c r="A14088" t="s">
        <v>311</v>
      </c>
      <c r="E14088" s="854" t="s">
        <v>243</v>
      </c>
      <c r="F14088" s="854"/>
      <c r="G14088" s="754" t="s">
        <v>3775</v>
      </c>
      <c r="H14088" s="995">
        <v>4.0993000000000004</v>
      </c>
      <c r="K14088" t="s">
        <v>3891</v>
      </c>
      <c r="L14088" t="s">
        <v>694</v>
      </c>
      <c r="P14088" t="s">
        <v>3896</v>
      </c>
      <c r="V14088">
        <v>47</v>
      </c>
    </row>
    <row r="14089" spans="1:22" customFormat="1" ht="26.25" x14ac:dyDescent="0.25">
      <c r="A14089" t="s">
        <v>311</v>
      </c>
      <c r="E14089" s="854" t="s">
        <v>175</v>
      </c>
      <c r="F14089" s="854"/>
      <c r="G14089" s="754" t="s">
        <v>3775</v>
      </c>
      <c r="H14089" s="995">
        <v>3.6970999999999998</v>
      </c>
      <c r="K14089" t="s">
        <v>3891</v>
      </c>
      <c r="L14089" t="s">
        <v>694</v>
      </c>
      <c r="P14089" t="s">
        <v>3897</v>
      </c>
      <c r="V14089">
        <v>74</v>
      </c>
    </row>
    <row r="14090" spans="1:22" customFormat="1" ht="15" x14ac:dyDescent="0.25">
      <c r="A14090" t="s">
        <v>311</v>
      </c>
      <c r="E14090" s="1503" t="s">
        <v>967</v>
      </c>
      <c r="F14090" s="1503"/>
      <c r="G14090" s="1504"/>
      <c r="H14090" s="1504"/>
      <c r="K14090" t="s">
        <v>3898</v>
      </c>
      <c r="V14090">
        <v>48</v>
      </c>
    </row>
    <row r="14091" spans="1:22" customFormat="1" ht="26.25" x14ac:dyDescent="0.25">
      <c r="A14091" t="s">
        <v>311</v>
      </c>
      <c r="E14091" s="854" t="s">
        <v>844</v>
      </c>
      <c r="F14091" s="854"/>
      <c r="G14091" s="754" t="s">
        <v>845</v>
      </c>
      <c r="H14091" s="870">
        <v>4.1000000000000003E-3</v>
      </c>
      <c r="K14091" t="s">
        <v>3891</v>
      </c>
      <c r="L14091" t="s">
        <v>968</v>
      </c>
      <c r="P14091" t="s">
        <v>3899</v>
      </c>
      <c r="V14091">
        <v>55</v>
      </c>
    </row>
    <row r="14092" spans="1:22" customFormat="1" ht="26.25" x14ac:dyDescent="0.25">
      <c r="A14092" t="s">
        <v>311</v>
      </c>
      <c r="E14092" s="854" t="s">
        <v>846</v>
      </c>
      <c r="F14092" s="854"/>
      <c r="G14092" s="754" t="s">
        <v>845</v>
      </c>
      <c r="H14092" s="870">
        <v>4.0000000000000002E-4</v>
      </c>
      <c r="K14092" t="s">
        <v>3891</v>
      </c>
      <c r="L14092" t="s">
        <v>968</v>
      </c>
      <c r="P14092" t="s">
        <v>3899</v>
      </c>
      <c r="V14092">
        <v>65</v>
      </c>
    </row>
    <row r="14093" spans="1:22" customFormat="1" ht="26.25" x14ac:dyDescent="0.25">
      <c r="A14093" t="s">
        <v>311</v>
      </c>
      <c r="E14093" s="854" t="s">
        <v>847</v>
      </c>
      <c r="F14093" s="854"/>
      <c r="G14093" s="754" t="s">
        <v>845</v>
      </c>
      <c r="H14093" s="870">
        <v>1.4E-3</v>
      </c>
      <c r="K14093" t="s">
        <v>3891</v>
      </c>
      <c r="L14093" t="s">
        <v>968</v>
      </c>
      <c r="P14093" t="s">
        <v>3900</v>
      </c>
      <c r="V14093">
        <v>57</v>
      </c>
    </row>
    <row r="14094" spans="1:22" customFormat="1" ht="26.25" x14ac:dyDescent="0.25">
      <c r="A14094" t="s">
        <v>311</v>
      </c>
      <c r="E14094" s="854" t="s">
        <v>848</v>
      </c>
      <c r="F14094" s="854"/>
      <c r="G14094" s="754" t="s">
        <v>777</v>
      </c>
      <c r="H14094" s="870">
        <v>0.25</v>
      </c>
      <c r="K14094" t="s">
        <v>3891</v>
      </c>
      <c r="L14094" t="s">
        <v>968</v>
      </c>
      <c r="P14094" t="s">
        <v>3901</v>
      </c>
      <c r="V14094">
        <v>63</v>
      </c>
    </row>
    <row r="14095" spans="1:22" customFormat="1" x14ac:dyDescent="0.25">
      <c r="A14095" t="s">
        <v>311</v>
      </c>
      <c r="E14095" s="1499" t="s">
        <v>207</v>
      </c>
      <c r="F14095" s="1499"/>
      <c r="G14095" s="1500"/>
      <c r="H14095" s="1500"/>
      <c r="K14095" t="s">
        <v>3902</v>
      </c>
      <c r="V14095">
        <v>31</v>
      </c>
    </row>
    <row r="14096" spans="1:22" customFormat="1" ht="15" x14ac:dyDescent="0.25">
      <c r="A14096" t="s">
        <v>311</v>
      </c>
      <c r="E14096" s="1497" t="s">
        <v>5955</v>
      </c>
      <c r="F14096" s="1497"/>
      <c r="G14096" s="1497"/>
      <c r="H14096" s="1497"/>
      <c r="K14096" t="s">
        <v>3902</v>
      </c>
      <c r="V14096">
        <v>282</v>
      </c>
    </row>
    <row r="14097" spans="1:22" customFormat="1" ht="15" x14ac:dyDescent="0.25">
      <c r="A14097" t="s">
        <v>311</v>
      </c>
      <c r="E14097" s="1501" t="s">
        <v>950</v>
      </c>
      <c r="F14097" s="1501"/>
      <c r="G14097" s="1502"/>
      <c r="H14097" s="1502"/>
      <c r="K14097" t="s">
        <v>3904</v>
      </c>
      <c r="V14097">
        <v>11</v>
      </c>
    </row>
    <row r="14098" spans="1:22" customFormat="1" ht="15" x14ac:dyDescent="0.25">
      <c r="A14098" t="s">
        <v>311</v>
      </c>
      <c r="E14098" s="1497" t="s">
        <v>951</v>
      </c>
      <c r="F14098" s="1497"/>
      <c r="G14098" s="1497"/>
      <c r="H14098" s="1497"/>
      <c r="K14098" t="s">
        <v>3902</v>
      </c>
      <c r="V14098">
        <v>280</v>
      </c>
    </row>
    <row r="14099" spans="1:22" customFormat="1" ht="15" x14ac:dyDescent="0.25">
      <c r="A14099" t="s">
        <v>311</v>
      </c>
      <c r="E14099" s="1497" t="s">
        <v>952</v>
      </c>
      <c r="F14099" s="1497"/>
      <c r="G14099" s="1497"/>
      <c r="H14099" s="1497"/>
      <c r="K14099" t="s">
        <v>3902</v>
      </c>
      <c r="V14099">
        <v>411</v>
      </c>
    </row>
    <row r="14100" spans="1:22" customFormat="1" ht="15" x14ac:dyDescent="0.25">
      <c r="A14100" t="s">
        <v>311</v>
      </c>
      <c r="E14100" s="1497" t="s">
        <v>1103</v>
      </c>
      <c r="F14100" s="1497"/>
      <c r="G14100" s="1497"/>
      <c r="H14100" s="1497"/>
      <c r="K14100" t="s">
        <v>3902</v>
      </c>
      <c r="V14100">
        <v>211</v>
      </c>
    </row>
    <row r="14101" spans="1:22" customFormat="1" ht="15" x14ac:dyDescent="0.25">
      <c r="A14101" t="s">
        <v>311</v>
      </c>
      <c r="E14101" s="1497" t="s">
        <v>954</v>
      </c>
      <c r="F14101" s="1497"/>
      <c r="G14101" s="1497"/>
      <c r="H14101" s="1497"/>
      <c r="K14101" t="s">
        <v>3902</v>
      </c>
      <c r="V14101">
        <v>246</v>
      </c>
    </row>
    <row r="14102" spans="1:22" customFormat="1" ht="15" x14ac:dyDescent="0.25">
      <c r="A14102" t="s">
        <v>311</v>
      </c>
      <c r="E14102" s="1503" t="s">
        <v>956</v>
      </c>
      <c r="F14102" s="1503"/>
      <c r="G14102" s="1504"/>
      <c r="H14102" s="1504"/>
      <c r="K14102" t="s">
        <v>3905</v>
      </c>
      <c r="V14102">
        <v>46</v>
      </c>
    </row>
    <row r="14103" spans="1:22" customFormat="1" ht="15" x14ac:dyDescent="0.25">
      <c r="A14103" t="s">
        <v>311</v>
      </c>
      <c r="E14103" s="854" t="s">
        <v>3773</v>
      </c>
      <c r="F14103" s="854"/>
      <c r="G14103" s="754" t="s">
        <v>777</v>
      </c>
      <c r="H14103" s="755">
        <v>4.93</v>
      </c>
      <c r="K14103" t="s">
        <v>3902</v>
      </c>
      <c r="L14103" t="s">
        <v>690</v>
      </c>
      <c r="P14103" t="s">
        <v>3906</v>
      </c>
      <c r="V14103">
        <v>14</v>
      </c>
    </row>
    <row r="14104" spans="1:22" customFormat="1" ht="18.75" x14ac:dyDescent="0.3">
      <c r="A14104" t="s">
        <v>311</v>
      </c>
      <c r="E14104" s="860" t="s">
        <v>3825</v>
      </c>
      <c r="F14104" s="860"/>
      <c r="G14104" s="381"/>
      <c r="H14104" s="381"/>
      <c r="K14104" t="s">
        <v>5956</v>
      </c>
      <c r="V14104">
        <v>10</v>
      </c>
    </row>
    <row r="14105" spans="1:22" customFormat="1" ht="15" x14ac:dyDescent="0.25">
      <c r="A14105" t="s">
        <v>311</v>
      </c>
      <c r="E14105" s="854" t="s">
        <v>5957</v>
      </c>
      <c r="F14105" s="854"/>
      <c r="G14105" s="754" t="s">
        <v>5931</v>
      </c>
      <c r="H14105" s="995">
        <v>-0.62</v>
      </c>
      <c r="V14105">
        <v>35</v>
      </c>
    </row>
    <row r="14106" spans="1:22" customFormat="1" ht="39" x14ac:dyDescent="0.25">
      <c r="A14106" t="s">
        <v>311</v>
      </c>
      <c r="E14106" s="854" t="s">
        <v>1079</v>
      </c>
      <c r="F14106" s="854"/>
      <c r="G14106" s="754" t="s">
        <v>1118</v>
      </c>
      <c r="H14106" s="995">
        <v>-1</v>
      </c>
      <c r="V14106">
        <v>87</v>
      </c>
    </row>
    <row r="14107" spans="1:22" customFormat="1" ht="18.75" x14ac:dyDescent="0.3">
      <c r="A14107" t="s">
        <v>311</v>
      </c>
      <c r="E14107" s="860" t="s">
        <v>3828</v>
      </c>
      <c r="F14107" s="860"/>
      <c r="G14107" s="381"/>
      <c r="H14107" s="381"/>
      <c r="K14107" t="s">
        <v>5958</v>
      </c>
      <c r="V14107">
        <v>24</v>
      </c>
    </row>
    <row r="14108" spans="1:22" customFormat="1" ht="15" x14ac:dyDescent="0.25">
      <c r="A14108" t="s">
        <v>311</v>
      </c>
      <c r="E14108" s="1505" t="s">
        <v>950</v>
      </c>
      <c r="F14108" s="1505"/>
      <c r="G14108" s="1497"/>
      <c r="H14108" s="1497"/>
      <c r="V14108">
        <v>11</v>
      </c>
    </row>
    <row r="14109" spans="1:22" customFormat="1" ht="15" x14ac:dyDescent="0.25">
      <c r="A14109" t="s">
        <v>311</v>
      </c>
      <c r="E14109" s="1497" t="s">
        <v>951</v>
      </c>
      <c r="F14109" s="1497"/>
      <c r="G14109" s="1497"/>
      <c r="H14109" s="1497"/>
      <c r="V14109">
        <v>280</v>
      </c>
    </row>
    <row r="14110" spans="1:22" customFormat="1" ht="15" x14ac:dyDescent="0.25">
      <c r="A14110" t="s">
        <v>311</v>
      </c>
      <c r="E14110" s="1497" t="s">
        <v>1081</v>
      </c>
      <c r="F14110" s="1497"/>
      <c r="G14110" s="1497"/>
      <c r="H14110" s="1497"/>
      <c r="V14110">
        <v>353</v>
      </c>
    </row>
    <row r="14111" spans="1:22" customFormat="1" ht="15" x14ac:dyDescent="0.25">
      <c r="A14111" t="s">
        <v>311</v>
      </c>
      <c r="E14111" s="1506" t="s">
        <v>954</v>
      </c>
      <c r="F14111" s="1506"/>
      <c r="G14111" s="1506"/>
      <c r="H14111" s="1506"/>
      <c r="V14111">
        <v>246</v>
      </c>
    </row>
    <row r="14112" spans="1:22" customFormat="1" ht="15" x14ac:dyDescent="0.25">
      <c r="A14112" t="s">
        <v>311</v>
      </c>
      <c r="E14112" s="856" t="s">
        <v>3830</v>
      </c>
      <c r="F14112" s="856"/>
      <c r="G14112" s="1"/>
      <c r="H14112" s="1"/>
      <c r="K14112" t="s">
        <v>5959</v>
      </c>
      <c r="V14112">
        <v>23</v>
      </c>
    </row>
    <row r="14113" spans="1:22" customFormat="1" ht="15" x14ac:dyDescent="0.25">
      <c r="A14113" t="s">
        <v>311</v>
      </c>
      <c r="E14113" s="998" t="s">
        <v>4058</v>
      </c>
      <c r="F14113" s="998"/>
      <c r="G14113" s="754" t="s">
        <v>777</v>
      </c>
      <c r="H14113" s="755">
        <v>25</v>
      </c>
      <c r="V14113">
        <v>15</v>
      </c>
    </row>
    <row r="14114" spans="1:22" customFormat="1" ht="15" x14ac:dyDescent="0.25">
      <c r="A14114" t="s">
        <v>311</v>
      </c>
      <c r="E14114" s="998" t="s">
        <v>3834</v>
      </c>
      <c r="F14114" s="998"/>
      <c r="G14114" s="754" t="s">
        <v>777</v>
      </c>
      <c r="H14114" s="755">
        <v>25</v>
      </c>
      <c r="V14114">
        <v>39</v>
      </c>
    </row>
    <row r="14115" spans="1:22" customFormat="1" ht="26.25" x14ac:dyDescent="0.25">
      <c r="A14115" t="s">
        <v>311</v>
      </c>
      <c r="E14115" s="998" t="s">
        <v>5960</v>
      </c>
      <c r="F14115" s="998"/>
      <c r="G14115" s="754" t="s">
        <v>777</v>
      </c>
      <c r="H14115" s="755">
        <v>25</v>
      </c>
      <c r="V14115">
        <v>47</v>
      </c>
    </row>
    <row r="14116" spans="1:22" customFormat="1" ht="15" x14ac:dyDescent="0.25">
      <c r="A14116" t="s">
        <v>311</v>
      </c>
      <c r="E14116" s="998" t="s">
        <v>4056</v>
      </c>
      <c r="F14116" s="998"/>
      <c r="G14116" s="754" t="s">
        <v>777</v>
      </c>
      <c r="H14116" s="755">
        <v>25</v>
      </c>
      <c r="V14116">
        <v>15</v>
      </c>
    </row>
    <row r="14117" spans="1:22" customFormat="1" ht="15" x14ac:dyDescent="0.25">
      <c r="A14117" t="s">
        <v>311</v>
      </c>
      <c r="E14117" s="998" t="s">
        <v>4057</v>
      </c>
      <c r="F14117" s="998"/>
      <c r="G14117" s="754" t="s">
        <v>777</v>
      </c>
      <c r="H14117" s="755">
        <v>25</v>
      </c>
      <c r="V14117">
        <v>17</v>
      </c>
    </row>
    <row r="14118" spans="1:22" customFormat="1" ht="39" x14ac:dyDescent="0.25">
      <c r="A14118" t="s">
        <v>311</v>
      </c>
      <c r="E14118" s="998" t="s">
        <v>3837</v>
      </c>
      <c r="F14118" s="998"/>
      <c r="G14118" s="754" t="s">
        <v>777</v>
      </c>
      <c r="H14118" s="755">
        <v>35</v>
      </c>
      <c r="V14118">
        <v>89</v>
      </c>
    </row>
    <row r="14119" spans="1:22" customFormat="1" ht="15" x14ac:dyDescent="0.25">
      <c r="A14119" t="s">
        <v>311</v>
      </c>
      <c r="E14119" s="998" t="s">
        <v>3836</v>
      </c>
      <c r="F14119" s="998"/>
      <c r="G14119" s="754" t="s">
        <v>777</v>
      </c>
      <c r="H14119" s="755">
        <v>25</v>
      </c>
      <c r="V14119">
        <v>35</v>
      </c>
    </row>
    <row r="14120" spans="1:22" customFormat="1" ht="15" x14ac:dyDescent="0.25">
      <c r="A14120" t="s">
        <v>311</v>
      </c>
      <c r="E14120" s="998" t="s">
        <v>3914</v>
      </c>
      <c r="F14120" s="998"/>
      <c r="G14120" s="754" t="s">
        <v>777</v>
      </c>
      <c r="H14120" s="755">
        <v>55</v>
      </c>
      <c r="V14120">
        <v>19</v>
      </c>
    </row>
    <row r="14121" spans="1:22" customFormat="1" ht="26.25" x14ac:dyDescent="0.25">
      <c r="A14121" t="s">
        <v>311</v>
      </c>
      <c r="E14121" s="998" t="s">
        <v>3838</v>
      </c>
      <c r="F14121" s="998"/>
      <c r="G14121" s="754" t="s">
        <v>777</v>
      </c>
      <c r="H14121" s="755">
        <v>55</v>
      </c>
      <c r="V14121">
        <v>74</v>
      </c>
    </row>
    <row r="14122" spans="1:22" customFormat="1" ht="15" x14ac:dyDescent="0.25">
      <c r="A14122" t="s">
        <v>311</v>
      </c>
      <c r="E14122" s="856" t="s">
        <v>4062</v>
      </c>
      <c r="F14122" s="856"/>
      <c r="G14122" s="1"/>
      <c r="H14122" s="1"/>
      <c r="K14122" t="s">
        <v>5961</v>
      </c>
      <c r="V14122">
        <v>22</v>
      </c>
    </row>
    <row r="14123" spans="1:22" customFormat="1" ht="15" x14ac:dyDescent="0.25">
      <c r="A14123" t="s">
        <v>311</v>
      </c>
      <c r="E14123" s="998" t="s">
        <v>4700</v>
      </c>
      <c r="F14123" s="998"/>
      <c r="G14123" s="854"/>
      <c r="H14123" s="757"/>
      <c r="V14123">
        <v>24</v>
      </c>
    </row>
    <row r="14124" spans="1:22" customFormat="1" ht="26.25" x14ac:dyDescent="0.25">
      <c r="A14124" t="s">
        <v>311</v>
      </c>
      <c r="E14124" s="998" t="s">
        <v>4701</v>
      </c>
      <c r="F14124" s="998"/>
      <c r="G14124" s="854" t="s">
        <v>1118</v>
      </c>
      <c r="H14124" s="757">
        <v>1.5</v>
      </c>
      <c r="V14124">
        <v>74</v>
      </c>
    </row>
    <row r="14125" spans="1:22" customFormat="1" ht="26.25" x14ac:dyDescent="0.25">
      <c r="A14125" t="s">
        <v>311</v>
      </c>
      <c r="E14125" s="998" t="s">
        <v>4803</v>
      </c>
      <c r="F14125" s="998"/>
      <c r="G14125" s="754" t="s">
        <v>777</v>
      </c>
      <c r="H14125" s="757">
        <v>120</v>
      </c>
      <c r="V14125">
        <v>53</v>
      </c>
    </row>
    <row r="14126" spans="1:22" customFormat="1" ht="26.25" x14ac:dyDescent="0.25">
      <c r="A14126" t="s">
        <v>311</v>
      </c>
      <c r="E14126" s="998" t="s">
        <v>4804</v>
      </c>
      <c r="F14126" s="998"/>
      <c r="G14126" s="855" t="s">
        <v>777</v>
      </c>
      <c r="H14126" s="757">
        <v>400</v>
      </c>
      <c r="V14126">
        <v>52</v>
      </c>
    </row>
    <row r="14127" spans="1:22" customFormat="1" ht="26.25" x14ac:dyDescent="0.25">
      <c r="A14127" t="s">
        <v>311</v>
      </c>
      <c r="E14127" s="998" t="s">
        <v>4805</v>
      </c>
      <c r="F14127" s="998"/>
      <c r="G14127" s="754" t="s">
        <v>777</v>
      </c>
      <c r="H14127" s="757">
        <v>300</v>
      </c>
      <c r="V14127">
        <v>52</v>
      </c>
    </row>
    <row r="14128" spans="1:22" customFormat="1" ht="26.25" x14ac:dyDescent="0.25">
      <c r="A14128" t="s">
        <v>311</v>
      </c>
      <c r="E14128" s="998" t="s">
        <v>4806</v>
      </c>
      <c r="F14128" s="998"/>
      <c r="G14128" s="754" t="s">
        <v>777</v>
      </c>
      <c r="H14128" s="757">
        <v>820</v>
      </c>
      <c r="V14128">
        <v>51</v>
      </c>
    </row>
    <row r="14129" spans="1:22" customFormat="1" ht="15" x14ac:dyDescent="0.25">
      <c r="A14129" t="s">
        <v>311</v>
      </c>
      <c r="E14129" s="856" t="s">
        <v>3846</v>
      </c>
      <c r="F14129" s="856"/>
      <c r="G14129" s="649"/>
      <c r="H14129" s="730"/>
      <c r="V14129">
        <v>5</v>
      </c>
    </row>
    <row r="14130" spans="1:22" customFormat="1" ht="26.25" x14ac:dyDescent="0.25">
      <c r="A14130" t="s">
        <v>311</v>
      </c>
      <c r="E14130" s="998" t="s">
        <v>7693</v>
      </c>
      <c r="F14130" s="998"/>
      <c r="G14130" s="754" t="s">
        <v>777</v>
      </c>
      <c r="H14130" s="757">
        <v>120</v>
      </c>
      <c r="V14130">
        <v>59</v>
      </c>
    </row>
    <row r="14131" spans="1:22" customFormat="1" ht="26.25" x14ac:dyDescent="0.25">
      <c r="A14131" t="s">
        <v>311</v>
      </c>
      <c r="E14131" s="998" t="s">
        <v>7694</v>
      </c>
      <c r="F14131" s="998"/>
      <c r="G14131" s="754" t="s">
        <v>777</v>
      </c>
      <c r="H14131" s="757">
        <v>400</v>
      </c>
      <c r="V14131">
        <v>58</v>
      </c>
    </row>
    <row r="14132" spans="1:22" customFormat="1" ht="26.25" x14ac:dyDescent="0.25">
      <c r="A14132" t="s">
        <v>311</v>
      </c>
      <c r="E14132" s="998" t="s">
        <v>7695</v>
      </c>
      <c r="F14132" s="998"/>
      <c r="G14132" s="754" t="s">
        <v>777</v>
      </c>
      <c r="H14132" s="757">
        <v>300</v>
      </c>
      <c r="V14132">
        <v>58</v>
      </c>
    </row>
    <row r="14133" spans="1:22" customFormat="1" ht="26.25" x14ac:dyDescent="0.25">
      <c r="A14133" t="s">
        <v>311</v>
      </c>
      <c r="E14133" s="998" t="s">
        <v>7696</v>
      </c>
      <c r="F14133" s="998"/>
      <c r="G14133" s="754" t="s">
        <v>777</v>
      </c>
      <c r="H14133" s="757">
        <v>820</v>
      </c>
      <c r="V14133">
        <v>57</v>
      </c>
    </row>
    <row r="14134" spans="1:22" customFormat="1" ht="26.25" x14ac:dyDescent="0.25">
      <c r="A14134" t="s">
        <v>311</v>
      </c>
      <c r="E14134" s="998" t="s">
        <v>4702</v>
      </c>
      <c r="F14134" s="998"/>
      <c r="G14134" s="754" t="s">
        <v>777</v>
      </c>
      <c r="H14134" s="757">
        <v>2040</v>
      </c>
      <c r="V14134">
        <v>62</v>
      </c>
    </row>
    <row r="14135" spans="1:22" customFormat="1" ht="39" x14ac:dyDescent="0.25">
      <c r="A14135" t="s">
        <v>311</v>
      </c>
      <c r="E14135" s="998" t="s">
        <v>5962</v>
      </c>
      <c r="F14135" s="998"/>
      <c r="G14135" s="754" t="s">
        <v>777</v>
      </c>
      <c r="H14135" s="757">
        <v>39.14</v>
      </c>
      <c r="V14135">
        <v>84</v>
      </c>
    </row>
    <row r="14136" spans="1:22" customFormat="1" ht="18.75" x14ac:dyDescent="0.3">
      <c r="A14136" t="s">
        <v>311</v>
      </c>
      <c r="E14136" s="860" t="s">
        <v>3851</v>
      </c>
      <c r="F14136" s="860"/>
      <c r="G14136" s="381"/>
      <c r="H14136" s="381"/>
      <c r="K14136" t="s">
        <v>5963</v>
      </c>
      <c r="V14136">
        <v>38</v>
      </c>
    </row>
    <row r="14137" spans="1:22" customFormat="1" ht="15" x14ac:dyDescent="0.25">
      <c r="A14137" t="s">
        <v>311</v>
      </c>
      <c r="E14137" s="1505" t="s">
        <v>950</v>
      </c>
      <c r="F14137" s="1505"/>
      <c r="G14137" s="1497"/>
      <c r="H14137" s="1497"/>
      <c r="K14137" t="s">
        <v>3904</v>
      </c>
      <c r="V14137">
        <v>11</v>
      </c>
    </row>
    <row r="14138" spans="1:22" customFormat="1" ht="15" x14ac:dyDescent="0.25">
      <c r="A14138" t="s">
        <v>311</v>
      </c>
      <c r="E14138" s="1497" t="s">
        <v>951</v>
      </c>
      <c r="F14138" s="1497"/>
      <c r="G14138" s="1497"/>
      <c r="H14138" s="1497"/>
      <c r="V14138">
        <v>280</v>
      </c>
    </row>
    <row r="14139" spans="1:22" customFormat="1" ht="15" x14ac:dyDescent="0.25">
      <c r="A14139" t="s">
        <v>311</v>
      </c>
      <c r="E14139" s="1497" t="s">
        <v>952</v>
      </c>
      <c r="F14139" s="1497"/>
      <c r="G14139" s="1497"/>
      <c r="H14139" s="1497"/>
      <c r="V14139">
        <v>411</v>
      </c>
    </row>
    <row r="14140" spans="1:22" customFormat="1" ht="15" x14ac:dyDescent="0.25">
      <c r="A14140" t="s">
        <v>311</v>
      </c>
      <c r="E14140" s="1497" t="s">
        <v>1103</v>
      </c>
      <c r="F14140" s="1497"/>
      <c r="G14140" s="1497"/>
      <c r="H14140" s="1497"/>
      <c r="V14140">
        <v>211</v>
      </c>
    </row>
    <row r="14141" spans="1:22" customFormat="1" ht="15" x14ac:dyDescent="0.25">
      <c r="A14141" t="s">
        <v>311</v>
      </c>
      <c r="E14141" s="1497" t="s">
        <v>4848</v>
      </c>
      <c r="F14141" s="1497"/>
      <c r="G14141" s="1497"/>
      <c r="H14141" s="1497"/>
      <c r="V14141">
        <v>247</v>
      </c>
    </row>
    <row r="14142" spans="1:22" customFormat="1" ht="15" x14ac:dyDescent="0.25">
      <c r="A14142" t="s">
        <v>311</v>
      </c>
      <c r="E14142" s="1498" t="s">
        <v>5964</v>
      </c>
      <c r="F14142" s="1498"/>
      <c r="G14142" s="1498"/>
      <c r="H14142" s="1498"/>
      <c r="V14142">
        <v>201</v>
      </c>
    </row>
    <row r="14143" spans="1:22" customFormat="1" ht="39" x14ac:dyDescent="0.25">
      <c r="A14143" t="s">
        <v>311</v>
      </c>
      <c r="E14143" s="854" t="s">
        <v>849</v>
      </c>
      <c r="F14143" s="854"/>
      <c r="G14143" s="758" t="s">
        <v>777</v>
      </c>
      <c r="H14143" s="759">
        <v>121.23</v>
      </c>
      <c r="V14143">
        <v>106</v>
      </c>
    </row>
    <row r="14144" spans="1:22" customFormat="1" ht="15" x14ac:dyDescent="0.25">
      <c r="A14144" t="s">
        <v>311</v>
      </c>
      <c r="E14144" s="854" t="s">
        <v>4471</v>
      </c>
      <c r="F14144" s="854"/>
      <c r="G14144" s="758" t="s">
        <v>777</v>
      </c>
      <c r="H14144" s="759">
        <v>48.5</v>
      </c>
      <c r="V14144">
        <v>34</v>
      </c>
    </row>
    <row r="14145" spans="1:22" customFormat="1" ht="26.25" x14ac:dyDescent="0.25">
      <c r="A14145" t="s">
        <v>311</v>
      </c>
      <c r="E14145" s="854" t="s">
        <v>4472</v>
      </c>
      <c r="F14145" s="854"/>
      <c r="G14145" s="758" t="s">
        <v>852</v>
      </c>
      <c r="H14145" s="759">
        <v>1.2</v>
      </c>
      <c r="V14145">
        <v>51</v>
      </c>
    </row>
    <row r="14146" spans="1:22" customFormat="1" ht="26.25" x14ac:dyDescent="0.25">
      <c r="A14146" t="s">
        <v>311</v>
      </c>
      <c r="E14146" s="854" t="s">
        <v>853</v>
      </c>
      <c r="F14146" s="854"/>
      <c r="G14146" s="758" t="s">
        <v>852</v>
      </c>
      <c r="H14146" s="759">
        <v>0.71</v>
      </c>
      <c r="V14146">
        <v>75</v>
      </c>
    </row>
    <row r="14147" spans="1:22" customFormat="1" ht="26.25" x14ac:dyDescent="0.25">
      <c r="A14147" t="s">
        <v>311</v>
      </c>
      <c r="E14147" s="854" t="s">
        <v>854</v>
      </c>
      <c r="F14147" s="854"/>
      <c r="G14147" s="758" t="s">
        <v>852</v>
      </c>
      <c r="H14147" s="759">
        <v>-0.71</v>
      </c>
      <c r="V14147">
        <v>72</v>
      </c>
    </row>
    <row r="14148" spans="1:22" customFormat="1" ht="15" x14ac:dyDescent="0.25">
      <c r="A14148" t="s">
        <v>311</v>
      </c>
      <c r="E14148" s="854" t="s">
        <v>855</v>
      </c>
      <c r="F14148" s="854"/>
      <c r="G14148" s="756"/>
      <c r="H14148" s="728"/>
      <c r="V14148">
        <v>34</v>
      </c>
    </row>
    <row r="14149" spans="1:22" customFormat="1" ht="26.25" x14ac:dyDescent="0.25">
      <c r="A14149" t="s">
        <v>311</v>
      </c>
      <c r="E14149" s="854" t="s">
        <v>4313</v>
      </c>
      <c r="F14149" s="854"/>
      <c r="G14149" s="758" t="s">
        <v>777</v>
      </c>
      <c r="H14149" s="759">
        <v>0.61</v>
      </c>
      <c r="V14149">
        <v>62</v>
      </c>
    </row>
    <row r="14150" spans="1:22" customFormat="1" ht="26.25" x14ac:dyDescent="0.25">
      <c r="A14150" t="s">
        <v>311</v>
      </c>
      <c r="E14150" s="854" t="s">
        <v>4314</v>
      </c>
      <c r="F14150" s="854"/>
      <c r="G14150" s="758" t="s">
        <v>777</v>
      </c>
      <c r="H14150" s="759">
        <v>1.2</v>
      </c>
      <c r="V14150">
        <v>65</v>
      </c>
    </row>
    <row r="14151" spans="1:22" customFormat="1" ht="39" x14ac:dyDescent="0.25">
      <c r="A14151" t="s">
        <v>311</v>
      </c>
      <c r="E14151" s="854" t="s">
        <v>1108</v>
      </c>
      <c r="F14151" s="854"/>
      <c r="G14151" s="758"/>
      <c r="H14151" s="759"/>
      <c r="V14151">
        <v>91</v>
      </c>
    </row>
    <row r="14152" spans="1:22" customFormat="1" ht="39" x14ac:dyDescent="0.25">
      <c r="A14152" t="s">
        <v>311</v>
      </c>
      <c r="E14152" s="854" t="s">
        <v>1109</v>
      </c>
      <c r="F14152" s="854"/>
      <c r="G14152" s="758"/>
      <c r="H14152" s="759"/>
      <c r="V14152">
        <v>96</v>
      </c>
    </row>
    <row r="14153" spans="1:22" customFormat="1" ht="26.25" x14ac:dyDescent="0.25">
      <c r="A14153" t="s">
        <v>311</v>
      </c>
      <c r="E14153" s="854" t="s">
        <v>856</v>
      </c>
      <c r="F14153" s="854"/>
      <c r="G14153" s="758"/>
      <c r="H14153" s="759"/>
      <c r="V14153">
        <v>77</v>
      </c>
    </row>
    <row r="14154" spans="1:22" customFormat="1" ht="15" x14ac:dyDescent="0.25">
      <c r="A14154" t="s">
        <v>311</v>
      </c>
      <c r="E14154" s="854" t="s">
        <v>5965</v>
      </c>
      <c r="F14154" s="854"/>
      <c r="G14154" s="756"/>
      <c r="H14154" s="760" t="s">
        <v>857</v>
      </c>
      <c r="V14154">
        <v>23</v>
      </c>
    </row>
    <row r="14155" spans="1:22" customFormat="1" ht="15" x14ac:dyDescent="0.25">
      <c r="A14155" t="s">
        <v>311</v>
      </c>
      <c r="E14155" s="855" t="s">
        <v>5966</v>
      </c>
      <c r="F14155" s="855"/>
      <c r="G14155" s="758" t="s">
        <v>777</v>
      </c>
      <c r="H14155" s="759">
        <v>4.8499999999999996</v>
      </c>
      <c r="V14155">
        <v>74</v>
      </c>
    </row>
    <row r="14156" spans="1:22" customFormat="1" ht="18.75" x14ac:dyDescent="0.3">
      <c r="A14156" t="s">
        <v>311</v>
      </c>
      <c r="E14156" s="860" t="s">
        <v>3853</v>
      </c>
      <c r="F14156" s="860"/>
      <c r="G14156" s="381"/>
      <c r="H14156" s="381"/>
      <c r="K14156" t="s">
        <v>5967</v>
      </c>
      <c r="V14156">
        <v>12</v>
      </c>
    </row>
    <row r="14157" spans="1:22" customFormat="1" ht="15" x14ac:dyDescent="0.25">
      <c r="A14157" t="s">
        <v>311</v>
      </c>
      <c r="E14157" s="1497" t="s">
        <v>1114</v>
      </c>
      <c r="F14157" s="1497"/>
      <c r="G14157" s="1497"/>
      <c r="H14157" s="1497"/>
      <c r="V14157">
        <v>203</v>
      </c>
    </row>
    <row r="14158" spans="1:22" customFormat="1" ht="26.25" x14ac:dyDescent="0.25">
      <c r="A14158" t="s">
        <v>311</v>
      </c>
      <c r="E14158" s="854" t="s">
        <v>1115</v>
      </c>
      <c r="F14158" s="854"/>
      <c r="G14158" s="754"/>
      <c r="H14158" s="755">
        <v>1.0295000000000001</v>
      </c>
      <c r="V14158">
        <v>57</v>
      </c>
    </row>
    <row r="14159" spans="1:22" customFormat="1" ht="26.25" x14ac:dyDescent="0.25">
      <c r="A14159" t="s">
        <v>311</v>
      </c>
      <c r="E14159" s="854" t="s">
        <v>4072</v>
      </c>
      <c r="F14159" s="854"/>
      <c r="G14159" s="754"/>
      <c r="H14159" s="755">
        <v>1.0172000000000001</v>
      </c>
      <c r="V14159">
        <v>57</v>
      </c>
    </row>
    <row r="14160" spans="1:22" customFormat="1" ht="26.25" x14ac:dyDescent="0.25">
      <c r="A14160" t="s">
        <v>311</v>
      </c>
      <c r="E14160" s="854" t="s">
        <v>1117</v>
      </c>
      <c r="F14160" s="854"/>
      <c r="G14160" s="754"/>
      <c r="H14160" s="755">
        <v>1.0192000000000001</v>
      </c>
      <c r="V14160">
        <v>55</v>
      </c>
    </row>
    <row r="14161" spans="1:22" customFormat="1" ht="26.25" x14ac:dyDescent="0.25">
      <c r="A14161" t="s">
        <v>311</v>
      </c>
      <c r="E14161" s="854" t="s">
        <v>4073</v>
      </c>
      <c r="F14161" s="854"/>
      <c r="G14161" s="754"/>
      <c r="H14161" s="755">
        <v>1.0069999999999999</v>
      </c>
      <c r="J14161" t="s">
        <v>5968</v>
      </c>
      <c r="V14161">
        <v>55</v>
      </c>
    </row>
    <row r="14162" spans="1:22" customFormat="1" ht="23.25" x14ac:dyDescent="0.25">
      <c r="A14162" t="s">
        <v>279</v>
      </c>
      <c r="B14162" t="s">
        <v>6622</v>
      </c>
      <c r="C14162" t="s">
        <v>3755</v>
      </c>
      <c r="E14162" s="1482" t="s">
        <v>279</v>
      </c>
      <c r="F14162" s="1482"/>
      <c r="G14162" s="1482"/>
      <c r="H14162" s="1482"/>
      <c r="I14162" t="s">
        <v>94</v>
      </c>
      <c r="J14162" t="s">
        <v>6623</v>
      </c>
      <c r="K14162" t="s">
        <v>279</v>
      </c>
      <c r="M14162">
        <v>7</v>
      </c>
      <c r="V14162">
        <v>37</v>
      </c>
    </row>
    <row r="14163" spans="1:22" customFormat="1" ht="23.25" x14ac:dyDescent="0.25">
      <c r="A14163" t="s">
        <v>279</v>
      </c>
      <c r="B14163" t="s">
        <v>6622</v>
      </c>
      <c r="C14163" t="s">
        <v>3757</v>
      </c>
      <c r="E14163" s="1482" t="s">
        <v>6624</v>
      </c>
      <c r="F14163" s="1482"/>
      <c r="G14163" s="1482"/>
      <c r="H14163" s="1482"/>
      <c r="V14163">
        <v>23</v>
      </c>
    </row>
    <row r="14164" spans="1:22" customFormat="1" x14ac:dyDescent="0.25">
      <c r="A14164" t="s">
        <v>279</v>
      </c>
      <c r="B14164" t="s">
        <v>6622</v>
      </c>
      <c r="C14164" t="s">
        <v>3758</v>
      </c>
      <c r="E14164" s="1483" t="s">
        <v>944</v>
      </c>
      <c r="F14164" s="1483"/>
      <c r="G14164" s="1483"/>
      <c r="H14164" s="1483"/>
      <c r="V14164">
        <v>27</v>
      </c>
    </row>
    <row r="14165" spans="1:22" customFormat="1" ht="15.75" x14ac:dyDescent="0.25">
      <c r="A14165" t="s">
        <v>279</v>
      </c>
      <c r="B14165" t="s">
        <v>6622</v>
      </c>
      <c r="C14165" t="s">
        <v>3759</v>
      </c>
      <c r="E14165" s="1484" t="s">
        <v>6847</v>
      </c>
      <c r="F14165" s="1484"/>
      <c r="G14165" s="1484"/>
      <c r="H14165" s="1484"/>
      <c r="S14165">
        <v>45778</v>
      </c>
      <c r="V14165">
        <v>45</v>
      </c>
    </row>
    <row r="14166" spans="1:22" customFormat="1" ht="15" x14ac:dyDescent="0.25">
      <c r="A14166" t="s">
        <v>279</v>
      </c>
      <c r="B14166" t="s">
        <v>6622</v>
      </c>
      <c r="E14166" s="1485" t="s">
        <v>945</v>
      </c>
      <c r="F14166" s="1485"/>
      <c r="G14166" s="1485"/>
      <c r="H14166" s="1485"/>
      <c r="V14166">
        <v>52</v>
      </c>
    </row>
    <row r="14167" spans="1:22" customFormat="1" ht="15" x14ac:dyDescent="0.25">
      <c r="A14167" t="s">
        <v>279</v>
      </c>
      <c r="B14167" t="s">
        <v>6622</v>
      </c>
      <c r="E14167" s="1485" t="s">
        <v>946</v>
      </c>
      <c r="F14167" s="1485"/>
      <c r="G14167" s="1485"/>
      <c r="H14167" s="1485"/>
      <c r="V14167">
        <v>53</v>
      </c>
    </row>
    <row r="14168" spans="1:22" customFormat="1" ht="15" x14ac:dyDescent="0.25">
      <c r="A14168" t="s">
        <v>279</v>
      </c>
      <c r="B14168" t="s">
        <v>6622</v>
      </c>
      <c r="E14168" s="1477" t="s">
        <v>9664</v>
      </c>
      <c r="F14168" s="1477"/>
      <c r="G14168" s="1477"/>
      <c r="H14168" s="1477"/>
      <c r="K14168" t="s">
        <v>9664</v>
      </c>
      <c r="V14168">
        <v>12</v>
      </c>
    </row>
    <row r="14169" spans="1:22" customFormat="1" ht="15" x14ac:dyDescent="0.25">
      <c r="A14169" t="s">
        <v>279</v>
      </c>
      <c r="B14169" t="s">
        <v>6622</v>
      </c>
      <c r="E14169" s="1478" t="s">
        <v>170</v>
      </c>
      <c r="F14169" s="1472"/>
      <c r="G14169" s="1472"/>
      <c r="H14169" s="1472"/>
      <c r="K14169" t="s">
        <v>947</v>
      </c>
      <c r="V14169">
        <v>34</v>
      </c>
    </row>
    <row r="14170" spans="1:22" customFormat="1" ht="15" x14ac:dyDescent="0.25">
      <c r="A14170" t="s">
        <v>279</v>
      </c>
      <c r="B14170" t="s">
        <v>6622</v>
      </c>
      <c r="E14170" s="1472" t="s">
        <v>5881</v>
      </c>
      <c r="F14170" s="1472"/>
      <c r="G14170" s="1472"/>
      <c r="H14170" s="1472"/>
      <c r="K14170" t="s">
        <v>947</v>
      </c>
      <c r="V14170">
        <v>618</v>
      </c>
    </row>
    <row r="14171" spans="1:22" customFormat="1" ht="15" x14ac:dyDescent="0.25">
      <c r="A14171" t="s">
        <v>279</v>
      </c>
      <c r="B14171" t="s">
        <v>6622</v>
      </c>
      <c r="E14171" s="1469" t="s">
        <v>950</v>
      </c>
      <c r="F14171" s="1472"/>
      <c r="G14171" s="1472"/>
      <c r="H14171" s="1472"/>
      <c r="K14171" t="s">
        <v>949</v>
      </c>
      <c r="V14171">
        <v>11</v>
      </c>
    </row>
    <row r="14172" spans="1:22" customFormat="1" ht="15" x14ac:dyDescent="0.25">
      <c r="A14172" t="s">
        <v>279</v>
      </c>
      <c r="B14172" t="s">
        <v>6622</v>
      </c>
      <c r="E14172" s="1472" t="s">
        <v>5882</v>
      </c>
      <c r="F14172" s="1472"/>
      <c r="G14172" s="1472"/>
      <c r="H14172" s="1472"/>
      <c r="K14172" t="s">
        <v>947</v>
      </c>
      <c r="V14172">
        <v>282</v>
      </c>
    </row>
    <row r="14173" spans="1:22" customFormat="1" ht="15" x14ac:dyDescent="0.25">
      <c r="A14173" t="s">
        <v>279</v>
      </c>
      <c r="B14173" t="s">
        <v>6622</v>
      </c>
      <c r="E14173" s="1472" t="s">
        <v>952</v>
      </c>
      <c r="F14173" s="1472"/>
      <c r="G14173" s="1472"/>
      <c r="H14173" s="1472"/>
      <c r="K14173" t="s">
        <v>947</v>
      </c>
      <c r="V14173">
        <v>411</v>
      </c>
    </row>
    <row r="14174" spans="1:22" customFormat="1" ht="15" x14ac:dyDescent="0.25">
      <c r="A14174" t="s">
        <v>279</v>
      </c>
      <c r="B14174" t="s">
        <v>6622</v>
      </c>
      <c r="E14174" s="1472" t="s">
        <v>3761</v>
      </c>
      <c r="F14174" s="1472"/>
      <c r="G14174" s="1472"/>
      <c r="H14174" s="1472"/>
      <c r="K14174" t="s">
        <v>947</v>
      </c>
      <c r="V14174">
        <v>387</v>
      </c>
    </row>
    <row r="14175" spans="1:22" customFormat="1" ht="15" x14ac:dyDescent="0.25">
      <c r="A14175" t="s">
        <v>279</v>
      </c>
      <c r="B14175" t="s">
        <v>6622</v>
      </c>
      <c r="E14175" s="1472" t="s">
        <v>954</v>
      </c>
      <c r="F14175" s="1472"/>
      <c r="G14175" s="1472"/>
      <c r="H14175" s="1472"/>
      <c r="K14175" t="s">
        <v>947</v>
      </c>
      <c r="V14175">
        <v>246</v>
      </c>
    </row>
    <row r="14176" spans="1:22" customFormat="1" ht="15" x14ac:dyDescent="0.25">
      <c r="A14176" t="s">
        <v>279</v>
      </c>
      <c r="B14176" t="s">
        <v>6622</v>
      </c>
      <c r="E14176" s="1469" t="s">
        <v>956</v>
      </c>
      <c r="F14176" s="1472"/>
      <c r="G14176" s="1472"/>
      <c r="H14176" s="1472"/>
      <c r="K14176" t="s">
        <v>955</v>
      </c>
      <c r="V14176">
        <v>46</v>
      </c>
    </row>
    <row r="14177" spans="1:22" customFormat="1" ht="15" x14ac:dyDescent="0.25">
      <c r="A14177" t="s">
        <v>279</v>
      </c>
      <c r="B14177" t="s">
        <v>6622</v>
      </c>
      <c r="E14177" s="1467" t="s">
        <v>3773</v>
      </c>
      <c r="F14177" s="1467"/>
      <c r="G14177" s="952" t="s">
        <v>777</v>
      </c>
      <c r="H14177" s="1035">
        <v>33.57</v>
      </c>
      <c r="K14177" t="s">
        <v>947</v>
      </c>
      <c r="L14177" t="s">
        <v>690</v>
      </c>
      <c r="P14177" t="s">
        <v>957</v>
      </c>
      <c r="V14177">
        <v>14</v>
      </c>
    </row>
    <row r="14178" spans="1:22" customFormat="1" ht="15" x14ac:dyDescent="0.25">
      <c r="A14178" t="s">
        <v>279</v>
      </c>
      <c r="B14178" t="s">
        <v>6622</v>
      </c>
      <c r="E14178" s="1467" t="s">
        <v>6616</v>
      </c>
      <c r="F14178" s="1467"/>
      <c r="G14178" s="952" t="s">
        <v>777</v>
      </c>
      <c r="H14178" s="1035">
        <v>-1.1200000000000001</v>
      </c>
      <c r="K14178" t="s">
        <v>947</v>
      </c>
      <c r="L14178" t="s">
        <v>690</v>
      </c>
      <c r="P14178" t="s">
        <v>3925</v>
      </c>
      <c r="T14178">
        <v>45777</v>
      </c>
      <c r="V14178">
        <v>68</v>
      </c>
    </row>
    <row r="14179" spans="1:22" customFormat="1" ht="15" x14ac:dyDescent="0.25">
      <c r="A14179" t="s">
        <v>279</v>
      </c>
      <c r="B14179" t="s">
        <v>6622</v>
      </c>
      <c r="E14179" s="1467" t="s">
        <v>9665</v>
      </c>
      <c r="F14179" s="1467"/>
      <c r="G14179" s="952" t="s">
        <v>777</v>
      </c>
      <c r="H14179" s="1035">
        <v>1.04</v>
      </c>
      <c r="K14179" t="s">
        <v>947</v>
      </c>
      <c r="L14179" t="s">
        <v>690</v>
      </c>
      <c r="P14179" t="s">
        <v>3927</v>
      </c>
      <c r="V14179">
        <v>136</v>
      </c>
    </row>
    <row r="14180" spans="1:22" customFormat="1" ht="15" x14ac:dyDescent="0.25">
      <c r="A14180" t="s">
        <v>279</v>
      </c>
      <c r="B14180" t="s">
        <v>6622</v>
      </c>
      <c r="E14180" s="1467" t="s">
        <v>6630</v>
      </c>
      <c r="F14180" s="1467"/>
      <c r="G14180" s="952" t="s">
        <v>777</v>
      </c>
      <c r="H14180" s="1035">
        <v>0.92</v>
      </c>
      <c r="K14180" t="s">
        <v>947</v>
      </c>
      <c r="L14180" t="s">
        <v>690</v>
      </c>
      <c r="P14180" t="s">
        <v>9666</v>
      </c>
      <c r="V14180">
        <v>128</v>
      </c>
    </row>
    <row r="14181" spans="1:22" customFormat="1" ht="15" x14ac:dyDescent="0.25">
      <c r="A14181" t="s">
        <v>279</v>
      </c>
      <c r="B14181" t="s">
        <v>6622</v>
      </c>
      <c r="E14181" s="1467" t="s">
        <v>960</v>
      </c>
      <c r="F14181" s="1467"/>
      <c r="G14181" s="952" t="s">
        <v>777</v>
      </c>
      <c r="H14181" s="1035">
        <v>0.42</v>
      </c>
      <c r="K14181" t="s">
        <v>947</v>
      </c>
      <c r="L14181" t="s">
        <v>692</v>
      </c>
      <c r="P14181" t="s">
        <v>959</v>
      </c>
      <c r="V14181">
        <v>64</v>
      </c>
    </row>
    <row r="14182" spans="1:22" customFormat="1" ht="15" x14ac:dyDescent="0.25">
      <c r="A14182" t="s">
        <v>279</v>
      </c>
      <c r="B14182" t="s">
        <v>6622</v>
      </c>
      <c r="E14182" s="1467" t="s">
        <v>9667</v>
      </c>
      <c r="F14182" s="1467"/>
      <c r="G14182" s="952" t="s">
        <v>777</v>
      </c>
      <c r="H14182" s="1035">
        <v>1.68</v>
      </c>
      <c r="K14182" t="s">
        <v>947</v>
      </c>
      <c r="L14182" t="s">
        <v>690</v>
      </c>
      <c r="P14182" t="s">
        <v>9668</v>
      </c>
      <c r="T14182">
        <v>46022</v>
      </c>
      <c r="V14182">
        <v>82</v>
      </c>
    </row>
    <row r="14183" spans="1:22" customFormat="1" ht="15" x14ac:dyDescent="0.25">
      <c r="A14183" t="s">
        <v>279</v>
      </c>
      <c r="B14183" t="s">
        <v>6622</v>
      </c>
      <c r="E14183" s="1467" t="s">
        <v>6625</v>
      </c>
      <c r="F14183" s="1468"/>
      <c r="G14183" s="952" t="s">
        <v>777</v>
      </c>
      <c r="H14183" s="1035">
        <v>-0.06</v>
      </c>
      <c r="K14183" t="s">
        <v>947</v>
      </c>
      <c r="L14183" t="s">
        <v>690</v>
      </c>
      <c r="P14183" t="s">
        <v>4787</v>
      </c>
      <c r="T14183">
        <v>46022</v>
      </c>
      <c r="V14183">
        <v>83</v>
      </c>
    </row>
    <row r="14184" spans="1:22" customFormat="1" ht="15" x14ac:dyDescent="0.25">
      <c r="A14184" t="s">
        <v>279</v>
      </c>
      <c r="B14184" t="s">
        <v>6622</v>
      </c>
      <c r="E14184" s="1467" t="s">
        <v>5448</v>
      </c>
      <c r="F14184" s="1467"/>
      <c r="G14184" s="952" t="s">
        <v>777</v>
      </c>
      <c r="H14184" s="1035">
        <v>-0.06</v>
      </c>
      <c r="K14184" t="s">
        <v>947</v>
      </c>
      <c r="L14184" t="s">
        <v>690</v>
      </c>
      <c r="P14184" t="s">
        <v>4787</v>
      </c>
      <c r="T14184">
        <v>45777</v>
      </c>
      <c r="V14184">
        <v>80</v>
      </c>
    </row>
    <row r="14185" spans="1:22" customFormat="1" ht="15" x14ac:dyDescent="0.25">
      <c r="A14185" t="s">
        <v>279</v>
      </c>
      <c r="B14185" t="s">
        <v>6622</v>
      </c>
      <c r="E14185" s="1486" t="s">
        <v>910</v>
      </c>
      <c r="F14185" s="1486"/>
      <c r="G14185" s="952" t="s">
        <v>845</v>
      </c>
      <c r="H14185" s="1036">
        <v>2.9999999999999997E-4</v>
      </c>
      <c r="K14185" t="s">
        <v>947</v>
      </c>
      <c r="L14185" t="s">
        <v>692</v>
      </c>
      <c r="P14185" t="s">
        <v>961</v>
      </c>
      <c r="V14185">
        <v>24</v>
      </c>
    </row>
    <row r="14186" spans="1:22" customFormat="1" ht="15" x14ac:dyDescent="0.25">
      <c r="A14186" t="s">
        <v>279</v>
      </c>
      <c r="B14186" t="s">
        <v>6622</v>
      </c>
      <c r="E14186" s="1486" t="s">
        <v>6519</v>
      </c>
      <c r="F14186" s="1468"/>
      <c r="G14186" s="952" t="s">
        <v>845</v>
      </c>
      <c r="H14186" s="1036">
        <v>2.5000000000000001E-3</v>
      </c>
      <c r="K14186" t="s">
        <v>947</v>
      </c>
      <c r="L14186" t="s">
        <v>692</v>
      </c>
      <c r="P14186" t="s">
        <v>962</v>
      </c>
      <c r="T14186">
        <v>46022</v>
      </c>
      <c r="V14186">
        <v>142</v>
      </c>
    </row>
    <row r="14187" spans="1:22" customFormat="1" ht="15" x14ac:dyDescent="0.25">
      <c r="A14187" t="s">
        <v>279</v>
      </c>
      <c r="B14187" t="s">
        <v>6622</v>
      </c>
      <c r="E14187" s="1486" t="s">
        <v>6520</v>
      </c>
      <c r="F14187" s="1468"/>
      <c r="G14187" s="952" t="s">
        <v>845</v>
      </c>
      <c r="H14187" s="1036">
        <v>8.9999999999999998E-4</v>
      </c>
      <c r="K14187" t="s">
        <v>947</v>
      </c>
      <c r="L14187" t="s">
        <v>692</v>
      </c>
      <c r="P14187" t="s">
        <v>963</v>
      </c>
      <c r="T14187">
        <v>46022</v>
      </c>
      <c r="V14187">
        <v>99</v>
      </c>
    </row>
    <row r="14188" spans="1:22" customFormat="1" ht="15" x14ac:dyDescent="0.25">
      <c r="A14188" t="s">
        <v>279</v>
      </c>
      <c r="B14188" t="s">
        <v>6622</v>
      </c>
      <c r="E14188" s="1467" t="s">
        <v>5262</v>
      </c>
      <c r="F14188" s="1467"/>
      <c r="G14188" s="952" t="s">
        <v>845</v>
      </c>
      <c r="H14188" s="1036">
        <v>1.9E-3</v>
      </c>
      <c r="K14188" t="s">
        <v>947</v>
      </c>
      <c r="L14188" t="s">
        <v>692</v>
      </c>
      <c r="P14188" t="s">
        <v>962</v>
      </c>
      <c r="T14188">
        <v>45777</v>
      </c>
      <c r="V14188">
        <v>139</v>
      </c>
    </row>
    <row r="14189" spans="1:22" customFormat="1" ht="15" x14ac:dyDescent="0.25">
      <c r="A14189" t="s">
        <v>279</v>
      </c>
      <c r="B14189" t="s">
        <v>6622</v>
      </c>
      <c r="E14189" s="1467" t="s">
        <v>5263</v>
      </c>
      <c r="F14189" s="1467"/>
      <c r="G14189" s="952" t="s">
        <v>845</v>
      </c>
      <c r="H14189" s="1036">
        <v>6.0000000000000001E-3</v>
      </c>
      <c r="K14189" t="s">
        <v>947</v>
      </c>
      <c r="L14189" t="s">
        <v>692</v>
      </c>
      <c r="P14189" t="s">
        <v>963</v>
      </c>
      <c r="T14189">
        <v>45777</v>
      </c>
      <c r="V14189">
        <v>96</v>
      </c>
    </row>
    <row r="14190" spans="1:22" customFormat="1" ht="15" x14ac:dyDescent="0.25">
      <c r="A14190" t="s">
        <v>279</v>
      </c>
      <c r="B14190" t="s">
        <v>6622</v>
      </c>
      <c r="E14190" s="1467" t="s">
        <v>6634</v>
      </c>
      <c r="F14190" s="1468"/>
      <c r="G14190" s="952" t="s">
        <v>845</v>
      </c>
      <c r="H14190" s="1036">
        <v>1E-4</v>
      </c>
      <c r="K14190" t="s">
        <v>947</v>
      </c>
      <c r="L14190" t="s">
        <v>692</v>
      </c>
      <c r="P14190" t="s">
        <v>3764</v>
      </c>
      <c r="T14190">
        <v>46022</v>
      </c>
      <c r="V14190">
        <v>142</v>
      </c>
    </row>
    <row r="14191" spans="1:22" customFormat="1" ht="15" x14ac:dyDescent="0.25">
      <c r="A14191" t="s">
        <v>279</v>
      </c>
      <c r="B14191" t="s">
        <v>6622</v>
      </c>
      <c r="E14191" s="1467" t="s">
        <v>9669</v>
      </c>
      <c r="F14191" s="1467"/>
      <c r="G14191" s="952" t="s">
        <v>845</v>
      </c>
      <c r="H14191" s="1036">
        <v>-1E-4</v>
      </c>
      <c r="K14191" t="s">
        <v>947</v>
      </c>
      <c r="L14191" t="s">
        <v>692</v>
      </c>
      <c r="P14191" t="s">
        <v>3764</v>
      </c>
      <c r="T14191">
        <v>45777</v>
      </c>
      <c r="V14191">
        <v>139</v>
      </c>
    </row>
    <row r="14192" spans="1:22" customFormat="1" ht="15" x14ac:dyDescent="0.25">
      <c r="A14192" t="s">
        <v>279</v>
      </c>
      <c r="B14192" t="s">
        <v>6622</v>
      </c>
      <c r="E14192" s="1467" t="s">
        <v>243</v>
      </c>
      <c r="F14192" s="1467"/>
      <c r="G14192" s="952" t="s">
        <v>845</v>
      </c>
      <c r="H14192" s="1036">
        <v>1.34E-2</v>
      </c>
      <c r="K14192" t="s">
        <v>947</v>
      </c>
      <c r="L14192" t="s">
        <v>694</v>
      </c>
      <c r="P14192" t="s">
        <v>964</v>
      </c>
      <c r="V14192">
        <v>47</v>
      </c>
    </row>
    <row r="14193" spans="1:22" customFormat="1" ht="15" x14ac:dyDescent="0.25">
      <c r="A14193" t="s">
        <v>279</v>
      </c>
      <c r="B14193" t="s">
        <v>6622</v>
      </c>
      <c r="E14193" s="1467" t="s">
        <v>175</v>
      </c>
      <c r="F14193" s="1467"/>
      <c r="G14193" s="952" t="s">
        <v>845</v>
      </c>
      <c r="H14193" s="1036">
        <v>1.0200000000000001E-2</v>
      </c>
      <c r="K14193" t="s">
        <v>947</v>
      </c>
      <c r="L14193" t="s">
        <v>694</v>
      </c>
      <c r="P14193" t="s">
        <v>965</v>
      </c>
      <c r="V14193">
        <v>74</v>
      </c>
    </row>
    <row r="14194" spans="1:22" customFormat="1" ht="15" x14ac:dyDescent="0.25">
      <c r="A14194" t="s">
        <v>279</v>
      </c>
      <c r="B14194" t="s">
        <v>6622</v>
      </c>
      <c r="E14194" s="1469" t="s">
        <v>967</v>
      </c>
      <c r="F14194" s="1467"/>
      <c r="G14194" s="1467"/>
      <c r="H14194" s="1467"/>
      <c r="K14194" t="s">
        <v>966</v>
      </c>
      <c r="V14194">
        <v>48</v>
      </c>
    </row>
    <row r="14195" spans="1:22" customFormat="1" ht="15" x14ac:dyDescent="0.25">
      <c r="A14195" t="s">
        <v>279</v>
      </c>
      <c r="B14195" t="s">
        <v>6622</v>
      </c>
      <c r="E14195" s="1467" t="s">
        <v>844</v>
      </c>
      <c r="F14195" s="1467"/>
      <c r="G14195" s="952" t="s">
        <v>845</v>
      </c>
      <c r="H14195" s="1036">
        <v>4.1000000000000003E-3</v>
      </c>
      <c r="K14195" t="s">
        <v>947</v>
      </c>
      <c r="L14195" t="s">
        <v>968</v>
      </c>
      <c r="P14195" t="s">
        <v>969</v>
      </c>
      <c r="V14195">
        <v>55</v>
      </c>
    </row>
    <row r="14196" spans="1:22" customFormat="1" ht="15" x14ac:dyDescent="0.25">
      <c r="A14196" t="s">
        <v>279</v>
      </c>
      <c r="B14196" t="s">
        <v>6622</v>
      </c>
      <c r="E14196" s="1486" t="s">
        <v>846</v>
      </c>
      <c r="F14196" s="1486"/>
      <c r="G14196" s="952" t="s">
        <v>845</v>
      </c>
      <c r="H14196" s="1036">
        <v>4.0000000000000002E-4</v>
      </c>
      <c r="K14196" t="s">
        <v>947</v>
      </c>
      <c r="L14196" t="s">
        <v>968</v>
      </c>
      <c r="P14196" t="s">
        <v>969</v>
      </c>
      <c r="V14196">
        <v>65</v>
      </c>
    </row>
    <row r="14197" spans="1:22" customFormat="1" ht="15" x14ac:dyDescent="0.25">
      <c r="A14197" t="s">
        <v>279</v>
      </c>
      <c r="B14197" t="s">
        <v>6622</v>
      </c>
      <c r="E14197" s="1467" t="s">
        <v>847</v>
      </c>
      <c r="F14197" s="1467"/>
      <c r="G14197" s="952" t="s">
        <v>845</v>
      </c>
      <c r="H14197" s="1036">
        <v>1.5E-3</v>
      </c>
      <c r="K14197" t="s">
        <v>947</v>
      </c>
      <c r="L14197" t="s">
        <v>968</v>
      </c>
      <c r="P14197" t="s">
        <v>970</v>
      </c>
      <c r="V14197">
        <v>57</v>
      </c>
    </row>
    <row r="14198" spans="1:22" customFormat="1" ht="15" x14ac:dyDescent="0.25">
      <c r="A14198" t="s">
        <v>279</v>
      </c>
      <c r="B14198" t="s">
        <v>6622</v>
      </c>
      <c r="E14198" s="1467" t="s">
        <v>848</v>
      </c>
      <c r="F14198" s="1467"/>
      <c r="G14198" s="952" t="s">
        <v>777</v>
      </c>
      <c r="H14198" s="1035">
        <v>0.25</v>
      </c>
      <c r="K14198" t="s">
        <v>947</v>
      </c>
      <c r="L14198" t="s">
        <v>968</v>
      </c>
      <c r="P14198" t="s">
        <v>971</v>
      </c>
      <c r="V14198">
        <v>63</v>
      </c>
    </row>
    <row r="14199" spans="1:22" customFormat="1" x14ac:dyDescent="0.25">
      <c r="A14199" t="s">
        <v>279</v>
      </c>
      <c r="B14199" t="s">
        <v>6622</v>
      </c>
      <c r="E14199" s="1470" t="s">
        <v>174</v>
      </c>
      <c r="F14199" s="1471"/>
      <c r="G14199" s="1471"/>
      <c r="H14199" s="1471"/>
      <c r="K14199" t="s">
        <v>972</v>
      </c>
      <c r="V14199">
        <v>54</v>
      </c>
    </row>
    <row r="14200" spans="1:22" customFormat="1" ht="15" x14ac:dyDescent="0.25">
      <c r="A14200" t="s">
        <v>279</v>
      </c>
      <c r="B14200" t="s">
        <v>6622</v>
      </c>
      <c r="E14200" s="1472" t="s">
        <v>3765</v>
      </c>
      <c r="F14200" s="1472"/>
      <c r="G14200" s="1472"/>
      <c r="H14200" s="1472"/>
      <c r="K14200" t="s">
        <v>972</v>
      </c>
      <c r="V14200">
        <v>402</v>
      </c>
    </row>
    <row r="14201" spans="1:22" customFormat="1" ht="15" x14ac:dyDescent="0.25">
      <c r="A14201" t="s">
        <v>279</v>
      </c>
      <c r="B14201" t="s">
        <v>6622</v>
      </c>
      <c r="E14201" s="1469" t="s">
        <v>950</v>
      </c>
      <c r="F14201" s="1472"/>
      <c r="G14201" s="1472"/>
      <c r="H14201" s="1472"/>
      <c r="K14201" t="s">
        <v>974</v>
      </c>
      <c r="V14201">
        <v>11</v>
      </c>
    </row>
    <row r="14202" spans="1:22" customFormat="1" ht="15" x14ac:dyDescent="0.25">
      <c r="A14202" t="s">
        <v>279</v>
      </c>
      <c r="B14202" t="s">
        <v>6622</v>
      </c>
      <c r="E14202" s="1472" t="s">
        <v>951</v>
      </c>
      <c r="F14202" s="1472"/>
      <c r="G14202" s="1472"/>
      <c r="H14202" s="1472"/>
      <c r="K14202" t="s">
        <v>972</v>
      </c>
      <c r="V14202">
        <v>280</v>
      </c>
    </row>
    <row r="14203" spans="1:22" customFormat="1" ht="15" x14ac:dyDescent="0.25">
      <c r="A14203" t="s">
        <v>279</v>
      </c>
      <c r="B14203" t="s">
        <v>6622</v>
      </c>
      <c r="E14203" s="1472" t="s">
        <v>952</v>
      </c>
      <c r="F14203" s="1472"/>
      <c r="G14203" s="1472"/>
      <c r="H14203" s="1472"/>
      <c r="K14203" t="s">
        <v>972</v>
      </c>
      <c r="V14203">
        <v>411</v>
      </c>
    </row>
    <row r="14204" spans="1:22" customFormat="1" ht="15" x14ac:dyDescent="0.25">
      <c r="A14204" t="s">
        <v>279</v>
      </c>
      <c r="B14204" t="s">
        <v>6622</v>
      </c>
      <c r="E14204" s="1472" t="s">
        <v>3761</v>
      </c>
      <c r="F14204" s="1472"/>
      <c r="G14204" s="1472"/>
      <c r="H14204" s="1472"/>
      <c r="K14204" t="s">
        <v>972</v>
      </c>
      <c r="V14204">
        <v>387</v>
      </c>
    </row>
    <row r="14205" spans="1:22" customFormat="1" ht="15" x14ac:dyDescent="0.25">
      <c r="A14205" t="s">
        <v>279</v>
      </c>
      <c r="B14205" t="s">
        <v>6622</v>
      </c>
      <c r="E14205" s="1472" t="s">
        <v>954</v>
      </c>
      <c r="F14205" s="1472"/>
      <c r="G14205" s="1472"/>
      <c r="H14205" s="1472"/>
      <c r="K14205" t="s">
        <v>972</v>
      </c>
      <c r="V14205">
        <v>246</v>
      </c>
    </row>
    <row r="14206" spans="1:22" customFormat="1" ht="15" x14ac:dyDescent="0.25">
      <c r="A14206" t="s">
        <v>279</v>
      </c>
      <c r="B14206" t="s">
        <v>6622</v>
      </c>
      <c r="E14206" s="1469" t="s">
        <v>956</v>
      </c>
      <c r="F14206" s="1472"/>
      <c r="G14206" s="1472"/>
      <c r="H14206" s="1472"/>
      <c r="K14206" t="s">
        <v>975</v>
      </c>
      <c r="V14206">
        <v>46</v>
      </c>
    </row>
    <row r="14207" spans="1:22" customFormat="1" ht="15" x14ac:dyDescent="0.25">
      <c r="A14207" t="s">
        <v>279</v>
      </c>
      <c r="B14207" t="s">
        <v>6622</v>
      </c>
      <c r="E14207" s="1467" t="s">
        <v>3773</v>
      </c>
      <c r="F14207" s="1467"/>
      <c r="G14207" s="952" t="s">
        <v>777</v>
      </c>
      <c r="H14207" s="1035">
        <v>36.700000000000003</v>
      </c>
      <c r="K14207" t="s">
        <v>972</v>
      </c>
      <c r="L14207" t="s">
        <v>690</v>
      </c>
      <c r="P14207" t="s">
        <v>976</v>
      </c>
      <c r="V14207">
        <v>14</v>
      </c>
    </row>
    <row r="14208" spans="1:22" customFormat="1" ht="15" x14ac:dyDescent="0.25">
      <c r="A14208" t="s">
        <v>279</v>
      </c>
      <c r="B14208" t="s">
        <v>6622</v>
      </c>
      <c r="E14208" s="1467" t="s">
        <v>6618</v>
      </c>
      <c r="F14208" s="1467"/>
      <c r="G14208" s="952" t="s">
        <v>777</v>
      </c>
      <c r="H14208" s="1035">
        <v>-1.22</v>
      </c>
      <c r="K14208" t="s">
        <v>972</v>
      </c>
      <c r="L14208" t="s">
        <v>690</v>
      </c>
      <c r="P14208" t="s">
        <v>976</v>
      </c>
      <c r="T14208">
        <v>45777</v>
      </c>
      <c r="V14208">
        <v>84</v>
      </c>
    </row>
    <row r="14209" spans="1:22" customFormat="1" ht="15" x14ac:dyDescent="0.25">
      <c r="A14209" t="s">
        <v>279</v>
      </c>
      <c r="B14209" t="s">
        <v>6622</v>
      </c>
      <c r="E14209" s="1467" t="s">
        <v>9665</v>
      </c>
      <c r="F14209" s="1467"/>
      <c r="G14209" s="952" t="s">
        <v>777</v>
      </c>
      <c r="H14209" s="1035">
        <v>1.1299999999999999</v>
      </c>
      <c r="K14209" t="s">
        <v>972</v>
      </c>
      <c r="L14209" t="s">
        <v>690</v>
      </c>
      <c r="P14209" t="s">
        <v>9670</v>
      </c>
      <c r="V14209">
        <v>136</v>
      </c>
    </row>
    <row r="14210" spans="1:22" customFormat="1" ht="15" x14ac:dyDescent="0.25">
      <c r="A14210" t="s">
        <v>279</v>
      </c>
      <c r="B14210" t="s">
        <v>6622</v>
      </c>
      <c r="E14210" s="1467" t="s">
        <v>6630</v>
      </c>
      <c r="F14210" s="1467"/>
      <c r="G14210" s="952" t="s">
        <v>777</v>
      </c>
      <c r="H14210" s="1035">
        <v>1</v>
      </c>
      <c r="K14210" t="s">
        <v>972</v>
      </c>
      <c r="L14210" t="s">
        <v>690</v>
      </c>
      <c r="P14210" t="s">
        <v>9671</v>
      </c>
      <c r="V14210">
        <v>128</v>
      </c>
    </row>
    <row r="14211" spans="1:22" customFormat="1" ht="15" x14ac:dyDescent="0.25">
      <c r="A14211" t="s">
        <v>279</v>
      </c>
      <c r="B14211" t="s">
        <v>6622</v>
      </c>
      <c r="E14211" s="1467" t="s">
        <v>960</v>
      </c>
      <c r="F14211" s="1467"/>
      <c r="G14211" s="952" t="s">
        <v>777</v>
      </c>
      <c r="H14211" s="1035">
        <v>0.42</v>
      </c>
      <c r="K14211" t="s">
        <v>972</v>
      </c>
      <c r="L14211" t="s">
        <v>692</v>
      </c>
      <c r="P14211" t="s">
        <v>977</v>
      </c>
      <c r="V14211">
        <v>64</v>
      </c>
    </row>
    <row r="14212" spans="1:22" customFormat="1" ht="15" x14ac:dyDescent="0.25">
      <c r="A14212" t="s">
        <v>279</v>
      </c>
      <c r="B14212" t="s">
        <v>6622</v>
      </c>
      <c r="E14212" s="1467" t="s">
        <v>3688</v>
      </c>
      <c r="F14212" s="1467"/>
      <c r="G14212" s="952" t="s">
        <v>845</v>
      </c>
      <c r="H14212" s="1036">
        <v>2.41E-2</v>
      </c>
      <c r="K14212" t="s">
        <v>972</v>
      </c>
      <c r="L14212" t="s">
        <v>690</v>
      </c>
      <c r="P14212" t="s">
        <v>978</v>
      </c>
      <c r="V14212">
        <v>28</v>
      </c>
    </row>
    <row r="14213" spans="1:22" customFormat="1" ht="15" x14ac:dyDescent="0.25">
      <c r="A14213" t="s">
        <v>279</v>
      </c>
      <c r="B14213" t="s">
        <v>6622</v>
      </c>
      <c r="E14213" s="1486" t="s">
        <v>910</v>
      </c>
      <c r="F14213" s="1486"/>
      <c r="G14213" s="952" t="s">
        <v>845</v>
      </c>
      <c r="H14213" s="1036">
        <v>2.9999999999999997E-4</v>
      </c>
      <c r="K14213" t="s">
        <v>972</v>
      </c>
      <c r="L14213" t="s">
        <v>692</v>
      </c>
      <c r="P14213" t="s">
        <v>980</v>
      </c>
      <c r="V14213">
        <v>24</v>
      </c>
    </row>
    <row r="14214" spans="1:22" customFormat="1" ht="15" x14ac:dyDescent="0.25">
      <c r="A14214" t="s">
        <v>279</v>
      </c>
      <c r="B14214" t="s">
        <v>6622</v>
      </c>
      <c r="E14214" s="1467" t="s">
        <v>9667</v>
      </c>
      <c r="F14214" s="1467"/>
      <c r="G14214" s="952" t="s">
        <v>845</v>
      </c>
      <c r="H14214" s="1036">
        <v>1.6999999999999999E-3</v>
      </c>
      <c r="K14214" t="s">
        <v>972</v>
      </c>
      <c r="L14214" t="s">
        <v>690</v>
      </c>
      <c r="P14214" t="s">
        <v>7021</v>
      </c>
      <c r="T14214">
        <v>46022</v>
      </c>
      <c r="V14214">
        <v>82</v>
      </c>
    </row>
    <row r="14215" spans="1:22" customFormat="1" ht="15" x14ac:dyDescent="0.25">
      <c r="A14215" t="s">
        <v>279</v>
      </c>
      <c r="B14215" t="s">
        <v>6622</v>
      </c>
      <c r="E14215" s="1486" t="s">
        <v>6519</v>
      </c>
      <c r="F14215" s="1468"/>
      <c r="G14215" s="952" t="s">
        <v>845</v>
      </c>
      <c r="H14215" s="1036">
        <v>2.5000000000000001E-3</v>
      </c>
      <c r="K14215" t="s">
        <v>972</v>
      </c>
      <c r="L14215" t="s">
        <v>692</v>
      </c>
      <c r="P14215" t="s">
        <v>981</v>
      </c>
      <c r="T14215">
        <v>46022</v>
      </c>
      <c r="V14215">
        <v>142</v>
      </c>
    </row>
    <row r="14216" spans="1:22" customFormat="1" ht="15" x14ac:dyDescent="0.25">
      <c r="A14216" t="s">
        <v>279</v>
      </c>
      <c r="B14216" t="s">
        <v>6622</v>
      </c>
      <c r="E14216" s="1486" t="s">
        <v>6520</v>
      </c>
      <c r="F14216" s="1468"/>
      <c r="G14216" s="952" t="s">
        <v>845</v>
      </c>
      <c r="H14216" s="1036">
        <v>1E-3</v>
      </c>
      <c r="K14216" t="s">
        <v>972</v>
      </c>
      <c r="L14216" t="s">
        <v>692</v>
      </c>
      <c r="P14216" t="s">
        <v>982</v>
      </c>
      <c r="T14216">
        <v>46022</v>
      </c>
      <c r="V14216">
        <v>99</v>
      </c>
    </row>
    <row r="14217" spans="1:22" customFormat="1" ht="15" x14ac:dyDescent="0.25">
      <c r="A14217" t="s">
        <v>279</v>
      </c>
      <c r="B14217" t="s">
        <v>6622</v>
      </c>
      <c r="E14217" s="1467" t="s">
        <v>5262</v>
      </c>
      <c r="F14217" s="1467"/>
      <c r="G14217" s="952" t="s">
        <v>845</v>
      </c>
      <c r="H14217" s="1036">
        <v>1.9E-3</v>
      </c>
      <c r="K14217" t="s">
        <v>972</v>
      </c>
      <c r="L14217" t="s">
        <v>692</v>
      </c>
      <c r="P14217" t="s">
        <v>981</v>
      </c>
      <c r="T14217">
        <v>45777</v>
      </c>
      <c r="V14217">
        <v>139</v>
      </c>
    </row>
    <row r="14218" spans="1:22" customFormat="1" ht="15" x14ac:dyDescent="0.25">
      <c r="A14218" t="s">
        <v>279</v>
      </c>
      <c r="B14218" t="s">
        <v>6622</v>
      </c>
      <c r="E14218" s="1467" t="s">
        <v>5263</v>
      </c>
      <c r="F14218" s="1467"/>
      <c r="G14218" s="952" t="s">
        <v>845</v>
      </c>
      <c r="H14218" s="1036">
        <v>6.1999999999999998E-3</v>
      </c>
      <c r="K14218" t="s">
        <v>972</v>
      </c>
      <c r="L14218" t="s">
        <v>692</v>
      </c>
      <c r="P14218" t="s">
        <v>982</v>
      </c>
      <c r="T14218">
        <v>45777</v>
      </c>
      <c r="V14218">
        <v>96</v>
      </c>
    </row>
    <row r="14219" spans="1:22" customFormat="1" ht="15" x14ac:dyDescent="0.25">
      <c r="A14219" t="s">
        <v>279</v>
      </c>
      <c r="B14219" t="s">
        <v>6622</v>
      </c>
      <c r="E14219" s="1467" t="s">
        <v>9672</v>
      </c>
      <c r="F14219" s="1468"/>
      <c r="G14219" s="952" t="s">
        <v>845</v>
      </c>
      <c r="H14219" s="1036">
        <v>1E-4</v>
      </c>
      <c r="K14219" t="s">
        <v>972</v>
      </c>
      <c r="L14219" t="s">
        <v>692</v>
      </c>
      <c r="P14219" t="s">
        <v>3766</v>
      </c>
      <c r="T14219">
        <v>46022</v>
      </c>
      <c r="V14219">
        <v>150</v>
      </c>
    </row>
    <row r="14220" spans="1:22" customFormat="1" ht="15" x14ac:dyDescent="0.25">
      <c r="A14220" t="s">
        <v>279</v>
      </c>
      <c r="B14220" t="s">
        <v>6622</v>
      </c>
      <c r="E14220" s="1467" t="s">
        <v>5264</v>
      </c>
      <c r="F14220" s="1467"/>
      <c r="G14220" s="952" t="s">
        <v>845</v>
      </c>
      <c r="H14220" s="1036">
        <v>-1E-4</v>
      </c>
      <c r="K14220" t="s">
        <v>972</v>
      </c>
      <c r="L14220" t="s">
        <v>692</v>
      </c>
      <c r="P14220" t="s">
        <v>3766</v>
      </c>
      <c r="T14220">
        <v>45777</v>
      </c>
      <c r="V14220">
        <v>146</v>
      </c>
    </row>
    <row r="14221" spans="1:22" customFormat="1" ht="15" x14ac:dyDescent="0.25">
      <c r="A14221" t="s">
        <v>279</v>
      </c>
      <c r="B14221" t="s">
        <v>6622</v>
      </c>
      <c r="E14221" s="1467" t="s">
        <v>6630</v>
      </c>
      <c r="F14221" s="1467"/>
      <c r="G14221" s="952" t="s">
        <v>845</v>
      </c>
      <c r="H14221" s="1036">
        <v>6.9999999999999999E-4</v>
      </c>
      <c r="K14221" t="s">
        <v>972</v>
      </c>
      <c r="L14221" t="s">
        <v>690</v>
      </c>
      <c r="P14221" t="s">
        <v>9673</v>
      </c>
      <c r="V14221">
        <v>128</v>
      </c>
    </row>
    <row r="14222" spans="1:22" customFormat="1" ht="15" x14ac:dyDescent="0.25">
      <c r="A14222" t="s">
        <v>279</v>
      </c>
      <c r="B14222" t="s">
        <v>6622</v>
      </c>
      <c r="E14222" s="1467" t="s">
        <v>5448</v>
      </c>
      <c r="F14222" s="1467"/>
      <c r="G14222" s="952" t="s">
        <v>845</v>
      </c>
      <c r="H14222" s="1036">
        <v>-1E-4</v>
      </c>
      <c r="K14222" t="s">
        <v>972</v>
      </c>
      <c r="L14222" t="s">
        <v>690</v>
      </c>
      <c r="P14222" t="s">
        <v>4791</v>
      </c>
      <c r="T14222">
        <v>45777</v>
      </c>
      <c r="V14222">
        <v>80</v>
      </c>
    </row>
    <row r="14223" spans="1:22" customFormat="1" ht="15" x14ac:dyDescent="0.25">
      <c r="A14223" t="s">
        <v>279</v>
      </c>
      <c r="B14223" t="s">
        <v>6622</v>
      </c>
      <c r="E14223" s="1467" t="s">
        <v>9665</v>
      </c>
      <c r="F14223" s="1467"/>
      <c r="G14223" s="952" t="s">
        <v>845</v>
      </c>
      <c r="H14223" s="1036">
        <v>6.9999999999999999E-4</v>
      </c>
      <c r="K14223" t="s">
        <v>972</v>
      </c>
      <c r="L14223" t="s">
        <v>690</v>
      </c>
      <c r="P14223" t="s">
        <v>9674</v>
      </c>
      <c r="V14223">
        <v>136</v>
      </c>
    </row>
    <row r="14224" spans="1:22" customFormat="1" ht="15" x14ac:dyDescent="0.25">
      <c r="A14224" t="s">
        <v>279</v>
      </c>
      <c r="B14224" t="s">
        <v>6622</v>
      </c>
      <c r="E14224" s="1467" t="s">
        <v>5884</v>
      </c>
      <c r="F14224" s="1467"/>
      <c r="G14224" s="952" t="s">
        <v>845</v>
      </c>
      <c r="H14224" s="1036">
        <v>1.2999999999999999E-3</v>
      </c>
      <c r="K14224" t="s">
        <v>972</v>
      </c>
      <c r="L14224" t="s">
        <v>690</v>
      </c>
      <c r="P14224" t="s">
        <v>9675</v>
      </c>
      <c r="T14224">
        <v>45777</v>
      </c>
      <c r="V14224">
        <v>85</v>
      </c>
    </row>
    <row r="14225" spans="1:22" customFormat="1" ht="15" x14ac:dyDescent="0.25">
      <c r="A14225" t="s">
        <v>279</v>
      </c>
      <c r="B14225" t="s">
        <v>6622</v>
      </c>
      <c r="E14225" s="1467" t="s">
        <v>6625</v>
      </c>
      <c r="F14225" s="1468"/>
      <c r="G14225" s="952" t="s">
        <v>845</v>
      </c>
      <c r="H14225" s="1036">
        <v>-1E-4</v>
      </c>
      <c r="K14225" t="s">
        <v>972</v>
      </c>
      <c r="L14225" t="s">
        <v>690</v>
      </c>
      <c r="P14225" t="s">
        <v>4791</v>
      </c>
      <c r="T14225">
        <v>46022</v>
      </c>
      <c r="V14225">
        <v>83</v>
      </c>
    </row>
    <row r="14226" spans="1:22" customFormat="1" ht="15" x14ac:dyDescent="0.25">
      <c r="A14226" t="s">
        <v>279</v>
      </c>
      <c r="B14226" t="s">
        <v>6622</v>
      </c>
      <c r="E14226" s="1467" t="s">
        <v>6627</v>
      </c>
      <c r="F14226" s="1467"/>
      <c r="G14226" s="952" t="s">
        <v>845</v>
      </c>
      <c r="H14226" s="1036">
        <v>8.9999999999999998E-4</v>
      </c>
      <c r="K14226" t="s">
        <v>972</v>
      </c>
      <c r="L14226" t="s">
        <v>690</v>
      </c>
      <c r="P14226" t="s">
        <v>9676</v>
      </c>
      <c r="T14226">
        <v>46022</v>
      </c>
      <c r="V14226">
        <v>88</v>
      </c>
    </row>
    <row r="14227" spans="1:22" customFormat="1" ht="15" x14ac:dyDescent="0.25">
      <c r="A14227" t="s">
        <v>279</v>
      </c>
      <c r="B14227" t="s">
        <v>6622</v>
      </c>
      <c r="E14227" s="1467" t="s">
        <v>6620</v>
      </c>
      <c r="F14227" s="1467"/>
      <c r="G14227" s="952" t="s">
        <v>845</v>
      </c>
      <c r="H14227" s="1036">
        <v>-8.0000000000000004E-4</v>
      </c>
      <c r="K14227" t="s">
        <v>972</v>
      </c>
      <c r="L14227" t="s">
        <v>690</v>
      </c>
      <c r="P14227" t="s">
        <v>9677</v>
      </c>
      <c r="T14227">
        <v>45777</v>
      </c>
      <c r="V14227">
        <v>80</v>
      </c>
    </row>
    <row r="14228" spans="1:22" customFormat="1" ht="15" x14ac:dyDescent="0.25">
      <c r="A14228" t="s">
        <v>279</v>
      </c>
      <c r="B14228" t="s">
        <v>6622</v>
      </c>
      <c r="E14228" s="1467" t="s">
        <v>243</v>
      </c>
      <c r="F14228" s="1467"/>
      <c r="G14228" s="952" t="s">
        <v>845</v>
      </c>
      <c r="H14228" s="1036">
        <v>1.23E-2</v>
      </c>
      <c r="K14228" t="s">
        <v>972</v>
      </c>
      <c r="L14228" t="s">
        <v>694</v>
      </c>
      <c r="P14228" t="s">
        <v>983</v>
      </c>
      <c r="V14228">
        <v>47</v>
      </c>
    </row>
    <row r="14229" spans="1:22" customFormat="1" ht="15" x14ac:dyDescent="0.25">
      <c r="A14229" t="s">
        <v>279</v>
      </c>
      <c r="B14229" t="s">
        <v>6622</v>
      </c>
      <c r="E14229" s="1467" t="s">
        <v>175</v>
      </c>
      <c r="F14229" s="1467"/>
      <c r="G14229" s="952" t="s">
        <v>845</v>
      </c>
      <c r="H14229" s="1036">
        <v>9.1000000000000004E-3</v>
      </c>
      <c r="K14229" t="s">
        <v>972</v>
      </c>
      <c r="L14229" t="s">
        <v>694</v>
      </c>
      <c r="P14229" t="s">
        <v>984</v>
      </c>
      <c r="V14229">
        <v>74</v>
      </c>
    </row>
    <row r="14230" spans="1:22" customFormat="1" ht="15" x14ac:dyDescent="0.25">
      <c r="A14230" t="s">
        <v>279</v>
      </c>
      <c r="B14230" t="s">
        <v>6622</v>
      </c>
      <c r="E14230" s="1469" t="s">
        <v>967</v>
      </c>
      <c r="F14230" s="1467"/>
      <c r="G14230" s="1467"/>
      <c r="H14230" s="1467"/>
      <c r="K14230" t="s">
        <v>985</v>
      </c>
      <c r="V14230">
        <v>48</v>
      </c>
    </row>
    <row r="14231" spans="1:22" customFormat="1" ht="15" x14ac:dyDescent="0.25">
      <c r="A14231" t="s">
        <v>279</v>
      </c>
      <c r="B14231" t="s">
        <v>6622</v>
      </c>
      <c r="E14231" s="1467" t="s">
        <v>844</v>
      </c>
      <c r="F14231" s="1467"/>
      <c r="G14231" s="952" t="s">
        <v>845</v>
      </c>
      <c r="H14231" s="1036">
        <v>4.1000000000000003E-3</v>
      </c>
      <c r="K14231" t="s">
        <v>972</v>
      </c>
      <c r="L14231" t="s">
        <v>968</v>
      </c>
      <c r="P14231" t="s">
        <v>986</v>
      </c>
      <c r="V14231">
        <v>55</v>
      </c>
    </row>
    <row r="14232" spans="1:22" customFormat="1" ht="15" x14ac:dyDescent="0.25">
      <c r="A14232" t="s">
        <v>279</v>
      </c>
      <c r="B14232" t="s">
        <v>6622</v>
      </c>
      <c r="E14232" s="1486" t="s">
        <v>846</v>
      </c>
      <c r="F14232" s="1486"/>
      <c r="G14232" s="952" t="s">
        <v>845</v>
      </c>
      <c r="H14232" s="1036">
        <v>4.0000000000000002E-4</v>
      </c>
      <c r="K14232" t="s">
        <v>972</v>
      </c>
      <c r="L14232" t="s">
        <v>968</v>
      </c>
      <c r="P14232" t="s">
        <v>986</v>
      </c>
      <c r="V14232">
        <v>65</v>
      </c>
    </row>
    <row r="14233" spans="1:22" customFormat="1" ht="15" x14ac:dyDescent="0.25">
      <c r="A14233" t="s">
        <v>279</v>
      </c>
      <c r="B14233" t="s">
        <v>6622</v>
      </c>
      <c r="E14233" s="1467" t="s">
        <v>847</v>
      </c>
      <c r="F14233" s="1467"/>
      <c r="G14233" s="952" t="s">
        <v>845</v>
      </c>
      <c r="H14233" s="1036">
        <v>1.5E-3</v>
      </c>
      <c r="K14233" t="s">
        <v>972</v>
      </c>
      <c r="L14233" t="s">
        <v>968</v>
      </c>
      <c r="P14233" t="s">
        <v>987</v>
      </c>
      <c r="V14233">
        <v>57</v>
      </c>
    </row>
    <row r="14234" spans="1:22" customFormat="1" ht="15" x14ac:dyDescent="0.25">
      <c r="A14234" t="s">
        <v>279</v>
      </c>
      <c r="B14234" t="s">
        <v>6622</v>
      </c>
      <c r="E14234" s="1467" t="s">
        <v>848</v>
      </c>
      <c r="F14234" s="1467"/>
      <c r="G14234" s="952" t="s">
        <v>777</v>
      </c>
      <c r="H14234" s="1035">
        <v>0.25</v>
      </c>
      <c r="K14234" t="s">
        <v>972</v>
      </c>
      <c r="L14234" t="s">
        <v>968</v>
      </c>
      <c r="P14234" t="s">
        <v>988</v>
      </c>
      <c r="V14234">
        <v>63</v>
      </c>
    </row>
    <row r="14235" spans="1:22" customFormat="1" x14ac:dyDescent="0.25">
      <c r="A14235" t="s">
        <v>279</v>
      </c>
      <c r="B14235" t="s">
        <v>6622</v>
      </c>
      <c r="E14235" s="1470" t="s">
        <v>3767</v>
      </c>
      <c r="F14235" s="1471"/>
      <c r="G14235" s="1471"/>
      <c r="H14235" s="1471"/>
      <c r="K14235" t="s">
        <v>3768</v>
      </c>
      <c r="V14235">
        <v>53</v>
      </c>
    </row>
    <row r="14236" spans="1:22" customFormat="1" ht="15" x14ac:dyDescent="0.25">
      <c r="A14236" t="s">
        <v>279</v>
      </c>
      <c r="B14236" t="s">
        <v>6622</v>
      </c>
      <c r="E14236" s="1472" t="s">
        <v>5885</v>
      </c>
      <c r="F14236" s="1472"/>
      <c r="G14236" s="1472"/>
      <c r="H14236" s="1472"/>
      <c r="K14236" t="s">
        <v>3768</v>
      </c>
      <c r="V14236">
        <v>753</v>
      </c>
    </row>
    <row r="14237" spans="1:22" customFormat="1" ht="15" x14ac:dyDescent="0.25">
      <c r="A14237" t="s">
        <v>279</v>
      </c>
      <c r="B14237" t="s">
        <v>6622</v>
      </c>
      <c r="E14237" s="1469" t="s">
        <v>950</v>
      </c>
      <c r="F14237" s="1472"/>
      <c r="G14237" s="1472"/>
      <c r="H14237" s="1472"/>
      <c r="K14237" t="s">
        <v>992</v>
      </c>
      <c r="V14237">
        <v>11</v>
      </c>
    </row>
    <row r="14238" spans="1:22" customFormat="1" ht="15" x14ac:dyDescent="0.25">
      <c r="A14238" t="s">
        <v>279</v>
      </c>
      <c r="B14238" t="s">
        <v>6622</v>
      </c>
      <c r="E14238" s="1472" t="s">
        <v>5882</v>
      </c>
      <c r="F14238" s="1472"/>
      <c r="G14238" s="1472"/>
      <c r="H14238" s="1472"/>
      <c r="K14238" t="s">
        <v>3768</v>
      </c>
      <c r="V14238">
        <v>282</v>
      </c>
    </row>
    <row r="14239" spans="1:22" customFormat="1" ht="15" x14ac:dyDescent="0.25">
      <c r="A14239" t="s">
        <v>279</v>
      </c>
      <c r="B14239" t="s">
        <v>6622</v>
      </c>
      <c r="E14239" s="1472" t="s">
        <v>4432</v>
      </c>
      <c r="F14239" s="1472"/>
      <c r="G14239" s="1472"/>
      <c r="H14239" s="1472"/>
      <c r="K14239" t="s">
        <v>3768</v>
      </c>
      <c r="V14239">
        <v>413</v>
      </c>
    </row>
    <row r="14240" spans="1:22" customFormat="1" ht="15" x14ac:dyDescent="0.25">
      <c r="A14240" t="s">
        <v>279</v>
      </c>
      <c r="B14240" t="s">
        <v>6622</v>
      </c>
      <c r="E14240" s="1472" t="s">
        <v>3761</v>
      </c>
      <c r="F14240" s="1472"/>
      <c r="G14240" s="1472"/>
      <c r="H14240" s="1472"/>
      <c r="K14240" t="s">
        <v>3768</v>
      </c>
      <c r="V14240">
        <v>387</v>
      </c>
    </row>
    <row r="14241" spans="1:22" customFormat="1" ht="15" x14ac:dyDescent="0.25">
      <c r="A14241" t="s">
        <v>279</v>
      </c>
      <c r="B14241" t="s">
        <v>6622</v>
      </c>
      <c r="E14241" s="1472" t="s">
        <v>5306</v>
      </c>
      <c r="F14241" s="1472"/>
      <c r="G14241" s="1472"/>
      <c r="H14241" s="1472"/>
      <c r="K14241" t="s">
        <v>3768</v>
      </c>
      <c r="V14241">
        <v>1404</v>
      </c>
    </row>
    <row r="14242" spans="1:22" customFormat="1" ht="15" x14ac:dyDescent="0.25">
      <c r="A14242" t="s">
        <v>279</v>
      </c>
      <c r="B14242" t="s">
        <v>6622</v>
      </c>
      <c r="E14242" s="1472" t="s">
        <v>954</v>
      </c>
      <c r="F14242" s="1472"/>
      <c r="G14242" s="1472"/>
      <c r="H14242" s="1472"/>
      <c r="K14242" t="s">
        <v>3768</v>
      </c>
      <c r="V14242">
        <v>246</v>
      </c>
    </row>
    <row r="14243" spans="1:22" customFormat="1" ht="15" x14ac:dyDescent="0.25">
      <c r="A14243" t="s">
        <v>279</v>
      </c>
      <c r="B14243" t="s">
        <v>6622</v>
      </c>
      <c r="E14243" s="1475" t="s">
        <v>956</v>
      </c>
      <c r="F14243" s="1476"/>
      <c r="G14243" s="1476"/>
      <c r="H14243" s="1476"/>
      <c r="K14243" t="s">
        <v>995</v>
      </c>
      <c r="V14243">
        <v>46</v>
      </c>
    </row>
    <row r="14244" spans="1:22" customFormat="1" ht="15" x14ac:dyDescent="0.25">
      <c r="A14244" t="s">
        <v>279</v>
      </c>
      <c r="B14244" t="s">
        <v>6622</v>
      </c>
      <c r="E14244" s="1467" t="s">
        <v>3773</v>
      </c>
      <c r="F14244" s="1467"/>
      <c r="G14244" s="952" t="s">
        <v>777</v>
      </c>
      <c r="H14244" s="1035">
        <v>166.42</v>
      </c>
      <c r="K14244" t="s">
        <v>3768</v>
      </c>
      <c r="L14244" t="s">
        <v>690</v>
      </c>
      <c r="P14244" t="s">
        <v>3774</v>
      </c>
      <c r="V14244">
        <v>14</v>
      </c>
    </row>
    <row r="14245" spans="1:22" customFormat="1" ht="15" x14ac:dyDescent="0.25">
      <c r="A14245" t="s">
        <v>279</v>
      </c>
      <c r="B14245" t="s">
        <v>6622</v>
      </c>
      <c r="E14245" s="1467" t="s">
        <v>6618</v>
      </c>
      <c r="F14245" s="1467"/>
      <c r="G14245" s="952" t="s">
        <v>777</v>
      </c>
      <c r="H14245" s="1035">
        <v>-5.55</v>
      </c>
      <c r="K14245" t="s">
        <v>3768</v>
      </c>
      <c r="L14245" t="s">
        <v>690</v>
      </c>
      <c r="P14245" t="s">
        <v>3774</v>
      </c>
      <c r="T14245">
        <v>45777</v>
      </c>
      <c r="V14245">
        <v>84</v>
      </c>
    </row>
    <row r="14246" spans="1:22" customFormat="1" ht="15" x14ac:dyDescent="0.25">
      <c r="A14246" t="s">
        <v>279</v>
      </c>
      <c r="B14246" t="s">
        <v>6622</v>
      </c>
      <c r="E14246" s="1486" t="s">
        <v>9665</v>
      </c>
      <c r="F14246" s="1468"/>
      <c r="G14246" s="952" t="s">
        <v>777</v>
      </c>
      <c r="H14246" s="1035">
        <v>5.14</v>
      </c>
      <c r="K14246" t="s">
        <v>3768</v>
      </c>
      <c r="L14246" t="s">
        <v>690</v>
      </c>
      <c r="P14246" t="s">
        <v>9678</v>
      </c>
      <c r="V14246">
        <v>136</v>
      </c>
    </row>
    <row r="14247" spans="1:22" customFormat="1" ht="15" x14ac:dyDescent="0.25">
      <c r="A14247" t="s">
        <v>279</v>
      </c>
      <c r="B14247" t="s">
        <v>6622</v>
      </c>
      <c r="E14247" s="1467" t="s">
        <v>9679</v>
      </c>
      <c r="F14247" s="1467"/>
      <c r="G14247" s="952" t="s">
        <v>777</v>
      </c>
      <c r="H14247" s="1035">
        <v>4.55</v>
      </c>
      <c r="K14247" t="s">
        <v>3768</v>
      </c>
      <c r="L14247" t="s">
        <v>690</v>
      </c>
      <c r="P14247" t="s">
        <v>6878</v>
      </c>
      <c r="V14247">
        <v>129</v>
      </c>
    </row>
    <row r="14248" spans="1:22" customFormat="1" ht="15" x14ac:dyDescent="0.25">
      <c r="A14248" t="s">
        <v>279</v>
      </c>
      <c r="B14248" t="s">
        <v>6622</v>
      </c>
      <c r="E14248" s="1467" t="s">
        <v>5887</v>
      </c>
      <c r="F14248" s="1467"/>
      <c r="G14248" s="952" t="s">
        <v>3775</v>
      </c>
      <c r="H14248" s="1036">
        <v>5.7412999999999998</v>
      </c>
      <c r="K14248" t="s">
        <v>3768</v>
      </c>
      <c r="L14248" t="s">
        <v>690</v>
      </c>
      <c r="P14248" t="s">
        <v>3776</v>
      </c>
      <c r="V14248">
        <v>51</v>
      </c>
    </row>
    <row r="14249" spans="1:22" customFormat="1" ht="15" x14ac:dyDescent="0.25">
      <c r="A14249" t="s">
        <v>279</v>
      </c>
      <c r="B14249" t="s">
        <v>6622</v>
      </c>
      <c r="E14249" s="1467" t="s">
        <v>5888</v>
      </c>
      <c r="F14249" s="1467"/>
      <c r="G14249" s="952" t="s">
        <v>3775</v>
      </c>
      <c r="H14249" s="1036">
        <v>5.9020999999999999</v>
      </c>
      <c r="K14249" t="s">
        <v>3768</v>
      </c>
      <c r="L14249" t="s">
        <v>690</v>
      </c>
      <c r="P14249" t="s">
        <v>3776</v>
      </c>
      <c r="V14249">
        <v>45</v>
      </c>
    </row>
    <row r="14250" spans="1:22" customFormat="1" ht="15" x14ac:dyDescent="0.25">
      <c r="A14250" t="s">
        <v>279</v>
      </c>
      <c r="B14250" t="s">
        <v>6622</v>
      </c>
      <c r="E14250" s="1486" t="s">
        <v>910</v>
      </c>
      <c r="F14250" s="1486"/>
      <c r="G14250" s="952" t="s">
        <v>3775</v>
      </c>
      <c r="H14250" s="1036">
        <v>0.1017</v>
      </c>
      <c r="K14250" t="s">
        <v>3768</v>
      </c>
      <c r="L14250" t="s">
        <v>692</v>
      </c>
      <c r="P14250" t="s">
        <v>3777</v>
      </c>
      <c r="V14250">
        <v>24</v>
      </c>
    </row>
    <row r="14251" spans="1:22" customFormat="1" ht="15" x14ac:dyDescent="0.25">
      <c r="A14251" t="s">
        <v>279</v>
      </c>
      <c r="B14251" t="s">
        <v>6622</v>
      </c>
      <c r="E14251" s="1467" t="s">
        <v>9667</v>
      </c>
      <c r="F14251" s="1467"/>
      <c r="G14251" s="952" t="s">
        <v>3775</v>
      </c>
      <c r="H14251" s="1036">
        <v>0.52490000000000003</v>
      </c>
      <c r="K14251" t="s">
        <v>3768</v>
      </c>
      <c r="L14251" t="s">
        <v>690</v>
      </c>
      <c r="P14251" t="s">
        <v>9680</v>
      </c>
      <c r="T14251">
        <v>46022</v>
      </c>
      <c r="V14251">
        <v>82</v>
      </c>
    </row>
    <row r="14252" spans="1:22" customFormat="1" ht="15" x14ac:dyDescent="0.25">
      <c r="A14252" t="s">
        <v>279</v>
      </c>
      <c r="B14252" t="s">
        <v>6622</v>
      </c>
      <c r="E14252" s="1486" t="s">
        <v>6519</v>
      </c>
      <c r="F14252" s="1468"/>
      <c r="G14252" s="952" t="s">
        <v>845</v>
      </c>
      <c r="H14252" s="1036">
        <v>2.5000000000000001E-3</v>
      </c>
      <c r="K14252" t="s">
        <v>3768</v>
      </c>
      <c r="L14252" t="s">
        <v>692</v>
      </c>
      <c r="P14252" t="s">
        <v>4232</v>
      </c>
      <c r="T14252">
        <v>46022</v>
      </c>
      <c r="V14252">
        <v>142</v>
      </c>
    </row>
    <row r="14253" spans="1:22" customFormat="1" ht="15" x14ac:dyDescent="0.25">
      <c r="A14253" t="s">
        <v>279</v>
      </c>
      <c r="B14253" t="s">
        <v>6622</v>
      </c>
      <c r="E14253" s="1486" t="s">
        <v>6525</v>
      </c>
      <c r="F14253" s="1468"/>
      <c r="G14253" s="952" t="s">
        <v>3775</v>
      </c>
      <c r="H14253" s="1036">
        <v>-0.62239999999999995</v>
      </c>
      <c r="K14253" t="s">
        <v>3768</v>
      </c>
      <c r="L14253" t="s">
        <v>692</v>
      </c>
      <c r="P14253" t="s">
        <v>3779</v>
      </c>
      <c r="T14253">
        <v>46022</v>
      </c>
      <c r="V14253">
        <v>159</v>
      </c>
    </row>
    <row r="14254" spans="1:22" customFormat="1" ht="15" x14ac:dyDescent="0.25">
      <c r="A14254" t="s">
        <v>279</v>
      </c>
      <c r="B14254" t="s">
        <v>6622</v>
      </c>
      <c r="E14254" s="1486" t="s">
        <v>6520</v>
      </c>
      <c r="F14254" s="1468"/>
      <c r="G14254" s="952" t="s">
        <v>3775</v>
      </c>
      <c r="H14254" s="1036">
        <v>1.0111000000000001</v>
      </c>
      <c r="K14254" t="s">
        <v>3768</v>
      </c>
      <c r="L14254" t="s">
        <v>692</v>
      </c>
      <c r="P14254" t="s">
        <v>3779</v>
      </c>
      <c r="T14254">
        <v>46022</v>
      </c>
      <c r="V14254">
        <v>99</v>
      </c>
    </row>
    <row r="14255" spans="1:22" customFormat="1" ht="15" x14ac:dyDescent="0.25">
      <c r="A14255" t="s">
        <v>279</v>
      </c>
      <c r="B14255" t="s">
        <v>6622</v>
      </c>
      <c r="E14255" s="1467" t="s">
        <v>5262</v>
      </c>
      <c r="F14255" s="1467"/>
      <c r="G14255" s="952" t="s">
        <v>845</v>
      </c>
      <c r="H14255" s="1036">
        <v>1.9E-3</v>
      </c>
      <c r="K14255" t="s">
        <v>3768</v>
      </c>
      <c r="L14255" t="s">
        <v>692</v>
      </c>
      <c r="P14255" t="s">
        <v>4232</v>
      </c>
      <c r="T14255">
        <v>45777</v>
      </c>
      <c r="V14255">
        <v>139</v>
      </c>
    </row>
    <row r="14256" spans="1:22" customFormat="1" ht="15" x14ac:dyDescent="0.25">
      <c r="A14256" t="s">
        <v>279</v>
      </c>
      <c r="B14256" t="s">
        <v>6622</v>
      </c>
      <c r="E14256" s="1467" t="s">
        <v>5288</v>
      </c>
      <c r="F14256" s="1467"/>
      <c r="G14256" s="952" t="s">
        <v>3775</v>
      </c>
      <c r="H14256" s="1036">
        <v>1.5571999999999999</v>
      </c>
      <c r="K14256" t="s">
        <v>3768</v>
      </c>
      <c r="L14256" t="s">
        <v>692</v>
      </c>
      <c r="P14256" t="s">
        <v>3779</v>
      </c>
      <c r="T14256">
        <v>45777</v>
      </c>
      <c r="V14256">
        <v>156</v>
      </c>
    </row>
    <row r="14257" spans="1:22" customFormat="1" ht="15" x14ac:dyDescent="0.25">
      <c r="A14257" t="s">
        <v>279</v>
      </c>
      <c r="B14257" t="s">
        <v>6622</v>
      </c>
      <c r="E14257" s="1467" t="s">
        <v>5263</v>
      </c>
      <c r="F14257" s="1467"/>
      <c r="G14257" s="952" t="s">
        <v>3775</v>
      </c>
      <c r="H14257" s="1036">
        <v>0.92600000000000005</v>
      </c>
      <c r="K14257" t="s">
        <v>3768</v>
      </c>
      <c r="L14257" t="s">
        <v>692</v>
      </c>
      <c r="P14257" t="s">
        <v>3779</v>
      </c>
      <c r="T14257">
        <v>45777</v>
      </c>
      <c r="V14257">
        <v>96</v>
      </c>
    </row>
    <row r="14258" spans="1:22" customFormat="1" ht="15" x14ac:dyDescent="0.25">
      <c r="A14258" t="s">
        <v>279</v>
      </c>
      <c r="B14258" t="s">
        <v>6622</v>
      </c>
      <c r="E14258" s="1467" t="s">
        <v>9681</v>
      </c>
      <c r="F14258" s="1468"/>
      <c r="G14258" s="952" t="s">
        <v>3775</v>
      </c>
      <c r="H14258" s="1036">
        <v>2.58E-2</v>
      </c>
      <c r="K14258" t="s">
        <v>3768</v>
      </c>
      <c r="L14258" t="s">
        <v>692</v>
      </c>
      <c r="P14258" t="s">
        <v>3778</v>
      </c>
      <c r="T14258">
        <v>46022</v>
      </c>
      <c r="V14258">
        <v>147</v>
      </c>
    </row>
    <row r="14259" spans="1:22" customFormat="1" ht="15" x14ac:dyDescent="0.25">
      <c r="A14259" t="s">
        <v>279</v>
      </c>
      <c r="B14259" t="s">
        <v>6622</v>
      </c>
      <c r="E14259" s="1467" t="s">
        <v>5264</v>
      </c>
      <c r="F14259" s="1467"/>
      <c r="G14259" s="952" t="s">
        <v>3775</v>
      </c>
      <c r="H14259" s="1036">
        <v>-5.3600000000000002E-2</v>
      </c>
      <c r="K14259" t="s">
        <v>3768</v>
      </c>
      <c r="L14259" t="s">
        <v>692</v>
      </c>
      <c r="P14259" t="s">
        <v>3778</v>
      </c>
      <c r="T14259">
        <v>45777</v>
      </c>
      <c r="V14259">
        <v>146</v>
      </c>
    </row>
    <row r="14260" spans="1:22" customFormat="1" ht="15" x14ac:dyDescent="0.25">
      <c r="A14260" t="s">
        <v>279</v>
      </c>
      <c r="B14260" t="s">
        <v>6622</v>
      </c>
      <c r="E14260" s="1467" t="s">
        <v>6630</v>
      </c>
      <c r="F14260" s="1467"/>
      <c r="G14260" s="952" t="s">
        <v>3775</v>
      </c>
      <c r="H14260" s="1036">
        <v>0.15709999999999999</v>
      </c>
      <c r="K14260" t="s">
        <v>3768</v>
      </c>
      <c r="L14260" t="s">
        <v>690</v>
      </c>
      <c r="P14260" t="s">
        <v>9682</v>
      </c>
      <c r="V14260">
        <v>128</v>
      </c>
    </row>
    <row r="14261" spans="1:22" customFormat="1" ht="15" x14ac:dyDescent="0.25">
      <c r="A14261" t="s">
        <v>279</v>
      </c>
      <c r="B14261" t="s">
        <v>6622</v>
      </c>
      <c r="E14261" s="1467" t="s">
        <v>5448</v>
      </c>
      <c r="F14261" s="1467"/>
      <c r="G14261" s="952" t="s">
        <v>3775</v>
      </c>
      <c r="H14261" s="1036">
        <v>-1.4800000000000001E-2</v>
      </c>
      <c r="K14261" t="s">
        <v>3768</v>
      </c>
      <c r="L14261" t="s">
        <v>690</v>
      </c>
      <c r="P14261" t="s">
        <v>4794</v>
      </c>
      <c r="T14261">
        <v>45777</v>
      </c>
      <c r="V14261">
        <v>80</v>
      </c>
    </row>
    <row r="14262" spans="1:22" customFormat="1" ht="15" x14ac:dyDescent="0.25">
      <c r="A14262" t="s">
        <v>279</v>
      </c>
      <c r="B14262" t="s">
        <v>6622</v>
      </c>
      <c r="E14262" s="1467" t="s">
        <v>9665</v>
      </c>
      <c r="F14262" s="1467"/>
      <c r="G14262" s="952" t="s">
        <v>3775</v>
      </c>
      <c r="H14262" s="1036">
        <v>0.1774</v>
      </c>
      <c r="K14262" t="s">
        <v>3768</v>
      </c>
      <c r="L14262" t="s">
        <v>690</v>
      </c>
      <c r="P14262" t="s">
        <v>9683</v>
      </c>
      <c r="V14262">
        <v>136</v>
      </c>
    </row>
    <row r="14263" spans="1:22" customFormat="1" ht="15" x14ac:dyDescent="0.25">
      <c r="A14263" t="s">
        <v>279</v>
      </c>
      <c r="B14263" t="s">
        <v>6622</v>
      </c>
      <c r="E14263" s="1467" t="s">
        <v>5884</v>
      </c>
      <c r="F14263" s="1467"/>
      <c r="G14263" s="952" t="s">
        <v>3775</v>
      </c>
      <c r="H14263" s="1036">
        <v>0.29659999999999997</v>
      </c>
      <c r="K14263" t="s">
        <v>3768</v>
      </c>
      <c r="L14263" t="s">
        <v>690</v>
      </c>
      <c r="P14263" t="s">
        <v>9684</v>
      </c>
      <c r="T14263">
        <v>45777</v>
      </c>
      <c r="V14263">
        <v>85</v>
      </c>
    </row>
    <row r="14264" spans="1:22" customFormat="1" ht="15" x14ac:dyDescent="0.25">
      <c r="A14264" t="s">
        <v>279</v>
      </c>
      <c r="B14264" t="s">
        <v>6622</v>
      </c>
      <c r="E14264" s="1467" t="s">
        <v>6625</v>
      </c>
      <c r="F14264" s="1468"/>
      <c r="G14264" s="952" t="s">
        <v>3775</v>
      </c>
      <c r="H14264" s="1036">
        <v>-1.54E-2</v>
      </c>
      <c r="K14264" t="s">
        <v>3768</v>
      </c>
      <c r="L14264" t="s">
        <v>690</v>
      </c>
      <c r="P14264" t="s">
        <v>4794</v>
      </c>
      <c r="T14264">
        <v>46022</v>
      </c>
      <c r="V14264">
        <v>83</v>
      </c>
    </row>
    <row r="14265" spans="1:22" customFormat="1" ht="15" x14ac:dyDescent="0.25">
      <c r="A14265" t="s">
        <v>279</v>
      </c>
      <c r="B14265" t="s">
        <v>6622</v>
      </c>
      <c r="E14265" s="1467" t="s">
        <v>6627</v>
      </c>
      <c r="F14265" s="1467"/>
      <c r="G14265" s="952" t="s">
        <v>3775</v>
      </c>
      <c r="H14265" s="1036">
        <v>0.21659999999999999</v>
      </c>
      <c r="K14265" t="s">
        <v>3768</v>
      </c>
      <c r="L14265" t="s">
        <v>690</v>
      </c>
      <c r="P14265" t="s">
        <v>9685</v>
      </c>
      <c r="T14265">
        <v>46022</v>
      </c>
      <c r="V14265">
        <v>88</v>
      </c>
    </row>
    <row r="14266" spans="1:22" customFormat="1" ht="15" x14ac:dyDescent="0.25">
      <c r="A14266" t="s">
        <v>279</v>
      </c>
      <c r="B14266" t="s">
        <v>6622</v>
      </c>
      <c r="E14266" s="1467" t="s">
        <v>6628</v>
      </c>
      <c r="F14266" s="1467"/>
      <c r="G14266" s="952" t="s">
        <v>3775</v>
      </c>
      <c r="H14266" s="1036">
        <v>-0.1915</v>
      </c>
      <c r="K14266" t="s">
        <v>3768</v>
      </c>
      <c r="L14266" t="s">
        <v>690</v>
      </c>
      <c r="P14266" t="s">
        <v>9686</v>
      </c>
      <c r="T14266">
        <v>45777</v>
      </c>
      <c r="V14266">
        <v>95</v>
      </c>
    </row>
    <row r="14267" spans="1:22" customFormat="1" ht="15" x14ac:dyDescent="0.25">
      <c r="A14267" t="s">
        <v>279</v>
      </c>
      <c r="B14267" t="s">
        <v>6622</v>
      </c>
      <c r="E14267" s="1467" t="s">
        <v>6629</v>
      </c>
      <c r="F14267" s="1467"/>
      <c r="G14267" s="952" t="s">
        <v>3775</v>
      </c>
      <c r="H14267" s="1036">
        <v>-0.1968</v>
      </c>
      <c r="K14267" t="s">
        <v>3768</v>
      </c>
      <c r="L14267" t="s">
        <v>690</v>
      </c>
      <c r="P14267" t="s">
        <v>9687</v>
      </c>
      <c r="T14267">
        <v>45777</v>
      </c>
      <c r="V14267">
        <v>96</v>
      </c>
    </row>
    <row r="14268" spans="1:22" customFormat="1" ht="15" x14ac:dyDescent="0.25">
      <c r="A14268" t="s">
        <v>279</v>
      </c>
      <c r="B14268" t="s">
        <v>6622</v>
      </c>
      <c r="E14268" s="1467" t="s">
        <v>243</v>
      </c>
      <c r="F14268" s="1467"/>
      <c r="G14268" s="952" t="s">
        <v>3775</v>
      </c>
      <c r="H14268" s="1036">
        <v>4.9401000000000002</v>
      </c>
      <c r="K14268" t="s">
        <v>3768</v>
      </c>
      <c r="L14268" t="s">
        <v>694</v>
      </c>
      <c r="P14268" t="s">
        <v>3780</v>
      </c>
      <c r="V14268">
        <v>47</v>
      </c>
    </row>
    <row r="14269" spans="1:22" customFormat="1" ht="15" x14ac:dyDescent="0.25">
      <c r="A14269" t="s">
        <v>279</v>
      </c>
      <c r="B14269" t="s">
        <v>6622</v>
      </c>
      <c r="E14269" s="1467" t="s">
        <v>175</v>
      </c>
      <c r="F14269" s="1467"/>
      <c r="G14269" s="952" t="s">
        <v>3775</v>
      </c>
      <c r="H14269" s="1036">
        <v>3.5455999999999999</v>
      </c>
      <c r="K14269" t="s">
        <v>3768</v>
      </c>
      <c r="L14269" t="s">
        <v>694</v>
      </c>
      <c r="P14269" t="s">
        <v>3781</v>
      </c>
      <c r="V14269">
        <v>74</v>
      </c>
    </row>
    <row r="14270" spans="1:22" customFormat="1" ht="15" x14ac:dyDescent="0.25">
      <c r="A14270" t="s">
        <v>279</v>
      </c>
      <c r="B14270" t="s">
        <v>6622</v>
      </c>
      <c r="E14270" s="1469" t="s">
        <v>967</v>
      </c>
      <c r="F14270" s="1467"/>
      <c r="G14270" s="1467"/>
      <c r="H14270" s="1467"/>
      <c r="K14270" t="s">
        <v>1003</v>
      </c>
      <c r="V14270">
        <v>48</v>
      </c>
    </row>
    <row r="14271" spans="1:22" customFormat="1" ht="15" x14ac:dyDescent="0.25">
      <c r="A14271" t="s">
        <v>279</v>
      </c>
      <c r="B14271" t="s">
        <v>6622</v>
      </c>
      <c r="E14271" s="1467" t="s">
        <v>844</v>
      </c>
      <c r="F14271" s="1467"/>
      <c r="G14271" s="952" t="s">
        <v>845</v>
      </c>
      <c r="H14271" s="1036">
        <v>4.1000000000000003E-3</v>
      </c>
      <c r="K14271" t="s">
        <v>3768</v>
      </c>
      <c r="L14271" t="s">
        <v>968</v>
      </c>
      <c r="P14271" t="s">
        <v>3782</v>
      </c>
      <c r="V14271">
        <v>55</v>
      </c>
    </row>
    <row r="14272" spans="1:22" customFormat="1" ht="15" x14ac:dyDescent="0.25">
      <c r="A14272" t="s">
        <v>279</v>
      </c>
      <c r="B14272" t="s">
        <v>6622</v>
      </c>
      <c r="E14272" s="1486" t="s">
        <v>846</v>
      </c>
      <c r="F14272" s="1486"/>
      <c r="G14272" s="952" t="s">
        <v>845</v>
      </c>
      <c r="H14272" s="1036">
        <v>4.0000000000000002E-4</v>
      </c>
      <c r="K14272" t="s">
        <v>3768</v>
      </c>
      <c r="L14272" t="s">
        <v>968</v>
      </c>
      <c r="P14272" t="s">
        <v>3782</v>
      </c>
      <c r="V14272">
        <v>65</v>
      </c>
    </row>
    <row r="14273" spans="1:22" customFormat="1" ht="15" x14ac:dyDescent="0.25">
      <c r="A14273" t="s">
        <v>279</v>
      </c>
      <c r="B14273" t="s">
        <v>6622</v>
      </c>
      <c r="E14273" s="1467" t="s">
        <v>847</v>
      </c>
      <c r="F14273" s="1467"/>
      <c r="G14273" s="952" t="s">
        <v>845</v>
      </c>
      <c r="H14273" s="1036">
        <v>1.5E-3</v>
      </c>
      <c r="K14273" t="s">
        <v>3768</v>
      </c>
      <c r="L14273" t="s">
        <v>968</v>
      </c>
      <c r="P14273" t="s">
        <v>3783</v>
      </c>
      <c r="V14273">
        <v>57</v>
      </c>
    </row>
    <row r="14274" spans="1:22" customFormat="1" ht="15" x14ac:dyDescent="0.25">
      <c r="A14274" t="s">
        <v>279</v>
      </c>
      <c r="B14274" t="s">
        <v>6622</v>
      </c>
      <c r="E14274" s="1467" t="s">
        <v>848</v>
      </c>
      <c r="F14274" s="1467"/>
      <c r="G14274" s="952" t="s">
        <v>777</v>
      </c>
      <c r="H14274" s="1035">
        <v>0.25</v>
      </c>
      <c r="K14274" t="s">
        <v>3768</v>
      </c>
      <c r="L14274" t="s">
        <v>968</v>
      </c>
      <c r="P14274" t="s">
        <v>3784</v>
      </c>
      <c r="V14274">
        <v>63</v>
      </c>
    </row>
    <row r="14275" spans="1:22" customFormat="1" x14ac:dyDescent="0.25">
      <c r="A14275" t="s">
        <v>279</v>
      </c>
      <c r="B14275" t="s">
        <v>6622</v>
      </c>
      <c r="E14275" s="1470" t="s">
        <v>194</v>
      </c>
      <c r="F14275" s="1471"/>
      <c r="G14275" s="1471"/>
      <c r="H14275" s="1471"/>
      <c r="K14275" t="s">
        <v>3785</v>
      </c>
      <c r="V14275">
        <v>47</v>
      </c>
    </row>
    <row r="14276" spans="1:22" customFormat="1" ht="15" x14ac:dyDescent="0.25">
      <c r="A14276" t="s">
        <v>279</v>
      </c>
      <c r="B14276" t="s">
        <v>6622</v>
      </c>
      <c r="E14276" s="1472" t="s">
        <v>5889</v>
      </c>
      <c r="F14276" s="1472"/>
      <c r="G14276" s="1472"/>
      <c r="H14276" s="1472"/>
      <c r="K14276" t="s">
        <v>3785</v>
      </c>
      <c r="V14276">
        <v>722</v>
      </c>
    </row>
    <row r="14277" spans="1:22" customFormat="1" ht="15" x14ac:dyDescent="0.25">
      <c r="A14277" t="s">
        <v>279</v>
      </c>
      <c r="B14277" t="s">
        <v>6622</v>
      </c>
      <c r="E14277" s="1469" t="s">
        <v>950</v>
      </c>
      <c r="F14277" s="1472"/>
      <c r="G14277" s="1472"/>
      <c r="H14277" s="1472"/>
      <c r="K14277" t="s">
        <v>1010</v>
      </c>
      <c r="V14277">
        <v>11</v>
      </c>
    </row>
    <row r="14278" spans="1:22" customFormat="1" ht="15" x14ac:dyDescent="0.25">
      <c r="A14278" t="s">
        <v>279</v>
      </c>
      <c r="B14278" t="s">
        <v>6622</v>
      </c>
      <c r="E14278" s="1472" t="s">
        <v>951</v>
      </c>
      <c r="F14278" s="1472"/>
      <c r="G14278" s="1472"/>
      <c r="H14278" s="1472"/>
      <c r="K14278" t="s">
        <v>3785</v>
      </c>
      <c r="V14278">
        <v>280</v>
      </c>
    </row>
    <row r="14279" spans="1:22" customFormat="1" ht="15" x14ac:dyDescent="0.25">
      <c r="A14279" t="s">
        <v>279</v>
      </c>
      <c r="B14279" t="s">
        <v>6622</v>
      </c>
      <c r="E14279" s="1472" t="s">
        <v>4432</v>
      </c>
      <c r="F14279" s="1472"/>
      <c r="G14279" s="1472"/>
      <c r="H14279" s="1472"/>
      <c r="K14279" t="s">
        <v>3785</v>
      </c>
      <c r="V14279">
        <v>413</v>
      </c>
    </row>
    <row r="14280" spans="1:22" customFormat="1" ht="15" x14ac:dyDescent="0.25">
      <c r="A14280" t="s">
        <v>279</v>
      </c>
      <c r="B14280" t="s">
        <v>6622</v>
      </c>
      <c r="E14280" s="1472" t="s">
        <v>3761</v>
      </c>
      <c r="F14280" s="1472"/>
      <c r="G14280" s="1472"/>
      <c r="H14280" s="1472"/>
      <c r="K14280" t="s">
        <v>3785</v>
      </c>
      <c r="V14280">
        <v>387</v>
      </c>
    </row>
    <row r="14281" spans="1:22" customFormat="1" ht="15" x14ac:dyDescent="0.25">
      <c r="A14281" t="s">
        <v>279</v>
      </c>
      <c r="B14281" t="s">
        <v>6622</v>
      </c>
      <c r="E14281" s="1472" t="s">
        <v>954</v>
      </c>
      <c r="F14281" s="1472"/>
      <c r="G14281" s="1472"/>
      <c r="H14281" s="1472"/>
      <c r="K14281" t="s">
        <v>3785</v>
      </c>
      <c r="V14281">
        <v>246</v>
      </c>
    </row>
    <row r="14282" spans="1:22" customFormat="1" ht="15" x14ac:dyDescent="0.25">
      <c r="A14282" t="s">
        <v>279</v>
      </c>
      <c r="B14282" t="s">
        <v>6622</v>
      </c>
      <c r="E14282" s="1469" t="s">
        <v>956</v>
      </c>
      <c r="F14282" s="1472"/>
      <c r="G14282" s="1472"/>
      <c r="H14282" s="1472"/>
      <c r="K14282" t="s">
        <v>1011</v>
      </c>
      <c r="V14282">
        <v>46</v>
      </c>
    </row>
    <row r="14283" spans="1:22" customFormat="1" ht="15" x14ac:dyDescent="0.25">
      <c r="A14283" t="s">
        <v>279</v>
      </c>
      <c r="B14283" t="s">
        <v>6622</v>
      </c>
      <c r="E14283" s="1467" t="s">
        <v>3773</v>
      </c>
      <c r="F14283" s="1467"/>
      <c r="G14283" s="952" t="s">
        <v>777</v>
      </c>
      <c r="H14283" s="1035">
        <v>11.73</v>
      </c>
      <c r="K14283" t="s">
        <v>3785</v>
      </c>
      <c r="L14283" t="s">
        <v>690</v>
      </c>
      <c r="P14283" t="s">
        <v>3788</v>
      </c>
      <c r="V14283">
        <v>14</v>
      </c>
    </row>
    <row r="14284" spans="1:22" customFormat="1" ht="15" x14ac:dyDescent="0.25">
      <c r="A14284" t="s">
        <v>279</v>
      </c>
      <c r="B14284" t="s">
        <v>6622</v>
      </c>
      <c r="E14284" s="1467" t="s">
        <v>6618</v>
      </c>
      <c r="F14284" s="1467"/>
      <c r="G14284" s="952" t="s">
        <v>777</v>
      </c>
      <c r="H14284" s="1035">
        <v>-0.39</v>
      </c>
      <c r="K14284" t="s">
        <v>3785</v>
      </c>
      <c r="L14284" t="s">
        <v>690</v>
      </c>
      <c r="P14284" t="s">
        <v>3788</v>
      </c>
      <c r="T14284">
        <v>45777</v>
      </c>
      <c r="V14284">
        <v>84</v>
      </c>
    </row>
    <row r="14285" spans="1:22" customFormat="1" ht="15" x14ac:dyDescent="0.25">
      <c r="A14285" t="s">
        <v>279</v>
      </c>
      <c r="B14285" t="s">
        <v>6622</v>
      </c>
      <c r="E14285" s="1467" t="s">
        <v>9688</v>
      </c>
      <c r="F14285" s="1467"/>
      <c r="G14285" s="952" t="s">
        <v>777</v>
      </c>
      <c r="H14285" s="1035">
        <v>0.36</v>
      </c>
      <c r="K14285" t="s">
        <v>3785</v>
      </c>
      <c r="L14285" t="s">
        <v>690</v>
      </c>
      <c r="P14285" t="s">
        <v>9689</v>
      </c>
      <c r="V14285">
        <v>142</v>
      </c>
    </row>
    <row r="14286" spans="1:22" customFormat="1" ht="15" x14ac:dyDescent="0.25">
      <c r="A14286" t="s">
        <v>279</v>
      </c>
      <c r="B14286" t="s">
        <v>6622</v>
      </c>
      <c r="E14286" s="1467" t="s">
        <v>9690</v>
      </c>
      <c r="F14286" s="1467"/>
      <c r="G14286" s="952" t="s">
        <v>777</v>
      </c>
      <c r="H14286" s="1035">
        <v>0.32</v>
      </c>
      <c r="K14286" t="s">
        <v>3785</v>
      </c>
      <c r="L14286" t="s">
        <v>690</v>
      </c>
      <c r="P14286" t="s">
        <v>9691</v>
      </c>
      <c r="V14286">
        <v>129</v>
      </c>
    </row>
    <row r="14287" spans="1:22" customFormat="1" ht="15" x14ac:dyDescent="0.25">
      <c r="A14287" t="s">
        <v>279</v>
      </c>
      <c r="B14287" t="s">
        <v>6622</v>
      </c>
      <c r="E14287" s="1467" t="s">
        <v>3688</v>
      </c>
      <c r="F14287" s="1467"/>
      <c r="G14287" s="952" t="s">
        <v>845</v>
      </c>
      <c r="H14287" s="1036">
        <v>1.37E-2</v>
      </c>
      <c r="K14287" t="s">
        <v>3785</v>
      </c>
      <c r="L14287" t="s">
        <v>690</v>
      </c>
      <c r="P14287" t="s">
        <v>3789</v>
      </c>
      <c r="V14287">
        <v>28</v>
      </c>
    </row>
    <row r="14288" spans="1:22" customFormat="1" ht="15" x14ac:dyDescent="0.25">
      <c r="A14288" t="s">
        <v>279</v>
      </c>
      <c r="B14288" t="s">
        <v>6622</v>
      </c>
      <c r="E14288" s="1486" t="s">
        <v>910</v>
      </c>
      <c r="F14288" s="1486"/>
      <c r="G14288" s="952" t="s">
        <v>845</v>
      </c>
      <c r="H14288" s="1036">
        <v>2.9999999999999997E-4</v>
      </c>
      <c r="K14288" t="s">
        <v>3785</v>
      </c>
      <c r="L14288" t="s">
        <v>692</v>
      </c>
      <c r="P14288" t="s">
        <v>3790</v>
      </c>
      <c r="V14288">
        <v>24</v>
      </c>
    </row>
    <row r="14289" spans="1:22" customFormat="1" ht="15" x14ac:dyDescent="0.25">
      <c r="A14289" t="s">
        <v>279</v>
      </c>
      <c r="B14289" t="s">
        <v>6622</v>
      </c>
      <c r="E14289" s="1467" t="s">
        <v>9667</v>
      </c>
      <c r="F14289" s="1467"/>
      <c r="G14289" s="952" t="s">
        <v>845</v>
      </c>
      <c r="H14289" s="1036">
        <v>2.8999999999999998E-3</v>
      </c>
      <c r="K14289" t="s">
        <v>3785</v>
      </c>
      <c r="L14289" t="s">
        <v>690</v>
      </c>
      <c r="P14289" t="s">
        <v>9692</v>
      </c>
      <c r="T14289">
        <v>46022</v>
      </c>
      <c r="V14289">
        <v>82</v>
      </c>
    </row>
    <row r="14290" spans="1:22" customFormat="1" ht="15" x14ac:dyDescent="0.25">
      <c r="A14290" t="s">
        <v>279</v>
      </c>
      <c r="B14290" t="s">
        <v>6622</v>
      </c>
      <c r="E14290" s="1486" t="s">
        <v>9693</v>
      </c>
      <c r="F14290" s="1468"/>
      <c r="G14290" s="952" t="s">
        <v>845</v>
      </c>
      <c r="H14290" s="1036">
        <v>1E-4</v>
      </c>
      <c r="K14290" t="s">
        <v>3785</v>
      </c>
      <c r="L14290" t="s">
        <v>692</v>
      </c>
      <c r="P14290" t="s">
        <v>3791</v>
      </c>
      <c r="T14290">
        <v>46022</v>
      </c>
      <c r="V14290">
        <v>148</v>
      </c>
    </row>
    <row r="14291" spans="1:22" customFormat="1" ht="15" x14ac:dyDescent="0.25">
      <c r="A14291" t="s">
        <v>279</v>
      </c>
      <c r="B14291" t="s">
        <v>6622</v>
      </c>
      <c r="E14291" s="1486" t="s">
        <v>6520</v>
      </c>
      <c r="F14291" s="1468"/>
      <c r="G14291" s="952" t="s">
        <v>845</v>
      </c>
      <c r="H14291" s="1036">
        <v>1.1000000000000001E-3</v>
      </c>
      <c r="K14291" t="s">
        <v>3785</v>
      </c>
      <c r="L14291" t="s">
        <v>692</v>
      </c>
      <c r="P14291" t="s">
        <v>3792</v>
      </c>
      <c r="T14291">
        <v>46022</v>
      </c>
      <c r="V14291">
        <v>99</v>
      </c>
    </row>
    <row r="14292" spans="1:22" customFormat="1" ht="15" x14ac:dyDescent="0.25">
      <c r="A14292" t="s">
        <v>279</v>
      </c>
      <c r="B14292" t="s">
        <v>6622</v>
      </c>
      <c r="E14292" s="1467" t="s">
        <v>5890</v>
      </c>
      <c r="F14292" s="1467"/>
      <c r="G14292" s="952" t="s">
        <v>845</v>
      </c>
      <c r="H14292" s="1036">
        <v>-1E-4</v>
      </c>
      <c r="K14292" t="s">
        <v>3785</v>
      </c>
      <c r="L14292" t="s">
        <v>692</v>
      </c>
      <c r="P14292" t="s">
        <v>3791</v>
      </c>
      <c r="T14292">
        <v>45777</v>
      </c>
      <c r="V14292">
        <v>147</v>
      </c>
    </row>
    <row r="14293" spans="1:22" customFormat="1" ht="15" x14ac:dyDescent="0.25">
      <c r="A14293" t="s">
        <v>279</v>
      </c>
      <c r="B14293" t="s">
        <v>6622</v>
      </c>
      <c r="E14293" s="1467" t="s">
        <v>5263</v>
      </c>
      <c r="F14293" s="1467"/>
      <c r="G14293" s="952" t="s">
        <v>845</v>
      </c>
      <c r="H14293" s="1036">
        <v>6.3E-3</v>
      </c>
      <c r="K14293" t="s">
        <v>3785</v>
      </c>
      <c r="L14293" t="s">
        <v>692</v>
      </c>
      <c r="P14293" t="s">
        <v>3792</v>
      </c>
      <c r="T14293">
        <v>45777</v>
      </c>
      <c r="V14293">
        <v>96</v>
      </c>
    </row>
    <row r="14294" spans="1:22" customFormat="1" ht="15" x14ac:dyDescent="0.25">
      <c r="A14294" t="s">
        <v>279</v>
      </c>
      <c r="B14294" t="s">
        <v>6622</v>
      </c>
      <c r="E14294" s="1467" t="s">
        <v>6630</v>
      </c>
      <c r="F14294" s="1467"/>
      <c r="G14294" s="952" t="s">
        <v>845</v>
      </c>
      <c r="H14294" s="1036">
        <v>4.0000000000000002E-4</v>
      </c>
      <c r="K14294" t="s">
        <v>3785</v>
      </c>
      <c r="L14294" t="s">
        <v>690</v>
      </c>
      <c r="P14294" t="s">
        <v>9694</v>
      </c>
      <c r="V14294">
        <v>128</v>
      </c>
    </row>
    <row r="14295" spans="1:22" customFormat="1" ht="15" x14ac:dyDescent="0.25">
      <c r="A14295" t="s">
        <v>279</v>
      </c>
      <c r="B14295" t="s">
        <v>6622</v>
      </c>
      <c r="E14295" s="1467" t="s">
        <v>5448</v>
      </c>
      <c r="F14295" s="1467"/>
      <c r="G14295" s="952" t="s">
        <v>845</v>
      </c>
      <c r="H14295" s="1036">
        <v>-2.9999999999999997E-4</v>
      </c>
      <c r="K14295" t="s">
        <v>3785</v>
      </c>
      <c r="L14295" t="s">
        <v>690</v>
      </c>
      <c r="P14295" t="s">
        <v>4796</v>
      </c>
      <c r="T14295">
        <v>45777</v>
      </c>
      <c r="V14295">
        <v>80</v>
      </c>
    </row>
    <row r="14296" spans="1:22" customFormat="1" ht="15" x14ac:dyDescent="0.25">
      <c r="A14296" t="s">
        <v>279</v>
      </c>
      <c r="B14296" t="s">
        <v>6622</v>
      </c>
      <c r="E14296" s="1467" t="s">
        <v>9695</v>
      </c>
      <c r="F14296" s="1467"/>
      <c r="G14296" s="952" t="s">
        <v>845</v>
      </c>
      <c r="H14296" s="1036">
        <v>4.0000000000000002E-4</v>
      </c>
      <c r="K14296" t="s">
        <v>3785</v>
      </c>
      <c r="L14296" t="s">
        <v>690</v>
      </c>
      <c r="P14296" t="s">
        <v>9696</v>
      </c>
      <c r="V14296">
        <v>138</v>
      </c>
    </row>
    <row r="14297" spans="1:22" customFormat="1" ht="15" x14ac:dyDescent="0.25">
      <c r="A14297" t="s">
        <v>279</v>
      </c>
      <c r="B14297" t="s">
        <v>6622</v>
      </c>
      <c r="E14297" s="1467" t="s">
        <v>6625</v>
      </c>
      <c r="F14297" s="1468"/>
      <c r="G14297" s="952" t="s">
        <v>845</v>
      </c>
      <c r="H14297" s="1036">
        <v>-2.9999999999999997E-4</v>
      </c>
      <c r="K14297" t="s">
        <v>3785</v>
      </c>
      <c r="L14297" t="s">
        <v>690</v>
      </c>
      <c r="P14297" t="s">
        <v>4796</v>
      </c>
      <c r="T14297">
        <v>46022</v>
      </c>
      <c r="V14297">
        <v>83</v>
      </c>
    </row>
    <row r="14298" spans="1:22" customFormat="1" ht="15" x14ac:dyDescent="0.25">
      <c r="A14298" t="s">
        <v>279</v>
      </c>
      <c r="B14298" t="s">
        <v>6622</v>
      </c>
      <c r="E14298" s="1467" t="s">
        <v>6620</v>
      </c>
      <c r="F14298" s="1467"/>
      <c r="G14298" s="952" t="s">
        <v>845</v>
      </c>
      <c r="H14298" s="1036">
        <v>-5.0000000000000001E-4</v>
      </c>
      <c r="K14298" t="s">
        <v>3785</v>
      </c>
      <c r="L14298" t="s">
        <v>690</v>
      </c>
      <c r="P14298" t="s">
        <v>9697</v>
      </c>
      <c r="T14298">
        <v>45777</v>
      </c>
      <c r="V14298">
        <v>80</v>
      </c>
    </row>
    <row r="14299" spans="1:22" customFormat="1" ht="15" x14ac:dyDescent="0.25">
      <c r="A14299" t="s">
        <v>279</v>
      </c>
      <c r="B14299" t="s">
        <v>6622</v>
      </c>
      <c r="E14299" s="1467" t="s">
        <v>243</v>
      </c>
      <c r="F14299" s="1467"/>
      <c r="G14299" s="952" t="s">
        <v>845</v>
      </c>
      <c r="H14299" s="1036">
        <v>1.2200000000000001E-2</v>
      </c>
      <c r="K14299" t="s">
        <v>3785</v>
      </c>
      <c r="L14299" t="s">
        <v>694</v>
      </c>
      <c r="P14299" t="s">
        <v>3793</v>
      </c>
      <c r="V14299">
        <v>47</v>
      </c>
    </row>
    <row r="14300" spans="1:22" customFormat="1" ht="15" x14ac:dyDescent="0.25">
      <c r="A14300" t="s">
        <v>279</v>
      </c>
      <c r="B14300" t="s">
        <v>6622</v>
      </c>
      <c r="E14300" s="1467" t="s">
        <v>175</v>
      </c>
      <c r="F14300" s="1467"/>
      <c r="G14300" s="952" t="s">
        <v>845</v>
      </c>
      <c r="H14300" s="1036">
        <v>9.1000000000000004E-3</v>
      </c>
      <c r="K14300" t="s">
        <v>3785</v>
      </c>
      <c r="L14300" t="s">
        <v>694</v>
      </c>
      <c r="P14300" t="s">
        <v>3794</v>
      </c>
      <c r="V14300">
        <v>74</v>
      </c>
    </row>
    <row r="14301" spans="1:22" customFormat="1" ht="15" x14ac:dyDescent="0.25">
      <c r="A14301" t="s">
        <v>279</v>
      </c>
      <c r="B14301" t="s">
        <v>6622</v>
      </c>
      <c r="E14301" s="1469" t="s">
        <v>967</v>
      </c>
      <c r="F14301" s="1467"/>
      <c r="G14301" s="1467"/>
      <c r="H14301" s="1467"/>
      <c r="K14301" t="s">
        <v>1019</v>
      </c>
      <c r="V14301">
        <v>48</v>
      </c>
    </row>
    <row r="14302" spans="1:22" customFormat="1" ht="15" x14ac:dyDescent="0.25">
      <c r="A14302" t="s">
        <v>279</v>
      </c>
      <c r="B14302" t="s">
        <v>6622</v>
      </c>
      <c r="E14302" s="1467" t="s">
        <v>844</v>
      </c>
      <c r="F14302" s="1467"/>
      <c r="G14302" s="952" t="s">
        <v>845</v>
      </c>
      <c r="H14302" s="1036">
        <v>4.1000000000000003E-3</v>
      </c>
      <c r="K14302" t="s">
        <v>3785</v>
      </c>
      <c r="L14302" t="s">
        <v>968</v>
      </c>
      <c r="P14302" t="s">
        <v>3795</v>
      </c>
      <c r="V14302">
        <v>55</v>
      </c>
    </row>
    <row r="14303" spans="1:22" customFormat="1" ht="15" x14ac:dyDescent="0.25">
      <c r="A14303" t="s">
        <v>279</v>
      </c>
      <c r="B14303" t="s">
        <v>6622</v>
      </c>
      <c r="E14303" s="1486" t="s">
        <v>846</v>
      </c>
      <c r="F14303" s="1486"/>
      <c r="G14303" s="952" t="s">
        <v>845</v>
      </c>
      <c r="H14303" s="1036">
        <v>4.0000000000000002E-4</v>
      </c>
      <c r="K14303" t="s">
        <v>3785</v>
      </c>
      <c r="L14303" t="s">
        <v>968</v>
      </c>
      <c r="P14303" t="s">
        <v>3795</v>
      </c>
      <c r="V14303">
        <v>65</v>
      </c>
    </row>
    <row r="14304" spans="1:22" customFormat="1" ht="15" x14ac:dyDescent="0.25">
      <c r="A14304" t="s">
        <v>279</v>
      </c>
      <c r="B14304" t="s">
        <v>6622</v>
      </c>
      <c r="E14304" s="1467" t="s">
        <v>847</v>
      </c>
      <c r="F14304" s="1467"/>
      <c r="G14304" s="952" t="s">
        <v>845</v>
      </c>
      <c r="H14304" s="1036">
        <v>1.5E-3</v>
      </c>
      <c r="K14304" t="s">
        <v>3785</v>
      </c>
      <c r="L14304" t="s">
        <v>968</v>
      </c>
      <c r="P14304" t="s">
        <v>3796</v>
      </c>
      <c r="V14304">
        <v>57</v>
      </c>
    </row>
    <row r="14305" spans="1:22" customFormat="1" ht="15" x14ac:dyDescent="0.25">
      <c r="A14305" t="s">
        <v>279</v>
      </c>
      <c r="B14305" t="s">
        <v>6622</v>
      </c>
      <c r="E14305" s="1467" t="s">
        <v>848</v>
      </c>
      <c r="F14305" s="1467"/>
      <c r="G14305" s="952" t="s">
        <v>777</v>
      </c>
      <c r="H14305" s="1035">
        <v>0.25</v>
      </c>
      <c r="K14305" t="s">
        <v>3785</v>
      </c>
      <c r="L14305" t="s">
        <v>968</v>
      </c>
      <c r="P14305" t="s">
        <v>3797</v>
      </c>
      <c r="V14305">
        <v>63</v>
      </c>
    </row>
    <row r="14306" spans="1:22" customFormat="1" x14ac:dyDescent="0.25">
      <c r="A14306" t="s">
        <v>279</v>
      </c>
      <c r="B14306" t="s">
        <v>6622</v>
      </c>
      <c r="E14306" s="1470" t="s">
        <v>198</v>
      </c>
      <c r="F14306" s="1471"/>
      <c r="G14306" s="1471"/>
      <c r="H14306" s="1471"/>
      <c r="K14306" t="s">
        <v>3798</v>
      </c>
      <c r="V14306">
        <v>40</v>
      </c>
    </row>
    <row r="14307" spans="1:22" customFormat="1" ht="15" x14ac:dyDescent="0.25">
      <c r="A14307" t="s">
        <v>279</v>
      </c>
      <c r="B14307" t="s">
        <v>6622</v>
      </c>
      <c r="E14307" s="1472" t="s">
        <v>5891</v>
      </c>
      <c r="F14307" s="1472"/>
      <c r="G14307" s="1472"/>
      <c r="H14307" s="1472"/>
      <c r="K14307" t="s">
        <v>3798</v>
      </c>
      <c r="V14307">
        <v>327</v>
      </c>
    </row>
    <row r="14308" spans="1:22" customFormat="1" ht="15" x14ac:dyDescent="0.25">
      <c r="A14308" t="s">
        <v>279</v>
      </c>
      <c r="B14308" t="s">
        <v>6622</v>
      </c>
      <c r="E14308" s="1469" t="s">
        <v>950</v>
      </c>
      <c r="F14308" s="1472"/>
      <c r="G14308" s="1472"/>
      <c r="H14308" s="1472"/>
      <c r="K14308" t="s">
        <v>1025</v>
      </c>
      <c r="V14308">
        <v>11</v>
      </c>
    </row>
    <row r="14309" spans="1:22" customFormat="1" ht="15" x14ac:dyDescent="0.25">
      <c r="A14309" t="s">
        <v>279</v>
      </c>
      <c r="B14309" t="s">
        <v>6622</v>
      </c>
      <c r="E14309" s="1472" t="s">
        <v>951</v>
      </c>
      <c r="F14309" s="1472"/>
      <c r="G14309" s="1472"/>
      <c r="H14309" s="1472"/>
      <c r="K14309" t="s">
        <v>3798</v>
      </c>
      <c r="V14309">
        <v>280</v>
      </c>
    </row>
    <row r="14310" spans="1:22" customFormat="1" ht="15" x14ac:dyDescent="0.25">
      <c r="A14310" t="s">
        <v>279</v>
      </c>
      <c r="B14310" t="s">
        <v>6622</v>
      </c>
      <c r="E14310" s="1472" t="s">
        <v>952</v>
      </c>
      <c r="F14310" s="1472"/>
      <c r="G14310" s="1472"/>
      <c r="H14310" s="1472"/>
      <c r="K14310" t="s">
        <v>3798</v>
      </c>
      <c r="V14310">
        <v>411</v>
      </c>
    </row>
    <row r="14311" spans="1:22" customFormat="1" ht="15" x14ac:dyDescent="0.25">
      <c r="A14311" t="s">
        <v>279</v>
      </c>
      <c r="B14311" t="s">
        <v>6622</v>
      </c>
      <c r="E14311" s="1472" t="s">
        <v>3761</v>
      </c>
      <c r="F14311" s="1472"/>
      <c r="G14311" s="1472"/>
      <c r="H14311" s="1472"/>
      <c r="K14311" t="s">
        <v>3798</v>
      </c>
      <c r="V14311">
        <v>387</v>
      </c>
    </row>
    <row r="14312" spans="1:22" customFormat="1" ht="15" x14ac:dyDescent="0.25">
      <c r="A14312" t="s">
        <v>279</v>
      </c>
      <c r="B14312" t="s">
        <v>6622</v>
      </c>
      <c r="E14312" s="1472" t="s">
        <v>954</v>
      </c>
      <c r="F14312" s="1472"/>
      <c r="G14312" s="1472"/>
      <c r="H14312" s="1472"/>
      <c r="K14312" t="s">
        <v>3798</v>
      </c>
      <c r="V14312">
        <v>246</v>
      </c>
    </row>
    <row r="14313" spans="1:22" customFormat="1" ht="15" x14ac:dyDescent="0.25">
      <c r="A14313" t="s">
        <v>279</v>
      </c>
      <c r="B14313" t="s">
        <v>6622</v>
      </c>
      <c r="E14313" s="1469" t="s">
        <v>956</v>
      </c>
      <c r="F14313" s="1472"/>
      <c r="G14313" s="1472"/>
      <c r="H14313" s="1472"/>
      <c r="K14313" t="s">
        <v>1026</v>
      </c>
      <c r="V14313">
        <v>46</v>
      </c>
    </row>
    <row r="14314" spans="1:22" customFormat="1" ht="15" x14ac:dyDescent="0.25">
      <c r="A14314" t="s">
        <v>279</v>
      </c>
      <c r="B14314" t="s">
        <v>6622</v>
      </c>
      <c r="E14314" s="1467" t="s">
        <v>3773</v>
      </c>
      <c r="F14314" s="1467"/>
      <c r="G14314" s="952" t="s">
        <v>777</v>
      </c>
      <c r="H14314" s="1035">
        <v>3.91</v>
      </c>
      <c r="K14314" t="s">
        <v>3798</v>
      </c>
      <c r="L14314" t="s">
        <v>690</v>
      </c>
      <c r="P14314" t="s">
        <v>3801</v>
      </c>
      <c r="V14314">
        <v>14</v>
      </c>
    </row>
    <row r="14315" spans="1:22" customFormat="1" ht="15" x14ac:dyDescent="0.25">
      <c r="A14315" t="s">
        <v>279</v>
      </c>
      <c r="B14315" t="s">
        <v>6622</v>
      </c>
      <c r="E14315" s="1467" t="s">
        <v>6618</v>
      </c>
      <c r="F14315" s="1467"/>
      <c r="G14315" s="952" t="s">
        <v>777</v>
      </c>
      <c r="H14315" s="1035">
        <v>-0.13</v>
      </c>
      <c r="K14315" t="s">
        <v>3798</v>
      </c>
      <c r="L14315" t="s">
        <v>690</v>
      </c>
      <c r="P14315" t="s">
        <v>3801</v>
      </c>
      <c r="T14315">
        <v>45777</v>
      </c>
      <c r="V14315">
        <v>84</v>
      </c>
    </row>
    <row r="14316" spans="1:22" customFormat="1" ht="15" x14ac:dyDescent="0.25">
      <c r="A14316" t="s">
        <v>279</v>
      </c>
      <c r="B14316" t="s">
        <v>6622</v>
      </c>
      <c r="E14316" s="1467" t="s">
        <v>9665</v>
      </c>
      <c r="F14316" s="1467"/>
      <c r="G14316" s="952" t="s">
        <v>777</v>
      </c>
      <c r="H14316" s="1035">
        <v>0.12</v>
      </c>
      <c r="K14316" t="s">
        <v>3798</v>
      </c>
      <c r="L14316" t="s">
        <v>690</v>
      </c>
      <c r="P14316" t="s">
        <v>9698</v>
      </c>
      <c r="V14316">
        <v>136</v>
      </c>
    </row>
    <row r="14317" spans="1:22" customFormat="1" ht="15" x14ac:dyDescent="0.25">
      <c r="A14317" t="s">
        <v>279</v>
      </c>
      <c r="B14317" t="s">
        <v>6622</v>
      </c>
      <c r="E14317" s="1467" t="s">
        <v>9690</v>
      </c>
      <c r="F14317" s="1467"/>
      <c r="G14317" s="952" t="s">
        <v>777</v>
      </c>
      <c r="H14317" s="1035">
        <v>0.11</v>
      </c>
      <c r="K14317" t="s">
        <v>3798</v>
      </c>
      <c r="L14317" t="s">
        <v>690</v>
      </c>
      <c r="P14317" t="s">
        <v>9699</v>
      </c>
      <c r="V14317">
        <v>129</v>
      </c>
    </row>
    <row r="14318" spans="1:22" customFormat="1" ht="15" x14ac:dyDescent="0.25">
      <c r="A14318" t="s">
        <v>279</v>
      </c>
      <c r="B14318" t="s">
        <v>6622</v>
      </c>
      <c r="E14318" s="1467" t="s">
        <v>3688</v>
      </c>
      <c r="F14318" s="1467"/>
      <c r="G14318" s="952" t="s">
        <v>3775</v>
      </c>
      <c r="H14318" s="1036">
        <v>14.957000000000001</v>
      </c>
      <c r="K14318" t="s">
        <v>3798</v>
      </c>
      <c r="L14318" t="s">
        <v>690</v>
      </c>
      <c r="P14318" t="s">
        <v>3802</v>
      </c>
      <c r="V14318">
        <v>28</v>
      </c>
    </row>
    <row r="14319" spans="1:22" customFormat="1" ht="15" x14ac:dyDescent="0.25">
      <c r="A14319" t="s">
        <v>279</v>
      </c>
      <c r="B14319" t="s">
        <v>6622</v>
      </c>
      <c r="E14319" s="1486" t="s">
        <v>910</v>
      </c>
      <c r="F14319" s="1486"/>
      <c r="G14319" s="952" t="s">
        <v>3775</v>
      </c>
      <c r="H14319" s="1036">
        <v>8.0199999999999994E-2</v>
      </c>
      <c r="K14319" t="s">
        <v>3798</v>
      </c>
      <c r="L14319" t="s">
        <v>692</v>
      </c>
      <c r="P14319" t="s">
        <v>3803</v>
      </c>
      <c r="V14319">
        <v>24</v>
      </c>
    </row>
    <row r="14320" spans="1:22" customFormat="1" ht="15" x14ac:dyDescent="0.25">
      <c r="A14320" t="s">
        <v>279</v>
      </c>
      <c r="B14320" t="s">
        <v>6622</v>
      </c>
      <c r="E14320" s="1467" t="s">
        <v>9667</v>
      </c>
      <c r="F14320" s="1467"/>
      <c r="G14320" s="952" t="s">
        <v>3775</v>
      </c>
      <c r="H14320" s="1036">
        <v>1.0228999999999999</v>
      </c>
      <c r="K14320" t="s">
        <v>3798</v>
      </c>
      <c r="L14320" t="s">
        <v>690</v>
      </c>
      <c r="P14320" t="s">
        <v>9700</v>
      </c>
      <c r="T14320">
        <v>46022</v>
      </c>
      <c r="V14320">
        <v>82</v>
      </c>
    </row>
    <row r="14321" spans="1:22" customFormat="1" ht="15" x14ac:dyDescent="0.25">
      <c r="A14321" t="s">
        <v>279</v>
      </c>
      <c r="B14321" t="s">
        <v>6622</v>
      </c>
      <c r="E14321" s="1486" t="s">
        <v>9693</v>
      </c>
      <c r="F14321" s="1468"/>
      <c r="G14321" s="952" t="s">
        <v>3775</v>
      </c>
      <c r="H14321" s="1036">
        <v>3.3300000000000003E-2</v>
      </c>
      <c r="K14321" t="s">
        <v>3798</v>
      </c>
      <c r="L14321" t="s">
        <v>692</v>
      </c>
      <c r="P14321" t="s">
        <v>3804</v>
      </c>
      <c r="T14321">
        <v>46022</v>
      </c>
      <c r="V14321">
        <v>148</v>
      </c>
    </row>
    <row r="14322" spans="1:22" customFormat="1" ht="15" x14ac:dyDescent="0.25">
      <c r="A14322" t="s">
        <v>279</v>
      </c>
      <c r="B14322" t="s">
        <v>6622</v>
      </c>
      <c r="E14322" s="1486" t="s">
        <v>6520</v>
      </c>
      <c r="F14322" s="1468"/>
      <c r="G14322" s="952" t="s">
        <v>3775</v>
      </c>
      <c r="H14322" s="1036">
        <v>0.39489999999999997</v>
      </c>
      <c r="K14322" t="s">
        <v>3798</v>
      </c>
      <c r="L14322" t="s">
        <v>692</v>
      </c>
      <c r="P14322" t="s">
        <v>3805</v>
      </c>
      <c r="T14322">
        <v>46022</v>
      </c>
      <c r="V14322">
        <v>99</v>
      </c>
    </row>
    <row r="14323" spans="1:22" customFormat="1" ht="15" x14ac:dyDescent="0.25">
      <c r="A14323" t="s">
        <v>279</v>
      </c>
      <c r="B14323" t="s">
        <v>6622</v>
      </c>
      <c r="E14323" s="1467" t="s">
        <v>5264</v>
      </c>
      <c r="F14323" s="1467"/>
      <c r="G14323" s="952" t="s">
        <v>3775</v>
      </c>
      <c r="H14323" s="1036">
        <v>-8.6599999999999996E-2</v>
      </c>
      <c r="K14323" t="s">
        <v>3798</v>
      </c>
      <c r="L14323" t="s">
        <v>692</v>
      </c>
      <c r="P14323" t="s">
        <v>3804</v>
      </c>
      <c r="T14323">
        <v>45777</v>
      </c>
      <c r="V14323">
        <v>146</v>
      </c>
    </row>
    <row r="14324" spans="1:22" customFormat="1" ht="15" x14ac:dyDescent="0.25">
      <c r="A14324" t="s">
        <v>279</v>
      </c>
      <c r="B14324" t="s">
        <v>6622</v>
      </c>
      <c r="E14324" s="1467" t="s">
        <v>5263</v>
      </c>
      <c r="F14324" s="1467"/>
      <c r="G14324" s="952" t="s">
        <v>3775</v>
      </c>
      <c r="H14324" s="1036">
        <v>3.8786</v>
      </c>
      <c r="K14324" t="s">
        <v>3798</v>
      </c>
      <c r="L14324" t="s">
        <v>692</v>
      </c>
      <c r="P14324" t="s">
        <v>3805</v>
      </c>
      <c r="T14324">
        <v>45777</v>
      </c>
      <c r="V14324">
        <v>96</v>
      </c>
    </row>
    <row r="14325" spans="1:22" customFormat="1" ht="15" x14ac:dyDescent="0.25">
      <c r="A14325" t="s">
        <v>279</v>
      </c>
      <c r="B14325" t="s">
        <v>6622</v>
      </c>
      <c r="E14325" s="1467" t="s">
        <v>6630</v>
      </c>
      <c r="F14325" s="1467"/>
      <c r="G14325" s="952" t="s">
        <v>3775</v>
      </c>
      <c r="H14325" s="1036">
        <v>0.4093</v>
      </c>
      <c r="K14325" t="s">
        <v>3798</v>
      </c>
      <c r="L14325" t="s">
        <v>690</v>
      </c>
      <c r="P14325" t="s">
        <v>9701</v>
      </c>
      <c r="V14325">
        <v>128</v>
      </c>
    </row>
    <row r="14326" spans="1:22" customFormat="1" ht="15" x14ac:dyDescent="0.25">
      <c r="A14326" t="s">
        <v>279</v>
      </c>
      <c r="B14326" t="s">
        <v>6622</v>
      </c>
      <c r="E14326" s="1467" t="s">
        <v>5448</v>
      </c>
      <c r="F14326" s="1467"/>
      <c r="G14326" s="952" t="s">
        <v>3775</v>
      </c>
      <c r="H14326" s="1036">
        <v>-0.25900000000000001</v>
      </c>
      <c r="K14326" t="s">
        <v>3798</v>
      </c>
      <c r="L14326" t="s">
        <v>690</v>
      </c>
      <c r="P14326" t="s">
        <v>4797</v>
      </c>
      <c r="T14326">
        <v>45777</v>
      </c>
      <c r="V14326">
        <v>80</v>
      </c>
    </row>
    <row r="14327" spans="1:22" customFormat="1" ht="15" x14ac:dyDescent="0.25">
      <c r="A14327" t="s">
        <v>279</v>
      </c>
      <c r="B14327" t="s">
        <v>6622</v>
      </c>
      <c r="E14327" s="1467" t="s">
        <v>9665</v>
      </c>
      <c r="F14327" s="1467"/>
      <c r="G14327" s="952" t="s">
        <v>3775</v>
      </c>
      <c r="H14327" s="1036">
        <v>0.46200000000000002</v>
      </c>
      <c r="K14327" t="s">
        <v>3798</v>
      </c>
      <c r="L14327" t="s">
        <v>690</v>
      </c>
      <c r="P14327" t="s">
        <v>9702</v>
      </c>
      <c r="V14327">
        <v>136</v>
      </c>
    </row>
    <row r="14328" spans="1:22" customFormat="1" ht="15" x14ac:dyDescent="0.25">
      <c r="A14328" t="s">
        <v>279</v>
      </c>
      <c r="B14328" t="s">
        <v>6622</v>
      </c>
      <c r="E14328" s="1467" t="s">
        <v>6625</v>
      </c>
      <c r="F14328" s="1468"/>
      <c r="G14328" s="952" t="s">
        <v>3775</v>
      </c>
      <c r="H14328" s="1036">
        <v>-0.15629999999999999</v>
      </c>
      <c r="K14328" t="s">
        <v>3798</v>
      </c>
      <c r="L14328" t="s">
        <v>690</v>
      </c>
      <c r="P14328" t="s">
        <v>4797</v>
      </c>
      <c r="T14328">
        <v>46022</v>
      </c>
      <c r="V14328">
        <v>83</v>
      </c>
    </row>
    <row r="14329" spans="1:22" customFormat="1" ht="15" x14ac:dyDescent="0.25">
      <c r="A14329" t="s">
        <v>279</v>
      </c>
      <c r="B14329" t="s">
        <v>6622</v>
      </c>
      <c r="E14329" s="1467" t="s">
        <v>6620</v>
      </c>
      <c r="F14329" s="1467"/>
      <c r="G14329" s="952" t="s">
        <v>3775</v>
      </c>
      <c r="H14329" s="1036">
        <v>-0.49880000000000002</v>
      </c>
      <c r="K14329" t="s">
        <v>3798</v>
      </c>
      <c r="L14329" t="s">
        <v>690</v>
      </c>
      <c r="P14329" t="s">
        <v>9703</v>
      </c>
      <c r="T14329">
        <v>45777</v>
      </c>
      <c r="V14329">
        <v>80</v>
      </c>
    </row>
    <row r="14330" spans="1:22" customFormat="1" ht="15" x14ac:dyDescent="0.25">
      <c r="A14330" t="s">
        <v>279</v>
      </c>
      <c r="B14330" t="s">
        <v>6622</v>
      </c>
      <c r="E14330" s="1467" t="s">
        <v>243</v>
      </c>
      <c r="F14330" s="1467"/>
      <c r="G14330" s="952" t="s">
        <v>3775</v>
      </c>
      <c r="H14330" s="1036">
        <v>3.7269999999999999</v>
      </c>
      <c r="K14330" t="s">
        <v>3798</v>
      </c>
      <c r="L14330" t="s">
        <v>694</v>
      </c>
      <c r="P14330" t="s">
        <v>3806</v>
      </c>
      <c r="V14330">
        <v>47</v>
      </c>
    </row>
    <row r="14331" spans="1:22" customFormat="1" ht="15" x14ac:dyDescent="0.25">
      <c r="A14331" t="s">
        <v>279</v>
      </c>
      <c r="B14331" t="s">
        <v>6622</v>
      </c>
      <c r="E14331" s="1467" t="s">
        <v>175</v>
      </c>
      <c r="F14331" s="1467"/>
      <c r="G14331" s="952" t="s">
        <v>3775</v>
      </c>
      <c r="H14331" s="1036">
        <v>2.7972999999999999</v>
      </c>
      <c r="K14331" t="s">
        <v>3798</v>
      </c>
      <c r="L14331" t="s">
        <v>694</v>
      </c>
      <c r="P14331" t="s">
        <v>3807</v>
      </c>
      <c r="V14331">
        <v>74</v>
      </c>
    </row>
    <row r="14332" spans="1:22" customFormat="1" ht="15" x14ac:dyDescent="0.25">
      <c r="A14332" t="s">
        <v>279</v>
      </c>
      <c r="B14332" t="s">
        <v>6622</v>
      </c>
      <c r="E14332" s="1469" t="s">
        <v>967</v>
      </c>
      <c r="F14332" s="1467"/>
      <c r="G14332" s="1467"/>
      <c r="H14332" s="1467"/>
      <c r="K14332" t="s">
        <v>1035</v>
      </c>
      <c r="V14332">
        <v>48</v>
      </c>
    </row>
    <row r="14333" spans="1:22" customFormat="1" ht="15" x14ac:dyDescent="0.25">
      <c r="A14333" t="s">
        <v>279</v>
      </c>
      <c r="B14333" t="s">
        <v>6622</v>
      </c>
      <c r="E14333" s="1467" t="s">
        <v>844</v>
      </c>
      <c r="F14333" s="1467"/>
      <c r="G14333" s="952" t="s">
        <v>845</v>
      </c>
      <c r="H14333" s="1036">
        <v>4.1000000000000003E-3</v>
      </c>
      <c r="K14333" t="s">
        <v>3798</v>
      </c>
      <c r="L14333" t="s">
        <v>968</v>
      </c>
      <c r="P14333" t="s">
        <v>3808</v>
      </c>
      <c r="V14333">
        <v>55</v>
      </c>
    </row>
    <row r="14334" spans="1:22" customFormat="1" ht="15" x14ac:dyDescent="0.25">
      <c r="A14334" t="s">
        <v>279</v>
      </c>
      <c r="B14334" t="s">
        <v>6622</v>
      </c>
      <c r="E14334" s="1486" t="s">
        <v>846</v>
      </c>
      <c r="F14334" s="1486"/>
      <c r="G14334" s="952" t="s">
        <v>845</v>
      </c>
      <c r="H14334" s="1036">
        <v>4.0000000000000002E-4</v>
      </c>
      <c r="K14334" t="s">
        <v>3798</v>
      </c>
      <c r="L14334" t="s">
        <v>968</v>
      </c>
      <c r="P14334" t="s">
        <v>3808</v>
      </c>
      <c r="V14334">
        <v>65</v>
      </c>
    </row>
    <row r="14335" spans="1:22" customFormat="1" ht="15" x14ac:dyDescent="0.25">
      <c r="A14335" t="s">
        <v>279</v>
      </c>
      <c r="B14335" t="s">
        <v>6622</v>
      </c>
      <c r="E14335" s="1467" t="s">
        <v>847</v>
      </c>
      <c r="F14335" s="1467"/>
      <c r="G14335" s="952" t="s">
        <v>845</v>
      </c>
      <c r="H14335" s="1036">
        <v>1.5E-3</v>
      </c>
      <c r="K14335" t="s">
        <v>3798</v>
      </c>
      <c r="L14335" t="s">
        <v>968</v>
      </c>
      <c r="P14335" t="s">
        <v>3809</v>
      </c>
      <c r="V14335">
        <v>57</v>
      </c>
    </row>
    <row r="14336" spans="1:22" customFormat="1" ht="15" x14ac:dyDescent="0.25">
      <c r="A14336" t="s">
        <v>279</v>
      </c>
      <c r="B14336" t="s">
        <v>6622</v>
      </c>
      <c r="E14336" s="1467" t="s">
        <v>848</v>
      </c>
      <c r="F14336" s="1467"/>
      <c r="G14336" s="952" t="s">
        <v>777</v>
      </c>
      <c r="H14336" s="1035">
        <v>0.25</v>
      </c>
      <c r="K14336" t="s">
        <v>3798</v>
      </c>
      <c r="L14336" t="s">
        <v>968</v>
      </c>
      <c r="P14336" t="s">
        <v>3810</v>
      </c>
      <c r="V14336">
        <v>63</v>
      </c>
    </row>
    <row r="14337" spans="1:22" customFormat="1" x14ac:dyDescent="0.25">
      <c r="A14337" t="s">
        <v>279</v>
      </c>
      <c r="B14337" t="s">
        <v>6622</v>
      </c>
      <c r="E14337" s="1470" t="s">
        <v>202</v>
      </c>
      <c r="F14337" s="1471"/>
      <c r="G14337" s="1471"/>
      <c r="H14337" s="1471"/>
      <c r="K14337" t="s">
        <v>3811</v>
      </c>
      <c r="V14337">
        <v>38</v>
      </c>
    </row>
    <row r="14338" spans="1:22" customFormat="1" ht="15" x14ac:dyDescent="0.25">
      <c r="A14338" t="s">
        <v>279</v>
      </c>
      <c r="B14338" t="s">
        <v>6622</v>
      </c>
      <c r="E14338" s="1472" t="s">
        <v>5892</v>
      </c>
      <c r="F14338" s="1472"/>
      <c r="G14338" s="1472"/>
      <c r="H14338" s="1472"/>
      <c r="K14338" t="s">
        <v>3811</v>
      </c>
      <c r="V14338">
        <v>338</v>
      </c>
    </row>
    <row r="14339" spans="1:22" customFormat="1" ht="15" x14ac:dyDescent="0.25">
      <c r="A14339" t="s">
        <v>279</v>
      </c>
      <c r="B14339" t="s">
        <v>6622</v>
      </c>
      <c r="E14339" s="1469" t="s">
        <v>950</v>
      </c>
      <c r="F14339" s="1472"/>
      <c r="G14339" s="1472"/>
      <c r="H14339" s="1472"/>
      <c r="K14339" t="s">
        <v>1041</v>
      </c>
      <c r="V14339">
        <v>11</v>
      </c>
    </row>
    <row r="14340" spans="1:22" customFormat="1" ht="15" x14ac:dyDescent="0.25">
      <c r="A14340" t="s">
        <v>279</v>
      </c>
      <c r="B14340" t="s">
        <v>6622</v>
      </c>
      <c r="E14340" s="1472" t="s">
        <v>5882</v>
      </c>
      <c r="F14340" s="1472"/>
      <c r="G14340" s="1472"/>
      <c r="H14340" s="1472"/>
      <c r="K14340" t="s">
        <v>3811</v>
      </c>
      <c r="V14340">
        <v>282</v>
      </c>
    </row>
    <row r="14341" spans="1:22" customFormat="1" ht="15" x14ac:dyDescent="0.25">
      <c r="A14341" t="s">
        <v>279</v>
      </c>
      <c r="B14341" t="s">
        <v>6622</v>
      </c>
      <c r="E14341" s="1472" t="s">
        <v>4432</v>
      </c>
      <c r="F14341" s="1472"/>
      <c r="G14341" s="1472"/>
      <c r="H14341" s="1472"/>
      <c r="K14341" t="s">
        <v>3811</v>
      </c>
      <c r="V14341">
        <v>413</v>
      </c>
    </row>
    <row r="14342" spans="1:22" customFormat="1" ht="15" x14ac:dyDescent="0.25">
      <c r="A14342" t="s">
        <v>279</v>
      </c>
      <c r="B14342" t="s">
        <v>6622</v>
      </c>
      <c r="E14342" s="1472" t="s">
        <v>5893</v>
      </c>
      <c r="F14342" s="1472"/>
      <c r="G14342" s="1472"/>
      <c r="H14342" s="1472"/>
      <c r="K14342" t="s">
        <v>3811</v>
      </c>
      <c r="V14342">
        <v>389</v>
      </c>
    </row>
    <row r="14343" spans="1:22" customFormat="1" ht="15" x14ac:dyDescent="0.25">
      <c r="A14343" t="s">
        <v>279</v>
      </c>
      <c r="B14343" t="s">
        <v>6622</v>
      </c>
      <c r="E14343" s="1472" t="s">
        <v>954</v>
      </c>
      <c r="F14343" s="1472"/>
      <c r="G14343" s="1472"/>
      <c r="H14343" s="1472"/>
      <c r="K14343" t="s">
        <v>3811</v>
      </c>
      <c r="V14343">
        <v>246</v>
      </c>
    </row>
    <row r="14344" spans="1:22" customFormat="1" ht="15" x14ac:dyDescent="0.25">
      <c r="A14344" t="s">
        <v>279</v>
      </c>
      <c r="B14344" t="s">
        <v>6622</v>
      </c>
      <c r="E14344" s="1469" t="s">
        <v>956</v>
      </c>
      <c r="F14344" s="1472"/>
      <c r="G14344" s="1472"/>
      <c r="H14344" s="1472"/>
      <c r="K14344" t="s">
        <v>1042</v>
      </c>
      <c r="V14344">
        <v>46</v>
      </c>
    </row>
    <row r="14345" spans="1:22" customFormat="1" ht="15" x14ac:dyDescent="0.25">
      <c r="A14345" t="s">
        <v>279</v>
      </c>
      <c r="B14345" t="s">
        <v>6622</v>
      </c>
      <c r="E14345" s="1467" t="s">
        <v>3773</v>
      </c>
      <c r="F14345" s="1467"/>
      <c r="G14345" s="952" t="s">
        <v>777</v>
      </c>
      <c r="H14345" s="1035">
        <v>1.53</v>
      </c>
      <c r="K14345" t="s">
        <v>3811</v>
      </c>
      <c r="L14345" t="s">
        <v>690</v>
      </c>
      <c r="P14345" t="s">
        <v>3813</v>
      </c>
      <c r="V14345">
        <v>14</v>
      </c>
    </row>
    <row r="14346" spans="1:22" customFormat="1" ht="15" x14ac:dyDescent="0.25">
      <c r="A14346" t="s">
        <v>279</v>
      </c>
      <c r="B14346" t="s">
        <v>6622</v>
      </c>
      <c r="E14346" s="1467" t="s">
        <v>6618</v>
      </c>
      <c r="F14346" s="1467"/>
      <c r="G14346" s="952" t="s">
        <v>777</v>
      </c>
      <c r="H14346" s="1035">
        <v>-0.05</v>
      </c>
      <c r="K14346" t="s">
        <v>3811</v>
      </c>
      <c r="L14346" t="s">
        <v>690</v>
      </c>
      <c r="P14346" t="s">
        <v>3813</v>
      </c>
      <c r="T14346">
        <v>45777</v>
      </c>
      <c r="V14346">
        <v>84</v>
      </c>
    </row>
    <row r="14347" spans="1:22" customFormat="1" ht="15" x14ac:dyDescent="0.25">
      <c r="A14347" t="s">
        <v>279</v>
      </c>
      <c r="B14347" t="s">
        <v>6622</v>
      </c>
      <c r="E14347" s="1467" t="s">
        <v>9665</v>
      </c>
      <c r="F14347" s="1467"/>
      <c r="G14347" s="952" t="s">
        <v>777</v>
      </c>
      <c r="H14347" s="1035">
        <v>0.05</v>
      </c>
      <c r="K14347" t="s">
        <v>3811</v>
      </c>
      <c r="L14347" t="s">
        <v>690</v>
      </c>
      <c r="P14347" t="s">
        <v>9704</v>
      </c>
      <c r="V14347">
        <v>136</v>
      </c>
    </row>
    <row r="14348" spans="1:22" customFormat="1" ht="15" x14ac:dyDescent="0.25">
      <c r="A14348" t="s">
        <v>279</v>
      </c>
      <c r="B14348" t="s">
        <v>6622</v>
      </c>
      <c r="E14348" s="1467" t="s">
        <v>9690</v>
      </c>
      <c r="F14348" s="1467"/>
      <c r="G14348" s="952" t="s">
        <v>777</v>
      </c>
      <c r="H14348" s="1035">
        <v>0.04</v>
      </c>
      <c r="K14348" t="s">
        <v>3811</v>
      </c>
      <c r="L14348" t="s">
        <v>690</v>
      </c>
      <c r="P14348" t="s">
        <v>9705</v>
      </c>
      <c r="V14348">
        <v>129</v>
      </c>
    </row>
    <row r="14349" spans="1:22" customFormat="1" ht="15" x14ac:dyDescent="0.25">
      <c r="A14349" t="s">
        <v>279</v>
      </c>
      <c r="B14349" t="s">
        <v>6622</v>
      </c>
      <c r="E14349" s="1467" t="s">
        <v>3688</v>
      </c>
      <c r="F14349" s="1467"/>
      <c r="G14349" s="952" t="s">
        <v>3775</v>
      </c>
      <c r="H14349" s="1036">
        <v>7.5450999999999997</v>
      </c>
      <c r="K14349" t="s">
        <v>3811</v>
      </c>
      <c r="L14349" t="s">
        <v>690</v>
      </c>
      <c r="P14349" t="s">
        <v>3814</v>
      </c>
      <c r="V14349">
        <v>28</v>
      </c>
    </row>
    <row r="14350" spans="1:22" customFormat="1" ht="15" x14ac:dyDescent="0.25">
      <c r="A14350" t="s">
        <v>279</v>
      </c>
      <c r="B14350" t="s">
        <v>6622</v>
      </c>
      <c r="E14350" s="1486" t="s">
        <v>910</v>
      </c>
      <c r="F14350" s="1486"/>
      <c r="G14350" s="952" t="s">
        <v>3775</v>
      </c>
      <c r="H14350" s="1036">
        <v>7.85E-2</v>
      </c>
      <c r="K14350" t="s">
        <v>3811</v>
      </c>
      <c r="L14350" t="s">
        <v>692</v>
      </c>
      <c r="P14350" t="s">
        <v>3815</v>
      </c>
      <c r="V14350">
        <v>24</v>
      </c>
    </row>
    <row r="14351" spans="1:22" customFormat="1" ht="15" x14ac:dyDescent="0.25">
      <c r="A14351" t="s">
        <v>279</v>
      </c>
      <c r="B14351" t="s">
        <v>6622</v>
      </c>
      <c r="E14351" s="1467" t="s">
        <v>9667</v>
      </c>
      <c r="F14351" s="1467"/>
      <c r="G14351" s="952" t="s">
        <v>3775</v>
      </c>
      <c r="H14351" s="1036">
        <v>0.48409999999999997</v>
      </c>
      <c r="K14351" t="s">
        <v>3811</v>
      </c>
      <c r="L14351" t="s">
        <v>690</v>
      </c>
      <c r="P14351" t="s">
        <v>9706</v>
      </c>
      <c r="T14351">
        <v>46022</v>
      </c>
      <c r="V14351">
        <v>82</v>
      </c>
    </row>
    <row r="14352" spans="1:22" customFormat="1" ht="15" x14ac:dyDescent="0.25">
      <c r="A14352" t="s">
        <v>279</v>
      </c>
      <c r="B14352" t="s">
        <v>6622</v>
      </c>
      <c r="E14352" s="1486" t="s">
        <v>6519</v>
      </c>
      <c r="F14352" s="1468"/>
      <c r="G14352" s="952" t="s">
        <v>845</v>
      </c>
      <c r="H14352" s="1036">
        <v>2.5000000000000001E-3</v>
      </c>
      <c r="K14352" t="s">
        <v>3811</v>
      </c>
      <c r="L14352" t="s">
        <v>692</v>
      </c>
      <c r="P14352" t="s">
        <v>4543</v>
      </c>
      <c r="T14352">
        <v>46022</v>
      </c>
      <c r="V14352">
        <v>142</v>
      </c>
    </row>
    <row r="14353" spans="1:22" customFormat="1" ht="15" x14ac:dyDescent="0.25">
      <c r="A14353" t="s">
        <v>279</v>
      </c>
      <c r="B14353" t="s">
        <v>6622</v>
      </c>
      <c r="E14353" s="1486" t="s">
        <v>6520</v>
      </c>
      <c r="F14353" s="1468"/>
      <c r="G14353" s="952" t="s">
        <v>3775</v>
      </c>
      <c r="H14353" s="1036">
        <v>0.42559999999999998</v>
      </c>
      <c r="K14353" t="s">
        <v>3811</v>
      </c>
      <c r="L14353" t="s">
        <v>692</v>
      </c>
      <c r="P14353" t="s">
        <v>3817</v>
      </c>
      <c r="T14353">
        <v>46022</v>
      </c>
      <c r="V14353">
        <v>99</v>
      </c>
    </row>
    <row r="14354" spans="1:22" customFormat="1" ht="15" x14ac:dyDescent="0.25">
      <c r="A14354" t="s">
        <v>279</v>
      </c>
      <c r="B14354" t="s">
        <v>6622</v>
      </c>
      <c r="E14354" s="1467" t="s">
        <v>5262</v>
      </c>
      <c r="F14354" s="1467"/>
      <c r="G14354" s="952" t="s">
        <v>845</v>
      </c>
      <c r="H14354" s="1036">
        <v>1.9E-3</v>
      </c>
      <c r="K14354" t="s">
        <v>3811</v>
      </c>
      <c r="L14354" t="s">
        <v>692</v>
      </c>
      <c r="P14354" t="s">
        <v>4543</v>
      </c>
      <c r="T14354">
        <v>45777</v>
      </c>
      <c r="V14354">
        <v>139</v>
      </c>
    </row>
    <row r="14355" spans="1:22" customFormat="1" ht="15" x14ac:dyDescent="0.25">
      <c r="A14355" t="s">
        <v>279</v>
      </c>
      <c r="B14355" t="s">
        <v>6622</v>
      </c>
      <c r="E14355" s="1467" t="s">
        <v>5263</v>
      </c>
      <c r="F14355" s="1467"/>
      <c r="G14355" s="952" t="s">
        <v>3775</v>
      </c>
      <c r="H14355" s="1036">
        <v>2.2675999999999998</v>
      </c>
      <c r="K14355" t="s">
        <v>3811</v>
      </c>
      <c r="L14355" t="s">
        <v>692</v>
      </c>
      <c r="P14355" t="s">
        <v>3817</v>
      </c>
      <c r="T14355">
        <v>45777</v>
      </c>
      <c r="V14355">
        <v>96</v>
      </c>
    </row>
    <row r="14356" spans="1:22" customFormat="1" ht="15" x14ac:dyDescent="0.25">
      <c r="A14356" t="s">
        <v>279</v>
      </c>
      <c r="B14356" t="s">
        <v>6622</v>
      </c>
      <c r="E14356" s="1467" t="s">
        <v>9693</v>
      </c>
      <c r="F14356" s="1468"/>
      <c r="G14356" s="952" t="s">
        <v>3775</v>
      </c>
      <c r="H14356" s="1036">
        <v>3.2199999999999999E-2</v>
      </c>
      <c r="K14356" t="s">
        <v>3811</v>
      </c>
      <c r="L14356" t="s">
        <v>692</v>
      </c>
      <c r="P14356" t="s">
        <v>3816</v>
      </c>
      <c r="T14356">
        <v>46022</v>
      </c>
      <c r="V14356">
        <v>148</v>
      </c>
    </row>
    <row r="14357" spans="1:22" customFormat="1" ht="15" x14ac:dyDescent="0.25">
      <c r="A14357" t="s">
        <v>279</v>
      </c>
      <c r="B14357" t="s">
        <v>6622</v>
      </c>
      <c r="E14357" s="1467" t="s">
        <v>5264</v>
      </c>
      <c r="F14357" s="1467"/>
      <c r="G14357" s="952" t="s">
        <v>3775</v>
      </c>
      <c r="H14357" s="1036">
        <v>-5.1400000000000001E-2</v>
      </c>
      <c r="K14357" t="s">
        <v>3811</v>
      </c>
      <c r="L14357" t="s">
        <v>692</v>
      </c>
      <c r="P14357" t="s">
        <v>3816</v>
      </c>
      <c r="T14357">
        <v>45777</v>
      </c>
      <c r="V14357">
        <v>146</v>
      </c>
    </row>
    <row r="14358" spans="1:22" customFormat="1" ht="15" x14ac:dyDescent="0.25">
      <c r="A14358" t="s">
        <v>279</v>
      </c>
      <c r="B14358" t="s">
        <v>6622</v>
      </c>
      <c r="E14358" s="1467" t="s">
        <v>6630</v>
      </c>
      <c r="F14358" s="1467"/>
      <c r="G14358" s="952" t="s">
        <v>3775</v>
      </c>
      <c r="H14358" s="1036">
        <v>0.2082</v>
      </c>
      <c r="K14358" t="s">
        <v>3811</v>
      </c>
      <c r="L14358" t="s">
        <v>690</v>
      </c>
      <c r="P14358" t="s">
        <v>9707</v>
      </c>
      <c r="V14358">
        <v>128</v>
      </c>
    </row>
    <row r="14359" spans="1:22" customFormat="1" ht="15" x14ac:dyDescent="0.25">
      <c r="A14359" t="s">
        <v>279</v>
      </c>
      <c r="B14359" t="s">
        <v>6622</v>
      </c>
      <c r="E14359" s="1467" t="s">
        <v>5448</v>
      </c>
      <c r="F14359" s="1467"/>
      <c r="G14359" s="952" t="s">
        <v>3775</v>
      </c>
      <c r="H14359" s="1036">
        <v>-0.19420000000000001</v>
      </c>
      <c r="K14359" t="s">
        <v>3811</v>
      </c>
      <c r="L14359" t="s">
        <v>690</v>
      </c>
      <c r="P14359" t="s">
        <v>4800</v>
      </c>
      <c r="T14359">
        <v>45777</v>
      </c>
      <c r="V14359">
        <v>80</v>
      </c>
    </row>
    <row r="14360" spans="1:22" customFormat="1" ht="15" x14ac:dyDescent="0.25">
      <c r="A14360" t="s">
        <v>279</v>
      </c>
      <c r="B14360" t="s">
        <v>6622</v>
      </c>
      <c r="E14360" s="1467" t="s">
        <v>9665</v>
      </c>
      <c r="F14360" s="1467"/>
      <c r="G14360" s="952" t="s">
        <v>3775</v>
      </c>
      <c r="H14360" s="1036">
        <v>0.2331</v>
      </c>
      <c r="K14360" t="s">
        <v>3811</v>
      </c>
      <c r="L14360" t="s">
        <v>690</v>
      </c>
      <c r="P14360" t="s">
        <v>9708</v>
      </c>
      <c r="V14360">
        <v>136</v>
      </c>
    </row>
    <row r="14361" spans="1:22" customFormat="1" ht="15" x14ac:dyDescent="0.25">
      <c r="A14361" t="s">
        <v>279</v>
      </c>
      <c r="B14361" t="s">
        <v>6622</v>
      </c>
      <c r="E14361" s="1467" t="s">
        <v>6625</v>
      </c>
      <c r="F14361" s="1468"/>
      <c r="G14361" s="952" t="s">
        <v>3775</v>
      </c>
      <c r="H14361" s="1036">
        <v>-0.192</v>
      </c>
      <c r="K14361" t="s">
        <v>3811</v>
      </c>
      <c r="L14361" t="s">
        <v>690</v>
      </c>
      <c r="P14361" t="s">
        <v>4800</v>
      </c>
      <c r="T14361">
        <v>46022</v>
      </c>
      <c r="V14361">
        <v>83</v>
      </c>
    </row>
    <row r="14362" spans="1:22" customFormat="1" ht="15" x14ac:dyDescent="0.25">
      <c r="A14362" t="s">
        <v>279</v>
      </c>
      <c r="B14362" t="s">
        <v>6622</v>
      </c>
      <c r="E14362" s="1467" t="s">
        <v>6620</v>
      </c>
      <c r="F14362" s="1467"/>
      <c r="G14362" s="952" t="s">
        <v>3775</v>
      </c>
      <c r="H14362" s="1036">
        <v>-0.25159999999999999</v>
      </c>
      <c r="K14362" t="s">
        <v>3811</v>
      </c>
      <c r="L14362" t="s">
        <v>690</v>
      </c>
      <c r="P14362" t="s">
        <v>9709</v>
      </c>
      <c r="T14362">
        <v>45777</v>
      </c>
      <c r="V14362">
        <v>80</v>
      </c>
    </row>
    <row r="14363" spans="1:22" customFormat="1" ht="15" x14ac:dyDescent="0.25">
      <c r="A14363" t="s">
        <v>279</v>
      </c>
      <c r="B14363" t="s">
        <v>6622</v>
      </c>
      <c r="E14363" s="1467" t="s">
        <v>243</v>
      </c>
      <c r="F14363" s="1467"/>
      <c r="G14363" s="952" t="s">
        <v>3775</v>
      </c>
      <c r="H14363" s="1036">
        <v>3.7616999999999998</v>
      </c>
      <c r="K14363" t="s">
        <v>3811</v>
      </c>
      <c r="L14363" t="s">
        <v>694</v>
      </c>
      <c r="P14363" t="s">
        <v>3818</v>
      </c>
      <c r="V14363">
        <v>47</v>
      </c>
    </row>
    <row r="14364" spans="1:22" customFormat="1" ht="15" x14ac:dyDescent="0.25">
      <c r="A14364" t="s">
        <v>279</v>
      </c>
      <c r="B14364" t="s">
        <v>6622</v>
      </c>
      <c r="E14364" s="1467" t="s">
        <v>175</v>
      </c>
      <c r="F14364" s="1467"/>
      <c r="G14364" s="952" t="s">
        <v>3775</v>
      </c>
      <c r="H14364" s="1036">
        <v>2.738</v>
      </c>
      <c r="K14364" t="s">
        <v>3811</v>
      </c>
      <c r="L14364" t="s">
        <v>694</v>
      </c>
      <c r="P14364" t="s">
        <v>3819</v>
      </c>
      <c r="V14364">
        <v>74</v>
      </c>
    </row>
    <row r="14365" spans="1:22" customFormat="1" ht="15" x14ac:dyDescent="0.25">
      <c r="A14365" t="s">
        <v>279</v>
      </c>
      <c r="B14365" t="s">
        <v>6622</v>
      </c>
      <c r="E14365" s="1469" t="s">
        <v>967</v>
      </c>
      <c r="F14365" s="1467"/>
      <c r="G14365" s="1467"/>
      <c r="H14365" s="1467"/>
      <c r="K14365" t="s">
        <v>1049</v>
      </c>
      <c r="V14365">
        <v>48</v>
      </c>
    </row>
    <row r="14366" spans="1:22" customFormat="1" ht="15" x14ac:dyDescent="0.25">
      <c r="A14366" t="s">
        <v>279</v>
      </c>
      <c r="B14366" t="s">
        <v>6622</v>
      </c>
      <c r="E14366" s="1467" t="s">
        <v>844</v>
      </c>
      <c r="F14366" s="1467"/>
      <c r="G14366" s="952" t="s">
        <v>845</v>
      </c>
      <c r="H14366" s="1036">
        <v>4.1000000000000003E-3</v>
      </c>
      <c r="K14366" t="s">
        <v>3811</v>
      </c>
      <c r="L14366" t="s">
        <v>968</v>
      </c>
      <c r="P14366" t="s">
        <v>3820</v>
      </c>
      <c r="V14366">
        <v>55</v>
      </c>
    </row>
    <row r="14367" spans="1:22" customFormat="1" ht="15" x14ac:dyDescent="0.25">
      <c r="A14367" t="s">
        <v>279</v>
      </c>
      <c r="B14367" t="s">
        <v>6622</v>
      </c>
      <c r="E14367" s="1467" t="s">
        <v>846</v>
      </c>
      <c r="F14367" s="1467"/>
      <c r="G14367" s="952" t="s">
        <v>845</v>
      </c>
      <c r="H14367" s="1036">
        <v>4.0000000000000002E-4</v>
      </c>
      <c r="K14367" t="s">
        <v>3811</v>
      </c>
      <c r="L14367" t="s">
        <v>968</v>
      </c>
      <c r="P14367" t="s">
        <v>3820</v>
      </c>
      <c r="V14367">
        <v>65</v>
      </c>
    </row>
    <row r="14368" spans="1:22" customFormat="1" ht="15" x14ac:dyDescent="0.25">
      <c r="A14368" t="s">
        <v>279</v>
      </c>
      <c r="B14368" t="s">
        <v>6622</v>
      </c>
      <c r="E14368" s="1467" t="s">
        <v>847</v>
      </c>
      <c r="F14368" s="1467"/>
      <c r="G14368" s="952" t="s">
        <v>845</v>
      </c>
      <c r="H14368" s="1036">
        <v>1.5E-3</v>
      </c>
      <c r="K14368" t="s">
        <v>3811</v>
      </c>
      <c r="L14368" t="s">
        <v>968</v>
      </c>
      <c r="P14368" t="s">
        <v>3821</v>
      </c>
      <c r="V14368">
        <v>57</v>
      </c>
    </row>
    <row r="14369" spans="1:22" customFormat="1" ht="15" x14ac:dyDescent="0.25">
      <c r="A14369" t="s">
        <v>279</v>
      </c>
      <c r="B14369" t="s">
        <v>6622</v>
      </c>
      <c r="E14369" s="1467" t="s">
        <v>848</v>
      </c>
      <c r="F14369" s="1467"/>
      <c r="G14369" s="952" t="s">
        <v>777</v>
      </c>
      <c r="H14369" s="1035">
        <v>0.25</v>
      </c>
      <c r="K14369" t="s">
        <v>3811</v>
      </c>
      <c r="L14369" t="s">
        <v>968</v>
      </c>
      <c r="P14369" t="s">
        <v>3822</v>
      </c>
      <c r="V14369">
        <v>63</v>
      </c>
    </row>
    <row r="14370" spans="1:22" customFormat="1" x14ac:dyDescent="0.25">
      <c r="A14370" t="s">
        <v>279</v>
      </c>
      <c r="B14370" t="s">
        <v>6622</v>
      </c>
      <c r="E14370" s="1470" t="s">
        <v>207</v>
      </c>
      <c r="F14370" s="1471"/>
      <c r="G14370" s="1471"/>
      <c r="H14370" s="1471"/>
      <c r="K14370" t="s">
        <v>3823</v>
      </c>
      <c r="V14370">
        <v>31</v>
      </c>
    </row>
    <row r="14371" spans="1:22" customFormat="1" ht="15" x14ac:dyDescent="0.25">
      <c r="A14371" t="s">
        <v>279</v>
      </c>
      <c r="B14371" t="s">
        <v>6622</v>
      </c>
      <c r="E14371" s="1472" t="s">
        <v>5894</v>
      </c>
      <c r="F14371" s="1472"/>
      <c r="G14371" s="1472"/>
      <c r="H14371" s="1472"/>
      <c r="K14371" t="s">
        <v>3823</v>
      </c>
      <c r="V14371">
        <v>286</v>
      </c>
    </row>
    <row r="14372" spans="1:22" customFormat="1" ht="15" x14ac:dyDescent="0.25">
      <c r="A14372" t="s">
        <v>279</v>
      </c>
      <c r="B14372" t="s">
        <v>6622</v>
      </c>
      <c r="E14372" s="1469" t="s">
        <v>950</v>
      </c>
      <c r="F14372" s="1472"/>
      <c r="G14372" s="1472"/>
      <c r="H14372" s="1472"/>
      <c r="K14372" t="s">
        <v>1055</v>
      </c>
      <c r="V14372">
        <v>11</v>
      </c>
    </row>
    <row r="14373" spans="1:22" customFormat="1" ht="15" x14ac:dyDescent="0.25">
      <c r="A14373" t="s">
        <v>279</v>
      </c>
      <c r="B14373" t="s">
        <v>6622</v>
      </c>
      <c r="E14373" s="1472" t="s">
        <v>5882</v>
      </c>
      <c r="F14373" s="1472"/>
      <c r="G14373" s="1472"/>
      <c r="H14373" s="1472"/>
      <c r="K14373" t="s">
        <v>3823</v>
      </c>
      <c r="V14373">
        <v>282</v>
      </c>
    </row>
    <row r="14374" spans="1:22" customFormat="1" ht="15" x14ac:dyDescent="0.25">
      <c r="A14374" t="s">
        <v>279</v>
      </c>
      <c r="B14374" t="s">
        <v>6622</v>
      </c>
      <c r="E14374" s="1472" t="s">
        <v>952</v>
      </c>
      <c r="F14374" s="1472"/>
      <c r="G14374" s="1472"/>
      <c r="H14374" s="1472"/>
      <c r="K14374" t="s">
        <v>3823</v>
      </c>
      <c r="V14374">
        <v>411</v>
      </c>
    </row>
    <row r="14375" spans="1:22" customFormat="1" ht="15" x14ac:dyDescent="0.25">
      <c r="A14375" t="s">
        <v>279</v>
      </c>
      <c r="B14375" t="s">
        <v>6622</v>
      </c>
      <c r="E14375" s="1472" t="s">
        <v>5305</v>
      </c>
      <c r="F14375" s="1472"/>
      <c r="G14375" s="1472"/>
      <c r="H14375" s="1472"/>
      <c r="K14375" t="s">
        <v>3823</v>
      </c>
      <c r="V14375">
        <v>212</v>
      </c>
    </row>
    <row r="14376" spans="1:22" customFormat="1" ht="15" x14ac:dyDescent="0.25">
      <c r="A14376" t="s">
        <v>279</v>
      </c>
      <c r="B14376" t="s">
        <v>6622</v>
      </c>
      <c r="E14376" s="1472" t="s">
        <v>954</v>
      </c>
      <c r="F14376" s="1472"/>
      <c r="G14376" s="1472"/>
      <c r="H14376" s="1472"/>
      <c r="K14376" t="s">
        <v>3823</v>
      </c>
      <c r="V14376">
        <v>246</v>
      </c>
    </row>
    <row r="14377" spans="1:22" customFormat="1" ht="15" x14ac:dyDescent="0.25">
      <c r="A14377" t="s">
        <v>279</v>
      </c>
      <c r="B14377" t="s">
        <v>6622</v>
      </c>
      <c r="E14377" s="1469" t="s">
        <v>956</v>
      </c>
      <c r="F14377" s="1472"/>
      <c r="G14377" s="1472"/>
      <c r="H14377" s="1472"/>
      <c r="K14377" t="s">
        <v>1056</v>
      </c>
      <c r="V14377">
        <v>46</v>
      </c>
    </row>
    <row r="14378" spans="1:22" customFormat="1" ht="15" x14ac:dyDescent="0.25">
      <c r="A14378" t="s">
        <v>279</v>
      </c>
      <c r="B14378" t="s">
        <v>6622</v>
      </c>
      <c r="E14378" s="1467" t="s">
        <v>3773</v>
      </c>
      <c r="F14378" s="1467"/>
      <c r="G14378" s="952" t="s">
        <v>777</v>
      </c>
      <c r="H14378" s="1035">
        <v>5</v>
      </c>
      <c r="K14378" t="s">
        <v>3823</v>
      </c>
      <c r="L14378" t="s">
        <v>690</v>
      </c>
      <c r="P14378" t="s">
        <v>3824</v>
      </c>
      <c r="V14378">
        <v>14</v>
      </c>
    </row>
    <row r="14379" spans="1:22" customFormat="1" ht="18.75" x14ac:dyDescent="0.25">
      <c r="A14379" t="s">
        <v>279</v>
      </c>
      <c r="B14379" t="s">
        <v>6622</v>
      </c>
      <c r="E14379" s="1478" t="s">
        <v>3825</v>
      </c>
      <c r="F14379" s="1481"/>
      <c r="G14379" s="1481"/>
      <c r="H14379" s="1481"/>
      <c r="K14379" t="s">
        <v>5895</v>
      </c>
      <c r="V14379">
        <v>10</v>
      </c>
    </row>
    <row r="14380" spans="1:22" customFormat="1" ht="15" x14ac:dyDescent="0.25">
      <c r="A14380" t="s">
        <v>279</v>
      </c>
      <c r="B14380" t="s">
        <v>6622</v>
      </c>
      <c r="E14380" s="1467" t="s">
        <v>1078</v>
      </c>
      <c r="F14380" s="1467"/>
      <c r="G14380" s="952" t="s">
        <v>3775</v>
      </c>
      <c r="H14380" s="1036">
        <v>-0.85</v>
      </c>
      <c r="V14380">
        <v>68</v>
      </c>
    </row>
    <row r="14381" spans="1:22" customFormat="1" ht="15" x14ac:dyDescent="0.25">
      <c r="A14381" t="s">
        <v>279</v>
      </c>
      <c r="B14381" t="s">
        <v>6622</v>
      </c>
      <c r="E14381" s="1467" t="s">
        <v>1079</v>
      </c>
      <c r="F14381" s="1467"/>
      <c r="G14381" s="952" t="s">
        <v>1118</v>
      </c>
      <c r="H14381" s="1035">
        <v>-1</v>
      </c>
      <c r="V14381">
        <v>87</v>
      </c>
    </row>
    <row r="14382" spans="1:22" customFormat="1" ht="18.75" x14ac:dyDescent="0.3">
      <c r="A14382" t="s">
        <v>279</v>
      </c>
      <c r="B14382" t="s">
        <v>6622</v>
      </c>
      <c r="E14382" s="1470" t="s">
        <v>3828</v>
      </c>
      <c r="F14382" s="1480"/>
      <c r="G14382" s="1480"/>
      <c r="H14382" s="1480"/>
      <c r="K14382" t="s">
        <v>5896</v>
      </c>
      <c r="V14382">
        <v>24</v>
      </c>
    </row>
    <row r="14383" spans="1:22" customFormat="1" ht="15" x14ac:dyDescent="0.25">
      <c r="A14383" t="s">
        <v>279</v>
      </c>
      <c r="B14383" t="s">
        <v>6622</v>
      </c>
      <c r="E14383" s="1472" t="s">
        <v>951</v>
      </c>
      <c r="F14383" s="1472"/>
      <c r="G14383" s="1472"/>
      <c r="H14383" s="1472"/>
      <c r="V14383">
        <v>280</v>
      </c>
    </row>
    <row r="14384" spans="1:22" customFormat="1" ht="15" x14ac:dyDescent="0.25">
      <c r="A14384" t="s">
        <v>279</v>
      </c>
      <c r="B14384" t="s">
        <v>6622</v>
      </c>
      <c r="E14384" s="1472" t="s">
        <v>5017</v>
      </c>
      <c r="F14384" s="1472"/>
      <c r="G14384" s="1472"/>
      <c r="H14384" s="1472"/>
      <c r="V14384">
        <v>355</v>
      </c>
    </row>
    <row r="14385" spans="1:22" customFormat="1" ht="15" x14ac:dyDescent="0.25">
      <c r="A14385" t="s">
        <v>279</v>
      </c>
      <c r="B14385" t="s">
        <v>6622</v>
      </c>
      <c r="E14385" s="1472" t="s">
        <v>954</v>
      </c>
      <c r="F14385" s="1472"/>
      <c r="G14385" s="1472"/>
      <c r="H14385" s="1472"/>
      <c r="V14385">
        <v>246</v>
      </c>
    </row>
    <row r="14386" spans="1:22" customFormat="1" ht="15" x14ac:dyDescent="0.25">
      <c r="A14386" t="s">
        <v>279</v>
      </c>
      <c r="B14386" t="s">
        <v>6622</v>
      </c>
      <c r="E14386" s="1469" t="s">
        <v>3830</v>
      </c>
      <c r="F14386" s="1468"/>
      <c r="G14386" s="1468"/>
      <c r="H14386" s="1468"/>
      <c r="K14386" t="s">
        <v>5897</v>
      </c>
      <c r="V14386">
        <v>23</v>
      </c>
    </row>
    <row r="14387" spans="1:22" customFormat="1" ht="15" x14ac:dyDescent="0.25">
      <c r="A14387" t="s">
        <v>279</v>
      </c>
      <c r="B14387" t="s">
        <v>6622</v>
      </c>
      <c r="E14387" s="1474" t="s">
        <v>3832</v>
      </c>
      <c r="F14387" s="1474"/>
      <c r="G14387" s="952" t="s">
        <v>777</v>
      </c>
      <c r="H14387" s="1035">
        <v>15</v>
      </c>
      <c r="V14387">
        <v>19</v>
      </c>
    </row>
    <row r="14388" spans="1:22" customFormat="1" ht="15" x14ac:dyDescent="0.25">
      <c r="A14388" t="s">
        <v>279</v>
      </c>
      <c r="B14388" t="s">
        <v>6622</v>
      </c>
      <c r="E14388" s="1474" t="s">
        <v>3833</v>
      </c>
      <c r="F14388" s="1474"/>
      <c r="G14388" s="952" t="s">
        <v>777</v>
      </c>
      <c r="H14388" s="1035">
        <v>15</v>
      </c>
      <c r="V14388">
        <v>20</v>
      </c>
    </row>
    <row r="14389" spans="1:22" customFormat="1" ht="15" x14ac:dyDescent="0.25">
      <c r="A14389" t="s">
        <v>279</v>
      </c>
      <c r="B14389" t="s">
        <v>6622</v>
      </c>
      <c r="E14389" s="1474" t="s">
        <v>3834</v>
      </c>
      <c r="F14389" s="1474"/>
      <c r="G14389" s="952" t="s">
        <v>777</v>
      </c>
      <c r="H14389" s="1035">
        <v>15</v>
      </c>
      <c r="V14389">
        <v>39</v>
      </c>
    </row>
    <row r="14390" spans="1:22" customFormat="1" ht="15" x14ac:dyDescent="0.25">
      <c r="A14390" t="s">
        <v>279</v>
      </c>
      <c r="B14390" t="s">
        <v>6622</v>
      </c>
      <c r="E14390" s="1474" t="s">
        <v>4055</v>
      </c>
      <c r="F14390" s="1474"/>
      <c r="G14390" s="952" t="s">
        <v>777</v>
      </c>
      <c r="H14390" s="1035">
        <v>15</v>
      </c>
      <c r="V14390">
        <v>37</v>
      </c>
    </row>
    <row r="14391" spans="1:22" customFormat="1" ht="15" x14ac:dyDescent="0.25">
      <c r="A14391" t="s">
        <v>279</v>
      </c>
      <c r="B14391" t="s">
        <v>6622</v>
      </c>
      <c r="E14391" s="1474" t="s">
        <v>4056</v>
      </c>
      <c r="F14391" s="1474"/>
      <c r="G14391" s="952" t="s">
        <v>777</v>
      </c>
      <c r="H14391" s="1035">
        <v>15</v>
      </c>
      <c r="V14391">
        <v>15</v>
      </c>
    </row>
    <row r="14392" spans="1:22" customFormat="1" ht="15" x14ac:dyDescent="0.25">
      <c r="A14392" t="s">
        <v>279</v>
      </c>
      <c r="B14392" t="s">
        <v>6622</v>
      </c>
      <c r="E14392" s="1474" t="s">
        <v>4058</v>
      </c>
      <c r="F14392" s="1474"/>
      <c r="G14392" s="952" t="s">
        <v>777</v>
      </c>
      <c r="H14392" s="1035">
        <v>15</v>
      </c>
      <c r="V14392">
        <v>15</v>
      </c>
    </row>
    <row r="14393" spans="1:22" customFormat="1" ht="15" x14ac:dyDescent="0.25">
      <c r="A14393" t="s">
        <v>279</v>
      </c>
      <c r="B14393" t="s">
        <v>6622</v>
      </c>
      <c r="E14393" s="1474" t="s">
        <v>5112</v>
      </c>
      <c r="F14393" s="1474"/>
      <c r="G14393" s="952" t="s">
        <v>777</v>
      </c>
      <c r="H14393" s="1035">
        <v>15</v>
      </c>
      <c r="V14393">
        <v>23</v>
      </c>
    </row>
    <row r="14394" spans="1:22" customFormat="1" ht="15" x14ac:dyDescent="0.25">
      <c r="A14394" t="s">
        <v>279</v>
      </c>
      <c r="B14394" t="s">
        <v>6622</v>
      </c>
      <c r="E14394" s="1474" t="s">
        <v>4490</v>
      </c>
      <c r="F14394" s="1474"/>
      <c r="G14394" s="952" t="s">
        <v>777</v>
      </c>
      <c r="H14394" s="1035">
        <v>15</v>
      </c>
      <c r="V14394">
        <v>39</v>
      </c>
    </row>
    <row r="14395" spans="1:22" customFormat="1" ht="15" x14ac:dyDescent="0.25">
      <c r="A14395" t="s">
        <v>279</v>
      </c>
      <c r="B14395" t="s">
        <v>6622</v>
      </c>
      <c r="E14395" s="1474" t="s">
        <v>3836</v>
      </c>
      <c r="F14395" s="1474"/>
      <c r="G14395" s="952" t="s">
        <v>777</v>
      </c>
      <c r="H14395" s="1035">
        <v>15</v>
      </c>
      <c r="V14395">
        <v>35</v>
      </c>
    </row>
    <row r="14396" spans="1:22" customFormat="1" ht="15" x14ac:dyDescent="0.25">
      <c r="A14396" t="s">
        <v>279</v>
      </c>
      <c r="B14396" t="s">
        <v>6622</v>
      </c>
      <c r="E14396" s="1474" t="s">
        <v>4059</v>
      </c>
      <c r="F14396" s="1474"/>
      <c r="G14396" s="952" t="s">
        <v>777</v>
      </c>
      <c r="H14396" s="1035">
        <v>15</v>
      </c>
      <c r="V14396">
        <v>19</v>
      </c>
    </row>
    <row r="14397" spans="1:22" customFormat="1" ht="15" x14ac:dyDescent="0.25">
      <c r="A14397" t="s">
        <v>279</v>
      </c>
      <c r="B14397" t="s">
        <v>6622</v>
      </c>
      <c r="E14397" s="1474" t="s">
        <v>3914</v>
      </c>
      <c r="F14397" s="1474"/>
      <c r="G14397" s="952" t="s">
        <v>777</v>
      </c>
      <c r="H14397" s="1035">
        <v>30</v>
      </c>
      <c r="V14397">
        <v>19</v>
      </c>
    </row>
    <row r="14398" spans="1:22" customFormat="1" ht="15" x14ac:dyDescent="0.25">
      <c r="A14398" t="s">
        <v>279</v>
      </c>
      <c r="B14398" t="s">
        <v>6622</v>
      </c>
      <c r="E14398" s="1474" t="s">
        <v>5898</v>
      </c>
      <c r="F14398" s="1474"/>
      <c r="G14398" s="952" t="s">
        <v>777</v>
      </c>
      <c r="H14398" s="1035">
        <v>26</v>
      </c>
      <c r="V14398">
        <v>103</v>
      </c>
    </row>
    <row r="14399" spans="1:22" customFormat="1" ht="15" x14ac:dyDescent="0.25">
      <c r="A14399" t="s">
        <v>279</v>
      </c>
      <c r="B14399" t="s">
        <v>6622</v>
      </c>
      <c r="E14399" s="1474" t="s">
        <v>3838</v>
      </c>
      <c r="F14399" s="1474"/>
      <c r="G14399" s="952" t="s">
        <v>777</v>
      </c>
      <c r="H14399" s="1035">
        <v>30</v>
      </c>
      <c r="V14399">
        <v>74</v>
      </c>
    </row>
    <row r="14400" spans="1:22" customFormat="1" ht="15" x14ac:dyDescent="0.25">
      <c r="A14400" t="s">
        <v>279</v>
      </c>
      <c r="B14400" t="s">
        <v>6622</v>
      </c>
      <c r="E14400" s="1475" t="s">
        <v>4062</v>
      </c>
      <c r="F14400" s="1452"/>
      <c r="G14400" s="1452"/>
      <c r="H14400" s="1452"/>
      <c r="K14400" t="s">
        <v>5899</v>
      </c>
      <c r="V14400">
        <v>22</v>
      </c>
    </row>
    <row r="14401" spans="1:22" customFormat="1" ht="15" x14ac:dyDescent="0.25">
      <c r="A14401" t="s">
        <v>279</v>
      </c>
      <c r="B14401" t="s">
        <v>6622</v>
      </c>
      <c r="E14401" s="1474" t="s">
        <v>9710</v>
      </c>
      <c r="F14401" s="1474"/>
      <c r="G14401" s="952" t="s">
        <v>1118</v>
      </c>
      <c r="H14401" s="1035">
        <v>1.5</v>
      </c>
      <c r="V14401">
        <v>100</v>
      </c>
    </row>
    <row r="14402" spans="1:22" customFormat="1" ht="15" x14ac:dyDescent="0.25">
      <c r="A14402" t="s">
        <v>279</v>
      </c>
      <c r="B14402" t="s">
        <v>6622</v>
      </c>
      <c r="E14402" s="1474" t="s">
        <v>3842</v>
      </c>
      <c r="F14402" s="1474"/>
      <c r="G14402" s="952" t="s">
        <v>777</v>
      </c>
      <c r="H14402" s="1035">
        <v>50</v>
      </c>
      <c r="V14402">
        <v>44</v>
      </c>
    </row>
    <row r="14403" spans="1:22" customFormat="1" ht="15" x14ac:dyDescent="0.25">
      <c r="A14403" t="s">
        <v>279</v>
      </c>
      <c r="B14403" t="s">
        <v>6622</v>
      </c>
      <c r="E14403" s="1474" t="s">
        <v>3843</v>
      </c>
      <c r="F14403" s="1474"/>
      <c r="G14403" s="952" t="s">
        <v>777</v>
      </c>
      <c r="H14403" s="1035">
        <v>185</v>
      </c>
      <c r="V14403">
        <v>43</v>
      </c>
    </row>
    <row r="14404" spans="1:22" customFormat="1" ht="15" x14ac:dyDescent="0.25">
      <c r="A14404" t="s">
        <v>279</v>
      </c>
      <c r="B14404" t="s">
        <v>6622</v>
      </c>
      <c r="E14404" s="1474" t="s">
        <v>3844</v>
      </c>
      <c r="F14404" s="1474"/>
      <c r="G14404" s="952" t="s">
        <v>777</v>
      </c>
      <c r="H14404" s="1035">
        <v>185</v>
      </c>
      <c r="V14404">
        <v>43</v>
      </c>
    </row>
    <row r="14405" spans="1:22" customFormat="1" ht="15" x14ac:dyDescent="0.25">
      <c r="A14405" t="s">
        <v>279</v>
      </c>
      <c r="B14405" t="s">
        <v>6622</v>
      </c>
      <c r="E14405" s="1474" t="s">
        <v>3845</v>
      </c>
      <c r="F14405" s="1474"/>
      <c r="G14405" s="952" t="s">
        <v>777</v>
      </c>
      <c r="H14405" s="1035">
        <v>415</v>
      </c>
      <c r="V14405">
        <v>42</v>
      </c>
    </row>
    <row r="14406" spans="1:22" customFormat="1" ht="15" x14ac:dyDescent="0.25">
      <c r="A14406" t="s">
        <v>279</v>
      </c>
      <c r="B14406" t="s">
        <v>6622</v>
      </c>
      <c r="E14406" s="1469" t="s">
        <v>3846</v>
      </c>
      <c r="F14406" s="1468"/>
      <c r="G14406" s="1468"/>
      <c r="H14406" s="1468"/>
      <c r="V14406">
        <v>5</v>
      </c>
    </row>
    <row r="14407" spans="1:22" customFormat="1" ht="15" x14ac:dyDescent="0.25">
      <c r="A14407" t="s">
        <v>279</v>
      </c>
      <c r="B14407" t="s">
        <v>6622</v>
      </c>
      <c r="E14407" s="1474" t="s">
        <v>4217</v>
      </c>
      <c r="F14407" s="1474"/>
      <c r="G14407" s="952" t="s">
        <v>777</v>
      </c>
      <c r="H14407" s="1035">
        <v>30</v>
      </c>
      <c r="V14407">
        <v>39</v>
      </c>
    </row>
    <row r="14408" spans="1:22" customFormat="1" ht="15" x14ac:dyDescent="0.25">
      <c r="A14408" t="s">
        <v>279</v>
      </c>
      <c r="B14408" t="s">
        <v>6622</v>
      </c>
      <c r="E14408" s="1474" t="s">
        <v>3847</v>
      </c>
      <c r="F14408" s="1474"/>
      <c r="G14408" s="952" t="s">
        <v>777</v>
      </c>
      <c r="H14408" s="1035">
        <v>165</v>
      </c>
      <c r="V14408">
        <v>34</v>
      </c>
    </row>
    <row r="14409" spans="1:22" customFormat="1" ht="15" x14ac:dyDescent="0.25">
      <c r="A14409" t="s">
        <v>279</v>
      </c>
      <c r="B14409" t="s">
        <v>6622</v>
      </c>
      <c r="E14409" s="1474" t="s">
        <v>4808</v>
      </c>
      <c r="F14409" s="1474"/>
      <c r="G14409" s="952" t="s">
        <v>777</v>
      </c>
      <c r="H14409" s="1035">
        <v>500</v>
      </c>
      <c r="V14409">
        <v>67</v>
      </c>
    </row>
    <row r="14410" spans="1:22" customFormat="1" ht="15" x14ac:dyDescent="0.25">
      <c r="A14410" t="s">
        <v>279</v>
      </c>
      <c r="B14410" t="s">
        <v>6622</v>
      </c>
      <c r="E14410" s="1474" t="s">
        <v>3848</v>
      </c>
      <c r="F14410" s="1474"/>
      <c r="G14410" s="952" t="s">
        <v>777</v>
      </c>
      <c r="H14410" s="1035">
        <v>300</v>
      </c>
      <c r="V14410">
        <v>64</v>
      </c>
    </row>
    <row r="14411" spans="1:22" customFormat="1" ht="15" x14ac:dyDescent="0.25">
      <c r="A14411" t="s">
        <v>279</v>
      </c>
      <c r="B14411" t="s">
        <v>6622</v>
      </c>
      <c r="E14411" s="1474" t="s">
        <v>3849</v>
      </c>
      <c r="F14411" s="1474"/>
      <c r="G14411" s="952" t="s">
        <v>777</v>
      </c>
      <c r="H14411" s="1035">
        <v>1000</v>
      </c>
      <c r="V14411">
        <v>66</v>
      </c>
    </row>
    <row r="14412" spans="1:22" customFormat="1" ht="15" x14ac:dyDescent="0.25">
      <c r="A14412" t="s">
        <v>279</v>
      </c>
      <c r="B14412" t="s">
        <v>6622</v>
      </c>
      <c r="E14412" s="1474" t="s">
        <v>4560</v>
      </c>
      <c r="F14412" s="1474"/>
      <c r="G14412" s="952" t="s">
        <v>777</v>
      </c>
      <c r="H14412" s="1035">
        <v>39.14</v>
      </c>
      <c r="V14412">
        <v>104</v>
      </c>
    </row>
    <row r="14413" spans="1:22" customFormat="1" ht="18.75" x14ac:dyDescent="0.3">
      <c r="A14413" t="s">
        <v>279</v>
      </c>
      <c r="B14413" t="s">
        <v>6622</v>
      </c>
      <c r="E14413" s="1470" t="s">
        <v>3851</v>
      </c>
      <c r="F14413" s="1480"/>
      <c r="G14413" s="1480"/>
      <c r="H14413" s="1480"/>
      <c r="K14413" t="s">
        <v>5900</v>
      </c>
      <c r="V14413">
        <v>38</v>
      </c>
    </row>
    <row r="14414" spans="1:22" customFormat="1" ht="15" x14ac:dyDescent="0.25">
      <c r="A14414" t="s">
        <v>279</v>
      </c>
      <c r="B14414" t="s">
        <v>6622</v>
      </c>
      <c r="E14414" s="1472" t="s">
        <v>5026</v>
      </c>
      <c r="F14414" s="1472"/>
      <c r="G14414" s="1472"/>
      <c r="H14414" s="1472"/>
      <c r="V14414">
        <v>281</v>
      </c>
    </row>
    <row r="14415" spans="1:22" customFormat="1" ht="15" x14ac:dyDescent="0.25">
      <c r="A14415" t="s">
        <v>279</v>
      </c>
      <c r="B14415" t="s">
        <v>6622</v>
      </c>
      <c r="E14415" s="1472" t="s">
        <v>5027</v>
      </c>
      <c r="F14415" s="1472"/>
      <c r="G14415" s="1472"/>
      <c r="H14415" s="1472"/>
      <c r="V14415">
        <v>414</v>
      </c>
    </row>
    <row r="14416" spans="1:22" customFormat="1" ht="15" x14ac:dyDescent="0.25">
      <c r="A14416" t="s">
        <v>279</v>
      </c>
      <c r="B14416" t="s">
        <v>6622</v>
      </c>
      <c r="E14416" s="1472" t="s">
        <v>1103</v>
      </c>
      <c r="F14416" s="1472"/>
      <c r="G14416" s="1472"/>
      <c r="H14416" s="1472"/>
      <c r="V14416">
        <v>211</v>
      </c>
    </row>
    <row r="14417" spans="1:22" customFormat="1" ht="15" x14ac:dyDescent="0.25">
      <c r="A14417" t="s">
        <v>279</v>
      </c>
      <c r="B14417" t="s">
        <v>6622</v>
      </c>
      <c r="E14417" s="1472" t="s">
        <v>954</v>
      </c>
      <c r="F14417" s="1472"/>
      <c r="G14417" s="1472"/>
      <c r="H14417" s="1472"/>
      <c r="V14417">
        <v>246</v>
      </c>
    </row>
    <row r="14418" spans="1:22" customFormat="1" ht="15" x14ac:dyDescent="0.25">
      <c r="A14418" t="s">
        <v>279</v>
      </c>
      <c r="B14418" t="s">
        <v>6622</v>
      </c>
      <c r="E14418" s="1472" t="s">
        <v>1104</v>
      </c>
      <c r="F14418" s="1472"/>
      <c r="G14418" s="1472"/>
      <c r="H14418" s="1472"/>
      <c r="V14418">
        <v>142</v>
      </c>
    </row>
    <row r="14419" spans="1:22" customFormat="1" ht="15" x14ac:dyDescent="0.25">
      <c r="A14419" t="s">
        <v>279</v>
      </c>
      <c r="B14419" t="s">
        <v>6622</v>
      </c>
      <c r="E14419" s="1467" t="s">
        <v>849</v>
      </c>
      <c r="F14419" s="1467"/>
      <c r="G14419" s="293" t="s">
        <v>777</v>
      </c>
      <c r="H14419" s="1035">
        <v>121.23</v>
      </c>
      <c r="V14419">
        <v>106</v>
      </c>
    </row>
    <row r="14420" spans="1:22" customFormat="1" ht="15" x14ac:dyDescent="0.25">
      <c r="A14420" t="s">
        <v>279</v>
      </c>
      <c r="B14420" t="s">
        <v>6622</v>
      </c>
      <c r="E14420" s="1467" t="s">
        <v>850</v>
      </c>
      <c r="F14420" s="1467"/>
      <c r="G14420" s="293" t="s">
        <v>777</v>
      </c>
      <c r="H14420" s="1035">
        <v>48.5</v>
      </c>
      <c r="V14420">
        <v>34</v>
      </c>
    </row>
    <row r="14421" spans="1:22" customFormat="1" ht="15" x14ac:dyDescent="0.25">
      <c r="A14421" t="s">
        <v>279</v>
      </c>
      <c r="B14421" t="s">
        <v>6622</v>
      </c>
      <c r="E14421" s="1467" t="s">
        <v>851</v>
      </c>
      <c r="F14421" s="1467"/>
      <c r="G14421" s="293" t="s">
        <v>852</v>
      </c>
      <c r="H14421" s="1035">
        <v>1.2</v>
      </c>
      <c r="V14421">
        <v>51</v>
      </c>
    </row>
    <row r="14422" spans="1:22" customFormat="1" ht="15" x14ac:dyDescent="0.25">
      <c r="A14422" t="s">
        <v>279</v>
      </c>
      <c r="B14422" t="s">
        <v>6622</v>
      </c>
      <c r="E14422" s="1467" t="s">
        <v>853</v>
      </c>
      <c r="F14422" s="1467"/>
      <c r="G14422" s="293" t="s">
        <v>852</v>
      </c>
      <c r="H14422" s="1035">
        <v>0.71</v>
      </c>
      <c r="V14422">
        <v>75</v>
      </c>
    </row>
    <row r="14423" spans="1:22" customFormat="1" ht="15" x14ac:dyDescent="0.25">
      <c r="A14423" t="s">
        <v>279</v>
      </c>
      <c r="B14423" t="s">
        <v>6622</v>
      </c>
      <c r="E14423" s="1467" t="s">
        <v>854</v>
      </c>
      <c r="F14423" s="1467"/>
      <c r="G14423" s="293" t="s">
        <v>852</v>
      </c>
      <c r="H14423" s="1035">
        <v>-0.71</v>
      </c>
      <c r="V14423">
        <v>72</v>
      </c>
    </row>
    <row r="14424" spans="1:22" customFormat="1" ht="15" x14ac:dyDescent="0.25">
      <c r="A14424" t="s">
        <v>279</v>
      </c>
      <c r="B14424" t="s">
        <v>6622</v>
      </c>
      <c r="E14424" s="1467" t="s">
        <v>1105</v>
      </c>
      <c r="F14424" s="1467"/>
      <c r="G14424" s="1468"/>
      <c r="H14424" s="1468"/>
      <c r="V14424">
        <v>35</v>
      </c>
    </row>
    <row r="14425" spans="1:22" customFormat="1" ht="15" x14ac:dyDescent="0.25">
      <c r="A14425" t="s">
        <v>279</v>
      </c>
      <c r="B14425" t="s">
        <v>6622</v>
      </c>
      <c r="E14425" s="1473" t="s">
        <v>1106</v>
      </c>
      <c r="F14425" s="1473"/>
      <c r="G14425" s="293" t="s">
        <v>777</v>
      </c>
      <c r="H14425" s="1035">
        <v>0.61</v>
      </c>
      <c r="V14425">
        <v>57</v>
      </c>
    </row>
    <row r="14426" spans="1:22" customFormat="1" ht="15" x14ac:dyDescent="0.25">
      <c r="A14426" t="s">
        <v>279</v>
      </c>
      <c r="B14426" t="s">
        <v>6622</v>
      </c>
      <c r="E14426" s="1473" t="s">
        <v>1107</v>
      </c>
      <c r="F14426" s="1473"/>
      <c r="G14426" s="293" t="s">
        <v>777</v>
      </c>
      <c r="H14426" s="1035">
        <v>1.2</v>
      </c>
      <c r="V14426">
        <v>60</v>
      </c>
    </row>
    <row r="14427" spans="1:22" customFormat="1" ht="15" x14ac:dyDescent="0.25">
      <c r="A14427" t="s">
        <v>279</v>
      </c>
      <c r="B14427" t="s">
        <v>6622</v>
      </c>
      <c r="E14427" s="1467" t="s">
        <v>1108</v>
      </c>
      <c r="F14427" s="1467"/>
      <c r="G14427" s="1468"/>
      <c r="H14427" s="1468"/>
      <c r="V14427">
        <v>91</v>
      </c>
    </row>
    <row r="14428" spans="1:22" customFormat="1" ht="15" x14ac:dyDescent="0.25">
      <c r="A14428" t="s">
        <v>279</v>
      </c>
      <c r="B14428" t="s">
        <v>6622</v>
      </c>
      <c r="E14428" s="1467" t="s">
        <v>1109</v>
      </c>
      <c r="F14428" s="1467"/>
      <c r="G14428" s="1468"/>
      <c r="H14428" s="1468"/>
      <c r="V14428">
        <v>96</v>
      </c>
    </row>
    <row r="14429" spans="1:22" customFormat="1" ht="15" x14ac:dyDescent="0.25">
      <c r="A14429" t="s">
        <v>279</v>
      </c>
      <c r="B14429" t="s">
        <v>6622</v>
      </c>
      <c r="E14429" s="1467" t="s">
        <v>1110</v>
      </c>
      <c r="F14429" s="1467"/>
      <c r="G14429" s="1468"/>
      <c r="H14429" s="1468"/>
      <c r="V14429">
        <v>78</v>
      </c>
    </row>
    <row r="14430" spans="1:22" customFormat="1" ht="15" x14ac:dyDescent="0.25">
      <c r="A14430" t="s">
        <v>279</v>
      </c>
      <c r="B14430" t="s">
        <v>6622</v>
      </c>
      <c r="E14430" s="1473" t="s">
        <v>1111</v>
      </c>
      <c r="F14430" s="1473"/>
      <c r="G14430" s="293" t="s">
        <v>777</v>
      </c>
      <c r="H14430" s="1038" t="s">
        <v>857</v>
      </c>
      <c r="V14430">
        <v>18</v>
      </c>
    </row>
    <row r="14431" spans="1:22" customFormat="1" ht="15" x14ac:dyDescent="0.25">
      <c r="A14431" t="s">
        <v>279</v>
      </c>
      <c r="B14431" t="s">
        <v>6622</v>
      </c>
      <c r="E14431" s="1473" t="s">
        <v>1112</v>
      </c>
      <c r="F14431" s="1473"/>
      <c r="G14431" s="293" t="s">
        <v>777</v>
      </c>
      <c r="H14431" s="1035">
        <v>4.8499999999999996</v>
      </c>
      <c r="V14431">
        <v>69</v>
      </c>
    </row>
    <row r="14432" spans="1:22" customFormat="1" ht="15" x14ac:dyDescent="0.25">
      <c r="A14432" t="s">
        <v>279</v>
      </c>
      <c r="B14432" t="s">
        <v>6622</v>
      </c>
      <c r="E14432" s="1467" t="s">
        <v>858</v>
      </c>
      <c r="F14432" s="1467"/>
      <c r="G14432" s="293" t="s">
        <v>777</v>
      </c>
      <c r="H14432" s="1035">
        <v>2.42</v>
      </c>
      <c r="V14432">
        <v>199</v>
      </c>
    </row>
    <row r="14433" spans="1:22" customFormat="1" ht="18.75" x14ac:dyDescent="0.25">
      <c r="A14433" t="s">
        <v>279</v>
      </c>
      <c r="B14433" t="s">
        <v>6622</v>
      </c>
      <c r="E14433" s="1478" t="s">
        <v>3853</v>
      </c>
      <c r="F14433" s="1481"/>
      <c r="G14433" s="1481"/>
      <c r="H14433" s="1481"/>
      <c r="K14433" t="s">
        <v>5901</v>
      </c>
      <c r="V14433">
        <v>12</v>
      </c>
    </row>
    <row r="14434" spans="1:22" customFormat="1" ht="15" x14ac:dyDescent="0.25">
      <c r="A14434" t="s">
        <v>279</v>
      </c>
      <c r="B14434" t="s">
        <v>6622</v>
      </c>
      <c r="E14434" s="1467" t="s">
        <v>1114</v>
      </c>
      <c r="F14434" s="1467"/>
      <c r="G14434" s="1467"/>
      <c r="H14434" s="1467"/>
      <c r="V14434">
        <v>203</v>
      </c>
    </row>
    <row r="14435" spans="1:22" customFormat="1" ht="15" x14ac:dyDescent="0.25">
      <c r="A14435" t="s">
        <v>279</v>
      </c>
      <c r="B14435" t="s">
        <v>6622</v>
      </c>
      <c r="E14435" s="1467" t="s">
        <v>1115</v>
      </c>
      <c r="F14435" s="1467"/>
      <c r="G14435" s="952"/>
      <c r="H14435" s="1038">
        <v>1.0383</v>
      </c>
      <c r="V14435">
        <v>57</v>
      </c>
    </row>
    <row r="14436" spans="1:22" customFormat="1" ht="15" x14ac:dyDescent="0.25">
      <c r="A14436" t="s">
        <v>279</v>
      </c>
      <c r="B14436" t="s">
        <v>6622</v>
      </c>
      <c r="E14436" s="1467" t="s">
        <v>1117</v>
      </c>
      <c r="F14436" s="1467"/>
      <c r="G14436" s="952"/>
      <c r="H14436" s="1038">
        <v>1.0279</v>
      </c>
      <c r="J14436" t="s">
        <v>6631</v>
      </c>
      <c r="V14436">
        <v>55</v>
      </c>
    </row>
    <row r="14437" spans="1:22" customFormat="1" ht="23.25" x14ac:dyDescent="0.25">
      <c r="A14437" t="s">
        <v>279</v>
      </c>
      <c r="B14437" t="s">
        <v>6613</v>
      </c>
      <c r="C14437" t="s">
        <v>3755</v>
      </c>
      <c r="E14437" s="1482" t="s">
        <v>279</v>
      </c>
      <c r="F14437" s="1482"/>
      <c r="G14437" s="1482"/>
      <c r="H14437" s="1482"/>
      <c r="I14437" t="s">
        <v>94</v>
      </c>
      <c r="J14437" t="s">
        <v>6614</v>
      </c>
      <c r="K14437" t="s">
        <v>279</v>
      </c>
      <c r="M14437">
        <v>6</v>
      </c>
      <c r="V14437">
        <v>37</v>
      </c>
    </row>
    <row r="14438" spans="1:22" customFormat="1" ht="23.25" x14ac:dyDescent="0.25">
      <c r="A14438" t="s">
        <v>279</v>
      </c>
      <c r="B14438" t="s">
        <v>6613</v>
      </c>
      <c r="C14438" t="s">
        <v>3757</v>
      </c>
      <c r="E14438" s="1482" t="s">
        <v>6615</v>
      </c>
      <c r="F14438" s="1482"/>
      <c r="G14438" s="1482"/>
      <c r="H14438" s="1482"/>
      <c r="V14438">
        <v>17</v>
      </c>
    </row>
    <row r="14439" spans="1:22" customFormat="1" x14ac:dyDescent="0.25">
      <c r="A14439" t="s">
        <v>279</v>
      </c>
      <c r="B14439" t="s">
        <v>6613</v>
      </c>
      <c r="C14439" t="s">
        <v>3758</v>
      </c>
      <c r="E14439" s="1483" t="s">
        <v>944</v>
      </c>
      <c r="F14439" s="1483"/>
      <c r="G14439" s="1483"/>
      <c r="H14439" s="1483"/>
      <c r="V14439">
        <v>27</v>
      </c>
    </row>
    <row r="14440" spans="1:22" customFormat="1" ht="15.75" x14ac:dyDescent="0.25">
      <c r="A14440" t="s">
        <v>279</v>
      </c>
      <c r="B14440" t="s">
        <v>6613</v>
      </c>
      <c r="C14440" t="s">
        <v>3759</v>
      </c>
      <c r="E14440" s="1484" t="s">
        <v>6847</v>
      </c>
      <c r="F14440" s="1484"/>
      <c r="G14440" s="1484"/>
      <c r="H14440" s="1484"/>
      <c r="S14440">
        <v>45778</v>
      </c>
      <c r="V14440">
        <v>45</v>
      </c>
    </row>
    <row r="14441" spans="1:22" customFormat="1" ht="15" x14ac:dyDescent="0.25">
      <c r="A14441" t="s">
        <v>279</v>
      </c>
      <c r="B14441" t="s">
        <v>6613</v>
      </c>
      <c r="E14441" s="1485" t="s">
        <v>945</v>
      </c>
      <c r="F14441" s="1485"/>
      <c r="G14441" s="1485"/>
      <c r="H14441" s="1485"/>
      <c r="V14441">
        <v>52</v>
      </c>
    </row>
    <row r="14442" spans="1:22" customFormat="1" ht="15" x14ac:dyDescent="0.25">
      <c r="A14442" t="s">
        <v>279</v>
      </c>
      <c r="B14442" t="s">
        <v>6613</v>
      </c>
      <c r="E14442" s="1485" t="s">
        <v>946</v>
      </c>
      <c r="F14442" s="1485"/>
      <c r="G14442" s="1485"/>
      <c r="H14442" s="1485"/>
      <c r="V14442">
        <v>53</v>
      </c>
    </row>
    <row r="14443" spans="1:22" customFormat="1" ht="15" x14ac:dyDescent="0.25">
      <c r="A14443" t="s">
        <v>279</v>
      </c>
      <c r="B14443" t="s">
        <v>6613</v>
      </c>
      <c r="E14443" s="1477" t="s">
        <v>9664</v>
      </c>
      <c r="F14443" s="1477"/>
      <c r="G14443" s="1477"/>
      <c r="H14443" s="1477"/>
      <c r="K14443" t="s">
        <v>9664</v>
      </c>
      <c r="V14443">
        <v>12</v>
      </c>
    </row>
    <row r="14444" spans="1:22" customFormat="1" ht="15" x14ac:dyDescent="0.25">
      <c r="A14444" t="s">
        <v>279</v>
      </c>
      <c r="B14444" t="s">
        <v>6613</v>
      </c>
      <c r="E14444" s="1478" t="s">
        <v>170</v>
      </c>
      <c r="F14444" s="1472"/>
      <c r="G14444" s="1472"/>
      <c r="H14444" s="1472"/>
      <c r="K14444" t="s">
        <v>947</v>
      </c>
      <c r="V14444">
        <v>34</v>
      </c>
    </row>
    <row r="14445" spans="1:22" customFormat="1" ht="15" x14ac:dyDescent="0.25">
      <c r="A14445" t="s">
        <v>279</v>
      </c>
      <c r="B14445" t="s">
        <v>6613</v>
      </c>
      <c r="E14445" s="1472" t="s">
        <v>5902</v>
      </c>
      <c r="F14445" s="1472"/>
      <c r="G14445" s="1472"/>
      <c r="H14445" s="1472"/>
      <c r="K14445" t="s">
        <v>947</v>
      </c>
      <c r="V14445">
        <v>784</v>
      </c>
    </row>
    <row r="14446" spans="1:22" customFormat="1" ht="15" x14ac:dyDescent="0.25">
      <c r="A14446" t="s">
        <v>279</v>
      </c>
      <c r="B14446" t="s">
        <v>6613</v>
      </c>
      <c r="E14446" s="1469" t="s">
        <v>950</v>
      </c>
      <c r="F14446" s="1472"/>
      <c r="G14446" s="1472"/>
      <c r="H14446" s="1472"/>
      <c r="K14446" t="s">
        <v>949</v>
      </c>
      <c r="V14446">
        <v>11</v>
      </c>
    </row>
    <row r="14447" spans="1:22" customFormat="1" ht="15" x14ac:dyDescent="0.25">
      <c r="A14447" t="s">
        <v>279</v>
      </c>
      <c r="B14447" t="s">
        <v>6613</v>
      </c>
      <c r="E14447" s="1472" t="s">
        <v>951</v>
      </c>
      <c r="F14447" s="1472"/>
      <c r="G14447" s="1472"/>
      <c r="H14447" s="1472"/>
      <c r="K14447" t="s">
        <v>947</v>
      </c>
      <c r="V14447">
        <v>280</v>
      </c>
    </row>
    <row r="14448" spans="1:22" customFormat="1" ht="15" x14ac:dyDescent="0.25">
      <c r="A14448" t="s">
        <v>279</v>
      </c>
      <c r="B14448" t="s">
        <v>6613</v>
      </c>
      <c r="E14448" s="1472" t="s">
        <v>952</v>
      </c>
      <c r="F14448" s="1472"/>
      <c r="G14448" s="1472"/>
      <c r="H14448" s="1472"/>
      <c r="K14448" t="s">
        <v>947</v>
      </c>
      <c r="V14448">
        <v>411</v>
      </c>
    </row>
    <row r="14449" spans="1:22" customFormat="1" ht="15" x14ac:dyDescent="0.25">
      <c r="A14449" t="s">
        <v>279</v>
      </c>
      <c r="B14449" t="s">
        <v>6613</v>
      </c>
      <c r="E14449" s="1472" t="s">
        <v>953</v>
      </c>
      <c r="F14449" s="1472"/>
      <c r="G14449" s="1472"/>
      <c r="H14449" s="1472"/>
      <c r="K14449" t="s">
        <v>947</v>
      </c>
      <c r="V14449">
        <v>386</v>
      </c>
    </row>
    <row r="14450" spans="1:22" customFormat="1" ht="15" x14ac:dyDescent="0.25">
      <c r="A14450" t="s">
        <v>279</v>
      </c>
      <c r="B14450" t="s">
        <v>6613</v>
      </c>
      <c r="E14450" s="1472" t="s">
        <v>954</v>
      </c>
      <c r="F14450" s="1472"/>
      <c r="G14450" s="1472"/>
      <c r="H14450" s="1472"/>
      <c r="K14450" t="s">
        <v>947</v>
      </c>
      <c r="V14450">
        <v>246</v>
      </c>
    </row>
    <row r="14451" spans="1:22" customFormat="1" ht="15" x14ac:dyDescent="0.25">
      <c r="A14451" t="s">
        <v>279</v>
      </c>
      <c r="B14451" t="s">
        <v>6613</v>
      </c>
      <c r="E14451" s="1469" t="s">
        <v>956</v>
      </c>
      <c r="F14451" s="1472"/>
      <c r="G14451" s="1472"/>
      <c r="H14451" s="1472"/>
      <c r="K14451" t="s">
        <v>955</v>
      </c>
      <c r="V14451">
        <v>46</v>
      </c>
    </row>
    <row r="14452" spans="1:22" customFormat="1" ht="15" x14ac:dyDescent="0.25">
      <c r="A14452" t="s">
        <v>279</v>
      </c>
      <c r="B14452" t="s">
        <v>6613</v>
      </c>
      <c r="E14452" s="1467" t="s">
        <v>3773</v>
      </c>
      <c r="F14452" s="1467"/>
      <c r="G14452" s="952" t="s">
        <v>777</v>
      </c>
      <c r="H14452" s="953">
        <v>37.130000000000003</v>
      </c>
      <c r="K14452" t="s">
        <v>947</v>
      </c>
      <c r="L14452" t="s">
        <v>690</v>
      </c>
      <c r="P14452" t="s">
        <v>957</v>
      </c>
      <c r="V14452">
        <v>14</v>
      </c>
    </row>
    <row r="14453" spans="1:22" customFormat="1" ht="15" x14ac:dyDescent="0.25">
      <c r="A14453" t="s">
        <v>279</v>
      </c>
      <c r="B14453" t="s">
        <v>6613</v>
      </c>
      <c r="E14453" s="1467" t="s">
        <v>6616</v>
      </c>
      <c r="F14453" s="1467"/>
      <c r="G14453" s="952" t="s">
        <v>777</v>
      </c>
      <c r="H14453" s="953">
        <v>-1.24</v>
      </c>
      <c r="K14453" t="s">
        <v>947</v>
      </c>
      <c r="L14453" t="s">
        <v>690</v>
      </c>
      <c r="P14453" t="s">
        <v>4085</v>
      </c>
      <c r="T14453">
        <v>45777</v>
      </c>
      <c r="V14453">
        <v>68</v>
      </c>
    </row>
    <row r="14454" spans="1:22" customFormat="1" ht="15" x14ac:dyDescent="0.25">
      <c r="A14454" t="s">
        <v>279</v>
      </c>
      <c r="B14454" t="s">
        <v>6613</v>
      </c>
      <c r="E14454" s="1467" t="s">
        <v>960</v>
      </c>
      <c r="F14454" s="1467"/>
      <c r="G14454" s="952" t="s">
        <v>777</v>
      </c>
      <c r="H14454" s="953">
        <v>0.42</v>
      </c>
      <c r="K14454" t="s">
        <v>947</v>
      </c>
      <c r="L14454" t="s">
        <v>692</v>
      </c>
      <c r="P14454" t="s">
        <v>959</v>
      </c>
      <c r="V14454">
        <v>64</v>
      </c>
    </row>
    <row r="14455" spans="1:22" customFormat="1" ht="15" x14ac:dyDescent="0.25">
      <c r="A14455" t="s">
        <v>279</v>
      </c>
      <c r="B14455" t="s">
        <v>6613</v>
      </c>
      <c r="E14455" s="1467" t="s">
        <v>9667</v>
      </c>
      <c r="F14455" s="1467"/>
      <c r="G14455" s="952" t="s">
        <v>777</v>
      </c>
      <c r="H14455" s="953">
        <v>0.03</v>
      </c>
      <c r="K14455" t="s">
        <v>947</v>
      </c>
      <c r="L14455" t="s">
        <v>690</v>
      </c>
      <c r="P14455" t="s">
        <v>9711</v>
      </c>
      <c r="T14455">
        <v>46022</v>
      </c>
      <c r="V14455">
        <v>82</v>
      </c>
    </row>
    <row r="14456" spans="1:22" customFormat="1" ht="15" x14ac:dyDescent="0.25">
      <c r="A14456" t="s">
        <v>279</v>
      </c>
      <c r="B14456" t="s">
        <v>6613</v>
      </c>
      <c r="E14456" s="1467" t="s">
        <v>910</v>
      </c>
      <c r="F14456" s="1467"/>
      <c r="G14456" s="952" t="s">
        <v>845</v>
      </c>
      <c r="H14456" s="432">
        <v>3.5000000000000001E-3</v>
      </c>
      <c r="K14456" t="s">
        <v>947</v>
      </c>
      <c r="L14456" t="s">
        <v>692</v>
      </c>
      <c r="P14456" t="s">
        <v>961</v>
      </c>
      <c r="V14456">
        <v>24</v>
      </c>
    </row>
    <row r="14457" spans="1:22" customFormat="1" ht="15" x14ac:dyDescent="0.25">
      <c r="A14457" t="s">
        <v>279</v>
      </c>
      <c r="B14457" t="s">
        <v>6613</v>
      </c>
      <c r="E14457" s="1467" t="s">
        <v>6519</v>
      </c>
      <c r="F14457" s="1468"/>
      <c r="G14457" s="952" t="s">
        <v>845</v>
      </c>
      <c r="H14457" s="432">
        <v>4.1000000000000003E-3</v>
      </c>
      <c r="K14457" t="s">
        <v>947</v>
      </c>
      <c r="L14457" t="s">
        <v>692</v>
      </c>
      <c r="P14457" t="s">
        <v>962</v>
      </c>
      <c r="T14457">
        <v>46022</v>
      </c>
      <c r="V14457">
        <v>142</v>
      </c>
    </row>
    <row r="14458" spans="1:22" customFormat="1" ht="15" x14ac:dyDescent="0.25">
      <c r="A14458" t="s">
        <v>279</v>
      </c>
      <c r="B14458" t="s">
        <v>6613</v>
      </c>
      <c r="E14458" s="1467" t="s">
        <v>6520</v>
      </c>
      <c r="F14458" s="1468"/>
      <c r="G14458" s="952" t="s">
        <v>845</v>
      </c>
      <c r="H14458" s="432">
        <v>2.3999999999999998E-3</v>
      </c>
      <c r="K14458" t="s">
        <v>947</v>
      </c>
      <c r="L14458" t="s">
        <v>692</v>
      </c>
      <c r="P14458" t="s">
        <v>963</v>
      </c>
      <c r="T14458">
        <v>46022</v>
      </c>
      <c r="V14458">
        <v>99</v>
      </c>
    </row>
    <row r="14459" spans="1:22" customFormat="1" ht="15" x14ac:dyDescent="0.25">
      <c r="A14459" t="s">
        <v>279</v>
      </c>
      <c r="B14459" t="s">
        <v>6613</v>
      </c>
      <c r="E14459" s="1467" t="s">
        <v>5262</v>
      </c>
      <c r="F14459" s="1467"/>
      <c r="G14459" s="952" t="s">
        <v>845</v>
      </c>
      <c r="H14459" s="432">
        <v>-2.3E-3</v>
      </c>
      <c r="K14459" t="s">
        <v>947</v>
      </c>
      <c r="L14459" t="s">
        <v>692</v>
      </c>
      <c r="P14459" t="s">
        <v>962</v>
      </c>
      <c r="T14459">
        <v>45777</v>
      </c>
      <c r="V14459">
        <v>139</v>
      </c>
    </row>
    <row r="14460" spans="1:22" customFormat="1" ht="15" x14ac:dyDescent="0.25">
      <c r="A14460" t="s">
        <v>279</v>
      </c>
      <c r="B14460" t="s">
        <v>6613</v>
      </c>
      <c r="E14460" s="1467" t="s">
        <v>5263</v>
      </c>
      <c r="F14460" s="1467"/>
      <c r="G14460" s="952" t="s">
        <v>845</v>
      </c>
      <c r="H14460" s="432">
        <v>6.0000000000000001E-3</v>
      </c>
      <c r="K14460" t="s">
        <v>947</v>
      </c>
      <c r="L14460" t="s">
        <v>692</v>
      </c>
      <c r="P14460" t="s">
        <v>963</v>
      </c>
      <c r="T14460">
        <v>45777</v>
      </c>
      <c r="V14460">
        <v>96</v>
      </c>
    </row>
    <row r="14461" spans="1:22" customFormat="1" ht="15" x14ac:dyDescent="0.25">
      <c r="A14461" t="s">
        <v>279</v>
      </c>
      <c r="B14461" t="s">
        <v>6613</v>
      </c>
      <c r="E14461" s="1467" t="s">
        <v>6634</v>
      </c>
      <c r="F14461" s="1468"/>
      <c r="G14461" s="952" t="s">
        <v>845</v>
      </c>
      <c r="H14461" s="432">
        <v>1E-4</v>
      </c>
      <c r="K14461" t="s">
        <v>947</v>
      </c>
      <c r="L14461" t="s">
        <v>692</v>
      </c>
      <c r="P14461" t="s">
        <v>3764</v>
      </c>
      <c r="T14461">
        <v>46022</v>
      </c>
      <c r="V14461">
        <v>142</v>
      </c>
    </row>
    <row r="14462" spans="1:22" customFormat="1" ht="15" x14ac:dyDescent="0.25">
      <c r="A14462" t="s">
        <v>279</v>
      </c>
      <c r="B14462" t="s">
        <v>6613</v>
      </c>
      <c r="E14462" s="1467" t="s">
        <v>5264</v>
      </c>
      <c r="F14462" s="1467"/>
      <c r="G14462" s="952" t="s">
        <v>845</v>
      </c>
      <c r="H14462" s="432">
        <v>-2.0000000000000001E-4</v>
      </c>
      <c r="K14462" t="s">
        <v>947</v>
      </c>
      <c r="L14462" t="s">
        <v>692</v>
      </c>
      <c r="P14462" t="s">
        <v>3764</v>
      </c>
      <c r="T14462">
        <v>45777</v>
      </c>
      <c r="V14462">
        <v>146</v>
      </c>
    </row>
    <row r="14463" spans="1:22" customFormat="1" ht="15" x14ac:dyDescent="0.25">
      <c r="A14463" t="s">
        <v>279</v>
      </c>
      <c r="B14463" t="s">
        <v>6613</v>
      </c>
      <c r="E14463" s="1467" t="s">
        <v>243</v>
      </c>
      <c r="F14463" s="1467"/>
      <c r="G14463" s="952" t="s">
        <v>845</v>
      </c>
      <c r="H14463" s="432">
        <v>1.15E-2</v>
      </c>
      <c r="K14463" t="s">
        <v>947</v>
      </c>
      <c r="L14463" t="s">
        <v>694</v>
      </c>
      <c r="P14463" t="s">
        <v>964</v>
      </c>
      <c r="V14463">
        <v>47</v>
      </c>
    </row>
    <row r="14464" spans="1:22" customFormat="1" ht="15" x14ac:dyDescent="0.25">
      <c r="A14464" t="s">
        <v>279</v>
      </c>
      <c r="B14464" t="s">
        <v>6613</v>
      </c>
      <c r="E14464" s="1467" t="s">
        <v>175</v>
      </c>
      <c r="F14464" s="1467"/>
      <c r="G14464" s="952" t="s">
        <v>845</v>
      </c>
      <c r="H14464" s="432">
        <v>8.6E-3</v>
      </c>
      <c r="K14464" t="s">
        <v>947</v>
      </c>
      <c r="L14464" t="s">
        <v>694</v>
      </c>
      <c r="P14464" t="s">
        <v>965</v>
      </c>
      <c r="V14464">
        <v>74</v>
      </c>
    </row>
    <row r="14465" spans="1:22" customFormat="1" ht="15" x14ac:dyDescent="0.25">
      <c r="A14465" t="s">
        <v>279</v>
      </c>
      <c r="B14465" t="s">
        <v>6613</v>
      </c>
      <c r="E14465" s="1469" t="s">
        <v>967</v>
      </c>
      <c r="F14465" s="1479"/>
      <c r="G14465" s="952"/>
      <c r="H14465" s="952"/>
      <c r="K14465" t="s">
        <v>966</v>
      </c>
      <c r="V14465">
        <v>48</v>
      </c>
    </row>
    <row r="14466" spans="1:22" customFormat="1" ht="15" x14ac:dyDescent="0.25">
      <c r="A14466" t="s">
        <v>279</v>
      </c>
      <c r="B14466" t="s">
        <v>6613</v>
      </c>
      <c r="E14466" s="1467" t="s">
        <v>844</v>
      </c>
      <c r="F14466" s="1467"/>
      <c r="G14466" s="952" t="s">
        <v>845</v>
      </c>
      <c r="H14466" s="432">
        <v>4.1000000000000003E-3</v>
      </c>
      <c r="K14466" t="s">
        <v>947</v>
      </c>
      <c r="L14466" t="s">
        <v>968</v>
      </c>
      <c r="P14466" t="s">
        <v>969</v>
      </c>
      <c r="V14466">
        <v>55</v>
      </c>
    </row>
    <row r="14467" spans="1:22" customFormat="1" ht="15" x14ac:dyDescent="0.25">
      <c r="A14467" t="s">
        <v>279</v>
      </c>
      <c r="B14467" t="s">
        <v>6613</v>
      </c>
      <c r="E14467" s="1467" t="s">
        <v>846</v>
      </c>
      <c r="F14467" s="1467"/>
      <c r="G14467" s="952" t="s">
        <v>845</v>
      </c>
      <c r="H14467" s="432">
        <v>4.0000000000000002E-4</v>
      </c>
      <c r="K14467" t="s">
        <v>947</v>
      </c>
      <c r="L14467" t="s">
        <v>968</v>
      </c>
      <c r="P14467" t="s">
        <v>969</v>
      </c>
      <c r="V14467">
        <v>65</v>
      </c>
    </row>
    <row r="14468" spans="1:22" customFormat="1" ht="15" x14ac:dyDescent="0.25">
      <c r="A14468" t="s">
        <v>279</v>
      </c>
      <c r="B14468" t="s">
        <v>6613</v>
      </c>
      <c r="E14468" s="1467" t="s">
        <v>847</v>
      </c>
      <c r="F14468" s="1467"/>
      <c r="G14468" s="952" t="s">
        <v>845</v>
      </c>
      <c r="H14468" s="432">
        <v>1.5E-3</v>
      </c>
      <c r="K14468" t="s">
        <v>947</v>
      </c>
      <c r="L14468" t="s">
        <v>968</v>
      </c>
      <c r="P14468" t="s">
        <v>970</v>
      </c>
      <c r="V14468">
        <v>57</v>
      </c>
    </row>
    <row r="14469" spans="1:22" customFormat="1" ht="15" x14ac:dyDescent="0.25">
      <c r="A14469" t="s">
        <v>279</v>
      </c>
      <c r="B14469" t="s">
        <v>6613</v>
      </c>
      <c r="E14469" s="1467" t="s">
        <v>848</v>
      </c>
      <c r="F14469" s="1467"/>
      <c r="G14469" s="1039" t="s">
        <v>777</v>
      </c>
      <c r="H14469" s="1040">
        <v>0.25</v>
      </c>
      <c r="K14469" t="s">
        <v>947</v>
      </c>
      <c r="L14469" t="s">
        <v>968</v>
      </c>
      <c r="P14469" t="s">
        <v>971</v>
      </c>
      <c r="V14469">
        <v>63</v>
      </c>
    </row>
    <row r="14470" spans="1:22" customFormat="1" x14ac:dyDescent="0.25">
      <c r="A14470" t="s">
        <v>279</v>
      </c>
      <c r="B14470" t="s">
        <v>6613</v>
      </c>
      <c r="E14470" s="1470" t="s">
        <v>174</v>
      </c>
      <c r="F14470" s="1471"/>
      <c r="G14470" s="1471"/>
      <c r="H14470" s="1471"/>
      <c r="K14470" t="s">
        <v>972</v>
      </c>
      <c r="V14470">
        <v>54</v>
      </c>
    </row>
    <row r="14471" spans="1:22" customFormat="1" ht="15" x14ac:dyDescent="0.25">
      <c r="A14471" t="s">
        <v>279</v>
      </c>
      <c r="B14471" t="s">
        <v>6613</v>
      </c>
      <c r="E14471" s="1472" t="s">
        <v>5903</v>
      </c>
      <c r="F14471" s="1472"/>
      <c r="G14471" s="1472"/>
      <c r="H14471" s="1472"/>
      <c r="K14471" t="s">
        <v>972</v>
      </c>
      <c r="V14471">
        <v>561</v>
      </c>
    </row>
    <row r="14472" spans="1:22" customFormat="1" ht="15" x14ac:dyDescent="0.25">
      <c r="A14472" t="s">
        <v>279</v>
      </c>
      <c r="B14472" t="s">
        <v>6613</v>
      </c>
      <c r="E14472" s="1469" t="s">
        <v>950</v>
      </c>
      <c r="F14472" s="1472"/>
      <c r="G14472" s="1472"/>
      <c r="H14472" s="1472"/>
      <c r="K14472" t="s">
        <v>974</v>
      </c>
      <c r="V14472">
        <v>11</v>
      </c>
    </row>
    <row r="14473" spans="1:22" customFormat="1" ht="15" x14ac:dyDescent="0.25">
      <c r="A14473" t="s">
        <v>279</v>
      </c>
      <c r="B14473" t="s">
        <v>6613</v>
      </c>
      <c r="E14473" s="1472" t="s">
        <v>951</v>
      </c>
      <c r="F14473" s="1472"/>
      <c r="G14473" s="1472"/>
      <c r="H14473" s="1472"/>
      <c r="K14473" t="s">
        <v>972</v>
      </c>
      <c r="V14473">
        <v>280</v>
      </c>
    </row>
    <row r="14474" spans="1:22" customFormat="1" ht="15" x14ac:dyDescent="0.25">
      <c r="A14474" t="s">
        <v>279</v>
      </c>
      <c r="B14474" t="s">
        <v>6613</v>
      </c>
      <c r="E14474" s="1472" t="s">
        <v>952</v>
      </c>
      <c r="F14474" s="1472"/>
      <c r="G14474" s="1472"/>
      <c r="H14474" s="1472"/>
      <c r="K14474" t="s">
        <v>972</v>
      </c>
      <c r="V14474">
        <v>411</v>
      </c>
    </row>
    <row r="14475" spans="1:22" customFormat="1" ht="15" x14ac:dyDescent="0.25">
      <c r="A14475" t="s">
        <v>279</v>
      </c>
      <c r="B14475" t="s">
        <v>6613</v>
      </c>
      <c r="E14475" s="1472" t="s">
        <v>3761</v>
      </c>
      <c r="F14475" s="1472"/>
      <c r="G14475" s="1472"/>
      <c r="H14475" s="1472"/>
      <c r="K14475" t="s">
        <v>972</v>
      </c>
      <c r="V14475">
        <v>387</v>
      </c>
    </row>
    <row r="14476" spans="1:22" customFormat="1" ht="15" x14ac:dyDescent="0.25">
      <c r="A14476" t="s">
        <v>279</v>
      </c>
      <c r="B14476" t="s">
        <v>6613</v>
      </c>
      <c r="E14476" s="1472" t="s">
        <v>954</v>
      </c>
      <c r="F14476" s="1472"/>
      <c r="G14476" s="1472"/>
      <c r="H14476" s="1472"/>
      <c r="K14476" t="s">
        <v>972</v>
      </c>
      <c r="V14476">
        <v>246</v>
      </c>
    </row>
    <row r="14477" spans="1:22" customFormat="1" ht="15" x14ac:dyDescent="0.25">
      <c r="A14477" t="s">
        <v>279</v>
      </c>
      <c r="B14477" t="s">
        <v>6613</v>
      </c>
      <c r="E14477" s="1469" t="s">
        <v>956</v>
      </c>
      <c r="F14477" s="1472"/>
      <c r="G14477" s="1472"/>
      <c r="H14477" s="1472"/>
      <c r="K14477" t="s">
        <v>975</v>
      </c>
      <c r="V14477">
        <v>46</v>
      </c>
    </row>
    <row r="14478" spans="1:22" customFormat="1" ht="15" x14ac:dyDescent="0.25">
      <c r="A14478" t="s">
        <v>279</v>
      </c>
      <c r="B14478" t="s">
        <v>6613</v>
      </c>
      <c r="E14478" s="1467" t="s">
        <v>3773</v>
      </c>
      <c r="F14478" s="1467"/>
      <c r="G14478" s="952" t="s">
        <v>777</v>
      </c>
      <c r="H14478" s="953">
        <v>27.65</v>
      </c>
      <c r="K14478" t="s">
        <v>972</v>
      </c>
      <c r="L14478" t="s">
        <v>690</v>
      </c>
      <c r="P14478" t="s">
        <v>976</v>
      </c>
      <c r="V14478">
        <v>14</v>
      </c>
    </row>
    <row r="14479" spans="1:22" customFormat="1" ht="15" x14ac:dyDescent="0.25">
      <c r="A14479" t="s">
        <v>279</v>
      </c>
      <c r="B14479" t="s">
        <v>6613</v>
      </c>
      <c r="E14479" s="1467" t="s">
        <v>6618</v>
      </c>
      <c r="F14479" s="1467"/>
      <c r="G14479" s="952" t="s">
        <v>777</v>
      </c>
      <c r="H14479" s="953">
        <v>-0.92</v>
      </c>
      <c r="K14479" t="s">
        <v>972</v>
      </c>
      <c r="L14479" t="s">
        <v>690</v>
      </c>
      <c r="P14479" t="s">
        <v>976</v>
      </c>
      <c r="T14479">
        <v>45777</v>
      </c>
      <c r="V14479">
        <v>84</v>
      </c>
    </row>
    <row r="14480" spans="1:22" customFormat="1" ht="15" x14ac:dyDescent="0.25">
      <c r="A14480" t="s">
        <v>279</v>
      </c>
      <c r="B14480" t="s">
        <v>6613</v>
      </c>
      <c r="E14480" s="1467" t="s">
        <v>960</v>
      </c>
      <c r="F14480" s="1467"/>
      <c r="G14480" s="952" t="s">
        <v>777</v>
      </c>
      <c r="H14480" s="953">
        <v>0.42</v>
      </c>
      <c r="K14480" t="s">
        <v>972</v>
      </c>
      <c r="L14480" t="s">
        <v>692</v>
      </c>
      <c r="P14480" t="s">
        <v>977</v>
      </c>
      <c r="V14480">
        <v>64</v>
      </c>
    </row>
    <row r="14481" spans="1:22" customFormat="1" ht="15" x14ac:dyDescent="0.25">
      <c r="A14481" t="s">
        <v>279</v>
      </c>
      <c r="B14481" t="s">
        <v>6613</v>
      </c>
      <c r="E14481" s="1467" t="s">
        <v>3688</v>
      </c>
      <c r="F14481" s="1467"/>
      <c r="G14481" s="952" t="s">
        <v>845</v>
      </c>
      <c r="H14481" s="432">
        <v>2.0400000000000001E-2</v>
      </c>
      <c r="K14481" t="s">
        <v>972</v>
      </c>
      <c r="L14481" t="s">
        <v>690</v>
      </c>
      <c r="P14481" t="s">
        <v>978</v>
      </c>
      <c r="V14481">
        <v>28</v>
      </c>
    </row>
    <row r="14482" spans="1:22" customFormat="1" ht="15" x14ac:dyDescent="0.25">
      <c r="A14482" t="s">
        <v>279</v>
      </c>
      <c r="B14482" t="s">
        <v>6613</v>
      </c>
      <c r="E14482" s="1467" t="s">
        <v>910</v>
      </c>
      <c r="F14482" s="1467"/>
      <c r="G14482" s="952" t="s">
        <v>845</v>
      </c>
      <c r="H14482" s="432">
        <v>3.2000000000000002E-3</v>
      </c>
      <c r="K14482" t="s">
        <v>972</v>
      </c>
      <c r="L14482" t="s">
        <v>692</v>
      </c>
      <c r="P14482" t="s">
        <v>980</v>
      </c>
      <c r="V14482">
        <v>24</v>
      </c>
    </row>
    <row r="14483" spans="1:22" customFormat="1" ht="15" x14ac:dyDescent="0.25">
      <c r="A14483" t="s">
        <v>279</v>
      </c>
      <c r="B14483" t="s">
        <v>6613</v>
      </c>
      <c r="E14483" s="1467" t="s">
        <v>9667</v>
      </c>
      <c r="F14483" s="1467"/>
      <c r="G14483" s="952" t="s">
        <v>845</v>
      </c>
      <c r="H14483" s="432">
        <v>6.9999999999999999E-4</v>
      </c>
      <c r="K14483" t="s">
        <v>972</v>
      </c>
      <c r="L14483" t="s">
        <v>690</v>
      </c>
      <c r="P14483" t="s">
        <v>9712</v>
      </c>
      <c r="T14483">
        <v>46022</v>
      </c>
      <c r="V14483">
        <v>82</v>
      </c>
    </row>
    <row r="14484" spans="1:22" customFormat="1" ht="15" x14ac:dyDescent="0.25">
      <c r="A14484" t="s">
        <v>279</v>
      </c>
      <c r="B14484" t="s">
        <v>6613</v>
      </c>
      <c r="E14484" s="1467" t="s">
        <v>6519</v>
      </c>
      <c r="F14484" s="1468"/>
      <c r="G14484" s="952" t="s">
        <v>845</v>
      </c>
      <c r="H14484" s="432">
        <v>4.1000000000000003E-3</v>
      </c>
      <c r="K14484" t="s">
        <v>972</v>
      </c>
      <c r="L14484" t="s">
        <v>692</v>
      </c>
      <c r="P14484" t="s">
        <v>981</v>
      </c>
      <c r="T14484">
        <v>46022</v>
      </c>
      <c r="V14484">
        <v>142</v>
      </c>
    </row>
    <row r="14485" spans="1:22" customFormat="1" ht="15" x14ac:dyDescent="0.25">
      <c r="A14485" t="s">
        <v>279</v>
      </c>
      <c r="B14485" t="s">
        <v>6613</v>
      </c>
      <c r="E14485" s="1467" t="s">
        <v>6520</v>
      </c>
      <c r="F14485" s="1468"/>
      <c r="G14485" s="952" t="s">
        <v>845</v>
      </c>
      <c r="H14485" s="432">
        <v>2.8E-3</v>
      </c>
      <c r="K14485" t="s">
        <v>972</v>
      </c>
      <c r="L14485" t="s">
        <v>692</v>
      </c>
      <c r="P14485" t="s">
        <v>982</v>
      </c>
      <c r="T14485">
        <v>46022</v>
      </c>
      <c r="V14485">
        <v>99</v>
      </c>
    </row>
    <row r="14486" spans="1:22" customFormat="1" ht="15" x14ac:dyDescent="0.25">
      <c r="A14486" t="s">
        <v>279</v>
      </c>
      <c r="B14486" t="s">
        <v>6613</v>
      </c>
      <c r="E14486" s="1467" t="s">
        <v>5262</v>
      </c>
      <c r="F14486" s="1467"/>
      <c r="G14486" s="952" t="s">
        <v>845</v>
      </c>
      <c r="H14486" s="432">
        <v>-2.3E-3</v>
      </c>
      <c r="K14486" t="s">
        <v>972</v>
      </c>
      <c r="L14486" t="s">
        <v>692</v>
      </c>
      <c r="P14486" t="s">
        <v>981</v>
      </c>
      <c r="T14486">
        <v>45777</v>
      </c>
      <c r="V14486">
        <v>139</v>
      </c>
    </row>
    <row r="14487" spans="1:22" customFormat="1" ht="15" x14ac:dyDescent="0.25">
      <c r="A14487" t="s">
        <v>279</v>
      </c>
      <c r="B14487" t="s">
        <v>6613</v>
      </c>
      <c r="E14487" s="1467" t="s">
        <v>5263</v>
      </c>
      <c r="F14487" s="1467"/>
      <c r="G14487" s="952" t="s">
        <v>845</v>
      </c>
      <c r="H14487" s="432">
        <v>6.6E-3</v>
      </c>
      <c r="K14487" t="s">
        <v>972</v>
      </c>
      <c r="L14487" t="s">
        <v>692</v>
      </c>
      <c r="P14487" t="s">
        <v>982</v>
      </c>
      <c r="T14487">
        <v>45777</v>
      </c>
      <c r="V14487">
        <v>96</v>
      </c>
    </row>
    <row r="14488" spans="1:22" customFormat="1" ht="15" x14ac:dyDescent="0.25">
      <c r="A14488" t="s">
        <v>279</v>
      </c>
      <c r="B14488" t="s">
        <v>6613</v>
      </c>
      <c r="E14488" s="1467" t="s">
        <v>9693</v>
      </c>
      <c r="F14488" s="1468"/>
      <c r="G14488" s="952" t="s">
        <v>845</v>
      </c>
      <c r="H14488" s="432">
        <v>1E-4</v>
      </c>
      <c r="K14488" t="s">
        <v>972</v>
      </c>
      <c r="L14488" t="s">
        <v>692</v>
      </c>
      <c r="P14488" t="s">
        <v>3766</v>
      </c>
      <c r="T14488">
        <v>46022</v>
      </c>
      <c r="V14488">
        <v>148</v>
      </c>
    </row>
    <row r="14489" spans="1:22" customFormat="1" ht="15" x14ac:dyDescent="0.25">
      <c r="A14489" t="s">
        <v>279</v>
      </c>
      <c r="B14489" t="s">
        <v>6613</v>
      </c>
      <c r="E14489" s="1467" t="s">
        <v>5264</v>
      </c>
      <c r="F14489" s="1467"/>
      <c r="G14489" s="952" t="s">
        <v>845</v>
      </c>
      <c r="H14489" s="432">
        <v>-2.0000000000000001E-4</v>
      </c>
      <c r="K14489" t="s">
        <v>972</v>
      </c>
      <c r="L14489" t="s">
        <v>692</v>
      </c>
      <c r="P14489" t="s">
        <v>3766</v>
      </c>
      <c r="T14489">
        <v>45777</v>
      </c>
      <c r="V14489">
        <v>146</v>
      </c>
    </row>
    <row r="14490" spans="1:22" customFormat="1" ht="15" x14ac:dyDescent="0.25">
      <c r="A14490" t="s">
        <v>279</v>
      </c>
      <c r="B14490" t="s">
        <v>6613</v>
      </c>
      <c r="E14490" s="1467" t="s">
        <v>5884</v>
      </c>
      <c r="F14490" s="1467"/>
      <c r="G14490" s="952" t="s">
        <v>845</v>
      </c>
      <c r="H14490" s="432">
        <v>-1E-3</v>
      </c>
      <c r="K14490" t="s">
        <v>972</v>
      </c>
      <c r="L14490" t="s">
        <v>690</v>
      </c>
      <c r="P14490" t="s">
        <v>9713</v>
      </c>
      <c r="T14490">
        <v>45777</v>
      </c>
      <c r="V14490">
        <v>85</v>
      </c>
    </row>
    <row r="14491" spans="1:22" customFormat="1" ht="15" x14ac:dyDescent="0.25">
      <c r="A14491" t="s">
        <v>279</v>
      </c>
      <c r="B14491" t="s">
        <v>6613</v>
      </c>
      <c r="E14491" s="1467" t="s">
        <v>6619</v>
      </c>
      <c r="F14491" s="1467"/>
      <c r="G14491" s="952" t="s">
        <v>845</v>
      </c>
      <c r="H14491" s="432">
        <v>-1.4E-3</v>
      </c>
      <c r="K14491" t="s">
        <v>972</v>
      </c>
      <c r="L14491" t="s">
        <v>690</v>
      </c>
      <c r="P14491" t="s">
        <v>9714</v>
      </c>
      <c r="T14491">
        <v>46022</v>
      </c>
      <c r="V14491">
        <v>88</v>
      </c>
    </row>
    <row r="14492" spans="1:22" customFormat="1" ht="15" x14ac:dyDescent="0.25">
      <c r="A14492" t="s">
        <v>279</v>
      </c>
      <c r="B14492" t="s">
        <v>6613</v>
      </c>
      <c r="E14492" s="1467" t="s">
        <v>6620</v>
      </c>
      <c r="F14492" s="1467"/>
      <c r="G14492" s="952" t="s">
        <v>845</v>
      </c>
      <c r="H14492" s="432">
        <v>-6.9999999999999999E-4</v>
      </c>
      <c r="K14492" t="s">
        <v>972</v>
      </c>
      <c r="L14492" t="s">
        <v>690</v>
      </c>
      <c r="P14492" t="s">
        <v>9715</v>
      </c>
      <c r="T14492">
        <v>45777</v>
      </c>
      <c r="V14492">
        <v>80</v>
      </c>
    </row>
    <row r="14493" spans="1:22" customFormat="1" ht="15" x14ac:dyDescent="0.25">
      <c r="A14493" t="s">
        <v>279</v>
      </c>
      <c r="B14493" t="s">
        <v>6613</v>
      </c>
      <c r="E14493" s="1467" t="s">
        <v>243</v>
      </c>
      <c r="F14493" s="1467"/>
      <c r="G14493" s="952" t="s">
        <v>845</v>
      </c>
      <c r="H14493" s="432">
        <v>1.01E-2</v>
      </c>
      <c r="K14493" t="s">
        <v>972</v>
      </c>
      <c r="L14493" t="s">
        <v>694</v>
      </c>
      <c r="P14493" t="s">
        <v>983</v>
      </c>
      <c r="V14493">
        <v>47</v>
      </c>
    </row>
    <row r="14494" spans="1:22" customFormat="1" ht="15" x14ac:dyDescent="0.25">
      <c r="A14494" t="s">
        <v>279</v>
      </c>
      <c r="B14494" t="s">
        <v>6613</v>
      </c>
      <c r="E14494" s="1467" t="s">
        <v>175</v>
      </c>
      <c r="F14494" s="1467"/>
      <c r="G14494" s="952" t="s">
        <v>845</v>
      </c>
      <c r="H14494" s="432">
        <v>7.9000000000000008E-3</v>
      </c>
      <c r="K14494" t="s">
        <v>972</v>
      </c>
      <c r="L14494" t="s">
        <v>694</v>
      </c>
      <c r="P14494" t="s">
        <v>984</v>
      </c>
      <c r="V14494">
        <v>74</v>
      </c>
    </row>
    <row r="14495" spans="1:22" customFormat="1" ht="15" x14ac:dyDescent="0.25">
      <c r="A14495" t="s">
        <v>279</v>
      </c>
      <c r="B14495" t="s">
        <v>6613</v>
      </c>
      <c r="E14495" s="1469" t="s">
        <v>967</v>
      </c>
      <c r="F14495" s="1467"/>
      <c r="G14495" s="952"/>
      <c r="H14495" s="952"/>
      <c r="K14495" t="s">
        <v>985</v>
      </c>
      <c r="V14495">
        <v>48</v>
      </c>
    </row>
    <row r="14496" spans="1:22" customFormat="1" ht="15" x14ac:dyDescent="0.25">
      <c r="A14496" t="s">
        <v>279</v>
      </c>
      <c r="B14496" t="s">
        <v>6613</v>
      </c>
      <c r="E14496" s="1467" t="s">
        <v>844</v>
      </c>
      <c r="F14496" s="1467"/>
      <c r="G14496" s="952" t="s">
        <v>845</v>
      </c>
      <c r="H14496" s="432">
        <v>4.1000000000000003E-3</v>
      </c>
      <c r="K14496" t="s">
        <v>972</v>
      </c>
      <c r="L14496" t="s">
        <v>968</v>
      </c>
      <c r="P14496" t="s">
        <v>986</v>
      </c>
      <c r="V14496">
        <v>55</v>
      </c>
    </row>
    <row r="14497" spans="1:22" customFormat="1" ht="15" x14ac:dyDescent="0.25">
      <c r="A14497" t="s">
        <v>279</v>
      </c>
      <c r="B14497" t="s">
        <v>6613</v>
      </c>
      <c r="E14497" s="1467" t="s">
        <v>846</v>
      </c>
      <c r="F14497" s="1467"/>
      <c r="G14497" s="952" t="s">
        <v>845</v>
      </c>
      <c r="H14497" s="432">
        <v>4.0000000000000002E-4</v>
      </c>
      <c r="K14497" t="s">
        <v>972</v>
      </c>
      <c r="L14497" t="s">
        <v>968</v>
      </c>
      <c r="P14497" t="s">
        <v>986</v>
      </c>
      <c r="V14497">
        <v>65</v>
      </c>
    </row>
    <row r="14498" spans="1:22" customFormat="1" ht="15" x14ac:dyDescent="0.25">
      <c r="A14498" t="s">
        <v>279</v>
      </c>
      <c r="B14498" t="s">
        <v>6613</v>
      </c>
      <c r="E14498" s="1467" t="s">
        <v>847</v>
      </c>
      <c r="F14498" s="1467"/>
      <c r="G14498" s="952" t="s">
        <v>845</v>
      </c>
      <c r="H14498" s="432">
        <v>1.5E-3</v>
      </c>
      <c r="K14498" t="s">
        <v>972</v>
      </c>
      <c r="L14498" t="s">
        <v>968</v>
      </c>
      <c r="P14498" t="s">
        <v>987</v>
      </c>
      <c r="V14498">
        <v>57</v>
      </c>
    </row>
    <row r="14499" spans="1:22" customFormat="1" ht="15" x14ac:dyDescent="0.25">
      <c r="A14499" t="s">
        <v>279</v>
      </c>
      <c r="B14499" t="s">
        <v>6613</v>
      </c>
      <c r="E14499" s="1467" t="s">
        <v>848</v>
      </c>
      <c r="F14499" s="1467"/>
      <c r="G14499" s="952" t="s">
        <v>777</v>
      </c>
      <c r="H14499" s="953">
        <v>0.25</v>
      </c>
      <c r="K14499" t="s">
        <v>972</v>
      </c>
      <c r="L14499" t="s">
        <v>968</v>
      </c>
      <c r="P14499" t="s">
        <v>988</v>
      </c>
      <c r="V14499">
        <v>63</v>
      </c>
    </row>
    <row r="14500" spans="1:22" customFormat="1" x14ac:dyDescent="0.25">
      <c r="A14500" t="s">
        <v>279</v>
      </c>
      <c r="B14500" t="s">
        <v>6613</v>
      </c>
      <c r="E14500" s="1470" t="s">
        <v>3767</v>
      </c>
      <c r="F14500" s="1471"/>
      <c r="G14500" s="1471"/>
      <c r="H14500" s="1471"/>
      <c r="K14500" t="s">
        <v>3768</v>
      </c>
      <c r="V14500">
        <v>53</v>
      </c>
    </row>
    <row r="14501" spans="1:22" customFormat="1" ht="15" x14ac:dyDescent="0.25">
      <c r="A14501" t="s">
        <v>279</v>
      </c>
      <c r="B14501" t="s">
        <v>6613</v>
      </c>
      <c r="E14501" s="1472" t="s">
        <v>5904</v>
      </c>
      <c r="F14501" s="1472"/>
      <c r="G14501" s="1472"/>
      <c r="H14501" s="1472"/>
      <c r="K14501" t="s">
        <v>3768</v>
      </c>
      <c r="V14501">
        <v>862</v>
      </c>
    </row>
    <row r="14502" spans="1:22" customFormat="1" ht="15" x14ac:dyDescent="0.25">
      <c r="A14502" t="s">
        <v>279</v>
      </c>
      <c r="B14502" t="s">
        <v>6613</v>
      </c>
      <c r="E14502" s="1469" t="s">
        <v>950</v>
      </c>
      <c r="F14502" s="1472"/>
      <c r="G14502" s="1472"/>
      <c r="H14502" s="1472"/>
      <c r="K14502" t="s">
        <v>992</v>
      </c>
      <c r="V14502">
        <v>11</v>
      </c>
    </row>
    <row r="14503" spans="1:22" customFormat="1" ht="15" x14ac:dyDescent="0.25">
      <c r="A14503" t="s">
        <v>279</v>
      </c>
      <c r="B14503" t="s">
        <v>6613</v>
      </c>
      <c r="E14503" s="1472" t="s">
        <v>951</v>
      </c>
      <c r="F14503" s="1472"/>
      <c r="G14503" s="1472"/>
      <c r="H14503" s="1472"/>
      <c r="K14503" t="s">
        <v>3768</v>
      </c>
      <c r="V14503">
        <v>280</v>
      </c>
    </row>
    <row r="14504" spans="1:22" customFormat="1" ht="15" x14ac:dyDescent="0.25">
      <c r="A14504" t="s">
        <v>279</v>
      </c>
      <c r="B14504" t="s">
        <v>6613</v>
      </c>
      <c r="E14504" s="1472" t="s">
        <v>952</v>
      </c>
      <c r="F14504" s="1472"/>
      <c r="G14504" s="1472"/>
      <c r="H14504" s="1472"/>
      <c r="K14504" t="s">
        <v>3768</v>
      </c>
      <c r="V14504">
        <v>411</v>
      </c>
    </row>
    <row r="14505" spans="1:22" customFormat="1" ht="15" x14ac:dyDescent="0.25">
      <c r="A14505" t="s">
        <v>279</v>
      </c>
      <c r="B14505" t="s">
        <v>6613</v>
      </c>
      <c r="E14505" s="1472" t="s">
        <v>3761</v>
      </c>
      <c r="F14505" s="1472"/>
      <c r="G14505" s="1472"/>
      <c r="H14505" s="1472"/>
      <c r="K14505" t="s">
        <v>3768</v>
      </c>
      <c r="V14505">
        <v>387</v>
      </c>
    </row>
    <row r="14506" spans="1:22" customFormat="1" ht="15" x14ac:dyDescent="0.25">
      <c r="A14506" t="s">
        <v>279</v>
      </c>
      <c r="B14506" t="s">
        <v>6613</v>
      </c>
      <c r="E14506" s="1472" t="s">
        <v>5306</v>
      </c>
      <c r="F14506" s="1472"/>
      <c r="G14506" s="1472"/>
      <c r="H14506" s="1472"/>
      <c r="K14506" t="s">
        <v>3768</v>
      </c>
      <c r="V14506">
        <v>1404</v>
      </c>
    </row>
    <row r="14507" spans="1:22" customFormat="1" ht="15" x14ac:dyDescent="0.25">
      <c r="A14507" t="s">
        <v>279</v>
      </c>
      <c r="B14507" t="s">
        <v>6613</v>
      </c>
      <c r="E14507" s="1472" t="s">
        <v>954</v>
      </c>
      <c r="F14507" s="1472"/>
      <c r="G14507" s="1472"/>
      <c r="H14507" s="1472"/>
      <c r="K14507" t="s">
        <v>3768</v>
      </c>
      <c r="V14507">
        <v>246</v>
      </c>
    </row>
    <row r="14508" spans="1:22" customFormat="1" ht="15" x14ac:dyDescent="0.25">
      <c r="A14508" t="s">
        <v>279</v>
      </c>
      <c r="B14508" t="s">
        <v>6613</v>
      </c>
      <c r="E14508" s="1475" t="s">
        <v>956</v>
      </c>
      <c r="F14508" s="1476"/>
      <c r="G14508" s="1476"/>
      <c r="H14508" s="1476"/>
      <c r="K14508" t="s">
        <v>995</v>
      </c>
      <c r="V14508">
        <v>46</v>
      </c>
    </row>
    <row r="14509" spans="1:22" customFormat="1" ht="15" x14ac:dyDescent="0.25">
      <c r="A14509" t="s">
        <v>279</v>
      </c>
      <c r="B14509" t="s">
        <v>6613</v>
      </c>
      <c r="E14509" s="1467" t="s">
        <v>3773</v>
      </c>
      <c r="F14509" s="1467"/>
      <c r="G14509" s="952" t="s">
        <v>777</v>
      </c>
      <c r="H14509" s="953">
        <v>78.099999999999994</v>
      </c>
      <c r="K14509" t="s">
        <v>3768</v>
      </c>
      <c r="L14509" t="s">
        <v>690</v>
      </c>
      <c r="P14509" t="s">
        <v>3774</v>
      </c>
      <c r="V14509">
        <v>14</v>
      </c>
    </row>
    <row r="14510" spans="1:22" customFormat="1" ht="15" x14ac:dyDescent="0.25">
      <c r="A14510" t="s">
        <v>279</v>
      </c>
      <c r="B14510" t="s">
        <v>6613</v>
      </c>
      <c r="E14510" s="1467" t="s">
        <v>6618</v>
      </c>
      <c r="F14510" s="1467"/>
      <c r="G14510" s="952" t="s">
        <v>777</v>
      </c>
      <c r="H14510" s="953">
        <v>-2.6</v>
      </c>
      <c r="K14510" t="s">
        <v>3768</v>
      </c>
      <c r="L14510" t="s">
        <v>690</v>
      </c>
      <c r="P14510" t="s">
        <v>3774</v>
      </c>
      <c r="T14510">
        <v>45777</v>
      </c>
      <c r="V14510">
        <v>84</v>
      </c>
    </row>
    <row r="14511" spans="1:22" customFormat="1" ht="15" x14ac:dyDescent="0.25">
      <c r="A14511" t="s">
        <v>279</v>
      </c>
      <c r="B14511" t="s">
        <v>6613</v>
      </c>
      <c r="E14511" s="1467" t="s">
        <v>3688</v>
      </c>
      <c r="F14511" s="1467"/>
      <c r="G14511" s="952" t="s">
        <v>3775</v>
      </c>
      <c r="H14511" s="432">
        <v>4.2295999999999996</v>
      </c>
      <c r="K14511" t="s">
        <v>3768</v>
      </c>
      <c r="L14511" t="s">
        <v>690</v>
      </c>
      <c r="P14511" t="s">
        <v>3776</v>
      </c>
      <c r="V14511">
        <v>28</v>
      </c>
    </row>
    <row r="14512" spans="1:22" customFormat="1" ht="15" x14ac:dyDescent="0.25">
      <c r="A14512" t="s">
        <v>279</v>
      </c>
      <c r="B14512" t="s">
        <v>6613</v>
      </c>
      <c r="E14512" s="1467" t="s">
        <v>910</v>
      </c>
      <c r="F14512" s="1467"/>
      <c r="G14512" s="952" t="s">
        <v>3775</v>
      </c>
      <c r="H14512" s="432">
        <v>1.2008000000000001</v>
      </c>
      <c r="K14512" t="s">
        <v>3768</v>
      </c>
      <c r="L14512" t="s">
        <v>692</v>
      </c>
      <c r="P14512" t="s">
        <v>3777</v>
      </c>
      <c r="V14512">
        <v>24</v>
      </c>
    </row>
    <row r="14513" spans="1:22" customFormat="1" ht="15" x14ac:dyDescent="0.25">
      <c r="A14513" t="s">
        <v>279</v>
      </c>
      <c r="B14513" t="s">
        <v>6613</v>
      </c>
      <c r="E14513" s="1467" t="s">
        <v>9667</v>
      </c>
      <c r="F14513" s="1467"/>
      <c r="G14513" s="952" t="s">
        <v>3775</v>
      </c>
      <c r="H14513" s="432">
        <v>0.39489999999999997</v>
      </c>
      <c r="K14513" t="s">
        <v>3768</v>
      </c>
      <c r="L14513" t="s">
        <v>690</v>
      </c>
      <c r="P14513" t="s">
        <v>9716</v>
      </c>
      <c r="T14513">
        <v>46022</v>
      </c>
      <c r="V14513">
        <v>82</v>
      </c>
    </row>
    <row r="14514" spans="1:22" customFormat="1" ht="15" x14ac:dyDescent="0.25">
      <c r="A14514" t="s">
        <v>279</v>
      </c>
      <c r="B14514" t="s">
        <v>6613</v>
      </c>
      <c r="E14514" s="1467" t="s">
        <v>6519</v>
      </c>
      <c r="F14514" s="1468"/>
      <c r="G14514" s="952" t="s">
        <v>845</v>
      </c>
      <c r="H14514" s="432">
        <v>4.1000000000000003E-3</v>
      </c>
      <c r="K14514" t="s">
        <v>3768</v>
      </c>
      <c r="L14514" t="s">
        <v>692</v>
      </c>
      <c r="P14514" t="s">
        <v>4232</v>
      </c>
      <c r="T14514">
        <v>46022</v>
      </c>
      <c r="V14514">
        <v>142</v>
      </c>
    </row>
    <row r="14515" spans="1:22" customFormat="1" ht="15" x14ac:dyDescent="0.25">
      <c r="A14515" t="s">
        <v>279</v>
      </c>
      <c r="B14515" t="s">
        <v>6613</v>
      </c>
      <c r="E14515" s="1467" t="s">
        <v>6520</v>
      </c>
      <c r="F14515" s="1468"/>
      <c r="G14515" s="952" t="s">
        <v>3775</v>
      </c>
      <c r="H14515" s="432">
        <v>1.2824</v>
      </c>
      <c r="K14515" t="s">
        <v>3768</v>
      </c>
      <c r="L14515" t="s">
        <v>692</v>
      </c>
      <c r="P14515" t="s">
        <v>3779</v>
      </c>
      <c r="T14515">
        <v>46022</v>
      </c>
      <c r="V14515">
        <v>99</v>
      </c>
    </row>
    <row r="14516" spans="1:22" customFormat="1" ht="15" x14ac:dyDescent="0.25">
      <c r="A14516" t="s">
        <v>279</v>
      </c>
      <c r="B14516" t="s">
        <v>6613</v>
      </c>
      <c r="E14516" s="1467" t="s">
        <v>5262</v>
      </c>
      <c r="F14516" s="1467"/>
      <c r="G14516" s="952" t="s">
        <v>845</v>
      </c>
      <c r="H14516" s="432">
        <v>-2.3E-3</v>
      </c>
      <c r="K14516" t="s">
        <v>3768</v>
      </c>
      <c r="L14516" t="s">
        <v>692</v>
      </c>
      <c r="P14516" t="s">
        <v>4232</v>
      </c>
      <c r="T14516">
        <v>45777</v>
      </c>
      <c r="V14516">
        <v>139</v>
      </c>
    </row>
    <row r="14517" spans="1:22" customFormat="1" ht="15" x14ac:dyDescent="0.25">
      <c r="A14517" t="s">
        <v>279</v>
      </c>
      <c r="B14517" t="s">
        <v>6613</v>
      </c>
      <c r="E14517" s="1467" t="s">
        <v>5288</v>
      </c>
      <c r="F14517" s="1467"/>
      <c r="G14517" s="952" t="s">
        <v>3775</v>
      </c>
      <c r="H14517" s="432">
        <v>1.4749000000000001</v>
      </c>
      <c r="K14517" t="s">
        <v>3768</v>
      </c>
      <c r="L14517" t="s">
        <v>692</v>
      </c>
      <c r="P14517" t="s">
        <v>3779</v>
      </c>
      <c r="T14517">
        <v>45777</v>
      </c>
      <c r="V14517">
        <v>156</v>
      </c>
    </row>
    <row r="14518" spans="1:22" customFormat="1" ht="15" x14ac:dyDescent="0.25">
      <c r="A14518" t="s">
        <v>279</v>
      </c>
      <c r="B14518" t="s">
        <v>6613</v>
      </c>
      <c r="E14518" s="1467" t="s">
        <v>5263</v>
      </c>
      <c r="F14518" s="1467"/>
      <c r="G14518" s="952" t="s">
        <v>3775</v>
      </c>
      <c r="H14518" s="432">
        <v>1.4363999999999999</v>
      </c>
      <c r="K14518" t="s">
        <v>3768</v>
      </c>
      <c r="L14518" t="s">
        <v>692</v>
      </c>
      <c r="P14518" t="s">
        <v>3779</v>
      </c>
      <c r="T14518">
        <v>45777</v>
      </c>
      <c r="V14518">
        <v>96</v>
      </c>
    </row>
    <row r="14519" spans="1:22" customFormat="1" ht="15" x14ac:dyDescent="0.25">
      <c r="A14519" t="s">
        <v>279</v>
      </c>
      <c r="B14519" t="s">
        <v>6613</v>
      </c>
      <c r="E14519" s="1467" t="s">
        <v>9693</v>
      </c>
      <c r="F14519" s="1468"/>
      <c r="G14519" s="952" t="s">
        <v>3775</v>
      </c>
      <c r="H14519" s="432">
        <v>1.1599999999999999E-2</v>
      </c>
      <c r="K14519" t="s">
        <v>3768</v>
      </c>
      <c r="L14519" t="s">
        <v>692</v>
      </c>
      <c r="P14519" t="s">
        <v>3778</v>
      </c>
      <c r="T14519">
        <v>46022</v>
      </c>
      <c r="V14519">
        <v>148</v>
      </c>
    </row>
    <row r="14520" spans="1:22" customFormat="1" ht="15" x14ac:dyDescent="0.25">
      <c r="A14520" t="s">
        <v>279</v>
      </c>
      <c r="B14520" t="s">
        <v>6613</v>
      </c>
      <c r="E14520" s="1467" t="s">
        <v>5264</v>
      </c>
      <c r="F14520" s="1467"/>
      <c r="G14520" s="952" t="s">
        <v>3775</v>
      </c>
      <c r="H14520" s="432">
        <v>-6.8900000000000003E-2</v>
      </c>
      <c r="K14520" t="s">
        <v>3768</v>
      </c>
      <c r="L14520" t="s">
        <v>692</v>
      </c>
      <c r="P14520" t="s">
        <v>3778</v>
      </c>
      <c r="T14520">
        <v>45777</v>
      </c>
      <c r="V14520">
        <v>146</v>
      </c>
    </row>
    <row r="14521" spans="1:22" customFormat="1" ht="15" x14ac:dyDescent="0.25">
      <c r="A14521" t="s">
        <v>279</v>
      </c>
      <c r="B14521" t="s">
        <v>6613</v>
      </c>
      <c r="E14521" s="1467" t="s">
        <v>5884</v>
      </c>
      <c r="F14521" s="1467"/>
      <c r="G14521" s="952" t="s">
        <v>3775</v>
      </c>
      <c r="H14521" s="432">
        <v>0.26769999999999999</v>
      </c>
      <c r="K14521" t="s">
        <v>3768</v>
      </c>
      <c r="L14521" t="s">
        <v>690</v>
      </c>
      <c r="P14521" t="s">
        <v>9717</v>
      </c>
      <c r="T14521">
        <v>45777</v>
      </c>
      <c r="V14521">
        <v>85</v>
      </c>
    </row>
    <row r="14522" spans="1:22" customFormat="1" ht="15" x14ac:dyDescent="0.25">
      <c r="A14522" t="s">
        <v>279</v>
      </c>
      <c r="B14522" t="s">
        <v>6613</v>
      </c>
      <c r="E14522" s="1467" t="s">
        <v>6619</v>
      </c>
      <c r="F14522" s="1467"/>
      <c r="G14522" s="952" t="s">
        <v>3775</v>
      </c>
      <c r="H14522" s="432">
        <v>0.2019</v>
      </c>
      <c r="K14522" t="s">
        <v>3768</v>
      </c>
      <c r="L14522" t="s">
        <v>690</v>
      </c>
      <c r="P14522" t="s">
        <v>9718</v>
      </c>
      <c r="T14522">
        <v>46022</v>
      </c>
      <c r="V14522">
        <v>88</v>
      </c>
    </row>
    <row r="14523" spans="1:22" customFormat="1" ht="15" x14ac:dyDescent="0.25">
      <c r="A14523" t="s">
        <v>279</v>
      </c>
      <c r="B14523" t="s">
        <v>6613</v>
      </c>
      <c r="E14523" s="1467" t="s">
        <v>6620</v>
      </c>
      <c r="F14523" s="1467"/>
      <c r="G14523" s="952" t="s">
        <v>3775</v>
      </c>
      <c r="H14523" s="432">
        <v>-0.1411</v>
      </c>
      <c r="K14523" t="s">
        <v>3768</v>
      </c>
      <c r="L14523" t="s">
        <v>690</v>
      </c>
      <c r="P14523" t="s">
        <v>9719</v>
      </c>
      <c r="T14523">
        <v>45777</v>
      </c>
      <c r="V14523">
        <v>80</v>
      </c>
    </row>
    <row r="14524" spans="1:22" customFormat="1" ht="15" x14ac:dyDescent="0.25">
      <c r="A14524" t="s">
        <v>279</v>
      </c>
      <c r="B14524" t="s">
        <v>6613</v>
      </c>
      <c r="E14524" s="1467" t="s">
        <v>243</v>
      </c>
      <c r="F14524" s="1467"/>
      <c r="G14524" s="952" t="s">
        <v>3775</v>
      </c>
      <c r="H14524" s="432">
        <v>4.1586999999999996</v>
      </c>
      <c r="K14524" t="s">
        <v>3768</v>
      </c>
      <c r="L14524" t="s">
        <v>694</v>
      </c>
      <c r="P14524" t="s">
        <v>3780</v>
      </c>
      <c r="V14524">
        <v>47</v>
      </c>
    </row>
    <row r="14525" spans="1:22" customFormat="1" ht="15" x14ac:dyDescent="0.25">
      <c r="A14525" t="s">
        <v>279</v>
      </c>
      <c r="B14525" t="s">
        <v>6613</v>
      </c>
      <c r="E14525" s="1467" t="s">
        <v>4121</v>
      </c>
      <c r="F14525" s="1467"/>
      <c r="G14525" s="952" t="s">
        <v>3775</v>
      </c>
      <c r="H14525" s="432">
        <v>3.1396999999999999</v>
      </c>
      <c r="K14525" t="s">
        <v>3768</v>
      </c>
      <c r="L14525" t="s">
        <v>694</v>
      </c>
      <c r="P14525" t="s">
        <v>3781</v>
      </c>
      <c r="V14525">
        <v>75</v>
      </c>
    </row>
    <row r="14526" spans="1:22" customFormat="1" ht="15" x14ac:dyDescent="0.25">
      <c r="A14526" t="s">
        <v>279</v>
      </c>
      <c r="B14526" t="s">
        <v>6613</v>
      </c>
      <c r="E14526" s="1469" t="s">
        <v>967</v>
      </c>
      <c r="F14526" s="1467"/>
      <c r="G14526" s="952"/>
      <c r="H14526" s="952"/>
      <c r="K14526" t="s">
        <v>1003</v>
      </c>
      <c r="V14526">
        <v>48</v>
      </c>
    </row>
    <row r="14527" spans="1:22" customFormat="1" ht="15" x14ac:dyDescent="0.25">
      <c r="A14527" t="s">
        <v>279</v>
      </c>
      <c r="B14527" t="s">
        <v>6613</v>
      </c>
      <c r="E14527" s="1467" t="s">
        <v>844</v>
      </c>
      <c r="F14527" s="1467"/>
      <c r="G14527" s="952" t="s">
        <v>845</v>
      </c>
      <c r="H14527" s="432">
        <v>4.1000000000000003E-3</v>
      </c>
      <c r="K14527" t="s">
        <v>3768</v>
      </c>
      <c r="L14527" t="s">
        <v>968</v>
      </c>
      <c r="P14527" t="s">
        <v>3782</v>
      </c>
      <c r="V14527">
        <v>55</v>
      </c>
    </row>
    <row r="14528" spans="1:22" customFormat="1" ht="15" x14ac:dyDescent="0.25">
      <c r="A14528" t="s">
        <v>279</v>
      </c>
      <c r="B14528" t="s">
        <v>6613</v>
      </c>
      <c r="E14528" s="1467" t="s">
        <v>846</v>
      </c>
      <c r="F14528" s="1467"/>
      <c r="G14528" s="952" t="s">
        <v>845</v>
      </c>
      <c r="H14528" s="432">
        <v>4.0000000000000002E-4</v>
      </c>
      <c r="K14528" t="s">
        <v>3768</v>
      </c>
      <c r="L14528" t="s">
        <v>968</v>
      </c>
      <c r="P14528" t="s">
        <v>3782</v>
      </c>
      <c r="V14528">
        <v>65</v>
      </c>
    </row>
    <row r="14529" spans="1:22" customFormat="1" ht="15" x14ac:dyDescent="0.25">
      <c r="A14529" t="s">
        <v>279</v>
      </c>
      <c r="B14529" t="s">
        <v>6613</v>
      </c>
      <c r="E14529" s="1467" t="s">
        <v>847</v>
      </c>
      <c r="F14529" s="1467"/>
      <c r="G14529" s="952" t="s">
        <v>845</v>
      </c>
      <c r="H14529" s="432">
        <v>1.5E-3</v>
      </c>
      <c r="K14529" t="s">
        <v>3768</v>
      </c>
      <c r="L14529" t="s">
        <v>968</v>
      </c>
      <c r="P14529" t="s">
        <v>3783</v>
      </c>
      <c r="V14529">
        <v>57</v>
      </c>
    </row>
    <row r="14530" spans="1:22" customFormat="1" ht="15" x14ac:dyDescent="0.25">
      <c r="A14530" t="s">
        <v>279</v>
      </c>
      <c r="B14530" t="s">
        <v>6613</v>
      </c>
      <c r="E14530" s="1467" t="s">
        <v>848</v>
      </c>
      <c r="F14530" s="1467"/>
      <c r="G14530" s="952" t="s">
        <v>777</v>
      </c>
      <c r="H14530" s="953">
        <v>0.25</v>
      </c>
      <c r="K14530" t="s">
        <v>3768</v>
      </c>
      <c r="L14530" t="s">
        <v>968</v>
      </c>
      <c r="P14530" t="s">
        <v>3784</v>
      </c>
      <c r="V14530">
        <v>63</v>
      </c>
    </row>
    <row r="14531" spans="1:22" customFormat="1" x14ac:dyDescent="0.25">
      <c r="A14531" t="s">
        <v>279</v>
      </c>
      <c r="B14531" t="s">
        <v>6613</v>
      </c>
      <c r="E14531" s="1470" t="s">
        <v>194</v>
      </c>
      <c r="F14531" s="1471"/>
      <c r="G14531" s="1471"/>
      <c r="H14531" s="1471"/>
      <c r="K14531" t="s">
        <v>3785</v>
      </c>
      <c r="V14531">
        <v>47</v>
      </c>
    </row>
    <row r="14532" spans="1:22" customFormat="1" ht="15" x14ac:dyDescent="0.25">
      <c r="A14532" t="s">
        <v>279</v>
      </c>
      <c r="B14532" t="s">
        <v>6613</v>
      </c>
      <c r="E14532" s="1472" t="s">
        <v>5905</v>
      </c>
      <c r="F14532" s="1472"/>
      <c r="G14532" s="1472"/>
      <c r="H14532" s="1472"/>
      <c r="K14532" t="s">
        <v>3785</v>
      </c>
      <c r="V14532">
        <v>621</v>
      </c>
    </row>
    <row r="14533" spans="1:22" customFormat="1" ht="15" x14ac:dyDescent="0.25">
      <c r="A14533" t="s">
        <v>279</v>
      </c>
      <c r="B14533" t="s">
        <v>6613</v>
      </c>
      <c r="E14533" s="1469" t="s">
        <v>950</v>
      </c>
      <c r="F14533" s="1472"/>
      <c r="G14533" s="1472"/>
      <c r="H14533" s="1472"/>
      <c r="K14533" t="s">
        <v>1010</v>
      </c>
      <c r="V14533">
        <v>11</v>
      </c>
    </row>
    <row r="14534" spans="1:22" customFormat="1" ht="15" x14ac:dyDescent="0.25">
      <c r="A14534" t="s">
        <v>279</v>
      </c>
      <c r="B14534" t="s">
        <v>6613</v>
      </c>
      <c r="E14534" s="1472" t="s">
        <v>951</v>
      </c>
      <c r="F14534" s="1472"/>
      <c r="G14534" s="1472"/>
      <c r="H14534" s="1472"/>
      <c r="K14534" t="s">
        <v>3785</v>
      </c>
      <c r="V14534">
        <v>280</v>
      </c>
    </row>
    <row r="14535" spans="1:22" customFormat="1" ht="15" x14ac:dyDescent="0.25">
      <c r="A14535" t="s">
        <v>279</v>
      </c>
      <c r="B14535" t="s">
        <v>6613</v>
      </c>
      <c r="E14535" s="1472" t="s">
        <v>952</v>
      </c>
      <c r="F14535" s="1472"/>
      <c r="G14535" s="1472"/>
      <c r="H14535" s="1472"/>
      <c r="K14535" t="s">
        <v>3785</v>
      </c>
      <c r="V14535">
        <v>411</v>
      </c>
    </row>
    <row r="14536" spans="1:22" customFormat="1" ht="15" x14ac:dyDescent="0.25">
      <c r="A14536" t="s">
        <v>279</v>
      </c>
      <c r="B14536" t="s">
        <v>6613</v>
      </c>
      <c r="E14536" s="1472" t="s">
        <v>3761</v>
      </c>
      <c r="F14536" s="1472"/>
      <c r="G14536" s="1472"/>
      <c r="H14536" s="1472"/>
      <c r="K14536" t="s">
        <v>3785</v>
      </c>
      <c r="V14536">
        <v>387</v>
      </c>
    </row>
    <row r="14537" spans="1:22" customFormat="1" ht="15" x14ac:dyDescent="0.25">
      <c r="A14537" t="s">
        <v>279</v>
      </c>
      <c r="B14537" t="s">
        <v>6613</v>
      </c>
      <c r="E14537" s="1472" t="s">
        <v>954</v>
      </c>
      <c r="F14537" s="1472"/>
      <c r="G14537" s="1472"/>
      <c r="H14537" s="1472"/>
      <c r="K14537" t="s">
        <v>3785</v>
      </c>
      <c r="V14537">
        <v>246</v>
      </c>
    </row>
    <row r="14538" spans="1:22" customFormat="1" ht="15" x14ac:dyDescent="0.25">
      <c r="A14538" t="s">
        <v>279</v>
      </c>
      <c r="B14538" t="s">
        <v>6613</v>
      </c>
      <c r="E14538" s="1469" t="s">
        <v>956</v>
      </c>
      <c r="F14538" s="1472"/>
      <c r="G14538" s="1472"/>
      <c r="H14538" s="1472"/>
      <c r="K14538" t="s">
        <v>1011</v>
      </c>
      <c r="V14538">
        <v>46</v>
      </c>
    </row>
    <row r="14539" spans="1:22" customFormat="1" ht="15" x14ac:dyDescent="0.25">
      <c r="A14539" t="s">
        <v>279</v>
      </c>
      <c r="B14539" t="s">
        <v>6613</v>
      </c>
      <c r="E14539" s="1467" t="s">
        <v>3893</v>
      </c>
      <c r="F14539" s="1467"/>
      <c r="G14539" s="952" t="s">
        <v>777</v>
      </c>
      <c r="H14539" s="953">
        <v>12.8</v>
      </c>
      <c r="K14539" t="s">
        <v>3785</v>
      </c>
      <c r="L14539" t="s">
        <v>690</v>
      </c>
      <c r="P14539" t="s">
        <v>3788</v>
      </c>
      <c r="V14539">
        <v>29</v>
      </c>
    </row>
    <row r="14540" spans="1:22" customFormat="1" ht="15" x14ac:dyDescent="0.25">
      <c r="A14540" t="s">
        <v>279</v>
      </c>
      <c r="B14540" t="s">
        <v>6613</v>
      </c>
      <c r="E14540" s="1467" t="s">
        <v>6618</v>
      </c>
      <c r="F14540" s="1467"/>
      <c r="G14540" s="952" t="s">
        <v>777</v>
      </c>
      <c r="H14540" s="953">
        <v>-0.43</v>
      </c>
      <c r="K14540" t="s">
        <v>3785</v>
      </c>
      <c r="L14540" t="s">
        <v>690</v>
      </c>
      <c r="P14540" t="s">
        <v>3788</v>
      </c>
      <c r="T14540">
        <v>45777</v>
      </c>
      <c r="V14540">
        <v>84</v>
      </c>
    </row>
    <row r="14541" spans="1:22" customFormat="1" ht="15" x14ac:dyDescent="0.25">
      <c r="A14541" t="s">
        <v>279</v>
      </c>
      <c r="B14541" t="s">
        <v>6613</v>
      </c>
      <c r="E14541" s="1467" t="s">
        <v>3688</v>
      </c>
      <c r="F14541" s="1467"/>
      <c r="G14541" s="952" t="s">
        <v>845</v>
      </c>
      <c r="H14541" s="432">
        <v>1.37E-2</v>
      </c>
      <c r="K14541" t="s">
        <v>3785</v>
      </c>
      <c r="L14541" t="s">
        <v>690</v>
      </c>
      <c r="P14541" t="s">
        <v>3789</v>
      </c>
      <c r="V14541">
        <v>28</v>
      </c>
    </row>
    <row r="14542" spans="1:22" customFormat="1" ht="15" x14ac:dyDescent="0.25">
      <c r="A14542" t="s">
        <v>279</v>
      </c>
      <c r="B14542" t="s">
        <v>6613</v>
      </c>
      <c r="E14542" s="1467" t="s">
        <v>910</v>
      </c>
      <c r="F14542" s="1467"/>
      <c r="G14542" s="952" t="s">
        <v>845</v>
      </c>
      <c r="H14542" s="432">
        <v>3.2000000000000002E-3</v>
      </c>
      <c r="K14542" t="s">
        <v>3785</v>
      </c>
      <c r="L14542" t="s">
        <v>692</v>
      </c>
      <c r="P14542" t="s">
        <v>3790</v>
      </c>
      <c r="V14542">
        <v>24</v>
      </c>
    </row>
    <row r="14543" spans="1:22" customFormat="1" ht="15" x14ac:dyDescent="0.25">
      <c r="A14543" t="s">
        <v>279</v>
      </c>
      <c r="B14543" t="s">
        <v>6613</v>
      </c>
      <c r="E14543" s="1467" t="s">
        <v>9667</v>
      </c>
      <c r="F14543" s="1467"/>
      <c r="G14543" s="952" t="s">
        <v>845</v>
      </c>
      <c r="H14543" s="432">
        <v>6.9999999999999999E-4</v>
      </c>
      <c r="K14543" t="s">
        <v>3785</v>
      </c>
      <c r="L14543" t="s">
        <v>690</v>
      </c>
      <c r="P14543" t="s">
        <v>9720</v>
      </c>
      <c r="T14543">
        <v>46022</v>
      </c>
      <c r="V14543">
        <v>82</v>
      </c>
    </row>
    <row r="14544" spans="1:22" customFormat="1" ht="15" x14ac:dyDescent="0.25">
      <c r="A14544" t="s">
        <v>279</v>
      </c>
      <c r="B14544" t="s">
        <v>6613</v>
      </c>
      <c r="E14544" s="1467" t="s">
        <v>6519</v>
      </c>
      <c r="F14544" s="1468"/>
      <c r="G14544" s="952" t="s">
        <v>845</v>
      </c>
      <c r="H14544" s="432">
        <v>4.1000000000000003E-3</v>
      </c>
      <c r="K14544" t="s">
        <v>3785</v>
      </c>
      <c r="L14544" t="s">
        <v>692</v>
      </c>
      <c r="P14544" t="s">
        <v>4818</v>
      </c>
      <c r="T14544">
        <v>46022</v>
      </c>
      <c r="V14544">
        <v>142</v>
      </c>
    </row>
    <row r="14545" spans="1:22" customFormat="1" ht="15" x14ac:dyDescent="0.25">
      <c r="A14545" t="s">
        <v>279</v>
      </c>
      <c r="B14545" t="s">
        <v>6613</v>
      </c>
      <c r="E14545" s="1467" t="s">
        <v>6520</v>
      </c>
      <c r="F14545" s="1468"/>
      <c r="G14545" s="952" t="s">
        <v>845</v>
      </c>
      <c r="H14545" s="432">
        <v>3.0999999999999999E-3</v>
      </c>
      <c r="K14545" t="s">
        <v>3785</v>
      </c>
      <c r="L14545" t="s">
        <v>692</v>
      </c>
      <c r="P14545" t="s">
        <v>3792</v>
      </c>
      <c r="T14545">
        <v>46022</v>
      </c>
      <c r="V14545">
        <v>99</v>
      </c>
    </row>
    <row r="14546" spans="1:22" customFormat="1" ht="15" x14ac:dyDescent="0.25">
      <c r="A14546" t="s">
        <v>279</v>
      </c>
      <c r="B14546" t="s">
        <v>6613</v>
      </c>
      <c r="E14546" s="1467" t="s">
        <v>5262</v>
      </c>
      <c r="F14546" s="1467"/>
      <c r="G14546" s="952" t="s">
        <v>845</v>
      </c>
      <c r="H14546" s="432">
        <v>-2.3E-3</v>
      </c>
      <c r="K14546" t="s">
        <v>3785</v>
      </c>
      <c r="L14546" t="s">
        <v>692</v>
      </c>
      <c r="P14546" t="s">
        <v>4818</v>
      </c>
      <c r="T14546">
        <v>45777</v>
      </c>
      <c r="V14546">
        <v>139</v>
      </c>
    </row>
    <row r="14547" spans="1:22" customFormat="1" ht="15" x14ac:dyDescent="0.25">
      <c r="A14547" t="s">
        <v>279</v>
      </c>
      <c r="B14547" t="s">
        <v>6613</v>
      </c>
      <c r="E14547" s="1467" t="s">
        <v>5263</v>
      </c>
      <c r="F14547" s="1467"/>
      <c r="G14547" s="952" t="s">
        <v>845</v>
      </c>
      <c r="H14547" s="432">
        <v>6.7000000000000002E-3</v>
      </c>
      <c r="K14547" t="s">
        <v>3785</v>
      </c>
      <c r="L14547" t="s">
        <v>692</v>
      </c>
      <c r="P14547" t="s">
        <v>3792</v>
      </c>
      <c r="T14547">
        <v>45777</v>
      </c>
      <c r="V14547">
        <v>96</v>
      </c>
    </row>
    <row r="14548" spans="1:22" customFormat="1" ht="15" x14ac:dyDescent="0.25">
      <c r="A14548" t="s">
        <v>279</v>
      </c>
      <c r="B14548" t="s">
        <v>6613</v>
      </c>
      <c r="E14548" s="1467" t="s">
        <v>9693</v>
      </c>
      <c r="F14548" s="1468"/>
      <c r="G14548" s="952" t="s">
        <v>845</v>
      </c>
      <c r="H14548" s="432">
        <v>1E-4</v>
      </c>
      <c r="K14548" t="s">
        <v>3785</v>
      </c>
      <c r="L14548" t="s">
        <v>692</v>
      </c>
      <c r="P14548" t="s">
        <v>3791</v>
      </c>
      <c r="T14548">
        <v>46022</v>
      </c>
      <c r="V14548">
        <v>148</v>
      </c>
    </row>
    <row r="14549" spans="1:22" customFormat="1" ht="15" x14ac:dyDescent="0.25">
      <c r="A14549" t="s">
        <v>279</v>
      </c>
      <c r="B14549" t="s">
        <v>6613</v>
      </c>
      <c r="E14549" s="1467" t="s">
        <v>5264</v>
      </c>
      <c r="F14549" s="1467"/>
      <c r="G14549" s="952" t="s">
        <v>845</v>
      </c>
      <c r="H14549" s="432">
        <v>-2.0000000000000001E-4</v>
      </c>
      <c r="K14549" t="s">
        <v>3785</v>
      </c>
      <c r="L14549" t="s">
        <v>692</v>
      </c>
      <c r="P14549" t="s">
        <v>3791</v>
      </c>
      <c r="T14549">
        <v>45777</v>
      </c>
      <c r="V14549">
        <v>146</v>
      </c>
    </row>
    <row r="14550" spans="1:22" customFormat="1" ht="15" x14ac:dyDescent="0.25">
      <c r="A14550" t="s">
        <v>279</v>
      </c>
      <c r="B14550" t="s">
        <v>6613</v>
      </c>
      <c r="E14550" s="1467" t="s">
        <v>6620</v>
      </c>
      <c r="F14550" s="1467"/>
      <c r="G14550" s="952" t="s">
        <v>845</v>
      </c>
      <c r="H14550" s="432">
        <v>-5.0000000000000001E-4</v>
      </c>
      <c r="K14550" t="s">
        <v>3785</v>
      </c>
      <c r="L14550" t="s">
        <v>690</v>
      </c>
      <c r="P14550" t="s">
        <v>9721</v>
      </c>
      <c r="T14550">
        <v>45777</v>
      </c>
      <c r="V14550">
        <v>80</v>
      </c>
    </row>
    <row r="14551" spans="1:22" customFormat="1" ht="15" x14ac:dyDescent="0.25">
      <c r="A14551" t="s">
        <v>279</v>
      </c>
      <c r="B14551" t="s">
        <v>6613</v>
      </c>
      <c r="E14551" s="1467" t="s">
        <v>243</v>
      </c>
      <c r="F14551" s="1467"/>
      <c r="G14551" s="952" t="s">
        <v>845</v>
      </c>
      <c r="H14551" s="432">
        <v>1.01E-2</v>
      </c>
      <c r="K14551" t="s">
        <v>3785</v>
      </c>
      <c r="L14551" t="s">
        <v>694</v>
      </c>
      <c r="P14551" t="s">
        <v>3793</v>
      </c>
      <c r="V14551">
        <v>47</v>
      </c>
    </row>
    <row r="14552" spans="1:22" customFormat="1" ht="15" x14ac:dyDescent="0.25">
      <c r="A14552" t="s">
        <v>279</v>
      </c>
      <c r="B14552" t="s">
        <v>6613</v>
      </c>
      <c r="E14552" s="1467" t="s">
        <v>175</v>
      </c>
      <c r="F14552" s="1467"/>
      <c r="G14552" s="952" t="s">
        <v>845</v>
      </c>
      <c r="H14552" s="432">
        <v>7.9000000000000008E-3</v>
      </c>
      <c r="K14552" t="s">
        <v>3785</v>
      </c>
      <c r="L14552" t="s">
        <v>694</v>
      </c>
      <c r="P14552" t="s">
        <v>3794</v>
      </c>
      <c r="V14552">
        <v>74</v>
      </c>
    </row>
    <row r="14553" spans="1:22" customFormat="1" ht="15" x14ac:dyDescent="0.25">
      <c r="A14553" t="s">
        <v>279</v>
      </c>
      <c r="B14553" t="s">
        <v>6613</v>
      </c>
      <c r="E14553" s="1469" t="s">
        <v>967</v>
      </c>
      <c r="F14553" s="1467"/>
      <c r="G14553" s="952"/>
      <c r="H14553" s="952"/>
      <c r="K14553" t="s">
        <v>1019</v>
      </c>
      <c r="V14553">
        <v>48</v>
      </c>
    </row>
    <row r="14554" spans="1:22" customFormat="1" ht="15" x14ac:dyDescent="0.25">
      <c r="A14554" t="s">
        <v>279</v>
      </c>
      <c r="B14554" t="s">
        <v>6613</v>
      </c>
      <c r="E14554" s="1467" t="s">
        <v>844</v>
      </c>
      <c r="F14554" s="1467"/>
      <c r="G14554" s="952" t="s">
        <v>845</v>
      </c>
      <c r="H14554" s="432">
        <v>4.1000000000000003E-3</v>
      </c>
      <c r="K14554" t="s">
        <v>3785</v>
      </c>
      <c r="L14554" t="s">
        <v>968</v>
      </c>
      <c r="P14554" t="s">
        <v>3795</v>
      </c>
      <c r="V14554">
        <v>55</v>
      </c>
    </row>
    <row r="14555" spans="1:22" customFormat="1" ht="15" x14ac:dyDescent="0.25">
      <c r="A14555" t="s">
        <v>279</v>
      </c>
      <c r="B14555" t="s">
        <v>6613</v>
      </c>
      <c r="E14555" s="1467" t="s">
        <v>846</v>
      </c>
      <c r="F14555" s="1467"/>
      <c r="G14555" s="952" t="s">
        <v>845</v>
      </c>
      <c r="H14555" s="432">
        <v>4.0000000000000002E-4</v>
      </c>
      <c r="K14555" t="s">
        <v>3785</v>
      </c>
      <c r="L14555" t="s">
        <v>968</v>
      </c>
      <c r="P14555" t="s">
        <v>3795</v>
      </c>
      <c r="V14555">
        <v>65</v>
      </c>
    </row>
    <row r="14556" spans="1:22" customFormat="1" ht="15" x14ac:dyDescent="0.25">
      <c r="A14556" t="s">
        <v>279</v>
      </c>
      <c r="B14556" t="s">
        <v>6613</v>
      </c>
      <c r="E14556" s="1467" t="s">
        <v>847</v>
      </c>
      <c r="F14556" s="1467"/>
      <c r="G14556" s="952" t="s">
        <v>845</v>
      </c>
      <c r="H14556" s="432">
        <v>1.5E-3</v>
      </c>
      <c r="K14556" t="s">
        <v>3785</v>
      </c>
      <c r="L14556" t="s">
        <v>968</v>
      </c>
      <c r="P14556" t="s">
        <v>3796</v>
      </c>
      <c r="V14556">
        <v>57</v>
      </c>
    </row>
    <row r="14557" spans="1:22" customFormat="1" ht="15" x14ac:dyDescent="0.25">
      <c r="A14557" t="s">
        <v>279</v>
      </c>
      <c r="B14557" t="s">
        <v>6613</v>
      </c>
      <c r="E14557" s="1467" t="s">
        <v>848</v>
      </c>
      <c r="F14557" s="1467"/>
      <c r="G14557" s="952" t="s">
        <v>777</v>
      </c>
      <c r="H14557" s="953">
        <v>0.25</v>
      </c>
      <c r="K14557" t="s">
        <v>3785</v>
      </c>
      <c r="L14557" t="s">
        <v>968</v>
      </c>
      <c r="P14557" t="s">
        <v>3797</v>
      </c>
      <c r="V14557">
        <v>63</v>
      </c>
    </row>
    <row r="14558" spans="1:22" customFormat="1" x14ac:dyDescent="0.25">
      <c r="A14558" t="s">
        <v>279</v>
      </c>
      <c r="B14558" t="s">
        <v>6613</v>
      </c>
      <c r="E14558" s="1470" t="s">
        <v>202</v>
      </c>
      <c r="F14558" s="1471"/>
      <c r="G14558" s="1471"/>
      <c r="H14558" s="1471"/>
      <c r="K14558" t="s">
        <v>4447</v>
      </c>
      <c r="V14558">
        <v>38</v>
      </c>
    </row>
    <row r="14559" spans="1:22" customFormat="1" ht="15" x14ac:dyDescent="0.25">
      <c r="A14559" t="s">
        <v>279</v>
      </c>
      <c r="B14559" t="s">
        <v>6613</v>
      </c>
      <c r="E14559" s="1472" t="s">
        <v>5906</v>
      </c>
      <c r="F14559" s="1472"/>
      <c r="G14559" s="1472"/>
      <c r="H14559" s="1472"/>
      <c r="K14559" t="s">
        <v>4447</v>
      </c>
      <c r="V14559">
        <v>553</v>
      </c>
    </row>
    <row r="14560" spans="1:22" customFormat="1" ht="15" x14ac:dyDescent="0.25">
      <c r="A14560" t="s">
        <v>279</v>
      </c>
      <c r="B14560" t="s">
        <v>6613</v>
      </c>
      <c r="E14560" s="1469" t="s">
        <v>950</v>
      </c>
      <c r="F14560" s="1472"/>
      <c r="G14560" s="1472"/>
      <c r="H14560" s="1472"/>
      <c r="K14560" t="s">
        <v>1025</v>
      </c>
      <c r="V14560">
        <v>11</v>
      </c>
    </row>
    <row r="14561" spans="1:22" customFormat="1" ht="15" x14ac:dyDescent="0.25">
      <c r="A14561" t="s">
        <v>279</v>
      </c>
      <c r="B14561" t="s">
        <v>6613</v>
      </c>
      <c r="E14561" s="1472" t="s">
        <v>951</v>
      </c>
      <c r="F14561" s="1472"/>
      <c r="G14561" s="1472"/>
      <c r="H14561" s="1472"/>
      <c r="K14561" t="s">
        <v>4447</v>
      </c>
      <c r="V14561">
        <v>280</v>
      </c>
    </row>
    <row r="14562" spans="1:22" customFormat="1" ht="15" x14ac:dyDescent="0.25">
      <c r="A14562" t="s">
        <v>279</v>
      </c>
      <c r="B14562" t="s">
        <v>6613</v>
      </c>
      <c r="E14562" s="1472" t="s">
        <v>952</v>
      </c>
      <c r="F14562" s="1472"/>
      <c r="G14562" s="1472"/>
      <c r="H14562" s="1472"/>
      <c r="K14562" t="s">
        <v>4447</v>
      </c>
      <c r="V14562">
        <v>411</v>
      </c>
    </row>
    <row r="14563" spans="1:22" customFormat="1" ht="15" x14ac:dyDescent="0.25">
      <c r="A14563" t="s">
        <v>279</v>
      </c>
      <c r="B14563" t="s">
        <v>6613</v>
      </c>
      <c r="E14563" s="1472" t="s">
        <v>3761</v>
      </c>
      <c r="F14563" s="1472"/>
      <c r="G14563" s="1472"/>
      <c r="H14563" s="1472"/>
      <c r="K14563" t="s">
        <v>4447</v>
      </c>
      <c r="V14563">
        <v>387</v>
      </c>
    </row>
    <row r="14564" spans="1:22" customFormat="1" ht="15" x14ac:dyDescent="0.25">
      <c r="A14564" t="s">
        <v>279</v>
      </c>
      <c r="B14564" t="s">
        <v>6613</v>
      </c>
      <c r="E14564" s="1472" t="s">
        <v>954</v>
      </c>
      <c r="F14564" s="1472"/>
      <c r="G14564" s="1472"/>
      <c r="H14564" s="1472"/>
      <c r="K14564" t="s">
        <v>4447</v>
      </c>
      <c r="V14564">
        <v>246</v>
      </c>
    </row>
    <row r="14565" spans="1:22" customFormat="1" ht="15" x14ac:dyDescent="0.25">
      <c r="A14565" t="s">
        <v>279</v>
      </c>
      <c r="B14565" t="s">
        <v>6613</v>
      </c>
      <c r="E14565" s="1469" t="s">
        <v>956</v>
      </c>
      <c r="F14565" s="1472"/>
      <c r="G14565" s="1472"/>
      <c r="H14565" s="1472"/>
      <c r="K14565" t="s">
        <v>1026</v>
      </c>
      <c r="V14565">
        <v>46</v>
      </c>
    </row>
    <row r="14566" spans="1:22" customFormat="1" ht="15" x14ac:dyDescent="0.25">
      <c r="A14566" t="s">
        <v>279</v>
      </c>
      <c r="B14566" t="s">
        <v>6613</v>
      </c>
      <c r="E14566" s="1467" t="s">
        <v>3874</v>
      </c>
      <c r="F14566" s="1467"/>
      <c r="G14566" s="952" t="s">
        <v>777</v>
      </c>
      <c r="H14566" s="953">
        <v>1.94</v>
      </c>
      <c r="K14566" t="s">
        <v>4447</v>
      </c>
      <c r="L14566" t="s">
        <v>690</v>
      </c>
      <c r="P14566" t="s">
        <v>4450</v>
      </c>
      <c r="V14566">
        <v>31</v>
      </c>
    </row>
    <row r="14567" spans="1:22" customFormat="1" ht="15" x14ac:dyDescent="0.25">
      <c r="A14567" t="s">
        <v>279</v>
      </c>
      <c r="B14567" t="s">
        <v>6613</v>
      </c>
      <c r="E14567" s="1467" t="s">
        <v>6618</v>
      </c>
      <c r="F14567" s="1467"/>
      <c r="G14567" s="952" t="s">
        <v>777</v>
      </c>
      <c r="H14567" s="953">
        <v>-0.06</v>
      </c>
      <c r="K14567" t="s">
        <v>4447</v>
      </c>
      <c r="L14567" t="s">
        <v>690</v>
      </c>
      <c r="P14567" t="s">
        <v>4450</v>
      </c>
      <c r="T14567">
        <v>45777</v>
      </c>
      <c r="V14567">
        <v>84</v>
      </c>
    </row>
    <row r="14568" spans="1:22" customFormat="1" ht="15" x14ac:dyDescent="0.25">
      <c r="A14568" t="s">
        <v>279</v>
      </c>
      <c r="B14568" t="s">
        <v>6613</v>
      </c>
      <c r="E14568" s="1467" t="s">
        <v>3688</v>
      </c>
      <c r="F14568" s="1467"/>
      <c r="G14568" s="952" t="s">
        <v>3775</v>
      </c>
      <c r="H14568" s="432">
        <v>4.5282</v>
      </c>
      <c r="K14568" t="s">
        <v>4447</v>
      </c>
      <c r="L14568" t="s">
        <v>690</v>
      </c>
      <c r="P14568" t="s">
        <v>4451</v>
      </c>
      <c r="V14568">
        <v>28</v>
      </c>
    </row>
    <row r="14569" spans="1:22" customFormat="1" ht="15" x14ac:dyDescent="0.25">
      <c r="A14569" t="s">
        <v>279</v>
      </c>
      <c r="B14569" t="s">
        <v>6613</v>
      </c>
      <c r="E14569" s="1467" t="s">
        <v>910</v>
      </c>
      <c r="F14569" s="1467"/>
      <c r="G14569" s="952" t="s">
        <v>3775</v>
      </c>
      <c r="H14569" s="432">
        <v>0.92820000000000003</v>
      </c>
      <c r="K14569" t="s">
        <v>4447</v>
      </c>
      <c r="L14569" t="s">
        <v>692</v>
      </c>
      <c r="P14569" t="s">
        <v>4484</v>
      </c>
      <c r="V14569">
        <v>24</v>
      </c>
    </row>
    <row r="14570" spans="1:22" customFormat="1" ht="15" x14ac:dyDescent="0.25">
      <c r="A14570" t="s">
        <v>279</v>
      </c>
      <c r="B14570" t="s">
        <v>6613</v>
      </c>
      <c r="E14570" s="1467" t="s">
        <v>9667</v>
      </c>
      <c r="F14570" s="1467"/>
      <c r="G14570" s="952" t="s">
        <v>3775</v>
      </c>
      <c r="H14570" s="432">
        <v>0.33069999999999999</v>
      </c>
      <c r="K14570" t="s">
        <v>4447</v>
      </c>
      <c r="L14570" t="s">
        <v>690</v>
      </c>
      <c r="P14570" t="s">
        <v>9722</v>
      </c>
      <c r="T14570">
        <v>46022</v>
      </c>
      <c r="V14570">
        <v>82</v>
      </c>
    </row>
    <row r="14571" spans="1:22" customFormat="1" ht="15" x14ac:dyDescent="0.25">
      <c r="A14571" t="s">
        <v>279</v>
      </c>
      <c r="B14571" t="s">
        <v>6613</v>
      </c>
      <c r="E14571" s="1467" t="s">
        <v>6519</v>
      </c>
      <c r="F14571" s="1468"/>
      <c r="G14571" s="952" t="s">
        <v>845</v>
      </c>
      <c r="H14571" s="432">
        <v>4.1000000000000003E-3</v>
      </c>
      <c r="K14571" t="s">
        <v>4447</v>
      </c>
      <c r="L14571" t="s">
        <v>692</v>
      </c>
      <c r="P14571" t="s">
        <v>4452</v>
      </c>
      <c r="T14571">
        <v>46022</v>
      </c>
      <c r="V14571">
        <v>142</v>
      </c>
    </row>
    <row r="14572" spans="1:22" customFormat="1" ht="15" x14ac:dyDescent="0.25">
      <c r="A14572" t="s">
        <v>279</v>
      </c>
      <c r="B14572" t="s">
        <v>6613</v>
      </c>
      <c r="E14572" s="1467" t="s">
        <v>6520</v>
      </c>
      <c r="F14572" s="1468"/>
      <c r="G14572" s="952" t="s">
        <v>3775</v>
      </c>
      <c r="H14572" s="432">
        <v>1.1173</v>
      </c>
      <c r="K14572" t="s">
        <v>4447</v>
      </c>
      <c r="L14572" t="s">
        <v>692</v>
      </c>
      <c r="P14572" t="s">
        <v>4453</v>
      </c>
      <c r="T14572">
        <v>46022</v>
      </c>
      <c r="V14572">
        <v>99</v>
      </c>
    </row>
    <row r="14573" spans="1:22" customFormat="1" ht="15" x14ac:dyDescent="0.25">
      <c r="A14573" t="s">
        <v>279</v>
      </c>
      <c r="B14573" t="s">
        <v>6613</v>
      </c>
      <c r="E14573" s="1467" t="s">
        <v>5262</v>
      </c>
      <c r="F14573" s="1467"/>
      <c r="G14573" s="952" t="s">
        <v>845</v>
      </c>
      <c r="H14573" s="432">
        <v>-2.3E-3</v>
      </c>
      <c r="K14573" t="s">
        <v>4447</v>
      </c>
      <c r="L14573" t="s">
        <v>692</v>
      </c>
      <c r="P14573" t="s">
        <v>4452</v>
      </c>
      <c r="T14573">
        <v>45777</v>
      </c>
      <c r="V14573">
        <v>139</v>
      </c>
    </row>
    <row r="14574" spans="1:22" customFormat="1" ht="15" x14ac:dyDescent="0.25">
      <c r="A14574" t="s">
        <v>279</v>
      </c>
      <c r="B14574" t="s">
        <v>6613</v>
      </c>
      <c r="E14574" s="1467" t="s">
        <v>5263</v>
      </c>
      <c r="F14574" s="1467"/>
      <c r="G14574" s="952" t="s">
        <v>3775</v>
      </c>
      <c r="H14574" s="432">
        <v>2.7231999999999998</v>
      </c>
      <c r="K14574" t="s">
        <v>4447</v>
      </c>
      <c r="L14574" t="s">
        <v>692</v>
      </c>
      <c r="P14574" t="s">
        <v>4453</v>
      </c>
      <c r="T14574">
        <v>45777</v>
      </c>
      <c r="V14574">
        <v>96</v>
      </c>
    </row>
    <row r="14575" spans="1:22" customFormat="1" ht="15" x14ac:dyDescent="0.25">
      <c r="A14575" t="s">
        <v>279</v>
      </c>
      <c r="B14575" t="s">
        <v>6613</v>
      </c>
      <c r="E14575" s="1467" t="s">
        <v>9693</v>
      </c>
      <c r="F14575" s="1468"/>
      <c r="G14575" s="952" t="s">
        <v>3775</v>
      </c>
      <c r="H14575" s="432">
        <v>1.9800000000000002E-2</v>
      </c>
      <c r="K14575" t="s">
        <v>4447</v>
      </c>
      <c r="L14575" t="s">
        <v>692</v>
      </c>
      <c r="P14575" t="s">
        <v>4455</v>
      </c>
      <c r="T14575">
        <v>46022</v>
      </c>
      <c r="V14575">
        <v>148</v>
      </c>
    </row>
    <row r="14576" spans="1:22" customFormat="1" ht="15" x14ac:dyDescent="0.25">
      <c r="A14576" t="s">
        <v>279</v>
      </c>
      <c r="B14576" t="s">
        <v>6613</v>
      </c>
      <c r="E14576" s="1467" t="s">
        <v>5264</v>
      </c>
      <c r="F14576" s="1467"/>
      <c r="G14576" s="952" t="s">
        <v>3775</v>
      </c>
      <c r="H14576" s="432">
        <v>-5.9200000000000003E-2</v>
      </c>
      <c r="K14576" t="s">
        <v>4447</v>
      </c>
      <c r="L14576" t="s">
        <v>692</v>
      </c>
      <c r="P14576" t="s">
        <v>4455</v>
      </c>
      <c r="T14576">
        <v>45777</v>
      </c>
      <c r="V14576">
        <v>146</v>
      </c>
    </row>
    <row r="14577" spans="1:22" customFormat="1" ht="15" x14ac:dyDescent="0.25">
      <c r="A14577" t="s">
        <v>279</v>
      </c>
      <c r="B14577" t="s">
        <v>6613</v>
      </c>
      <c r="E14577" s="1467" t="s">
        <v>6620</v>
      </c>
      <c r="F14577" s="1467"/>
      <c r="G14577" s="952" t="s">
        <v>3775</v>
      </c>
      <c r="H14577" s="432">
        <v>-0.151</v>
      </c>
      <c r="K14577" t="s">
        <v>4447</v>
      </c>
      <c r="L14577" t="s">
        <v>690</v>
      </c>
      <c r="P14577" t="s">
        <v>9723</v>
      </c>
      <c r="T14577">
        <v>45777</v>
      </c>
      <c r="V14577">
        <v>80</v>
      </c>
    </row>
    <row r="14578" spans="1:22" customFormat="1" ht="15" x14ac:dyDescent="0.25">
      <c r="A14578" t="s">
        <v>279</v>
      </c>
      <c r="B14578" t="s">
        <v>6613</v>
      </c>
      <c r="E14578" s="1467" t="s">
        <v>243</v>
      </c>
      <c r="F14578" s="1467"/>
      <c r="G14578" s="952" t="s">
        <v>3775</v>
      </c>
      <c r="H14578" s="432">
        <v>3.1366999999999998</v>
      </c>
      <c r="K14578" t="s">
        <v>4447</v>
      </c>
      <c r="L14578" t="s">
        <v>694</v>
      </c>
      <c r="P14578" t="s">
        <v>4456</v>
      </c>
      <c r="V14578">
        <v>47</v>
      </c>
    </row>
    <row r="14579" spans="1:22" customFormat="1" ht="15" x14ac:dyDescent="0.25">
      <c r="A14579" t="s">
        <v>279</v>
      </c>
      <c r="B14579" t="s">
        <v>6613</v>
      </c>
      <c r="E14579" s="1467" t="s">
        <v>175</v>
      </c>
      <c r="F14579" s="1467"/>
      <c r="G14579" s="952" t="s">
        <v>3775</v>
      </c>
      <c r="H14579" s="432">
        <v>2.4270999999999998</v>
      </c>
      <c r="K14579" t="s">
        <v>4447</v>
      </c>
      <c r="L14579" t="s">
        <v>694</v>
      </c>
      <c r="P14579" t="s">
        <v>4485</v>
      </c>
      <c r="V14579">
        <v>74</v>
      </c>
    </row>
    <row r="14580" spans="1:22" customFormat="1" ht="15" x14ac:dyDescent="0.25">
      <c r="A14580" t="s">
        <v>279</v>
      </c>
      <c r="B14580" t="s">
        <v>6613</v>
      </c>
      <c r="E14580" s="1469" t="s">
        <v>967</v>
      </c>
      <c r="F14580" s="1467"/>
      <c r="G14580" s="952"/>
      <c r="H14580" s="952"/>
      <c r="K14580" t="s">
        <v>1035</v>
      </c>
      <c r="V14580">
        <v>48</v>
      </c>
    </row>
    <row r="14581" spans="1:22" customFormat="1" ht="15" x14ac:dyDescent="0.25">
      <c r="A14581" t="s">
        <v>279</v>
      </c>
      <c r="B14581" t="s">
        <v>6613</v>
      </c>
      <c r="E14581" s="1467" t="s">
        <v>844</v>
      </c>
      <c r="F14581" s="1467"/>
      <c r="G14581" s="952" t="s">
        <v>845</v>
      </c>
      <c r="H14581" s="432">
        <v>4.1000000000000003E-3</v>
      </c>
      <c r="K14581" t="s">
        <v>4447</v>
      </c>
      <c r="L14581" t="s">
        <v>968</v>
      </c>
      <c r="P14581" t="s">
        <v>4458</v>
      </c>
      <c r="V14581">
        <v>55</v>
      </c>
    </row>
    <row r="14582" spans="1:22" customFormat="1" ht="15" x14ac:dyDescent="0.25">
      <c r="A14582" t="s">
        <v>279</v>
      </c>
      <c r="B14582" t="s">
        <v>6613</v>
      </c>
      <c r="E14582" s="1467" t="s">
        <v>846</v>
      </c>
      <c r="F14582" s="1467"/>
      <c r="G14582" s="952" t="s">
        <v>845</v>
      </c>
      <c r="H14582" s="432">
        <v>4.0000000000000002E-4</v>
      </c>
      <c r="K14582" t="s">
        <v>4447</v>
      </c>
      <c r="L14582" t="s">
        <v>968</v>
      </c>
      <c r="P14582" t="s">
        <v>4458</v>
      </c>
      <c r="V14582">
        <v>65</v>
      </c>
    </row>
    <row r="14583" spans="1:22" customFormat="1" ht="15" x14ac:dyDescent="0.25">
      <c r="A14583" t="s">
        <v>279</v>
      </c>
      <c r="B14583" t="s">
        <v>6613</v>
      </c>
      <c r="E14583" s="1467" t="s">
        <v>847</v>
      </c>
      <c r="F14583" s="1467"/>
      <c r="G14583" s="952" t="s">
        <v>845</v>
      </c>
      <c r="H14583" s="432">
        <v>1.5E-3</v>
      </c>
      <c r="K14583" t="s">
        <v>4447</v>
      </c>
      <c r="L14583" t="s">
        <v>968</v>
      </c>
      <c r="P14583" t="s">
        <v>4459</v>
      </c>
      <c r="V14583">
        <v>57</v>
      </c>
    </row>
    <row r="14584" spans="1:22" customFormat="1" ht="15" x14ac:dyDescent="0.25">
      <c r="A14584" t="s">
        <v>279</v>
      </c>
      <c r="B14584" t="s">
        <v>6613</v>
      </c>
      <c r="E14584" s="1467" t="s">
        <v>848</v>
      </c>
      <c r="F14584" s="1467"/>
      <c r="G14584" s="952" t="s">
        <v>777</v>
      </c>
      <c r="H14584" s="953">
        <v>0.25</v>
      </c>
      <c r="K14584" t="s">
        <v>4447</v>
      </c>
      <c r="L14584" t="s">
        <v>968</v>
      </c>
      <c r="P14584" t="s">
        <v>4460</v>
      </c>
      <c r="V14584">
        <v>63</v>
      </c>
    </row>
    <row r="14585" spans="1:22" customFormat="1" x14ac:dyDescent="0.25">
      <c r="A14585" t="s">
        <v>279</v>
      </c>
      <c r="B14585" t="s">
        <v>6613</v>
      </c>
      <c r="E14585" s="1470" t="s">
        <v>207</v>
      </c>
      <c r="F14585" s="1471"/>
      <c r="G14585" s="1471"/>
      <c r="H14585" s="1471"/>
      <c r="K14585" t="s">
        <v>4461</v>
      </c>
      <c r="V14585">
        <v>31</v>
      </c>
    </row>
    <row r="14586" spans="1:22" customFormat="1" ht="15" x14ac:dyDescent="0.25">
      <c r="A14586" t="s">
        <v>279</v>
      </c>
      <c r="B14586" t="s">
        <v>6613</v>
      </c>
      <c r="E14586" s="1472" t="s">
        <v>4620</v>
      </c>
      <c r="F14586" s="1472"/>
      <c r="G14586" s="1472"/>
      <c r="H14586" s="1472"/>
      <c r="K14586" t="s">
        <v>4461</v>
      </c>
      <c r="V14586">
        <v>285</v>
      </c>
    </row>
    <row r="14587" spans="1:22" customFormat="1" ht="15" x14ac:dyDescent="0.25">
      <c r="A14587" t="s">
        <v>279</v>
      </c>
      <c r="B14587" t="s">
        <v>6613</v>
      </c>
      <c r="E14587" s="1469" t="s">
        <v>950</v>
      </c>
      <c r="F14587" s="1472"/>
      <c r="G14587" s="1472"/>
      <c r="H14587" s="1472"/>
      <c r="K14587" t="s">
        <v>1041</v>
      </c>
      <c r="V14587">
        <v>11</v>
      </c>
    </row>
    <row r="14588" spans="1:22" customFormat="1" ht="15" x14ac:dyDescent="0.25">
      <c r="A14588" t="s">
        <v>279</v>
      </c>
      <c r="B14588" t="s">
        <v>6613</v>
      </c>
      <c r="E14588" s="1472" t="s">
        <v>951</v>
      </c>
      <c r="F14588" s="1472"/>
      <c r="G14588" s="1472"/>
      <c r="H14588" s="1472"/>
      <c r="K14588" t="s">
        <v>4461</v>
      </c>
      <c r="V14588">
        <v>280</v>
      </c>
    </row>
    <row r="14589" spans="1:22" customFormat="1" ht="15" x14ac:dyDescent="0.25">
      <c r="A14589" t="s">
        <v>279</v>
      </c>
      <c r="B14589" t="s">
        <v>6613</v>
      </c>
      <c r="E14589" s="1472" t="s">
        <v>952</v>
      </c>
      <c r="F14589" s="1472"/>
      <c r="G14589" s="1472"/>
      <c r="H14589" s="1472"/>
      <c r="K14589" t="s">
        <v>4461</v>
      </c>
      <c r="V14589">
        <v>411</v>
      </c>
    </row>
    <row r="14590" spans="1:22" customFormat="1" ht="15" x14ac:dyDescent="0.25">
      <c r="A14590" t="s">
        <v>279</v>
      </c>
      <c r="B14590" t="s">
        <v>6613</v>
      </c>
      <c r="E14590" s="1472" t="s">
        <v>1103</v>
      </c>
      <c r="F14590" s="1472"/>
      <c r="G14590" s="1472"/>
      <c r="H14590" s="1472"/>
      <c r="K14590" t="s">
        <v>4461</v>
      </c>
      <c r="V14590">
        <v>211</v>
      </c>
    </row>
    <row r="14591" spans="1:22" customFormat="1" ht="15" x14ac:dyDescent="0.25">
      <c r="A14591" t="s">
        <v>279</v>
      </c>
      <c r="B14591" t="s">
        <v>6613</v>
      </c>
      <c r="E14591" s="1472" t="s">
        <v>954</v>
      </c>
      <c r="F14591" s="1472"/>
      <c r="G14591" s="1472"/>
      <c r="H14591" s="1472"/>
      <c r="K14591" t="s">
        <v>4461</v>
      </c>
      <c r="V14591">
        <v>246</v>
      </c>
    </row>
    <row r="14592" spans="1:22" customFormat="1" ht="15" x14ac:dyDescent="0.25">
      <c r="A14592" t="s">
        <v>279</v>
      </c>
      <c r="B14592" t="s">
        <v>6613</v>
      </c>
      <c r="E14592" s="1469" t="s">
        <v>956</v>
      </c>
      <c r="F14592" s="1472"/>
      <c r="G14592" s="1472"/>
      <c r="H14592" s="1472"/>
      <c r="K14592" t="s">
        <v>1042</v>
      </c>
      <c r="V14592">
        <v>46</v>
      </c>
    </row>
    <row r="14593" spans="1:22" customFormat="1" ht="15" x14ac:dyDescent="0.25">
      <c r="A14593" t="s">
        <v>279</v>
      </c>
      <c r="B14593" t="s">
        <v>6613</v>
      </c>
      <c r="E14593" s="1467" t="s">
        <v>3773</v>
      </c>
      <c r="F14593" s="1467"/>
      <c r="G14593" s="952" t="s">
        <v>777</v>
      </c>
      <c r="H14593" s="953">
        <v>5</v>
      </c>
      <c r="K14593" t="s">
        <v>4461</v>
      </c>
      <c r="L14593" t="s">
        <v>690</v>
      </c>
      <c r="P14593" t="s">
        <v>4462</v>
      </c>
      <c r="V14593">
        <v>14</v>
      </c>
    </row>
    <row r="14594" spans="1:22" customFormat="1" ht="18.75" x14ac:dyDescent="0.3">
      <c r="A14594" t="s">
        <v>279</v>
      </c>
      <c r="B14594" t="s">
        <v>6613</v>
      </c>
      <c r="E14594" s="1033" t="s">
        <v>3825</v>
      </c>
      <c r="F14594" s="472"/>
      <c r="G14594" s="472"/>
      <c r="H14594" s="1041"/>
      <c r="K14594" t="s">
        <v>5895</v>
      </c>
      <c r="V14594">
        <v>10</v>
      </c>
    </row>
    <row r="14595" spans="1:22" customFormat="1" ht="15" x14ac:dyDescent="0.25">
      <c r="A14595" t="s">
        <v>279</v>
      </c>
      <c r="B14595" t="s">
        <v>6613</v>
      </c>
      <c r="E14595" s="1467" t="s">
        <v>1078</v>
      </c>
      <c r="F14595" s="1467"/>
      <c r="G14595" s="952" t="s">
        <v>3775</v>
      </c>
      <c r="H14595" s="432">
        <v>-0.6</v>
      </c>
      <c r="V14595">
        <v>68</v>
      </c>
    </row>
    <row r="14596" spans="1:22" customFormat="1" ht="15" x14ac:dyDescent="0.25">
      <c r="A14596" t="s">
        <v>279</v>
      </c>
      <c r="B14596" t="s">
        <v>6613</v>
      </c>
      <c r="E14596" s="1467" t="s">
        <v>1079</v>
      </c>
      <c r="F14596" s="1467"/>
      <c r="G14596" s="952" t="s">
        <v>1118</v>
      </c>
      <c r="H14596" s="953">
        <v>-1</v>
      </c>
      <c r="V14596">
        <v>87</v>
      </c>
    </row>
    <row r="14597" spans="1:22" customFormat="1" ht="36.75" x14ac:dyDescent="0.3">
      <c r="A14597" t="s">
        <v>279</v>
      </c>
      <c r="B14597" t="s">
        <v>6613</v>
      </c>
      <c r="E14597" s="1037" t="s">
        <v>3828</v>
      </c>
      <c r="F14597" s="472"/>
      <c r="G14597" s="472"/>
      <c r="H14597" s="1041"/>
      <c r="K14597" t="s">
        <v>5896</v>
      </c>
      <c r="V14597">
        <v>24</v>
      </c>
    </row>
    <row r="14598" spans="1:22" customFormat="1" ht="15" x14ac:dyDescent="0.25">
      <c r="A14598" t="s">
        <v>279</v>
      </c>
      <c r="B14598" t="s">
        <v>6613</v>
      </c>
      <c r="E14598" s="1472" t="s">
        <v>951</v>
      </c>
      <c r="F14598" s="1472"/>
      <c r="G14598" s="1472"/>
      <c r="H14598" s="1472"/>
      <c r="V14598">
        <v>280</v>
      </c>
    </row>
    <row r="14599" spans="1:22" customFormat="1" ht="15" x14ac:dyDescent="0.25">
      <c r="A14599" t="s">
        <v>279</v>
      </c>
      <c r="B14599" t="s">
        <v>6613</v>
      </c>
      <c r="E14599" s="1472" t="s">
        <v>1081</v>
      </c>
      <c r="F14599" s="1472"/>
      <c r="G14599" s="1472"/>
      <c r="H14599" s="1472"/>
      <c r="V14599">
        <v>353</v>
      </c>
    </row>
    <row r="14600" spans="1:22" customFormat="1" ht="15" x14ac:dyDescent="0.25">
      <c r="A14600" t="s">
        <v>279</v>
      </c>
      <c r="B14600" t="s">
        <v>6613</v>
      </c>
      <c r="E14600" s="1472" t="s">
        <v>954</v>
      </c>
      <c r="F14600" s="1472"/>
      <c r="G14600" s="1472"/>
      <c r="H14600" s="1472"/>
      <c r="V14600">
        <v>246</v>
      </c>
    </row>
    <row r="14601" spans="1:22" customFormat="1" ht="15" x14ac:dyDescent="0.25">
      <c r="A14601" t="s">
        <v>279</v>
      </c>
      <c r="B14601" t="s">
        <v>6613</v>
      </c>
      <c r="E14601" s="1034" t="s">
        <v>3830</v>
      </c>
      <c r="H14601" s="411"/>
      <c r="K14601" t="s">
        <v>5897</v>
      </c>
      <c r="V14601">
        <v>23</v>
      </c>
    </row>
    <row r="14602" spans="1:22" customFormat="1" ht="15" x14ac:dyDescent="0.25">
      <c r="A14602" t="s">
        <v>279</v>
      </c>
      <c r="B14602" t="s">
        <v>6613</v>
      </c>
      <c r="E14602" s="1474" t="s">
        <v>4419</v>
      </c>
      <c r="F14602" s="1474"/>
      <c r="G14602" s="952" t="s">
        <v>777</v>
      </c>
      <c r="H14602" s="953">
        <v>15</v>
      </c>
      <c r="V14602">
        <v>19</v>
      </c>
    </row>
    <row r="14603" spans="1:22" customFormat="1" ht="15" x14ac:dyDescent="0.25">
      <c r="A14603" t="s">
        <v>279</v>
      </c>
      <c r="B14603" t="s">
        <v>6613</v>
      </c>
      <c r="E14603" s="1474" t="s">
        <v>4058</v>
      </c>
      <c r="F14603" s="1474"/>
      <c r="G14603" s="952" t="s">
        <v>777</v>
      </c>
      <c r="H14603" s="953">
        <v>15</v>
      </c>
      <c r="V14603">
        <v>15</v>
      </c>
    </row>
    <row r="14604" spans="1:22" customFormat="1" ht="15" x14ac:dyDescent="0.25">
      <c r="A14604" t="s">
        <v>279</v>
      </c>
      <c r="B14604" t="s">
        <v>6613</v>
      </c>
      <c r="E14604" s="1474" t="s">
        <v>3836</v>
      </c>
      <c r="F14604" s="1474"/>
      <c r="G14604" s="952" t="s">
        <v>777</v>
      </c>
      <c r="H14604" s="953">
        <v>15</v>
      </c>
      <c r="V14604">
        <v>35</v>
      </c>
    </row>
    <row r="14605" spans="1:22" customFormat="1" ht="15" x14ac:dyDescent="0.25">
      <c r="A14605" t="s">
        <v>279</v>
      </c>
      <c r="B14605" t="s">
        <v>6613</v>
      </c>
      <c r="E14605" s="1474" t="s">
        <v>4059</v>
      </c>
      <c r="F14605" s="1474"/>
      <c r="G14605" s="952" t="s">
        <v>777</v>
      </c>
      <c r="H14605" s="953">
        <v>15</v>
      </c>
      <c r="V14605">
        <v>19</v>
      </c>
    </row>
    <row r="14606" spans="1:22" customFormat="1" ht="15" x14ac:dyDescent="0.25">
      <c r="A14606" t="s">
        <v>279</v>
      </c>
      <c r="B14606" t="s">
        <v>6613</v>
      </c>
      <c r="E14606" s="1474" t="s">
        <v>3837</v>
      </c>
      <c r="F14606" s="1474"/>
      <c r="G14606" s="952" t="s">
        <v>777</v>
      </c>
      <c r="H14606" s="953">
        <v>30</v>
      </c>
      <c r="V14606">
        <v>89</v>
      </c>
    </row>
    <row r="14607" spans="1:22" customFormat="1" ht="15" x14ac:dyDescent="0.25">
      <c r="A14607" t="s">
        <v>279</v>
      </c>
      <c r="B14607" t="s">
        <v>6613</v>
      </c>
      <c r="E14607" s="1469" t="s">
        <v>4062</v>
      </c>
      <c r="F14607" s="1468"/>
      <c r="G14607" s="1468"/>
      <c r="H14607" s="1468"/>
      <c r="K14607" t="s">
        <v>5899</v>
      </c>
      <c r="V14607">
        <v>22</v>
      </c>
    </row>
    <row r="14608" spans="1:22" customFormat="1" ht="15" x14ac:dyDescent="0.25">
      <c r="A14608" t="s">
        <v>279</v>
      </c>
      <c r="B14608" t="s">
        <v>6613</v>
      </c>
      <c r="E14608" s="1474" t="s">
        <v>9710</v>
      </c>
      <c r="F14608" s="1474"/>
      <c r="G14608" s="952" t="s">
        <v>1118</v>
      </c>
      <c r="H14608" s="953">
        <v>1.5</v>
      </c>
      <c r="V14608">
        <v>100</v>
      </c>
    </row>
    <row r="14609" spans="1:22" customFormat="1" ht="15" x14ac:dyDescent="0.25">
      <c r="A14609" t="s">
        <v>279</v>
      </c>
      <c r="B14609" t="s">
        <v>6613</v>
      </c>
      <c r="E14609" s="1474" t="s">
        <v>3842</v>
      </c>
      <c r="F14609" s="1474"/>
      <c r="G14609" s="952" t="s">
        <v>777</v>
      </c>
      <c r="H14609" s="953">
        <v>65</v>
      </c>
      <c r="V14609">
        <v>44</v>
      </c>
    </row>
    <row r="14610" spans="1:22" customFormat="1" ht="15" x14ac:dyDescent="0.25">
      <c r="A14610" t="s">
        <v>279</v>
      </c>
      <c r="B14610" t="s">
        <v>6613</v>
      </c>
      <c r="E14610" s="1474" t="s">
        <v>3843</v>
      </c>
      <c r="F14610" s="1474"/>
      <c r="G14610" s="952" t="s">
        <v>777</v>
      </c>
      <c r="H14610" s="953">
        <v>185</v>
      </c>
      <c r="V14610">
        <v>43</v>
      </c>
    </row>
    <row r="14611" spans="1:22" customFormat="1" ht="15" x14ac:dyDescent="0.25">
      <c r="A14611" t="s">
        <v>279</v>
      </c>
      <c r="B14611" t="s">
        <v>6613</v>
      </c>
      <c r="E14611" s="1474" t="s">
        <v>3844</v>
      </c>
      <c r="F14611" s="1474"/>
      <c r="G14611" s="952" t="s">
        <v>777</v>
      </c>
      <c r="H14611" s="953">
        <v>185</v>
      </c>
      <c r="V14611">
        <v>43</v>
      </c>
    </row>
    <row r="14612" spans="1:22" customFormat="1" ht="15" x14ac:dyDescent="0.25">
      <c r="A14612" t="s">
        <v>279</v>
      </c>
      <c r="B14612" t="s">
        <v>6613</v>
      </c>
      <c r="E14612" s="1474" t="s">
        <v>3845</v>
      </c>
      <c r="F14612" s="1474"/>
      <c r="G14612" s="952" t="s">
        <v>777</v>
      </c>
      <c r="H14612" s="953">
        <v>415</v>
      </c>
      <c r="V14612">
        <v>42</v>
      </c>
    </row>
    <row r="14613" spans="1:22" customFormat="1" ht="15" x14ac:dyDescent="0.25">
      <c r="A14613" t="s">
        <v>279</v>
      </c>
      <c r="B14613" t="s">
        <v>6613</v>
      </c>
      <c r="E14613" s="1034" t="s">
        <v>3846</v>
      </c>
      <c r="H14613" s="411"/>
      <c r="V14613">
        <v>5</v>
      </c>
    </row>
    <row r="14614" spans="1:22" customFormat="1" ht="15" x14ac:dyDescent="0.25">
      <c r="A14614" t="s">
        <v>279</v>
      </c>
      <c r="B14614" t="s">
        <v>6613</v>
      </c>
      <c r="E14614" s="1474" t="s">
        <v>4674</v>
      </c>
      <c r="F14614" s="1474"/>
      <c r="G14614" s="952" t="s">
        <v>777</v>
      </c>
      <c r="H14614" s="953">
        <v>39.14</v>
      </c>
      <c r="V14614">
        <v>59</v>
      </c>
    </row>
    <row r="14615" spans="1:22" customFormat="1" ht="15" x14ac:dyDescent="0.25">
      <c r="A14615" t="s">
        <v>279</v>
      </c>
      <c r="B14615" t="s">
        <v>6613</v>
      </c>
      <c r="E14615" s="1474" t="s">
        <v>4469</v>
      </c>
      <c r="F14615" s="1474"/>
      <c r="G14615" s="952"/>
      <c r="H14615" s="963"/>
      <c r="V14615">
        <v>44</v>
      </c>
    </row>
    <row r="14616" spans="1:22" customFormat="1" ht="15" x14ac:dyDescent="0.25">
      <c r="A14616" t="s">
        <v>279</v>
      </c>
      <c r="B14616" t="s">
        <v>6613</v>
      </c>
      <c r="E14616" s="1474" t="s">
        <v>5001</v>
      </c>
      <c r="F14616" s="1474"/>
      <c r="G14616" s="952" t="s">
        <v>777</v>
      </c>
      <c r="H14616" s="953">
        <v>25</v>
      </c>
      <c r="V14616">
        <v>50</v>
      </c>
    </row>
    <row r="14617" spans="1:22" customFormat="1" ht="15" x14ac:dyDescent="0.25">
      <c r="A14617" t="s">
        <v>279</v>
      </c>
      <c r="B14617" t="s">
        <v>6613</v>
      </c>
      <c r="E14617" s="1474" t="s">
        <v>3848</v>
      </c>
      <c r="F14617" s="1474"/>
      <c r="G14617" s="952" t="s">
        <v>777</v>
      </c>
      <c r="H14617" s="953">
        <v>500</v>
      </c>
      <c r="V14617">
        <v>64</v>
      </c>
    </row>
    <row r="14618" spans="1:22" customFormat="1" ht="15" x14ac:dyDescent="0.25">
      <c r="A14618" t="s">
        <v>279</v>
      </c>
      <c r="B14618" t="s">
        <v>6613</v>
      </c>
      <c r="E14618" s="1474" t="s">
        <v>4808</v>
      </c>
      <c r="F14618" s="1474"/>
      <c r="G14618" s="952" t="s">
        <v>777</v>
      </c>
      <c r="H14618" s="953">
        <v>300</v>
      </c>
      <c r="V14618">
        <v>67</v>
      </c>
    </row>
    <row r="14619" spans="1:22" customFormat="1" ht="18.75" x14ac:dyDescent="0.3">
      <c r="A14619" t="s">
        <v>279</v>
      </c>
      <c r="B14619" t="s">
        <v>6613</v>
      </c>
      <c r="E14619" s="1470" t="s">
        <v>3851</v>
      </c>
      <c r="F14619" s="1452"/>
      <c r="G14619" s="472"/>
      <c r="H14619" s="1041"/>
      <c r="K14619" t="s">
        <v>5900</v>
      </c>
      <c r="V14619">
        <v>38</v>
      </c>
    </row>
    <row r="14620" spans="1:22" customFormat="1" ht="15" x14ac:dyDescent="0.25">
      <c r="A14620" t="s">
        <v>279</v>
      </c>
      <c r="B14620" t="s">
        <v>6613</v>
      </c>
      <c r="E14620" s="1472" t="s">
        <v>951</v>
      </c>
      <c r="F14620" s="1472"/>
      <c r="G14620" s="1472"/>
      <c r="H14620" s="1472"/>
      <c r="V14620">
        <v>280</v>
      </c>
    </row>
    <row r="14621" spans="1:22" customFormat="1" ht="15" x14ac:dyDescent="0.25">
      <c r="A14621" t="s">
        <v>279</v>
      </c>
      <c r="B14621" t="s">
        <v>6613</v>
      </c>
      <c r="E14621" s="1472" t="s">
        <v>952</v>
      </c>
      <c r="F14621" s="1472"/>
      <c r="G14621" s="1472"/>
      <c r="H14621" s="1472"/>
      <c r="V14621">
        <v>411</v>
      </c>
    </row>
    <row r="14622" spans="1:22" customFormat="1" ht="15" x14ac:dyDescent="0.25">
      <c r="A14622" t="s">
        <v>279</v>
      </c>
      <c r="B14622" t="s">
        <v>6613</v>
      </c>
      <c r="E14622" s="1472" t="s">
        <v>1103</v>
      </c>
      <c r="F14622" s="1472"/>
      <c r="G14622" s="1472"/>
      <c r="H14622" s="1472"/>
      <c r="V14622">
        <v>211</v>
      </c>
    </row>
    <row r="14623" spans="1:22" customFormat="1" ht="15" x14ac:dyDescent="0.25">
      <c r="A14623" t="s">
        <v>279</v>
      </c>
      <c r="B14623" t="s">
        <v>6613</v>
      </c>
      <c r="E14623" s="1472" t="s">
        <v>954</v>
      </c>
      <c r="F14623" s="1472"/>
      <c r="G14623" s="1472"/>
      <c r="H14623" s="1472"/>
      <c r="V14623">
        <v>246</v>
      </c>
    </row>
    <row r="14624" spans="1:22" customFormat="1" ht="15" x14ac:dyDescent="0.25">
      <c r="A14624" t="s">
        <v>279</v>
      </c>
      <c r="B14624" t="s">
        <v>6613</v>
      </c>
      <c r="E14624" s="1472" t="s">
        <v>1104</v>
      </c>
      <c r="F14624" s="1472"/>
      <c r="G14624" s="1472"/>
      <c r="H14624" s="1472"/>
      <c r="V14624">
        <v>142</v>
      </c>
    </row>
    <row r="14625" spans="1:22" customFormat="1" ht="15" x14ac:dyDescent="0.25">
      <c r="A14625" t="s">
        <v>279</v>
      </c>
      <c r="B14625" t="s">
        <v>6613</v>
      </c>
      <c r="E14625" s="1467" t="s">
        <v>849</v>
      </c>
      <c r="F14625" s="1467"/>
      <c r="G14625" s="293" t="s">
        <v>777</v>
      </c>
      <c r="H14625" s="953">
        <v>121.23</v>
      </c>
      <c r="V14625">
        <v>106</v>
      </c>
    </row>
    <row r="14626" spans="1:22" customFormat="1" ht="15" x14ac:dyDescent="0.25">
      <c r="A14626" t="s">
        <v>279</v>
      </c>
      <c r="B14626" t="s">
        <v>6613</v>
      </c>
      <c r="E14626" s="1467" t="s">
        <v>850</v>
      </c>
      <c r="F14626" s="1467"/>
      <c r="G14626" s="293" t="s">
        <v>777</v>
      </c>
      <c r="H14626" s="953">
        <v>48.5</v>
      </c>
      <c r="V14626">
        <v>34</v>
      </c>
    </row>
    <row r="14627" spans="1:22" customFormat="1" ht="15" x14ac:dyDescent="0.25">
      <c r="A14627" t="s">
        <v>279</v>
      </c>
      <c r="B14627" t="s">
        <v>6613</v>
      </c>
      <c r="E14627" s="1467" t="s">
        <v>851</v>
      </c>
      <c r="F14627" s="1467"/>
      <c r="G14627" s="293" t="s">
        <v>852</v>
      </c>
      <c r="H14627" s="953">
        <v>1.2</v>
      </c>
      <c r="V14627">
        <v>51</v>
      </c>
    </row>
    <row r="14628" spans="1:22" customFormat="1" ht="15" x14ac:dyDescent="0.25">
      <c r="A14628" t="s">
        <v>279</v>
      </c>
      <c r="B14628" t="s">
        <v>6613</v>
      </c>
      <c r="E14628" s="1467" t="s">
        <v>853</v>
      </c>
      <c r="F14628" s="1467"/>
      <c r="G14628" s="293" t="s">
        <v>852</v>
      </c>
      <c r="H14628" s="953">
        <v>0.71</v>
      </c>
      <c r="V14628">
        <v>75</v>
      </c>
    </row>
    <row r="14629" spans="1:22" customFormat="1" ht="15" x14ac:dyDescent="0.25">
      <c r="A14629" t="s">
        <v>279</v>
      </c>
      <c r="B14629" t="s">
        <v>6613</v>
      </c>
      <c r="E14629" s="1467" t="s">
        <v>854</v>
      </c>
      <c r="F14629" s="1467"/>
      <c r="G14629" s="293" t="s">
        <v>852</v>
      </c>
      <c r="H14629" s="953">
        <v>-0.71</v>
      </c>
      <c r="V14629">
        <v>72</v>
      </c>
    </row>
    <row r="14630" spans="1:22" customFormat="1" ht="15" x14ac:dyDescent="0.25">
      <c r="A14630" t="s">
        <v>279</v>
      </c>
      <c r="B14630" t="s">
        <v>6613</v>
      </c>
      <c r="E14630" s="1467" t="s">
        <v>1105</v>
      </c>
      <c r="F14630" s="1467"/>
      <c r="G14630" s="1468"/>
      <c r="H14630" s="1468"/>
      <c r="V14630">
        <v>35</v>
      </c>
    </row>
    <row r="14631" spans="1:22" customFormat="1" ht="15" x14ac:dyDescent="0.25">
      <c r="A14631" t="s">
        <v>279</v>
      </c>
      <c r="B14631" t="s">
        <v>6613</v>
      </c>
      <c r="E14631" s="1473" t="s">
        <v>1106</v>
      </c>
      <c r="F14631" s="1473"/>
      <c r="G14631" s="293" t="s">
        <v>777</v>
      </c>
      <c r="H14631" s="953">
        <v>0.61</v>
      </c>
      <c r="V14631">
        <v>57</v>
      </c>
    </row>
    <row r="14632" spans="1:22" customFormat="1" ht="15" x14ac:dyDescent="0.25">
      <c r="A14632" t="s">
        <v>279</v>
      </c>
      <c r="B14632" t="s">
        <v>6613</v>
      </c>
      <c r="E14632" s="1473" t="s">
        <v>1107</v>
      </c>
      <c r="F14632" s="1473"/>
      <c r="G14632" s="293" t="s">
        <v>777</v>
      </c>
      <c r="H14632" s="953">
        <v>1.2</v>
      </c>
      <c r="V14632">
        <v>60</v>
      </c>
    </row>
    <row r="14633" spans="1:22" customFormat="1" ht="15" x14ac:dyDescent="0.25">
      <c r="A14633" t="s">
        <v>279</v>
      </c>
      <c r="B14633" t="s">
        <v>6613</v>
      </c>
      <c r="E14633" s="1467" t="s">
        <v>1108</v>
      </c>
      <c r="F14633" s="1467"/>
      <c r="G14633" s="1468"/>
      <c r="H14633" s="1468"/>
      <c r="V14633">
        <v>91</v>
      </c>
    </row>
    <row r="14634" spans="1:22" customFormat="1" ht="15" x14ac:dyDescent="0.25">
      <c r="A14634" t="s">
        <v>279</v>
      </c>
      <c r="B14634" t="s">
        <v>6613</v>
      </c>
      <c r="E14634" s="1467" t="s">
        <v>1109</v>
      </c>
      <c r="F14634" s="1467"/>
      <c r="G14634" s="1468"/>
      <c r="H14634" s="1468"/>
      <c r="V14634">
        <v>96</v>
      </c>
    </row>
    <row r="14635" spans="1:22" customFormat="1" ht="15" x14ac:dyDescent="0.25">
      <c r="A14635" t="s">
        <v>279</v>
      </c>
      <c r="B14635" t="s">
        <v>6613</v>
      </c>
      <c r="E14635" s="1467" t="s">
        <v>1110</v>
      </c>
      <c r="F14635" s="1467"/>
      <c r="G14635" s="1468"/>
      <c r="H14635" s="1468"/>
      <c r="V14635">
        <v>78</v>
      </c>
    </row>
    <row r="14636" spans="1:22" customFormat="1" ht="15" x14ac:dyDescent="0.25">
      <c r="A14636" t="s">
        <v>279</v>
      </c>
      <c r="B14636" t="s">
        <v>6613</v>
      </c>
      <c r="E14636" s="1473" t="s">
        <v>1111</v>
      </c>
      <c r="F14636" s="1473"/>
      <c r="G14636" s="293" t="s">
        <v>777</v>
      </c>
      <c r="H14636" s="963" t="s">
        <v>857</v>
      </c>
      <c r="V14636">
        <v>18</v>
      </c>
    </row>
    <row r="14637" spans="1:22" customFormat="1" ht="15" x14ac:dyDescent="0.25">
      <c r="A14637" t="s">
        <v>279</v>
      </c>
      <c r="B14637" t="s">
        <v>6613</v>
      </c>
      <c r="E14637" s="1473" t="s">
        <v>1112</v>
      </c>
      <c r="F14637" s="1473"/>
      <c r="G14637" s="293" t="s">
        <v>777</v>
      </c>
      <c r="H14637" s="953">
        <v>4.8499999999999996</v>
      </c>
      <c r="V14637">
        <v>69</v>
      </c>
    </row>
    <row r="14638" spans="1:22" customFormat="1" ht="15" x14ac:dyDescent="0.25">
      <c r="A14638" t="s">
        <v>279</v>
      </c>
      <c r="B14638" t="s">
        <v>6613</v>
      </c>
      <c r="E14638" s="1467" t="s">
        <v>858</v>
      </c>
      <c r="F14638" s="1467"/>
      <c r="G14638" s="293" t="s">
        <v>777</v>
      </c>
      <c r="H14638" s="953">
        <v>2.42</v>
      </c>
      <c r="V14638">
        <v>199</v>
      </c>
    </row>
    <row r="14639" spans="1:22" customFormat="1" ht="18.75" x14ac:dyDescent="0.3">
      <c r="A14639" t="s">
        <v>279</v>
      </c>
      <c r="B14639" t="s">
        <v>6613</v>
      </c>
      <c r="E14639" s="1033" t="s">
        <v>3853</v>
      </c>
      <c r="F14639" s="472"/>
      <c r="G14639" s="472"/>
      <c r="H14639" s="1041"/>
      <c r="K14639" t="s">
        <v>5901</v>
      </c>
      <c r="V14639">
        <v>12</v>
      </c>
    </row>
    <row r="14640" spans="1:22" customFormat="1" ht="15" x14ac:dyDescent="0.25">
      <c r="A14640" t="s">
        <v>279</v>
      </c>
      <c r="B14640" t="s">
        <v>6613</v>
      </c>
      <c r="E14640" s="1467" t="s">
        <v>1114</v>
      </c>
      <c r="F14640" s="1467"/>
      <c r="G14640" s="1467"/>
      <c r="H14640" s="1467"/>
      <c r="V14640">
        <v>203</v>
      </c>
    </row>
    <row r="14641" spans="1:22" customFormat="1" ht="15" x14ac:dyDescent="0.25">
      <c r="A14641" t="s">
        <v>279</v>
      </c>
      <c r="B14641" t="s">
        <v>6613</v>
      </c>
      <c r="E14641" s="1467" t="s">
        <v>1115</v>
      </c>
      <c r="F14641" s="1467"/>
      <c r="G14641" s="952"/>
      <c r="H14641" s="963">
        <v>1.0682</v>
      </c>
      <c r="V14641">
        <v>57</v>
      </c>
    </row>
    <row r="14642" spans="1:22" customFormat="1" ht="15" x14ac:dyDescent="0.25">
      <c r="A14642" t="s">
        <v>279</v>
      </c>
      <c r="B14642" t="s">
        <v>6613</v>
      </c>
      <c r="E14642" s="1467" t="s">
        <v>1117</v>
      </c>
      <c r="F14642" s="1467"/>
      <c r="G14642" s="952"/>
      <c r="H14642" s="963">
        <v>1.0576000000000001</v>
      </c>
      <c r="J14642" t="s">
        <v>6621</v>
      </c>
      <c r="V14642">
        <v>55</v>
      </c>
    </row>
  </sheetData>
  <sheetProtection algorithmName="SHA-512" hashValue="JtO9oNwSVApU9fiDBXEuI1UNWjeQ/GA8+pTce/5RKxibkZ6jZBf5hLDaVYlieZrkilDjyk3Lk9HQhmNa80Aldg==" saltValue="Do8p+03SF89Wa3hfUxATyg==" spinCount="100000" sheet="1" objects="1" scenarios="1"/>
  <autoFilter ref="A1:AE14161" xr:uid="{9EF0527D-B8C9-41DF-8207-09FF150B3EB1}"/>
  <mergeCells count="14080">
    <mergeCell ref="E13614:F13614"/>
    <mergeCell ref="E13615:F13615"/>
    <mergeCell ref="E13631:F13631"/>
    <mergeCell ref="E13632:F13632"/>
    <mergeCell ref="E13626:F13626"/>
    <mergeCell ref="E13628:F13628"/>
    <mergeCell ref="E13629:F13629"/>
    <mergeCell ref="E13639:H13639"/>
    <mergeCell ref="E13640:H13640"/>
    <mergeCell ref="E13657:F13657"/>
    <mergeCell ref="E13658:F13658"/>
    <mergeCell ref="E13655:H13655"/>
    <mergeCell ref="E13659:F13659"/>
    <mergeCell ref="E13670:H13670"/>
    <mergeCell ref="E13671:H13671"/>
    <mergeCell ref="E13672:H13672"/>
    <mergeCell ref="E13673:H13673"/>
    <mergeCell ref="E13679:F13679"/>
    <mergeCell ref="E13680:F13680"/>
    <mergeCell ref="E13681:F13681"/>
    <mergeCell ref="E13678:F13678"/>
    <mergeCell ref="E13662:F13662"/>
    <mergeCell ref="E13663:F13663"/>
    <mergeCell ref="E13664:F13664"/>
    <mergeCell ref="E13665:F13665"/>
    <mergeCell ref="E13666:F13666"/>
    <mergeCell ref="E13667:F13667"/>
    <mergeCell ref="E13668:F13668"/>
    <mergeCell ref="E13669:F13669"/>
    <mergeCell ref="E13814:F13814"/>
    <mergeCell ref="E13815:F13815"/>
    <mergeCell ref="E13749:F13749"/>
    <mergeCell ref="E13750:F13750"/>
    <mergeCell ref="E13751:F13751"/>
    <mergeCell ref="E13752:F13752"/>
    <mergeCell ref="E13760:H13760"/>
    <mergeCell ref="E13779:H13779"/>
    <mergeCell ref="E13780:H13780"/>
    <mergeCell ref="E13781:H13781"/>
    <mergeCell ref="E13724:F13724"/>
    <mergeCell ref="E13745:F13745"/>
    <mergeCell ref="E13758:H13758"/>
    <mergeCell ref="E13759:H13759"/>
    <mergeCell ref="E13766:F13766"/>
    <mergeCell ref="E13767:F13767"/>
    <mergeCell ref="E13768:F13768"/>
    <mergeCell ref="E13769:F13769"/>
    <mergeCell ref="E13770:F13770"/>
    <mergeCell ref="E13771:F13771"/>
    <mergeCell ref="E13720:H13720"/>
    <mergeCell ref="E13721:H13721"/>
    <mergeCell ref="E13722:H13722"/>
    <mergeCell ref="E13723:H13723"/>
    <mergeCell ref="E13733:F13733"/>
    <mergeCell ref="E13734:F13734"/>
    <mergeCell ref="E13735:F13735"/>
    <mergeCell ref="E13736:F13736"/>
    <mergeCell ref="E13741:H13741"/>
    <mergeCell ref="E13692:H13692"/>
    <mergeCell ref="E13693:H13693"/>
    <mergeCell ref="E13694:H13694"/>
    <mergeCell ref="E13702:F13702"/>
    <mergeCell ref="E13703:F13703"/>
    <mergeCell ref="E13704:F13704"/>
    <mergeCell ref="E13705:F13705"/>
    <mergeCell ref="E13706:F13706"/>
    <mergeCell ref="E13707:F13707"/>
    <mergeCell ref="E13717:H13717"/>
    <mergeCell ref="E13718:H13718"/>
    <mergeCell ref="E13725:F13725"/>
    <mergeCell ref="E13732:F13732"/>
    <mergeCell ref="E13737:H13737"/>
    <mergeCell ref="E13738:H13738"/>
    <mergeCell ref="E13739:H13739"/>
    <mergeCell ref="E13716:H13716"/>
    <mergeCell ref="E13708:F13708"/>
    <mergeCell ref="E13674:H13674"/>
    <mergeCell ref="E13675:H13675"/>
    <mergeCell ref="E13676:H13676"/>
    <mergeCell ref="E13677:H13677"/>
    <mergeCell ref="E13687:F13687"/>
    <mergeCell ref="E13688:F13688"/>
    <mergeCell ref="E13689:F13689"/>
    <mergeCell ref="E13690:F13690"/>
    <mergeCell ref="E13691:F13691"/>
    <mergeCell ref="E13695:H13695"/>
    <mergeCell ref="E13696:H13696"/>
    <mergeCell ref="E13697:H13697"/>
    <mergeCell ref="E13698:H13698"/>
    <mergeCell ref="E13699:H13699"/>
    <mergeCell ref="E13700:H13700"/>
    <mergeCell ref="E13701:H13701"/>
    <mergeCell ref="E13709:F13709"/>
    <mergeCell ref="E13710:F13710"/>
    <mergeCell ref="E13711:F13711"/>
    <mergeCell ref="E13712:F13712"/>
    <mergeCell ref="E13713:F13713"/>
    <mergeCell ref="E13714:F13714"/>
    <mergeCell ref="E13715:F13715"/>
    <mergeCell ref="E13719:H13719"/>
    <mergeCell ref="E13783:H13783"/>
    <mergeCell ref="E13784:H13784"/>
    <mergeCell ref="E13785:H13785"/>
    <mergeCell ref="E13786:H13786"/>
    <mergeCell ref="E13787:F13787"/>
    <mergeCell ref="E13789:F13789"/>
    <mergeCell ref="E13792:H13792"/>
    <mergeCell ref="E13793:H13793"/>
    <mergeCell ref="E13794:H13794"/>
    <mergeCell ref="E13682:F13682"/>
    <mergeCell ref="E13683:F13683"/>
    <mergeCell ref="E13518:H13518"/>
    <mergeCell ref="E13519:H13519"/>
    <mergeCell ref="E13520:H13520"/>
    <mergeCell ref="E13521:H13521"/>
    <mergeCell ref="E13522:H13522"/>
    <mergeCell ref="E13523:H13523"/>
    <mergeCell ref="E13524:F13524"/>
    <mergeCell ref="E13533:F13533"/>
    <mergeCell ref="E13534:F13534"/>
    <mergeCell ref="E13535:F13535"/>
    <mergeCell ref="E13536:F13536"/>
    <mergeCell ref="E13541:H13541"/>
    <mergeCell ref="E13542:H13542"/>
    <mergeCell ref="E13543:H13543"/>
    <mergeCell ref="E13544:H13544"/>
    <mergeCell ref="E13546:F13546"/>
    <mergeCell ref="E13547:F13547"/>
    <mergeCell ref="E13548:F13548"/>
    <mergeCell ref="E13549:F13549"/>
    <mergeCell ref="E13550:F13550"/>
    <mergeCell ref="E13551:F13551"/>
    <mergeCell ref="E13552:F13552"/>
    <mergeCell ref="E13557:F13557"/>
    <mergeCell ref="E13558:H13558"/>
    <mergeCell ref="E13559:H13559"/>
    <mergeCell ref="E13560:H13560"/>
    <mergeCell ref="E13561:H13561"/>
    <mergeCell ref="E13562:H13562"/>
    <mergeCell ref="E13563:H13563"/>
    <mergeCell ref="E13564:H13564"/>
    <mergeCell ref="E13565:H13565"/>
    <mergeCell ref="E13570:F13570"/>
    <mergeCell ref="E13571:F13571"/>
    <mergeCell ref="E13528:F13528"/>
    <mergeCell ref="E13529:F13529"/>
    <mergeCell ref="E13530:F13530"/>
    <mergeCell ref="E13531:F13531"/>
    <mergeCell ref="E13605:F13605"/>
    <mergeCell ref="E13554:F13554"/>
    <mergeCell ref="E13555:F13555"/>
    <mergeCell ref="E13556:F13556"/>
    <mergeCell ref="E13566:F13566"/>
    <mergeCell ref="E13782:H13782"/>
    <mergeCell ref="E13684:F13684"/>
    <mergeCell ref="E13685:F13685"/>
    <mergeCell ref="E13686:F13686"/>
    <mergeCell ref="E13620:H13620"/>
    <mergeCell ref="E13621:H13621"/>
    <mergeCell ref="E13622:H13622"/>
    <mergeCell ref="E13623:H13623"/>
    <mergeCell ref="E13624:H13624"/>
    <mergeCell ref="E13627:F13627"/>
    <mergeCell ref="E13630:H13630"/>
    <mergeCell ref="E13475:H13475"/>
    <mergeCell ref="E13476:H13476"/>
    <mergeCell ref="E13477:H13477"/>
    <mergeCell ref="E13480:F13480"/>
    <mergeCell ref="E13481:F13481"/>
    <mergeCell ref="E13482:F13482"/>
    <mergeCell ref="E13483:F13483"/>
    <mergeCell ref="E13484:F13484"/>
    <mergeCell ref="E13485:F13485"/>
    <mergeCell ref="E13486:F13486"/>
    <mergeCell ref="E13488:F13488"/>
    <mergeCell ref="E13489:F13489"/>
    <mergeCell ref="E13492:H13492"/>
    <mergeCell ref="E13493:H13493"/>
    <mergeCell ref="E13494:H13494"/>
    <mergeCell ref="E13495:H13495"/>
    <mergeCell ref="E13496:H13496"/>
    <mergeCell ref="E13497:H13497"/>
    <mergeCell ref="E13498:H13498"/>
    <mergeCell ref="E13499:H13499"/>
    <mergeCell ref="E13500:H13500"/>
    <mergeCell ref="E13501:H13501"/>
    <mergeCell ref="E13506:F13506"/>
    <mergeCell ref="E13507:F13507"/>
    <mergeCell ref="E13508:F13508"/>
    <mergeCell ref="E13509:F13509"/>
    <mergeCell ref="E13510:F13510"/>
    <mergeCell ref="E13512:F13512"/>
    <mergeCell ref="E13513:F13513"/>
    <mergeCell ref="E13514:F13514"/>
    <mergeCell ref="E13515:F13515"/>
    <mergeCell ref="E13516:H13516"/>
    <mergeCell ref="E13517:H13517"/>
    <mergeCell ref="E13478:F13478"/>
    <mergeCell ref="E13479:F13479"/>
    <mergeCell ref="E13487:H13487"/>
    <mergeCell ref="E13504:F13504"/>
    <mergeCell ref="E13505:F13505"/>
    <mergeCell ref="E13502:F13502"/>
    <mergeCell ref="E13503:F13503"/>
    <mergeCell ref="E13511:H13511"/>
    <mergeCell ref="E13491:F13491"/>
    <mergeCell ref="E13443:H13443"/>
    <mergeCell ref="E13444:H13444"/>
    <mergeCell ref="E13445:H13445"/>
    <mergeCell ref="E13446:H13446"/>
    <mergeCell ref="E13447:H13447"/>
    <mergeCell ref="E13448:H13448"/>
    <mergeCell ref="E13449:H13449"/>
    <mergeCell ref="E13412:F13412"/>
    <mergeCell ref="E13413:F13413"/>
    <mergeCell ref="E13450:H13450"/>
    <mergeCell ref="E13451:H13451"/>
    <mergeCell ref="E13456:F13456"/>
    <mergeCell ref="E13457:F13457"/>
    <mergeCell ref="E13458:F13458"/>
    <mergeCell ref="E13459:F13459"/>
    <mergeCell ref="E13460:F13460"/>
    <mergeCell ref="E13461:F13461"/>
    <mergeCell ref="E13465:H13465"/>
    <mergeCell ref="E13468:F13468"/>
    <mergeCell ref="E13469:F13469"/>
    <mergeCell ref="E13470:H13470"/>
    <mergeCell ref="E13471:H13471"/>
    <mergeCell ref="E13472:H13472"/>
    <mergeCell ref="E13473:H13473"/>
    <mergeCell ref="E13474:H13474"/>
    <mergeCell ref="E13464:F13464"/>
    <mergeCell ref="E13452:H13452"/>
    <mergeCell ref="E13453:H13453"/>
    <mergeCell ref="E13454:H13454"/>
    <mergeCell ref="E13455:H13455"/>
    <mergeCell ref="E13434:F13434"/>
    <mergeCell ref="E13435:F13435"/>
    <mergeCell ref="E13436:F13436"/>
    <mergeCell ref="E13437:F13437"/>
    <mergeCell ref="E13440:F13440"/>
    <mergeCell ref="E13402:H13402"/>
    <mergeCell ref="E13403:H13403"/>
    <mergeCell ref="E13406:F13406"/>
    <mergeCell ref="E13407:F13407"/>
    <mergeCell ref="E13408:F13408"/>
    <mergeCell ref="E13410:F13410"/>
    <mergeCell ref="E13411:F13411"/>
    <mergeCell ref="E13414:F13414"/>
    <mergeCell ref="E13416:F13416"/>
    <mergeCell ref="E13417:F13417"/>
    <mergeCell ref="E13418:H13418"/>
    <mergeCell ref="E13419:H13419"/>
    <mergeCell ref="E13420:H13420"/>
    <mergeCell ref="E13421:H13421"/>
    <mergeCell ref="E13422:H13422"/>
    <mergeCell ref="E13423:H13423"/>
    <mergeCell ref="E13426:F13426"/>
    <mergeCell ref="E13427:F13427"/>
    <mergeCell ref="E13397:F13397"/>
    <mergeCell ref="E13399:F13399"/>
    <mergeCell ref="E13400:F13400"/>
    <mergeCell ref="E13424:F13424"/>
    <mergeCell ref="E13425:F13425"/>
    <mergeCell ref="E13428:F13428"/>
    <mergeCell ref="E13429:F13429"/>
    <mergeCell ref="E13430:F13430"/>
    <mergeCell ref="E13431:F13431"/>
    <mergeCell ref="E13432:F13432"/>
    <mergeCell ref="E13433:F13433"/>
    <mergeCell ref="E13438:H13438"/>
    <mergeCell ref="E13439:H13439"/>
    <mergeCell ref="E13441:F13441"/>
    <mergeCell ref="E13442:H13442"/>
    <mergeCell ref="E13300:H13300"/>
    <mergeCell ref="E13301:H13301"/>
    <mergeCell ref="E13302:H13302"/>
    <mergeCell ref="E13308:F13308"/>
    <mergeCell ref="E13309:F13309"/>
    <mergeCell ref="E13310:F13310"/>
    <mergeCell ref="E13311:F13311"/>
    <mergeCell ref="E13356:F13356"/>
    <mergeCell ref="E13357:F13357"/>
    <mergeCell ref="E13358:F13358"/>
    <mergeCell ref="E13359:F13359"/>
    <mergeCell ref="E13360:F13360"/>
    <mergeCell ref="E13362:F13362"/>
    <mergeCell ref="E13363:F13363"/>
    <mergeCell ref="E13367:F13367"/>
    <mergeCell ref="E13371:H13371"/>
    <mergeCell ref="E13374:H13374"/>
    <mergeCell ref="E13375:H13375"/>
    <mergeCell ref="E13382:F13382"/>
    <mergeCell ref="E13383:F13383"/>
    <mergeCell ref="E13384:F13384"/>
    <mergeCell ref="E13385:F13385"/>
    <mergeCell ref="E13386:F13386"/>
    <mergeCell ref="E13387:F13387"/>
    <mergeCell ref="E13389:H13389"/>
    <mergeCell ref="E13390:H13390"/>
    <mergeCell ref="E13391:H13391"/>
    <mergeCell ref="E13392:H13392"/>
    <mergeCell ref="E13393:H13393"/>
    <mergeCell ref="E13394:H13394"/>
    <mergeCell ref="E13395:H13395"/>
    <mergeCell ref="E13396:H13396"/>
    <mergeCell ref="E13401:H13401"/>
    <mergeCell ref="E12918:F12918"/>
    <mergeCell ref="E12919:F12919"/>
    <mergeCell ref="E12920:F12920"/>
    <mergeCell ref="E12921:F12921"/>
    <mergeCell ref="E12922:F12922"/>
    <mergeCell ref="E12887:F12887"/>
    <mergeCell ref="E13084:F13084"/>
    <mergeCell ref="E13088:F13088"/>
    <mergeCell ref="E13089:F13089"/>
    <mergeCell ref="E13090:F13090"/>
    <mergeCell ref="E13102:F13102"/>
    <mergeCell ref="E13103:H13103"/>
    <mergeCell ref="E13085:H13085"/>
    <mergeCell ref="E13086:H13086"/>
    <mergeCell ref="E13087:H13087"/>
    <mergeCell ref="E13092:F13092"/>
    <mergeCell ref="E13093:F13093"/>
    <mergeCell ref="E13094:F13094"/>
    <mergeCell ref="E13095:F13095"/>
    <mergeCell ref="E13096:F13096"/>
    <mergeCell ref="E13097:F13097"/>
    <mergeCell ref="E13098:F13098"/>
    <mergeCell ref="E13099:F13099"/>
    <mergeCell ref="E13044:F13044"/>
    <mergeCell ref="E13028:F13028"/>
    <mergeCell ref="E13026:F13026"/>
    <mergeCell ref="E13040:F13040"/>
    <mergeCell ref="E13008:H13008"/>
    <mergeCell ref="E13009:H13009"/>
    <mergeCell ref="E13010:H13010"/>
    <mergeCell ref="E13017:F13017"/>
    <mergeCell ref="E13041:F13041"/>
    <mergeCell ref="E13042:F13042"/>
    <mergeCell ref="E13004:H13004"/>
    <mergeCell ref="E13005:H13005"/>
    <mergeCell ref="E13015:F13015"/>
    <mergeCell ref="E13018:F13018"/>
    <mergeCell ref="E13019:F13019"/>
    <mergeCell ref="E13020:F13020"/>
    <mergeCell ref="E13021:F13021"/>
    <mergeCell ref="E13022:F13022"/>
    <mergeCell ref="E13032:H13032"/>
    <mergeCell ref="E13033:H13033"/>
    <mergeCell ref="E13039:F13039"/>
    <mergeCell ref="E13006:H13006"/>
    <mergeCell ref="E13007:H13007"/>
    <mergeCell ref="E12924:F12924"/>
    <mergeCell ref="E12931:F12931"/>
    <mergeCell ref="E12932:F12932"/>
    <mergeCell ref="E12934:F12934"/>
    <mergeCell ref="E12935:F12935"/>
    <mergeCell ref="E12940:F12940"/>
    <mergeCell ref="E12933:F12933"/>
    <mergeCell ref="E12936:H12936"/>
    <mergeCell ref="E12939:F12939"/>
    <mergeCell ref="E12941:H12941"/>
    <mergeCell ref="E12942:H12942"/>
    <mergeCell ref="E12943:H12943"/>
    <mergeCell ref="E12944:H12944"/>
    <mergeCell ref="E12945:H12945"/>
    <mergeCell ref="E12917:F12917"/>
    <mergeCell ref="E12937:F12937"/>
    <mergeCell ref="E12938:F12938"/>
    <mergeCell ref="E12948:H12948"/>
    <mergeCell ref="E12776:F12776"/>
    <mergeCell ref="E12777:F12777"/>
    <mergeCell ref="E12778:F12778"/>
    <mergeCell ref="E12779:F12779"/>
    <mergeCell ref="E12780:F12780"/>
    <mergeCell ref="E12781:F12781"/>
    <mergeCell ref="E12782:F12782"/>
    <mergeCell ref="E12783:F12783"/>
    <mergeCell ref="E12784:F12784"/>
    <mergeCell ref="E12785:F12785"/>
    <mergeCell ref="E12786:F12786"/>
    <mergeCell ref="E12787:H12787"/>
    <mergeCell ref="E12792:H12792"/>
    <mergeCell ref="E12793:H12793"/>
    <mergeCell ref="E12794:H12794"/>
    <mergeCell ref="E12802:F12802"/>
    <mergeCell ref="E12803:F12803"/>
    <mergeCell ref="E12804:F12804"/>
    <mergeCell ref="E12805:F12805"/>
    <mergeCell ref="E12806:F12806"/>
    <mergeCell ref="E12807:F12807"/>
    <mergeCell ref="E12808:F12808"/>
    <mergeCell ref="E12809:F12809"/>
    <mergeCell ref="E12811:H12811"/>
    <mergeCell ref="E12816:H12816"/>
    <mergeCell ref="E12817:H12817"/>
    <mergeCell ref="E12818:H12818"/>
    <mergeCell ref="E12823:F12823"/>
    <mergeCell ref="E12824:F12824"/>
    <mergeCell ref="E12825:F12825"/>
    <mergeCell ref="E12826:F12826"/>
    <mergeCell ref="E12827:F12827"/>
    <mergeCell ref="E12828:F12828"/>
    <mergeCell ref="E12801:F12801"/>
    <mergeCell ref="E12791:F12791"/>
    <mergeCell ref="E12819:F12819"/>
    <mergeCell ref="E12812:F12812"/>
    <mergeCell ref="E12813:F12813"/>
    <mergeCell ref="E12726:F12726"/>
    <mergeCell ref="E12727:F12727"/>
    <mergeCell ref="E12731:F12731"/>
    <mergeCell ref="E12732:F12732"/>
    <mergeCell ref="E12735:H12735"/>
    <mergeCell ref="E12736:H12736"/>
    <mergeCell ref="E12737:H12737"/>
    <mergeCell ref="E12738:H12738"/>
    <mergeCell ref="E12739:H12739"/>
    <mergeCell ref="E12740:H12740"/>
    <mergeCell ref="E12741:H12741"/>
    <mergeCell ref="E12742:H12742"/>
    <mergeCell ref="E12743:H12743"/>
    <mergeCell ref="E12744:H12744"/>
    <mergeCell ref="E12745:H12745"/>
    <mergeCell ref="E12746:H12746"/>
    <mergeCell ref="E12747:H12747"/>
    <mergeCell ref="E12748:H12748"/>
    <mergeCell ref="E12750:F12750"/>
    <mergeCell ref="E12751:F12751"/>
    <mergeCell ref="E12752:F12752"/>
    <mergeCell ref="E12753:F12753"/>
    <mergeCell ref="E12754:F12754"/>
    <mergeCell ref="E12755:F12755"/>
    <mergeCell ref="E12756:F12756"/>
    <mergeCell ref="E12757:F12757"/>
    <mergeCell ref="E12758:F12758"/>
    <mergeCell ref="E12759:F12759"/>
    <mergeCell ref="E12760:F12760"/>
    <mergeCell ref="E12763:H12763"/>
    <mergeCell ref="E12768:H12768"/>
    <mergeCell ref="E12769:H12769"/>
    <mergeCell ref="E12770:H12770"/>
    <mergeCell ref="E12728:H12728"/>
    <mergeCell ref="E12729:H12729"/>
    <mergeCell ref="E12730:H12730"/>
    <mergeCell ref="E12733:F12733"/>
    <mergeCell ref="E12734:F12734"/>
    <mergeCell ref="E12749:F12749"/>
    <mergeCell ref="E12665:H12665"/>
    <mergeCell ref="E12667:H12667"/>
    <mergeCell ref="E12668:H12668"/>
    <mergeCell ref="E12670:F12670"/>
    <mergeCell ref="E12671:F12671"/>
    <mergeCell ref="E12672:F12672"/>
    <mergeCell ref="E12673:F12673"/>
    <mergeCell ref="E12674:F12674"/>
    <mergeCell ref="E12675:F12675"/>
    <mergeCell ref="E12676:F12676"/>
    <mergeCell ref="E12677:F12677"/>
    <mergeCell ref="E12678:F12678"/>
    <mergeCell ref="E12679:F12679"/>
    <mergeCell ref="E12680:F12680"/>
    <mergeCell ref="E12681:F12681"/>
    <mergeCell ref="E12682:F12682"/>
    <mergeCell ref="E12683:H12683"/>
    <mergeCell ref="E12688:H12688"/>
    <mergeCell ref="E12689:H12689"/>
    <mergeCell ref="E12698:F12698"/>
    <mergeCell ref="E12699:F12699"/>
    <mergeCell ref="E12700:F12700"/>
    <mergeCell ref="E12701:F12701"/>
    <mergeCell ref="E12702:F12702"/>
    <mergeCell ref="E12703:F12703"/>
    <mergeCell ref="E12704:F12704"/>
    <mergeCell ref="E12706:H12706"/>
    <mergeCell ref="E12711:H12711"/>
    <mergeCell ref="E12712:H12712"/>
    <mergeCell ref="E12722:F12722"/>
    <mergeCell ref="E12723:F12723"/>
    <mergeCell ref="E12724:F12724"/>
    <mergeCell ref="E12725:F12725"/>
    <mergeCell ref="E12690:F12690"/>
    <mergeCell ref="E12691:F12691"/>
    <mergeCell ref="E12692:F12692"/>
    <mergeCell ref="E12693:F12693"/>
    <mergeCell ref="E12694:F12694"/>
    <mergeCell ref="E12695:F12695"/>
    <mergeCell ref="E12705:H12705"/>
    <mergeCell ref="E12710:F12710"/>
    <mergeCell ref="E12715:F12715"/>
    <mergeCell ref="E12716:F12716"/>
    <mergeCell ref="E12717:F12717"/>
    <mergeCell ref="E12707:F12707"/>
    <mergeCell ref="E12708:F12708"/>
    <mergeCell ref="E12709:F12709"/>
    <mergeCell ref="E12718:F12718"/>
    <mergeCell ref="E12719:F12719"/>
    <mergeCell ref="E12720:F12720"/>
    <mergeCell ref="E12721:F12721"/>
    <mergeCell ref="E12697:F12697"/>
    <mergeCell ref="E12684:F12684"/>
    <mergeCell ref="E12685:F12685"/>
    <mergeCell ref="E12666:H12666"/>
    <mergeCell ref="E12669:H12669"/>
    <mergeCell ref="E12686:F12686"/>
    <mergeCell ref="E12687:F12687"/>
    <mergeCell ref="E12696:F12696"/>
    <mergeCell ref="E12606:F12606"/>
    <mergeCell ref="E12611:F12611"/>
    <mergeCell ref="E12612:F12612"/>
    <mergeCell ref="E12613:F12613"/>
    <mergeCell ref="E12614:F12614"/>
    <mergeCell ref="E12623:H12623"/>
    <mergeCell ref="E12624:H12624"/>
    <mergeCell ref="E12625:H12625"/>
    <mergeCell ref="E12626:H12626"/>
    <mergeCell ref="E12627:H12627"/>
    <mergeCell ref="E12628:H12628"/>
    <mergeCell ref="E12629:H12629"/>
    <mergeCell ref="E12631:F12631"/>
    <mergeCell ref="E12637:F12637"/>
    <mergeCell ref="E12645:H12645"/>
    <mergeCell ref="E12646:F12646"/>
    <mergeCell ref="E12647:F12647"/>
    <mergeCell ref="E12648:F12648"/>
    <mergeCell ref="E12649:F12649"/>
    <mergeCell ref="E12651:H12651"/>
    <mergeCell ref="E12652:H12652"/>
    <mergeCell ref="E12653:H12653"/>
    <mergeCell ref="E12654:H12654"/>
    <mergeCell ref="E12655:H12655"/>
    <mergeCell ref="E12656:H12656"/>
    <mergeCell ref="E12657:H12657"/>
    <mergeCell ref="E12658:H12658"/>
    <mergeCell ref="E12659:H12659"/>
    <mergeCell ref="E12660:H12660"/>
    <mergeCell ref="E12661:H12661"/>
    <mergeCell ref="E12662:H12662"/>
    <mergeCell ref="E12663:H12663"/>
    <mergeCell ref="E12664:H12664"/>
    <mergeCell ref="E12607:F12607"/>
    <mergeCell ref="E12609:F12609"/>
    <mergeCell ref="E12610:F12610"/>
    <mergeCell ref="E12630:F12630"/>
    <mergeCell ref="E12632:F12632"/>
    <mergeCell ref="E12633:F12633"/>
    <mergeCell ref="E12634:F12634"/>
    <mergeCell ref="E12635:F12635"/>
    <mergeCell ref="E12636:F12636"/>
    <mergeCell ref="E12650:H12650"/>
    <mergeCell ref="E12617:F12617"/>
    <mergeCell ref="E12618:F12618"/>
    <mergeCell ref="E12619:F12619"/>
    <mergeCell ref="E12620:F12620"/>
    <mergeCell ref="E12621:F12621"/>
    <mergeCell ref="E12622:F12622"/>
    <mergeCell ref="E12643:F12643"/>
    <mergeCell ref="E12638:F12638"/>
    <mergeCell ref="E12640:F12640"/>
    <mergeCell ref="E12641:F12641"/>
    <mergeCell ref="E12642:F12642"/>
    <mergeCell ref="E12639:F12639"/>
    <mergeCell ref="E12616:F12616"/>
    <mergeCell ref="E12559:F12559"/>
    <mergeCell ref="E12560:F12560"/>
    <mergeCell ref="E12561:F12561"/>
    <mergeCell ref="E12562:H12562"/>
    <mergeCell ref="E12563:H12563"/>
    <mergeCell ref="E12564:H12564"/>
    <mergeCell ref="E12565:H12565"/>
    <mergeCell ref="E12566:H12566"/>
    <mergeCell ref="E12567:H12567"/>
    <mergeCell ref="E12568:H12568"/>
    <mergeCell ref="E12569:H12569"/>
    <mergeCell ref="E12575:F12575"/>
    <mergeCell ref="E12576:F12576"/>
    <mergeCell ref="E12577:F12577"/>
    <mergeCell ref="E12578:F12578"/>
    <mergeCell ref="E12579:F12579"/>
    <mergeCell ref="E12580:F12580"/>
    <mergeCell ref="E12581:F12581"/>
    <mergeCell ref="E12582:F12582"/>
    <mergeCell ref="E12584:H12584"/>
    <mergeCell ref="E12585:H12585"/>
    <mergeCell ref="E12586:H12586"/>
    <mergeCell ref="E12587:H12587"/>
    <mergeCell ref="E12588:H12588"/>
    <mergeCell ref="E12589:H12589"/>
    <mergeCell ref="E12590:H12590"/>
    <mergeCell ref="E12591:H12591"/>
    <mergeCell ref="E12597:H12597"/>
    <mergeCell ref="E12598:H12598"/>
    <mergeCell ref="E12602:F12602"/>
    <mergeCell ref="E12603:F12603"/>
    <mergeCell ref="E12604:F12604"/>
    <mergeCell ref="E12605:F12605"/>
    <mergeCell ref="E12573:F12573"/>
    <mergeCell ref="E12574:F12574"/>
    <mergeCell ref="E12594:F12594"/>
    <mergeCell ref="E12570:F12570"/>
    <mergeCell ref="E12571:F12571"/>
    <mergeCell ref="E12572:F12572"/>
    <mergeCell ref="E12592:F12592"/>
    <mergeCell ref="E12595:F12595"/>
    <mergeCell ref="E12599:H12599"/>
    <mergeCell ref="E12600:H12600"/>
    <mergeCell ref="E12583:F12583"/>
    <mergeCell ref="E12450:H12450"/>
    <mergeCell ref="E12451:H12451"/>
    <mergeCell ref="E12455:F12455"/>
    <mergeCell ref="E12456:F12456"/>
    <mergeCell ref="E12457:F12457"/>
    <mergeCell ref="E12458:F12458"/>
    <mergeCell ref="E12459:F12459"/>
    <mergeCell ref="E12470:H12470"/>
    <mergeCell ref="E12471:H12471"/>
    <mergeCell ref="E12472:H12472"/>
    <mergeCell ref="E12473:H12473"/>
    <mergeCell ref="E12474:H12474"/>
    <mergeCell ref="E12475:H12475"/>
    <mergeCell ref="E12480:F12480"/>
    <mergeCell ref="E12481:F12481"/>
    <mergeCell ref="E12482:F12482"/>
    <mergeCell ref="E12483:F12483"/>
    <mergeCell ref="E12484:F12484"/>
    <mergeCell ref="E12485:F12485"/>
    <mergeCell ref="E12439:F12439"/>
    <mergeCell ref="E12440:F12440"/>
    <mergeCell ref="E12443:F12443"/>
    <mergeCell ref="E12444:F12444"/>
    <mergeCell ref="E12445:F12445"/>
    <mergeCell ref="E12446:F12446"/>
    <mergeCell ref="E12424:H12424"/>
    <mergeCell ref="E12441:F12441"/>
    <mergeCell ref="E12442:F12442"/>
    <mergeCell ref="E12452:H12452"/>
    <mergeCell ref="E12453:H12453"/>
    <mergeCell ref="E12454:H12454"/>
    <mergeCell ref="E12467:F12467"/>
    <mergeCell ref="E12468:F12468"/>
    <mergeCell ref="E12469:F12469"/>
    <mergeCell ref="E12466:F12466"/>
    <mergeCell ref="E12464:F12464"/>
    <mergeCell ref="E12438:F12438"/>
    <mergeCell ref="E12460:F12460"/>
    <mergeCell ref="E12461:F12461"/>
    <mergeCell ref="E12462:F12462"/>
    <mergeCell ref="E12463:F12463"/>
    <mergeCell ref="E12465:F12465"/>
    <mergeCell ref="E12389:H12389"/>
    <mergeCell ref="E12390:H12390"/>
    <mergeCell ref="E12392:H12392"/>
    <mergeCell ref="E12393:H12393"/>
    <mergeCell ref="E12394:H12394"/>
    <mergeCell ref="E12395:F12395"/>
    <mergeCell ref="E12400:F12400"/>
    <mergeCell ref="E12401:F12401"/>
    <mergeCell ref="E12402:F12402"/>
    <mergeCell ref="E12403:F12403"/>
    <mergeCell ref="E12404:F12404"/>
    <mergeCell ref="E12405:F12405"/>
    <mergeCell ref="E12409:H12409"/>
    <mergeCell ref="E12410:H12410"/>
    <mergeCell ref="E12411:F12411"/>
    <mergeCell ref="E12413:H12413"/>
    <mergeCell ref="E12414:H12414"/>
    <mergeCell ref="E12415:H12415"/>
    <mergeCell ref="E12391:H12391"/>
    <mergeCell ref="E12416:H12416"/>
    <mergeCell ref="E12417:H12417"/>
    <mergeCell ref="E12420:H12420"/>
    <mergeCell ref="E12421:H12421"/>
    <mergeCell ref="E12422:H12422"/>
    <mergeCell ref="E12423:H12423"/>
    <mergeCell ref="E12433:F12433"/>
    <mergeCell ref="E12434:F12434"/>
    <mergeCell ref="E12435:F12435"/>
    <mergeCell ref="E12436:F12436"/>
    <mergeCell ref="E12437:F12437"/>
    <mergeCell ref="E12447:H12447"/>
    <mergeCell ref="E12448:H12448"/>
    <mergeCell ref="E12449:H12449"/>
    <mergeCell ref="E12430:H12430"/>
    <mergeCell ref="E12431:H12431"/>
    <mergeCell ref="E12432:H12432"/>
    <mergeCell ref="E12406:F12406"/>
    <mergeCell ref="E12407:F12407"/>
    <mergeCell ref="E12408:F12408"/>
    <mergeCell ref="E12412:F12412"/>
    <mergeCell ref="E12428:H12428"/>
    <mergeCell ref="E12429:H12429"/>
    <mergeCell ref="E12373:F12373"/>
    <mergeCell ref="E12374:F12374"/>
    <mergeCell ref="E12377:F12377"/>
    <mergeCell ref="E12380:F12380"/>
    <mergeCell ref="E12382:F12382"/>
    <mergeCell ref="E12383:F12383"/>
    <mergeCell ref="E12384:F12384"/>
    <mergeCell ref="E12376:F12376"/>
    <mergeCell ref="E12378:F12378"/>
    <mergeCell ref="E12379:F12379"/>
    <mergeCell ref="E12274:F12274"/>
    <mergeCell ref="E12279:F12279"/>
    <mergeCell ref="E12280:F12280"/>
    <mergeCell ref="E12281:F12281"/>
    <mergeCell ref="E12282:F12282"/>
    <mergeCell ref="E12283:F12283"/>
    <mergeCell ref="E12284:F12284"/>
    <mergeCell ref="E12285:F12285"/>
    <mergeCell ref="E12286:F12286"/>
    <mergeCell ref="E12299:F12299"/>
    <mergeCell ref="E12308:F12308"/>
    <mergeCell ref="E12329:F12329"/>
    <mergeCell ref="E12287:F12287"/>
    <mergeCell ref="E12288:F12288"/>
    <mergeCell ref="E12309:F12309"/>
    <mergeCell ref="E12330:F12330"/>
    <mergeCell ref="E12331:F12331"/>
    <mergeCell ref="E12333:F12333"/>
    <mergeCell ref="E12334:F12334"/>
    <mergeCell ref="E12321:H12321"/>
    <mergeCell ref="E12322:H12322"/>
    <mergeCell ref="E12323:H12323"/>
    <mergeCell ref="E12324:H12324"/>
    <mergeCell ref="E12325:H12325"/>
    <mergeCell ref="E12332:F12332"/>
    <mergeCell ref="E12350:H12350"/>
    <mergeCell ref="E12351:H12351"/>
    <mergeCell ref="E12291:H12291"/>
    <mergeCell ref="E12292:H12292"/>
    <mergeCell ref="E12293:H12293"/>
    <mergeCell ref="E12294:H12294"/>
    <mergeCell ref="E12275:F12275"/>
    <mergeCell ref="E12345:H12345"/>
    <mergeCell ref="E12340:F12340"/>
    <mergeCell ref="E12316:F12316"/>
    <mergeCell ref="E12318:H12318"/>
    <mergeCell ref="E12319:H12319"/>
    <mergeCell ref="E12320:H12320"/>
    <mergeCell ref="E12326:F12326"/>
    <mergeCell ref="E12327:F12327"/>
    <mergeCell ref="E12328:F12328"/>
    <mergeCell ref="E12339:F12339"/>
    <mergeCell ref="E12344:F12344"/>
    <mergeCell ref="E12347:H12347"/>
    <mergeCell ref="E12348:H12348"/>
    <mergeCell ref="E12349:H12349"/>
    <mergeCell ref="E12363:F12363"/>
    <mergeCell ref="E12364:F12364"/>
    <mergeCell ref="E12365:F12365"/>
    <mergeCell ref="E12368:F12368"/>
    <mergeCell ref="E12369:F12369"/>
    <mergeCell ref="E12370:F12370"/>
    <mergeCell ref="E12371:F12371"/>
    <mergeCell ref="E12372:F12372"/>
    <mergeCell ref="E12157:H12157"/>
    <mergeCell ref="E12158:H12158"/>
    <mergeCell ref="E12159:H12159"/>
    <mergeCell ref="E12160:H12160"/>
    <mergeCell ref="E12161:H12161"/>
    <mergeCell ref="E12162:H12162"/>
    <mergeCell ref="E12163:H12163"/>
    <mergeCell ref="E12166:F12166"/>
    <mergeCell ref="E12167:F12167"/>
    <mergeCell ref="E12170:F12170"/>
    <mergeCell ref="E12171:F12171"/>
    <mergeCell ref="E12172:F12172"/>
    <mergeCell ref="E12173:F12173"/>
    <mergeCell ref="E12174:F12174"/>
    <mergeCell ref="E12175:F12175"/>
    <mergeCell ref="E12176:F12176"/>
    <mergeCell ref="E12177:F12177"/>
    <mergeCell ref="E12178:F12178"/>
    <mergeCell ref="E12179:F12179"/>
    <mergeCell ref="E12180:F12180"/>
    <mergeCell ref="E12181:F12181"/>
    <mergeCell ref="E12189:H12189"/>
    <mergeCell ref="E12197:F12197"/>
    <mergeCell ref="E12182:H12182"/>
    <mergeCell ref="E12183:H12183"/>
    <mergeCell ref="E12184:H12184"/>
    <mergeCell ref="E12185:H12185"/>
    <mergeCell ref="E12168:F12168"/>
    <mergeCell ref="E12169:F12169"/>
    <mergeCell ref="E12142:F12142"/>
    <mergeCell ref="E12143:F12143"/>
    <mergeCell ref="E12144:F12144"/>
    <mergeCell ref="E12149:H12149"/>
    <mergeCell ref="E12150:H12150"/>
    <mergeCell ref="E12151:H12151"/>
    <mergeCell ref="E12165:F12165"/>
    <mergeCell ref="E12186:H12186"/>
    <mergeCell ref="E12187:H12187"/>
    <mergeCell ref="E12188:H12188"/>
    <mergeCell ref="E12148:F12148"/>
    <mergeCell ref="E12152:H12152"/>
    <mergeCell ref="E12153:H12153"/>
    <mergeCell ref="E12154:H12154"/>
    <mergeCell ref="E12155:H12155"/>
    <mergeCell ref="E12156:H12156"/>
    <mergeCell ref="E12067:F12067"/>
    <mergeCell ref="E12068:F12068"/>
    <mergeCell ref="E12069:F12069"/>
    <mergeCell ref="E12070:F12070"/>
    <mergeCell ref="E12071:F12071"/>
    <mergeCell ref="E12072:F12072"/>
    <mergeCell ref="E12073:F12073"/>
    <mergeCell ref="E12074:H12074"/>
    <mergeCell ref="E12075:H12075"/>
    <mergeCell ref="E12076:H12076"/>
    <mergeCell ref="E12077:H12077"/>
    <mergeCell ref="E12078:H12078"/>
    <mergeCell ref="E12079:H12079"/>
    <mergeCell ref="E12080:H12080"/>
    <mergeCell ref="E12086:F12086"/>
    <mergeCell ref="E12087:F12087"/>
    <mergeCell ref="E12088:F12088"/>
    <mergeCell ref="E12089:F12089"/>
    <mergeCell ref="E12085:F12085"/>
    <mergeCell ref="E12081:H12081"/>
    <mergeCell ref="E12084:F12084"/>
    <mergeCell ref="E12082:F12082"/>
    <mergeCell ref="E12083:F12083"/>
    <mergeCell ref="E12061:F12061"/>
    <mergeCell ref="E12053:H12053"/>
    <mergeCell ref="E12132:F12132"/>
    <mergeCell ref="E12128:H12128"/>
    <mergeCell ref="E12129:H12129"/>
    <mergeCell ref="E12130:H12130"/>
    <mergeCell ref="E12115:F12115"/>
    <mergeCell ref="E12139:F12139"/>
    <mergeCell ref="E12146:H12146"/>
    <mergeCell ref="E12147:F12147"/>
    <mergeCell ref="E12133:F12133"/>
    <mergeCell ref="E12134:F12134"/>
    <mergeCell ref="E12001:F12001"/>
    <mergeCell ref="E12002:F12002"/>
    <mergeCell ref="E12003:F12003"/>
    <mergeCell ref="E12004:F12004"/>
    <mergeCell ref="E12005:F12005"/>
    <mergeCell ref="E12010:H12010"/>
    <mergeCell ref="E12011:H12011"/>
    <mergeCell ref="E12012:H12012"/>
    <mergeCell ref="E12013:H12013"/>
    <mergeCell ref="E12018:F12018"/>
    <mergeCell ref="E12023:F12023"/>
    <mergeCell ref="E12024:F12024"/>
    <mergeCell ref="E12025:F12025"/>
    <mergeCell ref="E12026:F12026"/>
    <mergeCell ref="E12027:F12027"/>
    <mergeCell ref="E12021:F12021"/>
    <mergeCell ref="E12029:H12029"/>
    <mergeCell ref="E12033:H12033"/>
    <mergeCell ref="E12034:H12034"/>
    <mergeCell ref="E12035:H12035"/>
    <mergeCell ref="E12036:H12036"/>
    <mergeCell ref="E12037:H12037"/>
    <mergeCell ref="E12038:H12038"/>
    <mergeCell ref="E12041:F12041"/>
    <mergeCell ref="E12055:H12055"/>
    <mergeCell ref="E12056:H12056"/>
    <mergeCell ref="E12057:H12057"/>
    <mergeCell ref="E12058:H12058"/>
    <mergeCell ref="E12059:H12059"/>
    <mergeCell ref="E12060:H12060"/>
    <mergeCell ref="E12066:F12066"/>
    <mergeCell ref="E12045:F12045"/>
    <mergeCell ref="E12062:F12062"/>
    <mergeCell ref="E11348:F11348"/>
    <mergeCell ref="E11349:F11349"/>
    <mergeCell ref="E11473:F11473"/>
    <mergeCell ref="E11474:F11474"/>
    <mergeCell ref="E11475:F11475"/>
    <mergeCell ref="E11476:F11476"/>
    <mergeCell ref="E11477:F11477"/>
    <mergeCell ref="E11478:F11478"/>
    <mergeCell ref="E11479:F11479"/>
    <mergeCell ref="E11480:F11480"/>
    <mergeCell ref="E11482:H11482"/>
    <mergeCell ref="E11483:H11483"/>
    <mergeCell ref="E11484:H11484"/>
    <mergeCell ref="E11485:H11485"/>
    <mergeCell ref="E11486:H11486"/>
    <mergeCell ref="E11487:H11487"/>
    <mergeCell ref="E11488:H11488"/>
    <mergeCell ref="E11489:H11489"/>
    <mergeCell ref="E11499:F11499"/>
    <mergeCell ref="E11500:F11500"/>
    <mergeCell ref="E11501:F11501"/>
    <mergeCell ref="E11833:F11833"/>
    <mergeCell ref="E11841:H11841"/>
    <mergeCell ref="E11842:H11842"/>
    <mergeCell ref="E11843:H11843"/>
    <mergeCell ref="E11853:F11853"/>
    <mergeCell ref="E11854:F11854"/>
    <mergeCell ref="E11815:H11815"/>
    <mergeCell ref="E11816:H11816"/>
    <mergeCell ref="E11817:H11817"/>
    <mergeCell ref="E11818:H11818"/>
    <mergeCell ref="E11830:F11830"/>
    <mergeCell ref="E11831:F11831"/>
    <mergeCell ref="E11832:F11832"/>
    <mergeCell ref="E11837:H11837"/>
    <mergeCell ref="E11838:H11838"/>
    <mergeCell ref="E11839:H11839"/>
    <mergeCell ref="E11840:H11840"/>
    <mergeCell ref="E11821:F11821"/>
    <mergeCell ref="E11822:F11822"/>
    <mergeCell ref="E11823:F11823"/>
    <mergeCell ref="E11824:F11824"/>
    <mergeCell ref="E11825:F11825"/>
    <mergeCell ref="E11826:F11826"/>
    <mergeCell ref="E11834:H11834"/>
    <mergeCell ref="E11835:H11835"/>
    <mergeCell ref="E11836:H11836"/>
    <mergeCell ref="E11852:F11852"/>
    <mergeCell ref="E11820:F11820"/>
    <mergeCell ref="E11827:F11827"/>
    <mergeCell ref="E11828:F11828"/>
    <mergeCell ref="E11765:H11765"/>
    <mergeCell ref="E11766:H11766"/>
    <mergeCell ref="E11767:H11767"/>
    <mergeCell ref="E11768:H11768"/>
    <mergeCell ref="E11777:F11777"/>
    <mergeCell ref="E11778:F11778"/>
    <mergeCell ref="E11779:F11779"/>
    <mergeCell ref="E11844:F11844"/>
    <mergeCell ref="E11845:F11845"/>
    <mergeCell ref="E11846:F11846"/>
    <mergeCell ref="E11847:F11847"/>
    <mergeCell ref="E11848:F11848"/>
    <mergeCell ref="E11849:F11849"/>
    <mergeCell ref="E11401:F11401"/>
    <mergeCell ref="E11402:F11402"/>
    <mergeCell ref="E11403:F11403"/>
    <mergeCell ref="E11404:F11404"/>
    <mergeCell ref="E11405:F11405"/>
    <mergeCell ref="E11456:H11456"/>
    <mergeCell ref="E11457:H11457"/>
    <mergeCell ref="E11458:H11458"/>
    <mergeCell ref="E11459:H11459"/>
    <mergeCell ref="E11460:H11460"/>
    <mergeCell ref="E11461:H11461"/>
    <mergeCell ref="E11463:H11463"/>
    <mergeCell ref="E11464:H11464"/>
    <mergeCell ref="E11467:F11467"/>
    <mergeCell ref="E11468:F11468"/>
    <mergeCell ref="E11469:F11469"/>
    <mergeCell ref="E11470:F11470"/>
    <mergeCell ref="E11471:F11471"/>
    <mergeCell ref="E11472:F11472"/>
    <mergeCell ref="E11413:H11413"/>
    <mergeCell ref="E11421:F11421"/>
    <mergeCell ref="E11423:F11423"/>
    <mergeCell ref="E11424:F11424"/>
    <mergeCell ref="E11430:F11430"/>
    <mergeCell ref="E11447:F11447"/>
    <mergeCell ref="E11448:F11448"/>
    <mergeCell ref="E11449:F11449"/>
    <mergeCell ref="E11450:F11450"/>
    <mergeCell ref="E11451:F11451"/>
    <mergeCell ref="E11452:F11452"/>
    <mergeCell ref="E11453:F11453"/>
    <mergeCell ref="E11454:F11454"/>
    <mergeCell ref="E11462:H11462"/>
    <mergeCell ref="E11465:F11465"/>
    <mergeCell ref="E11466:F11466"/>
    <mergeCell ref="E11455:F11455"/>
    <mergeCell ref="E11436:H11436"/>
    <mergeCell ref="E11437:H11437"/>
    <mergeCell ref="E11438:H11438"/>
    <mergeCell ref="E11439:H11439"/>
    <mergeCell ref="E11441:F11441"/>
    <mergeCell ref="E11442:F11442"/>
    <mergeCell ref="E11443:F11443"/>
    <mergeCell ref="E11444:F11444"/>
    <mergeCell ref="E11445:F11445"/>
    <mergeCell ref="E11446:F11446"/>
    <mergeCell ref="E11217:H11217"/>
    <mergeCell ref="E11223:F11223"/>
    <mergeCell ref="E11226:H11226"/>
    <mergeCell ref="E11227:F11227"/>
    <mergeCell ref="E11228:F11228"/>
    <mergeCell ref="E11229:F11229"/>
    <mergeCell ref="E11230:F11230"/>
    <mergeCell ref="E11233:H11233"/>
    <mergeCell ref="E11234:H11234"/>
    <mergeCell ref="E11235:H11235"/>
    <mergeCell ref="E11236:H11236"/>
    <mergeCell ref="E11237:H11237"/>
    <mergeCell ref="E11238:H11238"/>
    <mergeCell ref="E11239:H11239"/>
    <mergeCell ref="E11240:H11240"/>
    <mergeCell ref="E11247:H11247"/>
    <mergeCell ref="E11248:F11248"/>
    <mergeCell ref="E11251:F11251"/>
    <mergeCell ref="E11260:F11260"/>
    <mergeCell ref="E11261:F11261"/>
    <mergeCell ref="E11262:F11262"/>
    <mergeCell ref="E11263:F11263"/>
    <mergeCell ref="E11264:F11264"/>
    <mergeCell ref="E11265:F11265"/>
    <mergeCell ref="E11252:H11252"/>
    <mergeCell ref="E11253:H11253"/>
    <mergeCell ref="E11225:F11225"/>
    <mergeCell ref="E11224:F11224"/>
    <mergeCell ref="E11254:H11254"/>
    <mergeCell ref="E11255:H11255"/>
    <mergeCell ref="E11256:H11256"/>
    <mergeCell ref="E11257:H11257"/>
    <mergeCell ref="E11258:H11258"/>
    <mergeCell ref="E11259:H11259"/>
    <mergeCell ref="E11039:H11039"/>
    <mergeCell ref="E11040:H11040"/>
    <mergeCell ref="E11049:F11049"/>
    <mergeCell ref="E10973:F10973"/>
    <mergeCell ref="E10974:F10974"/>
    <mergeCell ref="E11146:F11146"/>
    <mergeCell ref="E11147:F11147"/>
    <mergeCell ref="E11148:F11148"/>
    <mergeCell ref="E11149:F11149"/>
    <mergeCell ref="E11150:F11150"/>
    <mergeCell ref="E11156:H11156"/>
    <mergeCell ref="E11159:H11159"/>
    <mergeCell ref="E11160:H11160"/>
    <mergeCell ref="E11161:H11161"/>
    <mergeCell ref="E11162:H11162"/>
    <mergeCell ref="E11163:H11163"/>
    <mergeCell ref="E11172:H11172"/>
    <mergeCell ref="E11115:F11115"/>
    <mergeCell ref="E11131:F11131"/>
    <mergeCell ref="E11128:F11128"/>
    <mergeCell ref="E11129:F11129"/>
    <mergeCell ref="E11130:F11130"/>
    <mergeCell ref="E11181:H11181"/>
    <mergeCell ref="E11186:H11186"/>
    <mergeCell ref="E11187:H11187"/>
    <mergeCell ref="E11188:H11188"/>
    <mergeCell ref="E11189:H11189"/>
    <mergeCell ref="E11194:F11194"/>
    <mergeCell ref="E11195:F11195"/>
    <mergeCell ref="E11199:F11199"/>
    <mergeCell ref="E11202:F11202"/>
    <mergeCell ref="E11204:F11204"/>
    <mergeCell ref="E11205:F11205"/>
    <mergeCell ref="E11137:H11137"/>
    <mergeCell ref="E11138:H11138"/>
    <mergeCell ref="E11139:H11139"/>
    <mergeCell ref="E11140:H11140"/>
    <mergeCell ref="E11143:F11143"/>
    <mergeCell ref="E11144:F11144"/>
    <mergeCell ref="E11145:F11145"/>
    <mergeCell ref="E11196:F11196"/>
    <mergeCell ref="E11197:F11197"/>
    <mergeCell ref="E11141:F11141"/>
    <mergeCell ref="E11142:F11142"/>
    <mergeCell ref="E11151:F11151"/>
    <mergeCell ref="E11152:F11152"/>
    <mergeCell ref="E11157:F11157"/>
    <mergeCell ref="E11158:F11158"/>
    <mergeCell ref="E11164:H11164"/>
    <mergeCell ref="E11165:H11165"/>
    <mergeCell ref="E11166:H11166"/>
    <mergeCell ref="E11167:H11167"/>
    <mergeCell ref="E11168:H11168"/>
    <mergeCell ref="E11169:H11169"/>
    <mergeCell ref="E11170:H11170"/>
    <mergeCell ref="E11171:H11171"/>
    <mergeCell ref="E11174:F11174"/>
    <mergeCell ref="E11175:F11175"/>
    <mergeCell ref="E11176:F11176"/>
    <mergeCell ref="E11177:F11177"/>
    <mergeCell ref="E11178:F11178"/>
    <mergeCell ref="E11179:F11179"/>
    <mergeCell ref="E11180:F11180"/>
    <mergeCell ref="E11190:H11190"/>
    <mergeCell ref="E10851:F10851"/>
    <mergeCell ref="E10852:F10852"/>
    <mergeCell ref="E10861:F10861"/>
    <mergeCell ref="E10862:F10862"/>
    <mergeCell ref="E10863:F10863"/>
    <mergeCell ref="E10871:H10871"/>
    <mergeCell ref="E10872:H10872"/>
    <mergeCell ref="E10873:H10873"/>
    <mergeCell ref="E10874:H10874"/>
    <mergeCell ref="E10875:H10875"/>
    <mergeCell ref="E10876:H10876"/>
    <mergeCell ref="E10879:F10879"/>
    <mergeCell ref="E10880:F10880"/>
    <mergeCell ref="E10881:F10881"/>
    <mergeCell ref="E10882:F10882"/>
    <mergeCell ref="E10883:F10883"/>
    <mergeCell ref="E10884:F10884"/>
    <mergeCell ref="E10892:H10892"/>
    <mergeCell ref="E10893:H10893"/>
    <mergeCell ref="E10894:H10894"/>
    <mergeCell ref="E10895:H10895"/>
    <mergeCell ref="E10896:H10896"/>
    <mergeCell ref="E10897:H10897"/>
    <mergeCell ref="E10898:H10898"/>
    <mergeCell ref="E10900:F10900"/>
    <mergeCell ref="E10902:F10902"/>
    <mergeCell ref="E10903:F10903"/>
    <mergeCell ref="E10922:F10922"/>
    <mergeCell ref="E10923:F10923"/>
    <mergeCell ref="E10924:F10924"/>
    <mergeCell ref="E10926:F10926"/>
    <mergeCell ref="E10927:F10927"/>
    <mergeCell ref="E10928:F10928"/>
    <mergeCell ref="E10868:F10868"/>
    <mergeCell ref="E10865:F10865"/>
    <mergeCell ref="E10866:F10866"/>
    <mergeCell ref="E10877:H10877"/>
    <mergeCell ref="E10878:H10878"/>
    <mergeCell ref="E10886:F10886"/>
    <mergeCell ref="E10887:F10887"/>
    <mergeCell ref="E10870:F10870"/>
    <mergeCell ref="E10885:F10885"/>
    <mergeCell ref="E10860:H10860"/>
    <mergeCell ref="E10890:F10890"/>
    <mergeCell ref="E10891:F10891"/>
    <mergeCell ref="E10869:F10869"/>
    <mergeCell ref="E10889:F10889"/>
    <mergeCell ref="E10864:F10864"/>
    <mergeCell ref="E10909:F10909"/>
    <mergeCell ref="E10910:F10910"/>
    <mergeCell ref="E10911:F10911"/>
    <mergeCell ref="E10906:H10906"/>
    <mergeCell ref="E10907:H10907"/>
    <mergeCell ref="E10915:F10915"/>
    <mergeCell ref="E10916:F10916"/>
    <mergeCell ref="E10917:F10917"/>
    <mergeCell ref="E10919:F10919"/>
    <mergeCell ref="E10856:H10856"/>
    <mergeCell ref="E10857:H10857"/>
    <mergeCell ref="E10858:H10858"/>
    <mergeCell ref="E10905:H10905"/>
    <mergeCell ref="E10747:H10747"/>
    <mergeCell ref="E10748:H10748"/>
    <mergeCell ref="E10749:H10749"/>
    <mergeCell ref="E10750:H10750"/>
    <mergeCell ref="E10751:H10751"/>
    <mergeCell ref="E10752:H10752"/>
    <mergeCell ref="E10753:F10753"/>
    <mergeCell ref="E10754:F10754"/>
    <mergeCell ref="E10755:F10755"/>
    <mergeCell ref="E10756:F10756"/>
    <mergeCell ref="E10757:F10757"/>
    <mergeCell ref="E10758:F10758"/>
    <mergeCell ref="E10759:F10759"/>
    <mergeCell ref="E10760:F10760"/>
    <mergeCell ref="E10766:H10766"/>
    <mergeCell ref="E10767:H10767"/>
    <mergeCell ref="E10768:H10768"/>
    <mergeCell ref="E10769:H10769"/>
    <mergeCell ref="E10770:H10770"/>
    <mergeCell ref="E10771:H10771"/>
    <mergeCell ref="E10772:H10772"/>
    <mergeCell ref="E10773:H10773"/>
    <mergeCell ref="E10779:F10779"/>
    <mergeCell ref="E10780:F10780"/>
    <mergeCell ref="E10781:F10781"/>
    <mergeCell ref="E10782:F10782"/>
    <mergeCell ref="E10783:F10783"/>
    <mergeCell ref="E10784:F10784"/>
    <mergeCell ref="E10785:F10785"/>
    <mergeCell ref="E10786:F10786"/>
    <mergeCell ref="E10789:H10789"/>
    <mergeCell ref="E10790:H10790"/>
    <mergeCell ref="E10795:H10795"/>
    <mergeCell ref="E10774:F10774"/>
    <mergeCell ref="E10775:F10775"/>
    <mergeCell ref="E10787:F10787"/>
    <mergeCell ref="E10793:H10793"/>
    <mergeCell ref="E10794:H10794"/>
    <mergeCell ref="E10777:F10777"/>
    <mergeCell ref="E10791:H10791"/>
    <mergeCell ref="E10792:H10792"/>
    <mergeCell ref="E10702:F10702"/>
    <mergeCell ref="E10703:F10703"/>
    <mergeCell ref="E10705:F10705"/>
    <mergeCell ref="E10706:F10706"/>
    <mergeCell ref="E10707:F10707"/>
    <mergeCell ref="E10708:F10708"/>
    <mergeCell ref="E10716:H10716"/>
    <mergeCell ref="E10717:H10717"/>
    <mergeCell ref="E10718:H10718"/>
    <mergeCell ref="E10719:H10719"/>
    <mergeCell ref="E10720:H10720"/>
    <mergeCell ref="E10727:F10727"/>
    <mergeCell ref="E10728:F10728"/>
    <mergeCell ref="E10729:F10729"/>
    <mergeCell ref="E10730:F10730"/>
    <mergeCell ref="E10731:F10731"/>
    <mergeCell ref="E10732:F10732"/>
    <mergeCell ref="E10733:F10733"/>
    <mergeCell ref="E10734:F10734"/>
    <mergeCell ref="E10736:H10736"/>
    <mergeCell ref="E10739:H10739"/>
    <mergeCell ref="E10740:H10740"/>
    <mergeCell ref="E10741:H10741"/>
    <mergeCell ref="E10742:H10742"/>
    <mergeCell ref="E10743:H10743"/>
    <mergeCell ref="E10744:H10744"/>
    <mergeCell ref="E10745:H10745"/>
    <mergeCell ref="E10746:H10746"/>
    <mergeCell ref="E10726:F10726"/>
    <mergeCell ref="E10695:F10695"/>
    <mergeCell ref="E10696:F10696"/>
    <mergeCell ref="E10689:F10689"/>
    <mergeCell ref="E10714:F10714"/>
    <mergeCell ref="E10725:F10725"/>
    <mergeCell ref="E10723:F10723"/>
    <mergeCell ref="E10713:F10713"/>
    <mergeCell ref="E10649:F10649"/>
    <mergeCell ref="E10650:F10650"/>
    <mergeCell ref="E10651:F10651"/>
    <mergeCell ref="E10657:H10657"/>
    <mergeCell ref="E10658:H10658"/>
    <mergeCell ref="E10659:H10659"/>
    <mergeCell ref="E10660:H10660"/>
    <mergeCell ref="E10661:H10661"/>
    <mergeCell ref="E10662:H10662"/>
    <mergeCell ref="E10663:H10663"/>
    <mergeCell ref="E10664:H10664"/>
    <mergeCell ref="E10671:F10671"/>
    <mergeCell ref="E10672:F10672"/>
    <mergeCell ref="E10673:F10673"/>
    <mergeCell ref="E10674:F10674"/>
    <mergeCell ref="E10675:F10675"/>
    <mergeCell ref="E10676:F10676"/>
    <mergeCell ref="E10677:F10677"/>
    <mergeCell ref="E10681:H10681"/>
    <mergeCell ref="E10682:H10682"/>
    <mergeCell ref="E10683:H10683"/>
    <mergeCell ref="E10684:H10684"/>
    <mergeCell ref="E10665:F10665"/>
    <mergeCell ref="E10666:F10666"/>
    <mergeCell ref="E10680:H10680"/>
    <mergeCell ref="E10653:F10653"/>
    <mergeCell ref="E10654:F10654"/>
    <mergeCell ref="E10655:F10655"/>
    <mergeCell ref="E10685:H10685"/>
    <mergeCell ref="E10691:H10691"/>
    <mergeCell ref="E10692:H10692"/>
    <mergeCell ref="E10693:H10693"/>
    <mergeCell ref="E10701:F10701"/>
    <mergeCell ref="E10688:F10688"/>
    <mergeCell ref="E10652:F10652"/>
    <mergeCell ref="E10686:F10686"/>
    <mergeCell ref="E10569:F10569"/>
    <mergeCell ref="E10570:F10570"/>
    <mergeCell ref="E10613:H10613"/>
    <mergeCell ref="E10617:H10617"/>
    <mergeCell ref="E10583:F10583"/>
    <mergeCell ref="E10584:F10584"/>
    <mergeCell ref="E10602:F10602"/>
    <mergeCell ref="E10605:F10605"/>
    <mergeCell ref="E10610:F10610"/>
    <mergeCell ref="E10618:H10618"/>
    <mergeCell ref="E10619:H10619"/>
    <mergeCell ref="E10627:F10627"/>
    <mergeCell ref="E10632:F10632"/>
    <mergeCell ref="E10633:F10633"/>
    <mergeCell ref="E10588:H10588"/>
    <mergeCell ref="E10599:F10599"/>
    <mergeCell ref="E10600:F10600"/>
    <mergeCell ref="E10601:F10601"/>
    <mergeCell ref="E10612:H10612"/>
    <mergeCell ref="E10603:F10603"/>
    <mergeCell ref="E10609:F10609"/>
    <mergeCell ref="E10638:H10638"/>
    <mergeCell ref="E10639:H10639"/>
    <mergeCell ref="E10640:H10640"/>
    <mergeCell ref="E10641:H10641"/>
    <mergeCell ref="E10642:H10642"/>
    <mergeCell ref="E10643:H10643"/>
    <mergeCell ref="E10644:F10644"/>
    <mergeCell ref="E10645:F10645"/>
    <mergeCell ref="E10646:F10646"/>
    <mergeCell ref="E10647:F10647"/>
    <mergeCell ref="E10648:F10648"/>
    <mergeCell ref="E10628:F10628"/>
    <mergeCell ref="E10629:F10629"/>
    <mergeCell ref="E10614:H10614"/>
    <mergeCell ref="E10615:H10615"/>
    <mergeCell ref="E10616:H10616"/>
    <mergeCell ref="E10593:H10593"/>
    <mergeCell ref="E10594:H10594"/>
    <mergeCell ref="E10595:H10595"/>
    <mergeCell ref="E10596:H10596"/>
    <mergeCell ref="E10597:H10597"/>
    <mergeCell ref="E10598:H10598"/>
    <mergeCell ref="E10607:F10607"/>
    <mergeCell ref="E10608:F10608"/>
    <mergeCell ref="E10611:F10611"/>
    <mergeCell ref="E10620:F10620"/>
    <mergeCell ref="E10621:F10621"/>
    <mergeCell ref="E10622:F10622"/>
    <mergeCell ref="E10626:F10626"/>
    <mergeCell ref="E10401:H10401"/>
    <mergeCell ref="E10404:F10404"/>
    <mergeCell ref="E10405:F10405"/>
    <mergeCell ref="E10408:F10408"/>
    <mergeCell ref="E10409:F10409"/>
    <mergeCell ref="E10410:F10410"/>
    <mergeCell ref="E10411:F10411"/>
    <mergeCell ref="E10412:F10412"/>
    <mergeCell ref="E10413:F10413"/>
    <mergeCell ref="E10414:F10414"/>
    <mergeCell ref="E10415:F10415"/>
    <mergeCell ref="E10422:H10422"/>
    <mergeCell ref="E10423:H10423"/>
    <mergeCell ref="E10424:H10424"/>
    <mergeCell ref="E10425:H10425"/>
    <mergeCell ref="E10435:F10435"/>
    <mergeCell ref="E10436:F10436"/>
    <mergeCell ref="E10437:F10437"/>
    <mergeCell ref="E10443:H10443"/>
    <mergeCell ref="E10444:H10444"/>
    <mergeCell ref="E10445:H10445"/>
    <mergeCell ref="E10458:F10458"/>
    <mergeCell ref="E10459:F10459"/>
    <mergeCell ref="E10482:H10482"/>
    <mergeCell ref="E10490:F10490"/>
    <mergeCell ref="E10525:F10525"/>
    <mergeCell ref="E10533:H10533"/>
    <mergeCell ref="E10539:H10539"/>
    <mergeCell ref="E10540:H10540"/>
    <mergeCell ref="E10541:H10541"/>
    <mergeCell ref="E10547:F10547"/>
    <mergeCell ref="E10548:F10548"/>
    <mergeCell ref="E10549:F10549"/>
    <mergeCell ref="E10441:H10441"/>
    <mergeCell ref="E10472:F10472"/>
    <mergeCell ref="E10474:F10474"/>
    <mergeCell ref="E10477:F10477"/>
    <mergeCell ref="E10478:F10478"/>
    <mergeCell ref="E10479:F10479"/>
    <mergeCell ref="E10480:F10480"/>
    <mergeCell ref="E10481:F10481"/>
    <mergeCell ref="E10483:H10483"/>
    <mergeCell ref="E10484:H10484"/>
    <mergeCell ref="E10485:H10485"/>
    <mergeCell ref="E10486:H10486"/>
    <mergeCell ref="E10487:H10487"/>
    <mergeCell ref="E10488:H10488"/>
    <mergeCell ref="E10489:H10489"/>
    <mergeCell ref="E10498:F10498"/>
    <mergeCell ref="E10504:H10504"/>
    <mergeCell ref="E10505:H10505"/>
    <mergeCell ref="E10506:H10506"/>
    <mergeCell ref="E10507:H10507"/>
    <mergeCell ref="E10508:H10508"/>
    <mergeCell ref="E10509:H10509"/>
    <mergeCell ref="E10510:H10510"/>
    <mergeCell ref="E10511:H10511"/>
    <mergeCell ref="E10512:F10512"/>
    <mergeCell ref="E10513:F10513"/>
    <mergeCell ref="E10514:F10514"/>
    <mergeCell ref="E10515:F10515"/>
    <mergeCell ref="E10516:F10516"/>
    <mergeCell ref="E10455:F10455"/>
    <mergeCell ref="E10465:H10465"/>
    <mergeCell ref="E10359:F10359"/>
    <mergeCell ref="E10360:F10360"/>
    <mergeCell ref="E10361:F10361"/>
    <mergeCell ref="E10363:F10363"/>
    <mergeCell ref="E10366:F10366"/>
    <mergeCell ref="E10367:F10367"/>
    <mergeCell ref="E10371:H10371"/>
    <mergeCell ref="E10372:H10372"/>
    <mergeCell ref="E10373:H10373"/>
    <mergeCell ref="E10374:H10374"/>
    <mergeCell ref="E10375:H10375"/>
    <mergeCell ref="E10376:H10376"/>
    <mergeCell ref="E10377:H10377"/>
    <mergeCell ref="E10384:F10384"/>
    <mergeCell ref="E10385:F10385"/>
    <mergeCell ref="E10386:F10386"/>
    <mergeCell ref="E10387:F10387"/>
    <mergeCell ref="E10388:F10388"/>
    <mergeCell ref="E10389:F10389"/>
    <mergeCell ref="E10392:H10392"/>
    <mergeCell ref="E10393:H10393"/>
    <mergeCell ref="E10394:H10394"/>
    <mergeCell ref="E10395:H10395"/>
    <mergeCell ref="E10396:H10396"/>
    <mergeCell ref="E10397:H10397"/>
    <mergeCell ref="E10398:H10398"/>
    <mergeCell ref="E10399:H10399"/>
    <mergeCell ref="E10400:H10400"/>
    <mergeCell ref="E10369:H10369"/>
    <mergeCell ref="E10370:H10370"/>
    <mergeCell ref="E10378:F10378"/>
    <mergeCell ref="E10379:F10379"/>
    <mergeCell ref="E10380:F10380"/>
    <mergeCell ref="E10381:F10381"/>
    <mergeCell ref="E10382:F10382"/>
    <mergeCell ref="E10368:H10368"/>
    <mergeCell ref="E10322:H10322"/>
    <mergeCell ref="E10323:H10323"/>
    <mergeCell ref="E10324:H10324"/>
    <mergeCell ref="E10325:H10325"/>
    <mergeCell ref="E10326:H10326"/>
    <mergeCell ref="E10327:H10327"/>
    <mergeCell ref="E10328:H10328"/>
    <mergeCell ref="E10329:H10329"/>
    <mergeCell ref="E10330:H10330"/>
    <mergeCell ref="E10331:F10331"/>
    <mergeCell ref="E10332:F10332"/>
    <mergeCell ref="E10333:F10333"/>
    <mergeCell ref="E10334:F10334"/>
    <mergeCell ref="E10335:F10335"/>
    <mergeCell ref="E10336:F10336"/>
    <mergeCell ref="E10337:F10337"/>
    <mergeCell ref="E10338:F10338"/>
    <mergeCell ref="E10345:H10345"/>
    <mergeCell ref="E10346:H10346"/>
    <mergeCell ref="E10347:H10347"/>
    <mergeCell ref="E10348:H10348"/>
    <mergeCell ref="E10349:H10349"/>
    <mergeCell ref="E10350:H10350"/>
    <mergeCell ref="E10351:H10351"/>
    <mergeCell ref="E10352:H10352"/>
    <mergeCell ref="E10342:F10342"/>
    <mergeCell ref="E10343:F10343"/>
    <mergeCell ref="E10344:F10344"/>
    <mergeCell ref="E10354:F10354"/>
    <mergeCell ref="E10355:F10355"/>
    <mergeCell ref="E10356:F10356"/>
    <mergeCell ref="E10357:F10357"/>
    <mergeCell ref="E10358:F10358"/>
    <mergeCell ref="E10235:F10235"/>
    <mergeCell ref="E10266:H10266"/>
    <mergeCell ref="E10267:H10267"/>
    <mergeCell ref="E10268:H10268"/>
    <mergeCell ref="E10269:H10269"/>
    <mergeCell ref="E10300:F10300"/>
    <mergeCell ref="E10272:F10272"/>
    <mergeCell ref="E10270:F10270"/>
    <mergeCell ref="E10281:F10281"/>
    <mergeCell ref="E10282:F10282"/>
    <mergeCell ref="E10263:H10263"/>
    <mergeCell ref="E10264:H10264"/>
    <mergeCell ref="E10265:H10265"/>
    <mergeCell ref="E10250:F10250"/>
    <mergeCell ref="E10251:F10251"/>
    <mergeCell ref="E10253:F10253"/>
    <mergeCell ref="E10256:F10256"/>
    <mergeCell ref="E10252:F10252"/>
    <mergeCell ref="E10257:F10257"/>
    <mergeCell ref="E10297:F10297"/>
    <mergeCell ref="E10284:F10284"/>
    <mergeCell ref="E10290:H10290"/>
    <mergeCell ref="E10291:H10291"/>
    <mergeCell ref="E10292:H10292"/>
    <mergeCell ref="E10296:F10296"/>
    <mergeCell ref="E10314:F10314"/>
    <mergeCell ref="E10315:F10315"/>
    <mergeCell ref="E10316:H10316"/>
    <mergeCell ref="E10317:H10317"/>
    <mergeCell ref="E10318:H10318"/>
    <mergeCell ref="E10319:H10319"/>
    <mergeCell ref="E10320:H10320"/>
    <mergeCell ref="E10321:H10321"/>
    <mergeCell ref="E10236:F10236"/>
    <mergeCell ref="E10237:F10237"/>
    <mergeCell ref="E10238:F10238"/>
    <mergeCell ref="E10239:F10239"/>
    <mergeCell ref="E10240:F10240"/>
    <mergeCell ref="E10241:F10241"/>
    <mergeCell ref="E10244:H10244"/>
    <mergeCell ref="E10245:H10245"/>
    <mergeCell ref="E10246:H10246"/>
    <mergeCell ref="E10247:H10247"/>
    <mergeCell ref="E10248:H10248"/>
    <mergeCell ref="E10249:H10249"/>
    <mergeCell ref="E10260:F10260"/>
    <mergeCell ref="E10261:F10261"/>
    <mergeCell ref="E10275:H10275"/>
    <mergeCell ref="E10276:H10276"/>
    <mergeCell ref="E10277:H10277"/>
    <mergeCell ref="E10285:F10285"/>
    <mergeCell ref="E10279:F10279"/>
    <mergeCell ref="E10280:F10280"/>
    <mergeCell ref="E10286:F10286"/>
    <mergeCell ref="E10287:F10287"/>
    <mergeCell ref="E10289:F10289"/>
    <mergeCell ref="E10293:H10293"/>
    <mergeCell ref="E10294:H10294"/>
    <mergeCell ref="E10295:H10295"/>
    <mergeCell ref="E10308:F10308"/>
    <mergeCell ref="E10309:F10309"/>
    <mergeCell ref="E10254:F10254"/>
    <mergeCell ref="E10255:F10255"/>
    <mergeCell ref="E10243:H10243"/>
    <mergeCell ref="E10312:F10312"/>
    <mergeCell ref="E10313:F10313"/>
    <mergeCell ref="E10301:F10301"/>
    <mergeCell ref="E10302:F10302"/>
    <mergeCell ref="E10303:F10303"/>
    <mergeCell ref="E10304:F10304"/>
    <mergeCell ref="E10305:F10305"/>
    <mergeCell ref="E10306:F10306"/>
    <mergeCell ref="E10307:F10307"/>
    <mergeCell ref="E10259:F10259"/>
    <mergeCell ref="E10002:F10002"/>
    <mergeCell ref="E10011:F10011"/>
    <mergeCell ref="E10025:H10025"/>
    <mergeCell ref="E10026:H10026"/>
    <mergeCell ref="E10033:F10033"/>
    <mergeCell ref="E10037:H10037"/>
    <mergeCell ref="E10038:H10038"/>
    <mergeCell ref="E10039:H10039"/>
    <mergeCell ref="E10040:H10040"/>
    <mergeCell ref="E10051:F10051"/>
    <mergeCell ref="E10052:F10052"/>
    <mergeCell ref="E10053:F10053"/>
    <mergeCell ref="E10054:F10054"/>
    <mergeCell ref="E10055:F10055"/>
    <mergeCell ref="E10056:F10056"/>
    <mergeCell ref="E10027:H10027"/>
    <mergeCell ref="E10028:H10028"/>
    <mergeCell ref="E10029:H10029"/>
    <mergeCell ref="E10030:H10030"/>
    <mergeCell ref="E10031:H10031"/>
    <mergeCell ref="E10144:H10144"/>
    <mergeCell ref="E10145:H10145"/>
    <mergeCell ref="E10146:H10146"/>
    <mergeCell ref="E10147:H10147"/>
    <mergeCell ref="E10154:F10154"/>
    <mergeCell ref="E10155:F10155"/>
    <mergeCell ref="E10136:F10136"/>
    <mergeCell ref="E10137:F10137"/>
    <mergeCell ref="E10067:F10067"/>
    <mergeCell ref="E10099:H10099"/>
    <mergeCell ref="E10049:F10049"/>
    <mergeCell ref="E10050:F10050"/>
    <mergeCell ref="E10007:H10007"/>
    <mergeCell ref="E10009:H10009"/>
    <mergeCell ref="E10010:H10010"/>
    <mergeCell ref="E10018:F10018"/>
    <mergeCell ref="E10019:F10019"/>
    <mergeCell ref="E10057:F10057"/>
    <mergeCell ref="E10059:F10059"/>
    <mergeCell ref="E10060:F10060"/>
    <mergeCell ref="E10072:H10072"/>
    <mergeCell ref="E10073:H10073"/>
    <mergeCell ref="E10074:H10074"/>
    <mergeCell ref="E10075:H10075"/>
    <mergeCell ref="E10076:H10076"/>
    <mergeCell ref="E10078:F10078"/>
    <mergeCell ref="E10079:F10079"/>
    <mergeCell ref="E10080:F10080"/>
    <mergeCell ref="E10081:F10081"/>
    <mergeCell ref="E10082:F10082"/>
    <mergeCell ref="E10083:F10083"/>
    <mergeCell ref="E10084:F10084"/>
    <mergeCell ref="E10092:H10092"/>
    <mergeCell ref="E10093:H10093"/>
    <mergeCell ref="E10006:H10006"/>
    <mergeCell ref="E10035:F10035"/>
    <mergeCell ref="E10036:F10036"/>
    <mergeCell ref="E10024:F10024"/>
    <mergeCell ref="E9926:F9926"/>
    <mergeCell ref="E9927:F9927"/>
    <mergeCell ref="E9933:H9933"/>
    <mergeCell ref="E9934:H9934"/>
    <mergeCell ref="E9935:H9935"/>
    <mergeCell ref="E9936:H9936"/>
    <mergeCell ref="E9937:H9937"/>
    <mergeCell ref="E9938:H9938"/>
    <mergeCell ref="E9939:H9939"/>
    <mergeCell ref="E9940:H9940"/>
    <mergeCell ref="E9943:F9943"/>
    <mergeCell ref="E9944:F9944"/>
    <mergeCell ref="E9945:F9945"/>
    <mergeCell ref="E9946:F9946"/>
    <mergeCell ref="E9947:F9947"/>
    <mergeCell ref="E9948:F9948"/>
    <mergeCell ref="E9954:F9954"/>
    <mergeCell ref="E9955:F9955"/>
    <mergeCell ref="E9956:F9956"/>
    <mergeCell ref="E9957:F9957"/>
    <mergeCell ref="E9958:F9958"/>
    <mergeCell ref="E9959:H9959"/>
    <mergeCell ref="E9960:H9960"/>
    <mergeCell ref="E9961:H9961"/>
    <mergeCell ref="E9962:H9962"/>
    <mergeCell ref="E9963:H9963"/>
    <mergeCell ref="E9964:H9964"/>
    <mergeCell ref="E9965:H9965"/>
    <mergeCell ref="E9966:H9966"/>
    <mergeCell ref="E9971:F9971"/>
    <mergeCell ref="E9974:F9974"/>
    <mergeCell ref="E9975:F9975"/>
    <mergeCell ref="E9949:F9949"/>
    <mergeCell ref="E9950:F9950"/>
    <mergeCell ref="E9951:F9951"/>
    <mergeCell ref="E9952:F9952"/>
    <mergeCell ref="E9967:F9967"/>
    <mergeCell ref="E9968:F9968"/>
    <mergeCell ref="E9942:H9942"/>
    <mergeCell ref="E9928:F9928"/>
    <mergeCell ref="E9929:F9929"/>
    <mergeCell ref="E9930:F9930"/>
    <mergeCell ref="E9931:F9931"/>
    <mergeCell ref="E9932:F9932"/>
    <mergeCell ref="E9941:H9941"/>
    <mergeCell ref="E9953:F9953"/>
    <mergeCell ref="E9969:F9969"/>
    <mergeCell ref="E9970:F9970"/>
    <mergeCell ref="E9972:F9972"/>
    <mergeCell ref="E9973:F9973"/>
    <mergeCell ref="E9976:F9976"/>
    <mergeCell ref="E9977:F9977"/>
    <mergeCell ref="E9978:F9978"/>
    <mergeCell ref="E9979:F9979"/>
    <mergeCell ref="E9981:H9981"/>
    <mergeCell ref="E9998:F9998"/>
    <mergeCell ref="E9982:H9982"/>
    <mergeCell ref="E9999:F9999"/>
    <mergeCell ref="E10000:F10000"/>
    <mergeCell ref="E10001:F10001"/>
    <mergeCell ref="E9980:F9980"/>
    <mergeCell ref="E9988:H9988"/>
    <mergeCell ref="E9994:F9994"/>
    <mergeCell ref="E9995:F9995"/>
    <mergeCell ref="E9892:H9892"/>
    <mergeCell ref="E9893:H9893"/>
    <mergeCell ref="E9894:H9894"/>
    <mergeCell ref="E9895:H9895"/>
    <mergeCell ref="E9899:F9899"/>
    <mergeCell ref="E9900:F9900"/>
    <mergeCell ref="E9901:F9901"/>
    <mergeCell ref="E9902:F9902"/>
    <mergeCell ref="E9903:F9903"/>
    <mergeCell ref="E9904:F9904"/>
    <mergeCell ref="E9905:F9905"/>
    <mergeCell ref="E9906:F9906"/>
    <mergeCell ref="E9910:H9910"/>
    <mergeCell ref="E9911:H9911"/>
    <mergeCell ref="E9912:H9912"/>
    <mergeCell ref="E9913:H9913"/>
    <mergeCell ref="E9914:H9914"/>
    <mergeCell ref="E9915:H9915"/>
    <mergeCell ref="E9916:H9916"/>
    <mergeCell ref="E9917:H9917"/>
    <mergeCell ref="E9920:F9920"/>
    <mergeCell ref="E9921:F9921"/>
    <mergeCell ref="E9922:F9922"/>
    <mergeCell ref="E9923:F9923"/>
    <mergeCell ref="E9924:F9924"/>
    <mergeCell ref="E9885:H9885"/>
    <mergeCell ref="E9896:F9896"/>
    <mergeCell ref="E9907:F9907"/>
    <mergeCell ref="E9908:F9908"/>
    <mergeCell ref="E9909:F9909"/>
    <mergeCell ref="E9918:F9918"/>
    <mergeCell ref="E9919:F9919"/>
    <mergeCell ref="E9925:F9925"/>
    <mergeCell ref="E9983:H9983"/>
    <mergeCell ref="E9984:H9984"/>
    <mergeCell ref="E9985:H9985"/>
    <mergeCell ref="E9986:H9986"/>
    <mergeCell ref="E9987:H9987"/>
    <mergeCell ref="E9890:H9890"/>
    <mergeCell ref="E9891:H9891"/>
    <mergeCell ref="G9793:G9794"/>
    <mergeCell ref="H9793:H9794"/>
    <mergeCell ref="E9799:H9799"/>
    <mergeCell ref="E9800:H9800"/>
    <mergeCell ref="E9806:H9806"/>
    <mergeCell ref="G9813:G9814"/>
    <mergeCell ref="H9813:H9814"/>
    <mergeCell ref="E9819:H9819"/>
    <mergeCell ref="E9820:H9820"/>
    <mergeCell ref="E9822:H9822"/>
    <mergeCell ref="E9823:H9823"/>
    <mergeCell ref="E9824:H9824"/>
    <mergeCell ref="E9825:H9825"/>
    <mergeCell ref="E9827:F9827"/>
    <mergeCell ref="E9829:F9829"/>
    <mergeCell ref="E9830:F9830"/>
    <mergeCell ref="E9834:H9834"/>
    <mergeCell ref="E9836:F9836"/>
    <mergeCell ref="E9837:F9837"/>
    <mergeCell ref="E9838:F9838"/>
    <mergeCell ref="E9839:F9839"/>
    <mergeCell ref="E9854:F9854"/>
    <mergeCell ref="E9855:F9855"/>
    <mergeCell ref="E9856:F9856"/>
    <mergeCell ref="E9862:H9862"/>
    <mergeCell ref="E9876:F9876"/>
    <mergeCell ref="E9826:H9826"/>
    <mergeCell ref="E9832:H9832"/>
    <mergeCell ref="E9833:H9833"/>
    <mergeCell ref="E9841:F9841"/>
    <mergeCell ref="E9842:F9842"/>
    <mergeCell ref="E9843:F9843"/>
    <mergeCell ref="E9844:F9844"/>
    <mergeCell ref="E9845:F9845"/>
    <mergeCell ref="E9847:F9847"/>
    <mergeCell ref="E9848:F9848"/>
    <mergeCell ref="E9849:F9849"/>
    <mergeCell ref="E9850:F9850"/>
    <mergeCell ref="E9851:F9851"/>
    <mergeCell ref="E9852:F9852"/>
    <mergeCell ref="E9853:F9853"/>
    <mergeCell ref="E9858:H9858"/>
    <mergeCell ref="E9859:H9859"/>
    <mergeCell ref="E9807:F9807"/>
    <mergeCell ref="E9808:F9808"/>
    <mergeCell ref="E9805:H9805"/>
    <mergeCell ref="E9810:F9810"/>
    <mergeCell ref="E9811:F9811"/>
    <mergeCell ref="E9812:F9812"/>
    <mergeCell ref="E9797:F9797"/>
    <mergeCell ref="E9801:H9801"/>
    <mergeCell ref="E9802:H9802"/>
    <mergeCell ref="E9803:H9803"/>
    <mergeCell ref="E9804:H9804"/>
    <mergeCell ref="E9815:F9815"/>
    <mergeCell ref="E9816:F9816"/>
    <mergeCell ref="E9817:F9817"/>
    <mergeCell ref="E9818:F9818"/>
    <mergeCell ref="E9821:H9821"/>
    <mergeCell ref="E9861:H9861"/>
    <mergeCell ref="E9873:F9873"/>
    <mergeCell ref="E9874:F9874"/>
    <mergeCell ref="E9875:F9875"/>
    <mergeCell ref="E9869:F9869"/>
    <mergeCell ref="E9699:H9699"/>
    <mergeCell ref="E9700:H9700"/>
    <mergeCell ref="E9704:F9704"/>
    <mergeCell ref="E9705:F9705"/>
    <mergeCell ref="E9706:F9706"/>
    <mergeCell ref="E9707:F9707"/>
    <mergeCell ref="E9708:F9708"/>
    <mergeCell ref="G9709:G9710"/>
    <mergeCell ref="H9709:H9710"/>
    <mergeCell ref="E9715:H9715"/>
    <mergeCell ref="E9716:H9716"/>
    <mergeCell ref="E9717:H9717"/>
    <mergeCell ref="E9718:H9718"/>
    <mergeCell ref="E9719:H9719"/>
    <mergeCell ref="E9720:H9720"/>
    <mergeCell ref="E9721:H9721"/>
    <mergeCell ref="E9723:F9723"/>
    <mergeCell ref="E9724:F9724"/>
    <mergeCell ref="E9725:F9725"/>
    <mergeCell ref="E9726:F9726"/>
    <mergeCell ref="E9727:F9727"/>
    <mergeCell ref="E9728:F9728"/>
    <mergeCell ref="E9729:F9729"/>
    <mergeCell ref="G9730:G9731"/>
    <mergeCell ref="H9730:H9731"/>
    <mergeCell ref="E9736:H9736"/>
    <mergeCell ref="E9737:H9737"/>
    <mergeCell ref="E9738:H9738"/>
    <mergeCell ref="E9739:H9739"/>
    <mergeCell ref="E9740:H9740"/>
    <mergeCell ref="E9741:H9741"/>
    <mergeCell ref="E9714:F9714"/>
    <mergeCell ref="E9713:F9713"/>
    <mergeCell ref="E9711:F9711"/>
    <mergeCell ref="E9712:F9712"/>
    <mergeCell ref="E9722:H9722"/>
    <mergeCell ref="E9701:H9701"/>
    <mergeCell ref="E9702:H9702"/>
    <mergeCell ref="E9703:H9703"/>
    <mergeCell ref="E9788:F9788"/>
    <mergeCell ref="E9789:F9789"/>
    <mergeCell ref="E9790:F9790"/>
    <mergeCell ref="E9791:F9791"/>
    <mergeCell ref="E9792:F9792"/>
    <mergeCell ref="E9766:H9766"/>
    <mergeCell ref="E9629:H9629"/>
    <mergeCell ref="E9630:H9630"/>
    <mergeCell ref="E9631:H9631"/>
    <mergeCell ref="E9632:H9632"/>
    <mergeCell ref="E9633:H9633"/>
    <mergeCell ref="E9634:H9634"/>
    <mergeCell ref="E9640:H9640"/>
    <mergeCell ref="E9641:H9641"/>
    <mergeCell ref="E9644:F9644"/>
    <mergeCell ref="E9645:F9645"/>
    <mergeCell ref="E9646:F9646"/>
    <mergeCell ref="E9647:F9647"/>
    <mergeCell ref="E9648:F9648"/>
    <mergeCell ref="E9649:F9649"/>
    <mergeCell ref="E9650:F9650"/>
    <mergeCell ref="E9666:F9666"/>
    <mergeCell ref="E9672:F9672"/>
    <mergeCell ref="E9673:F9673"/>
    <mergeCell ref="E9674:F9674"/>
    <mergeCell ref="E9680:F9680"/>
    <mergeCell ref="E9681:F9681"/>
    <mergeCell ref="E9682:F9682"/>
    <mergeCell ref="E9683:F9683"/>
    <mergeCell ref="E9684:F9684"/>
    <mergeCell ref="E9685:F9685"/>
    <mergeCell ref="E9688:F9688"/>
    <mergeCell ref="E9690:H9690"/>
    <mergeCell ref="E9691:H9691"/>
    <mergeCell ref="E9692:H9692"/>
    <mergeCell ref="E9693:H9693"/>
    <mergeCell ref="E9694:H9694"/>
    <mergeCell ref="E9695:H9695"/>
    <mergeCell ref="E9696:H9696"/>
    <mergeCell ref="E9669:H9669"/>
    <mergeCell ref="E9675:F9675"/>
    <mergeCell ref="E9676:F9676"/>
    <mergeCell ref="E9677:F9677"/>
    <mergeCell ref="E9670:H9670"/>
    <mergeCell ref="E9671:H9671"/>
    <mergeCell ref="E9656:F9656"/>
    <mergeCell ref="E9657:F9657"/>
    <mergeCell ref="E9689:F9689"/>
    <mergeCell ref="E9678:F9678"/>
    <mergeCell ref="E9679:F9679"/>
    <mergeCell ref="E9687:H9687"/>
    <mergeCell ref="E9635:F9635"/>
    <mergeCell ref="E9637:F9637"/>
    <mergeCell ref="E9638:F9638"/>
    <mergeCell ref="E9653:F9653"/>
    <mergeCell ref="E9665:F9665"/>
    <mergeCell ref="E9642:H9642"/>
    <mergeCell ref="E9651:F9651"/>
    <mergeCell ref="E9652:F9652"/>
    <mergeCell ref="E9667:H9667"/>
    <mergeCell ref="E9668:H9668"/>
    <mergeCell ref="E9743:H9743"/>
    <mergeCell ref="E9697:H9697"/>
    <mergeCell ref="E9698:H9698"/>
    <mergeCell ref="E9556:H9556"/>
    <mergeCell ref="E9558:F9558"/>
    <mergeCell ref="E9559:F9559"/>
    <mergeCell ref="E9563:F9563"/>
    <mergeCell ref="E9564:F9564"/>
    <mergeCell ref="E9567:F9567"/>
    <mergeCell ref="E9568:F9568"/>
    <mergeCell ref="E9577:F9577"/>
    <mergeCell ref="E9578:F9578"/>
    <mergeCell ref="E9579:F9579"/>
    <mergeCell ref="E9580:F9580"/>
    <mergeCell ref="E9589:H9589"/>
    <mergeCell ref="E9590:H9590"/>
    <mergeCell ref="E9591:H9591"/>
    <mergeCell ref="E9592:H9592"/>
    <mergeCell ref="E9593:H9593"/>
    <mergeCell ref="E9594:H9594"/>
    <mergeCell ref="E9597:F9597"/>
    <mergeCell ref="E9598:F9598"/>
    <mergeCell ref="E9599:F9599"/>
    <mergeCell ref="E9600:F9600"/>
    <mergeCell ref="E9601:F9601"/>
    <mergeCell ref="E9602:F9602"/>
    <mergeCell ref="E9608:H9608"/>
    <mergeCell ref="E9609:H9609"/>
    <mergeCell ref="E9610:H9610"/>
    <mergeCell ref="E9611:H9611"/>
    <mergeCell ref="E9612:H9612"/>
    <mergeCell ref="E9613:H9613"/>
    <mergeCell ref="E9604:F9604"/>
    <mergeCell ref="E9605:F9605"/>
    <mergeCell ref="E9606:F9606"/>
    <mergeCell ref="E9607:F9607"/>
    <mergeCell ref="E9586:F9586"/>
    <mergeCell ref="E9582:F9582"/>
    <mergeCell ref="E9569:H9569"/>
    <mergeCell ref="E9584:F9584"/>
    <mergeCell ref="E9585:F9585"/>
    <mergeCell ref="E9595:H9595"/>
    <mergeCell ref="E9596:H9596"/>
    <mergeCell ref="E9574:H9574"/>
    <mergeCell ref="E9575:H9575"/>
    <mergeCell ref="E9576:H9576"/>
    <mergeCell ref="E9587:F9587"/>
    <mergeCell ref="E9588:F9588"/>
    <mergeCell ref="E9581:F9581"/>
    <mergeCell ref="E9583:F9583"/>
    <mergeCell ref="E9557:H9557"/>
    <mergeCell ref="E9439:F9439"/>
    <mergeCell ref="E9440:F9440"/>
    <mergeCell ref="E9441:F9441"/>
    <mergeCell ref="E9442:F9442"/>
    <mergeCell ref="E9443:F9443"/>
    <mergeCell ref="E9447:H9447"/>
    <mergeCell ref="E9448:H9448"/>
    <mergeCell ref="E9449:H9449"/>
    <mergeCell ref="E9450:H9450"/>
    <mergeCell ref="E9451:H9451"/>
    <mergeCell ref="E9456:F9456"/>
    <mergeCell ref="E9457:H9457"/>
    <mergeCell ref="E9458:H9458"/>
    <mergeCell ref="E9459:H9459"/>
    <mergeCell ref="E9460:H9460"/>
    <mergeCell ref="E9462:F9462"/>
    <mergeCell ref="E9463:F9463"/>
    <mergeCell ref="E9464:F9464"/>
    <mergeCell ref="E9465:F9465"/>
    <mergeCell ref="E9466:F9466"/>
    <mergeCell ref="E9467:F9467"/>
    <mergeCell ref="E9468:F9468"/>
    <mergeCell ref="E9477:F9477"/>
    <mergeCell ref="E9479:H9479"/>
    <mergeCell ref="E9470:F9470"/>
    <mergeCell ref="E9472:F9472"/>
    <mergeCell ref="E9473:F9473"/>
    <mergeCell ref="E9474:F9474"/>
    <mergeCell ref="E9475:F9475"/>
    <mergeCell ref="E9551:H9551"/>
    <mergeCell ref="E9552:H9552"/>
    <mergeCell ref="E9553:H9553"/>
    <mergeCell ref="E9555:H9555"/>
    <mergeCell ref="E9536:F9536"/>
    <mergeCell ref="E9548:H9548"/>
    <mergeCell ref="E9480:H9480"/>
    <mergeCell ref="E9481:H9481"/>
    <mergeCell ref="E9485:F9485"/>
    <mergeCell ref="E9486:F9486"/>
    <mergeCell ref="E9487:F9487"/>
    <mergeCell ref="E9488:F9488"/>
    <mergeCell ref="E9489:F9489"/>
    <mergeCell ref="E9500:H9500"/>
    <mergeCell ref="E9503:H9503"/>
    <mergeCell ref="E9512:H9512"/>
    <mergeCell ref="E9514:H9514"/>
    <mergeCell ref="E9515:H9515"/>
    <mergeCell ref="E9517:F9517"/>
    <mergeCell ref="E9518:F9518"/>
    <mergeCell ref="E9519:F9519"/>
    <mergeCell ref="E9520:F9520"/>
    <mergeCell ref="E9528:H9528"/>
    <mergeCell ref="E9529:H9529"/>
    <mergeCell ref="E9531:H9531"/>
    <mergeCell ref="E9532:H9532"/>
    <mergeCell ref="E9533:H9533"/>
    <mergeCell ref="E9534:H9534"/>
    <mergeCell ref="E9535:H9535"/>
    <mergeCell ref="E9537:F9537"/>
    <mergeCell ref="E9543:F9543"/>
    <mergeCell ref="E9544:F9544"/>
    <mergeCell ref="E9545:F9545"/>
    <mergeCell ref="E9546:F9546"/>
    <mergeCell ref="E9547:F9547"/>
    <mergeCell ref="E9415:F9415"/>
    <mergeCell ref="E9416:F9416"/>
    <mergeCell ref="E9417:F9417"/>
    <mergeCell ref="E9418:F9418"/>
    <mergeCell ref="E9419:F9419"/>
    <mergeCell ref="E9420:F9420"/>
    <mergeCell ref="E9425:H9425"/>
    <mergeCell ref="E9426:H9426"/>
    <mergeCell ref="E9427:H9427"/>
    <mergeCell ref="E9428:H9428"/>
    <mergeCell ref="E9434:F9434"/>
    <mergeCell ref="E9399:H9399"/>
    <mergeCell ref="E9408:F9408"/>
    <mergeCell ref="E9409:F9409"/>
    <mergeCell ref="E9411:F9411"/>
    <mergeCell ref="E9412:F9412"/>
    <mergeCell ref="E9413:F9413"/>
    <mergeCell ref="E9414:F9414"/>
    <mergeCell ref="E9372:H9372"/>
    <mergeCell ref="E9382:F9382"/>
    <mergeCell ref="E9407:F9407"/>
    <mergeCell ref="E9373:H9373"/>
    <mergeCell ref="E9374:H9374"/>
    <mergeCell ref="E9375:H9375"/>
    <mergeCell ref="E9376:H9376"/>
    <mergeCell ref="E9385:F9385"/>
    <mergeCell ref="E9386:F9386"/>
    <mergeCell ref="E9430:F9430"/>
    <mergeCell ref="E9377:H9377"/>
    <mergeCell ref="E9388:F9388"/>
    <mergeCell ref="E9389:F9389"/>
    <mergeCell ref="E9390:F9390"/>
    <mergeCell ref="E9391:F9391"/>
    <mergeCell ref="E9365:F9365"/>
    <mergeCell ref="E9366:F9366"/>
    <mergeCell ref="E9367:F9367"/>
    <mergeCell ref="E9368:F9368"/>
    <mergeCell ref="E9369:F9369"/>
    <mergeCell ref="E9336:F9336"/>
    <mergeCell ref="E9339:F9339"/>
    <mergeCell ref="E9346:F9346"/>
    <mergeCell ref="E9347:F9347"/>
    <mergeCell ref="E9337:F9337"/>
    <mergeCell ref="E9338:F9338"/>
    <mergeCell ref="E9370:F9370"/>
    <mergeCell ref="E9371:F9371"/>
    <mergeCell ref="E9378:H9378"/>
    <mergeCell ref="E9379:H9379"/>
    <mergeCell ref="E9380:H9380"/>
    <mergeCell ref="E9381:H9381"/>
    <mergeCell ref="E9387:F9387"/>
    <mergeCell ref="E9392:F9392"/>
    <mergeCell ref="E9393:F9393"/>
    <mergeCell ref="E9394:F9394"/>
    <mergeCell ref="E9395:F9395"/>
    <mergeCell ref="E9396:F9396"/>
    <mergeCell ref="E9397:F9397"/>
    <mergeCell ref="E9398:F9398"/>
    <mergeCell ref="E9400:H9400"/>
    <mergeCell ref="E9401:H9401"/>
    <mergeCell ref="E9402:H9402"/>
    <mergeCell ref="E9403:H9403"/>
    <mergeCell ref="E9404:H9404"/>
    <mergeCell ref="E9405:H9405"/>
    <mergeCell ref="E9406:H9406"/>
    <mergeCell ref="E9410:F9410"/>
    <mergeCell ref="E9269:H9269"/>
    <mergeCell ref="E9271:H9271"/>
    <mergeCell ref="E9272:H9272"/>
    <mergeCell ref="E9281:F9281"/>
    <mergeCell ref="E9282:F9282"/>
    <mergeCell ref="E9286:H9286"/>
    <mergeCell ref="E9290:H9290"/>
    <mergeCell ref="E9293:H9293"/>
    <mergeCell ref="E9301:F9301"/>
    <mergeCell ref="E9303:F9303"/>
    <mergeCell ref="E9306:F9306"/>
    <mergeCell ref="G9306:H9306"/>
    <mergeCell ref="E9307:F9307"/>
    <mergeCell ref="E9308:F9308"/>
    <mergeCell ref="E9310:H9310"/>
    <mergeCell ref="E9311:H9311"/>
    <mergeCell ref="E9315:H9315"/>
    <mergeCell ref="E9316:H9316"/>
    <mergeCell ref="E9319:H9319"/>
    <mergeCell ref="E9320:H9320"/>
    <mergeCell ref="E9321:H9321"/>
    <mergeCell ref="E9322:H9322"/>
    <mergeCell ref="E9295:H9295"/>
    <mergeCell ref="E9296:H9296"/>
    <mergeCell ref="E9297:H9297"/>
    <mergeCell ref="E9288:F9288"/>
    <mergeCell ref="E9289:F9289"/>
    <mergeCell ref="E9291:F9291"/>
    <mergeCell ref="E9292:F9292"/>
    <mergeCell ref="E9275:H9275"/>
    <mergeCell ref="E9283:F9283"/>
    <mergeCell ref="E9270:F9270"/>
    <mergeCell ref="E9273:F9273"/>
    <mergeCell ref="E9274:F9274"/>
    <mergeCell ref="E9276:H9276"/>
    <mergeCell ref="E9277:H9277"/>
    <mergeCell ref="E9278:H9278"/>
    <mergeCell ref="E9279:H9279"/>
    <mergeCell ref="E9280:H9280"/>
    <mergeCell ref="E9287:F9287"/>
    <mergeCell ref="E9294:H9294"/>
    <mergeCell ref="E9304:F9304"/>
    <mergeCell ref="E9314:F9314"/>
    <mergeCell ref="E9284:F9284"/>
    <mergeCell ref="E9285:F9285"/>
    <mergeCell ref="E9246:H9246"/>
    <mergeCell ref="E9247:H9247"/>
    <mergeCell ref="E9248:H9248"/>
    <mergeCell ref="E9249:H9249"/>
    <mergeCell ref="E9210:F9210"/>
    <mergeCell ref="E9220:F9220"/>
    <mergeCell ref="E9211:F9211"/>
    <mergeCell ref="E9216:H9216"/>
    <mergeCell ref="E9230:F9230"/>
    <mergeCell ref="E9231:F9231"/>
    <mergeCell ref="E9232:F9232"/>
    <mergeCell ref="E9241:H9241"/>
    <mergeCell ref="E9242:H9242"/>
    <mergeCell ref="E9255:F9255"/>
    <mergeCell ref="E9257:F9257"/>
    <mergeCell ref="E9258:F9258"/>
    <mergeCell ref="E9259:F9259"/>
    <mergeCell ref="E9260:F9260"/>
    <mergeCell ref="E9263:H9263"/>
    <mergeCell ref="E9264:H9264"/>
    <mergeCell ref="E9256:H9256"/>
    <mergeCell ref="E9236:H9236"/>
    <mergeCell ref="E9261:H9261"/>
    <mergeCell ref="E9262:H9262"/>
    <mergeCell ref="E9250:F9250"/>
    <mergeCell ref="E9251:F9251"/>
    <mergeCell ref="E9252:F9252"/>
    <mergeCell ref="E9253:F9253"/>
    <mergeCell ref="E9254:F9254"/>
    <mergeCell ref="E9265:H9265"/>
    <mergeCell ref="E9266:H9266"/>
    <mergeCell ref="E9267:H9267"/>
    <mergeCell ref="E9268:H9268"/>
    <mergeCell ref="E9169:F9169"/>
    <mergeCell ref="E9160:H9160"/>
    <mergeCell ref="E9161:H9161"/>
    <mergeCell ref="E9162:H9162"/>
    <mergeCell ref="E9207:H9207"/>
    <mergeCell ref="E9208:H9208"/>
    <mergeCell ref="E9209:H9209"/>
    <mergeCell ref="E9212:F9212"/>
    <mergeCell ref="E9213:F9213"/>
    <mergeCell ref="E9214:F9214"/>
    <mergeCell ref="E9215:F9215"/>
    <mergeCell ref="E9217:F9217"/>
    <mergeCell ref="E9218:F9218"/>
    <mergeCell ref="E9219:F9219"/>
    <mergeCell ref="E9221:H9221"/>
    <mergeCell ref="E9222:H9222"/>
    <mergeCell ref="E9223:H9223"/>
    <mergeCell ref="E9224:H9224"/>
    <mergeCell ref="E9225:H9225"/>
    <mergeCell ref="E9226:H9226"/>
    <mergeCell ref="E9227:H9227"/>
    <mergeCell ref="E9228:H9228"/>
    <mergeCell ref="E9229:H9229"/>
    <mergeCell ref="E9233:F9233"/>
    <mergeCell ref="E9234:F9234"/>
    <mergeCell ref="E9235:F9235"/>
    <mergeCell ref="E9237:F9237"/>
    <mergeCell ref="E9238:F9238"/>
    <mergeCell ref="E9239:F9239"/>
    <mergeCell ref="E9240:F9240"/>
    <mergeCell ref="E9243:H9243"/>
    <mergeCell ref="E9244:H9244"/>
    <mergeCell ref="E9245:H9245"/>
    <mergeCell ref="E9109:F9109"/>
    <mergeCell ref="E9111:H9111"/>
    <mergeCell ref="E9112:H9112"/>
    <mergeCell ref="E9113:H9113"/>
    <mergeCell ref="E9114:H9114"/>
    <mergeCell ref="E9115:H9115"/>
    <mergeCell ref="E9142:H9142"/>
    <mergeCell ref="E9131:H9131"/>
    <mergeCell ref="E9096:F9096"/>
    <mergeCell ref="E9097:F9097"/>
    <mergeCell ref="E9154:F9154"/>
    <mergeCell ref="E9159:H9159"/>
    <mergeCell ref="E9116:H9116"/>
    <mergeCell ref="E9117:H9117"/>
    <mergeCell ref="E9126:F9126"/>
    <mergeCell ref="E9127:F9127"/>
    <mergeCell ref="E9129:F9129"/>
    <mergeCell ref="E9110:H9110"/>
    <mergeCell ref="E9136:H9136"/>
    <mergeCell ref="E9137:H9137"/>
    <mergeCell ref="E9139:H9139"/>
    <mergeCell ref="E9148:F9148"/>
    <mergeCell ref="E9149:F9149"/>
    <mergeCell ref="E9150:F9150"/>
    <mergeCell ref="E9151:F9151"/>
    <mergeCell ref="E9153:F9153"/>
    <mergeCell ref="E9152:H9152"/>
    <mergeCell ref="E9155:F9155"/>
    <mergeCell ref="E9157:H9157"/>
    <mergeCell ref="E9158:H9158"/>
    <mergeCell ref="E9102:F9102"/>
    <mergeCell ref="E9156:F9156"/>
    <mergeCell ref="E9100:F9100"/>
    <mergeCell ref="E9101:F9101"/>
    <mergeCell ref="E9022:F9022"/>
    <mergeCell ref="E9023:F9023"/>
    <mergeCell ref="E9024:F9024"/>
    <mergeCell ref="E9025:F9025"/>
    <mergeCell ref="E9018:F9018"/>
    <mergeCell ref="E8996:F8996"/>
    <mergeCell ref="E8995:F8995"/>
    <mergeCell ref="E9017:F9017"/>
    <mergeCell ref="E9062:H9062"/>
    <mergeCell ref="E9064:F9064"/>
    <mergeCell ref="E9067:H9067"/>
    <mergeCell ref="E9068:H9068"/>
    <mergeCell ref="E9071:F9071"/>
    <mergeCell ref="E9072:F9072"/>
    <mergeCell ref="E8937:H8937"/>
    <mergeCell ref="E8985:F8985"/>
    <mergeCell ref="E8993:H8993"/>
    <mergeCell ref="E8994:H8994"/>
    <mergeCell ref="E8997:F8997"/>
    <mergeCell ref="E8998:F8998"/>
    <mergeCell ref="E8991:H8991"/>
    <mergeCell ref="E8992:H8992"/>
    <mergeCell ref="E9030:H9030"/>
    <mergeCell ref="E9001:F9001"/>
    <mergeCell ref="E9002:F9002"/>
    <mergeCell ref="E9003:F9003"/>
    <mergeCell ref="E9004:F9004"/>
    <mergeCell ref="E9005:F9005"/>
    <mergeCell ref="E9006:F9006"/>
    <mergeCell ref="E9007:F9007"/>
    <mergeCell ref="E9015:H9015"/>
    <mergeCell ref="E9016:H9016"/>
    <mergeCell ref="E9021:F9021"/>
    <mergeCell ref="E9026:F9026"/>
    <mergeCell ref="E9027:F9027"/>
    <mergeCell ref="E9028:F9028"/>
    <mergeCell ref="E9029:F9029"/>
    <mergeCell ref="E9034:H9034"/>
    <mergeCell ref="E9035:H9035"/>
    <mergeCell ref="E9036:H9036"/>
    <mergeCell ref="E9037:H9037"/>
    <mergeCell ref="E9038:H9038"/>
    <mergeCell ref="E9042:F9042"/>
    <mergeCell ref="E9047:F9047"/>
    <mergeCell ref="E9048:F9048"/>
    <mergeCell ref="E9049:F9049"/>
    <mergeCell ref="E9050:F9050"/>
    <mergeCell ref="E9051:F9051"/>
    <mergeCell ref="E9057:H9057"/>
    <mergeCell ref="E9058:H9058"/>
    <mergeCell ref="E9059:H9059"/>
    <mergeCell ref="E9069:H9069"/>
    <mergeCell ref="E9056:H9056"/>
    <mergeCell ref="E9065:F9065"/>
    <mergeCell ref="E9008:H9008"/>
    <mergeCell ref="E9009:H9009"/>
    <mergeCell ref="E9020:F9020"/>
    <mergeCell ref="E8968:H8968"/>
    <mergeCell ref="E8970:H8970"/>
    <mergeCell ref="E8978:F8978"/>
    <mergeCell ref="E8979:F8979"/>
    <mergeCell ref="E8980:F8980"/>
    <mergeCell ref="E8981:F8981"/>
    <mergeCell ref="E9052:H9052"/>
    <mergeCell ref="E8923:H8923"/>
    <mergeCell ref="E8925:F8925"/>
    <mergeCell ref="E8926:F8926"/>
    <mergeCell ref="E8922:H8922"/>
    <mergeCell ref="E8946:F8946"/>
    <mergeCell ref="E8971:F8971"/>
    <mergeCell ref="E8972:F8972"/>
    <mergeCell ref="E8947:F8947"/>
    <mergeCell ref="E8948:F8948"/>
    <mergeCell ref="E8944:H8944"/>
    <mergeCell ref="E8945:H8945"/>
    <mergeCell ref="E8952:F8952"/>
    <mergeCell ref="E8953:F8953"/>
    <mergeCell ref="E8954:F8954"/>
    <mergeCell ref="E8955:F8955"/>
    <mergeCell ref="E8956:F8956"/>
    <mergeCell ref="E8957:F8957"/>
    <mergeCell ref="E8958:F8958"/>
    <mergeCell ref="E8959:F8959"/>
    <mergeCell ref="E8962:H8962"/>
    <mergeCell ref="E8969:H8969"/>
    <mergeCell ref="E8974:F8974"/>
    <mergeCell ref="E8975:F8975"/>
    <mergeCell ref="E8973:F8973"/>
    <mergeCell ref="E8949:F8949"/>
    <mergeCell ref="E8950:F8950"/>
    <mergeCell ref="E8951:F8951"/>
    <mergeCell ref="E8976:F8976"/>
    <mergeCell ref="E8977:F8977"/>
    <mergeCell ref="E8924:F8924"/>
    <mergeCell ref="E8827:F8827"/>
    <mergeCell ref="E8828:H8828"/>
    <mergeCell ref="E8829:H8829"/>
    <mergeCell ref="E8830:H8830"/>
    <mergeCell ref="E8831:H8831"/>
    <mergeCell ref="E8832:H8832"/>
    <mergeCell ref="E8833:H8833"/>
    <mergeCell ref="E8834:H8834"/>
    <mergeCell ref="E8835:H8835"/>
    <mergeCell ref="E8837:F8837"/>
    <mergeCell ref="E8842:F8842"/>
    <mergeCell ref="E8843:F8843"/>
    <mergeCell ref="E8844:F8844"/>
    <mergeCell ref="E8845:F8845"/>
    <mergeCell ref="E8882:F8882"/>
    <mergeCell ref="E8913:H8913"/>
    <mergeCell ref="E8914:H8914"/>
    <mergeCell ref="E8928:F8928"/>
    <mergeCell ref="E8929:F8929"/>
    <mergeCell ref="E8930:F8930"/>
    <mergeCell ref="E8931:F8931"/>
    <mergeCell ref="E8932:F8932"/>
    <mergeCell ref="E8933:F8933"/>
    <mergeCell ref="E8934:F8934"/>
    <mergeCell ref="E8935:F8935"/>
    <mergeCell ref="E8938:H8938"/>
    <mergeCell ref="E8939:H8939"/>
    <mergeCell ref="E8960:H8960"/>
    <mergeCell ref="E8961:H8961"/>
    <mergeCell ref="E8963:H8963"/>
    <mergeCell ref="E8964:H8964"/>
    <mergeCell ref="E8965:H8965"/>
    <mergeCell ref="E8966:H8966"/>
    <mergeCell ref="E8918:H8918"/>
    <mergeCell ref="E8846:F8846"/>
    <mergeCell ref="E8847:F8847"/>
    <mergeCell ref="E8853:H8853"/>
    <mergeCell ref="E8854:H8854"/>
    <mergeCell ref="E8855:H8855"/>
    <mergeCell ref="E8862:H8862"/>
    <mergeCell ref="E8863:H8863"/>
    <mergeCell ref="E8866:F8866"/>
    <mergeCell ref="E8867:F8867"/>
    <mergeCell ref="E8757:H8757"/>
    <mergeCell ref="E8758:H8758"/>
    <mergeCell ref="E8759:H8759"/>
    <mergeCell ref="E8760:H8760"/>
    <mergeCell ref="E8719:F8719"/>
    <mergeCell ref="E8698:F8698"/>
    <mergeCell ref="E8705:F8705"/>
    <mergeCell ref="E8668:H8668"/>
    <mergeCell ref="E8802:F8802"/>
    <mergeCell ref="E8669:H8669"/>
    <mergeCell ref="E8670:H8670"/>
    <mergeCell ref="E8671:H8671"/>
    <mergeCell ref="E8836:F8836"/>
    <mergeCell ref="E8839:F8839"/>
    <mergeCell ref="E8784:F8784"/>
    <mergeCell ref="E8785:F8785"/>
    <mergeCell ref="E8786:F8786"/>
    <mergeCell ref="E8702:F8702"/>
    <mergeCell ref="E8703:F8703"/>
    <mergeCell ref="E8782:F8782"/>
    <mergeCell ref="E8783:F8783"/>
    <mergeCell ref="E8762:F8762"/>
    <mergeCell ref="E8763:F8763"/>
    <mergeCell ref="E8766:F8766"/>
    <mergeCell ref="E8772:H8772"/>
    <mergeCell ref="E8804:F8804"/>
    <mergeCell ref="E8780:F8780"/>
    <mergeCell ref="E8781:F8781"/>
    <mergeCell ref="E8787:H8787"/>
    <mergeCell ref="E8788:H8788"/>
    <mergeCell ref="E8789:H8789"/>
    <mergeCell ref="E8805:F8805"/>
    <mergeCell ref="E8806:F8806"/>
    <mergeCell ref="E8812:H8812"/>
    <mergeCell ref="E8815:F8815"/>
    <mergeCell ref="E8816:F8816"/>
    <mergeCell ref="E8840:F8840"/>
    <mergeCell ref="E8838:F8838"/>
    <mergeCell ref="E8807:H8807"/>
    <mergeCell ref="E8808:H8808"/>
    <mergeCell ref="E8809:H8809"/>
    <mergeCell ref="E8810:H8810"/>
    <mergeCell ref="E8811:H8811"/>
    <mergeCell ref="E8813:H8813"/>
    <mergeCell ref="E8814:H8814"/>
    <mergeCell ref="E8817:F8817"/>
    <mergeCell ref="E8818:F8818"/>
    <mergeCell ref="E8819:F8819"/>
    <mergeCell ref="E8820:F8820"/>
    <mergeCell ref="E8821:F8821"/>
    <mergeCell ref="E8822:F8822"/>
    <mergeCell ref="E8823:F8823"/>
    <mergeCell ref="E8824:F8824"/>
    <mergeCell ref="E8825:F8825"/>
    <mergeCell ref="E8826:F8826"/>
    <mergeCell ref="E8535:F8535"/>
    <mergeCell ref="E8539:F8539"/>
    <mergeCell ref="E8540:F8540"/>
    <mergeCell ref="E8541:F8541"/>
    <mergeCell ref="E8545:H8545"/>
    <mergeCell ref="E8546:H8546"/>
    <mergeCell ref="E8547:H8547"/>
    <mergeCell ref="E8548:H8548"/>
    <mergeCell ref="E8549:H8549"/>
    <mergeCell ref="E8559:F8559"/>
    <mergeCell ref="E8560:F8560"/>
    <mergeCell ref="E8563:F8563"/>
    <mergeCell ref="E8572:F8572"/>
    <mergeCell ref="E8577:H8577"/>
    <mergeCell ref="E8578:H8578"/>
    <mergeCell ref="E8579:H8579"/>
    <mergeCell ref="E8580:H8580"/>
    <mergeCell ref="E8582:H8582"/>
    <mergeCell ref="E8583:H8583"/>
    <mergeCell ref="E8584:H8584"/>
    <mergeCell ref="E8585:H8585"/>
    <mergeCell ref="E8586:H8586"/>
    <mergeCell ref="E8587:H8587"/>
    <mergeCell ref="E8588:H8588"/>
    <mergeCell ref="E8589:H8589"/>
    <mergeCell ref="E8591:H8591"/>
    <mergeCell ref="E8599:F8599"/>
    <mergeCell ref="E8604:H8604"/>
    <mergeCell ref="E8605:H8605"/>
    <mergeCell ref="E8606:H8606"/>
    <mergeCell ref="E8607:H8607"/>
    <mergeCell ref="E8617:F8617"/>
    <mergeCell ref="E8619:F8619"/>
    <mergeCell ref="E8570:H8570"/>
    <mergeCell ref="E8571:H8571"/>
    <mergeCell ref="E8553:F8553"/>
    <mergeCell ref="E8554:F8554"/>
    <mergeCell ref="E8537:F8537"/>
    <mergeCell ref="E8615:F8615"/>
    <mergeCell ref="E8616:F8616"/>
    <mergeCell ref="E8611:F8611"/>
    <mergeCell ref="E8612:F8612"/>
    <mergeCell ref="E8613:F8613"/>
    <mergeCell ref="E8614:F8614"/>
    <mergeCell ref="E8562:F8562"/>
    <mergeCell ref="E8569:H8569"/>
    <mergeCell ref="E8543:H8543"/>
    <mergeCell ref="E8544:H8544"/>
    <mergeCell ref="E8367:H8367"/>
    <mergeCell ref="E8368:H8368"/>
    <mergeCell ref="E8369:H8369"/>
    <mergeCell ref="E8370:H8370"/>
    <mergeCell ref="E8377:H8377"/>
    <mergeCell ref="E8391:F8391"/>
    <mergeCell ref="E8393:H8393"/>
    <mergeCell ref="E8394:H8394"/>
    <mergeCell ref="E8400:F8400"/>
    <mergeCell ref="E8401:F8401"/>
    <mergeCell ref="E8402:F8402"/>
    <mergeCell ref="E8403:F8403"/>
    <mergeCell ref="E8404:F8404"/>
    <mergeCell ref="E8405:F8405"/>
    <mergeCell ref="E8406:F8406"/>
    <mergeCell ref="E8407:F8407"/>
    <mergeCell ref="E8408:F8408"/>
    <mergeCell ref="E8414:H8414"/>
    <mergeCell ref="E8415:H8415"/>
    <mergeCell ref="E8416:H8416"/>
    <mergeCell ref="E8417:H8417"/>
    <mergeCell ref="E8418:H8418"/>
    <mergeCell ref="E8419:H8419"/>
    <mergeCell ref="E8425:F8425"/>
    <mergeCell ref="E8426:F8426"/>
    <mergeCell ref="E8427:F8427"/>
    <mergeCell ref="E8450:H8450"/>
    <mergeCell ref="E8461:F8461"/>
    <mergeCell ref="E8462:F8462"/>
    <mergeCell ref="E8463:F8463"/>
    <mergeCell ref="E8464:F8464"/>
    <mergeCell ref="E8469:H8469"/>
    <mergeCell ref="E8470:H8470"/>
    <mergeCell ref="E8409:F8409"/>
    <mergeCell ref="E8410:F8410"/>
    <mergeCell ref="E8411:F8411"/>
    <mergeCell ref="E8412:F8412"/>
    <mergeCell ref="E8413:F8413"/>
    <mergeCell ref="E8384:F8384"/>
    <mergeCell ref="E8385:F8385"/>
    <mergeCell ref="E8382:F8382"/>
    <mergeCell ref="E8379:F8379"/>
    <mergeCell ref="E8380:F8380"/>
    <mergeCell ref="E8392:H8392"/>
    <mergeCell ref="E8395:H8395"/>
    <mergeCell ref="E8396:H8396"/>
    <mergeCell ref="E8420:H8420"/>
    <mergeCell ref="E8421:H8421"/>
    <mergeCell ref="E8381:F8381"/>
    <mergeCell ref="E8383:F8383"/>
    <mergeCell ref="E8386:F8386"/>
    <mergeCell ref="E8375:H8375"/>
    <mergeCell ref="E8371:H8371"/>
    <mergeCell ref="E8372:H8372"/>
    <mergeCell ref="E8373:H8373"/>
    <mergeCell ref="E8438:F8438"/>
    <mergeCell ref="E8451:F8451"/>
    <mergeCell ref="E8436:F8436"/>
    <mergeCell ref="E8387:F8387"/>
    <mergeCell ref="E8388:F8388"/>
    <mergeCell ref="E8389:F8389"/>
    <mergeCell ref="E8390:F8390"/>
    <mergeCell ref="E8378:F8378"/>
    <mergeCell ref="E8397:H8397"/>
    <mergeCell ref="E8332:F8332"/>
    <mergeCell ref="E8333:F8333"/>
    <mergeCell ref="E8339:F8339"/>
    <mergeCell ref="E8340:F8340"/>
    <mergeCell ref="E8343:H8343"/>
    <mergeCell ref="E8344:H8344"/>
    <mergeCell ref="E8345:H8345"/>
    <mergeCell ref="E8356:F8356"/>
    <mergeCell ref="E8361:H8361"/>
    <mergeCell ref="E8362:F8362"/>
    <mergeCell ref="E8364:H8364"/>
    <mergeCell ref="E8365:H8365"/>
    <mergeCell ref="E8366:H8366"/>
    <mergeCell ref="E8322:F8322"/>
    <mergeCell ref="E8316:F8316"/>
    <mergeCell ref="E8310:H8310"/>
    <mergeCell ref="E8338:F8338"/>
    <mergeCell ref="E8296:F8296"/>
    <mergeCell ref="E8297:F8297"/>
    <mergeCell ref="E8307:H8307"/>
    <mergeCell ref="E8334:F8334"/>
    <mergeCell ref="E8266:H8266"/>
    <mergeCell ref="E8268:H8268"/>
    <mergeCell ref="E8275:F8275"/>
    <mergeCell ref="E8276:F8276"/>
    <mergeCell ref="E8277:F8277"/>
    <mergeCell ref="E8278:F8278"/>
    <mergeCell ref="E8279:F8279"/>
    <mergeCell ref="E8280:F8280"/>
    <mergeCell ref="E8281:F8281"/>
    <mergeCell ref="E8286:H8286"/>
    <mergeCell ref="E8288:H8288"/>
    <mergeCell ref="E8289:H8289"/>
    <mergeCell ref="E8294:F8294"/>
    <mergeCell ref="E8295:F8295"/>
    <mergeCell ref="E8298:F8298"/>
    <mergeCell ref="E8287:H8287"/>
    <mergeCell ref="E8341:H8341"/>
    <mergeCell ref="E8342:H8342"/>
    <mergeCell ref="E8346:F8346"/>
    <mergeCell ref="E8347:F8347"/>
    <mergeCell ref="E8348:F8348"/>
    <mergeCell ref="E8349:F8349"/>
    <mergeCell ref="E8350:F8350"/>
    <mergeCell ref="E8308:H8308"/>
    <mergeCell ref="E8309:H8309"/>
    <mergeCell ref="E8336:F8336"/>
    <mergeCell ref="E8359:F8359"/>
    <mergeCell ref="E8323:F8323"/>
    <mergeCell ref="E8302:F8302"/>
    <mergeCell ref="E8324:F8324"/>
    <mergeCell ref="E8325:F8325"/>
    <mergeCell ref="E8305:H8305"/>
    <mergeCell ref="E8306:H8306"/>
    <mergeCell ref="E8267:H8267"/>
    <mergeCell ref="E8274:F8274"/>
    <mergeCell ref="E8351:F8351"/>
    <mergeCell ref="E8352:F8352"/>
    <mergeCell ref="E8353:F8353"/>
    <mergeCell ref="E8354:F8354"/>
    <mergeCell ref="E8363:F8363"/>
    <mergeCell ref="E8337:F8337"/>
    <mergeCell ref="E8355:F8355"/>
    <mergeCell ref="E8357:F8357"/>
    <mergeCell ref="E8282:F8282"/>
    <mergeCell ref="E8283:F8283"/>
    <mergeCell ref="E8290:H8290"/>
    <mergeCell ref="E8291:H8291"/>
    <mergeCell ref="E8303:F8303"/>
    <mergeCell ref="E8304:F8304"/>
    <mergeCell ref="E8311:H8311"/>
    <mergeCell ref="E8312:H8312"/>
    <mergeCell ref="E8318:H8318"/>
    <mergeCell ref="E8319:H8319"/>
    <mergeCell ref="E8320:H8320"/>
    <mergeCell ref="E8326:F8326"/>
    <mergeCell ref="E8327:F8327"/>
    <mergeCell ref="E8328:F8328"/>
    <mergeCell ref="E8330:F8330"/>
    <mergeCell ref="E8331:F8331"/>
    <mergeCell ref="E8182:H8182"/>
    <mergeCell ref="E8183:H8183"/>
    <mergeCell ref="E8184:H8184"/>
    <mergeCell ref="E8193:F8193"/>
    <mergeCell ref="E8194:F8194"/>
    <mergeCell ref="E8195:F8195"/>
    <mergeCell ref="E8196:F8196"/>
    <mergeCell ref="E8197:F8197"/>
    <mergeCell ref="E8201:H8201"/>
    <mergeCell ref="E8202:H8202"/>
    <mergeCell ref="E8203:H8203"/>
    <mergeCell ref="E8204:H8204"/>
    <mergeCell ref="E8205:H8205"/>
    <mergeCell ref="E8217:F8217"/>
    <mergeCell ref="E8218:F8218"/>
    <mergeCell ref="E8219:F8219"/>
    <mergeCell ref="E8227:H8227"/>
    <mergeCell ref="E8228:H8228"/>
    <mergeCell ref="E8229:H8229"/>
    <mergeCell ref="E8261:F8261"/>
    <mergeCell ref="E8245:H8245"/>
    <mergeCell ref="E8251:F8251"/>
    <mergeCell ref="E8252:F8252"/>
    <mergeCell ref="E8253:F8253"/>
    <mergeCell ref="E8250:H8250"/>
    <mergeCell ref="E8260:F8260"/>
    <mergeCell ref="E8220:H8220"/>
    <mergeCell ref="E8221:H8221"/>
    <mergeCell ref="E8254:F8254"/>
    <mergeCell ref="E8255:F8255"/>
    <mergeCell ref="E8256:F8256"/>
    <mergeCell ref="E8230:F8230"/>
    <mergeCell ref="E8231:F8231"/>
    <mergeCell ref="E8226:H8226"/>
    <mergeCell ref="E8237:F8237"/>
    <mergeCell ref="E8225:H8225"/>
    <mergeCell ref="E8301:F8301"/>
    <mergeCell ref="E8264:H8264"/>
    <mergeCell ref="E8265:H8265"/>
    <mergeCell ref="E8272:F8272"/>
    <mergeCell ref="E8273:F8273"/>
    <mergeCell ref="E8284:H8284"/>
    <mergeCell ref="E8285:H8285"/>
    <mergeCell ref="E8292:F8292"/>
    <mergeCell ref="E8168:H8168"/>
    <mergeCell ref="E8171:H8171"/>
    <mergeCell ref="E8178:H8178"/>
    <mergeCell ref="E8172:H8172"/>
    <mergeCell ref="E8173:H8173"/>
    <mergeCell ref="E8174:H8174"/>
    <mergeCell ref="E8175:H8175"/>
    <mergeCell ref="E8176:H8176"/>
    <mergeCell ref="E8177:H8177"/>
    <mergeCell ref="E8198:H8198"/>
    <mergeCell ref="E8199:H8199"/>
    <mergeCell ref="E8185:F8185"/>
    <mergeCell ref="E8206:F8206"/>
    <mergeCell ref="E8207:F8207"/>
    <mergeCell ref="E8208:F8208"/>
    <mergeCell ref="E8209:F8209"/>
    <mergeCell ref="E8146:F8146"/>
    <mergeCell ref="E8148:H8148"/>
    <mergeCell ref="E8149:H8149"/>
    <mergeCell ref="E8150:H8150"/>
    <mergeCell ref="E8151:H8151"/>
    <mergeCell ref="E8152:H8152"/>
    <mergeCell ref="E8162:F8162"/>
    <mergeCell ref="E8163:F8163"/>
    <mergeCell ref="E8166:F8166"/>
    <mergeCell ref="E8169:F8169"/>
    <mergeCell ref="E8263:F8263"/>
    <mergeCell ref="E8269:H8269"/>
    <mergeCell ref="E8270:H8270"/>
    <mergeCell ref="E8271:H8271"/>
    <mergeCell ref="E8190:F8190"/>
    <mergeCell ref="E8191:F8191"/>
    <mergeCell ref="E8192:F8192"/>
    <mergeCell ref="E8200:H8200"/>
    <mergeCell ref="E8210:F8210"/>
    <mergeCell ref="E8211:F8211"/>
    <mergeCell ref="E8212:F8212"/>
    <mergeCell ref="E8213:F8213"/>
    <mergeCell ref="E8159:F8159"/>
    <mergeCell ref="E8160:F8160"/>
    <mergeCell ref="E8091:F8091"/>
    <mergeCell ref="E8092:F8092"/>
    <mergeCell ref="E8093:F8093"/>
    <mergeCell ref="E8094:F8094"/>
    <mergeCell ref="E8095:F8095"/>
    <mergeCell ref="E8096:F8096"/>
    <mergeCell ref="E8097:F8097"/>
    <mergeCell ref="E8098:F8098"/>
    <mergeCell ref="E8099:F8099"/>
    <mergeCell ref="E8100:F8100"/>
    <mergeCell ref="E8001:H8001"/>
    <mergeCell ref="E8004:F8004"/>
    <mergeCell ref="E8005:F8005"/>
    <mergeCell ref="E8006:F8006"/>
    <mergeCell ref="E8007:F8007"/>
    <mergeCell ref="E7989:F7989"/>
    <mergeCell ref="E7990:F7990"/>
    <mergeCell ref="E8257:F8257"/>
    <mergeCell ref="E8258:F8258"/>
    <mergeCell ref="E8259:F8259"/>
    <mergeCell ref="E8248:H8248"/>
    <mergeCell ref="E8249:H8249"/>
    <mergeCell ref="E8247:H8247"/>
    <mergeCell ref="E8222:H8222"/>
    <mergeCell ref="E8057:F8057"/>
    <mergeCell ref="E8058:F8058"/>
    <mergeCell ref="E8059:F8059"/>
    <mergeCell ref="E8060:H8060"/>
    <mergeCell ref="E8061:H8061"/>
    <mergeCell ref="E8062:H8062"/>
    <mergeCell ref="E8063:H8063"/>
    <mergeCell ref="E8064:H8064"/>
    <mergeCell ref="E8065:H8065"/>
    <mergeCell ref="E8066:H8066"/>
    <mergeCell ref="E8067:H8067"/>
    <mergeCell ref="E8077:F8077"/>
    <mergeCell ref="E8078:F8078"/>
    <mergeCell ref="E8079:F8079"/>
    <mergeCell ref="E8080:F8080"/>
    <mergeCell ref="E8085:H8085"/>
    <mergeCell ref="E8086:H8086"/>
    <mergeCell ref="E8087:H8087"/>
    <mergeCell ref="E8088:H8088"/>
    <mergeCell ref="E8101:H8101"/>
    <mergeCell ref="E8102:H8102"/>
    <mergeCell ref="E8109:F8109"/>
    <mergeCell ref="E8112:F8112"/>
    <mergeCell ref="E8114:H8114"/>
    <mergeCell ref="E8115:H8115"/>
    <mergeCell ref="E8118:F8118"/>
    <mergeCell ref="E8119:F8119"/>
    <mergeCell ref="E8132:F8132"/>
    <mergeCell ref="E8139:F8139"/>
    <mergeCell ref="E8142:F8142"/>
    <mergeCell ref="E8143:F8143"/>
    <mergeCell ref="E8144:F8144"/>
    <mergeCell ref="E8145:F8145"/>
    <mergeCell ref="E8103:H8103"/>
    <mergeCell ref="E8104:H8104"/>
    <mergeCell ref="E8105:H8105"/>
    <mergeCell ref="E8106:H8106"/>
    <mergeCell ref="E8161:F8161"/>
    <mergeCell ref="E8164:F8164"/>
    <mergeCell ref="E8165:F8165"/>
    <mergeCell ref="E7913:F7913"/>
    <mergeCell ref="E7911:F7911"/>
    <mergeCell ref="E7912:F7912"/>
    <mergeCell ref="E7922:F7922"/>
    <mergeCell ref="E7923:F7923"/>
    <mergeCell ref="E7962:F7962"/>
    <mergeCell ref="E7964:H7964"/>
    <mergeCell ref="E7968:H7968"/>
    <mergeCell ref="E7969:H7969"/>
    <mergeCell ref="E7970:H7970"/>
    <mergeCell ref="E7971:H7971"/>
    <mergeCell ref="E7972:H7972"/>
    <mergeCell ref="E7973:H7973"/>
    <mergeCell ref="E7974:H7974"/>
    <mergeCell ref="E7977:F7977"/>
    <mergeCell ref="E7978:F7978"/>
    <mergeCell ref="E7979:F7979"/>
    <mergeCell ref="E8138:F8138"/>
    <mergeCell ref="E8070:F8070"/>
    <mergeCell ref="E8071:F8071"/>
    <mergeCell ref="E8072:F8072"/>
    <mergeCell ref="E8073:F8073"/>
    <mergeCell ref="E8074:F8074"/>
    <mergeCell ref="E8075:F8075"/>
    <mergeCell ref="E7987:H7987"/>
    <mergeCell ref="E7988:H7988"/>
    <mergeCell ref="E7991:H7991"/>
    <mergeCell ref="E7992:H7992"/>
    <mergeCell ref="E7993:H7993"/>
    <mergeCell ref="E8002:H8002"/>
    <mergeCell ref="E8003:H8003"/>
    <mergeCell ref="E8017:H8017"/>
    <mergeCell ref="E8018:H8018"/>
    <mergeCell ref="E8019:H8019"/>
    <mergeCell ref="E8020:H8020"/>
    <mergeCell ref="E8024:F8024"/>
    <mergeCell ref="E8025:F8025"/>
    <mergeCell ref="E8026:F8026"/>
    <mergeCell ref="E8027:F8027"/>
    <mergeCell ref="E8028:F8028"/>
    <mergeCell ref="E8029:F8029"/>
    <mergeCell ref="E8030:F8030"/>
    <mergeCell ref="E8037:H8037"/>
    <mergeCell ref="E8038:H8038"/>
    <mergeCell ref="E8039:H8039"/>
    <mergeCell ref="E8040:H8040"/>
    <mergeCell ref="E8041:H8041"/>
    <mergeCell ref="E8042:H8042"/>
    <mergeCell ref="E8043:H8043"/>
    <mergeCell ref="E8044:H8044"/>
    <mergeCell ref="E8045:H8045"/>
    <mergeCell ref="E8046:H8046"/>
    <mergeCell ref="E8052:F8052"/>
    <mergeCell ref="E8053:F8053"/>
    <mergeCell ref="E8054:F8054"/>
    <mergeCell ref="E8055:F8055"/>
    <mergeCell ref="E8056:F8056"/>
    <mergeCell ref="E7996:H7996"/>
    <mergeCell ref="E7997:H7997"/>
    <mergeCell ref="E7998:H7998"/>
    <mergeCell ref="E7999:H7999"/>
    <mergeCell ref="E8000:H8000"/>
    <mergeCell ref="E8089:F8089"/>
    <mergeCell ref="E8090:F8090"/>
    <mergeCell ref="E7842:F7842"/>
    <mergeCell ref="E7843:F7843"/>
    <mergeCell ref="E7845:H7845"/>
    <mergeCell ref="E7850:H7850"/>
    <mergeCell ref="E7851:H7851"/>
    <mergeCell ref="E7852:H7852"/>
    <mergeCell ref="E7853:H7853"/>
    <mergeCell ref="E7854:H7854"/>
    <mergeCell ref="E7855:H7855"/>
    <mergeCell ref="E7856:H7856"/>
    <mergeCell ref="E7860:F7860"/>
    <mergeCell ref="E7861:F7861"/>
    <mergeCell ref="E7862:F7862"/>
    <mergeCell ref="E7863:F7863"/>
    <mergeCell ref="E7868:H7868"/>
    <mergeCell ref="E7873:H7873"/>
    <mergeCell ref="E7874:H7874"/>
    <mergeCell ref="E7875:H7875"/>
    <mergeCell ref="E7876:H7876"/>
    <mergeCell ref="E7883:F7883"/>
    <mergeCell ref="E7884:F7884"/>
    <mergeCell ref="E7889:H7889"/>
    <mergeCell ref="E7893:F7893"/>
    <mergeCell ref="E7901:H7901"/>
    <mergeCell ref="E7902:F7902"/>
    <mergeCell ref="E7905:F7905"/>
    <mergeCell ref="E7906:F7906"/>
    <mergeCell ref="E7907:F7907"/>
    <mergeCell ref="E7857:H7857"/>
    <mergeCell ref="E7858:H7858"/>
    <mergeCell ref="E7859:H7859"/>
    <mergeCell ref="E7864:F7864"/>
    <mergeCell ref="E7865:F7865"/>
    <mergeCell ref="E7866:F7866"/>
    <mergeCell ref="E7844:F7844"/>
    <mergeCell ref="E7846:F7846"/>
    <mergeCell ref="E7847:F7847"/>
    <mergeCell ref="E7877:H7877"/>
    <mergeCell ref="E7878:H7878"/>
    <mergeCell ref="E7885:F7885"/>
    <mergeCell ref="E7886:F7886"/>
    <mergeCell ref="E7887:F7887"/>
    <mergeCell ref="E7888:F7888"/>
    <mergeCell ref="E7890:F7890"/>
    <mergeCell ref="E7894:H7894"/>
    <mergeCell ref="E7895:H7895"/>
    <mergeCell ref="E7896:H7896"/>
    <mergeCell ref="E7867:F7867"/>
    <mergeCell ref="E7870:F7870"/>
    <mergeCell ref="E7879:H7879"/>
    <mergeCell ref="E7880:H7880"/>
    <mergeCell ref="E7881:H7881"/>
    <mergeCell ref="E7882:H7882"/>
    <mergeCell ref="E7891:F7891"/>
    <mergeCell ref="E7892:F7892"/>
    <mergeCell ref="E7897:H7897"/>
    <mergeCell ref="E7898:H7898"/>
    <mergeCell ref="E7848:F7848"/>
    <mergeCell ref="E7899:H7899"/>
    <mergeCell ref="E7900:H7900"/>
    <mergeCell ref="E7903:F7903"/>
    <mergeCell ref="E7804:H7804"/>
    <mergeCell ref="E7805:H7805"/>
    <mergeCell ref="E7806:H7806"/>
    <mergeCell ref="E7807:H7807"/>
    <mergeCell ref="E7808:H7808"/>
    <mergeCell ref="E7809:H7809"/>
    <mergeCell ref="E7810:H7810"/>
    <mergeCell ref="E7811:H7811"/>
    <mergeCell ref="E7812:H7812"/>
    <mergeCell ref="E7813:H7813"/>
    <mergeCell ref="E7814:H7814"/>
    <mergeCell ref="E7816:F7816"/>
    <mergeCell ref="E7817:F7817"/>
    <mergeCell ref="E7818:F7818"/>
    <mergeCell ref="E7819:F7819"/>
    <mergeCell ref="E7820:F7820"/>
    <mergeCell ref="E7821:F7821"/>
    <mergeCell ref="E7822:F7822"/>
    <mergeCell ref="E7823:H7823"/>
    <mergeCell ref="E7828:H7828"/>
    <mergeCell ref="E7829:H7829"/>
    <mergeCell ref="E7830:H7830"/>
    <mergeCell ref="E7831:H7831"/>
    <mergeCell ref="E7832:H7832"/>
    <mergeCell ref="E7833:H7833"/>
    <mergeCell ref="E7834:H7834"/>
    <mergeCell ref="E7835:H7835"/>
    <mergeCell ref="E7836:F7836"/>
    <mergeCell ref="E7837:F7837"/>
    <mergeCell ref="E7838:F7838"/>
    <mergeCell ref="E7839:F7839"/>
    <mergeCell ref="E7840:F7840"/>
    <mergeCell ref="E7841:F7841"/>
    <mergeCell ref="E7815:H7815"/>
    <mergeCell ref="E7824:F7824"/>
    <mergeCell ref="E7825:F7825"/>
    <mergeCell ref="E7826:F7826"/>
    <mergeCell ref="E7827:F7827"/>
    <mergeCell ref="E7747:F7747"/>
    <mergeCell ref="E7748:F7748"/>
    <mergeCell ref="E7749:F7749"/>
    <mergeCell ref="E7750:F7750"/>
    <mergeCell ref="E7751:F7751"/>
    <mergeCell ref="E7752:F7752"/>
    <mergeCell ref="E7753:F7753"/>
    <mergeCell ref="E7754:F7754"/>
    <mergeCell ref="E7755:F7755"/>
    <mergeCell ref="E7756:F7756"/>
    <mergeCell ref="E7757:F7757"/>
    <mergeCell ref="E7758:F7758"/>
    <mergeCell ref="E7759:F7759"/>
    <mergeCell ref="E7763:H7763"/>
    <mergeCell ref="E7770:H7770"/>
    <mergeCell ref="E7772:F7772"/>
    <mergeCell ref="E7773:F7773"/>
    <mergeCell ref="E7774:F7774"/>
    <mergeCell ref="E7775:F7775"/>
    <mergeCell ref="E7776:F7776"/>
    <mergeCell ref="E7777:F7777"/>
    <mergeCell ref="G7777:H7777"/>
    <mergeCell ref="E7778:F7778"/>
    <mergeCell ref="E7780:H7780"/>
    <mergeCell ref="E7781:H7781"/>
    <mergeCell ref="E7782:H7782"/>
    <mergeCell ref="E7783:H7783"/>
    <mergeCell ref="E7784:H7784"/>
    <mergeCell ref="E7785:H7785"/>
    <mergeCell ref="G7791:H7791"/>
    <mergeCell ref="E7794:F7794"/>
    <mergeCell ref="E7795:F7795"/>
    <mergeCell ref="E7796:F7796"/>
    <mergeCell ref="E7760:F7760"/>
    <mergeCell ref="E7793:F7793"/>
    <mergeCell ref="E7769:F7769"/>
    <mergeCell ref="E7788:F7788"/>
    <mergeCell ref="E7789:F7789"/>
    <mergeCell ref="E7786:F7786"/>
    <mergeCell ref="E7762:F7762"/>
    <mergeCell ref="E7761:F7761"/>
    <mergeCell ref="E7767:F7767"/>
    <mergeCell ref="E7768:F7768"/>
    <mergeCell ref="E7765:F7765"/>
    <mergeCell ref="E7703:F7703"/>
    <mergeCell ref="E7706:H7706"/>
    <mergeCell ref="E7707:F7707"/>
    <mergeCell ref="E7708:F7708"/>
    <mergeCell ref="E7709:F7709"/>
    <mergeCell ref="E7710:F7710"/>
    <mergeCell ref="E7711:H7711"/>
    <mergeCell ref="E7712:H7712"/>
    <mergeCell ref="E7713:H7713"/>
    <mergeCell ref="E7714:H7714"/>
    <mergeCell ref="E7715:H7715"/>
    <mergeCell ref="E7716:H7716"/>
    <mergeCell ref="E7717:H7717"/>
    <mergeCell ref="E7718:H7718"/>
    <mergeCell ref="E7720:F7720"/>
    <mergeCell ref="E7722:F7722"/>
    <mergeCell ref="E7723:F7723"/>
    <mergeCell ref="E7725:F7725"/>
    <mergeCell ref="E7726:F7726"/>
    <mergeCell ref="E7727:F7727"/>
    <mergeCell ref="E7729:H7729"/>
    <mergeCell ref="E7730:H7730"/>
    <mergeCell ref="E7731:H7731"/>
    <mergeCell ref="E7732:H7732"/>
    <mergeCell ref="E7733:H7733"/>
    <mergeCell ref="E7734:H7734"/>
    <mergeCell ref="E7735:H7735"/>
    <mergeCell ref="E7736:H7736"/>
    <mergeCell ref="E7738:H7738"/>
    <mergeCell ref="E7741:H7741"/>
    <mergeCell ref="E7742:H7742"/>
    <mergeCell ref="E7744:H7744"/>
    <mergeCell ref="E7745:H7745"/>
    <mergeCell ref="E7737:F7737"/>
    <mergeCell ref="E7739:F7739"/>
    <mergeCell ref="E7740:F7740"/>
    <mergeCell ref="E7590:H7590"/>
    <mergeCell ref="E7591:H7591"/>
    <mergeCell ref="E7592:H7592"/>
    <mergeCell ref="E7601:H7601"/>
    <mergeCell ref="E7602:H7602"/>
    <mergeCell ref="E7603:H7603"/>
    <mergeCell ref="E7609:H7609"/>
    <mergeCell ref="E7622:F7622"/>
    <mergeCell ref="E7623:F7623"/>
    <mergeCell ref="E7628:H7628"/>
    <mergeCell ref="E7633:H7633"/>
    <mergeCell ref="E7634:H7634"/>
    <mergeCell ref="E7635:H7635"/>
    <mergeCell ref="E7649:H7649"/>
    <mergeCell ref="E7654:H7654"/>
    <mergeCell ref="E7663:H7663"/>
    <mergeCell ref="E7664:H7664"/>
    <mergeCell ref="E7670:H7670"/>
    <mergeCell ref="E7688:H7688"/>
    <mergeCell ref="E7693:H7693"/>
    <mergeCell ref="E7701:F7701"/>
    <mergeCell ref="E7679:H7679"/>
    <mergeCell ref="E7680:H7680"/>
    <mergeCell ref="E7681:H7681"/>
    <mergeCell ref="E7682:H7682"/>
    <mergeCell ref="E7691:F7691"/>
    <mergeCell ref="E7692:F7692"/>
    <mergeCell ref="E7694:H7694"/>
    <mergeCell ref="E7678:H7678"/>
    <mergeCell ref="E7550:F7550"/>
    <mergeCell ref="E7551:F7551"/>
    <mergeCell ref="E7552:F7552"/>
    <mergeCell ref="E7620:H7620"/>
    <mergeCell ref="E7621:H7621"/>
    <mergeCell ref="E7629:F7629"/>
    <mergeCell ref="E7675:H7675"/>
    <mergeCell ref="E7676:H7676"/>
    <mergeCell ref="E7699:H7699"/>
    <mergeCell ref="E7700:H7700"/>
    <mergeCell ref="E7677:H7677"/>
    <mergeCell ref="E7667:F7667"/>
    <mergeCell ref="E7668:F7668"/>
    <mergeCell ref="E7567:H7567"/>
    <mergeCell ref="E7568:H7568"/>
    <mergeCell ref="E7569:H7569"/>
    <mergeCell ref="E7581:F7581"/>
    <mergeCell ref="E7582:F7582"/>
    <mergeCell ref="E7583:F7583"/>
    <mergeCell ref="E7611:F7611"/>
    <mergeCell ref="E7612:F7612"/>
    <mergeCell ref="E7613:F7613"/>
    <mergeCell ref="E7553:F7553"/>
    <mergeCell ref="E7554:F7554"/>
    <mergeCell ref="E7556:F7556"/>
    <mergeCell ref="E7606:F7606"/>
    <mergeCell ref="E7607:F7607"/>
    <mergeCell ref="E7608:F7608"/>
    <mergeCell ref="E7565:F7565"/>
    <mergeCell ref="E7588:F7588"/>
    <mergeCell ref="E7584:F7584"/>
    <mergeCell ref="E7585:F7585"/>
    <mergeCell ref="E7593:H7593"/>
    <mergeCell ref="E7594:H7594"/>
    <mergeCell ref="E7595:H7595"/>
    <mergeCell ref="E7531:H7531"/>
    <mergeCell ref="E7532:H7532"/>
    <mergeCell ref="E7535:F7535"/>
    <mergeCell ref="E7538:H7538"/>
    <mergeCell ref="E7539:H7539"/>
    <mergeCell ref="E7540:H7540"/>
    <mergeCell ref="E7542:F7542"/>
    <mergeCell ref="E7543:F7543"/>
    <mergeCell ref="E7458:F7458"/>
    <mergeCell ref="E7459:F7459"/>
    <mergeCell ref="E7460:F7460"/>
    <mergeCell ref="E7462:F7462"/>
    <mergeCell ref="E7465:F7465"/>
    <mergeCell ref="E7466:F7466"/>
    <mergeCell ref="E7470:H7470"/>
    <mergeCell ref="E7471:H7471"/>
    <mergeCell ref="E7472:H7472"/>
    <mergeCell ref="E7473:H7473"/>
    <mergeCell ref="E7474:H7474"/>
    <mergeCell ref="E7475:H7475"/>
    <mergeCell ref="E7476:H7476"/>
    <mergeCell ref="E7481:F7481"/>
    <mergeCell ref="E7487:F7487"/>
    <mergeCell ref="E7477:F7477"/>
    <mergeCell ref="E7479:F7479"/>
    <mergeCell ref="E7480:F7480"/>
    <mergeCell ref="E7482:F7482"/>
    <mergeCell ref="E7478:F7478"/>
    <mergeCell ref="E7469:H7469"/>
    <mergeCell ref="E7510:H7510"/>
    <mergeCell ref="E7525:H7525"/>
    <mergeCell ref="E7536:F7536"/>
    <mergeCell ref="E7485:F7485"/>
    <mergeCell ref="E7486:F7486"/>
    <mergeCell ref="E7491:H7491"/>
    <mergeCell ref="E7494:H7494"/>
    <mergeCell ref="E7490:H7490"/>
    <mergeCell ref="E7492:H7492"/>
    <mergeCell ref="E7493:H7493"/>
    <mergeCell ref="E7489:H7489"/>
    <mergeCell ref="E7496:F7496"/>
    <mergeCell ref="E7461:F7461"/>
    <mergeCell ref="E7463:F7463"/>
    <mergeCell ref="E7464:F7464"/>
    <mergeCell ref="E7483:F7483"/>
    <mergeCell ref="E7484:F7484"/>
    <mergeCell ref="E7437:F7437"/>
    <mergeCell ref="E7448:H7448"/>
    <mergeCell ref="E7449:H7449"/>
    <mergeCell ref="E7450:H7450"/>
    <mergeCell ref="E7497:F7497"/>
    <mergeCell ref="E7506:H7506"/>
    <mergeCell ref="E7507:H7507"/>
    <mergeCell ref="E7508:H7508"/>
    <mergeCell ref="E7509:H7509"/>
    <mergeCell ref="E7514:F7514"/>
    <mergeCell ref="E7515:F7515"/>
    <mergeCell ref="E7516:F7516"/>
    <mergeCell ref="E7517:F7517"/>
    <mergeCell ref="E7519:F7519"/>
    <mergeCell ref="E7522:F7522"/>
    <mergeCell ref="E7523:F7523"/>
    <mergeCell ref="E7524:F7524"/>
    <mergeCell ref="E7526:H7526"/>
    <mergeCell ref="E7527:H7527"/>
    <mergeCell ref="E7528:H7528"/>
    <mergeCell ref="E7529:H7529"/>
    <mergeCell ref="E7530:H7530"/>
    <mergeCell ref="E7372:H7372"/>
    <mergeCell ref="E7373:H7373"/>
    <mergeCell ref="E7375:H7375"/>
    <mergeCell ref="E7378:H7378"/>
    <mergeCell ref="E7379:H7379"/>
    <mergeCell ref="E7380:H7380"/>
    <mergeCell ref="E7383:F7383"/>
    <mergeCell ref="E7384:F7384"/>
    <mergeCell ref="E7385:F7385"/>
    <mergeCell ref="E7386:F7386"/>
    <mergeCell ref="E7387:F7387"/>
    <mergeCell ref="E7388:F7388"/>
    <mergeCell ref="E7390:F7390"/>
    <mergeCell ref="E7393:H7393"/>
    <mergeCell ref="E7398:H7398"/>
    <mergeCell ref="E7399:H7399"/>
    <mergeCell ref="E7400:H7400"/>
    <mergeCell ref="E7401:H7401"/>
    <mergeCell ref="E7402:H7402"/>
    <mergeCell ref="E7403:H7403"/>
    <mergeCell ref="E7404:F7404"/>
    <mergeCell ref="E7405:F7405"/>
    <mergeCell ref="E7406:F7406"/>
    <mergeCell ref="E7407:F7407"/>
    <mergeCell ref="E7408:F7408"/>
    <mergeCell ref="E7410:F7410"/>
    <mergeCell ref="E7411:F7411"/>
    <mergeCell ref="E7447:H7447"/>
    <mergeCell ref="E7455:F7455"/>
    <mergeCell ref="E7467:H7467"/>
    <mergeCell ref="E7468:H7468"/>
    <mergeCell ref="E7488:H7488"/>
    <mergeCell ref="E7433:H7433"/>
    <mergeCell ref="E7426:H7426"/>
    <mergeCell ref="E7427:H7427"/>
    <mergeCell ref="E7428:H7428"/>
    <mergeCell ref="E7429:H7429"/>
    <mergeCell ref="E7392:F7392"/>
    <mergeCell ref="E7416:H7416"/>
    <mergeCell ref="E7417:H7417"/>
    <mergeCell ref="E7422:H7422"/>
    <mergeCell ref="E7423:H7423"/>
    <mergeCell ref="E7374:F7374"/>
    <mergeCell ref="E7376:F7376"/>
    <mergeCell ref="E7377:F7377"/>
    <mergeCell ref="E7381:H7381"/>
    <mergeCell ref="E7382:H7382"/>
    <mergeCell ref="E7394:F7394"/>
    <mergeCell ref="E7395:F7395"/>
    <mergeCell ref="E7396:F7396"/>
    <mergeCell ref="E7397:F7397"/>
    <mergeCell ref="E7389:H7389"/>
    <mergeCell ref="E7391:F7391"/>
    <mergeCell ref="E7295:H7295"/>
    <mergeCell ref="E7293:H7293"/>
    <mergeCell ref="E7294:H7294"/>
    <mergeCell ref="E7290:F7290"/>
    <mergeCell ref="E7296:H7296"/>
    <mergeCell ref="E7297:H7297"/>
    <mergeCell ref="E7279:H7279"/>
    <mergeCell ref="E7298:H7298"/>
    <mergeCell ref="E7299:H7299"/>
    <mergeCell ref="E7300:H7300"/>
    <mergeCell ref="E7305:F7305"/>
    <mergeCell ref="E7308:F7308"/>
    <mergeCell ref="E7310:F7310"/>
    <mergeCell ref="E7311:F7311"/>
    <mergeCell ref="E7312:F7312"/>
    <mergeCell ref="E7313:F7313"/>
    <mergeCell ref="E7314:H7314"/>
    <mergeCell ref="E7315:H7315"/>
    <mergeCell ref="E7316:H7316"/>
    <mergeCell ref="E7317:H7317"/>
    <mergeCell ref="E7318:H7318"/>
    <mergeCell ref="E7319:H7319"/>
    <mergeCell ref="E7320:H7320"/>
    <mergeCell ref="E7321:H7321"/>
    <mergeCell ref="E7328:F7328"/>
    <mergeCell ref="E7329:F7329"/>
    <mergeCell ref="E7331:H7331"/>
    <mergeCell ref="E7332:F7332"/>
    <mergeCell ref="E7333:F7333"/>
    <mergeCell ref="E7334:F7334"/>
    <mergeCell ref="E7335:F7335"/>
    <mergeCell ref="E7344:F7344"/>
    <mergeCell ref="E7345:F7345"/>
    <mergeCell ref="E7340:H7340"/>
    <mergeCell ref="E7341:H7341"/>
    <mergeCell ref="E7342:H7342"/>
    <mergeCell ref="E7302:F7302"/>
    <mergeCell ref="E7303:F7303"/>
    <mergeCell ref="E7304:F7304"/>
    <mergeCell ref="E7306:F7306"/>
    <mergeCell ref="E7322:F7322"/>
    <mergeCell ref="E7323:F7323"/>
    <mergeCell ref="E7237:F7237"/>
    <mergeCell ref="E7238:F7238"/>
    <mergeCell ref="E7239:F7239"/>
    <mergeCell ref="E7240:F7240"/>
    <mergeCell ref="E7241:F7241"/>
    <mergeCell ref="E7242:F7242"/>
    <mergeCell ref="E7243:H7243"/>
    <mergeCell ref="E7248:H7248"/>
    <mergeCell ref="E7249:H7249"/>
    <mergeCell ref="E7250:H7250"/>
    <mergeCell ref="E7251:H7251"/>
    <mergeCell ref="E7353:F7353"/>
    <mergeCell ref="E7354:F7354"/>
    <mergeCell ref="E7355:F7355"/>
    <mergeCell ref="E7307:F7307"/>
    <mergeCell ref="E7324:F7324"/>
    <mergeCell ref="E7325:F7325"/>
    <mergeCell ref="E7326:F7326"/>
    <mergeCell ref="E7327:F7327"/>
    <mergeCell ref="E7330:F7330"/>
    <mergeCell ref="E7301:F7301"/>
    <mergeCell ref="E7343:H7343"/>
    <mergeCell ref="E7309:H7309"/>
    <mergeCell ref="E7336:H7336"/>
    <mergeCell ref="E7337:H7337"/>
    <mergeCell ref="E7338:H7338"/>
    <mergeCell ref="E7418:F7418"/>
    <mergeCell ref="E7252:H7252"/>
    <mergeCell ref="E7253:H7253"/>
    <mergeCell ref="E7254:H7254"/>
    <mergeCell ref="E7255:H7255"/>
    <mergeCell ref="E7256:H7256"/>
    <mergeCell ref="E7247:F7247"/>
    <mergeCell ref="E7257:H7257"/>
    <mergeCell ref="E7258:F7258"/>
    <mergeCell ref="E7259:F7259"/>
    <mergeCell ref="E7260:F7260"/>
    <mergeCell ref="E7261:F7261"/>
    <mergeCell ref="E7262:F7262"/>
    <mergeCell ref="E7263:F7263"/>
    <mergeCell ref="E7264:F7264"/>
    <mergeCell ref="E7265:F7265"/>
    <mergeCell ref="E7267:H7267"/>
    <mergeCell ref="E7272:H7272"/>
    <mergeCell ref="E7273:H7273"/>
    <mergeCell ref="E7274:H7274"/>
    <mergeCell ref="E7275:H7275"/>
    <mergeCell ref="E7276:H7276"/>
    <mergeCell ref="E7277:H7277"/>
    <mergeCell ref="E7278:H7278"/>
    <mergeCell ref="E7280:F7280"/>
    <mergeCell ref="E7281:F7281"/>
    <mergeCell ref="E7282:F7282"/>
    <mergeCell ref="E7283:F7283"/>
    <mergeCell ref="E7284:F7284"/>
    <mergeCell ref="E7285:F7285"/>
    <mergeCell ref="E7286:F7286"/>
    <mergeCell ref="E7288:H7288"/>
    <mergeCell ref="E7291:F7291"/>
    <mergeCell ref="E7292:F7292"/>
    <mergeCell ref="E7339:H7339"/>
    <mergeCell ref="E7409:H7409"/>
    <mergeCell ref="E7414:F7414"/>
    <mergeCell ref="E7415:F7415"/>
    <mergeCell ref="E7059:F7059"/>
    <mergeCell ref="E7060:F7060"/>
    <mergeCell ref="E7061:F7061"/>
    <mergeCell ref="E7062:F7062"/>
    <mergeCell ref="E7070:H7070"/>
    <mergeCell ref="E7071:H7071"/>
    <mergeCell ref="E7072:H7072"/>
    <mergeCell ref="E7079:F7079"/>
    <mergeCell ref="E7080:F7080"/>
    <mergeCell ref="E7081:F7081"/>
    <mergeCell ref="E7082:F7082"/>
    <mergeCell ref="E7083:F7083"/>
    <mergeCell ref="E7093:H7093"/>
    <mergeCell ref="E7094:H7094"/>
    <mergeCell ref="E7095:H7095"/>
    <mergeCell ref="E7096:H7096"/>
    <mergeCell ref="E7112:H7112"/>
    <mergeCell ref="E7113:H7113"/>
    <mergeCell ref="E7114:H7114"/>
    <mergeCell ref="E7119:F7119"/>
    <mergeCell ref="E7121:F7121"/>
    <mergeCell ref="E7122:F7122"/>
    <mergeCell ref="E7124:H7124"/>
    <mergeCell ref="E7125:H7125"/>
    <mergeCell ref="E7126:H7126"/>
    <mergeCell ref="E7128:F7128"/>
    <mergeCell ref="E7129:F7129"/>
    <mergeCell ref="E7130:F7130"/>
    <mergeCell ref="E7131:F7131"/>
    <mergeCell ref="E7143:H7143"/>
    <mergeCell ref="E7144:H7144"/>
    <mergeCell ref="E7145:H7145"/>
    <mergeCell ref="E7146:H7146"/>
    <mergeCell ref="E7105:F7105"/>
    <mergeCell ref="E7097:H7097"/>
    <mergeCell ref="E7103:F7103"/>
    <mergeCell ref="E7086:F7086"/>
    <mergeCell ref="E7087:F7087"/>
    <mergeCell ref="E7101:F7101"/>
    <mergeCell ref="E7102:F7102"/>
    <mergeCell ref="E7132:F7132"/>
    <mergeCell ref="E7133:F7133"/>
    <mergeCell ref="E7137:F7137"/>
    <mergeCell ref="E7138:F7138"/>
    <mergeCell ref="E7139:F7139"/>
    <mergeCell ref="E7141:F7141"/>
    <mergeCell ref="E7135:F7135"/>
    <mergeCell ref="E7134:F7134"/>
    <mergeCell ref="E7115:H7115"/>
    <mergeCell ref="E7116:H7116"/>
    <mergeCell ref="E7117:H7117"/>
    <mergeCell ref="E7118:H7118"/>
    <mergeCell ref="E7023:F7023"/>
    <mergeCell ref="E7024:F7024"/>
    <mergeCell ref="E7025:F7025"/>
    <mergeCell ref="E7026:F7026"/>
    <mergeCell ref="E7030:H7030"/>
    <mergeCell ref="E7031:H7031"/>
    <mergeCell ref="E7032:H7032"/>
    <mergeCell ref="E7033:H7033"/>
    <mergeCell ref="E7034:H7034"/>
    <mergeCell ref="E7035:H7035"/>
    <mergeCell ref="E7036:H7036"/>
    <mergeCell ref="E7043:F7043"/>
    <mergeCell ref="E7044:F7044"/>
    <mergeCell ref="E7045:F7045"/>
    <mergeCell ref="E7046:F7046"/>
    <mergeCell ref="E7047:F7047"/>
    <mergeCell ref="E7048:F7048"/>
    <mergeCell ref="E7051:H7051"/>
    <mergeCell ref="E7052:H7052"/>
    <mergeCell ref="E7053:H7053"/>
    <mergeCell ref="E7054:H7054"/>
    <mergeCell ref="E7055:H7055"/>
    <mergeCell ref="E7056:H7056"/>
    <mergeCell ref="E7068:F7068"/>
    <mergeCell ref="E7069:F7069"/>
    <mergeCell ref="E7076:H7076"/>
    <mergeCell ref="E7077:H7077"/>
    <mergeCell ref="E7091:H7091"/>
    <mergeCell ref="E7092:H7092"/>
    <mergeCell ref="E7099:F7099"/>
    <mergeCell ref="E7100:F7100"/>
    <mergeCell ref="E7111:H7111"/>
    <mergeCell ref="E7075:H7075"/>
    <mergeCell ref="E7107:F7107"/>
    <mergeCell ref="E7108:F7108"/>
    <mergeCell ref="E7088:F7088"/>
    <mergeCell ref="E7089:F7089"/>
    <mergeCell ref="E7090:F7090"/>
    <mergeCell ref="E7098:H7098"/>
    <mergeCell ref="E7109:F7109"/>
    <mergeCell ref="E7058:F7058"/>
    <mergeCell ref="E7057:F7057"/>
    <mergeCell ref="E7027:H7027"/>
    <mergeCell ref="E7028:H7028"/>
    <mergeCell ref="E7029:H7029"/>
    <mergeCell ref="E7040:F7040"/>
    <mergeCell ref="E7041:F7041"/>
    <mergeCell ref="E7042:F7042"/>
    <mergeCell ref="E7049:H7049"/>
    <mergeCell ref="E7050:H7050"/>
    <mergeCell ref="E7063:F7063"/>
    <mergeCell ref="E7064:F7064"/>
    <mergeCell ref="E7065:F7065"/>
    <mergeCell ref="E7066:F7066"/>
    <mergeCell ref="E7067:F7067"/>
    <mergeCell ref="E7073:H7073"/>
    <mergeCell ref="E7074:H7074"/>
    <mergeCell ref="E7039:F7039"/>
    <mergeCell ref="E7110:F7110"/>
    <mergeCell ref="E7104:F7104"/>
    <mergeCell ref="E7106:F7106"/>
    <mergeCell ref="E7078:F7078"/>
    <mergeCell ref="E7084:F7084"/>
    <mergeCell ref="E7085:F7085"/>
    <mergeCell ref="E6986:H6986"/>
    <mergeCell ref="E6987:H6987"/>
    <mergeCell ref="E6988:H6988"/>
    <mergeCell ref="E6989:H6989"/>
    <mergeCell ref="E6990:H6990"/>
    <mergeCell ref="E6991:H6991"/>
    <mergeCell ref="E6998:F6998"/>
    <mergeCell ref="E6999:F6999"/>
    <mergeCell ref="E7000:F7000"/>
    <mergeCell ref="E7001:F7001"/>
    <mergeCell ref="E7002:F7002"/>
    <mergeCell ref="E7003:F7003"/>
    <mergeCell ref="E7004:F7004"/>
    <mergeCell ref="E7006:H7006"/>
    <mergeCell ref="E7007:H7007"/>
    <mergeCell ref="E7008:H7008"/>
    <mergeCell ref="E7009:H7009"/>
    <mergeCell ref="E7010:H7010"/>
    <mergeCell ref="E6993:F6993"/>
    <mergeCell ref="E7011:H7011"/>
    <mergeCell ref="E7012:H7012"/>
    <mergeCell ref="E7013:H7013"/>
    <mergeCell ref="E7014:H7014"/>
    <mergeCell ref="E6994:F6994"/>
    <mergeCell ref="E6996:F6996"/>
    <mergeCell ref="E7022:F7022"/>
    <mergeCell ref="E7015:F7015"/>
    <mergeCell ref="E7016:F7016"/>
    <mergeCell ref="E7017:F7017"/>
    <mergeCell ref="E7018:F7018"/>
    <mergeCell ref="E7019:F7019"/>
    <mergeCell ref="E7020:F7020"/>
    <mergeCell ref="E7021:F7021"/>
    <mergeCell ref="E6997:F6997"/>
    <mergeCell ref="E6992:F6992"/>
    <mergeCell ref="E6995:F6995"/>
    <mergeCell ref="E7005:H7005"/>
    <mergeCell ref="E6969:F6969"/>
    <mergeCell ref="E6970:F6970"/>
    <mergeCell ref="E6956:F6956"/>
    <mergeCell ref="E6957:F6957"/>
    <mergeCell ref="E6958:F6958"/>
    <mergeCell ref="E6959:F6959"/>
    <mergeCell ref="E6971:F6971"/>
    <mergeCell ref="E6972:F6972"/>
    <mergeCell ref="E6973:F6973"/>
    <mergeCell ref="E6955:F6955"/>
    <mergeCell ref="E6931:F6931"/>
    <mergeCell ref="E6932:F6932"/>
    <mergeCell ref="E6938:H6938"/>
    <mergeCell ref="E6939:H6939"/>
    <mergeCell ref="E6940:H6940"/>
    <mergeCell ref="E6941:H6941"/>
    <mergeCell ref="E6942:H6942"/>
    <mergeCell ref="E6921:F6921"/>
    <mergeCell ref="E6975:F6975"/>
    <mergeCell ref="E6976:F6976"/>
    <mergeCell ref="E6977:F6977"/>
    <mergeCell ref="E6943:H6943"/>
    <mergeCell ref="E6944:H6944"/>
    <mergeCell ref="E6945:H6945"/>
    <mergeCell ref="E6946:H6946"/>
    <mergeCell ref="E6978:F6978"/>
    <mergeCell ref="E6979:F6979"/>
    <mergeCell ref="E6980:F6980"/>
    <mergeCell ref="E6981:F6981"/>
    <mergeCell ref="E6982:H6982"/>
    <mergeCell ref="E6983:H6983"/>
    <mergeCell ref="E6984:H6984"/>
    <mergeCell ref="E6985:H6985"/>
    <mergeCell ref="E6933:H6933"/>
    <mergeCell ref="E6934:H6934"/>
    <mergeCell ref="E6935:H6935"/>
    <mergeCell ref="E6936:H6936"/>
    <mergeCell ref="E6937:H6937"/>
    <mergeCell ref="E6922:F6922"/>
    <mergeCell ref="E6923:F6923"/>
    <mergeCell ref="E6928:F6928"/>
    <mergeCell ref="E6930:H6930"/>
    <mergeCell ref="E6891:F6891"/>
    <mergeCell ref="E6892:F6892"/>
    <mergeCell ref="E6893:F6893"/>
    <mergeCell ref="E6894:F6894"/>
    <mergeCell ref="E6915:F6915"/>
    <mergeCell ref="E6916:F6916"/>
    <mergeCell ref="E6782:F6782"/>
    <mergeCell ref="E6783:F6783"/>
    <mergeCell ref="E6784:F6784"/>
    <mergeCell ref="E6785:F6785"/>
    <mergeCell ref="E6792:H6792"/>
    <mergeCell ref="E6865:H6865"/>
    <mergeCell ref="E6866:H6866"/>
    <mergeCell ref="E6867:H6867"/>
    <mergeCell ref="E6890:F6890"/>
    <mergeCell ref="E6854:F6854"/>
    <mergeCell ref="E6855:F6855"/>
    <mergeCell ref="E6856:F6856"/>
    <mergeCell ref="E6857:F6857"/>
    <mergeCell ref="E6825:F6825"/>
    <mergeCell ref="E6826:F6826"/>
    <mergeCell ref="E6827:F6827"/>
    <mergeCell ref="E6828:F6828"/>
    <mergeCell ref="E6817:H6817"/>
    <mergeCell ref="E6818:H6818"/>
    <mergeCell ref="E6869:H6869"/>
    <mergeCell ref="E6882:F6882"/>
    <mergeCell ref="E6885:F6885"/>
    <mergeCell ref="E6886:F6886"/>
    <mergeCell ref="E6810:F6810"/>
    <mergeCell ref="E6811:F6811"/>
    <mergeCell ref="E6879:F6879"/>
    <mergeCell ref="E6880:F6880"/>
    <mergeCell ref="E6920:F6920"/>
    <mergeCell ref="E6888:F6888"/>
    <mergeCell ref="E6889:F6889"/>
    <mergeCell ref="E6883:F6883"/>
    <mergeCell ref="E6884:F6884"/>
    <mergeCell ref="E6906:F6906"/>
    <mergeCell ref="E6907:F6907"/>
    <mergeCell ref="E6908:F6908"/>
    <mergeCell ref="E6816:F6816"/>
    <mergeCell ref="E6829:F6829"/>
    <mergeCell ref="E6830:F6830"/>
    <mergeCell ref="E6831:F6831"/>
    <mergeCell ref="E6852:F6852"/>
    <mergeCell ref="E6853:F6853"/>
    <mergeCell ref="E6863:H6863"/>
    <mergeCell ref="E6864:H6864"/>
    <mergeCell ref="E6870:F6870"/>
    <mergeCell ref="E6872:F6872"/>
    <mergeCell ref="E6873:F6873"/>
    <mergeCell ref="E6875:H6875"/>
    <mergeCell ref="E6876:H6876"/>
    <mergeCell ref="E6877:H6877"/>
    <mergeCell ref="E6896:F6896"/>
    <mergeCell ref="E6897:F6897"/>
    <mergeCell ref="E6550:F6550"/>
    <mergeCell ref="E6551:F6551"/>
    <mergeCell ref="E6552:F6552"/>
    <mergeCell ref="E6553:F6553"/>
    <mergeCell ref="E6554:F6554"/>
    <mergeCell ref="E6555:F6555"/>
    <mergeCell ref="E6556:F6556"/>
    <mergeCell ref="E6557:F6557"/>
    <mergeCell ref="E6558:F6558"/>
    <mergeCell ref="E6559:F6559"/>
    <mergeCell ref="E6560:F6560"/>
    <mergeCell ref="E6561:F6561"/>
    <mergeCell ref="E6562:F6562"/>
    <mergeCell ref="E6563:F6563"/>
    <mergeCell ref="E6572:F6572"/>
    <mergeCell ref="E6740:F6740"/>
    <mergeCell ref="E6741:F6741"/>
    <mergeCell ref="E6743:F6743"/>
    <mergeCell ref="E6746:F6746"/>
    <mergeCell ref="E6747:F6747"/>
    <mergeCell ref="E6758:F6758"/>
    <mergeCell ref="E6773:H6773"/>
    <mergeCell ref="E6774:H6774"/>
    <mergeCell ref="E6772:H6772"/>
    <mergeCell ref="E6786:F6786"/>
    <mergeCell ref="E6787:F6787"/>
    <mergeCell ref="E6788:F6788"/>
    <mergeCell ref="E6848:F6848"/>
    <mergeCell ref="E6849:F6849"/>
    <mergeCell ref="E6850:F6850"/>
    <mergeCell ref="E6851:F6851"/>
    <mergeCell ref="E6584:H6584"/>
    <mergeCell ref="E6592:F6592"/>
    <mergeCell ref="E6606:H6606"/>
    <mergeCell ref="E6614:F6614"/>
    <mergeCell ref="E6615:F6615"/>
    <mergeCell ref="E6616:F6616"/>
    <mergeCell ref="E6628:H6628"/>
    <mergeCell ref="E6629:H6629"/>
    <mergeCell ref="E6630:H6630"/>
    <mergeCell ref="E6636:F6636"/>
    <mergeCell ref="E6637:F6637"/>
    <mergeCell ref="E6638:F6638"/>
    <mergeCell ref="E6644:F6644"/>
    <mergeCell ref="E6645:F6645"/>
    <mergeCell ref="E6646:F6646"/>
    <mergeCell ref="E6647:F6647"/>
    <mergeCell ref="E6648:F6648"/>
    <mergeCell ref="E6649:F6649"/>
    <mergeCell ref="E6898:F6898"/>
    <mergeCell ref="E6899:F6899"/>
    <mergeCell ref="E6900:F6900"/>
    <mergeCell ref="E6902:F6902"/>
    <mergeCell ref="E6903:F6903"/>
    <mergeCell ref="E6904:F6904"/>
    <mergeCell ref="E6905:F6905"/>
    <mergeCell ref="E6910:H6910"/>
    <mergeCell ref="E6911:H6911"/>
    <mergeCell ref="E6912:H6912"/>
    <mergeCell ref="E6913:H6913"/>
    <mergeCell ref="E6914:H6914"/>
    <mergeCell ref="E6672:F6672"/>
    <mergeCell ref="E6506:F6506"/>
    <mergeCell ref="E6507:F6507"/>
    <mergeCell ref="E6508:F6508"/>
    <mergeCell ref="E6509:H6509"/>
    <mergeCell ref="E6510:H6510"/>
    <mergeCell ref="E6511:H6511"/>
    <mergeCell ref="E6512:H6512"/>
    <mergeCell ref="E6513:H6513"/>
    <mergeCell ref="E6514:H6514"/>
    <mergeCell ref="E6515:H6515"/>
    <mergeCell ref="E6516:H6516"/>
    <mergeCell ref="E6517:F6517"/>
    <mergeCell ref="E6518:F6518"/>
    <mergeCell ref="E6519:F6519"/>
    <mergeCell ref="E6520:F6520"/>
    <mergeCell ref="E6521:F6521"/>
    <mergeCell ref="E6522:F6522"/>
    <mergeCell ref="E6523:F6523"/>
    <mergeCell ref="E6524:F6524"/>
    <mergeCell ref="E6525:F6525"/>
    <mergeCell ref="E6526:F6526"/>
    <mergeCell ref="E6527:F6527"/>
    <mergeCell ref="E6528:F6528"/>
    <mergeCell ref="E6529:F6529"/>
    <mergeCell ref="E6530:F6530"/>
    <mergeCell ref="E6531:F6531"/>
    <mergeCell ref="E6581:F6581"/>
    <mergeCell ref="E6582:F6582"/>
    <mergeCell ref="E6589:H6589"/>
    <mergeCell ref="E6590:H6590"/>
    <mergeCell ref="E6591:H6591"/>
    <mergeCell ref="E6597:F6597"/>
    <mergeCell ref="E6577:F6577"/>
    <mergeCell ref="E6578:F6578"/>
    <mergeCell ref="E6573:F6573"/>
    <mergeCell ref="E6579:F6579"/>
    <mergeCell ref="E6580:F6580"/>
    <mergeCell ref="E6575:F6575"/>
    <mergeCell ref="E6574:F6574"/>
    <mergeCell ref="E6596:F6596"/>
    <mergeCell ref="E6564:H6564"/>
    <mergeCell ref="E6576:F6576"/>
    <mergeCell ref="E6585:H6585"/>
    <mergeCell ref="E6586:H6586"/>
    <mergeCell ref="E6587:H6587"/>
    <mergeCell ref="E6588:H6588"/>
    <mergeCell ref="E6532:F6532"/>
    <mergeCell ref="E6533:F6533"/>
    <mergeCell ref="E6534:F6534"/>
    <mergeCell ref="E6535:H6535"/>
    <mergeCell ref="E6536:H6536"/>
    <mergeCell ref="E6537:H6537"/>
    <mergeCell ref="E6538:H6538"/>
    <mergeCell ref="E6539:H6539"/>
    <mergeCell ref="E6540:H6540"/>
    <mergeCell ref="E6541:H6541"/>
    <mergeCell ref="E6542:H6542"/>
    <mergeCell ref="E6543:H6543"/>
    <mergeCell ref="E6544:H6544"/>
    <mergeCell ref="E6545:F6545"/>
    <mergeCell ref="E6546:F6546"/>
    <mergeCell ref="E6547:F6547"/>
    <mergeCell ref="E6548:F6548"/>
    <mergeCell ref="E6549:F6549"/>
    <mergeCell ref="E6472:F6472"/>
    <mergeCell ref="E6473:F6473"/>
    <mergeCell ref="E6474:F6474"/>
    <mergeCell ref="E6476:H6476"/>
    <mergeCell ref="E6477:F6477"/>
    <mergeCell ref="E6478:F6478"/>
    <mergeCell ref="E6479:H6479"/>
    <mergeCell ref="E6480:H6480"/>
    <mergeCell ref="E6481:H6481"/>
    <mergeCell ref="E6482:H6482"/>
    <mergeCell ref="E6483:H6483"/>
    <mergeCell ref="E6484:H6484"/>
    <mergeCell ref="E6485:H6485"/>
    <mergeCell ref="E6486:H6486"/>
    <mergeCell ref="E6487:H6487"/>
    <mergeCell ref="E6488:H6488"/>
    <mergeCell ref="E6489:H6489"/>
    <mergeCell ref="E6490:H6490"/>
    <mergeCell ref="E6491:H6491"/>
    <mergeCell ref="E6492:H6492"/>
    <mergeCell ref="E6493:H6493"/>
    <mergeCell ref="E6494:F6494"/>
    <mergeCell ref="E6495:F6495"/>
    <mergeCell ref="E6496:F6496"/>
    <mergeCell ref="E6497:F6497"/>
    <mergeCell ref="E6498:F6498"/>
    <mergeCell ref="E6499:F6499"/>
    <mergeCell ref="E6500:F6500"/>
    <mergeCell ref="E6501:F6501"/>
    <mergeCell ref="E6502:F6502"/>
    <mergeCell ref="E6503:F6503"/>
    <mergeCell ref="E6504:F6504"/>
    <mergeCell ref="E6505:F6505"/>
    <mergeCell ref="E6439:F6439"/>
    <mergeCell ref="E6440:F6440"/>
    <mergeCell ref="E6441:F6441"/>
    <mergeCell ref="E6442:F6442"/>
    <mergeCell ref="E6443:F6443"/>
    <mergeCell ref="E6444:F6444"/>
    <mergeCell ref="E6445:F6445"/>
    <mergeCell ref="E6446:F6446"/>
    <mergeCell ref="E6447:F6447"/>
    <mergeCell ref="E6448:F6448"/>
    <mergeCell ref="E6449:F6449"/>
    <mergeCell ref="E6450:F6450"/>
    <mergeCell ref="E6451:F6451"/>
    <mergeCell ref="E6452:F6452"/>
    <mergeCell ref="E6453:F6453"/>
    <mergeCell ref="E6454:F6454"/>
    <mergeCell ref="E6455:H6455"/>
    <mergeCell ref="E6456:H6456"/>
    <mergeCell ref="E6457:H6457"/>
    <mergeCell ref="E6458:H6458"/>
    <mergeCell ref="E6459:H6459"/>
    <mergeCell ref="E6460:H6460"/>
    <mergeCell ref="E6461:F6461"/>
    <mergeCell ref="E6462:F6462"/>
    <mergeCell ref="E6463:F6463"/>
    <mergeCell ref="E6464:F6464"/>
    <mergeCell ref="E6465:F6465"/>
    <mergeCell ref="E6466:F6466"/>
    <mergeCell ref="E6467:F6467"/>
    <mergeCell ref="E6468:F6468"/>
    <mergeCell ref="E6469:F6469"/>
    <mergeCell ref="E6470:F6470"/>
    <mergeCell ref="E6471:F6471"/>
    <mergeCell ref="E6215:H6215"/>
    <mergeCell ref="E6217:H6217"/>
    <mergeCell ref="E6218:H6218"/>
    <mergeCell ref="E6219:H6219"/>
    <mergeCell ref="E6220:H6220"/>
    <mergeCell ref="E6225:F6225"/>
    <mergeCell ref="E6226:F6226"/>
    <mergeCell ref="E6227:F6227"/>
    <mergeCell ref="E6228:F6228"/>
    <mergeCell ref="E6237:F6237"/>
    <mergeCell ref="E6250:F6250"/>
    <mergeCell ref="E6251:F6251"/>
    <mergeCell ref="E6263:F6263"/>
    <mergeCell ref="E6268:F6268"/>
    <mergeCell ref="E6269:F6269"/>
    <mergeCell ref="E6276:H6276"/>
    <mergeCell ref="E6278:H6278"/>
    <mergeCell ref="E6279:H6279"/>
    <mergeCell ref="E6280:F6280"/>
    <mergeCell ref="E6281:F6281"/>
    <mergeCell ref="E6282:F6282"/>
    <mergeCell ref="E6283:F6283"/>
    <mergeCell ref="E6284:F6284"/>
    <mergeCell ref="E6285:F6285"/>
    <mergeCell ref="E6290:F6290"/>
    <mergeCell ref="E6296:F6296"/>
    <mergeCell ref="E6300:H6300"/>
    <mergeCell ref="E6301:H6301"/>
    <mergeCell ref="E6302:H6302"/>
    <mergeCell ref="E6303:H6303"/>
    <mergeCell ref="E6308:F6308"/>
    <mergeCell ref="E6253:F6253"/>
    <mergeCell ref="E6254:F6254"/>
    <mergeCell ref="E6255:F6255"/>
    <mergeCell ref="E6259:F6259"/>
    <mergeCell ref="E6260:F6260"/>
    <mergeCell ref="E6216:H6216"/>
    <mergeCell ref="E6221:H6221"/>
    <mergeCell ref="E6222:H6222"/>
    <mergeCell ref="E6223:H6223"/>
    <mergeCell ref="E6224:H6224"/>
    <mergeCell ref="E6230:F6230"/>
    <mergeCell ref="E6245:H6245"/>
    <mergeCell ref="E6243:H6243"/>
    <mergeCell ref="E6244:H6244"/>
    <mergeCell ref="E6229:F6229"/>
    <mergeCell ref="E6231:F6231"/>
    <mergeCell ref="E6232:F6232"/>
    <mergeCell ref="E6233:F6233"/>
    <mergeCell ref="E6234:F6234"/>
    <mergeCell ref="E6235:F6235"/>
    <mergeCell ref="E6236:F6236"/>
    <mergeCell ref="E6242:H6242"/>
    <mergeCell ref="E6286:F6286"/>
    <mergeCell ref="E6287:F6287"/>
    <mergeCell ref="E6264:F6264"/>
    <mergeCell ref="E6261:F6261"/>
    <mergeCell ref="E6262:F6262"/>
    <mergeCell ref="E6289:F6289"/>
    <mergeCell ref="E6256:F6256"/>
    <mergeCell ref="E6257:F6257"/>
    <mergeCell ref="E6258:F6258"/>
    <mergeCell ref="E6277:H6277"/>
    <mergeCell ref="E6238:F6238"/>
    <mergeCell ref="E6152:H6152"/>
    <mergeCell ref="E6156:F6156"/>
    <mergeCell ref="E6158:F6158"/>
    <mergeCell ref="E6159:F6159"/>
    <mergeCell ref="E6163:H6163"/>
    <mergeCell ref="E6164:H6164"/>
    <mergeCell ref="E6173:F6173"/>
    <mergeCell ref="E6178:F6178"/>
    <mergeCell ref="E6179:F6179"/>
    <mergeCell ref="E6180:F6180"/>
    <mergeCell ref="E6181:F6181"/>
    <mergeCell ref="E6183:F6183"/>
    <mergeCell ref="E6186:H6186"/>
    <mergeCell ref="E6187:H6187"/>
    <mergeCell ref="E6188:H6188"/>
    <mergeCell ref="E6189:H6189"/>
    <mergeCell ref="E6194:F6194"/>
    <mergeCell ref="E6199:F6199"/>
    <mergeCell ref="E6200:F6200"/>
    <mergeCell ref="E6201:F6201"/>
    <mergeCell ref="E6202:F6202"/>
    <mergeCell ref="E6203:F6203"/>
    <mergeCell ref="E6206:F6206"/>
    <mergeCell ref="E6210:H6210"/>
    <mergeCell ref="E6211:H6211"/>
    <mergeCell ref="E6212:H6212"/>
    <mergeCell ref="E6207:F6207"/>
    <mergeCell ref="E6185:H6185"/>
    <mergeCell ref="E6205:H6205"/>
    <mergeCell ref="E6198:F6198"/>
    <mergeCell ref="E6196:F6196"/>
    <mergeCell ref="E6213:H6213"/>
    <mergeCell ref="E6214:H6214"/>
    <mergeCell ref="E6197:F6197"/>
    <mergeCell ref="E6208:F6208"/>
    <mergeCell ref="E6209:F6209"/>
    <mergeCell ref="E6153:H6153"/>
    <mergeCell ref="E6154:H6154"/>
    <mergeCell ref="E6155:H6155"/>
    <mergeCell ref="E6161:H6161"/>
    <mergeCell ref="E6190:F6190"/>
    <mergeCell ref="E6169:F6169"/>
    <mergeCell ref="E6170:F6170"/>
    <mergeCell ref="E6171:F6171"/>
    <mergeCell ref="E6083:F6083"/>
    <mergeCell ref="E6090:H6090"/>
    <mergeCell ref="E6091:H6091"/>
    <mergeCell ref="E6092:H6092"/>
    <mergeCell ref="E6093:H6093"/>
    <mergeCell ref="E6094:H6094"/>
    <mergeCell ref="E6095:H6095"/>
    <mergeCell ref="E6096:H6096"/>
    <mergeCell ref="E6097:H6097"/>
    <mergeCell ref="E6098:F6098"/>
    <mergeCell ref="E6099:F6099"/>
    <mergeCell ref="E6102:F6102"/>
    <mergeCell ref="E6103:F6103"/>
    <mergeCell ref="E6104:F6104"/>
    <mergeCell ref="E6105:F6105"/>
    <mergeCell ref="E6106:F6106"/>
    <mergeCell ref="E6107:F6107"/>
    <mergeCell ref="E6108:F6108"/>
    <mergeCell ref="E6116:H6116"/>
    <mergeCell ref="E6125:F6125"/>
    <mergeCell ref="E6128:H6128"/>
    <mergeCell ref="E6129:H6129"/>
    <mergeCell ref="E6136:F6136"/>
    <mergeCell ref="E6137:F6137"/>
    <mergeCell ref="E6149:H6149"/>
    <mergeCell ref="E6150:H6150"/>
    <mergeCell ref="E6151:H6151"/>
    <mergeCell ref="E6147:F6147"/>
    <mergeCell ref="E6148:H6148"/>
    <mergeCell ref="E6085:F6085"/>
    <mergeCell ref="E6086:F6086"/>
    <mergeCell ref="E6087:F6087"/>
    <mergeCell ref="E6088:F6088"/>
    <mergeCell ref="E6084:F6084"/>
    <mergeCell ref="E6126:F6126"/>
    <mergeCell ref="E6127:F6127"/>
    <mergeCell ref="E6089:F6089"/>
    <mergeCell ref="E6007:H6007"/>
    <mergeCell ref="E6008:H6008"/>
    <mergeCell ref="E6009:H6009"/>
    <mergeCell ref="E6027:H6027"/>
    <mergeCell ref="E6028:H6028"/>
    <mergeCell ref="E5980:H5980"/>
    <mergeCell ref="E5981:H5981"/>
    <mergeCell ref="E5982:H5982"/>
    <mergeCell ref="E5983:H5983"/>
    <mergeCell ref="E5984:H5984"/>
    <mergeCell ref="E5985:H5985"/>
    <mergeCell ref="E5986:H5986"/>
    <mergeCell ref="E6021:F6021"/>
    <mergeCell ref="E6022:F6022"/>
    <mergeCell ref="E5975:F5975"/>
    <mergeCell ref="E5996:F5996"/>
    <mergeCell ref="E5997:F5997"/>
    <mergeCell ref="E5950:F5950"/>
    <mergeCell ref="E5952:H5952"/>
    <mergeCell ref="E5953:H5953"/>
    <mergeCell ref="E5954:H5954"/>
    <mergeCell ref="E5955:H5955"/>
    <mergeCell ref="E5956:H5956"/>
    <mergeCell ref="E5957:H5957"/>
    <mergeCell ref="E6059:F6059"/>
    <mergeCell ref="E6076:H6076"/>
    <mergeCell ref="E6069:F6069"/>
    <mergeCell ref="E6002:H6002"/>
    <mergeCell ref="E6010:F6010"/>
    <mergeCell ref="E6023:H6023"/>
    <mergeCell ref="E6024:H6024"/>
    <mergeCell ref="E6025:H6025"/>
    <mergeCell ref="E6026:H6026"/>
    <mergeCell ref="E6033:F6033"/>
    <mergeCell ref="E6034:F6034"/>
    <mergeCell ref="E6048:H6048"/>
    <mergeCell ref="E6049:H6049"/>
    <mergeCell ref="E6050:H6050"/>
    <mergeCell ref="E6058:F6058"/>
    <mergeCell ref="E6060:F6060"/>
    <mergeCell ref="E6063:F6063"/>
    <mergeCell ref="E6064:F6064"/>
    <mergeCell ref="E6065:F6065"/>
    <mergeCell ref="E6066:F6066"/>
    <mergeCell ref="E6045:F6045"/>
    <mergeCell ref="E6046:F6046"/>
    <mergeCell ref="E6047:F6047"/>
    <mergeCell ref="E6061:F6061"/>
    <mergeCell ref="E6062:F6062"/>
    <mergeCell ref="E5855:H5855"/>
    <mergeCell ref="E5856:H5856"/>
    <mergeCell ref="E5860:F5860"/>
    <mergeCell ref="E5861:F5861"/>
    <mergeCell ref="E5862:F5862"/>
    <mergeCell ref="E5863:F5863"/>
    <mergeCell ref="E5865:F5865"/>
    <mergeCell ref="E5866:F5866"/>
    <mergeCell ref="E5867:F5867"/>
    <mergeCell ref="E5869:H5869"/>
    <mergeCell ref="E5870:H5870"/>
    <mergeCell ref="E5871:H5871"/>
    <mergeCell ref="E5872:H5872"/>
    <mergeCell ref="E5877:F5877"/>
    <mergeCell ref="E5885:H5885"/>
    <mergeCell ref="E5888:F5888"/>
    <mergeCell ref="E5890:H5890"/>
    <mergeCell ref="E5891:H5891"/>
    <mergeCell ref="E5892:H5892"/>
    <mergeCell ref="E5893:H5893"/>
    <mergeCell ref="E5894:H5894"/>
    <mergeCell ref="E5895:H5895"/>
    <mergeCell ref="E5896:H5896"/>
    <mergeCell ref="E5900:F5900"/>
    <mergeCell ref="E5901:F5901"/>
    <mergeCell ref="E5910:H5910"/>
    <mergeCell ref="E5915:H5915"/>
    <mergeCell ref="E5916:H5916"/>
    <mergeCell ref="E5918:H5918"/>
    <mergeCell ref="E5919:H5919"/>
    <mergeCell ref="E5920:H5920"/>
    <mergeCell ref="E5921:H5921"/>
    <mergeCell ref="E5923:F5923"/>
    <mergeCell ref="E5859:F5859"/>
    <mergeCell ref="E5864:H5864"/>
    <mergeCell ref="E5904:F5904"/>
    <mergeCell ref="E5873:H5873"/>
    <mergeCell ref="E5874:H5874"/>
    <mergeCell ref="E5875:H5875"/>
    <mergeCell ref="E5876:H5876"/>
    <mergeCell ref="E5882:F5882"/>
    <mergeCell ref="E5883:F5883"/>
    <mergeCell ref="E5884:F5884"/>
    <mergeCell ref="E5886:F5886"/>
    <mergeCell ref="E5887:F5887"/>
    <mergeCell ref="E5889:F5889"/>
    <mergeCell ref="E5857:F5857"/>
    <mergeCell ref="E5858:F5858"/>
    <mergeCell ref="E5868:F5868"/>
    <mergeCell ref="E5878:F5878"/>
    <mergeCell ref="E5879:F5879"/>
    <mergeCell ref="E5880:F5880"/>
    <mergeCell ref="E5881:F5881"/>
    <mergeCell ref="E5897:H5897"/>
    <mergeCell ref="E5898:H5898"/>
    <mergeCell ref="E5899:H5899"/>
    <mergeCell ref="E5905:F5905"/>
    <mergeCell ref="E5906:F5906"/>
    <mergeCell ref="E5907:F5907"/>
    <mergeCell ref="E5908:F5908"/>
    <mergeCell ref="E5909:F5909"/>
    <mergeCell ref="E5911:F5911"/>
    <mergeCell ref="E5912:F5912"/>
    <mergeCell ref="E5917:H5917"/>
    <mergeCell ref="E5810:H5810"/>
    <mergeCell ref="E5811:H5811"/>
    <mergeCell ref="E5812:H5812"/>
    <mergeCell ref="E5813:H5813"/>
    <mergeCell ref="E5814:H5814"/>
    <mergeCell ref="E5817:F5817"/>
    <mergeCell ref="E5818:F5818"/>
    <mergeCell ref="E5819:F5819"/>
    <mergeCell ref="E5820:F5820"/>
    <mergeCell ref="E5821:F5821"/>
    <mergeCell ref="E5822:F5822"/>
    <mergeCell ref="E5823:F5823"/>
    <mergeCell ref="E5829:H5829"/>
    <mergeCell ref="E5830:H5830"/>
    <mergeCell ref="E5831:H5831"/>
    <mergeCell ref="E5832:H5832"/>
    <mergeCell ref="E5833:H5833"/>
    <mergeCell ref="E5834:H5834"/>
    <mergeCell ref="E5835:H5835"/>
    <mergeCell ref="E5836:H5836"/>
    <mergeCell ref="E5837:F5837"/>
    <mergeCell ref="E5838:F5838"/>
    <mergeCell ref="E5839:F5839"/>
    <mergeCell ref="E5840:F5840"/>
    <mergeCell ref="E5841:F5841"/>
    <mergeCell ref="E5842:F5842"/>
    <mergeCell ref="E5843:F5843"/>
    <mergeCell ref="E5849:H5849"/>
    <mergeCell ref="E5850:H5850"/>
    <mergeCell ref="E5851:H5851"/>
    <mergeCell ref="E5852:H5852"/>
    <mergeCell ref="E5853:H5853"/>
    <mergeCell ref="E5854:H5854"/>
    <mergeCell ref="E5815:F5815"/>
    <mergeCell ref="E5816:F5816"/>
    <mergeCell ref="E5826:F5826"/>
    <mergeCell ref="E5827:F5827"/>
    <mergeCell ref="E5828:F5828"/>
    <mergeCell ref="E5825:F5825"/>
    <mergeCell ref="E5847:F5847"/>
    <mergeCell ref="E5848:F5848"/>
    <mergeCell ref="E5845:F5845"/>
    <mergeCell ref="E5846:F5846"/>
    <mergeCell ref="E5824:H5824"/>
    <mergeCell ref="E5844:H5844"/>
    <mergeCell ref="E5767:H5767"/>
    <mergeCell ref="E5768:H5768"/>
    <mergeCell ref="E5769:H5769"/>
    <mergeCell ref="E5775:F5775"/>
    <mergeCell ref="E5776:F5776"/>
    <mergeCell ref="E5777:F5777"/>
    <mergeCell ref="E5779:F5779"/>
    <mergeCell ref="E5780:F5780"/>
    <mergeCell ref="E5781:F5781"/>
    <mergeCell ref="E5782:F5782"/>
    <mergeCell ref="E5785:H5785"/>
    <mergeCell ref="E5786:H5786"/>
    <mergeCell ref="E5787:H5787"/>
    <mergeCell ref="E5788:H5788"/>
    <mergeCell ref="E5789:H5789"/>
    <mergeCell ref="E5790:H5790"/>
    <mergeCell ref="E5797:F5797"/>
    <mergeCell ref="E5798:F5798"/>
    <mergeCell ref="E5799:F5799"/>
    <mergeCell ref="E5801:F5801"/>
    <mergeCell ref="E5802:F5802"/>
    <mergeCell ref="E5803:F5803"/>
    <mergeCell ref="E5804:F5804"/>
    <mergeCell ref="E5805:H5805"/>
    <mergeCell ref="E5806:H5806"/>
    <mergeCell ref="E5807:H5807"/>
    <mergeCell ref="E5808:H5808"/>
    <mergeCell ref="E5809:H5809"/>
    <mergeCell ref="E5800:H5800"/>
    <mergeCell ref="E5791:F5791"/>
    <mergeCell ref="E5792:F5792"/>
    <mergeCell ref="E5793:F5793"/>
    <mergeCell ref="E5794:F5794"/>
    <mergeCell ref="E5795:F5795"/>
    <mergeCell ref="E5796:F5796"/>
    <mergeCell ref="E5770:F5770"/>
    <mergeCell ref="E5771:F5771"/>
    <mergeCell ref="E5772:F5772"/>
    <mergeCell ref="E5774:F5774"/>
    <mergeCell ref="E5778:H5778"/>
    <mergeCell ref="E5783:H5783"/>
    <mergeCell ref="E5784:H5784"/>
    <mergeCell ref="E5753:F5753"/>
    <mergeCell ref="E5754:F5754"/>
    <mergeCell ref="E5755:F5755"/>
    <mergeCell ref="E5760:H5760"/>
    <mergeCell ref="E5761:H5761"/>
    <mergeCell ref="E5758:H5758"/>
    <mergeCell ref="E5759:H5759"/>
    <mergeCell ref="E5716:F5716"/>
    <mergeCell ref="E5736:F5736"/>
    <mergeCell ref="E5737:F5737"/>
    <mergeCell ref="E5746:F5746"/>
    <mergeCell ref="E5720:F5720"/>
    <mergeCell ref="E5748:F5748"/>
    <mergeCell ref="E5747:F5747"/>
    <mergeCell ref="E5743:F5743"/>
    <mergeCell ref="E5702:H5702"/>
    <mergeCell ref="E5707:F5707"/>
    <mergeCell ref="E5744:F5744"/>
    <mergeCell ref="E5745:F5745"/>
    <mergeCell ref="E5738:F5738"/>
    <mergeCell ref="E5739:F5739"/>
    <mergeCell ref="E5740:F5740"/>
    <mergeCell ref="E5708:F5708"/>
    <mergeCell ref="E5709:F5709"/>
    <mergeCell ref="E5710:F5710"/>
    <mergeCell ref="E5756:H5756"/>
    <mergeCell ref="E5757:H5757"/>
    <mergeCell ref="E5726:F5726"/>
    <mergeCell ref="E5762:H5762"/>
    <mergeCell ref="E5763:H5763"/>
    <mergeCell ref="E5764:H5764"/>
    <mergeCell ref="E5765:H5765"/>
    <mergeCell ref="E5766:H5766"/>
    <mergeCell ref="E5635:H5635"/>
    <mergeCell ref="E5636:H5636"/>
    <mergeCell ref="E5637:H5637"/>
    <mergeCell ref="E5638:H5638"/>
    <mergeCell ref="E5639:H5639"/>
    <mergeCell ref="E5640:H5640"/>
    <mergeCell ref="E5641:H5641"/>
    <mergeCell ref="E5642:H5642"/>
    <mergeCell ref="E5643:F5643"/>
    <mergeCell ref="E5644:F5644"/>
    <mergeCell ref="E5645:F5645"/>
    <mergeCell ref="E5646:F5646"/>
    <mergeCell ref="E5647:F5647"/>
    <mergeCell ref="E5656:H5656"/>
    <mergeCell ref="E5657:H5657"/>
    <mergeCell ref="E5658:H5658"/>
    <mergeCell ref="E5659:H5659"/>
    <mergeCell ref="E5660:H5660"/>
    <mergeCell ref="E5661:H5661"/>
    <mergeCell ref="E5662:H5662"/>
    <mergeCell ref="E5668:F5668"/>
    <mergeCell ref="E5669:F5669"/>
    <mergeCell ref="E5670:F5670"/>
    <mergeCell ref="E5664:F5664"/>
    <mergeCell ref="E5727:F5727"/>
    <mergeCell ref="E5728:F5728"/>
    <mergeCell ref="E5729:F5729"/>
    <mergeCell ref="E5731:H5731"/>
    <mergeCell ref="E5732:H5732"/>
    <mergeCell ref="E5733:H5733"/>
    <mergeCell ref="E5734:H5734"/>
    <mergeCell ref="E5735:H5735"/>
    <mergeCell ref="E5752:F5752"/>
    <mergeCell ref="E5648:F5648"/>
    <mergeCell ref="E5649:F5649"/>
    <mergeCell ref="E5650:F5650"/>
    <mergeCell ref="E5651:F5651"/>
    <mergeCell ref="E5663:H5663"/>
    <mergeCell ref="E5665:F5665"/>
    <mergeCell ref="E5666:F5666"/>
    <mergeCell ref="E5667:F5667"/>
    <mergeCell ref="E5677:H5677"/>
    <mergeCell ref="E5678:H5678"/>
    <mergeCell ref="E5679:H5679"/>
    <mergeCell ref="E5680:H5680"/>
    <mergeCell ref="E5681:H5681"/>
    <mergeCell ref="E5705:F5705"/>
    <mergeCell ref="E5706:F5706"/>
    <mergeCell ref="E5718:F5718"/>
    <mergeCell ref="E5719:F5719"/>
    <mergeCell ref="E5654:F5654"/>
    <mergeCell ref="E5655:F5655"/>
    <mergeCell ref="E5652:F5652"/>
    <mergeCell ref="E5653:F5653"/>
    <mergeCell ref="E5741:F5741"/>
    <mergeCell ref="E5742:F5742"/>
    <mergeCell ref="E5749:F5749"/>
    <mergeCell ref="E5751:H5751"/>
    <mergeCell ref="E5711:F5711"/>
    <mergeCell ref="E5712:F5712"/>
    <mergeCell ref="E5713:F5713"/>
    <mergeCell ref="E5714:F5714"/>
    <mergeCell ref="E5715:F5715"/>
    <mergeCell ref="E5671:F5671"/>
    <mergeCell ref="E5502:F5502"/>
    <mergeCell ref="E5503:F5503"/>
    <mergeCell ref="E5504:F5504"/>
    <mergeCell ref="E5517:H5517"/>
    <mergeCell ref="E5518:H5518"/>
    <mergeCell ref="E5522:F5522"/>
    <mergeCell ref="E5523:F5523"/>
    <mergeCell ref="E5524:F5524"/>
    <mergeCell ref="E5525:F5525"/>
    <mergeCell ref="E5526:F5526"/>
    <mergeCell ref="E5537:H5537"/>
    <mergeCell ref="E5539:F5539"/>
    <mergeCell ref="E5540:F5540"/>
    <mergeCell ref="E5541:F5541"/>
    <mergeCell ref="E5547:H5547"/>
    <mergeCell ref="E5548:H5548"/>
    <mergeCell ref="E5549:H5549"/>
    <mergeCell ref="E5550:H5550"/>
    <mergeCell ref="E5551:H5551"/>
    <mergeCell ref="E5552:H5552"/>
    <mergeCell ref="E5553:H5553"/>
    <mergeCell ref="E5554:H5554"/>
    <mergeCell ref="E5555:H5555"/>
    <mergeCell ref="E5560:F5560"/>
    <mergeCell ref="E5561:F5561"/>
    <mergeCell ref="E5562:F5562"/>
    <mergeCell ref="E5563:F5563"/>
    <mergeCell ref="E5564:F5564"/>
    <mergeCell ref="E5491:F5491"/>
    <mergeCell ref="E5493:F5493"/>
    <mergeCell ref="E5494:F5494"/>
    <mergeCell ref="E5496:H5496"/>
    <mergeCell ref="E5497:H5497"/>
    <mergeCell ref="E5498:H5498"/>
    <mergeCell ref="E5509:F5509"/>
    <mergeCell ref="E5510:F5510"/>
    <mergeCell ref="E5511:F5511"/>
    <mergeCell ref="E5513:F5513"/>
    <mergeCell ref="E5514:F5514"/>
    <mergeCell ref="E5515:F5515"/>
    <mergeCell ref="E5519:H5519"/>
    <mergeCell ref="E5520:H5520"/>
    <mergeCell ref="E5521:H5521"/>
    <mergeCell ref="E5527:F5527"/>
    <mergeCell ref="E5528:F5528"/>
    <mergeCell ref="E5529:F5529"/>
    <mergeCell ref="E5530:F5530"/>
    <mergeCell ref="E5532:F5532"/>
    <mergeCell ref="E5535:F5535"/>
    <mergeCell ref="E5505:F5505"/>
    <mergeCell ref="E5506:F5506"/>
    <mergeCell ref="E5508:F5508"/>
    <mergeCell ref="E5534:F5534"/>
    <mergeCell ref="E5531:F5531"/>
    <mergeCell ref="E5438:F5438"/>
    <mergeCell ref="E5439:F5439"/>
    <mergeCell ref="E5434:F5434"/>
    <mergeCell ref="E5435:F5435"/>
    <mergeCell ref="E5470:H5470"/>
    <mergeCell ref="E5480:F5480"/>
    <mergeCell ref="E5459:F5459"/>
    <mergeCell ref="E5460:F5460"/>
    <mergeCell ref="E5461:F5461"/>
    <mergeCell ref="E5462:F5462"/>
    <mergeCell ref="E5447:H5447"/>
    <mergeCell ref="E5448:H5448"/>
    <mergeCell ref="E5449:H5449"/>
    <mergeCell ref="E5455:F5455"/>
    <mergeCell ref="E5456:F5456"/>
    <mergeCell ref="E5457:F5457"/>
    <mergeCell ref="E5458:F5458"/>
    <mergeCell ref="E5481:F5481"/>
    <mergeCell ref="E5482:F5482"/>
    <mergeCell ref="E5454:F5454"/>
    <mergeCell ref="E5463:H5463"/>
    <mergeCell ref="E5464:H5464"/>
    <mergeCell ref="E5465:H5465"/>
    <mergeCell ref="E5466:H5466"/>
    <mergeCell ref="E5467:H5467"/>
    <mergeCell ref="E5468:H5468"/>
    <mergeCell ref="E5452:F5452"/>
    <mergeCell ref="E5453:F5453"/>
    <mergeCell ref="E5488:H5488"/>
    <mergeCell ref="E5489:H5489"/>
    <mergeCell ref="E5490:H5490"/>
    <mergeCell ref="E5500:F5500"/>
    <mergeCell ref="E5501:F5501"/>
    <mergeCell ref="E5399:F5399"/>
    <mergeCell ref="E5403:H5403"/>
    <mergeCell ref="E5404:H5404"/>
    <mergeCell ref="E5405:H5405"/>
    <mergeCell ref="E5406:H5406"/>
    <mergeCell ref="E5407:H5407"/>
    <mergeCell ref="E5408:H5408"/>
    <mergeCell ref="E5409:H5409"/>
    <mergeCell ref="E5410:H5410"/>
    <mergeCell ref="E5411:H5411"/>
    <mergeCell ref="E5412:H5412"/>
    <mergeCell ref="E5414:F5414"/>
    <mergeCell ref="E5415:F5415"/>
    <mergeCell ref="E5469:H5469"/>
    <mergeCell ref="E5471:F5471"/>
    <mergeCell ref="E5472:F5472"/>
    <mergeCell ref="E5424:H5424"/>
    <mergeCell ref="E5473:F5473"/>
    <mergeCell ref="E5474:F5474"/>
    <mergeCell ref="E5475:F5475"/>
    <mergeCell ref="E5476:F5476"/>
    <mergeCell ref="E5477:F5477"/>
    <mergeCell ref="E5478:F5478"/>
    <mergeCell ref="E5280:F5280"/>
    <mergeCell ref="E5281:F5281"/>
    <mergeCell ref="E5283:F5283"/>
    <mergeCell ref="E5284:F5284"/>
    <mergeCell ref="E5286:H5286"/>
    <mergeCell ref="E5287:H5287"/>
    <mergeCell ref="E5288:H5288"/>
    <mergeCell ref="E5289:H5289"/>
    <mergeCell ref="E5290:H5290"/>
    <mergeCell ref="E5297:F5297"/>
    <mergeCell ref="E5298:F5298"/>
    <mergeCell ref="E5299:F5299"/>
    <mergeCell ref="E5300:F5300"/>
    <mergeCell ref="E5301:F5301"/>
    <mergeCell ref="E5302:F5302"/>
    <mergeCell ref="E5303:F5303"/>
    <mergeCell ref="E5304:F5304"/>
    <mergeCell ref="E5306:H5306"/>
    <mergeCell ref="E5311:H5311"/>
    <mergeCell ref="E5312:H5312"/>
    <mergeCell ref="E5313:H5313"/>
    <mergeCell ref="E5314:H5314"/>
    <mergeCell ref="E5315:H5315"/>
    <mergeCell ref="E5316:H5316"/>
    <mergeCell ref="E5317:H5317"/>
    <mergeCell ref="E5318:H5318"/>
    <mergeCell ref="E5326:F5326"/>
    <mergeCell ref="E5338:H5338"/>
    <mergeCell ref="E5339:H5339"/>
    <mergeCell ref="E5340:H5340"/>
    <mergeCell ref="E5346:F5346"/>
    <mergeCell ref="E5347:F5347"/>
    <mergeCell ref="E5348:F5348"/>
    <mergeCell ref="E5334:F5334"/>
    <mergeCell ref="E5335:F5335"/>
    <mergeCell ref="E5291:F5291"/>
    <mergeCell ref="E5294:F5294"/>
    <mergeCell ref="E5323:H5323"/>
    <mergeCell ref="E5440:F5440"/>
    <mergeCell ref="E5441:F5441"/>
    <mergeCell ref="E5442:F5442"/>
    <mergeCell ref="E5327:F5327"/>
    <mergeCell ref="E5328:F5328"/>
    <mergeCell ref="E5329:F5329"/>
    <mergeCell ref="E5330:F5330"/>
    <mergeCell ref="E5331:F5331"/>
    <mergeCell ref="E5332:F5332"/>
    <mergeCell ref="E5295:F5295"/>
    <mergeCell ref="E5296:F5296"/>
    <mergeCell ref="E5307:F5307"/>
    <mergeCell ref="E5308:F5308"/>
    <mergeCell ref="E5309:F5309"/>
    <mergeCell ref="E5324:H5324"/>
    <mergeCell ref="E5325:H5325"/>
    <mergeCell ref="E5343:H5343"/>
    <mergeCell ref="E5344:H5344"/>
    <mergeCell ref="E5345:H5345"/>
    <mergeCell ref="E5321:H5321"/>
    <mergeCell ref="E5322:H5322"/>
    <mergeCell ref="E5310:F5310"/>
    <mergeCell ref="E5292:F5292"/>
    <mergeCell ref="E5293:F5293"/>
    <mergeCell ref="E5333:F5333"/>
    <mergeCell ref="E5336:F5336"/>
    <mergeCell ref="E5337:F5337"/>
    <mergeCell ref="E5341:H5341"/>
    <mergeCell ref="E5342:H5342"/>
    <mergeCell ref="E5210:F5210"/>
    <mergeCell ref="E5211:F5211"/>
    <mergeCell ref="E5212:F5212"/>
    <mergeCell ref="E5213:F5213"/>
    <mergeCell ref="E5214:H5214"/>
    <mergeCell ref="E5215:H5215"/>
    <mergeCell ref="E5216:H5216"/>
    <mergeCell ref="E5217:H5217"/>
    <mergeCell ref="E5218:H5218"/>
    <mergeCell ref="E5219:H5219"/>
    <mergeCell ref="E5220:H5220"/>
    <mergeCell ref="E5221:H5221"/>
    <mergeCell ref="E5222:H5222"/>
    <mergeCell ref="E5223:H5223"/>
    <mergeCell ref="E5224:H5224"/>
    <mergeCell ref="E5225:H5225"/>
    <mergeCell ref="E5226:H5226"/>
    <mergeCell ref="E5227:H5227"/>
    <mergeCell ref="E5235:F5235"/>
    <mergeCell ref="E5248:H5248"/>
    <mergeCell ref="E5249:H5249"/>
    <mergeCell ref="E5250:H5250"/>
    <mergeCell ref="E5256:F5256"/>
    <mergeCell ref="E5258:F5258"/>
    <mergeCell ref="E5259:F5259"/>
    <mergeCell ref="E5261:H5261"/>
    <mergeCell ref="E5262:H5262"/>
    <mergeCell ref="E5263:H5263"/>
    <mergeCell ref="E5264:H5264"/>
    <mergeCell ref="E5276:F5276"/>
    <mergeCell ref="E5277:F5277"/>
    <mergeCell ref="E5278:F5278"/>
    <mergeCell ref="E5279:F5279"/>
    <mergeCell ref="E5234:H5234"/>
    <mergeCell ref="E5251:H5251"/>
    <mergeCell ref="E5252:H5252"/>
    <mergeCell ref="E5243:F5243"/>
    <mergeCell ref="E5228:H5228"/>
    <mergeCell ref="E5238:F5238"/>
    <mergeCell ref="E5239:F5239"/>
    <mergeCell ref="E5240:F5240"/>
    <mergeCell ref="E5241:F5241"/>
    <mergeCell ref="E5242:F5242"/>
    <mergeCell ref="E5246:F5246"/>
    <mergeCell ref="E5247:F5247"/>
    <mergeCell ref="E5244:F5244"/>
    <mergeCell ref="E5245:F5245"/>
    <mergeCell ref="E5229:H5229"/>
    <mergeCell ref="E5230:H5230"/>
    <mergeCell ref="E5231:H5231"/>
    <mergeCell ref="E5232:H5232"/>
    <mergeCell ref="E5233:H5233"/>
    <mergeCell ref="E5236:F5236"/>
    <mergeCell ref="E5237:F5237"/>
    <mergeCell ref="E5253:H5253"/>
    <mergeCell ref="E5254:H5254"/>
    <mergeCell ref="E5255:H5255"/>
    <mergeCell ref="E5269:F5269"/>
    <mergeCell ref="E5270:F5270"/>
    <mergeCell ref="E5271:F5271"/>
    <mergeCell ref="E5272:F5272"/>
    <mergeCell ref="E5273:F5273"/>
    <mergeCell ref="E5274:F5274"/>
    <mergeCell ref="E5266:F5266"/>
    <mergeCell ref="E5143:F5143"/>
    <mergeCell ref="E5144:F5144"/>
    <mergeCell ref="E5145:F5145"/>
    <mergeCell ref="E5146:F5146"/>
    <mergeCell ref="E5147:F5147"/>
    <mergeCell ref="E5149:H5149"/>
    <mergeCell ref="E5150:H5150"/>
    <mergeCell ref="E5151:H5151"/>
    <mergeCell ref="E5152:H5152"/>
    <mergeCell ref="E5153:H5153"/>
    <mergeCell ref="E5157:H5157"/>
    <mergeCell ref="E5165:F5165"/>
    <mergeCell ref="E5170:F5170"/>
    <mergeCell ref="E5172:H5172"/>
    <mergeCell ref="E5173:H5173"/>
    <mergeCell ref="E5174:H5174"/>
    <mergeCell ref="E5180:H5180"/>
    <mergeCell ref="E5181:H5181"/>
    <mergeCell ref="E5193:H5193"/>
    <mergeCell ref="E5194:H5194"/>
    <mergeCell ref="E5196:H5196"/>
    <mergeCell ref="E5197:H5197"/>
    <mergeCell ref="E5198:H5198"/>
    <mergeCell ref="E5199:H5199"/>
    <mergeCell ref="E5201:F5201"/>
    <mergeCell ref="E5202:F5202"/>
    <mergeCell ref="E5203:F5203"/>
    <mergeCell ref="E5204:F5204"/>
    <mergeCell ref="E5205:F5205"/>
    <mergeCell ref="E5206:F5206"/>
    <mergeCell ref="E5207:F5207"/>
    <mergeCell ref="E5208:F5208"/>
    <mergeCell ref="E5209:F5209"/>
    <mergeCell ref="E5158:F5158"/>
    <mergeCell ref="E5159:F5159"/>
    <mergeCell ref="E5162:F5162"/>
    <mergeCell ref="E5163:F5163"/>
    <mergeCell ref="E5164:F5164"/>
    <mergeCell ref="E5166:F5166"/>
    <mergeCell ref="E5167:F5167"/>
    <mergeCell ref="E5168:F5168"/>
    <mergeCell ref="E5182:F5182"/>
    <mergeCell ref="E5183:F5183"/>
    <mergeCell ref="E5184:F5184"/>
    <mergeCell ref="E5185:F5185"/>
    <mergeCell ref="E5169:F5169"/>
    <mergeCell ref="E5192:F5192"/>
    <mergeCell ref="E5175:H5175"/>
    <mergeCell ref="E5176:H5176"/>
    <mergeCell ref="E5177:H5177"/>
    <mergeCell ref="E5148:H5148"/>
    <mergeCell ref="E5154:H5154"/>
    <mergeCell ref="E5155:H5155"/>
    <mergeCell ref="E5156:H5156"/>
    <mergeCell ref="E5160:F5160"/>
    <mergeCell ref="E5161:F5161"/>
    <mergeCell ref="E5195:H5195"/>
    <mergeCell ref="E5106:H5106"/>
    <mergeCell ref="E5107:H5107"/>
    <mergeCell ref="E5108:H5108"/>
    <mergeCell ref="E5109:H5109"/>
    <mergeCell ref="E5110:H5110"/>
    <mergeCell ref="E5111:H5111"/>
    <mergeCell ref="E5112:H5112"/>
    <mergeCell ref="E5116:F5116"/>
    <mergeCell ref="E5117:F5117"/>
    <mergeCell ref="E5118:F5118"/>
    <mergeCell ref="E5119:F5119"/>
    <mergeCell ref="E5120:F5120"/>
    <mergeCell ref="E5121:F5121"/>
    <mergeCell ref="E5122:F5122"/>
    <mergeCell ref="E5123:F5123"/>
    <mergeCell ref="E5126:H5126"/>
    <mergeCell ref="E5127:H5127"/>
    <mergeCell ref="E5128:H5128"/>
    <mergeCell ref="E5129:H5129"/>
    <mergeCell ref="E5130:H5130"/>
    <mergeCell ref="E5131:H5131"/>
    <mergeCell ref="E5132:H5132"/>
    <mergeCell ref="E5133:H5133"/>
    <mergeCell ref="E5141:F5141"/>
    <mergeCell ref="E5142:F5142"/>
    <mergeCell ref="E5134:F5134"/>
    <mergeCell ref="E5135:F5135"/>
    <mergeCell ref="E5136:F5136"/>
    <mergeCell ref="E5137:F5137"/>
    <mergeCell ref="E5138:F5138"/>
    <mergeCell ref="E5139:F5139"/>
    <mergeCell ref="E5140:F5140"/>
    <mergeCell ref="E5124:F5124"/>
    <mergeCell ref="E5125:F5125"/>
    <mergeCell ref="E5187:F5187"/>
    <mergeCell ref="E5188:F5188"/>
    <mergeCell ref="E5189:F5189"/>
    <mergeCell ref="E5190:F5190"/>
    <mergeCell ref="E5191:F5191"/>
    <mergeCell ref="E5171:F5171"/>
    <mergeCell ref="E5178:H5178"/>
    <mergeCell ref="E5179:H5179"/>
    <mergeCell ref="E5186:F5186"/>
    <mergeCell ref="E5000:H5000"/>
    <mergeCell ref="E5014:H5014"/>
    <mergeCell ref="E5015:H5015"/>
    <mergeCell ref="E5016:H5016"/>
    <mergeCell ref="E5017:H5017"/>
    <mergeCell ref="E5018:H5018"/>
    <mergeCell ref="E5022:F5022"/>
    <mergeCell ref="E5023:F5023"/>
    <mergeCell ref="E5024:F5024"/>
    <mergeCell ref="E5025:F5025"/>
    <mergeCell ref="E5026:F5026"/>
    <mergeCell ref="E5027:F5027"/>
    <mergeCell ref="E5028:F5028"/>
    <mergeCell ref="E5035:H5035"/>
    <mergeCell ref="E5036:H5036"/>
    <mergeCell ref="E5037:H5037"/>
    <mergeCell ref="E5038:H5038"/>
    <mergeCell ref="E5039:H5039"/>
    <mergeCell ref="E5040:H5040"/>
    <mergeCell ref="E5041:H5041"/>
    <mergeCell ref="E5042:H5042"/>
    <mergeCell ref="E5046:F5046"/>
    <mergeCell ref="E5052:F5052"/>
    <mergeCell ref="E5053:F5053"/>
    <mergeCell ref="E5054:F5054"/>
    <mergeCell ref="E5055:F5055"/>
    <mergeCell ref="E5070:F5070"/>
    <mergeCell ref="E5071:F5071"/>
    <mergeCell ref="E5072:F5072"/>
    <mergeCell ref="E5073:F5073"/>
    <mergeCell ref="E5074:F5074"/>
    <mergeCell ref="E5078:H5078"/>
    <mergeCell ref="E5079:H5079"/>
    <mergeCell ref="E5001:F5001"/>
    <mergeCell ref="E5021:H5021"/>
    <mergeCell ref="E5029:F5029"/>
    <mergeCell ref="E5030:F5030"/>
    <mergeCell ref="E5031:F5031"/>
    <mergeCell ref="E5032:F5032"/>
    <mergeCell ref="E5033:F5033"/>
    <mergeCell ref="E5048:H5048"/>
    <mergeCell ref="E5049:H5049"/>
    <mergeCell ref="E5050:H5050"/>
    <mergeCell ref="E5056:F5056"/>
    <mergeCell ref="E5057:F5057"/>
    <mergeCell ref="E5075:H5075"/>
    <mergeCell ref="E5067:F5067"/>
    <mergeCell ref="E5061:F5061"/>
    <mergeCell ref="E5043:F5043"/>
    <mergeCell ref="E5045:F5045"/>
    <mergeCell ref="E5034:F5034"/>
    <mergeCell ref="E5060:F5060"/>
    <mergeCell ref="E5013:F5013"/>
    <mergeCell ref="E5059:F5059"/>
    <mergeCell ref="E5002:F5002"/>
    <mergeCell ref="E5003:F5003"/>
    <mergeCell ref="E5004:F5004"/>
    <mergeCell ref="E5005:F5005"/>
    <mergeCell ref="E5006:F5006"/>
    <mergeCell ref="E5007:F5007"/>
    <mergeCell ref="E5008:F5008"/>
    <mergeCell ref="E5009:F5009"/>
    <mergeCell ref="E5019:H5019"/>
    <mergeCell ref="E5020:H5020"/>
    <mergeCell ref="E4887:H4887"/>
    <mergeCell ref="E4888:H4888"/>
    <mergeCell ref="E4889:H4889"/>
    <mergeCell ref="E4890:H4890"/>
    <mergeCell ref="E4894:F4894"/>
    <mergeCell ref="E4900:F4900"/>
    <mergeCell ref="E4904:H4904"/>
    <mergeCell ref="E4905:H4905"/>
    <mergeCell ref="E4906:H4906"/>
    <mergeCell ref="E4907:H4907"/>
    <mergeCell ref="E4908:H4908"/>
    <mergeCell ref="E4909:H4909"/>
    <mergeCell ref="E4912:F4912"/>
    <mergeCell ref="E4913:F4913"/>
    <mergeCell ref="E4914:F4914"/>
    <mergeCell ref="E4926:H4926"/>
    <mergeCell ref="E4927:H4927"/>
    <mergeCell ref="E4928:H4928"/>
    <mergeCell ref="E4929:H4929"/>
    <mergeCell ref="E4931:H4931"/>
    <mergeCell ref="E4932:H4932"/>
    <mergeCell ref="E4936:F4936"/>
    <mergeCell ref="E4937:F4937"/>
    <mergeCell ref="E4938:F4938"/>
    <mergeCell ref="E4939:F4939"/>
    <mergeCell ref="E4940:F4940"/>
    <mergeCell ref="E4941:F4941"/>
    <mergeCell ref="E4942:F4942"/>
    <mergeCell ref="E4943:F4943"/>
    <mergeCell ref="E4944:F4944"/>
    <mergeCell ref="E4945:F4945"/>
    <mergeCell ref="E4946:F4946"/>
    <mergeCell ref="E4947:F4947"/>
    <mergeCell ref="E4892:F4892"/>
    <mergeCell ref="E4893:F4893"/>
    <mergeCell ref="E4895:F4895"/>
    <mergeCell ref="E4896:F4896"/>
    <mergeCell ref="E4897:F4897"/>
    <mergeCell ref="E4898:F4898"/>
    <mergeCell ref="E4899:F4899"/>
    <mergeCell ref="E4910:H4910"/>
    <mergeCell ref="E4911:H4911"/>
    <mergeCell ref="E4916:F4916"/>
    <mergeCell ref="E4917:F4917"/>
    <mergeCell ref="E4918:F4918"/>
    <mergeCell ref="E4919:F4919"/>
    <mergeCell ref="E4920:F4920"/>
    <mergeCell ref="E4921:F4921"/>
    <mergeCell ref="E4922:F4922"/>
    <mergeCell ref="E4923:F4923"/>
    <mergeCell ref="E4930:H4930"/>
    <mergeCell ref="E4933:H4933"/>
    <mergeCell ref="E4934:H4934"/>
    <mergeCell ref="E4935:H4935"/>
    <mergeCell ref="E4901:F4901"/>
    <mergeCell ref="E4902:F4902"/>
    <mergeCell ref="E4891:F4891"/>
    <mergeCell ref="E4821:H4821"/>
    <mergeCell ref="E4822:H4822"/>
    <mergeCell ref="E4824:F4824"/>
    <mergeCell ref="E4825:F4825"/>
    <mergeCell ref="E4826:F4826"/>
    <mergeCell ref="E4827:F4827"/>
    <mergeCell ref="E4828:F4828"/>
    <mergeCell ref="E4829:F4829"/>
    <mergeCell ref="E4830:F4830"/>
    <mergeCell ref="E4844:F4844"/>
    <mergeCell ref="E4845:F4845"/>
    <mergeCell ref="E4847:F4847"/>
    <mergeCell ref="E4848:F4848"/>
    <mergeCell ref="E4849:F4849"/>
    <mergeCell ref="E4852:H4852"/>
    <mergeCell ref="E4853:H4853"/>
    <mergeCell ref="E4854:H4854"/>
    <mergeCell ref="E4855:H4855"/>
    <mergeCell ref="E4856:H4856"/>
    <mergeCell ref="E4865:F4865"/>
    <mergeCell ref="E4866:F4866"/>
    <mergeCell ref="E4867:F4867"/>
    <mergeCell ref="E4868:F4868"/>
    <mergeCell ref="E4869:F4869"/>
    <mergeCell ref="E4870:F4870"/>
    <mergeCell ref="E4874:F4874"/>
    <mergeCell ref="E4877:H4877"/>
    <mergeCell ref="E4881:H4881"/>
    <mergeCell ref="E4882:H4882"/>
    <mergeCell ref="E4883:H4883"/>
    <mergeCell ref="E4884:H4884"/>
    <mergeCell ref="E4885:H4885"/>
    <mergeCell ref="E4886:H4886"/>
    <mergeCell ref="E4834:F4834"/>
    <mergeCell ref="E4835:F4835"/>
    <mergeCell ref="E4836:F4836"/>
    <mergeCell ref="E4837:F4837"/>
    <mergeCell ref="E4838:F4838"/>
    <mergeCell ref="E4839:F4839"/>
    <mergeCell ref="E4850:H4850"/>
    <mergeCell ref="E4851:H4851"/>
    <mergeCell ref="E4861:F4861"/>
    <mergeCell ref="E4862:F4862"/>
    <mergeCell ref="E4863:F4863"/>
    <mergeCell ref="E4864:F4864"/>
    <mergeCell ref="E4831:F4831"/>
    <mergeCell ref="E4876:F4876"/>
    <mergeCell ref="E4833:F4833"/>
    <mergeCell ref="E4872:H4872"/>
    <mergeCell ref="E4875:F4875"/>
    <mergeCell ref="E4878:H4878"/>
    <mergeCell ref="E4879:H4879"/>
    <mergeCell ref="E4880:H4880"/>
    <mergeCell ref="E4859:F4859"/>
    <mergeCell ref="E4860:F4860"/>
    <mergeCell ref="E4738:F4738"/>
    <mergeCell ref="E4743:H4743"/>
    <mergeCell ref="E4744:H4744"/>
    <mergeCell ref="E4745:H4745"/>
    <mergeCell ref="E4746:H4746"/>
    <mergeCell ref="E4747:H4747"/>
    <mergeCell ref="E4757:F4757"/>
    <mergeCell ref="E4758:F4758"/>
    <mergeCell ref="E4759:F4759"/>
    <mergeCell ref="E4760:F4760"/>
    <mergeCell ref="E4761:F4761"/>
    <mergeCell ref="E4767:H4767"/>
    <mergeCell ref="E4768:H4768"/>
    <mergeCell ref="E4769:H4769"/>
    <mergeCell ref="E4770:H4770"/>
    <mergeCell ref="E4780:F4780"/>
    <mergeCell ref="E4781:F4781"/>
    <mergeCell ref="E4782:F4782"/>
    <mergeCell ref="E4783:F4783"/>
    <mergeCell ref="E4784:F4784"/>
    <mergeCell ref="E4790:H4790"/>
    <mergeCell ref="E4791:H4791"/>
    <mergeCell ref="E4792:H4792"/>
    <mergeCell ref="E4793:H4793"/>
    <mergeCell ref="E4802:F4802"/>
    <mergeCell ref="E4803:F4803"/>
    <mergeCell ref="E4804:F4804"/>
    <mergeCell ref="E4810:H4810"/>
    <mergeCell ref="E4811:H4811"/>
    <mergeCell ref="E4812:H4812"/>
    <mergeCell ref="E4813:H4813"/>
    <mergeCell ref="E4818:H4818"/>
    <mergeCell ref="E4820:H4820"/>
    <mergeCell ref="E4740:H4740"/>
    <mergeCell ref="E4741:H4741"/>
    <mergeCell ref="E4742:H4742"/>
    <mergeCell ref="E4753:F4753"/>
    <mergeCell ref="E4754:F4754"/>
    <mergeCell ref="E4755:F4755"/>
    <mergeCell ref="E4756:F4756"/>
    <mergeCell ref="E4762:H4762"/>
    <mergeCell ref="E4763:H4763"/>
    <mergeCell ref="E4764:H4764"/>
    <mergeCell ref="E4765:H4765"/>
    <mergeCell ref="E4766:H4766"/>
    <mergeCell ref="E4774:F4774"/>
    <mergeCell ref="E4775:F4775"/>
    <mergeCell ref="E4776:F4776"/>
    <mergeCell ref="E4777:F4777"/>
    <mergeCell ref="E4778:F4778"/>
    <mergeCell ref="E4779:F4779"/>
    <mergeCell ref="E4785:H4785"/>
    <mergeCell ref="E4786:H4786"/>
    <mergeCell ref="E4787:H4787"/>
    <mergeCell ref="E4788:H4788"/>
    <mergeCell ref="E4789:H4789"/>
    <mergeCell ref="E4739:H4739"/>
    <mergeCell ref="E4771:F4771"/>
    <mergeCell ref="E4772:F4772"/>
    <mergeCell ref="E4773:F4773"/>
    <mergeCell ref="E4805:H4805"/>
    <mergeCell ref="E4806:H4806"/>
    <mergeCell ref="E4807:H4807"/>
    <mergeCell ref="E4795:F4795"/>
    <mergeCell ref="E4680:H4680"/>
    <mergeCell ref="E4682:F4682"/>
    <mergeCell ref="E4683:F4683"/>
    <mergeCell ref="E4684:F4684"/>
    <mergeCell ref="E4685:F4685"/>
    <mergeCell ref="E4686:F4686"/>
    <mergeCell ref="E4687:F4687"/>
    <mergeCell ref="E4696:H4696"/>
    <mergeCell ref="E4697:H4697"/>
    <mergeCell ref="E4698:H4698"/>
    <mergeCell ref="E4699:H4699"/>
    <mergeCell ref="E4700:H4700"/>
    <mergeCell ref="E4701:H4701"/>
    <mergeCell ref="E4702:H4702"/>
    <mergeCell ref="E4704:H4704"/>
    <mergeCell ref="E4708:F4708"/>
    <mergeCell ref="E4709:F4709"/>
    <mergeCell ref="E4710:F4710"/>
    <mergeCell ref="E4711:F4711"/>
    <mergeCell ref="E4712:F4712"/>
    <mergeCell ref="E4713:F4713"/>
    <mergeCell ref="E4714:F4714"/>
    <mergeCell ref="E4715:F4715"/>
    <mergeCell ref="E4716:F4716"/>
    <mergeCell ref="E4717:F4717"/>
    <mergeCell ref="E4722:H4722"/>
    <mergeCell ref="E4723:H4723"/>
    <mergeCell ref="E4724:H4724"/>
    <mergeCell ref="E4725:H4725"/>
    <mergeCell ref="E4726:H4726"/>
    <mergeCell ref="E4735:F4735"/>
    <mergeCell ref="E4736:F4736"/>
    <mergeCell ref="E4737:F4737"/>
    <mergeCell ref="E4688:F4688"/>
    <mergeCell ref="E4689:F4689"/>
    <mergeCell ref="E4690:F4690"/>
    <mergeCell ref="E4691:F4691"/>
    <mergeCell ref="E4703:H4703"/>
    <mergeCell ref="E4718:H4718"/>
    <mergeCell ref="E4719:H4719"/>
    <mergeCell ref="E4720:H4720"/>
    <mergeCell ref="E4721:H4721"/>
    <mergeCell ref="E4732:F4732"/>
    <mergeCell ref="E4733:F4733"/>
    <mergeCell ref="E4734:F4734"/>
    <mergeCell ref="E4692:F4692"/>
    <mergeCell ref="E4693:F4693"/>
    <mergeCell ref="E4694:F4694"/>
    <mergeCell ref="E4695:F4695"/>
    <mergeCell ref="E4705:F4705"/>
    <mergeCell ref="E4706:F4706"/>
    <mergeCell ref="E4707:F4707"/>
    <mergeCell ref="E4731:F4731"/>
    <mergeCell ref="E4603:H4603"/>
    <mergeCell ref="E4604:H4604"/>
    <mergeCell ref="E4605:H4605"/>
    <mergeCell ref="E4606:H4606"/>
    <mergeCell ref="E4611:F4611"/>
    <mergeCell ref="E4612:F4612"/>
    <mergeCell ref="E4613:F4613"/>
    <mergeCell ref="E4614:F4614"/>
    <mergeCell ref="E4615:F4615"/>
    <mergeCell ref="E4616:F4616"/>
    <mergeCell ref="E4617:F4617"/>
    <mergeCell ref="E4618:F4618"/>
    <mergeCell ref="E4619:F4619"/>
    <mergeCell ref="E4620:F4620"/>
    <mergeCell ref="E4621:F4621"/>
    <mergeCell ref="E4631:F4631"/>
    <mergeCell ref="E4645:F4645"/>
    <mergeCell ref="E4653:H4653"/>
    <mergeCell ref="E4654:H4654"/>
    <mergeCell ref="E4657:F4657"/>
    <mergeCell ref="E4658:F4658"/>
    <mergeCell ref="E4659:F4659"/>
    <mergeCell ref="E4660:F4660"/>
    <mergeCell ref="E4661:F4661"/>
    <mergeCell ref="E4662:F4662"/>
    <mergeCell ref="E4672:H4672"/>
    <mergeCell ref="E4673:H4673"/>
    <mergeCell ref="E4674:H4674"/>
    <mergeCell ref="E4675:H4675"/>
    <mergeCell ref="E4676:H4676"/>
    <mergeCell ref="E4677:H4677"/>
    <mergeCell ref="E4678:H4678"/>
    <mergeCell ref="E4679:H4679"/>
    <mergeCell ref="E4641:F4641"/>
    <mergeCell ref="E4642:F4642"/>
    <mergeCell ref="E4643:F4643"/>
    <mergeCell ref="E4644:F4644"/>
    <mergeCell ref="E4648:H4648"/>
    <mergeCell ref="E4649:H4649"/>
    <mergeCell ref="E4650:H4650"/>
    <mergeCell ref="E4651:H4651"/>
    <mergeCell ref="E4652:H4652"/>
    <mergeCell ref="E4663:F4663"/>
    <mergeCell ref="E4664:F4664"/>
    <mergeCell ref="E4665:F4665"/>
    <mergeCell ref="E4666:F4666"/>
    <mergeCell ref="E4667:F4667"/>
    <mergeCell ref="E4668:F4668"/>
    <mergeCell ref="E4669:F4669"/>
    <mergeCell ref="E4670:F4670"/>
    <mergeCell ref="E4671:F4671"/>
    <mergeCell ref="E4608:F4608"/>
    <mergeCell ref="E4609:F4609"/>
    <mergeCell ref="E4610:F4610"/>
    <mergeCell ref="E4622:H4622"/>
    <mergeCell ref="E4627:H4627"/>
    <mergeCell ref="E4628:H4628"/>
    <mergeCell ref="E4629:H4629"/>
    <mergeCell ref="E4630:H4630"/>
    <mergeCell ref="E4607:F4607"/>
    <mergeCell ref="E4623:H4623"/>
    <mergeCell ref="E4624:H4624"/>
    <mergeCell ref="E4625:H4625"/>
    <mergeCell ref="E4626:H4626"/>
    <mergeCell ref="E4593:F4593"/>
    <mergeCell ref="E4594:F4594"/>
    <mergeCell ref="E4595:F4595"/>
    <mergeCell ref="E4598:H4598"/>
    <mergeCell ref="E4599:H4599"/>
    <mergeCell ref="E4600:H4600"/>
    <mergeCell ref="E4601:H4601"/>
    <mergeCell ref="E4602:H4602"/>
    <mergeCell ref="E4596:H4596"/>
    <mergeCell ref="E4555:F4555"/>
    <mergeCell ref="E4545:H4545"/>
    <mergeCell ref="E4563:F4563"/>
    <mergeCell ref="E4564:F4564"/>
    <mergeCell ref="E4566:F4566"/>
    <mergeCell ref="E4569:H4569"/>
    <mergeCell ref="E4573:H4573"/>
    <mergeCell ref="E4574:H4574"/>
    <mergeCell ref="E4575:H4575"/>
    <mergeCell ref="E4576:H4576"/>
    <mergeCell ref="E4577:H4577"/>
    <mergeCell ref="E4587:F4587"/>
    <mergeCell ref="E4546:H4546"/>
    <mergeCell ref="E4556:F4556"/>
    <mergeCell ref="E4584:F4584"/>
    <mergeCell ref="E4585:F4585"/>
    <mergeCell ref="E4586:F4586"/>
    <mergeCell ref="E4588:F4588"/>
    <mergeCell ref="E4589:F4589"/>
    <mergeCell ref="E4570:H4570"/>
    <mergeCell ref="E4571:H4571"/>
    <mergeCell ref="E4572:H4572"/>
    <mergeCell ref="E4579:F4579"/>
    <mergeCell ref="E4580:F4580"/>
    <mergeCell ref="E4581:F4581"/>
    <mergeCell ref="E4582:F4582"/>
    <mergeCell ref="E4583:F4583"/>
    <mergeCell ref="E4597:H4597"/>
    <mergeCell ref="E4565:F4565"/>
    <mergeCell ref="E4557:F4557"/>
    <mergeCell ref="E4558:F4558"/>
    <mergeCell ref="E4559:F4559"/>
    <mergeCell ref="E4552:F4552"/>
    <mergeCell ref="E4553:F4553"/>
    <mergeCell ref="E4554:F4554"/>
    <mergeCell ref="E4567:H4567"/>
    <mergeCell ref="E4568:H4568"/>
    <mergeCell ref="E4578:F4578"/>
    <mergeCell ref="E4590:F4590"/>
    <mergeCell ref="E4591:F4591"/>
    <mergeCell ref="E4260:H4260"/>
    <mergeCell ref="E4261:H4261"/>
    <mergeCell ref="E4262:H4262"/>
    <mergeCell ref="E4263:H4263"/>
    <mergeCell ref="E4264:H4264"/>
    <mergeCell ref="E4265:H4265"/>
    <mergeCell ref="E4266:H4266"/>
    <mergeCell ref="E4223:F4223"/>
    <mergeCell ref="E4232:F4232"/>
    <mergeCell ref="E4233:F4233"/>
    <mergeCell ref="E4224:F4224"/>
    <mergeCell ref="E4225:F4225"/>
    <mergeCell ref="E4226:F4226"/>
    <mergeCell ref="E4228:F4228"/>
    <mergeCell ref="E4229:F4229"/>
    <mergeCell ref="E4230:F4230"/>
    <mergeCell ref="E4231:F4231"/>
    <mergeCell ref="E4238:H4238"/>
    <mergeCell ref="E4213:F4213"/>
    <mergeCell ref="E4214:F4214"/>
    <mergeCell ref="E4215:F4215"/>
    <mergeCell ref="E4216:F4216"/>
    <mergeCell ref="E4256:F4256"/>
    <mergeCell ref="E4255:H4255"/>
    <mergeCell ref="E4521:F4521"/>
    <mergeCell ref="E4522:F4522"/>
    <mergeCell ref="E4529:F4529"/>
    <mergeCell ref="E4530:F4530"/>
    <mergeCell ref="E4536:H4536"/>
    <mergeCell ref="E4533:F4533"/>
    <mergeCell ref="E4534:F4534"/>
    <mergeCell ref="E4535:F4535"/>
    <mergeCell ref="E4592:F4592"/>
    <mergeCell ref="E4281:F4281"/>
    <mergeCell ref="E4282:F4282"/>
    <mergeCell ref="E4283:F4283"/>
    <mergeCell ref="E4284:F4284"/>
    <mergeCell ref="E4312:H4312"/>
    <mergeCell ref="E4313:H4313"/>
    <mergeCell ref="E4320:F4320"/>
    <mergeCell ref="E4321:F4321"/>
    <mergeCell ref="E4323:F4323"/>
    <mergeCell ref="E4326:F4326"/>
    <mergeCell ref="E4327:F4327"/>
    <mergeCell ref="E4328:F4328"/>
    <mergeCell ref="E4335:H4335"/>
    <mergeCell ref="E4336:H4336"/>
    <mergeCell ref="E4337:H4337"/>
    <mergeCell ref="E4338:H4338"/>
    <mergeCell ref="E4339:H4339"/>
    <mergeCell ref="E4350:H4350"/>
    <mergeCell ref="E4351:H4351"/>
    <mergeCell ref="E4352:H4352"/>
    <mergeCell ref="E4353:H4353"/>
    <mergeCell ref="E4342:F4342"/>
    <mergeCell ref="E4343:F4343"/>
    <mergeCell ref="E4344:F4344"/>
    <mergeCell ref="E4362:H4362"/>
    <mergeCell ref="E4363:H4363"/>
    <mergeCell ref="E4290:H4290"/>
    <mergeCell ref="E4291:H4291"/>
    <mergeCell ref="E4305:F4305"/>
    <mergeCell ref="E4306:F4306"/>
    <mergeCell ref="E4300:F4300"/>
    <mergeCell ref="E4129:F4129"/>
    <mergeCell ref="E4130:F4130"/>
    <mergeCell ref="E4131:F4131"/>
    <mergeCell ref="E4132:H4132"/>
    <mergeCell ref="E4140:F4140"/>
    <mergeCell ref="E4142:F4142"/>
    <mergeCell ref="E4145:F4145"/>
    <mergeCell ref="E4146:F4146"/>
    <mergeCell ref="E4147:F4147"/>
    <mergeCell ref="E4148:F4148"/>
    <mergeCell ref="E4149:F4149"/>
    <mergeCell ref="E4153:H4153"/>
    <mergeCell ref="E4154:H4154"/>
    <mergeCell ref="E4155:H4155"/>
    <mergeCell ref="E4156:H4156"/>
    <mergeCell ref="E4157:H4157"/>
    <mergeCell ref="E4158:H4158"/>
    <mergeCell ref="E4159:H4159"/>
    <mergeCell ref="E4160:H4160"/>
    <mergeCell ref="E4162:F4162"/>
    <mergeCell ref="E4175:H4175"/>
    <mergeCell ref="E4176:H4176"/>
    <mergeCell ref="E4177:H4177"/>
    <mergeCell ref="E4178:H4178"/>
    <mergeCell ref="E4179:H4179"/>
    <mergeCell ref="E4180:H4180"/>
    <mergeCell ref="E4181:H4181"/>
    <mergeCell ref="E4182:H4182"/>
    <mergeCell ref="E4189:H4189"/>
    <mergeCell ref="E4190:H4190"/>
    <mergeCell ref="E4191:H4191"/>
    <mergeCell ref="E4192:H4192"/>
    <mergeCell ref="E4193:H4193"/>
    <mergeCell ref="E4167:F4167"/>
    <mergeCell ref="E4168:F4168"/>
    <mergeCell ref="E4144:F4144"/>
    <mergeCell ref="E4150:F4150"/>
    <mergeCell ref="E4151:F4151"/>
    <mergeCell ref="E4152:F4152"/>
    <mergeCell ref="E4163:F4163"/>
    <mergeCell ref="E4169:F4169"/>
    <mergeCell ref="E4170:F4170"/>
    <mergeCell ref="E4171:F4171"/>
    <mergeCell ref="E4172:F4172"/>
    <mergeCell ref="E4173:F4173"/>
    <mergeCell ref="E4174:F4174"/>
    <mergeCell ref="E4138:H4138"/>
    <mergeCell ref="E4139:H4139"/>
    <mergeCell ref="E4137:H4137"/>
    <mergeCell ref="E4164:F4164"/>
    <mergeCell ref="E4184:F4184"/>
    <mergeCell ref="E4165:F4165"/>
    <mergeCell ref="E4133:H4133"/>
    <mergeCell ref="E4134:H4134"/>
    <mergeCell ref="E4135:H4135"/>
    <mergeCell ref="E4136:H4136"/>
    <mergeCell ref="E4166:F4166"/>
    <mergeCell ref="E4183:F4183"/>
    <mergeCell ref="E4161:F4161"/>
    <mergeCell ref="E4141:F4141"/>
    <mergeCell ref="E4143:F4143"/>
    <mergeCell ref="E4187:F4187"/>
    <mergeCell ref="E4188:F4188"/>
    <mergeCell ref="E4073:F4073"/>
    <mergeCell ref="E4074:F4074"/>
    <mergeCell ref="E4075:F4075"/>
    <mergeCell ref="E4076:F4076"/>
    <mergeCell ref="E4077:F4077"/>
    <mergeCell ref="E4078:F4078"/>
    <mergeCell ref="E4079:F4079"/>
    <mergeCell ref="E4084:H4084"/>
    <mergeCell ref="E4085:H4085"/>
    <mergeCell ref="E4086:H4086"/>
    <mergeCell ref="E4087:H4087"/>
    <mergeCell ref="E4088:H4088"/>
    <mergeCell ref="E4089:H4089"/>
    <mergeCell ref="E4092:F4092"/>
    <mergeCell ref="E4093:F4093"/>
    <mergeCell ref="E4094:F4094"/>
    <mergeCell ref="E4095:F4095"/>
    <mergeCell ref="E4096:F4096"/>
    <mergeCell ref="E4097:F4097"/>
    <mergeCell ref="E4106:F4106"/>
    <mergeCell ref="E4114:H4114"/>
    <mergeCell ref="E4115:H4115"/>
    <mergeCell ref="E4116:H4116"/>
    <mergeCell ref="E4124:F4124"/>
    <mergeCell ref="E4125:F4125"/>
    <mergeCell ref="E4126:F4126"/>
    <mergeCell ref="E4127:F4127"/>
    <mergeCell ref="E4128:F4128"/>
    <mergeCell ref="E4070:F4070"/>
    <mergeCell ref="E4071:F4071"/>
    <mergeCell ref="E4080:F4080"/>
    <mergeCell ref="E4090:H4090"/>
    <mergeCell ref="E4091:H4091"/>
    <mergeCell ref="E4098:F4098"/>
    <mergeCell ref="E4099:F4099"/>
    <mergeCell ref="E4100:F4100"/>
    <mergeCell ref="E4101:F4101"/>
    <mergeCell ref="E4110:H4110"/>
    <mergeCell ref="E4081:F4081"/>
    <mergeCell ref="E4082:F4082"/>
    <mergeCell ref="E4083:F4083"/>
    <mergeCell ref="E4103:F4103"/>
    <mergeCell ref="E4105:F4105"/>
    <mergeCell ref="E4107:H4107"/>
    <mergeCell ref="E4108:H4108"/>
    <mergeCell ref="E4109:H4109"/>
    <mergeCell ref="E4111:H4111"/>
    <mergeCell ref="E4112:H4112"/>
    <mergeCell ref="E4113:H4113"/>
    <mergeCell ref="E4117:F4117"/>
    <mergeCell ref="E4118:F4118"/>
    <mergeCell ref="E4119:F4119"/>
    <mergeCell ref="E4120:F4120"/>
    <mergeCell ref="E4121:F4121"/>
    <mergeCell ref="E4122:F4122"/>
    <mergeCell ref="E4123:F4123"/>
    <mergeCell ref="E4102:F4102"/>
    <mergeCell ref="E4066:H4066"/>
    <mergeCell ref="E4067:H4067"/>
    <mergeCell ref="E4068:H4068"/>
    <mergeCell ref="E4069:H4069"/>
    <mergeCell ref="E4072:F4072"/>
    <mergeCell ref="E4064:H4064"/>
    <mergeCell ref="E4065:H4065"/>
    <mergeCell ref="E4040:F4040"/>
    <mergeCell ref="E4061:H4061"/>
    <mergeCell ref="E4062:H4062"/>
    <mergeCell ref="E4063:H4063"/>
    <mergeCell ref="E3994:H3994"/>
    <mergeCell ref="E3995:H3995"/>
    <mergeCell ref="E3997:H3997"/>
    <mergeCell ref="E3998:H3998"/>
    <mergeCell ref="E4001:F4001"/>
    <mergeCell ref="E4003:F4003"/>
    <mergeCell ref="E4004:F4004"/>
    <mergeCell ref="E4010:F4010"/>
    <mergeCell ref="E4011:F4011"/>
    <mergeCell ref="E4012:F4012"/>
    <mergeCell ref="E4013:F4013"/>
    <mergeCell ref="E4026:F4026"/>
    <mergeCell ref="E4027:F4027"/>
    <mergeCell ref="E4028:F4028"/>
    <mergeCell ref="E4030:F4030"/>
    <mergeCell ref="E4031:F4031"/>
    <mergeCell ref="E4034:H4034"/>
    <mergeCell ref="E4035:H4035"/>
    <mergeCell ref="E4036:H4036"/>
    <mergeCell ref="E3999:H3999"/>
    <mergeCell ref="E4000:H4000"/>
    <mergeCell ref="E4014:F4014"/>
    <mergeCell ref="E3874:H3874"/>
    <mergeCell ref="E3854:F3854"/>
    <mergeCell ref="E3830:F3830"/>
    <mergeCell ref="E3832:H3832"/>
    <mergeCell ref="E3942:H3942"/>
    <mergeCell ref="E3944:F3944"/>
    <mergeCell ref="E3945:F3945"/>
    <mergeCell ref="E3946:F3946"/>
    <mergeCell ref="E3947:F3947"/>
    <mergeCell ref="E3962:F3962"/>
    <mergeCell ref="E3963:F3963"/>
    <mergeCell ref="E3916:F3916"/>
    <mergeCell ref="E3917:F3917"/>
    <mergeCell ref="E3918:F3918"/>
    <mergeCell ref="E3919:F3919"/>
    <mergeCell ref="E3920:F3920"/>
    <mergeCell ref="E3921:F3921"/>
    <mergeCell ref="E3922:F3922"/>
    <mergeCell ref="E3936:H3936"/>
    <mergeCell ref="E3937:H3937"/>
    <mergeCell ref="E3948:F3948"/>
    <mergeCell ref="E3949:F3949"/>
    <mergeCell ref="E3950:F3950"/>
    <mergeCell ref="E3877:H3877"/>
    <mergeCell ref="E3878:H3878"/>
    <mergeCell ref="E3880:F3880"/>
    <mergeCell ref="E3881:F3881"/>
    <mergeCell ref="E4054:F4054"/>
    <mergeCell ref="E4055:F4055"/>
    <mergeCell ref="E4059:H4059"/>
    <mergeCell ref="E4060:H4060"/>
    <mergeCell ref="E4045:F4045"/>
    <mergeCell ref="E4046:F4046"/>
    <mergeCell ref="E4047:F4047"/>
    <mergeCell ref="E4048:F4048"/>
    <mergeCell ref="E4058:H4058"/>
    <mergeCell ref="E4043:F4043"/>
    <mergeCell ref="E4016:F4016"/>
    <mergeCell ref="E4038:F4038"/>
    <mergeCell ref="E4044:F4044"/>
    <mergeCell ref="E4053:H4053"/>
    <mergeCell ref="E4056:H4056"/>
    <mergeCell ref="E4057:H4057"/>
    <mergeCell ref="E4039:F4039"/>
    <mergeCell ref="E3986:F3986"/>
    <mergeCell ref="E3987:F3987"/>
    <mergeCell ref="E3992:F3992"/>
    <mergeCell ref="E4006:H4006"/>
    <mergeCell ref="E4007:H4007"/>
    <mergeCell ref="E4008:H4008"/>
    <mergeCell ref="E4015:F4015"/>
    <mergeCell ref="E3988:F3988"/>
    <mergeCell ref="E3989:F3989"/>
    <mergeCell ref="E3915:F3915"/>
    <mergeCell ref="E3959:F3959"/>
    <mergeCell ref="E3888:F3888"/>
    <mergeCell ref="E3886:F3886"/>
    <mergeCell ref="E3928:F3928"/>
    <mergeCell ref="E3971:H3971"/>
    <mergeCell ref="E3975:F3975"/>
    <mergeCell ref="E3952:F3952"/>
    <mergeCell ref="E3953:F3953"/>
    <mergeCell ref="E3954:F3954"/>
    <mergeCell ref="E3972:F3972"/>
    <mergeCell ref="E3381:F3381"/>
    <mergeCell ref="E3329:H3329"/>
    <mergeCell ref="E3330:H3330"/>
    <mergeCell ref="E3338:F3338"/>
    <mergeCell ref="E3652:F3652"/>
    <mergeCell ref="E3653:F3653"/>
    <mergeCell ref="E3375:F3375"/>
    <mergeCell ref="E3376:F3376"/>
    <mergeCell ref="E3462:H3462"/>
    <mergeCell ref="E3463:H3463"/>
    <mergeCell ref="E3464:H3464"/>
    <mergeCell ref="E3465:H3465"/>
    <mergeCell ref="E3396:F3396"/>
    <mergeCell ref="E3397:F3397"/>
    <mergeCell ref="E3402:F3402"/>
    <mergeCell ref="E3403:F3403"/>
    <mergeCell ref="E3410:H3410"/>
    <mergeCell ref="E3411:H3411"/>
    <mergeCell ref="E3412:H3412"/>
    <mergeCell ref="E3503:H3503"/>
    <mergeCell ref="E3382:F3382"/>
    <mergeCell ref="E3404:H3404"/>
    <mergeCell ref="E3505:H3505"/>
    <mergeCell ref="E3506:H3506"/>
    <mergeCell ref="E3507:H3507"/>
    <mergeCell ref="E3407:F3407"/>
    <mergeCell ref="E3408:F3408"/>
    <mergeCell ref="E3409:F3409"/>
    <mergeCell ref="E3417:H3417"/>
    <mergeCell ref="E3418:H3418"/>
    <mergeCell ref="E3419:H3419"/>
    <mergeCell ref="E3420:H3420"/>
    <mergeCell ref="E3421:H3421"/>
    <mergeCell ref="E3422:H3422"/>
    <mergeCell ref="E3423:H3423"/>
    <mergeCell ref="E3424:H3424"/>
    <mergeCell ref="E3433:F3433"/>
    <mergeCell ref="E3524:H3524"/>
    <mergeCell ref="E3532:F3532"/>
    <mergeCell ref="E3534:F3534"/>
    <mergeCell ref="E3473:F3473"/>
    <mergeCell ref="E3479:F3479"/>
    <mergeCell ref="E3535:F3535"/>
    <mergeCell ref="E3553:F3553"/>
    <mergeCell ref="E3591:H3591"/>
    <mergeCell ref="E3592:H3592"/>
    <mergeCell ref="E3593:H3593"/>
    <mergeCell ref="E3594:H3594"/>
    <mergeCell ref="E3595:H3595"/>
    <mergeCell ref="E3596:H3596"/>
    <mergeCell ref="E3597:H3597"/>
    <mergeCell ref="E3598:H3598"/>
    <mergeCell ref="E3599:H3599"/>
    <mergeCell ref="E3600:H3600"/>
    <mergeCell ref="E3601:H3601"/>
    <mergeCell ref="E3602:H3602"/>
    <mergeCell ref="E3603:H3603"/>
    <mergeCell ref="E3605:F3605"/>
    <mergeCell ref="E3606:F3606"/>
    <mergeCell ref="E3607:F3607"/>
    <mergeCell ref="E3537:H3537"/>
    <mergeCell ref="E3538:H3538"/>
    <mergeCell ref="E3539:H3539"/>
    <mergeCell ref="E3540:H3540"/>
    <mergeCell ref="E3432:F3432"/>
    <mergeCell ref="E3489:H3489"/>
    <mergeCell ref="E3494:F3494"/>
    <mergeCell ref="E3441:H3441"/>
    <mergeCell ref="E3442:H3442"/>
    <mergeCell ref="E3443:H3443"/>
    <mergeCell ref="E3234:H3234"/>
    <mergeCell ref="E3235:H3235"/>
    <mergeCell ref="E3236:H3236"/>
    <mergeCell ref="E3237:H3237"/>
    <mergeCell ref="E3238:H3238"/>
    <mergeCell ref="E3239:H3239"/>
    <mergeCell ref="E3240:H3240"/>
    <mergeCell ref="E3243:F3243"/>
    <mergeCell ref="E3244:F3244"/>
    <mergeCell ref="E3245:F3245"/>
    <mergeCell ref="E3343:F3343"/>
    <mergeCell ref="E3344:F3344"/>
    <mergeCell ref="E3345:F3345"/>
    <mergeCell ref="E3346:F3346"/>
    <mergeCell ref="E3321:F3321"/>
    <mergeCell ref="E3348:H3348"/>
    <mergeCell ref="E3349:H3349"/>
    <mergeCell ref="E3356:F3356"/>
    <mergeCell ref="E3359:F3359"/>
    <mergeCell ref="E3361:H3361"/>
    <mergeCell ref="E3362:H3362"/>
    <mergeCell ref="E3363:H3363"/>
    <mergeCell ref="E3364:H3364"/>
    <mergeCell ref="E3365:H3365"/>
    <mergeCell ref="E3366:H3366"/>
    <mergeCell ref="E3373:H3373"/>
    <mergeCell ref="E3377:H3377"/>
    <mergeCell ref="E3379:F3379"/>
    <mergeCell ref="E3380:F3380"/>
    <mergeCell ref="E3274:F3274"/>
    <mergeCell ref="E3275:F3275"/>
    <mergeCell ref="E3276:F3276"/>
    <mergeCell ref="E3277:F3277"/>
    <mergeCell ref="E3280:F3280"/>
    <mergeCell ref="E3281:F3281"/>
    <mergeCell ref="E3352:H3352"/>
    <mergeCell ref="E3353:H3353"/>
    <mergeCell ref="E3354:H3354"/>
    <mergeCell ref="E3355:H3355"/>
    <mergeCell ref="E3357:H3357"/>
    <mergeCell ref="E3358:H3358"/>
    <mergeCell ref="E3360:F3360"/>
    <mergeCell ref="E3367:F3367"/>
    <mergeCell ref="E3368:F3368"/>
    <mergeCell ref="E3369:F3369"/>
    <mergeCell ref="E3370:F3370"/>
    <mergeCell ref="E3383:H3383"/>
    <mergeCell ref="E3389:F3389"/>
    <mergeCell ref="E3390:F3390"/>
    <mergeCell ref="E3391:F3391"/>
    <mergeCell ref="E3392:F3392"/>
    <mergeCell ref="E3378:F3378"/>
    <mergeCell ref="E3385:H3385"/>
    <mergeCell ref="E3474:F3474"/>
    <mergeCell ref="E3475:F3475"/>
    <mergeCell ref="E3481:F3481"/>
    <mergeCell ref="E3476:F3476"/>
    <mergeCell ref="E3478:F3478"/>
    <mergeCell ref="E3285:H3285"/>
    <mergeCell ref="E3286:H3286"/>
    <mergeCell ref="E3283:F3283"/>
    <mergeCell ref="E3322:F3322"/>
    <mergeCell ref="E3319:F3319"/>
    <mergeCell ref="E3327:F3327"/>
    <mergeCell ref="E3328:F3328"/>
    <mergeCell ref="E3331:H3331"/>
    <mergeCell ref="E3332:H3332"/>
    <mergeCell ref="E3333:H3333"/>
    <mergeCell ref="E3334:H3334"/>
    <mergeCell ref="E3335:H3335"/>
    <mergeCell ref="E3336:H3336"/>
    <mergeCell ref="E3337:H3337"/>
    <mergeCell ref="E3342:H3342"/>
    <mergeCell ref="E3347:H3347"/>
    <mergeCell ref="E3320:F3320"/>
    <mergeCell ref="E3517:F3517"/>
    <mergeCell ref="E3519:F3519"/>
    <mergeCell ref="E3520:F3520"/>
    <mergeCell ref="E3472:F3472"/>
    <mergeCell ref="E3127:H3127"/>
    <mergeCell ref="E3128:H3128"/>
    <mergeCell ref="E3129:H3129"/>
    <mergeCell ref="E3130:H3130"/>
    <mergeCell ref="E3131:H3131"/>
    <mergeCell ref="E3136:H3136"/>
    <mergeCell ref="E3185:H3185"/>
    <mergeCell ref="E3177:F3177"/>
    <mergeCell ref="E3203:H3203"/>
    <mergeCell ref="E3188:H3188"/>
    <mergeCell ref="E3137:H3137"/>
    <mergeCell ref="E3138:H3138"/>
    <mergeCell ref="E3141:F3141"/>
    <mergeCell ref="E3142:F3142"/>
    <mergeCell ref="E3143:F3143"/>
    <mergeCell ref="E3145:F3145"/>
    <mergeCell ref="E3495:F3495"/>
    <mergeCell ref="E3451:F3451"/>
    <mergeCell ref="E3452:F3452"/>
    <mergeCell ref="E3220:F3220"/>
    <mergeCell ref="E3434:F3434"/>
    <mergeCell ref="E3435:F3435"/>
    <mergeCell ref="E3436:F3436"/>
    <mergeCell ref="E3393:F3393"/>
    <mergeCell ref="E3406:F3406"/>
    <mergeCell ref="E3414:H3414"/>
    <mergeCell ref="E3415:H3415"/>
    <mergeCell ref="E3416:H3416"/>
    <mergeCell ref="E3386:H3386"/>
    <mergeCell ref="E3387:H3387"/>
    <mergeCell ref="E3388:H3388"/>
    <mergeCell ref="E3401:F3401"/>
    <mergeCell ref="E3384:H3384"/>
    <mergeCell ref="E3425:F3425"/>
    <mergeCell ref="E3426:F3426"/>
    <mergeCell ref="E3491:F3491"/>
    <mergeCell ref="E3492:F3492"/>
    <mergeCell ref="E3413:H3413"/>
    <mergeCell ref="E3427:F3427"/>
    <mergeCell ref="E3428:F3428"/>
    <mergeCell ref="E3429:F3429"/>
    <mergeCell ref="E3430:F3430"/>
    <mergeCell ref="E3431:F3431"/>
    <mergeCell ref="E3267:H3267"/>
    <mergeCell ref="E3272:F3272"/>
    <mergeCell ref="E3273:F3273"/>
    <mergeCell ref="E3339:F3339"/>
    <mergeCell ref="E3340:F3340"/>
    <mergeCell ref="E3341:F3341"/>
    <mergeCell ref="E3312:H3312"/>
    <mergeCell ref="E3313:H3313"/>
    <mergeCell ref="E3314:H3314"/>
    <mergeCell ref="E3315:H3315"/>
    <mergeCell ref="E3323:F3323"/>
    <mergeCell ref="E3325:F3325"/>
    <mergeCell ref="E3326:F3326"/>
    <mergeCell ref="E3316:F3316"/>
    <mergeCell ref="E3317:F3317"/>
    <mergeCell ref="E3318:F3318"/>
    <mergeCell ref="E3324:H3324"/>
    <mergeCell ref="E3134:F3134"/>
    <mergeCell ref="E3231:H3231"/>
    <mergeCell ref="E3232:H3232"/>
    <mergeCell ref="E3233:H3233"/>
    <mergeCell ref="E3152:F3152"/>
    <mergeCell ref="E3216:H3216"/>
    <mergeCell ref="E3186:H3186"/>
    <mergeCell ref="E3187:H3187"/>
    <mergeCell ref="E3178:F3178"/>
    <mergeCell ref="E3179:F3179"/>
    <mergeCell ref="E3153:H3153"/>
    <mergeCell ref="E3154:H3154"/>
    <mergeCell ref="E3155:H3155"/>
    <mergeCell ref="E3156:H3156"/>
    <mergeCell ref="E3157:H3157"/>
    <mergeCell ref="E3158:H3158"/>
    <mergeCell ref="E3159:H3159"/>
    <mergeCell ref="E3161:F3161"/>
    <mergeCell ref="E3162:F3162"/>
    <mergeCell ref="E3163:F3163"/>
    <mergeCell ref="E3164:F3164"/>
    <mergeCell ref="E3166:F3166"/>
    <mergeCell ref="E3151:F3151"/>
    <mergeCell ref="E3256:F3256"/>
    <mergeCell ref="E3253:F3253"/>
    <mergeCell ref="E3218:F3218"/>
    <mergeCell ref="E3219:F3219"/>
    <mergeCell ref="E3226:H3226"/>
    <mergeCell ref="E3215:H3215"/>
    <mergeCell ref="E3296:F3296"/>
    <mergeCell ref="E3297:F3297"/>
    <mergeCell ref="E3298:F3298"/>
    <mergeCell ref="E3302:H3302"/>
    <mergeCell ref="E3248:F3248"/>
    <mergeCell ref="E3249:F3249"/>
    <mergeCell ref="E3250:F3250"/>
    <mergeCell ref="E3263:H3263"/>
    <mergeCell ref="E3257:F3257"/>
    <mergeCell ref="E3258:F3258"/>
    <mergeCell ref="E3268:H3268"/>
    <mergeCell ref="E3269:H3269"/>
    <mergeCell ref="E3270:H3270"/>
    <mergeCell ref="E3271:H3271"/>
    <mergeCell ref="E3278:H3278"/>
    <mergeCell ref="E3279:H3279"/>
    <mergeCell ref="E3282:F3282"/>
    <mergeCell ref="E3284:H3284"/>
    <mergeCell ref="E3148:F3148"/>
    <mergeCell ref="E3150:F3150"/>
    <mergeCell ref="E3067:F3067"/>
    <mergeCell ref="E3068:F3068"/>
    <mergeCell ref="E3069:F3069"/>
    <mergeCell ref="E3070:F3070"/>
    <mergeCell ref="E3071:F3071"/>
    <mergeCell ref="E3072:F3072"/>
    <mergeCell ref="E3073:F3073"/>
    <mergeCell ref="E3074:F3074"/>
    <mergeCell ref="E3077:H3077"/>
    <mergeCell ref="E3078:H3078"/>
    <mergeCell ref="E3079:H3079"/>
    <mergeCell ref="E3080:H3080"/>
    <mergeCell ref="E3081:H3081"/>
    <mergeCell ref="E3082:H3082"/>
    <mergeCell ref="E3083:H3083"/>
    <mergeCell ref="E3084:H3084"/>
    <mergeCell ref="E3085:H3085"/>
    <mergeCell ref="E3089:F3089"/>
    <mergeCell ref="E3090:F3090"/>
    <mergeCell ref="E3091:F3091"/>
    <mergeCell ref="E3086:F3086"/>
    <mergeCell ref="E3199:F3199"/>
    <mergeCell ref="E3139:H3139"/>
    <mergeCell ref="E3100:H3100"/>
    <mergeCell ref="E3101:H3101"/>
    <mergeCell ref="E3102:H3102"/>
    <mergeCell ref="E3103:H3103"/>
    <mergeCell ref="E3104:H3104"/>
    <mergeCell ref="E3105:H3105"/>
    <mergeCell ref="E3106:H3106"/>
    <mergeCell ref="E3111:H3111"/>
    <mergeCell ref="E3112:H3112"/>
    <mergeCell ref="E3113:H3113"/>
    <mergeCell ref="E3114:H3114"/>
    <mergeCell ref="E3120:F3120"/>
    <mergeCell ref="E3125:H3125"/>
    <mergeCell ref="E3126:H3126"/>
    <mergeCell ref="E3123:H3123"/>
    <mergeCell ref="E3124:H3124"/>
    <mergeCell ref="E3196:F3196"/>
    <mergeCell ref="E3197:F3197"/>
    <mergeCell ref="E3198:F3198"/>
    <mergeCell ref="E3122:H3122"/>
    <mergeCell ref="E3182:H3182"/>
    <mergeCell ref="E3171:F3171"/>
    <mergeCell ref="E3172:F3172"/>
    <mergeCell ref="E3096:F3096"/>
    <mergeCell ref="E3097:F3097"/>
    <mergeCell ref="E3076:F3076"/>
    <mergeCell ref="E3099:H3099"/>
    <mergeCell ref="E3098:H3098"/>
    <mergeCell ref="E2994:H2994"/>
    <mergeCell ref="E2995:H2995"/>
    <mergeCell ref="E2996:H2996"/>
    <mergeCell ref="E2997:H2997"/>
    <mergeCell ref="E2998:H2998"/>
    <mergeCell ref="E2999:H2999"/>
    <mergeCell ref="E3009:F3009"/>
    <mergeCell ref="E3010:F3010"/>
    <mergeCell ref="E3011:F3011"/>
    <mergeCell ref="E3012:F3012"/>
    <mergeCell ref="E3015:H3015"/>
    <mergeCell ref="E2967:H2967"/>
    <mergeCell ref="E2968:H2968"/>
    <mergeCell ref="E2969:H2969"/>
    <mergeCell ref="E3051:F3051"/>
    <mergeCell ref="E3052:F3052"/>
    <mergeCell ref="E3053:F3053"/>
    <mergeCell ref="E3054:F3054"/>
    <mergeCell ref="E3057:H3057"/>
    <mergeCell ref="E3058:H3058"/>
    <mergeCell ref="E3059:H3059"/>
    <mergeCell ref="E3060:H3060"/>
    <mergeCell ref="E3061:H3061"/>
    <mergeCell ref="E3062:H3062"/>
    <mergeCell ref="E3063:H3063"/>
    <mergeCell ref="E3013:H3013"/>
    <mergeCell ref="E3014:H3014"/>
    <mergeCell ref="E3008:F3008"/>
    <mergeCell ref="E3064:H3064"/>
    <mergeCell ref="E3065:H3065"/>
    <mergeCell ref="E2990:F2990"/>
    <mergeCell ref="E3000:F3000"/>
    <mergeCell ref="E3001:F3001"/>
    <mergeCell ref="E3002:F3002"/>
    <mergeCell ref="E3003:F3003"/>
    <mergeCell ref="E3004:F3004"/>
    <mergeCell ref="E3005:F3005"/>
    <mergeCell ref="E3027:F3027"/>
    <mergeCell ref="E3016:H3016"/>
    <mergeCell ref="E3017:H3017"/>
    <mergeCell ref="E3018:H3018"/>
    <mergeCell ref="E3019:H3019"/>
    <mergeCell ref="E3020:H3020"/>
    <mergeCell ref="E3021:H3021"/>
    <mergeCell ref="E3022:H3022"/>
    <mergeCell ref="E3023:H3023"/>
    <mergeCell ref="E3024:H3024"/>
    <mergeCell ref="E3028:F3028"/>
    <mergeCell ref="E2824:F2824"/>
    <mergeCell ref="E2825:F2825"/>
    <mergeCell ref="E2826:F2826"/>
    <mergeCell ref="E2827:F2827"/>
    <mergeCell ref="E2823:F2823"/>
    <mergeCell ref="E2866:F2866"/>
    <mergeCell ref="E2867:F2867"/>
    <mergeCell ref="E2868:F2868"/>
    <mergeCell ref="E2869:F2869"/>
    <mergeCell ref="E2875:H2875"/>
    <mergeCell ref="E2876:H2876"/>
    <mergeCell ref="E2877:H2877"/>
    <mergeCell ref="E2878:H2878"/>
    <mergeCell ref="E2879:H2879"/>
    <mergeCell ref="E2880:H2880"/>
    <mergeCell ref="E2881:H2881"/>
    <mergeCell ref="E2882:H2882"/>
    <mergeCell ref="E2885:F2885"/>
    <mergeCell ref="E2886:F2886"/>
    <mergeCell ref="E2887:F2887"/>
    <mergeCell ref="E2888:F2888"/>
    <mergeCell ref="E2889:F2889"/>
    <mergeCell ref="E2890:F2890"/>
    <mergeCell ref="E2891:F2891"/>
    <mergeCell ref="E2892:F2892"/>
    <mergeCell ref="E2893:F2893"/>
    <mergeCell ref="E2899:H2899"/>
    <mergeCell ref="E2900:H2900"/>
    <mergeCell ref="E2901:H2901"/>
    <mergeCell ref="E2902:H2902"/>
    <mergeCell ref="E2903:H2903"/>
    <mergeCell ref="E2904:H2904"/>
    <mergeCell ref="E2905:H2905"/>
    <mergeCell ref="E2894:F2894"/>
    <mergeCell ref="E2895:F2895"/>
    <mergeCell ref="E2853:H2853"/>
    <mergeCell ref="E2854:H2854"/>
    <mergeCell ref="E2855:H2855"/>
    <mergeCell ref="E2856:H2856"/>
    <mergeCell ref="E2857:H2857"/>
    <mergeCell ref="E2858:H2858"/>
    <mergeCell ref="E2859:H2859"/>
    <mergeCell ref="E2861:F2861"/>
    <mergeCell ref="E2862:F2862"/>
    <mergeCell ref="E2835:H2835"/>
    <mergeCell ref="E2839:F2839"/>
    <mergeCell ref="E2840:F2840"/>
    <mergeCell ref="E2841:F2841"/>
    <mergeCell ref="E2842:F2842"/>
    <mergeCell ref="E2843:F2843"/>
    <mergeCell ref="E2844:F2844"/>
    <mergeCell ref="E2845:F2845"/>
    <mergeCell ref="E2863:F2863"/>
    <mergeCell ref="E2864:F2864"/>
    <mergeCell ref="E2865:F2865"/>
    <mergeCell ref="E2851:F2851"/>
    <mergeCell ref="E2847:F2847"/>
    <mergeCell ref="E2852:F2852"/>
    <mergeCell ref="E2860:H2860"/>
    <mergeCell ref="E2870:F2870"/>
    <mergeCell ref="E2872:F2872"/>
    <mergeCell ref="E2873:F2873"/>
    <mergeCell ref="E2874:F2874"/>
    <mergeCell ref="E2871:F2871"/>
    <mergeCell ref="E2763:H2763"/>
    <mergeCell ref="E2764:H2764"/>
    <mergeCell ref="E2767:F2767"/>
    <mergeCell ref="E2768:F2768"/>
    <mergeCell ref="E2769:F2769"/>
    <mergeCell ref="E2780:H2780"/>
    <mergeCell ref="E2781:H2781"/>
    <mergeCell ref="E2782:H2782"/>
    <mergeCell ref="E2783:H2783"/>
    <mergeCell ref="E2784:H2784"/>
    <mergeCell ref="E2786:H2786"/>
    <mergeCell ref="E2787:H2787"/>
    <mergeCell ref="E2788:F2788"/>
    <mergeCell ref="E2789:F2789"/>
    <mergeCell ref="E2790:F2790"/>
    <mergeCell ref="E2791:F2791"/>
    <mergeCell ref="E2792:F2792"/>
    <mergeCell ref="E2793:F2793"/>
    <mergeCell ref="E2794:F2794"/>
    <mergeCell ref="E2795:F2795"/>
    <mergeCell ref="E2796:F2796"/>
    <mergeCell ref="E2797:F2797"/>
    <mergeCell ref="E2798:F2798"/>
    <mergeCell ref="E2799:F2799"/>
    <mergeCell ref="E2800:F2800"/>
    <mergeCell ref="E2801:F2801"/>
    <mergeCell ref="E2805:H2805"/>
    <mergeCell ref="E2806:H2806"/>
    <mergeCell ref="E2807:H2807"/>
    <mergeCell ref="E2808:H2808"/>
    <mergeCell ref="E2809:H2809"/>
    <mergeCell ref="E2810:H2810"/>
    <mergeCell ref="E2811:H2811"/>
    <mergeCell ref="E2770:F2770"/>
    <mergeCell ref="E2771:F2771"/>
    <mergeCell ref="E2772:F2772"/>
    <mergeCell ref="E2773:F2773"/>
    <mergeCell ref="E2774:F2774"/>
    <mergeCell ref="E2775:F2775"/>
    <mergeCell ref="E2776:F2776"/>
    <mergeCell ref="E2777:F2777"/>
    <mergeCell ref="E2778:F2778"/>
    <mergeCell ref="E2779:F2779"/>
    <mergeCell ref="E2804:F2804"/>
    <mergeCell ref="E2785:H2785"/>
    <mergeCell ref="E2802:F2802"/>
    <mergeCell ref="E2803:F2803"/>
    <mergeCell ref="E2765:H2765"/>
    <mergeCell ref="E2766:H2766"/>
    <mergeCell ref="E2692:H2692"/>
    <mergeCell ref="E2693:H2693"/>
    <mergeCell ref="E2694:H2694"/>
    <mergeCell ref="E2695:H2695"/>
    <mergeCell ref="E2699:F2699"/>
    <mergeCell ref="E2705:F2705"/>
    <mergeCell ref="E2706:F2706"/>
    <mergeCell ref="E2721:F2721"/>
    <mergeCell ref="E2722:F2722"/>
    <mergeCell ref="E2723:F2723"/>
    <mergeCell ref="E2724:F2724"/>
    <mergeCell ref="E2725:F2725"/>
    <mergeCell ref="E2729:H2729"/>
    <mergeCell ref="E2730:H2730"/>
    <mergeCell ref="E2731:H2731"/>
    <mergeCell ref="E2733:F2733"/>
    <mergeCell ref="E2734:F2734"/>
    <mergeCell ref="E2735:F2735"/>
    <mergeCell ref="E2736:F2736"/>
    <mergeCell ref="E2737:F2737"/>
    <mergeCell ref="E2738:F2738"/>
    <mergeCell ref="E2747:H2747"/>
    <mergeCell ref="E2752:H2752"/>
    <mergeCell ref="E2753:H2753"/>
    <mergeCell ref="E2754:H2754"/>
    <mergeCell ref="E2755:H2755"/>
    <mergeCell ref="E2756:H2756"/>
    <mergeCell ref="E2757:H2757"/>
    <mergeCell ref="E2758:H2758"/>
    <mergeCell ref="E2759:H2759"/>
    <mergeCell ref="E2760:H2760"/>
    <mergeCell ref="E2761:H2761"/>
    <mergeCell ref="E2762:H2762"/>
    <mergeCell ref="E2696:F2696"/>
    <mergeCell ref="E2698:F2698"/>
    <mergeCell ref="E2701:H2701"/>
    <mergeCell ref="E2702:H2702"/>
    <mergeCell ref="E2703:H2703"/>
    <mergeCell ref="E2713:F2713"/>
    <mergeCell ref="E2745:F2745"/>
    <mergeCell ref="E2717:F2717"/>
    <mergeCell ref="E2718:F2718"/>
    <mergeCell ref="E2720:F2720"/>
    <mergeCell ref="E2727:H2727"/>
    <mergeCell ref="E2728:H2728"/>
    <mergeCell ref="E2707:F2707"/>
    <mergeCell ref="E2708:F2708"/>
    <mergeCell ref="E2709:F2709"/>
    <mergeCell ref="E2710:F2710"/>
    <mergeCell ref="E2711:F2711"/>
    <mergeCell ref="E2712:F2712"/>
    <mergeCell ref="E2748:F2748"/>
    <mergeCell ref="E2749:F2749"/>
    <mergeCell ref="E2750:F2750"/>
    <mergeCell ref="E2751:F2751"/>
    <mergeCell ref="E2716:F2716"/>
    <mergeCell ref="E2714:F2714"/>
    <mergeCell ref="E2732:F2732"/>
    <mergeCell ref="E2742:F2742"/>
    <mergeCell ref="E2743:F2743"/>
    <mergeCell ref="E2744:F2744"/>
    <mergeCell ref="E2739:F2739"/>
    <mergeCell ref="E2740:F2740"/>
    <mergeCell ref="E2741:F2741"/>
    <mergeCell ref="E2646:H2646"/>
    <mergeCell ref="E2647:H2647"/>
    <mergeCell ref="E2648:H2648"/>
    <mergeCell ref="E2654:F2654"/>
    <mergeCell ref="E2655:F2655"/>
    <mergeCell ref="E2656:F2656"/>
    <mergeCell ref="E2657:F2657"/>
    <mergeCell ref="E2658:F2658"/>
    <mergeCell ref="E2659:F2659"/>
    <mergeCell ref="E2660:F2660"/>
    <mergeCell ref="E2661:F2661"/>
    <mergeCell ref="E2662:F2662"/>
    <mergeCell ref="E2663:F2663"/>
    <mergeCell ref="E2664:H2664"/>
    <mergeCell ref="E2665:H2665"/>
    <mergeCell ref="E2666:H2666"/>
    <mergeCell ref="E2667:H2667"/>
    <mergeCell ref="E2668:H2668"/>
    <mergeCell ref="E2669:H2669"/>
    <mergeCell ref="E2670:H2670"/>
    <mergeCell ref="E2671:H2671"/>
    <mergeCell ref="E2679:F2679"/>
    <mergeCell ref="E2680:F2680"/>
    <mergeCell ref="E2681:F2681"/>
    <mergeCell ref="E2682:F2682"/>
    <mergeCell ref="E2683:F2683"/>
    <mergeCell ref="E2684:F2684"/>
    <mergeCell ref="E2685:F2685"/>
    <mergeCell ref="E2686:F2686"/>
    <mergeCell ref="E2688:H2688"/>
    <mergeCell ref="E2689:H2689"/>
    <mergeCell ref="E2690:H2690"/>
    <mergeCell ref="E2691:H2691"/>
    <mergeCell ref="E2687:F2687"/>
    <mergeCell ref="E2649:F2649"/>
    <mergeCell ref="E2650:F2650"/>
    <mergeCell ref="E2652:F2652"/>
    <mergeCell ref="E2653:F2653"/>
    <mergeCell ref="E2674:F2674"/>
    <mergeCell ref="E2675:F2675"/>
    <mergeCell ref="E2676:F2676"/>
    <mergeCell ref="E2651:F2651"/>
    <mergeCell ref="E2672:F2672"/>
    <mergeCell ref="E2677:F2677"/>
    <mergeCell ref="E2678:F2678"/>
    <mergeCell ref="E2605:F2605"/>
    <mergeCell ref="E2606:F2606"/>
    <mergeCell ref="E2607:F2607"/>
    <mergeCell ref="E2608:F2608"/>
    <mergeCell ref="E2609:F2609"/>
    <mergeCell ref="E2610:F2610"/>
    <mergeCell ref="E2611:F2611"/>
    <mergeCell ref="E2612:F2612"/>
    <mergeCell ref="E2613:F2613"/>
    <mergeCell ref="E2614:F2614"/>
    <mergeCell ref="E2615:F2615"/>
    <mergeCell ref="E2616:F2616"/>
    <mergeCell ref="E2617:F2617"/>
    <mergeCell ref="E2619:H2619"/>
    <mergeCell ref="E2620:H2620"/>
    <mergeCell ref="E2621:H2621"/>
    <mergeCell ref="E2622:H2622"/>
    <mergeCell ref="E2623:H2623"/>
    <mergeCell ref="E2624:H2624"/>
    <mergeCell ref="E2625:H2625"/>
    <mergeCell ref="E2631:F2631"/>
    <mergeCell ref="E2632:F2632"/>
    <mergeCell ref="E2633:F2633"/>
    <mergeCell ref="E2634:F2634"/>
    <mergeCell ref="E2635:F2635"/>
    <mergeCell ref="E2636:F2636"/>
    <mergeCell ref="E2637:F2637"/>
    <mergeCell ref="E2638:F2638"/>
    <mergeCell ref="E2641:H2641"/>
    <mergeCell ref="E2642:H2642"/>
    <mergeCell ref="E2643:H2643"/>
    <mergeCell ref="E2644:H2644"/>
    <mergeCell ref="E2645:H2645"/>
    <mergeCell ref="E2626:F2626"/>
    <mergeCell ref="E2639:F2639"/>
    <mergeCell ref="E2640:F2640"/>
    <mergeCell ref="E2618:H2618"/>
    <mergeCell ref="E2628:F2628"/>
    <mergeCell ref="E2629:F2629"/>
    <mergeCell ref="E2630:F2630"/>
    <mergeCell ref="E2627:F2627"/>
    <mergeCell ref="E2551:F2551"/>
    <mergeCell ref="E2554:F2554"/>
    <mergeCell ref="E2555:F2555"/>
    <mergeCell ref="E2556:F2556"/>
    <mergeCell ref="E2557:F2557"/>
    <mergeCell ref="E2558:F2558"/>
    <mergeCell ref="E2559:F2559"/>
    <mergeCell ref="E2567:H2567"/>
    <mergeCell ref="E2568:H2568"/>
    <mergeCell ref="E2569:H2569"/>
    <mergeCell ref="E2571:H2571"/>
    <mergeCell ref="E2572:H2572"/>
    <mergeCell ref="E2573:H2573"/>
    <mergeCell ref="E2574:H2574"/>
    <mergeCell ref="E2575:H2575"/>
    <mergeCell ref="E2576:F2576"/>
    <mergeCell ref="E2577:F2577"/>
    <mergeCell ref="E2578:F2578"/>
    <mergeCell ref="E2579:F2579"/>
    <mergeCell ref="E2580:F2580"/>
    <mergeCell ref="E2581:F2581"/>
    <mergeCell ref="E2582:F2582"/>
    <mergeCell ref="E2592:H2592"/>
    <mergeCell ref="E2593:H2593"/>
    <mergeCell ref="E2594:H2594"/>
    <mergeCell ref="E2595:H2595"/>
    <mergeCell ref="E2596:H2596"/>
    <mergeCell ref="E2597:H2597"/>
    <mergeCell ref="E2600:H2600"/>
    <mergeCell ref="E2601:H2601"/>
    <mergeCell ref="E2604:F2604"/>
    <mergeCell ref="E2552:F2552"/>
    <mergeCell ref="E2553:F2553"/>
    <mergeCell ref="E2588:F2588"/>
    <mergeCell ref="E2589:F2589"/>
    <mergeCell ref="E2590:F2590"/>
    <mergeCell ref="E2591:F2591"/>
    <mergeCell ref="E2598:H2598"/>
    <mergeCell ref="E2599:H2599"/>
    <mergeCell ref="E2583:F2583"/>
    <mergeCell ref="E2570:H2570"/>
    <mergeCell ref="E2585:F2585"/>
    <mergeCell ref="E2586:F2586"/>
    <mergeCell ref="E2587:F2587"/>
    <mergeCell ref="E2602:F2602"/>
    <mergeCell ref="E2603:F2603"/>
    <mergeCell ref="E2566:H2566"/>
    <mergeCell ref="E2562:F2562"/>
    <mergeCell ref="E2563:F2563"/>
    <mergeCell ref="E2564:F2564"/>
    <mergeCell ref="E2565:F2565"/>
    <mergeCell ref="E2560:F2560"/>
    <mergeCell ref="E2561:F2561"/>
    <mergeCell ref="E2584:F2584"/>
    <mergeCell ref="E2485:F2485"/>
    <mergeCell ref="E2486:F2486"/>
    <mergeCell ref="E2487:F2487"/>
    <mergeCell ref="E2494:H2494"/>
    <mergeCell ref="E2496:H2496"/>
    <mergeCell ref="E2497:H2497"/>
    <mergeCell ref="E2498:H2498"/>
    <mergeCell ref="E2499:H2499"/>
    <mergeCell ref="E2502:F2502"/>
    <mergeCell ref="E2503:F2503"/>
    <mergeCell ref="E2504:F2504"/>
    <mergeCell ref="E2505:F2505"/>
    <mergeCell ref="E2506:F2506"/>
    <mergeCell ref="E2507:F2507"/>
    <mergeCell ref="E2508:F2508"/>
    <mergeCell ref="E2515:H2515"/>
    <mergeCell ref="E2516:H2516"/>
    <mergeCell ref="E2518:H2518"/>
    <mergeCell ref="E2519:H2519"/>
    <mergeCell ref="E2520:H2520"/>
    <mergeCell ref="E2521:H2521"/>
    <mergeCell ref="E2523:F2523"/>
    <mergeCell ref="E2524:F2524"/>
    <mergeCell ref="E2525:F2525"/>
    <mergeCell ref="E2526:F2526"/>
    <mergeCell ref="E2527:F2527"/>
    <mergeCell ref="E2528:F2528"/>
    <mergeCell ref="E2529:F2529"/>
    <mergeCell ref="E2530:F2530"/>
    <mergeCell ref="E2535:F2535"/>
    <mergeCell ref="E2517:H2517"/>
    <mergeCell ref="E2549:H2549"/>
    <mergeCell ref="E2550:F2550"/>
    <mergeCell ref="E2540:H2540"/>
    <mergeCell ref="E2533:F2533"/>
    <mergeCell ref="E2534:F2534"/>
    <mergeCell ref="E2536:F2536"/>
    <mergeCell ref="E2544:H2544"/>
    <mergeCell ref="E2545:H2545"/>
    <mergeCell ref="E2546:H2546"/>
    <mergeCell ref="E2547:H2547"/>
    <mergeCell ref="E2548:H2548"/>
    <mergeCell ref="E2488:F2488"/>
    <mergeCell ref="E2489:F2489"/>
    <mergeCell ref="E2490:F2490"/>
    <mergeCell ref="E2491:F2491"/>
    <mergeCell ref="E2492:F2492"/>
    <mergeCell ref="E2493:F2493"/>
    <mergeCell ref="E2514:F2514"/>
    <mergeCell ref="E2522:H2522"/>
    <mergeCell ref="E2495:H2495"/>
    <mergeCell ref="E2500:H2500"/>
    <mergeCell ref="E2537:F2537"/>
    <mergeCell ref="E2538:F2538"/>
    <mergeCell ref="E2539:F2539"/>
    <mergeCell ref="E2541:H2541"/>
    <mergeCell ref="E2542:H2542"/>
    <mergeCell ref="E2543:H2543"/>
    <mergeCell ref="E2501:H2501"/>
    <mergeCell ref="E2509:F2509"/>
    <mergeCell ref="E2510:F2510"/>
    <mergeCell ref="E2511:F2511"/>
    <mergeCell ref="E2512:F2512"/>
    <mergeCell ref="E2513:F2513"/>
    <mergeCell ref="E2443:H2443"/>
    <mergeCell ref="E2444:H2444"/>
    <mergeCell ref="E2445:H2445"/>
    <mergeCell ref="E2446:H2446"/>
    <mergeCell ref="E2452:F2452"/>
    <mergeCell ref="E2453:F2453"/>
    <mergeCell ref="E2454:F2454"/>
    <mergeCell ref="E2455:F2455"/>
    <mergeCell ref="E2456:F2456"/>
    <mergeCell ref="E2457:F2457"/>
    <mergeCell ref="E2458:F2458"/>
    <mergeCell ref="E2459:F2459"/>
    <mergeCell ref="E2460:F2460"/>
    <mergeCell ref="E2461:F2461"/>
    <mergeCell ref="E2464:F2464"/>
    <mergeCell ref="E2466:H2466"/>
    <mergeCell ref="E2467:H2467"/>
    <mergeCell ref="E2468:H2468"/>
    <mergeCell ref="E2469:H2469"/>
    <mergeCell ref="E2470:H2470"/>
    <mergeCell ref="E2473:H2473"/>
    <mergeCell ref="E2474:H2474"/>
    <mergeCell ref="E2475:H2475"/>
    <mergeCell ref="E2476:H2476"/>
    <mergeCell ref="E2481:F2481"/>
    <mergeCell ref="E2434:F2434"/>
    <mergeCell ref="E2450:F2450"/>
    <mergeCell ref="E2463:H2463"/>
    <mergeCell ref="E2451:F2451"/>
    <mergeCell ref="E2448:F2448"/>
    <mergeCell ref="E2449:F2449"/>
    <mergeCell ref="E2441:F2441"/>
    <mergeCell ref="E2447:H2447"/>
    <mergeCell ref="E2436:F2436"/>
    <mergeCell ref="E2437:F2437"/>
    <mergeCell ref="E2438:F2438"/>
    <mergeCell ref="E2439:F2439"/>
    <mergeCell ref="E2440:F2440"/>
    <mergeCell ref="E2465:F2465"/>
    <mergeCell ref="E2471:H2471"/>
    <mergeCell ref="E2472:H2472"/>
    <mergeCell ref="E2477:H2477"/>
    <mergeCell ref="E2478:H2478"/>
    <mergeCell ref="E2479:H2479"/>
    <mergeCell ref="E2480:H2480"/>
    <mergeCell ref="E2416:F2416"/>
    <mergeCell ref="E2418:F2418"/>
    <mergeCell ref="E2419:F2419"/>
    <mergeCell ref="E2420:F2420"/>
    <mergeCell ref="E2421:F2421"/>
    <mergeCell ref="E2361:F2361"/>
    <mergeCell ref="E2362:F2362"/>
    <mergeCell ref="E2374:H2374"/>
    <mergeCell ref="E2375:H2375"/>
    <mergeCell ref="E2376:H2376"/>
    <mergeCell ref="E2378:H2378"/>
    <mergeCell ref="E2350:F2350"/>
    <mergeCell ref="E2351:F2351"/>
    <mergeCell ref="E2366:F2366"/>
    <mergeCell ref="E2387:F2387"/>
    <mergeCell ref="E2388:F2388"/>
    <mergeCell ref="E2389:F2389"/>
    <mergeCell ref="E2367:F2367"/>
    <mergeCell ref="E2368:F2368"/>
    <mergeCell ref="E2369:F2369"/>
    <mergeCell ref="E2379:H2379"/>
    <mergeCell ref="E2380:H2380"/>
    <mergeCell ref="E2381:H2381"/>
    <mergeCell ref="E2377:H2377"/>
    <mergeCell ref="E2385:F2385"/>
    <mergeCell ref="E2386:F2386"/>
    <mergeCell ref="E2409:H2409"/>
    <mergeCell ref="E2410:H2410"/>
    <mergeCell ref="E2411:H2411"/>
    <mergeCell ref="E2417:F2417"/>
    <mergeCell ref="E2413:F2413"/>
    <mergeCell ref="E2414:F2414"/>
    <mergeCell ref="E2415:F2415"/>
    <mergeCell ref="E2354:H2354"/>
    <mergeCell ref="E2406:F2406"/>
    <mergeCell ref="E2407:F2407"/>
    <mergeCell ref="E2358:H2358"/>
    <mergeCell ref="E2359:H2359"/>
    <mergeCell ref="E2360:H2360"/>
    <mergeCell ref="E2363:F2363"/>
    <mergeCell ref="E2364:F2364"/>
    <mergeCell ref="E2365:F2365"/>
    <mergeCell ref="E2370:F2370"/>
    <mergeCell ref="E2371:F2371"/>
    <mergeCell ref="E2372:F2372"/>
    <mergeCell ref="E2373:F2373"/>
    <mergeCell ref="E2382:F2382"/>
    <mergeCell ref="E2383:F2383"/>
    <mergeCell ref="E2384:F2384"/>
    <mergeCell ref="E2393:F2393"/>
    <mergeCell ref="E2394:F2394"/>
    <mergeCell ref="E2399:H2399"/>
    <mergeCell ref="E2396:H2396"/>
    <mergeCell ref="E2392:F2392"/>
    <mergeCell ref="E2395:F2395"/>
    <mergeCell ref="E2390:F2390"/>
    <mergeCell ref="E2391:F2391"/>
    <mergeCell ref="E2402:H2402"/>
    <mergeCell ref="E2403:H2403"/>
    <mergeCell ref="E2317:F2317"/>
    <mergeCell ref="E2318:F2318"/>
    <mergeCell ref="E2319:F2319"/>
    <mergeCell ref="E2320:F2320"/>
    <mergeCell ref="E2321:F2321"/>
    <mergeCell ref="E2324:F2324"/>
    <mergeCell ref="E2325:F2325"/>
    <mergeCell ref="E2326:F2326"/>
    <mergeCell ref="E2327:F2327"/>
    <mergeCell ref="E2328:F2328"/>
    <mergeCell ref="E2329:F2329"/>
    <mergeCell ref="E2331:H2331"/>
    <mergeCell ref="E2332:H2332"/>
    <mergeCell ref="E2204:H2204"/>
    <mergeCell ref="E2205:H2205"/>
    <mergeCell ref="E2206:H2206"/>
    <mergeCell ref="E2337:H2337"/>
    <mergeCell ref="E2338:H2338"/>
    <mergeCell ref="E2342:F2342"/>
    <mergeCell ref="E2343:F2343"/>
    <mergeCell ref="E2312:H2312"/>
    <mergeCell ref="E2313:H2313"/>
    <mergeCell ref="E2314:H2314"/>
    <mergeCell ref="E2315:H2315"/>
    <mergeCell ref="E2323:F2323"/>
    <mergeCell ref="E2330:F2330"/>
    <mergeCell ref="E2341:F2341"/>
    <mergeCell ref="E2340:F2340"/>
    <mergeCell ref="E2297:F2297"/>
    <mergeCell ref="E2298:F2298"/>
    <mergeCell ref="E2299:F2299"/>
    <mergeCell ref="E2306:H2306"/>
    <mergeCell ref="E2307:H2307"/>
    <mergeCell ref="E2308:H2308"/>
    <mergeCell ref="E2339:F2339"/>
    <mergeCell ref="E2310:H2310"/>
    <mergeCell ref="E2311:H2311"/>
    <mergeCell ref="E2322:F2322"/>
    <mergeCell ref="E2283:H2283"/>
    <mergeCell ref="E2284:H2284"/>
    <mergeCell ref="E2285:H2285"/>
    <mergeCell ref="E2286:H2286"/>
    <mergeCell ref="E2291:F2291"/>
    <mergeCell ref="E2292:F2292"/>
    <mergeCell ref="E2293:F2293"/>
    <mergeCell ref="E2232:H2232"/>
    <mergeCell ref="E2233:H2233"/>
    <mergeCell ref="E2234:H2234"/>
    <mergeCell ref="E2235:H2235"/>
    <mergeCell ref="E2280:F2280"/>
    <mergeCell ref="E2281:F2281"/>
    <mergeCell ref="E2207:H2207"/>
    <mergeCell ref="E2259:H2259"/>
    <mergeCell ref="E2260:H2260"/>
    <mergeCell ref="E2261:H2261"/>
    <mergeCell ref="E2262:H2262"/>
    <mergeCell ref="E2263:H2263"/>
    <mergeCell ref="E2264:H2264"/>
    <mergeCell ref="E2265:H2265"/>
    <mergeCell ref="E2269:F2269"/>
    <mergeCell ref="E2222:F2222"/>
    <mergeCell ref="E2223:F2223"/>
    <mergeCell ref="E2224:F2224"/>
    <mergeCell ref="E2225:F2225"/>
    <mergeCell ref="E2196:F2196"/>
    <mergeCell ref="E2197:F2197"/>
    <mergeCell ref="E2198:F2198"/>
    <mergeCell ref="E2199:F2199"/>
    <mergeCell ref="E2294:F2294"/>
    <mergeCell ref="E2295:F2295"/>
    <mergeCell ref="E2279:F2279"/>
    <mergeCell ref="E2288:H2288"/>
    <mergeCell ref="E2300:F2300"/>
    <mergeCell ref="E2301:F2301"/>
    <mergeCell ref="E2302:F2302"/>
    <mergeCell ref="E2303:F2303"/>
    <mergeCell ref="E2304:F2304"/>
    <mergeCell ref="E2305:F2305"/>
    <mergeCell ref="E2309:H2309"/>
    <mergeCell ref="E2316:F2316"/>
    <mergeCell ref="E2275:F2275"/>
    <mergeCell ref="E2276:F2276"/>
    <mergeCell ref="E2277:F2277"/>
    <mergeCell ref="E2278:F2278"/>
    <mergeCell ref="E2282:F2282"/>
    <mergeCell ref="E2287:H2287"/>
    <mergeCell ref="E2289:H2289"/>
    <mergeCell ref="E2290:H2290"/>
    <mergeCell ref="E2203:F2203"/>
    <mergeCell ref="E2212:F2212"/>
    <mergeCell ref="E2217:H2217"/>
    <mergeCell ref="E2218:H2218"/>
    <mergeCell ref="E2219:H2219"/>
    <mergeCell ref="E2227:F2227"/>
    <mergeCell ref="E2228:F2228"/>
    <mergeCell ref="E2230:F2230"/>
    <mergeCell ref="E2236:H2236"/>
    <mergeCell ref="E2060:F2060"/>
    <mergeCell ref="E2062:H2062"/>
    <mergeCell ref="E2063:H2063"/>
    <mergeCell ref="E2064:H2064"/>
    <mergeCell ref="E2065:H2065"/>
    <mergeCell ref="E2066:H2066"/>
    <mergeCell ref="E2083:F2083"/>
    <mergeCell ref="E2084:F2084"/>
    <mergeCell ref="E2078:F2078"/>
    <mergeCell ref="E2079:F2079"/>
    <mergeCell ref="E2080:F2080"/>
    <mergeCell ref="E2067:F2067"/>
    <mergeCell ref="E2068:F2068"/>
    <mergeCell ref="E2069:F2069"/>
    <mergeCell ref="E2070:F2070"/>
    <mergeCell ref="E2071:F2071"/>
    <mergeCell ref="E2072:F2072"/>
    <mergeCell ref="E2073:F2073"/>
    <mergeCell ref="E2074:F2074"/>
    <mergeCell ref="E2075:F2075"/>
    <mergeCell ref="E2076:F2076"/>
    <mergeCell ref="E2077:F2077"/>
    <mergeCell ref="E2082:H2082"/>
    <mergeCell ref="E2132:F2132"/>
    <mergeCell ref="E2133:F2133"/>
    <mergeCell ref="E2089:H2089"/>
    <mergeCell ref="E2090:H2090"/>
    <mergeCell ref="E2091:H2091"/>
    <mergeCell ref="E2106:F2106"/>
    <mergeCell ref="E2107:F2107"/>
    <mergeCell ref="E2108:F2108"/>
    <mergeCell ref="E2110:F2110"/>
    <mergeCell ref="E2111:F2111"/>
    <mergeCell ref="E2096:H2096"/>
    <mergeCell ref="E2130:F2130"/>
    <mergeCell ref="E2131:F2131"/>
    <mergeCell ref="E2085:H2085"/>
    <mergeCell ref="E2086:H2086"/>
    <mergeCell ref="E2087:H2087"/>
    <mergeCell ref="E2088:H2088"/>
    <mergeCell ref="E2097:H2097"/>
    <mergeCell ref="E2098:H2098"/>
    <mergeCell ref="E2101:F2101"/>
    <mergeCell ref="E2102:F2102"/>
    <mergeCell ref="E2103:F2103"/>
    <mergeCell ref="E2104:F2104"/>
    <mergeCell ref="E2099:F2099"/>
    <mergeCell ref="E2100:F2100"/>
    <mergeCell ref="E2125:F2125"/>
    <mergeCell ref="E2126:F2126"/>
    <mergeCell ref="E2105:F2105"/>
    <mergeCell ref="E2112:F2112"/>
    <mergeCell ref="E2113:H2113"/>
    <mergeCell ref="E2127:F2127"/>
    <mergeCell ref="E2128:F2128"/>
    <mergeCell ref="E2121:F2121"/>
    <mergeCell ref="E2122:F2122"/>
    <mergeCell ref="E2092:H2092"/>
    <mergeCell ref="E2093:H2093"/>
    <mergeCell ref="E2094:H2094"/>
    <mergeCell ref="E2095:H2095"/>
    <mergeCell ref="E2124:F2124"/>
    <mergeCell ref="E2119:H2119"/>
    <mergeCell ref="E2120:H2120"/>
    <mergeCell ref="E2017:H2017"/>
    <mergeCell ref="E2018:H2018"/>
    <mergeCell ref="E2019:H2019"/>
    <mergeCell ref="E2020:H2020"/>
    <mergeCell ref="E2022:H2022"/>
    <mergeCell ref="E2025:F2025"/>
    <mergeCell ref="E2026:F2026"/>
    <mergeCell ref="E2032:F2032"/>
    <mergeCell ref="E2033:F2033"/>
    <mergeCell ref="E2034:F2034"/>
    <mergeCell ref="E2035:F2035"/>
    <mergeCell ref="E2036:F2036"/>
    <mergeCell ref="E2037:F2037"/>
    <mergeCell ref="E2054:F2054"/>
    <mergeCell ref="E2055:F2055"/>
    <mergeCell ref="E2056:F2056"/>
    <mergeCell ref="E2057:F2057"/>
    <mergeCell ref="E2058:F2058"/>
    <mergeCell ref="E2059:F2059"/>
    <mergeCell ref="E2052:F2052"/>
    <mergeCell ref="E2048:F2048"/>
    <mergeCell ref="E2049:F2049"/>
    <mergeCell ref="E2050:F2050"/>
    <mergeCell ref="E2051:F2051"/>
    <mergeCell ref="E2044:F2044"/>
    <mergeCell ref="E2045:F2045"/>
    <mergeCell ref="E2046:F2046"/>
    <mergeCell ref="E2001:H2001"/>
    <mergeCell ref="E2002:H2002"/>
    <mergeCell ref="E2010:F2010"/>
    <mergeCell ref="E2011:F2011"/>
    <mergeCell ref="E2012:F2012"/>
    <mergeCell ref="E2013:F2013"/>
    <mergeCell ref="E2014:F2014"/>
    <mergeCell ref="E2006:F2006"/>
    <mergeCell ref="E2021:H2021"/>
    <mergeCell ref="E2023:F2023"/>
    <mergeCell ref="E2007:F2007"/>
    <mergeCell ref="E2008:F2008"/>
    <mergeCell ref="E2009:F2009"/>
    <mergeCell ref="E2028:H2028"/>
    <mergeCell ref="E2029:H2029"/>
    <mergeCell ref="E2030:H2030"/>
    <mergeCell ref="E2038:F2038"/>
    <mergeCell ref="E2039:F2039"/>
    <mergeCell ref="E2040:F2040"/>
    <mergeCell ref="E2041:F2041"/>
    <mergeCell ref="E2042:F2042"/>
    <mergeCell ref="E2043:F2043"/>
    <mergeCell ref="E1972:H1972"/>
    <mergeCell ref="E1973:H1973"/>
    <mergeCell ref="E1975:H1975"/>
    <mergeCell ref="E1976:H1976"/>
    <mergeCell ref="E1977:H1977"/>
    <mergeCell ref="E1978:H1978"/>
    <mergeCell ref="E1979:H1979"/>
    <mergeCell ref="E1980:H1980"/>
    <mergeCell ref="E1981:H1981"/>
    <mergeCell ref="E1939:F1939"/>
    <mergeCell ref="E1941:F1941"/>
    <mergeCell ref="E1942:F1942"/>
    <mergeCell ref="E1963:F1963"/>
    <mergeCell ref="E1964:F1964"/>
    <mergeCell ref="E1940:F1940"/>
    <mergeCell ref="E1953:H1953"/>
    <mergeCell ref="E1961:F1961"/>
    <mergeCell ref="E1943:F1943"/>
    <mergeCell ref="E1974:F1974"/>
    <mergeCell ref="E1982:H1982"/>
    <mergeCell ref="E1986:F1986"/>
    <mergeCell ref="E1992:F1992"/>
    <mergeCell ref="E1995:H1995"/>
    <mergeCell ref="E1996:H1996"/>
    <mergeCell ref="E1997:H1997"/>
    <mergeCell ref="E1998:H1998"/>
    <mergeCell ref="E1999:H1999"/>
    <mergeCell ref="E2000:H2000"/>
    <mergeCell ref="E2003:F2003"/>
    <mergeCell ref="E2004:F2004"/>
    <mergeCell ref="E2005:F2005"/>
    <mergeCell ref="E2015:H2015"/>
    <mergeCell ref="E2016:H2016"/>
    <mergeCell ref="E1994:F1994"/>
    <mergeCell ref="E1993:F1993"/>
    <mergeCell ref="E1990:F1990"/>
    <mergeCell ref="E1991:F1991"/>
    <mergeCell ref="E1955:F1955"/>
    <mergeCell ref="E1956:F1956"/>
    <mergeCell ref="E1957:F1957"/>
    <mergeCell ref="E1958:F1958"/>
    <mergeCell ref="E1959:F1959"/>
    <mergeCell ref="E1960:F1960"/>
    <mergeCell ref="E1962:F1962"/>
    <mergeCell ref="E1965:F1965"/>
    <mergeCell ref="E1969:H1969"/>
    <mergeCell ref="E1970:H1970"/>
    <mergeCell ref="E1971:H1971"/>
    <mergeCell ref="E1989:F1989"/>
    <mergeCell ref="E1966:H1966"/>
    <mergeCell ref="E1967:H1967"/>
    <mergeCell ref="E1968:H1968"/>
    <mergeCell ref="E1983:F1983"/>
    <mergeCell ref="E1984:F1984"/>
    <mergeCell ref="E1985:F1985"/>
    <mergeCell ref="E1987:F1987"/>
    <mergeCell ref="E1988:F1988"/>
    <mergeCell ref="E1944:F1944"/>
    <mergeCell ref="E1945:F1945"/>
    <mergeCell ref="E1627:F1627"/>
    <mergeCell ref="E1633:G1633"/>
    <mergeCell ref="E1634:F1634"/>
    <mergeCell ref="E1658:H1658"/>
    <mergeCell ref="E1659:H1659"/>
    <mergeCell ref="E1615:F1615"/>
    <mergeCell ref="E1580:F1580"/>
    <mergeCell ref="E1581:F1581"/>
    <mergeCell ref="E1582:F1582"/>
    <mergeCell ref="E1583:F1583"/>
    <mergeCell ref="E1584:F1584"/>
    <mergeCell ref="E1585:F1585"/>
    <mergeCell ref="E1610:F1610"/>
    <mergeCell ref="E1579:F1579"/>
    <mergeCell ref="E1586:H1586"/>
    <mergeCell ref="E1587:H1587"/>
    <mergeCell ref="E1588:H1588"/>
    <mergeCell ref="E1589:H1589"/>
    <mergeCell ref="E1590:H1590"/>
    <mergeCell ref="E1591:H1591"/>
    <mergeCell ref="E1592:H1592"/>
    <mergeCell ref="E1642:F1642"/>
    <mergeCell ref="E1651:F1651"/>
    <mergeCell ref="E1652:F1652"/>
    <mergeCell ref="E1620:H1620"/>
    <mergeCell ref="E1621:H1621"/>
    <mergeCell ref="E1622:H1622"/>
    <mergeCell ref="E1623:H1623"/>
    <mergeCell ref="E1597:F1597"/>
    <mergeCell ref="E1598:F1598"/>
    <mergeCell ref="E1599:F1599"/>
    <mergeCell ref="E1600:F1600"/>
    <mergeCell ref="E1601:F1601"/>
    <mergeCell ref="E1616:H1616"/>
    <mergeCell ref="E1617:H1617"/>
    <mergeCell ref="E1618:H1618"/>
    <mergeCell ref="E1644:F1644"/>
    <mergeCell ref="E1638:F1638"/>
    <mergeCell ref="E1639:F1639"/>
    <mergeCell ref="E1654:F1654"/>
    <mergeCell ref="E1655:F1655"/>
    <mergeCell ref="E1656:F1656"/>
    <mergeCell ref="E1541:F1541"/>
    <mergeCell ref="E1555:H1555"/>
    <mergeCell ref="E1556:H1556"/>
    <mergeCell ref="E1558:H1558"/>
    <mergeCell ref="E1557:H1557"/>
    <mergeCell ref="E1559:H1559"/>
    <mergeCell ref="E1560:H1560"/>
    <mergeCell ref="E1561:H1561"/>
    <mergeCell ref="E1563:F1563"/>
    <mergeCell ref="E1564:F1564"/>
    <mergeCell ref="E1565:F1565"/>
    <mergeCell ref="E1566:F1566"/>
    <mergeCell ref="E1567:F1567"/>
    <mergeCell ref="E1568:F1568"/>
    <mergeCell ref="E1569:F1569"/>
    <mergeCell ref="E1570:F1570"/>
    <mergeCell ref="E1571:F1571"/>
    <mergeCell ref="E1572:F1572"/>
    <mergeCell ref="E1573:F1573"/>
    <mergeCell ref="E1574:F1574"/>
    <mergeCell ref="E1575:F1575"/>
    <mergeCell ref="E1576:F1576"/>
    <mergeCell ref="E1542:F1542"/>
    <mergeCell ref="E1543:F1543"/>
    <mergeCell ref="E1544:F1544"/>
    <mergeCell ref="E1545:F1545"/>
    <mergeCell ref="E1546:F1546"/>
    <mergeCell ref="E1551:F1551"/>
    <mergeCell ref="E1552:F1552"/>
    <mergeCell ref="E1553:F1553"/>
    <mergeCell ref="E1554:F1554"/>
    <mergeCell ref="E1562:H1562"/>
    <mergeCell ref="E1626:F1626"/>
    <mergeCell ref="E1612:F1612"/>
    <mergeCell ref="E1613:F1613"/>
    <mergeCell ref="E1614:F1614"/>
    <mergeCell ref="E1446:H1446"/>
    <mergeCell ref="E1447:H1447"/>
    <mergeCell ref="E1448:H1448"/>
    <mergeCell ref="E1449:H1449"/>
    <mergeCell ref="E1490:H1490"/>
    <mergeCell ref="E1491:H1491"/>
    <mergeCell ref="E1492:H1492"/>
    <mergeCell ref="E1496:F1496"/>
    <mergeCell ref="E1498:F1498"/>
    <mergeCell ref="E1499:F1499"/>
    <mergeCell ref="E1505:F1505"/>
    <mergeCell ref="E1506:F1506"/>
    <mergeCell ref="E1523:F1523"/>
    <mergeCell ref="E1507:F1507"/>
    <mergeCell ref="E1508:F1508"/>
    <mergeCell ref="E1509:F1509"/>
    <mergeCell ref="E1525:H1525"/>
    <mergeCell ref="E1526:H1526"/>
    <mergeCell ref="E1527:H1527"/>
    <mergeCell ref="E1528:H1528"/>
    <mergeCell ref="E1529:H1529"/>
    <mergeCell ref="E1530:H1530"/>
    <mergeCell ref="E1517:H1517"/>
    <mergeCell ref="E1518:H1518"/>
    <mergeCell ref="E1519:H1519"/>
    <mergeCell ref="E1521:H1521"/>
    <mergeCell ref="E1522:H1522"/>
    <mergeCell ref="E1531:H1531"/>
    <mergeCell ref="E1536:F1536"/>
    <mergeCell ref="E1537:F1537"/>
    <mergeCell ref="E1538:F1538"/>
    <mergeCell ref="E1539:F1539"/>
    <mergeCell ref="E1540:F1540"/>
    <mergeCell ref="E1470:F1470"/>
    <mergeCell ref="E1471:F1471"/>
    <mergeCell ref="E1472:F1472"/>
    <mergeCell ref="E1502:F1502"/>
    <mergeCell ref="E1503:F1503"/>
    <mergeCell ref="E1504:F1504"/>
    <mergeCell ref="E1515:H1515"/>
    <mergeCell ref="E1516:H1516"/>
    <mergeCell ref="E1520:H1520"/>
    <mergeCell ref="E1524:H1524"/>
    <mergeCell ref="E1473:F1473"/>
    <mergeCell ref="E1474:F1474"/>
    <mergeCell ref="E1475:F1475"/>
    <mergeCell ref="E1476:F1476"/>
    <mergeCell ref="E1477:F1477"/>
    <mergeCell ref="E1478:F1478"/>
    <mergeCell ref="E1479:F1479"/>
    <mergeCell ref="E1480:F1480"/>
    <mergeCell ref="E1481:F1481"/>
    <mergeCell ref="E1488:H1488"/>
    <mergeCell ref="E1489:H1489"/>
    <mergeCell ref="E1483:H1483"/>
    <mergeCell ref="E1484:H1484"/>
    <mergeCell ref="E1485:H1485"/>
    <mergeCell ref="E1486:H1486"/>
    <mergeCell ref="E1487:H1487"/>
    <mergeCell ref="E1493:F1493"/>
    <mergeCell ref="E1494:F1494"/>
    <mergeCell ref="E1495:F1495"/>
    <mergeCell ref="E1497:F1497"/>
    <mergeCell ref="E1500:F1500"/>
    <mergeCell ref="E1386:H1386"/>
    <mergeCell ref="E1387:H1387"/>
    <mergeCell ref="E1388:H1388"/>
    <mergeCell ref="E1389:H1389"/>
    <mergeCell ref="E1390:H1390"/>
    <mergeCell ref="E1392:H1392"/>
    <mergeCell ref="E1393:H1393"/>
    <mergeCell ref="E1396:F1396"/>
    <mergeCell ref="E1397:F1397"/>
    <mergeCell ref="E1398:F1398"/>
    <mergeCell ref="E1399:F1399"/>
    <mergeCell ref="E1400:F1400"/>
    <mergeCell ref="E1401:F1401"/>
    <mergeCell ref="E1402:F1402"/>
    <mergeCell ref="E1403:F1403"/>
    <mergeCell ref="E1404:F1404"/>
    <mergeCell ref="E1405:F1405"/>
    <mergeCell ref="E1406:F1406"/>
    <mergeCell ref="E1407:F1407"/>
    <mergeCell ref="E1414:H1414"/>
    <mergeCell ref="E1415:H1415"/>
    <mergeCell ref="E1416:H1416"/>
    <mergeCell ref="E1417:H1417"/>
    <mergeCell ref="E1421:H1421"/>
    <mergeCell ref="E1429:F1429"/>
    <mergeCell ref="E1408:F1408"/>
    <mergeCell ref="E1409:F1409"/>
    <mergeCell ref="E1432:F1432"/>
    <mergeCell ref="E1433:F1433"/>
    <mergeCell ref="E1434:F1434"/>
    <mergeCell ref="E1435:F1435"/>
    <mergeCell ref="E1436:F1436"/>
    <mergeCell ref="E1437:F1437"/>
    <mergeCell ref="E1413:F1413"/>
    <mergeCell ref="E1418:H1418"/>
    <mergeCell ref="E1419:H1419"/>
    <mergeCell ref="E1420:H1420"/>
    <mergeCell ref="E1208:H1208"/>
    <mergeCell ref="E1209:H1209"/>
    <mergeCell ref="E1210:H1210"/>
    <mergeCell ref="E1211:H1211"/>
    <mergeCell ref="E1212:H1212"/>
    <mergeCell ref="E1213:H1213"/>
    <mergeCell ref="E1214:H1214"/>
    <mergeCell ref="E1215:H1215"/>
    <mergeCell ref="E1216:H1216"/>
    <mergeCell ref="E1217:H1217"/>
    <mergeCell ref="E1220:F1220"/>
    <mergeCell ref="E1225:F1225"/>
    <mergeCell ref="E1226:F1226"/>
    <mergeCell ref="E1227:F1227"/>
    <mergeCell ref="E1228:F1228"/>
    <mergeCell ref="E1229:F1229"/>
    <mergeCell ref="E1230:F1230"/>
    <mergeCell ref="E1233:H1233"/>
    <mergeCell ref="E1235:H1235"/>
    <mergeCell ref="E1236:H1236"/>
    <mergeCell ref="E1239:F1239"/>
    <mergeCell ref="E1240:F1240"/>
    <mergeCell ref="E1241:F1241"/>
    <mergeCell ref="E1243:H1243"/>
    <mergeCell ref="E1222:F1222"/>
    <mergeCell ref="E1223:F1223"/>
    <mergeCell ref="E1237:H1237"/>
    <mergeCell ref="E1224:F1224"/>
    <mergeCell ref="E1219:F1219"/>
    <mergeCell ref="E1234:H1234"/>
    <mergeCell ref="E1197:F1197"/>
    <mergeCell ref="E1198:F1198"/>
    <mergeCell ref="E1199:F1199"/>
    <mergeCell ref="E1238:H1238"/>
    <mergeCell ref="E1242:H1242"/>
    <mergeCell ref="E1159:F1159"/>
    <mergeCell ref="E1161:H1161"/>
    <mergeCell ref="E1162:H1162"/>
    <mergeCell ref="E1163:H1163"/>
    <mergeCell ref="E1164:H1164"/>
    <mergeCell ref="E1166:H1166"/>
    <mergeCell ref="E1167:H1167"/>
    <mergeCell ref="E1168:H1168"/>
    <mergeCell ref="E1169:H1169"/>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E1185:F1185"/>
    <mergeCell ref="E1194:H1194"/>
    <mergeCell ref="E1200:F1200"/>
    <mergeCell ref="E1201:F1201"/>
    <mergeCell ref="E1202:F1202"/>
    <mergeCell ref="E1203:F1203"/>
    <mergeCell ref="E1204:F1204"/>
    <mergeCell ref="E1205:F1205"/>
    <mergeCell ref="E1206:F1206"/>
    <mergeCell ref="E1207:F1207"/>
    <mergeCell ref="E1165:H1165"/>
    <mergeCell ref="E1170:H1170"/>
    <mergeCell ref="E1195:H1195"/>
    <mergeCell ref="E1121:H1121"/>
    <mergeCell ref="E1122:H1122"/>
    <mergeCell ref="E1123:H1123"/>
    <mergeCell ref="E1125:F1125"/>
    <mergeCell ref="E1126:F1126"/>
    <mergeCell ref="E1127:F1127"/>
    <mergeCell ref="E1128:F1128"/>
    <mergeCell ref="E1129:F1129"/>
    <mergeCell ref="E1130:F1130"/>
    <mergeCell ref="E1131:F1131"/>
    <mergeCell ref="E1132:F1132"/>
    <mergeCell ref="E1133:F1133"/>
    <mergeCell ref="E1137:F1137"/>
    <mergeCell ref="E1138:H1138"/>
    <mergeCell ref="E1139:H1139"/>
    <mergeCell ref="E1140:H1140"/>
    <mergeCell ref="E1141:H1141"/>
    <mergeCell ref="E1142:H1142"/>
    <mergeCell ref="E1144:H1144"/>
    <mergeCell ref="E1134:F1134"/>
    <mergeCell ref="E1104:H1104"/>
    <mergeCell ref="E1105:H1105"/>
    <mergeCell ref="E1135:F1135"/>
    <mergeCell ref="E1136:F1136"/>
    <mergeCell ref="E1145:H1145"/>
    <mergeCell ref="E1148:F1148"/>
    <mergeCell ref="E1149:F1149"/>
    <mergeCell ref="E1150:F1150"/>
    <mergeCell ref="E1151:F1151"/>
    <mergeCell ref="E1152:F1152"/>
    <mergeCell ref="E1153:F1153"/>
    <mergeCell ref="E1154:F1154"/>
    <mergeCell ref="E1155:F1155"/>
    <mergeCell ref="E1100:F1100"/>
    <mergeCell ref="E1101:F1101"/>
    <mergeCell ref="E1061:F1061"/>
    <mergeCell ref="E1073:H1073"/>
    <mergeCell ref="E1094:F1094"/>
    <mergeCell ref="E1095:F1095"/>
    <mergeCell ref="E1058:F1058"/>
    <mergeCell ref="E1102:F1102"/>
    <mergeCell ref="E1097:F1097"/>
    <mergeCell ref="E1080:F1080"/>
    <mergeCell ref="E1081:F1081"/>
    <mergeCell ref="E1082:F1082"/>
    <mergeCell ref="E1083:F1083"/>
    <mergeCell ref="E1084:F1084"/>
    <mergeCell ref="E1092:F1092"/>
    <mergeCell ref="E1103:F1103"/>
    <mergeCell ref="E1106:F1106"/>
    <mergeCell ref="E1107:F1107"/>
    <mergeCell ref="E1110:H1110"/>
    <mergeCell ref="E1111:H1111"/>
    <mergeCell ref="E1112:H1112"/>
    <mergeCell ref="E1113:H1113"/>
    <mergeCell ref="E1114:H1114"/>
    <mergeCell ref="E1115:H1115"/>
    <mergeCell ref="E1116:H1116"/>
    <mergeCell ref="E1117:H1117"/>
    <mergeCell ref="E1118:H1118"/>
    <mergeCell ref="E1120:H1120"/>
    <mergeCell ref="E1108:F1108"/>
    <mergeCell ref="E1109:F1109"/>
    <mergeCell ref="E1119:H1119"/>
    <mergeCell ref="E1087:H1087"/>
    <mergeCell ref="E1088:H1088"/>
    <mergeCell ref="E1089:H1089"/>
    <mergeCell ref="E1090:H1090"/>
    <mergeCell ref="E1086:H1086"/>
    <mergeCell ref="E1066:H1066"/>
    <mergeCell ref="E1067:H1067"/>
    <mergeCell ref="E1069:F1069"/>
    <mergeCell ref="E1070:F1070"/>
    <mergeCell ref="E1071:F1071"/>
    <mergeCell ref="E1072:F1072"/>
    <mergeCell ref="E1074:F1074"/>
    <mergeCell ref="E1075:F1075"/>
    <mergeCell ref="E1076:F1076"/>
    <mergeCell ref="E1077:F1077"/>
    <mergeCell ref="E1078:F1078"/>
    <mergeCell ref="E1079:H1079"/>
    <mergeCell ref="E1085:H1085"/>
    <mergeCell ref="E1064:H1064"/>
    <mergeCell ref="E1068:F1068"/>
    <mergeCell ref="E1002:H1002"/>
    <mergeCell ref="E1003:H1003"/>
    <mergeCell ref="E1004:H1004"/>
    <mergeCell ref="E1005:H1005"/>
    <mergeCell ref="E1006:H1006"/>
    <mergeCell ref="E1007:H1007"/>
    <mergeCell ref="E1008:H1008"/>
    <mergeCell ref="E1009:H1009"/>
    <mergeCell ref="E1015:F1015"/>
    <mergeCell ref="E1016:F1016"/>
    <mergeCell ref="E1017:F1017"/>
    <mergeCell ref="E1018:F1018"/>
    <mergeCell ref="E1020:F1020"/>
    <mergeCell ref="E1021:F1021"/>
    <mergeCell ref="E1022:F1022"/>
    <mergeCell ref="E1023:F1023"/>
    <mergeCell ref="E1030:H1030"/>
    <mergeCell ref="E1031:H1031"/>
    <mergeCell ref="E1033:F1033"/>
    <mergeCell ref="E1039:F1039"/>
    <mergeCell ref="E1044:F1044"/>
    <mergeCell ref="E1046:F1046"/>
    <mergeCell ref="E1047:F1047"/>
    <mergeCell ref="E1048:F1048"/>
    <mergeCell ref="E1049:F1049"/>
    <mergeCell ref="E1052:H1052"/>
    <mergeCell ref="E1053:H1053"/>
    <mergeCell ref="E1054:H1054"/>
    <mergeCell ref="E1055:H1055"/>
    <mergeCell ref="E1056:H1056"/>
    <mergeCell ref="E1057:H1057"/>
    <mergeCell ref="E1059:H1059"/>
    <mergeCell ref="E1062:H1062"/>
    <mergeCell ref="E1012:F1012"/>
    <mergeCell ref="E1013:F1013"/>
    <mergeCell ref="E1019:H1019"/>
    <mergeCell ref="E1010:H1010"/>
    <mergeCell ref="E1014:F1014"/>
    <mergeCell ref="E1011:F1011"/>
    <mergeCell ref="E1051:H1051"/>
    <mergeCell ref="E1060:F1060"/>
    <mergeCell ref="E1024:H1024"/>
    <mergeCell ref="E1027:H1027"/>
    <mergeCell ref="E1028:H1028"/>
    <mergeCell ref="E1029:H1029"/>
    <mergeCell ref="E1041:F1041"/>
    <mergeCell ref="E1042:F1042"/>
    <mergeCell ref="E1043:F1043"/>
    <mergeCell ref="E1050:H1050"/>
    <mergeCell ref="E925:H925"/>
    <mergeCell ref="E926:H926"/>
    <mergeCell ref="E927:H927"/>
    <mergeCell ref="E928:H928"/>
    <mergeCell ref="E929:H929"/>
    <mergeCell ref="E930:H930"/>
    <mergeCell ref="E931:H931"/>
    <mergeCell ref="E932:H932"/>
    <mergeCell ref="E933:H933"/>
    <mergeCell ref="E940:F940"/>
    <mergeCell ref="E941:F941"/>
    <mergeCell ref="E942:F942"/>
    <mergeCell ref="E943:F943"/>
    <mergeCell ref="E945:F945"/>
    <mergeCell ref="E946:F946"/>
    <mergeCell ref="E947:F947"/>
    <mergeCell ref="E948:F948"/>
    <mergeCell ref="E949:H949"/>
    <mergeCell ref="E950:H950"/>
    <mergeCell ref="E951:H951"/>
    <mergeCell ref="E959:F959"/>
    <mergeCell ref="E961:F961"/>
    <mergeCell ref="E918:F918"/>
    <mergeCell ref="E920:F920"/>
    <mergeCell ref="E921:F921"/>
    <mergeCell ref="E938:F938"/>
    <mergeCell ref="E939:F939"/>
    <mergeCell ref="E996:H996"/>
    <mergeCell ref="E997:H997"/>
    <mergeCell ref="E998:H998"/>
    <mergeCell ref="E999:H999"/>
    <mergeCell ref="E1000:H1000"/>
    <mergeCell ref="E1001:H1001"/>
    <mergeCell ref="E980:F980"/>
    <mergeCell ref="E988:F988"/>
    <mergeCell ref="E976:H976"/>
    <mergeCell ref="E977:H977"/>
    <mergeCell ref="E978:H978"/>
    <mergeCell ref="E979:H979"/>
    <mergeCell ref="E981:F981"/>
    <mergeCell ref="E986:F986"/>
    <mergeCell ref="E989:H989"/>
    <mergeCell ref="E990:F990"/>
    <mergeCell ref="E991:F991"/>
    <mergeCell ref="E992:F992"/>
    <mergeCell ref="E993:F993"/>
    <mergeCell ref="E995:H995"/>
    <mergeCell ref="E967:H967"/>
    <mergeCell ref="E936:F936"/>
    <mergeCell ref="E937:F937"/>
    <mergeCell ref="E952:H952"/>
    <mergeCell ref="E953:H953"/>
    <mergeCell ref="E954:H954"/>
    <mergeCell ref="E956:H956"/>
    <mergeCell ref="E964:F964"/>
    <mergeCell ref="E965:F965"/>
    <mergeCell ref="E966:F966"/>
    <mergeCell ref="E968:F968"/>
    <mergeCell ref="E969:F969"/>
    <mergeCell ref="E972:H972"/>
    <mergeCell ref="E973:H973"/>
    <mergeCell ref="E974:H974"/>
    <mergeCell ref="E975:H975"/>
    <mergeCell ref="E957:H957"/>
    <mergeCell ref="E901:H901"/>
    <mergeCell ref="E902:H902"/>
    <mergeCell ref="E903:H903"/>
    <mergeCell ref="E904:H904"/>
    <mergeCell ref="E869:F869"/>
    <mergeCell ref="E870:F870"/>
    <mergeCell ref="E859:F859"/>
    <mergeCell ref="E848:H848"/>
    <mergeCell ref="E849:H849"/>
    <mergeCell ref="E860:F860"/>
    <mergeCell ref="E861:F861"/>
    <mergeCell ref="E863:F863"/>
    <mergeCell ref="E864:F864"/>
    <mergeCell ref="E865:F865"/>
    <mergeCell ref="E866:F866"/>
    <mergeCell ref="E890:F890"/>
    <mergeCell ref="E888:F888"/>
    <mergeCell ref="E893:F893"/>
    <mergeCell ref="E871:F871"/>
    <mergeCell ref="E889:F889"/>
    <mergeCell ref="E894:F894"/>
    <mergeCell ref="E895:F895"/>
    <mergeCell ref="E905:H905"/>
    <mergeCell ref="E910:F910"/>
    <mergeCell ref="E911:F911"/>
    <mergeCell ref="E912:F912"/>
    <mergeCell ref="E913:F913"/>
    <mergeCell ref="E914:F914"/>
    <mergeCell ref="E915:F915"/>
    <mergeCell ref="E916:F916"/>
    <mergeCell ref="E917:F917"/>
    <mergeCell ref="E919:H919"/>
    <mergeCell ref="E924:H924"/>
    <mergeCell ref="E906:F906"/>
    <mergeCell ref="E907:F907"/>
    <mergeCell ref="E908:F908"/>
    <mergeCell ref="E909:F909"/>
    <mergeCell ref="E896:H896"/>
    <mergeCell ref="E897:H897"/>
    <mergeCell ref="E898:H898"/>
    <mergeCell ref="E899:H899"/>
    <mergeCell ref="E900:H900"/>
    <mergeCell ref="E858:F858"/>
    <mergeCell ref="E867:H867"/>
    <mergeCell ref="E872:H872"/>
    <mergeCell ref="E873:H873"/>
    <mergeCell ref="E874:H874"/>
    <mergeCell ref="E875:H875"/>
    <mergeCell ref="E876:H876"/>
    <mergeCell ref="E877:H877"/>
    <mergeCell ref="E878:H878"/>
    <mergeCell ref="E879:H879"/>
    <mergeCell ref="E880:F880"/>
    <mergeCell ref="E881:F881"/>
    <mergeCell ref="E882:F882"/>
    <mergeCell ref="E883:F883"/>
    <mergeCell ref="E884:F884"/>
    <mergeCell ref="E885:F885"/>
    <mergeCell ref="E886:F886"/>
    <mergeCell ref="E887:F887"/>
    <mergeCell ref="E891:H891"/>
    <mergeCell ref="E853:H853"/>
    <mergeCell ref="E854:H854"/>
    <mergeCell ref="E855:H855"/>
    <mergeCell ref="E816:F816"/>
    <mergeCell ref="E823:F823"/>
    <mergeCell ref="E838:H838"/>
    <mergeCell ref="E818:H818"/>
    <mergeCell ref="E819:H819"/>
    <mergeCell ref="E820:H820"/>
    <mergeCell ref="E821:H821"/>
    <mergeCell ref="E822:H822"/>
    <mergeCell ref="E829:F829"/>
    <mergeCell ref="E830:F830"/>
    <mergeCell ref="E808:F808"/>
    <mergeCell ref="E834:F834"/>
    <mergeCell ref="E831:F831"/>
    <mergeCell ref="E832:F832"/>
    <mergeCell ref="E833:F833"/>
    <mergeCell ref="E807:F807"/>
    <mergeCell ref="E782:H782"/>
    <mergeCell ref="E783:H783"/>
    <mergeCell ref="E784:H784"/>
    <mergeCell ref="E785:H785"/>
    <mergeCell ref="E786:H786"/>
    <mergeCell ref="E787:H787"/>
    <mergeCell ref="E791:F791"/>
    <mergeCell ref="E801:F801"/>
    <mergeCell ref="E804:F804"/>
    <mergeCell ref="E805:F805"/>
    <mergeCell ref="E806:F806"/>
    <mergeCell ref="E810:F810"/>
    <mergeCell ref="E811:F811"/>
    <mergeCell ref="E824:F824"/>
    <mergeCell ref="E825:F825"/>
    <mergeCell ref="E826:F826"/>
    <mergeCell ref="E827:F827"/>
    <mergeCell ref="E828:F828"/>
    <mergeCell ref="E798:F798"/>
    <mergeCell ref="E799:F799"/>
    <mergeCell ref="E800:F800"/>
    <mergeCell ref="E802:F802"/>
    <mergeCell ref="E803:F803"/>
    <mergeCell ref="E790:F790"/>
    <mergeCell ref="E666:F666"/>
    <mergeCell ref="E667:F667"/>
    <mergeCell ref="E668:F668"/>
    <mergeCell ref="E669:F669"/>
    <mergeCell ref="E670:F670"/>
    <mergeCell ref="E671:F671"/>
    <mergeCell ref="E672:F672"/>
    <mergeCell ref="E742:H742"/>
    <mergeCell ref="E764:F764"/>
    <mergeCell ref="E766:F766"/>
    <mergeCell ref="E767:F767"/>
    <mergeCell ref="E758:F758"/>
    <mergeCell ref="E759:F759"/>
    <mergeCell ref="E760:F760"/>
    <mergeCell ref="E761:F761"/>
    <mergeCell ref="E762:F762"/>
    <mergeCell ref="E763:F763"/>
    <mergeCell ref="E765:F765"/>
    <mergeCell ref="E773:H773"/>
    <mergeCell ref="E774:H774"/>
    <mergeCell ref="E775:H775"/>
    <mergeCell ref="E776:H776"/>
    <mergeCell ref="E780:H780"/>
    <mergeCell ref="E788:F788"/>
    <mergeCell ref="E793:H793"/>
    <mergeCell ref="E794:H794"/>
    <mergeCell ref="E795:H795"/>
    <mergeCell ref="E796:H796"/>
    <mergeCell ref="E813:F813"/>
    <mergeCell ref="E815:F815"/>
    <mergeCell ref="E781:H781"/>
    <mergeCell ref="E778:F778"/>
    <mergeCell ref="E727:F727"/>
    <mergeCell ref="E728:F728"/>
    <mergeCell ref="E729:F729"/>
    <mergeCell ref="E730:F730"/>
    <mergeCell ref="E731:F731"/>
    <mergeCell ref="E732:F732"/>
    <mergeCell ref="E695:F695"/>
    <mergeCell ref="E696:F696"/>
    <mergeCell ref="E697:F697"/>
    <mergeCell ref="E710:H710"/>
    <mergeCell ref="E711:H711"/>
    <mergeCell ref="E412:F412"/>
    <mergeCell ref="E413:F413"/>
    <mergeCell ref="E422:H422"/>
    <mergeCell ref="E423:H423"/>
    <mergeCell ref="E424:H424"/>
    <mergeCell ref="E381:F381"/>
    <mergeCell ref="E487:H487"/>
    <mergeCell ref="E459:F459"/>
    <mergeCell ref="E471:H471"/>
    <mergeCell ref="E472:H472"/>
    <mergeCell ref="E473:H473"/>
    <mergeCell ref="E474:H474"/>
    <mergeCell ref="E479:F479"/>
    <mergeCell ref="E485:H485"/>
    <mergeCell ref="E486:H486"/>
    <mergeCell ref="E407:F407"/>
    <mergeCell ref="E408:F408"/>
    <mergeCell ref="E414:F414"/>
    <mergeCell ref="E415:F415"/>
    <mergeCell ref="E416:F416"/>
    <mergeCell ref="E447:F447"/>
    <mergeCell ref="E448:F448"/>
    <mergeCell ref="E455:H455"/>
    <mergeCell ref="E456:H456"/>
    <mergeCell ref="E496:H496"/>
    <mergeCell ref="E457:F457"/>
    <mergeCell ref="E458:F458"/>
    <mergeCell ref="E470:F470"/>
    <mergeCell ref="E439:F439"/>
    <mergeCell ref="E440:F440"/>
    <mergeCell ref="E441:F441"/>
    <mergeCell ref="E442:F442"/>
    <mergeCell ref="E443:F443"/>
    <mergeCell ref="E444:F444"/>
    <mergeCell ref="E449:H449"/>
    <mergeCell ref="E450:H450"/>
    <mergeCell ref="E451:H451"/>
    <mergeCell ref="E452:H452"/>
    <mergeCell ref="E453:H453"/>
    <mergeCell ref="E454:H454"/>
    <mergeCell ref="E460:F460"/>
    <mergeCell ref="E461:F461"/>
    <mergeCell ref="E462:F462"/>
    <mergeCell ref="E463:F463"/>
    <mergeCell ref="E464:F464"/>
    <mergeCell ref="E465:F465"/>
    <mergeCell ref="E466:F466"/>
    <mergeCell ref="E475:H475"/>
    <mergeCell ref="E476:H476"/>
    <mergeCell ref="E469:F469"/>
    <mergeCell ref="E468:F468"/>
    <mergeCell ref="E467:F467"/>
    <mergeCell ref="E488:F488"/>
    <mergeCell ref="E490:F490"/>
    <mergeCell ref="E481:H481"/>
    <mergeCell ref="E482:H482"/>
    <mergeCell ref="E483:H483"/>
    <mergeCell ref="E484:H484"/>
    <mergeCell ref="E492:F492"/>
    <mergeCell ref="E493:F493"/>
    <mergeCell ref="E494:F494"/>
    <mergeCell ref="E491:F491"/>
    <mergeCell ref="E222:F222"/>
    <mergeCell ref="E223:F223"/>
    <mergeCell ref="E224:F224"/>
    <mergeCell ref="E225:F225"/>
    <mergeCell ref="E231:H231"/>
    <mergeCell ref="E232:H232"/>
    <mergeCell ref="E233:H233"/>
    <mergeCell ref="E234:H234"/>
    <mergeCell ref="E235:H235"/>
    <mergeCell ref="E236:H236"/>
    <mergeCell ref="E237:H237"/>
    <mergeCell ref="E238:H238"/>
    <mergeCell ref="E239:H239"/>
    <mergeCell ref="E241:F241"/>
    <mergeCell ref="E322:F322"/>
    <mergeCell ref="E323:F323"/>
    <mergeCell ref="E324:F324"/>
    <mergeCell ref="E325:F325"/>
    <mergeCell ref="E335:F335"/>
    <mergeCell ref="E258:H258"/>
    <mergeCell ref="E336:F336"/>
    <mergeCell ref="E337:F337"/>
    <mergeCell ref="E334:F334"/>
    <mergeCell ref="E244:F244"/>
    <mergeCell ref="E245:F245"/>
    <mergeCell ref="E246:F246"/>
    <mergeCell ref="E247:F247"/>
    <mergeCell ref="E248:F248"/>
    <mergeCell ref="E243:F243"/>
    <mergeCell ref="E265:F265"/>
    <mergeCell ref="E266:F266"/>
    <mergeCell ref="E242:F242"/>
    <mergeCell ref="E256:H256"/>
    <mergeCell ref="E257:H257"/>
    <mergeCell ref="E269:F269"/>
    <mergeCell ref="E281:F281"/>
    <mergeCell ref="E282:F282"/>
    <mergeCell ref="E291:H291"/>
    <mergeCell ref="E288:H288"/>
    <mergeCell ref="E289:H289"/>
    <mergeCell ref="E290:H290"/>
    <mergeCell ref="E293:F293"/>
    <mergeCell ref="E294:F294"/>
    <mergeCell ref="E295:F295"/>
    <mergeCell ref="E262:H262"/>
    <mergeCell ref="E263:H263"/>
    <mergeCell ref="E267:F267"/>
    <mergeCell ref="E268:F268"/>
    <mergeCell ref="E318:H318"/>
    <mergeCell ref="E319:H319"/>
    <mergeCell ref="E320:H320"/>
    <mergeCell ref="E329:F329"/>
    <mergeCell ref="E310:F310"/>
    <mergeCell ref="E275:F275"/>
    <mergeCell ref="E276:F276"/>
    <mergeCell ref="E277:F277"/>
    <mergeCell ref="E284:H284"/>
    <mergeCell ref="E285:H285"/>
    <mergeCell ref="E286:H286"/>
    <mergeCell ref="E287:H287"/>
    <mergeCell ref="E259:H259"/>
    <mergeCell ref="E260:H260"/>
    <mergeCell ref="E261:H261"/>
    <mergeCell ref="E313:H313"/>
    <mergeCell ref="E191:F191"/>
    <mergeCell ref="E192:F192"/>
    <mergeCell ref="E194:F194"/>
    <mergeCell ref="E178:F178"/>
    <mergeCell ref="E179:F179"/>
    <mergeCell ref="E180:F180"/>
    <mergeCell ref="E181:F181"/>
    <mergeCell ref="E183:F183"/>
    <mergeCell ref="E188:F188"/>
    <mergeCell ref="E189:F189"/>
    <mergeCell ref="E182:F182"/>
    <mergeCell ref="E184:F184"/>
    <mergeCell ref="E185:F185"/>
    <mergeCell ref="E150:H150"/>
    <mergeCell ref="E155:F155"/>
    <mergeCell ref="E161:H161"/>
    <mergeCell ref="E162:H162"/>
    <mergeCell ref="E163:H163"/>
    <mergeCell ref="E195:F195"/>
    <mergeCell ref="E196:F196"/>
    <mergeCell ref="E197:F197"/>
    <mergeCell ref="E198:F198"/>
    <mergeCell ref="E199:F199"/>
    <mergeCell ref="E200:F200"/>
    <mergeCell ref="E204:H204"/>
    <mergeCell ref="E205:H205"/>
    <mergeCell ref="E213:F213"/>
    <mergeCell ref="E214:F214"/>
    <mergeCell ref="E215:F215"/>
    <mergeCell ref="E216:F216"/>
    <mergeCell ref="E217:F217"/>
    <mergeCell ref="E218:F218"/>
    <mergeCell ref="E219:F219"/>
    <mergeCell ref="E201:H201"/>
    <mergeCell ref="E202:H202"/>
    <mergeCell ref="E203:H203"/>
    <mergeCell ref="E206:F206"/>
    <mergeCell ref="E212:F212"/>
    <mergeCell ref="E174:H174"/>
    <mergeCell ref="E175:H175"/>
    <mergeCell ref="E176:H176"/>
    <mergeCell ref="E186:F186"/>
    <mergeCell ref="E190:F190"/>
    <mergeCell ref="E159:F159"/>
    <mergeCell ref="E160:F160"/>
    <mergeCell ref="E172:F172"/>
    <mergeCell ref="E208:F208"/>
    <mergeCell ref="E211:F211"/>
    <mergeCell ref="E209:F209"/>
    <mergeCell ref="E210:F210"/>
    <mergeCell ref="E131:H131"/>
    <mergeCell ref="E139:F139"/>
    <mergeCell ref="E141:F141"/>
    <mergeCell ref="E142:F142"/>
    <mergeCell ref="E144:H144"/>
    <mergeCell ref="E145:H145"/>
    <mergeCell ref="E146:H146"/>
    <mergeCell ref="E151:F151"/>
    <mergeCell ref="E152:F152"/>
    <mergeCell ref="E153:F153"/>
    <mergeCell ref="E154:F154"/>
    <mergeCell ref="E156:F156"/>
    <mergeCell ref="E157:F157"/>
    <mergeCell ref="E158:F158"/>
    <mergeCell ref="E167:H167"/>
    <mergeCell ref="E168:H168"/>
    <mergeCell ref="E121:F121"/>
    <mergeCell ref="E122:F122"/>
    <mergeCell ref="E123:F123"/>
    <mergeCell ref="E136:F136"/>
    <mergeCell ref="E137:F137"/>
    <mergeCell ref="E138:F138"/>
    <mergeCell ref="E140:F140"/>
    <mergeCell ref="E143:H143"/>
    <mergeCell ref="E147:H147"/>
    <mergeCell ref="E148:H148"/>
    <mergeCell ref="E149:H149"/>
    <mergeCell ref="E164:H164"/>
    <mergeCell ref="E165:H165"/>
    <mergeCell ref="E166:H166"/>
    <mergeCell ref="E169:F169"/>
    <mergeCell ref="E171:F171"/>
    <mergeCell ref="E14004:H14004"/>
    <mergeCell ref="E13824:F13824"/>
    <mergeCell ref="E13861:H13861"/>
    <mergeCell ref="E13862:H13862"/>
    <mergeCell ref="E13831:F13831"/>
    <mergeCell ref="E13833:F13833"/>
    <mergeCell ref="E13834:F13834"/>
    <mergeCell ref="E13846:H13846"/>
    <mergeCell ref="E13816:F13816"/>
    <mergeCell ref="E13817:F13817"/>
    <mergeCell ref="E13826:H13826"/>
    <mergeCell ref="E13827:H13827"/>
    <mergeCell ref="E13828:H13828"/>
    <mergeCell ref="E13829:H13829"/>
    <mergeCell ref="E13830:H13830"/>
    <mergeCell ref="E13832:F13832"/>
    <mergeCell ref="E13835:F13835"/>
    <mergeCell ref="E13836:F13836"/>
    <mergeCell ref="E13837:F13837"/>
    <mergeCell ref="E13838:F13838"/>
    <mergeCell ref="E13839:F13839"/>
    <mergeCell ref="E13840:F13840"/>
    <mergeCell ref="E13841:F13841"/>
    <mergeCell ref="E13842:F13842"/>
    <mergeCell ref="E13843:F13843"/>
    <mergeCell ref="E13844:F13844"/>
    <mergeCell ref="E13847:F13847"/>
    <mergeCell ref="E13848:F13848"/>
    <mergeCell ref="E13312:F13312"/>
    <mergeCell ref="E13313:F13313"/>
    <mergeCell ref="E13314:F13314"/>
    <mergeCell ref="E13315:F13315"/>
    <mergeCell ref="E14005:H14005"/>
    <mergeCell ref="E14006:H14006"/>
    <mergeCell ref="E13883:H13883"/>
    <mergeCell ref="E13884:H13884"/>
    <mergeCell ref="E13885:H13885"/>
    <mergeCell ref="E13886:H13886"/>
    <mergeCell ref="E13887:H13887"/>
    <mergeCell ref="E13889:H13889"/>
    <mergeCell ref="E13890:H13890"/>
    <mergeCell ref="E13888:H13888"/>
    <mergeCell ref="E13974:H13974"/>
    <mergeCell ref="E13975:H13975"/>
    <mergeCell ref="E13976:H13976"/>
    <mergeCell ref="E13980:H13980"/>
    <mergeCell ref="E13981:H13981"/>
    <mergeCell ref="E26:H26"/>
    <mergeCell ref="E27:H27"/>
    <mergeCell ref="E34:F34"/>
    <mergeCell ref="E35:F35"/>
    <mergeCell ref="E46:H46"/>
    <mergeCell ref="E47:H47"/>
    <mergeCell ref="E48:H48"/>
    <mergeCell ref="E56:F56"/>
    <mergeCell ref="E57:F57"/>
    <mergeCell ref="E58:F58"/>
    <mergeCell ref="E67:H67"/>
    <mergeCell ref="E68:H68"/>
    <mergeCell ref="E69:H69"/>
    <mergeCell ref="E70:H70"/>
    <mergeCell ref="E77:F77"/>
    <mergeCell ref="E78:F78"/>
    <mergeCell ref="E88:H88"/>
    <mergeCell ref="E89:H89"/>
    <mergeCell ref="E90:H90"/>
    <mergeCell ref="E96:F96"/>
    <mergeCell ref="E97:F97"/>
    <mergeCell ref="E98:F98"/>
    <mergeCell ref="E106:H106"/>
    <mergeCell ref="E107:H107"/>
    <mergeCell ref="E108:H108"/>
    <mergeCell ref="E109:H109"/>
    <mergeCell ref="E110:H110"/>
    <mergeCell ref="E114:F114"/>
    <mergeCell ref="E115:F115"/>
    <mergeCell ref="E116:F116"/>
    <mergeCell ref="E117:F117"/>
    <mergeCell ref="E118:F118"/>
    <mergeCell ref="E124:H124"/>
    <mergeCell ref="E28:H28"/>
    <mergeCell ref="E29:H29"/>
    <mergeCell ref="E36:F36"/>
    <mergeCell ref="E37:F37"/>
    <mergeCell ref="E49:H49"/>
    <mergeCell ref="E50:H50"/>
    <mergeCell ref="E51:H51"/>
    <mergeCell ref="E52:H52"/>
    <mergeCell ref="E59:F59"/>
    <mergeCell ref="E60:F60"/>
    <mergeCell ref="E61:F61"/>
    <mergeCell ref="E62:F62"/>
    <mergeCell ref="E71:H71"/>
    <mergeCell ref="E72:H72"/>
    <mergeCell ref="E73:H73"/>
    <mergeCell ref="E13823:F13823"/>
    <mergeCell ref="E12960:F12960"/>
    <mergeCell ref="E12961:F12961"/>
    <mergeCell ref="E12964:F12964"/>
    <mergeCell ref="E12965:F12965"/>
    <mergeCell ref="E12970:F12970"/>
    <mergeCell ref="E12971:F12971"/>
    <mergeCell ref="E12972:H12972"/>
    <mergeCell ref="E12980:F12980"/>
    <mergeCell ref="E12981:F12981"/>
    <mergeCell ref="E12982:F12982"/>
    <mergeCell ref="E12983:F12983"/>
    <mergeCell ref="E12984:F12984"/>
    <mergeCell ref="E13053:F13053"/>
    <mergeCell ref="E13060:H13060"/>
    <mergeCell ref="E13061:H13061"/>
    <mergeCell ref="E13062:H13062"/>
    <mergeCell ref="E13063:H13063"/>
    <mergeCell ref="E13064:H13064"/>
    <mergeCell ref="E13065:H13065"/>
    <mergeCell ref="E13076:F13076"/>
    <mergeCell ref="E13079:F13079"/>
    <mergeCell ref="E13081:F13081"/>
    <mergeCell ref="E13082:F13082"/>
    <mergeCell ref="E13077:F13077"/>
    <mergeCell ref="E13091:F13091"/>
    <mergeCell ref="E13075:F13075"/>
    <mergeCell ref="E13054:H13054"/>
    <mergeCell ref="E13059:H13059"/>
    <mergeCell ref="E13067:F13067"/>
    <mergeCell ref="E13068:F13068"/>
    <mergeCell ref="E13069:F13069"/>
    <mergeCell ref="E13070:F13070"/>
    <mergeCell ref="E13071:F13071"/>
    <mergeCell ref="E13073:F13073"/>
    <mergeCell ref="E13074:F13074"/>
    <mergeCell ref="E13051:F13051"/>
    <mergeCell ref="E13052:F13052"/>
    <mergeCell ref="E12997:F12997"/>
    <mergeCell ref="E13649:H13649"/>
    <mergeCell ref="E13168:F13168"/>
    <mergeCell ref="E13171:H13171"/>
    <mergeCell ref="E13172:H13172"/>
    <mergeCell ref="E13179:F13179"/>
    <mergeCell ref="E13180:F13180"/>
    <mergeCell ref="E13186:F13186"/>
    <mergeCell ref="E13189:F13189"/>
    <mergeCell ref="E13209:F13209"/>
    <mergeCell ref="E13210:F13210"/>
    <mergeCell ref="E13211:F13211"/>
    <mergeCell ref="E13212:F13212"/>
    <mergeCell ref="E13213:F13213"/>
    <mergeCell ref="E13140:F13140"/>
    <mergeCell ref="E13142:F13142"/>
    <mergeCell ref="E13143:F13143"/>
    <mergeCell ref="E13183:F13183"/>
    <mergeCell ref="E13155:F13155"/>
    <mergeCell ref="E13156:F13156"/>
    <mergeCell ref="E13169:F13169"/>
    <mergeCell ref="E13170:F13170"/>
    <mergeCell ref="E13182:F13182"/>
    <mergeCell ref="E13165:F13165"/>
    <mergeCell ref="E13175:H13175"/>
    <mergeCell ref="E13176:H13176"/>
    <mergeCell ref="E13177:H13177"/>
    <mergeCell ref="E13178:H13178"/>
    <mergeCell ref="E13184:F13184"/>
    <mergeCell ref="E13185:F13185"/>
    <mergeCell ref="E13187:F13187"/>
    <mergeCell ref="E13188:F13188"/>
    <mergeCell ref="E13260:F13260"/>
    <mergeCell ref="E13650:H13650"/>
    <mergeCell ref="E13141:F13141"/>
    <mergeCell ref="E13144:F13144"/>
    <mergeCell ref="E13145:F13145"/>
    <mergeCell ref="E13146:F13146"/>
    <mergeCell ref="E13147:F13147"/>
    <mergeCell ref="E13148:F13148"/>
    <mergeCell ref="E13152:H13152"/>
    <mergeCell ref="E13157:H13157"/>
    <mergeCell ref="E13158:H13158"/>
    <mergeCell ref="E13159:H13159"/>
    <mergeCell ref="E13160:H13160"/>
    <mergeCell ref="E13161:H13161"/>
    <mergeCell ref="E13163:H13163"/>
    <mergeCell ref="E13164:H13164"/>
    <mergeCell ref="E13166:H13166"/>
    <mergeCell ref="E13167:H13167"/>
    <mergeCell ref="E13284:F13284"/>
    <mergeCell ref="E13285:F13285"/>
    <mergeCell ref="E13286:F13286"/>
    <mergeCell ref="E13287:F13287"/>
    <mergeCell ref="E13295:H13295"/>
    <mergeCell ref="E13296:H13296"/>
    <mergeCell ref="E13327:H13327"/>
    <mergeCell ref="E13328:H13328"/>
    <mergeCell ref="E13329:F13329"/>
    <mergeCell ref="E13330:F13330"/>
    <mergeCell ref="E13331:F13331"/>
    <mergeCell ref="E13332:F13332"/>
    <mergeCell ref="E13338:F13338"/>
    <mergeCell ref="E13343:H13343"/>
    <mergeCell ref="E13344:H13344"/>
    <mergeCell ref="E13115:F13115"/>
    <mergeCell ref="E13130:F13130"/>
    <mergeCell ref="E13131:F13131"/>
    <mergeCell ref="E13116:F13116"/>
    <mergeCell ref="E13117:F13117"/>
    <mergeCell ref="E13133:H13133"/>
    <mergeCell ref="E13134:H13134"/>
    <mergeCell ref="E13045:F13045"/>
    <mergeCell ref="E13046:F13046"/>
    <mergeCell ref="E13047:F13047"/>
    <mergeCell ref="E13048:F13048"/>
    <mergeCell ref="E13050:F13050"/>
    <mergeCell ref="E13349:H13349"/>
    <mergeCell ref="E13350:H13350"/>
    <mergeCell ref="E13353:F13353"/>
    <mergeCell ref="E13354:F13354"/>
    <mergeCell ref="E13355:F13355"/>
    <mergeCell ref="E13361:F13361"/>
    <mergeCell ref="E13364:F13364"/>
    <mergeCell ref="E13365:F13365"/>
    <mergeCell ref="E13366:F13366"/>
    <mergeCell ref="E13633:H13633"/>
    <mergeCell ref="E13634:H13634"/>
    <mergeCell ref="E13636:F13636"/>
    <mergeCell ref="E13637:F13637"/>
    <mergeCell ref="E13638:F13638"/>
    <mergeCell ref="E13643:H13643"/>
    <mergeCell ref="E13644:H13644"/>
    <mergeCell ref="E13645:H13645"/>
    <mergeCell ref="E13646:H13646"/>
    <mergeCell ref="E13647:H13647"/>
    <mergeCell ref="E13648:H13648"/>
    <mergeCell ref="E13125:F13125"/>
    <mergeCell ref="E13126:F13126"/>
    <mergeCell ref="E13132:H13132"/>
    <mergeCell ref="E13127:H13127"/>
    <mergeCell ref="E13128:F13128"/>
    <mergeCell ref="E13135:F13135"/>
    <mergeCell ref="E13136:F13136"/>
    <mergeCell ref="E13137:F13137"/>
    <mergeCell ref="E13138:F13138"/>
    <mergeCell ref="E13139:F13139"/>
    <mergeCell ref="E13345:H13345"/>
    <mergeCell ref="E13346:H13346"/>
    <mergeCell ref="E13347:H13347"/>
    <mergeCell ref="E13348:H13348"/>
    <mergeCell ref="E13319:F13319"/>
    <mergeCell ref="E13320:F13320"/>
    <mergeCell ref="E13324:H13324"/>
    <mergeCell ref="E13325:H13325"/>
    <mergeCell ref="E13326:H13326"/>
    <mergeCell ref="E13288:F13288"/>
    <mergeCell ref="E13289:F13289"/>
    <mergeCell ref="E13290:F13290"/>
    <mergeCell ref="E13291:F13291"/>
    <mergeCell ref="E13292:F13292"/>
    <mergeCell ref="E13293:F13293"/>
    <mergeCell ref="E13282:F13282"/>
    <mergeCell ref="E13283:F13283"/>
    <mergeCell ref="E13342:F13342"/>
    <mergeCell ref="E13333:F13333"/>
    <mergeCell ref="E13297:H13297"/>
    <mergeCell ref="E13298:H13298"/>
    <mergeCell ref="E13299:H13299"/>
    <mergeCell ref="E13618:F13618"/>
    <mergeCell ref="E13625:F13625"/>
    <mergeCell ref="E13635:H13635"/>
    <mergeCell ref="E13641:F13641"/>
    <mergeCell ref="E13642:F13642"/>
    <mergeCell ref="E13525:F13525"/>
    <mergeCell ref="E13526:F13526"/>
    <mergeCell ref="E13527:F13527"/>
    <mergeCell ref="E13532:H13532"/>
    <mergeCell ref="E13537:H13537"/>
    <mergeCell ref="E13538:H13538"/>
    <mergeCell ref="E13539:H13539"/>
    <mergeCell ref="E13540:H13540"/>
    <mergeCell ref="E13545:F13545"/>
    <mergeCell ref="E13466:F13466"/>
    <mergeCell ref="E13467:F13467"/>
    <mergeCell ref="E13490:F13490"/>
    <mergeCell ref="E13579:F13579"/>
    <mergeCell ref="E13149:F13149"/>
    <mergeCell ref="E13150:F13150"/>
    <mergeCell ref="E13151:F13151"/>
    <mergeCell ref="E13153:F13153"/>
    <mergeCell ref="E13154:F13154"/>
    <mergeCell ref="E13162:H13162"/>
    <mergeCell ref="E13173:F13173"/>
    <mergeCell ref="E13174:F13174"/>
    <mergeCell ref="E13181:F13181"/>
    <mergeCell ref="E13204:H13204"/>
    <mergeCell ref="E13205:H13205"/>
    <mergeCell ref="E13206:H13206"/>
    <mergeCell ref="E13207:H13207"/>
    <mergeCell ref="E13208:H13208"/>
    <mergeCell ref="E13222:F13222"/>
    <mergeCell ref="E13223:F13223"/>
    <mergeCell ref="E13224:F13224"/>
    <mergeCell ref="E13215:H13215"/>
    <mergeCell ref="E13221:H13221"/>
    <mergeCell ref="E13404:H13404"/>
    <mergeCell ref="E13270:F13270"/>
    <mergeCell ref="E13271:F13271"/>
    <mergeCell ref="E13272:F13272"/>
    <mergeCell ref="E13278:H13278"/>
    <mergeCell ref="E13279:H13279"/>
    <mergeCell ref="E13334:F13334"/>
    <mergeCell ref="E13335:F13335"/>
    <mergeCell ref="E13336:F13336"/>
    <mergeCell ref="E13306:H13306"/>
    <mergeCell ref="E13307:H13307"/>
    <mergeCell ref="E13316:F13316"/>
    <mergeCell ref="E13317:F13317"/>
    <mergeCell ref="E13318:F13318"/>
    <mergeCell ref="E13261:F13261"/>
    <mergeCell ref="E13262:F13262"/>
    <mergeCell ref="E13263:F13263"/>
    <mergeCell ref="E13264:F13264"/>
    <mergeCell ref="E13265:F13265"/>
    <mergeCell ref="E13266:F13266"/>
    <mergeCell ref="E13267:F13267"/>
    <mergeCell ref="E13268:F13268"/>
    <mergeCell ref="E13274:H13274"/>
    <mergeCell ref="E13275:H13275"/>
    <mergeCell ref="E13276:H13276"/>
    <mergeCell ref="E13277:H13277"/>
    <mergeCell ref="E13269:F13269"/>
    <mergeCell ref="E12914:H12914"/>
    <mergeCell ref="E12541:H12541"/>
    <mergeCell ref="E12542:H12542"/>
    <mergeCell ref="E12543:H12543"/>
    <mergeCell ref="E12544:H12544"/>
    <mergeCell ref="E12549:F12549"/>
    <mergeCell ref="E12550:F12550"/>
    <mergeCell ref="E12551:F12551"/>
    <mergeCell ref="E12552:F12552"/>
    <mergeCell ref="E12911:H12911"/>
    <mergeCell ref="E12912:H12912"/>
    <mergeCell ref="E12913:H12913"/>
    <mergeCell ref="E13104:F13104"/>
    <mergeCell ref="E13105:F13105"/>
    <mergeCell ref="E13100:F13100"/>
    <mergeCell ref="E12946:H12946"/>
    <mergeCell ref="E12949:F12949"/>
    <mergeCell ref="E12950:F12950"/>
    <mergeCell ref="E12951:F12951"/>
    <mergeCell ref="E12967:H12967"/>
    <mergeCell ref="E12968:F12968"/>
    <mergeCell ref="E12969:F12969"/>
    <mergeCell ref="E12985:F12985"/>
    <mergeCell ref="E12986:F12986"/>
    <mergeCell ref="E12987:F12987"/>
    <mergeCell ref="E12998:F12998"/>
    <mergeCell ref="E12999:H12999"/>
    <mergeCell ref="E13003:F13003"/>
    <mergeCell ref="E13011:H13011"/>
    <mergeCell ref="E13012:H13012"/>
    <mergeCell ref="E13013:H13013"/>
    <mergeCell ref="E13025:F13025"/>
    <mergeCell ref="E13027:H13027"/>
    <mergeCell ref="E13030:F13030"/>
    <mergeCell ref="E13031:F13031"/>
    <mergeCell ref="E13035:F13035"/>
    <mergeCell ref="E13036:F13036"/>
    <mergeCell ref="E13037:F13037"/>
    <mergeCell ref="E13038:F13038"/>
    <mergeCell ref="E13043:F13043"/>
    <mergeCell ref="E13049:H13049"/>
    <mergeCell ref="E13055:H13055"/>
    <mergeCell ref="E13056:H13056"/>
    <mergeCell ref="E13057:H13057"/>
    <mergeCell ref="E13058:H13058"/>
    <mergeCell ref="E12988:F12988"/>
    <mergeCell ref="E12989:F12989"/>
    <mergeCell ref="E12990:F12990"/>
    <mergeCell ref="E12991:F12991"/>
    <mergeCell ref="E12992:F12992"/>
    <mergeCell ref="E12993:F12993"/>
    <mergeCell ref="E12994:F12994"/>
    <mergeCell ref="E12995:F12995"/>
    <mergeCell ref="E12996:F12996"/>
    <mergeCell ref="E12958:F12958"/>
    <mergeCell ref="E12959:F12959"/>
    <mergeCell ref="E12962:F12962"/>
    <mergeCell ref="E12963:F12963"/>
    <mergeCell ref="E12966:F12966"/>
    <mergeCell ref="E12973:H12973"/>
    <mergeCell ref="E12974:H12974"/>
    <mergeCell ref="E12975:H12975"/>
    <mergeCell ref="E12976:H12976"/>
    <mergeCell ref="E12947:H12947"/>
    <mergeCell ref="E12952:F12952"/>
    <mergeCell ref="E12953:F12953"/>
    <mergeCell ref="E12954:F12954"/>
    <mergeCell ref="E12955:F12955"/>
    <mergeCell ref="E12956:F12956"/>
    <mergeCell ref="E12957:F12957"/>
    <mergeCell ref="E12977:H12977"/>
    <mergeCell ref="E12978:H12978"/>
    <mergeCell ref="E12979:H12979"/>
    <mergeCell ref="E12923:F12923"/>
    <mergeCell ref="E12761:F12761"/>
    <mergeCell ref="E12762:F12762"/>
    <mergeCell ref="E12764:F12764"/>
    <mergeCell ref="E12788:F12788"/>
    <mergeCell ref="E12789:F12789"/>
    <mergeCell ref="E12790:F12790"/>
    <mergeCell ref="E12795:F12795"/>
    <mergeCell ref="E12796:F12796"/>
    <mergeCell ref="E12797:F12797"/>
    <mergeCell ref="E12798:F12798"/>
    <mergeCell ref="E12799:F12799"/>
    <mergeCell ref="E12820:F12820"/>
    <mergeCell ref="E12821:F12821"/>
    <mergeCell ref="E12814:F12814"/>
    <mergeCell ref="E12815:F12815"/>
    <mergeCell ref="E12774:F12774"/>
    <mergeCell ref="E12771:F12771"/>
    <mergeCell ref="E12772:F12772"/>
    <mergeCell ref="E12775:F12775"/>
    <mergeCell ref="E12773:F12773"/>
    <mergeCell ref="E12765:F12765"/>
    <mergeCell ref="E12766:F12766"/>
    <mergeCell ref="E12767:F12767"/>
    <mergeCell ref="E12810:F12810"/>
    <mergeCell ref="E12800:F12800"/>
    <mergeCell ref="E12865:F12865"/>
    <mergeCell ref="E12832:F12832"/>
    <mergeCell ref="E12905:F12905"/>
    <mergeCell ref="E12833:F12833"/>
    <mergeCell ref="E12834:F12834"/>
    <mergeCell ref="E12879:F12879"/>
    <mergeCell ref="E12880:F12880"/>
    <mergeCell ref="E12881:F12881"/>
    <mergeCell ref="E12882:F12882"/>
    <mergeCell ref="E12883:F12883"/>
    <mergeCell ref="E12884:F12884"/>
    <mergeCell ref="E12885:F12885"/>
    <mergeCell ref="E12886:F12886"/>
    <mergeCell ref="E12888:F12888"/>
    <mergeCell ref="E12889:F12889"/>
    <mergeCell ref="E12890:F12890"/>
    <mergeCell ref="E12891:F12891"/>
    <mergeCell ref="E12892:F12892"/>
    <mergeCell ref="E12893:F12893"/>
    <mergeCell ref="E12894:F12894"/>
    <mergeCell ref="E12895:F12895"/>
    <mergeCell ref="E12897:F12897"/>
    <mergeCell ref="E12898:F12898"/>
    <mergeCell ref="E12899:F12899"/>
    <mergeCell ref="E12901:F12901"/>
    <mergeCell ref="E12902:F12902"/>
    <mergeCell ref="E12903:F12903"/>
    <mergeCell ref="E12906:F12906"/>
    <mergeCell ref="E12908:F12908"/>
    <mergeCell ref="E12554:F12554"/>
    <mergeCell ref="E12555:F12555"/>
    <mergeCell ref="E12556:F12556"/>
    <mergeCell ref="E12478:H12478"/>
    <mergeCell ref="E12479:H12479"/>
    <mergeCell ref="E12492:F12492"/>
    <mergeCell ref="E12493:F12493"/>
    <mergeCell ref="E12494:F12494"/>
    <mergeCell ref="E12502:H12502"/>
    <mergeCell ref="E12503:H12503"/>
    <mergeCell ref="E12504:H12504"/>
    <mergeCell ref="E12505:H12505"/>
    <mergeCell ref="E12515:F12515"/>
    <mergeCell ref="E12516:F12516"/>
    <mergeCell ref="E12517:F12517"/>
    <mergeCell ref="E12477:H12477"/>
    <mergeCell ref="E12501:H12501"/>
    <mergeCell ref="E12514:F12514"/>
    <mergeCell ref="E12509:F12509"/>
    <mergeCell ref="E12510:F12510"/>
    <mergeCell ref="E12476:H12476"/>
    <mergeCell ref="E12511:F12511"/>
    <mergeCell ref="E12512:F12512"/>
    <mergeCell ref="E12513:F12513"/>
    <mergeCell ref="E12486:F12486"/>
    <mergeCell ref="E12487:F12487"/>
    <mergeCell ref="E12488:F12488"/>
    <mergeCell ref="E12489:F12489"/>
    <mergeCell ref="E12490:F12490"/>
    <mergeCell ref="E12491:F12491"/>
    <mergeCell ref="E12495:H12495"/>
    <mergeCell ref="E12496:H12496"/>
    <mergeCell ref="E12497:H12497"/>
    <mergeCell ref="E12498:H12498"/>
    <mergeCell ref="E12499:H12499"/>
    <mergeCell ref="E12500:H12500"/>
    <mergeCell ref="E12506:F12506"/>
    <mergeCell ref="E12507:F12507"/>
    <mergeCell ref="E12508:F12508"/>
    <mergeCell ref="E12518:H12518"/>
    <mergeCell ref="E12523:H12523"/>
    <mergeCell ref="E12524:H12524"/>
    <mergeCell ref="E12525:H12525"/>
    <mergeCell ref="E12526:H12526"/>
    <mergeCell ref="E12536:F12536"/>
    <mergeCell ref="E12537:F12537"/>
    <mergeCell ref="E12538:F12538"/>
    <mergeCell ref="E12539:F12539"/>
    <mergeCell ref="E12540:F12540"/>
    <mergeCell ref="E12545:H12545"/>
    <mergeCell ref="E12546:H12546"/>
    <mergeCell ref="E12547:H12547"/>
    <mergeCell ref="E12548:H12548"/>
    <mergeCell ref="E12535:F12535"/>
    <mergeCell ref="E12532:F12532"/>
    <mergeCell ref="E12531:F12531"/>
    <mergeCell ref="E11651:H11651"/>
    <mergeCell ref="E11657:F11657"/>
    <mergeCell ref="E11976:H11976"/>
    <mergeCell ref="E11978:F11978"/>
    <mergeCell ref="E11974:F11974"/>
    <mergeCell ref="E11975:F11975"/>
    <mergeCell ref="E12046:F12046"/>
    <mergeCell ref="E12065:F12065"/>
    <mergeCell ref="E12020:F12020"/>
    <mergeCell ref="E12263:F12263"/>
    <mergeCell ref="E11755:F11755"/>
    <mergeCell ref="E11756:F11756"/>
    <mergeCell ref="E11761:F11761"/>
    <mergeCell ref="E11762:F11762"/>
    <mergeCell ref="E11763:F11763"/>
    <mergeCell ref="E11769:F11769"/>
    <mergeCell ref="E11770:F11770"/>
    <mergeCell ref="E11771:F11771"/>
    <mergeCell ref="E11772:F11772"/>
    <mergeCell ref="E11773:F11773"/>
    <mergeCell ref="E11774:F11774"/>
    <mergeCell ref="E11782:H11782"/>
    <mergeCell ref="E11785:H11785"/>
    <mergeCell ref="E11786:H11786"/>
    <mergeCell ref="E11795:H11795"/>
    <mergeCell ref="E11796:H11796"/>
    <mergeCell ref="E11797:H11797"/>
    <mergeCell ref="E11798:H11798"/>
    <mergeCell ref="E11804:F11804"/>
    <mergeCell ref="E11809:F11809"/>
    <mergeCell ref="E11810:F11810"/>
    <mergeCell ref="E11811:F11811"/>
    <mergeCell ref="E11819:H11819"/>
    <mergeCell ref="E11829:H11829"/>
    <mergeCell ref="E11764:H11764"/>
    <mergeCell ref="E12245:H12245"/>
    <mergeCell ref="E12246:H12246"/>
    <mergeCell ref="E12247:H12247"/>
    <mergeCell ref="E12248:F12248"/>
    <mergeCell ref="E11783:F11783"/>
    <mergeCell ref="E11784:F11784"/>
    <mergeCell ref="E11775:F11775"/>
    <mergeCell ref="E12252:F12252"/>
    <mergeCell ref="E12200:F12200"/>
    <mergeCell ref="E12201:F12201"/>
    <mergeCell ref="E12195:F12195"/>
    <mergeCell ref="E12196:F12196"/>
    <mergeCell ref="E12198:F12198"/>
    <mergeCell ref="E12191:F12191"/>
    <mergeCell ref="E12192:F12192"/>
    <mergeCell ref="E12193:F12193"/>
    <mergeCell ref="E12194:F12194"/>
    <mergeCell ref="E12202:F12202"/>
    <mergeCell ref="E12203:F12203"/>
    <mergeCell ref="E12204:F12204"/>
    <mergeCell ref="E12205:F12205"/>
    <mergeCell ref="E12206:F12206"/>
    <mergeCell ref="E12207:F12207"/>
    <mergeCell ref="E11787:H11787"/>
    <mergeCell ref="E11788:H11788"/>
    <mergeCell ref="E11789:H11789"/>
    <mergeCell ref="E11790:H11790"/>
    <mergeCell ref="E11791:H11791"/>
    <mergeCell ref="E11926:H11926"/>
    <mergeCell ref="E11857:F11857"/>
    <mergeCell ref="E11858:F11858"/>
    <mergeCell ref="E11732:F11732"/>
    <mergeCell ref="E11733:F11733"/>
    <mergeCell ref="E11713:H11713"/>
    <mergeCell ref="E11714:F11714"/>
    <mergeCell ref="E12135:F12135"/>
    <mergeCell ref="E12136:F12136"/>
    <mergeCell ref="E12137:F12137"/>
    <mergeCell ref="E12138:F12138"/>
    <mergeCell ref="E11587:H11587"/>
    <mergeCell ref="E11591:F11591"/>
    <mergeCell ref="E11593:F11593"/>
    <mergeCell ref="E11594:F11594"/>
    <mergeCell ref="E11595:F11595"/>
    <mergeCell ref="E11979:H11979"/>
    <mergeCell ref="E11980:H11980"/>
    <mergeCell ref="E11981:H11981"/>
    <mergeCell ref="E11982:H11982"/>
    <mergeCell ref="E11993:F11993"/>
    <mergeCell ref="E11596:F11596"/>
    <mergeCell ref="E11598:F11598"/>
    <mergeCell ref="E11599:F11599"/>
    <mergeCell ref="E11600:F11600"/>
    <mergeCell ref="E11605:H11605"/>
    <mergeCell ref="E11588:H11588"/>
    <mergeCell ref="E11680:F11680"/>
    <mergeCell ref="E11681:F11681"/>
    <mergeCell ref="E11682:F11682"/>
    <mergeCell ref="E11683:F11683"/>
    <mergeCell ref="E11684:F11684"/>
    <mergeCell ref="E11688:H11688"/>
    <mergeCell ref="E11689:H11689"/>
    <mergeCell ref="E11690:H11690"/>
    <mergeCell ref="E11691:H11691"/>
    <mergeCell ref="E11692:H11692"/>
    <mergeCell ref="E11693:H11693"/>
    <mergeCell ref="E11694:H11694"/>
    <mergeCell ref="E11695:H11695"/>
    <mergeCell ref="E11702:F11702"/>
    <mergeCell ref="E11703:F11703"/>
    <mergeCell ref="E11704:F11704"/>
    <mergeCell ref="E11705:F11705"/>
    <mergeCell ref="E11710:H11710"/>
    <mergeCell ref="E11711:H11711"/>
    <mergeCell ref="E11712:H11712"/>
    <mergeCell ref="E11717:F11717"/>
    <mergeCell ref="E11718:F11718"/>
    <mergeCell ref="E11724:H11724"/>
    <mergeCell ref="E11709:H11709"/>
    <mergeCell ref="E11719:F11719"/>
    <mergeCell ref="E11720:F11720"/>
    <mergeCell ref="E11721:F11721"/>
    <mergeCell ref="E11722:F11722"/>
    <mergeCell ref="E11927:H11927"/>
    <mergeCell ref="E11928:H11928"/>
    <mergeCell ref="E11929:H11929"/>
    <mergeCell ref="E11930:F11930"/>
    <mergeCell ref="E11931:F11931"/>
    <mergeCell ref="E11932:F11932"/>
    <mergeCell ref="E11933:F11933"/>
    <mergeCell ref="E11934:F11934"/>
    <mergeCell ref="E11935:H11935"/>
    <mergeCell ref="E11936:H11936"/>
    <mergeCell ref="E11870:F11870"/>
    <mergeCell ref="E11871:F11871"/>
    <mergeCell ref="E11872:F11872"/>
    <mergeCell ref="E11860:H11860"/>
    <mergeCell ref="E11734:F11734"/>
    <mergeCell ref="E11737:H11737"/>
    <mergeCell ref="E11738:H11738"/>
    <mergeCell ref="E11739:H11739"/>
    <mergeCell ref="E11745:F11745"/>
    <mergeCell ref="E11747:F11747"/>
    <mergeCell ref="E11748:F11748"/>
    <mergeCell ref="E12047:F12047"/>
    <mergeCell ref="E12048:F12048"/>
    <mergeCell ref="E12049:F12049"/>
    <mergeCell ref="E12050:F12050"/>
    <mergeCell ref="E12051:F12051"/>
    <mergeCell ref="E12052:F12052"/>
    <mergeCell ref="E12054:H12054"/>
    <mergeCell ref="E12039:F12039"/>
    <mergeCell ref="E11658:F11658"/>
    <mergeCell ref="E11659:F11659"/>
    <mergeCell ref="E11668:H11668"/>
    <mergeCell ref="E11669:H11669"/>
    <mergeCell ref="E11670:H11670"/>
    <mergeCell ref="E11671:H11671"/>
    <mergeCell ref="E11672:H11672"/>
    <mergeCell ref="E11673:H11673"/>
    <mergeCell ref="E11674:H11674"/>
    <mergeCell ref="E11735:F11735"/>
    <mergeCell ref="E11754:F11754"/>
    <mergeCell ref="E11757:F11757"/>
    <mergeCell ref="E11758:F11758"/>
    <mergeCell ref="E11759:F11759"/>
    <mergeCell ref="E11760:F11760"/>
    <mergeCell ref="E11741:F11741"/>
    <mergeCell ref="E11742:F11742"/>
    <mergeCell ref="E11743:F11743"/>
    <mergeCell ref="E11744:F11744"/>
    <mergeCell ref="E11746:F11746"/>
    <mergeCell ref="E11749:F11749"/>
    <mergeCell ref="E11750:F11750"/>
    <mergeCell ref="E11751:F11751"/>
    <mergeCell ref="E11752:F11752"/>
    <mergeCell ref="E11753:F11753"/>
    <mergeCell ref="E11780:F11780"/>
    <mergeCell ref="E11781:F11781"/>
    <mergeCell ref="E11855:F11855"/>
    <mergeCell ref="E11856:F11856"/>
    <mergeCell ref="E11859:H11859"/>
    <mergeCell ref="E12028:F12028"/>
    <mergeCell ref="E11953:F11953"/>
    <mergeCell ref="E11955:F11955"/>
    <mergeCell ref="E11956:F11956"/>
    <mergeCell ref="E11957:F11957"/>
    <mergeCell ref="E11963:F11963"/>
    <mergeCell ref="E11964:F11964"/>
    <mergeCell ref="E11973:F11973"/>
    <mergeCell ref="E11947:F11947"/>
    <mergeCell ref="E11949:F11949"/>
    <mergeCell ref="E11958:H11958"/>
    <mergeCell ref="E11959:H11959"/>
    <mergeCell ref="E11970:F11970"/>
    <mergeCell ref="E11942:F11942"/>
    <mergeCell ref="E11919:F11919"/>
    <mergeCell ref="E11876:F11876"/>
    <mergeCell ref="E12063:F12063"/>
    <mergeCell ref="E12064:F12064"/>
    <mergeCell ref="E12032:H12032"/>
    <mergeCell ref="E11977:F11977"/>
    <mergeCell ref="E11983:H11983"/>
    <mergeCell ref="E11984:H11984"/>
    <mergeCell ref="E11985:H11985"/>
    <mergeCell ref="E11997:F11997"/>
    <mergeCell ref="E11998:F11998"/>
    <mergeCell ref="E12014:F12014"/>
    <mergeCell ref="E11999:F11999"/>
    <mergeCell ref="E12009:H12009"/>
    <mergeCell ref="E11877:F11877"/>
    <mergeCell ref="E11878:F11878"/>
    <mergeCell ref="E11879:F11879"/>
    <mergeCell ref="E11881:H11881"/>
    <mergeCell ref="E11882:H11882"/>
    <mergeCell ref="E11883:H11883"/>
    <mergeCell ref="E11884:H11884"/>
    <mergeCell ref="E11885:H11885"/>
    <mergeCell ref="E11886:H11886"/>
    <mergeCell ref="E11887:H11887"/>
    <mergeCell ref="E11894:F11894"/>
    <mergeCell ref="E11895:F11895"/>
    <mergeCell ref="E11896:F11896"/>
    <mergeCell ref="E11897:F11897"/>
    <mergeCell ref="E11898:F11898"/>
    <mergeCell ref="E11899:F11899"/>
    <mergeCell ref="E11900:F11900"/>
    <mergeCell ref="E11902:H11902"/>
    <mergeCell ref="E11903:H11903"/>
    <mergeCell ref="E11920:F11920"/>
    <mergeCell ref="E11921:F11921"/>
    <mergeCell ref="E11939:F11939"/>
    <mergeCell ref="E11965:F11965"/>
    <mergeCell ref="E11966:F11966"/>
    <mergeCell ref="E11967:F11967"/>
    <mergeCell ref="E11946:F11946"/>
    <mergeCell ref="E11940:F11940"/>
    <mergeCell ref="E11941:F11941"/>
    <mergeCell ref="E11944:F11944"/>
    <mergeCell ref="E11945:F11945"/>
    <mergeCell ref="E11968:F11968"/>
    <mergeCell ref="E11969:F11969"/>
    <mergeCell ref="E11937:H11937"/>
    <mergeCell ref="E11948:F11948"/>
    <mergeCell ref="E11951:F11951"/>
    <mergeCell ref="E11952:F11952"/>
    <mergeCell ref="E12040:F12040"/>
    <mergeCell ref="E12042:F12042"/>
    <mergeCell ref="E12043:F12043"/>
    <mergeCell ref="E12015:F12015"/>
    <mergeCell ref="E12016:F12016"/>
    <mergeCell ref="E12006:H12006"/>
    <mergeCell ref="E11986:H11986"/>
    <mergeCell ref="E11987:H11987"/>
    <mergeCell ref="E11988:H11988"/>
    <mergeCell ref="E11989:H11989"/>
    <mergeCell ref="E11990:H11990"/>
    <mergeCell ref="E11991:H11991"/>
    <mergeCell ref="E11992:H11992"/>
    <mergeCell ref="E11995:F11995"/>
    <mergeCell ref="E12000:F12000"/>
    <mergeCell ref="E11508:H11508"/>
    <mergeCell ref="E11509:H11509"/>
    <mergeCell ref="E11510:H11510"/>
    <mergeCell ref="E11511:H11511"/>
    <mergeCell ref="E11525:F11525"/>
    <mergeCell ref="E11581:F11581"/>
    <mergeCell ref="E11583:F11583"/>
    <mergeCell ref="E11584:F11584"/>
    <mergeCell ref="E11601:H11601"/>
    <mergeCell ref="E11602:H11602"/>
    <mergeCell ref="E11607:F11607"/>
    <mergeCell ref="E11608:F11608"/>
    <mergeCell ref="E11867:F11867"/>
    <mergeCell ref="E11868:F11868"/>
    <mergeCell ref="E11869:F11869"/>
    <mergeCell ref="E11891:F11891"/>
    <mergeCell ref="E11892:F11892"/>
    <mergeCell ref="E11893:F11893"/>
    <mergeCell ref="E11901:H11901"/>
    <mergeCell ref="E11880:H11880"/>
    <mergeCell ref="E11888:F11888"/>
    <mergeCell ref="E11889:F11889"/>
    <mergeCell ref="E11890:F11890"/>
    <mergeCell ref="E11904:H11904"/>
    <mergeCell ref="E11905:H11905"/>
    <mergeCell ref="E11906:H11906"/>
    <mergeCell ref="E11909:F11909"/>
    <mergeCell ref="E11910:F11910"/>
    <mergeCell ref="E11922:H11922"/>
    <mergeCell ref="E11792:H11792"/>
    <mergeCell ref="E11793:H11793"/>
    <mergeCell ref="E11794:H11794"/>
    <mergeCell ref="E11800:F11800"/>
    <mergeCell ref="E11801:F11801"/>
    <mergeCell ref="E11802:F11802"/>
    <mergeCell ref="E11803:F11803"/>
    <mergeCell ref="E11807:F11807"/>
    <mergeCell ref="E11808:F11808"/>
    <mergeCell ref="E11814:H11814"/>
    <mergeCell ref="E11812:H11812"/>
    <mergeCell ref="E11813:H11813"/>
    <mergeCell ref="E11805:F11805"/>
    <mergeCell ref="E11806:F11806"/>
    <mergeCell ref="E11776:F11776"/>
    <mergeCell ref="E11799:F11799"/>
    <mergeCell ref="E11526:F11526"/>
    <mergeCell ref="E11522:F11522"/>
    <mergeCell ref="E11523:F11523"/>
    <mergeCell ref="E11524:F11524"/>
    <mergeCell ref="E11512:F11512"/>
    <mergeCell ref="E11521:F11521"/>
    <mergeCell ref="E11534:H11534"/>
    <mergeCell ref="E11535:F11535"/>
    <mergeCell ref="E11536:F11536"/>
    <mergeCell ref="E11537:F11537"/>
    <mergeCell ref="E11538:F11538"/>
    <mergeCell ref="E11715:F11715"/>
    <mergeCell ref="E11716:F11716"/>
    <mergeCell ref="E11861:H11861"/>
    <mergeCell ref="E11862:H11862"/>
    <mergeCell ref="E11527:H11527"/>
    <mergeCell ref="E11528:H11528"/>
    <mergeCell ref="E11874:F11874"/>
    <mergeCell ref="E11875:F11875"/>
    <mergeCell ref="E11529:H11529"/>
    <mergeCell ref="E11530:H11530"/>
    <mergeCell ref="E11531:H11531"/>
    <mergeCell ref="E11532:H11532"/>
    <mergeCell ref="E11533:H11533"/>
    <mergeCell ref="E11490:F11490"/>
    <mergeCell ref="E11491:F11491"/>
    <mergeCell ref="E11626:H11626"/>
    <mergeCell ref="E11627:H11627"/>
    <mergeCell ref="E11636:H11636"/>
    <mergeCell ref="E11637:H11637"/>
    <mergeCell ref="E11638:H11638"/>
    <mergeCell ref="E11649:H11649"/>
    <mergeCell ref="E11328:H11328"/>
    <mergeCell ref="E11329:H11329"/>
    <mergeCell ref="E11320:H11320"/>
    <mergeCell ref="E11393:F11393"/>
    <mergeCell ref="E11394:F11394"/>
    <mergeCell ref="E11395:F11395"/>
    <mergeCell ref="E11396:F11396"/>
    <mergeCell ref="E11397:F11397"/>
    <mergeCell ref="E11398:F11398"/>
    <mergeCell ref="E11399:F11399"/>
    <mergeCell ref="E11400:F11400"/>
    <mergeCell ref="E11406:H11406"/>
    <mergeCell ref="E11407:H11407"/>
    <mergeCell ref="E11408:H11408"/>
    <mergeCell ref="E11409:H11409"/>
    <mergeCell ref="E11410:H11410"/>
    <mergeCell ref="E11411:H11411"/>
    <mergeCell ref="E11412:H11412"/>
    <mergeCell ref="E11414:F11414"/>
    <mergeCell ref="E11415:F11415"/>
    <mergeCell ref="E11416:F11416"/>
    <mergeCell ref="E11417:F11417"/>
    <mergeCell ref="E11418:F11418"/>
    <mergeCell ref="E11419:F11419"/>
    <mergeCell ref="E11420:F11420"/>
    <mergeCell ref="E11422:F11422"/>
    <mergeCell ref="E11425:F11425"/>
    <mergeCell ref="E11426:F11426"/>
    <mergeCell ref="E11427:F11427"/>
    <mergeCell ref="E11428:F11428"/>
    <mergeCell ref="E11429:F11429"/>
    <mergeCell ref="E11609:F11609"/>
    <mergeCell ref="E11610:F11610"/>
    <mergeCell ref="E11622:H11622"/>
    <mergeCell ref="E11625:H11625"/>
    <mergeCell ref="E11431:H11431"/>
    <mergeCell ref="E11432:H11432"/>
    <mergeCell ref="E11337:F11337"/>
    <mergeCell ref="E11332:F11332"/>
    <mergeCell ref="E11333:F11333"/>
    <mergeCell ref="E11518:F11518"/>
    <mergeCell ref="E11519:F11519"/>
    <mergeCell ref="E11520:F11520"/>
    <mergeCell ref="E11481:H11481"/>
    <mergeCell ref="E11492:F11492"/>
    <mergeCell ref="E11493:F11493"/>
    <mergeCell ref="E11494:F11494"/>
    <mergeCell ref="E11495:F11495"/>
    <mergeCell ref="E11496:F11496"/>
    <mergeCell ref="E11504:H11504"/>
    <mergeCell ref="E11505:H11505"/>
    <mergeCell ref="E11037:H11037"/>
    <mergeCell ref="E11038:H11038"/>
    <mergeCell ref="E10977:F10977"/>
    <mergeCell ref="E10978:F10978"/>
    <mergeCell ref="E10979:F10979"/>
    <mergeCell ref="E11001:F11001"/>
    <mergeCell ref="E11004:F11004"/>
    <mergeCell ref="E11005:F11005"/>
    <mergeCell ref="E11006:F11006"/>
    <mergeCell ref="E11498:F11498"/>
    <mergeCell ref="E11060:H11060"/>
    <mergeCell ref="E11272:H11272"/>
    <mergeCell ref="E11273:H11273"/>
    <mergeCell ref="E11274:H11274"/>
    <mergeCell ref="E11275:H11275"/>
    <mergeCell ref="E11276:H11276"/>
    <mergeCell ref="E11280:F11280"/>
    <mergeCell ref="E11281:F11281"/>
    <mergeCell ref="E11282:F11282"/>
    <mergeCell ref="E11283:F11283"/>
    <mergeCell ref="E11284:F11284"/>
    <mergeCell ref="E11287:H11287"/>
    <mergeCell ref="E11292:H11292"/>
    <mergeCell ref="E11293:H11293"/>
    <mergeCell ref="E11294:H11294"/>
    <mergeCell ref="E11033:H11033"/>
    <mergeCell ref="E11034:H11034"/>
    <mergeCell ref="E11035:H11035"/>
    <mergeCell ref="E11061:H11061"/>
    <mergeCell ref="E11268:F11268"/>
    <mergeCell ref="E11270:F11270"/>
    <mergeCell ref="E11271:F11271"/>
    <mergeCell ref="E11184:F11184"/>
    <mergeCell ref="E11185:F11185"/>
    <mergeCell ref="E11218:F11218"/>
    <mergeCell ref="E11440:F11440"/>
    <mergeCell ref="E11057:H11057"/>
    <mergeCell ref="E11306:F11306"/>
    <mergeCell ref="E11307:F11307"/>
    <mergeCell ref="E11308:F11308"/>
    <mergeCell ref="E11309:F11309"/>
    <mergeCell ref="E11310:F11310"/>
    <mergeCell ref="E11311:F11311"/>
    <mergeCell ref="E11318:H11318"/>
    <mergeCell ref="E11319:H11319"/>
    <mergeCell ref="E11266:F11266"/>
    <mergeCell ref="E11267:F11267"/>
    <mergeCell ref="E11277:H11277"/>
    <mergeCell ref="E11278:H11278"/>
    <mergeCell ref="E11279:H11279"/>
    <mergeCell ref="E11288:F11288"/>
    <mergeCell ref="E11289:F11289"/>
    <mergeCell ref="E11297:H11297"/>
    <mergeCell ref="E11298:H11298"/>
    <mergeCell ref="E11299:H11299"/>
    <mergeCell ref="E11290:F11290"/>
    <mergeCell ref="E11350:F11350"/>
    <mergeCell ref="E11351:F11351"/>
    <mergeCell ref="E11335:F11335"/>
    <mergeCell ref="E11336:F11336"/>
    <mergeCell ref="E11386:H11386"/>
    <mergeCell ref="E11387:H11387"/>
    <mergeCell ref="E11388:H11388"/>
    <mergeCell ref="E11389:H11389"/>
    <mergeCell ref="E11506:H11506"/>
    <mergeCell ref="E11513:F11513"/>
    <mergeCell ref="E11514:F11514"/>
    <mergeCell ref="E11515:F11515"/>
    <mergeCell ref="E11516:F11516"/>
    <mergeCell ref="E11517:F11517"/>
    <mergeCell ref="E11296:H11296"/>
    <mergeCell ref="E11300:F11300"/>
    <mergeCell ref="E11301:F11301"/>
    <mergeCell ref="E11302:F11302"/>
    <mergeCell ref="E11303:F11303"/>
    <mergeCell ref="E11304:F11304"/>
    <mergeCell ref="E11305:F11305"/>
    <mergeCell ref="E11313:H11313"/>
    <mergeCell ref="E11314:H11314"/>
    <mergeCell ref="E11315:H11315"/>
    <mergeCell ref="E11316:H11316"/>
    <mergeCell ref="E11317:H11317"/>
    <mergeCell ref="E11321:F11321"/>
    <mergeCell ref="E11323:F11323"/>
    <mergeCell ref="E11324:F11324"/>
    <mergeCell ref="E11327:H11327"/>
    <mergeCell ref="E11331:F11331"/>
    <mergeCell ref="E11101:F11101"/>
    <mergeCell ref="E11102:F11102"/>
    <mergeCell ref="E11104:H11104"/>
    <mergeCell ref="E11105:H11105"/>
    <mergeCell ref="E11106:H11106"/>
    <mergeCell ref="E11107:H11107"/>
    <mergeCell ref="E11108:H11108"/>
    <mergeCell ref="E11109:H11109"/>
    <mergeCell ref="E11110:H11110"/>
    <mergeCell ref="E11111:H11111"/>
    <mergeCell ref="E11122:F11122"/>
    <mergeCell ref="E11123:F11123"/>
    <mergeCell ref="E11124:F11124"/>
    <mergeCell ref="E11136:H11136"/>
    <mergeCell ref="E11497:F11497"/>
    <mergeCell ref="E11295:H11295"/>
    <mergeCell ref="E11502:F11502"/>
    <mergeCell ref="E11433:H11433"/>
    <mergeCell ref="E11434:H11434"/>
    <mergeCell ref="E11435:H11435"/>
    <mergeCell ref="E11206:F11206"/>
    <mergeCell ref="E11191:H11191"/>
    <mergeCell ref="E11192:H11192"/>
    <mergeCell ref="E11193:H11193"/>
    <mergeCell ref="E11200:F11200"/>
    <mergeCell ref="E11153:F11153"/>
    <mergeCell ref="E11154:F11154"/>
    <mergeCell ref="E11173:F11173"/>
    <mergeCell ref="E11198:F11198"/>
    <mergeCell ref="E11182:F11182"/>
    <mergeCell ref="E11203:H11203"/>
    <mergeCell ref="E11201:F11201"/>
    <mergeCell ref="E11208:H11208"/>
    <mergeCell ref="E11209:H11209"/>
    <mergeCell ref="E11210:H11210"/>
    <mergeCell ref="E11211:H11211"/>
    <mergeCell ref="E11212:H11212"/>
    <mergeCell ref="E11213:H11213"/>
    <mergeCell ref="E11214:H11214"/>
    <mergeCell ref="E11503:F11503"/>
    <mergeCell ref="E11507:H11507"/>
    <mergeCell ref="E9879:F9879"/>
    <mergeCell ref="E9880:F9880"/>
    <mergeCell ref="E9886:H9886"/>
    <mergeCell ref="E9887:H9887"/>
    <mergeCell ref="E9888:H9888"/>
    <mergeCell ref="E9889:H9889"/>
    <mergeCell ref="E10418:H10418"/>
    <mergeCell ref="E10419:H10419"/>
    <mergeCell ref="E10970:F10970"/>
    <mergeCell ref="E10920:F10920"/>
    <mergeCell ref="E10921:F10921"/>
    <mergeCell ref="E10993:F10993"/>
    <mergeCell ref="E10994:F10994"/>
    <mergeCell ref="E10995:F10995"/>
    <mergeCell ref="E11007:H11007"/>
    <mergeCell ref="E11008:H11008"/>
    <mergeCell ref="E11009:H11009"/>
    <mergeCell ref="E11010:H11010"/>
    <mergeCell ref="E11011:H11011"/>
    <mergeCell ref="E11020:F11020"/>
    <mergeCell ref="E11021:F11021"/>
    <mergeCell ref="E11022:F11022"/>
    <mergeCell ref="E11023:F11023"/>
    <mergeCell ref="E10929:G10929"/>
    <mergeCell ref="E10930:H10930"/>
    <mergeCell ref="E10931:H10931"/>
    <mergeCell ref="E10932:H10932"/>
    <mergeCell ref="E10933:H10933"/>
    <mergeCell ref="E10934:H10934"/>
    <mergeCell ref="E10943:F10943"/>
    <mergeCell ref="E10944:F10944"/>
    <mergeCell ref="E10945:F10945"/>
    <mergeCell ref="E10946:F10946"/>
    <mergeCell ref="E10947:F10947"/>
    <mergeCell ref="E10948:F10948"/>
    <mergeCell ref="E10952:F10952"/>
    <mergeCell ref="E10953:H10953"/>
    <mergeCell ref="E10954:H10954"/>
    <mergeCell ref="E10955:H10955"/>
    <mergeCell ref="E10959:H10959"/>
    <mergeCell ref="E10960:H10960"/>
    <mergeCell ref="E10961:H10961"/>
    <mergeCell ref="E10962:H10962"/>
    <mergeCell ref="E10963:H10963"/>
    <mergeCell ref="E10964:H10964"/>
    <mergeCell ref="E10965:H10965"/>
    <mergeCell ref="E10966:H10966"/>
    <mergeCell ref="E10969:F10969"/>
    <mergeCell ref="E10975:F10975"/>
    <mergeCell ref="E10980:F10980"/>
    <mergeCell ref="E10981:F10981"/>
    <mergeCell ref="E10986:H10986"/>
    <mergeCell ref="E10987:H10987"/>
    <mergeCell ref="E10988:H10988"/>
    <mergeCell ref="E10989:H10989"/>
    <mergeCell ref="E11000:F11000"/>
    <mergeCell ref="E10971:F10971"/>
    <mergeCell ref="E10972:F10972"/>
    <mergeCell ref="E10997:F10997"/>
    <mergeCell ref="E10998:F10998"/>
    <mergeCell ref="E10999:F10999"/>
    <mergeCell ref="E10976:F10976"/>
    <mergeCell ref="E10982:H10982"/>
    <mergeCell ref="E10796:H10796"/>
    <mergeCell ref="E9780:H9780"/>
    <mergeCell ref="E9757:F9757"/>
    <mergeCell ref="E9758:F9758"/>
    <mergeCell ref="E9765:H9765"/>
    <mergeCell ref="E9752:F9752"/>
    <mergeCell ref="E9755:F9755"/>
    <mergeCell ref="E9756:F9756"/>
    <mergeCell ref="E9745:H9745"/>
    <mergeCell ref="E9775:F9775"/>
    <mergeCell ref="E10403:F10403"/>
    <mergeCell ref="E10526:H10526"/>
    <mergeCell ref="E10527:H10527"/>
    <mergeCell ref="E10528:H10528"/>
    <mergeCell ref="E10517:F10517"/>
    <mergeCell ref="E10520:F10520"/>
    <mergeCell ref="E10521:F10521"/>
    <mergeCell ref="E10522:F10522"/>
    <mergeCell ref="E10523:F10523"/>
    <mergeCell ref="E10524:F10524"/>
    <mergeCell ref="E10391:F10391"/>
    <mergeCell ref="E10558:F10558"/>
    <mergeCell ref="E10560:H10560"/>
    <mergeCell ref="E10561:H10561"/>
    <mergeCell ref="E10562:H10562"/>
    <mergeCell ref="E10402:F10402"/>
    <mergeCell ref="E10589:H10589"/>
    <mergeCell ref="E10590:H10590"/>
    <mergeCell ref="E10591:H10591"/>
    <mergeCell ref="E10592:H10592"/>
    <mergeCell ref="E10576:F10576"/>
    <mergeCell ref="E10390:F10390"/>
    <mergeCell ref="E10406:F10406"/>
    <mergeCell ref="E10407:F10407"/>
    <mergeCell ref="E9860:H9860"/>
    <mergeCell ref="E9863:F9863"/>
    <mergeCell ref="E9864:F9864"/>
    <mergeCell ref="E9865:F9865"/>
    <mergeCell ref="E9866:F9866"/>
    <mergeCell ref="E9867:F9867"/>
    <mergeCell ref="E9868:F9868"/>
    <mergeCell ref="E9878:H9878"/>
    <mergeCell ref="E9881:H9881"/>
    <mergeCell ref="E9882:H9882"/>
    <mergeCell ref="E9883:H9883"/>
    <mergeCell ref="E9884:H9884"/>
    <mergeCell ref="E9897:F9897"/>
    <mergeCell ref="E9898:F9898"/>
    <mergeCell ref="E10042:F10042"/>
    <mergeCell ref="E10043:F10043"/>
    <mergeCell ref="E10044:F10044"/>
    <mergeCell ref="E9989:F9989"/>
    <mergeCell ref="E9990:F9990"/>
    <mergeCell ref="E9991:F9991"/>
    <mergeCell ref="E9992:F9992"/>
    <mergeCell ref="E9993:F9993"/>
    <mergeCell ref="E9996:F9996"/>
    <mergeCell ref="E9997:F9997"/>
    <mergeCell ref="E10003:H10003"/>
    <mergeCell ref="E10004:H10004"/>
    <mergeCell ref="E10005:H10005"/>
    <mergeCell ref="E10066:F10066"/>
    <mergeCell ref="E10298:F10298"/>
    <mergeCell ref="E10299:F10299"/>
    <mergeCell ref="E10341:F10341"/>
    <mergeCell ref="E9762:H9762"/>
    <mergeCell ref="E9763:H9763"/>
    <mergeCell ref="E9764:H9764"/>
    <mergeCell ref="E9767:F9767"/>
    <mergeCell ref="E9768:F9768"/>
    <mergeCell ref="E9769:F9769"/>
    <mergeCell ref="E9770:F9770"/>
    <mergeCell ref="E9771:F9771"/>
    <mergeCell ref="E9772:F9772"/>
    <mergeCell ref="G9773:G9774"/>
    <mergeCell ref="H9773:H9774"/>
    <mergeCell ref="E9777:F9777"/>
    <mergeCell ref="E9778:F9778"/>
    <mergeCell ref="E9733:F9733"/>
    <mergeCell ref="E9734:F9734"/>
    <mergeCell ref="E9779:H9779"/>
    <mergeCell ref="E9128:F9128"/>
    <mergeCell ref="E9174:H9174"/>
    <mergeCell ref="E9175:F9175"/>
    <mergeCell ref="E9179:H9179"/>
    <mergeCell ref="E9180:H9180"/>
    <mergeCell ref="E9181:H9181"/>
    <mergeCell ref="E9184:H9184"/>
    <mergeCell ref="E9185:H9185"/>
    <mergeCell ref="E9190:F9190"/>
    <mergeCell ref="E9191:F9191"/>
    <mergeCell ref="E9192:F9192"/>
    <mergeCell ref="E9193:F9193"/>
    <mergeCell ref="E9194:F9194"/>
    <mergeCell ref="E9195:F9195"/>
    <mergeCell ref="E9187:H9187"/>
    <mergeCell ref="E9188:H9188"/>
    <mergeCell ref="E9189:H9189"/>
    <mergeCell ref="E9171:F9171"/>
    <mergeCell ref="E9178:F9178"/>
    <mergeCell ref="E9163:H9163"/>
    <mergeCell ref="E9164:H9164"/>
    <mergeCell ref="E9165:H9165"/>
    <mergeCell ref="E9166:H9166"/>
    <mergeCell ref="E9167:H9167"/>
    <mergeCell ref="E9197:F9197"/>
    <mergeCell ref="E9198:F9198"/>
    <mergeCell ref="E9199:F9199"/>
    <mergeCell ref="E9201:H9201"/>
    <mergeCell ref="E9202:H9202"/>
    <mergeCell ref="E9203:H9203"/>
    <mergeCell ref="E9204:H9204"/>
    <mergeCell ref="E9549:H9549"/>
    <mergeCell ref="E9550:H9550"/>
    <mergeCell ref="E9143:H9143"/>
    <mergeCell ref="E9144:H9144"/>
    <mergeCell ref="E9205:H9205"/>
    <mergeCell ref="E9206:H9206"/>
    <mergeCell ref="E9196:H9196"/>
    <mergeCell ref="E9172:F9172"/>
    <mergeCell ref="E9173:F9173"/>
    <mergeCell ref="E9182:H9182"/>
    <mergeCell ref="E9183:H9183"/>
    <mergeCell ref="E9200:F9200"/>
    <mergeCell ref="E9170:F9170"/>
    <mergeCell ref="E9176:F9176"/>
    <mergeCell ref="E9177:F9177"/>
    <mergeCell ref="E9186:H9186"/>
    <mergeCell ref="E9168:F9168"/>
    <mergeCell ref="E9053:H9053"/>
    <mergeCell ref="E9054:H9054"/>
    <mergeCell ref="E9055:H9055"/>
    <mergeCell ref="E9040:F9040"/>
    <mergeCell ref="E9073:F9073"/>
    <mergeCell ref="E9074:F9074"/>
    <mergeCell ref="E9075:F9075"/>
    <mergeCell ref="E9076:F9076"/>
    <mergeCell ref="E9078:F9078"/>
    <mergeCell ref="E9085:H9085"/>
    <mergeCell ref="E9087:H9087"/>
    <mergeCell ref="E9088:H9088"/>
    <mergeCell ref="E9089:H9089"/>
    <mergeCell ref="E9090:H9090"/>
    <mergeCell ref="E9092:F9092"/>
    <mergeCell ref="E9093:F9093"/>
    <mergeCell ref="E9094:F9094"/>
    <mergeCell ref="E9095:F9095"/>
    <mergeCell ref="E9433:F9433"/>
    <mergeCell ref="E9435:F9435"/>
    <mergeCell ref="E9362:F9362"/>
    <mergeCell ref="E9436:F9436"/>
    <mergeCell ref="E9614:H9614"/>
    <mergeCell ref="E9615:H9615"/>
    <mergeCell ref="E9060:H9060"/>
    <mergeCell ref="E9044:F9044"/>
    <mergeCell ref="E9045:F9045"/>
    <mergeCell ref="E9098:F9098"/>
    <mergeCell ref="E9105:F9105"/>
    <mergeCell ref="E9107:H9107"/>
    <mergeCell ref="E9118:H9118"/>
    <mergeCell ref="E9119:H9119"/>
    <mergeCell ref="E9120:H9120"/>
    <mergeCell ref="E9121:H9121"/>
    <mergeCell ref="E9122:H9122"/>
    <mergeCell ref="E9123:H9123"/>
    <mergeCell ref="E9124:H9124"/>
    <mergeCell ref="E9125:F9125"/>
    <mergeCell ref="E9082:F9082"/>
    <mergeCell ref="E9080:F9080"/>
    <mergeCell ref="E9130:F9130"/>
    <mergeCell ref="E9469:F9469"/>
    <mergeCell ref="E9334:F9334"/>
    <mergeCell ref="E9431:F9431"/>
    <mergeCell ref="E9432:F9432"/>
    <mergeCell ref="E9132:F9132"/>
    <mergeCell ref="E9133:F9133"/>
    <mergeCell ref="E9134:F9134"/>
    <mergeCell ref="E9135:F9135"/>
    <mergeCell ref="E9138:H9138"/>
    <mergeCell ref="E9140:H9140"/>
    <mergeCell ref="E9141:H9141"/>
    <mergeCell ref="E9145:F9145"/>
    <mergeCell ref="E9146:F9146"/>
    <mergeCell ref="E9147:F9147"/>
    <mergeCell ref="E9079:F9079"/>
    <mergeCell ref="E9099:F9099"/>
    <mergeCell ref="E9083:F9083"/>
    <mergeCell ref="E9084:F9084"/>
    <mergeCell ref="E9091:H9091"/>
    <mergeCell ref="E9103:F9103"/>
    <mergeCell ref="E9104:F9104"/>
    <mergeCell ref="E9108:F9108"/>
    <mergeCell ref="E9490:F9490"/>
    <mergeCell ref="E8791:H8791"/>
    <mergeCell ref="E8792:H8792"/>
    <mergeCell ref="E8793:H8793"/>
    <mergeCell ref="E8794:H8794"/>
    <mergeCell ref="E8795:F8795"/>
    <mergeCell ref="E8796:F8796"/>
    <mergeCell ref="E8797:F8797"/>
    <mergeCell ref="E8798:F8798"/>
    <mergeCell ref="E8799:F8799"/>
    <mergeCell ref="E8800:F8800"/>
    <mergeCell ref="E8801:F8801"/>
    <mergeCell ref="E8699:F8699"/>
    <mergeCell ref="E8700:F8700"/>
    <mergeCell ref="E8714:H8714"/>
    <mergeCell ref="E8715:H8715"/>
    <mergeCell ref="E8725:F8725"/>
    <mergeCell ref="E8750:F8750"/>
    <mergeCell ref="E8682:F8682"/>
    <mergeCell ref="E8677:F8677"/>
    <mergeCell ref="E8679:F8679"/>
    <mergeCell ref="E8734:H8734"/>
    <mergeCell ref="E8735:H8735"/>
    <mergeCell ref="E8736:H8736"/>
    <mergeCell ref="E8737:H8737"/>
    <mergeCell ref="E8738:H8738"/>
    <mergeCell ref="E8741:F8741"/>
    <mergeCell ref="E8744:F8744"/>
    <mergeCell ref="E8745:F8745"/>
    <mergeCell ref="E8746:F8746"/>
    <mergeCell ref="E8680:F8680"/>
    <mergeCell ref="E8747:F8747"/>
    <mergeCell ref="E8748:F8748"/>
    <mergeCell ref="E8749:F8749"/>
    <mergeCell ref="E8753:H8753"/>
    <mergeCell ref="E8754:H8754"/>
    <mergeCell ref="E8755:H8755"/>
    <mergeCell ref="E8756:H8756"/>
    <mergeCell ref="E8683:F8683"/>
    <mergeCell ref="E8684:F8684"/>
    <mergeCell ref="E8690:H8690"/>
    <mergeCell ref="E8691:H8691"/>
    <mergeCell ref="E8692:H8692"/>
    <mergeCell ref="E8761:H8761"/>
    <mergeCell ref="E8764:F8764"/>
    <mergeCell ref="E8765:F8765"/>
    <mergeCell ref="E8767:H8767"/>
    <mergeCell ref="E8776:F8776"/>
    <mergeCell ref="E8777:F8777"/>
    <mergeCell ref="E8778:F8778"/>
    <mergeCell ref="E8779:F8779"/>
    <mergeCell ref="E8768:H8768"/>
    <mergeCell ref="E8769:H8769"/>
    <mergeCell ref="E8770:H8770"/>
    <mergeCell ref="E8771:H8771"/>
    <mergeCell ref="E8773:H8773"/>
    <mergeCell ref="E8774:H8774"/>
    <mergeCell ref="E8775:H8775"/>
    <mergeCell ref="E8722:F8722"/>
    <mergeCell ref="E8724:F8724"/>
    <mergeCell ref="E8720:F8720"/>
    <mergeCell ref="E8721:F8721"/>
    <mergeCell ref="E8723:F8723"/>
    <mergeCell ref="E8726:F8726"/>
    <mergeCell ref="E8727:F8727"/>
    <mergeCell ref="E8673:F8673"/>
    <mergeCell ref="E8674:F8674"/>
    <mergeCell ref="E8685:H8685"/>
    <mergeCell ref="E8686:H8686"/>
    <mergeCell ref="E8687:H8687"/>
    <mergeCell ref="E8688:H8688"/>
    <mergeCell ref="E8689:H8689"/>
    <mergeCell ref="E8693:F8693"/>
    <mergeCell ref="E8694:F8694"/>
    <mergeCell ref="E8695:F8695"/>
    <mergeCell ref="E8696:F8696"/>
    <mergeCell ref="E8697:F8697"/>
    <mergeCell ref="E8707:H8707"/>
    <mergeCell ref="E8708:H8708"/>
    <mergeCell ref="E8709:H8709"/>
    <mergeCell ref="E8710:H8710"/>
    <mergeCell ref="E8711:H8711"/>
    <mergeCell ref="E8712:H8712"/>
    <mergeCell ref="E8713:H8713"/>
    <mergeCell ref="E8716:F8716"/>
    <mergeCell ref="E8717:F8717"/>
    <mergeCell ref="E8718:F8718"/>
    <mergeCell ref="E8620:F8620"/>
    <mergeCell ref="E8621:F8621"/>
    <mergeCell ref="E8622:F8622"/>
    <mergeCell ref="E8623:F8623"/>
    <mergeCell ref="E8625:F8625"/>
    <mergeCell ref="E8626:F8626"/>
    <mergeCell ref="E8632:H8632"/>
    <mergeCell ref="E8633:H8633"/>
    <mergeCell ref="E8634:H8634"/>
    <mergeCell ref="E8635:H8635"/>
    <mergeCell ref="E8636:H8636"/>
    <mergeCell ref="E8644:F8644"/>
    <mergeCell ref="E8645:F8645"/>
    <mergeCell ref="E8646:F8646"/>
    <mergeCell ref="E8647:F8647"/>
    <mergeCell ref="E8648:F8648"/>
    <mergeCell ref="E8649:F8649"/>
    <mergeCell ref="E8650:F8650"/>
    <mergeCell ref="E8651:F8651"/>
    <mergeCell ref="E8653:H8653"/>
    <mergeCell ref="E8654:G8654"/>
    <mergeCell ref="E8655:G8655"/>
    <mergeCell ref="E8656:G8656"/>
    <mergeCell ref="E8657:G8657"/>
    <mergeCell ref="E8658:H8658"/>
    <mergeCell ref="E8659:H8659"/>
    <mergeCell ref="E8660:H8660"/>
    <mergeCell ref="E8661:H8661"/>
    <mergeCell ref="E8662:H8662"/>
    <mergeCell ref="E8663:H8663"/>
    <mergeCell ref="E8637:F8637"/>
    <mergeCell ref="E8638:F8638"/>
    <mergeCell ref="E8639:F8639"/>
    <mergeCell ref="E8640:F8640"/>
    <mergeCell ref="E8641:F8641"/>
    <mergeCell ref="E8642:F8642"/>
    <mergeCell ref="E8643:F8643"/>
    <mergeCell ref="E8630:F8630"/>
    <mergeCell ref="E8628:F8628"/>
    <mergeCell ref="E8627:F8627"/>
    <mergeCell ref="E8728:F8728"/>
    <mergeCell ref="E8729:F8729"/>
    <mergeCell ref="E8730:H8730"/>
    <mergeCell ref="E8731:H8731"/>
    <mergeCell ref="E8732:H8732"/>
    <mergeCell ref="E8733:H8733"/>
    <mergeCell ref="E8446:H8446"/>
    <mergeCell ref="E8447:H8447"/>
    <mergeCell ref="E8448:H8448"/>
    <mergeCell ref="E8449:H8449"/>
    <mergeCell ref="E8458:F8458"/>
    <mergeCell ref="E8459:F8459"/>
    <mergeCell ref="E8460:F8460"/>
    <mergeCell ref="E8468:H8468"/>
    <mergeCell ref="E8511:H8511"/>
    <mergeCell ref="E8512:H8512"/>
    <mergeCell ref="E8513:H8513"/>
    <mergeCell ref="E8518:F8518"/>
    <mergeCell ref="E8519:F8519"/>
    <mergeCell ref="E8520:F8520"/>
    <mergeCell ref="E8521:F8521"/>
    <mergeCell ref="E8564:H8564"/>
    <mergeCell ref="E8565:H8565"/>
    <mergeCell ref="E8566:H8566"/>
    <mergeCell ref="E8575:H8575"/>
    <mergeCell ref="E8573:H8573"/>
    <mergeCell ref="E8506:F8506"/>
    <mergeCell ref="E8567:H8567"/>
    <mergeCell ref="E8491:H8491"/>
    <mergeCell ref="E8492:H8492"/>
    <mergeCell ref="E8493:H8493"/>
    <mergeCell ref="E8494:H8494"/>
    <mergeCell ref="E8495:H8495"/>
    <mergeCell ref="E8496:H8496"/>
    <mergeCell ref="E8497:H8497"/>
    <mergeCell ref="E8498:F8498"/>
    <mergeCell ref="E8499:F8499"/>
    <mergeCell ref="E8500:F8500"/>
    <mergeCell ref="E8501:F8501"/>
    <mergeCell ref="E8502:F8502"/>
    <mergeCell ref="E8503:F8503"/>
    <mergeCell ref="E8504:F8504"/>
    <mergeCell ref="E8505:F8505"/>
    <mergeCell ref="E8507:F8507"/>
    <mergeCell ref="E8510:H8510"/>
    <mergeCell ref="E8514:H8514"/>
    <mergeCell ref="E8515:H8515"/>
    <mergeCell ref="E8516:H8516"/>
    <mergeCell ref="E8517:H8517"/>
    <mergeCell ref="E8522:H8522"/>
    <mergeCell ref="E8523:H8523"/>
    <mergeCell ref="E8524:H8524"/>
    <mergeCell ref="E8525:H8525"/>
    <mergeCell ref="E8526:H8526"/>
    <mergeCell ref="E8561:F8561"/>
    <mergeCell ref="E8664:H8664"/>
    <mergeCell ref="E8665:H8665"/>
    <mergeCell ref="E8532:F8532"/>
    <mergeCell ref="E8533:F8533"/>
    <mergeCell ref="E8534:F8534"/>
    <mergeCell ref="E8536:F8536"/>
    <mergeCell ref="E8542:H8542"/>
    <mergeCell ref="E8666:H8666"/>
    <mergeCell ref="E8672:F8672"/>
    <mergeCell ref="E7637:H7637"/>
    <mergeCell ref="E7638:H7638"/>
    <mergeCell ref="E8530:F8530"/>
    <mergeCell ref="E8170:F8170"/>
    <mergeCell ref="E8180:H8180"/>
    <mergeCell ref="E8181:H8181"/>
    <mergeCell ref="E7994:H7994"/>
    <mergeCell ref="E7995:H7995"/>
    <mergeCell ref="E7797:F7797"/>
    <mergeCell ref="E7800:F7800"/>
    <mergeCell ref="E7801:F7801"/>
    <mergeCell ref="E7802:H7802"/>
    <mergeCell ref="E7803:H7803"/>
    <mergeCell ref="E7430:H7430"/>
    <mergeCell ref="E7431:H7431"/>
    <mergeCell ref="E7432:H7432"/>
    <mergeCell ref="E7434:H7434"/>
    <mergeCell ref="E7435:H7435"/>
    <mergeCell ref="E7438:F7438"/>
    <mergeCell ref="E7439:F7439"/>
    <mergeCell ref="E7440:F7440"/>
    <mergeCell ref="E7441:F7441"/>
    <mergeCell ref="E7442:F7442"/>
    <mergeCell ref="E7443:F7443"/>
    <mergeCell ref="E7444:F7444"/>
    <mergeCell ref="E7445:F7445"/>
    <mergeCell ref="E7446:F7446"/>
    <mergeCell ref="E7453:H7453"/>
    <mergeCell ref="E7454:H7454"/>
    <mergeCell ref="E8358:F8358"/>
    <mergeCell ref="E8076:F8076"/>
    <mergeCell ref="E8081:H8081"/>
    <mergeCell ref="E8082:H8082"/>
    <mergeCell ref="E8083:H8083"/>
    <mergeCell ref="E8084:H8084"/>
    <mergeCell ref="E8487:F8487"/>
    <mergeCell ref="E8488:F8488"/>
    <mergeCell ref="E8374:H8374"/>
    <mergeCell ref="E8376:H8376"/>
    <mergeCell ref="E8008:F8008"/>
    <mergeCell ref="E8009:F8009"/>
    <mergeCell ref="E8010:F8010"/>
    <mergeCell ref="E8011:F8011"/>
    <mergeCell ref="E8012:F8012"/>
    <mergeCell ref="E8013:F8013"/>
    <mergeCell ref="E8014:F8014"/>
    <mergeCell ref="E8015:F8015"/>
    <mergeCell ref="E8016:H8016"/>
    <mergeCell ref="E8021:H8021"/>
    <mergeCell ref="E8022:H8022"/>
    <mergeCell ref="E8023:H8023"/>
    <mergeCell ref="E8031:F8031"/>
    <mergeCell ref="E8032:F8032"/>
    <mergeCell ref="E8033:F8033"/>
    <mergeCell ref="E8034:F8034"/>
    <mergeCell ref="E8035:F8035"/>
    <mergeCell ref="E8036:F8036"/>
    <mergeCell ref="E8299:F8299"/>
    <mergeCell ref="E8300:F8300"/>
    <mergeCell ref="E8293:F8293"/>
    <mergeCell ref="E8313:F8313"/>
    <mergeCell ref="E8315:F8315"/>
    <mergeCell ref="E8047:F8047"/>
    <mergeCell ref="E8048:F8048"/>
    <mergeCell ref="E7746:H7746"/>
    <mergeCell ref="E7790:F7790"/>
    <mergeCell ref="E7791:F7791"/>
    <mergeCell ref="E7798:H7798"/>
    <mergeCell ref="E7799:H7799"/>
    <mergeCell ref="E7743:H7743"/>
    <mergeCell ref="E7766:F7766"/>
    <mergeCell ref="E7771:F7771"/>
    <mergeCell ref="E7779:H7779"/>
    <mergeCell ref="E7787:F7787"/>
    <mergeCell ref="E7792:F7792"/>
    <mergeCell ref="E7648:F7648"/>
    <mergeCell ref="E7650:F7650"/>
    <mergeCell ref="E7651:F7651"/>
    <mergeCell ref="E7653:F7653"/>
    <mergeCell ref="E7655:H7655"/>
    <mergeCell ref="E7656:H7656"/>
    <mergeCell ref="E7660:H7660"/>
    <mergeCell ref="E7661:H7661"/>
    <mergeCell ref="E7451:H7451"/>
    <mergeCell ref="E7452:H7452"/>
    <mergeCell ref="E7456:F7456"/>
    <mergeCell ref="E7457:F7457"/>
    <mergeCell ref="E7436:F7436"/>
    <mergeCell ref="E7764:F7764"/>
    <mergeCell ref="E7597:H7597"/>
    <mergeCell ref="E7604:F7604"/>
    <mergeCell ref="E7605:F7605"/>
    <mergeCell ref="E7652:F7652"/>
    <mergeCell ref="E7657:H7657"/>
    <mergeCell ref="E7658:H7658"/>
    <mergeCell ref="E7659:H7659"/>
    <mergeCell ref="E7630:F7630"/>
    <mergeCell ref="E7631:F7631"/>
    <mergeCell ref="E7632:F7632"/>
    <mergeCell ref="E7665:F7665"/>
    <mergeCell ref="E7685:F7685"/>
    <mergeCell ref="E7686:F7686"/>
    <mergeCell ref="E7614:H7614"/>
    <mergeCell ref="E7615:H7615"/>
    <mergeCell ref="E7616:H7616"/>
    <mergeCell ref="E7617:H7617"/>
    <mergeCell ref="E7618:H7618"/>
    <mergeCell ref="E7619:H7619"/>
    <mergeCell ref="E7624:F7624"/>
    <mergeCell ref="E7625:F7625"/>
    <mergeCell ref="E7626:F7626"/>
    <mergeCell ref="E7627:F7627"/>
    <mergeCell ref="E7636:H7636"/>
    <mergeCell ref="E7501:F7501"/>
    <mergeCell ref="E7502:F7502"/>
    <mergeCell ref="E7498:F7498"/>
    <mergeCell ref="E7499:F7499"/>
    <mergeCell ref="E7500:F7500"/>
    <mergeCell ref="E7642:H7642"/>
    <mergeCell ref="E7643:H7643"/>
    <mergeCell ref="E7644:F7644"/>
    <mergeCell ref="E7645:F7645"/>
    <mergeCell ref="E7646:F7646"/>
    <mergeCell ref="E7647:F7647"/>
    <mergeCell ref="E7662:H7662"/>
    <mergeCell ref="E7666:F7666"/>
    <mergeCell ref="E7669:F7669"/>
    <mergeCell ref="E7671:F7671"/>
    <mergeCell ref="E7424:H7424"/>
    <mergeCell ref="E7425:H7425"/>
    <mergeCell ref="E7351:H7351"/>
    <mergeCell ref="E7356:H7356"/>
    <mergeCell ref="E7357:H7357"/>
    <mergeCell ref="E7358:H7358"/>
    <mergeCell ref="E7364:F7364"/>
    <mergeCell ref="E7346:F7346"/>
    <mergeCell ref="E7347:F7347"/>
    <mergeCell ref="E7348:F7348"/>
    <mergeCell ref="E7349:F7349"/>
    <mergeCell ref="E7350:F7350"/>
    <mergeCell ref="E7352:F7352"/>
    <mergeCell ref="E7359:H7359"/>
    <mergeCell ref="E7360:H7360"/>
    <mergeCell ref="E7361:H7361"/>
    <mergeCell ref="E7362:H7362"/>
    <mergeCell ref="E7363:H7363"/>
    <mergeCell ref="E7365:F7365"/>
    <mergeCell ref="E7367:H7367"/>
    <mergeCell ref="E7368:H7368"/>
    <mergeCell ref="E7369:H7369"/>
    <mergeCell ref="E7370:H7370"/>
    <mergeCell ref="E7371:H7371"/>
    <mergeCell ref="E7366:H7366"/>
    <mergeCell ref="E7419:F7419"/>
    <mergeCell ref="E7420:F7420"/>
    <mergeCell ref="E7421:F7421"/>
    <mergeCell ref="E7154:F7154"/>
    <mergeCell ref="E7158:F7158"/>
    <mergeCell ref="E7159:F7159"/>
    <mergeCell ref="E7160:F7160"/>
    <mergeCell ref="E7161:F7161"/>
    <mergeCell ref="E7168:H7168"/>
    <mergeCell ref="E7169:H7169"/>
    <mergeCell ref="E7170:H7170"/>
    <mergeCell ref="E7171:H7171"/>
    <mergeCell ref="E7172:H7172"/>
    <mergeCell ref="E7173:H7173"/>
    <mergeCell ref="E7174:H7174"/>
    <mergeCell ref="E7175:H7175"/>
    <mergeCell ref="E7176:H7176"/>
    <mergeCell ref="E7207:H7207"/>
    <mergeCell ref="E7211:F7211"/>
    <mergeCell ref="E7212:F7212"/>
    <mergeCell ref="E7213:F7213"/>
    <mergeCell ref="E7214:F7214"/>
    <mergeCell ref="E7215:F7215"/>
    <mergeCell ref="E7216:F7216"/>
    <mergeCell ref="E7217:F7217"/>
    <mergeCell ref="E7223:H7223"/>
    <mergeCell ref="E7224:H7224"/>
    <mergeCell ref="E7225:H7225"/>
    <mergeCell ref="E7226:H7226"/>
    <mergeCell ref="E7227:H7227"/>
    <mergeCell ref="E7228:H7228"/>
    <mergeCell ref="E7229:H7229"/>
    <mergeCell ref="E7230:H7230"/>
    <mergeCell ref="E7231:H7231"/>
    <mergeCell ref="E7232:H7232"/>
    <mergeCell ref="E7233:F7233"/>
    <mergeCell ref="E7234:F7234"/>
    <mergeCell ref="E7235:F7235"/>
    <mergeCell ref="E7236:F7236"/>
    <mergeCell ref="E6409:F6409"/>
    <mergeCell ref="E6410:F6410"/>
    <mergeCell ref="E7412:F7412"/>
    <mergeCell ref="E7413:F7413"/>
    <mergeCell ref="E7208:F7208"/>
    <mergeCell ref="E7209:F7209"/>
    <mergeCell ref="E7210:F7210"/>
    <mergeCell ref="E7266:F7266"/>
    <mergeCell ref="E7268:F7268"/>
    <mergeCell ref="E7269:F7269"/>
    <mergeCell ref="E7270:F7270"/>
    <mergeCell ref="E7271:F7271"/>
    <mergeCell ref="E7244:F7244"/>
    <mergeCell ref="E7245:F7245"/>
    <mergeCell ref="E7246:F7246"/>
    <mergeCell ref="E7218:H7218"/>
    <mergeCell ref="E7222:F7222"/>
    <mergeCell ref="E7221:F7221"/>
    <mergeCell ref="E7219:F7219"/>
    <mergeCell ref="E7220:F7220"/>
    <mergeCell ref="E7287:F7287"/>
    <mergeCell ref="E7289:F7289"/>
    <mergeCell ref="E6411:F6411"/>
    <mergeCell ref="E6412:F6412"/>
    <mergeCell ref="E6413:F6413"/>
    <mergeCell ref="E6414:F6414"/>
    <mergeCell ref="E6415:F6415"/>
    <mergeCell ref="E6416:F6416"/>
    <mergeCell ref="E6417:F6417"/>
    <mergeCell ref="E6418:F6418"/>
    <mergeCell ref="E6419:F6419"/>
    <mergeCell ref="E6420:F6420"/>
    <mergeCell ref="E6421:F6421"/>
    <mergeCell ref="E6422:F6422"/>
    <mergeCell ref="E6423:F6423"/>
    <mergeCell ref="E6424:F6424"/>
    <mergeCell ref="E6425:F6425"/>
    <mergeCell ref="E6426:F6426"/>
    <mergeCell ref="E6427:F6427"/>
    <mergeCell ref="E6428:F6428"/>
    <mergeCell ref="E6429:F6429"/>
    <mergeCell ref="E6430:F6430"/>
    <mergeCell ref="E6431:F6431"/>
    <mergeCell ref="E6432:F6432"/>
    <mergeCell ref="E6433:F6433"/>
    <mergeCell ref="E6434:F6434"/>
    <mergeCell ref="E6435:F6435"/>
    <mergeCell ref="E6436:F6436"/>
    <mergeCell ref="E6437:F6437"/>
    <mergeCell ref="E6438:F6438"/>
    <mergeCell ref="E6657:H6657"/>
    <mergeCell ref="E6661:F6661"/>
    <mergeCell ref="E6683:F6683"/>
    <mergeCell ref="E6684:F6684"/>
    <mergeCell ref="E6652:H6652"/>
    <mergeCell ref="E6658:F6658"/>
    <mergeCell ref="E6697:F6697"/>
    <mergeCell ref="E6698:F6698"/>
    <mergeCell ref="E6712:F6712"/>
    <mergeCell ref="E6713:F6713"/>
    <mergeCell ref="E6714:F6714"/>
    <mergeCell ref="E6715:F6715"/>
    <mergeCell ref="E6716:F6716"/>
    <mergeCell ref="E6717:F6717"/>
    <mergeCell ref="E6398:F6398"/>
    <mergeCell ref="E6399:F6399"/>
    <mergeCell ref="E6401:F6401"/>
    <mergeCell ref="E6402:F6402"/>
    <mergeCell ref="E6403:F6403"/>
    <mergeCell ref="E6404:F6404"/>
    <mergeCell ref="E6405:F6405"/>
    <mergeCell ref="E6406:F6406"/>
    <mergeCell ref="E6407:F6407"/>
    <mergeCell ref="E6408:F6408"/>
    <mergeCell ref="E7202:H7202"/>
    <mergeCell ref="E7203:H7203"/>
    <mergeCell ref="E7204:H7204"/>
    <mergeCell ref="E7205:H7205"/>
    <mergeCell ref="E7206:H7206"/>
    <mergeCell ref="E7195:H7195"/>
    <mergeCell ref="E7198:F7198"/>
    <mergeCell ref="E7199:F7199"/>
    <mergeCell ref="E7142:F7142"/>
    <mergeCell ref="E7151:F7151"/>
    <mergeCell ref="E7152:F7152"/>
    <mergeCell ref="E7164:F7164"/>
    <mergeCell ref="E7166:F7166"/>
    <mergeCell ref="E7167:F7167"/>
    <mergeCell ref="E7150:F7150"/>
    <mergeCell ref="E7149:F7149"/>
    <mergeCell ref="E7179:H7179"/>
    <mergeCell ref="E7177:H7177"/>
    <mergeCell ref="E7178:H7178"/>
    <mergeCell ref="E7180:H7180"/>
    <mergeCell ref="E7181:H7181"/>
    <mergeCell ref="E7182:H7182"/>
    <mergeCell ref="E7183:H7183"/>
    <mergeCell ref="E7187:F7187"/>
    <mergeCell ref="E7188:F7188"/>
    <mergeCell ref="E7189:F7189"/>
    <mergeCell ref="E7190:F7190"/>
    <mergeCell ref="E7191:F7191"/>
    <mergeCell ref="E7192:F7192"/>
    <mergeCell ref="E7193:F7193"/>
    <mergeCell ref="E7194:F7194"/>
    <mergeCell ref="E7196:F7196"/>
    <mergeCell ref="E7197:F7197"/>
    <mergeCell ref="E7200:H7200"/>
    <mergeCell ref="E7201:H7201"/>
    <mergeCell ref="E7153:F7153"/>
    <mergeCell ref="E7155:F7155"/>
    <mergeCell ref="E7156:F7156"/>
    <mergeCell ref="E7157:F7157"/>
    <mergeCell ref="E7163:H7163"/>
    <mergeCell ref="E7184:H7184"/>
    <mergeCell ref="E7185:H7185"/>
    <mergeCell ref="E7186:H7186"/>
    <mergeCell ref="E7165:F7165"/>
    <mergeCell ref="E7147:H7147"/>
    <mergeCell ref="E7148:F7148"/>
    <mergeCell ref="E6708:F6708"/>
    <mergeCell ref="E6720:F6720"/>
    <mergeCell ref="E6722:F6722"/>
    <mergeCell ref="E6723:F6723"/>
    <mergeCell ref="E6744:F6744"/>
    <mergeCell ref="E6745:F6745"/>
    <mergeCell ref="E6753:F6753"/>
    <mergeCell ref="E6759:F6759"/>
    <mergeCell ref="E6718:F6718"/>
    <mergeCell ref="E6719:F6719"/>
    <mergeCell ref="E6721:F6721"/>
    <mergeCell ref="E6724:F6724"/>
    <mergeCell ref="E6725:F6725"/>
    <mergeCell ref="E6726:F6726"/>
    <mergeCell ref="E6727:F6727"/>
    <mergeCell ref="E6728:F6728"/>
    <mergeCell ref="E6729:F6729"/>
    <mergeCell ref="E6734:H6734"/>
    <mergeCell ref="E6735:H6735"/>
    <mergeCell ref="E6667:F6667"/>
    <mergeCell ref="E6668:F6668"/>
    <mergeCell ref="E6669:F6669"/>
    <mergeCell ref="E6670:F6670"/>
    <mergeCell ref="E6687:F6687"/>
    <mergeCell ref="E6688:F6688"/>
    <mergeCell ref="E6689:F6689"/>
    <mergeCell ref="E6690:F6690"/>
    <mergeCell ref="E6691:F6691"/>
    <mergeCell ref="E6692:F6692"/>
    <mergeCell ref="E6709:F6709"/>
    <mergeCell ref="E6710:F6710"/>
    <mergeCell ref="E6711:F6711"/>
    <mergeCell ref="E6703:F6703"/>
    <mergeCell ref="E6704:F6704"/>
    <mergeCell ref="E6705:F6705"/>
    <mergeCell ref="E6701:F6701"/>
    <mergeCell ref="E6702:F6702"/>
    <mergeCell ref="E6671:F6671"/>
    <mergeCell ref="E6680:F6680"/>
    <mergeCell ref="E6693:F6693"/>
    <mergeCell ref="E6694:F6694"/>
    <mergeCell ref="E6695:F6695"/>
    <mergeCell ref="E6696:F6696"/>
    <mergeCell ref="E6310:F6310"/>
    <mergeCell ref="E6323:H6323"/>
    <mergeCell ref="E6324:H6324"/>
    <mergeCell ref="E6327:H6327"/>
    <mergeCell ref="E6328:H6328"/>
    <mergeCell ref="E6329:H6329"/>
    <mergeCell ref="E6330:H6330"/>
    <mergeCell ref="E6331:F6331"/>
    <mergeCell ref="E6332:F6332"/>
    <mergeCell ref="E6333:F6333"/>
    <mergeCell ref="E6334:F6334"/>
    <mergeCell ref="E6335:F6335"/>
    <mergeCell ref="E6336:F6336"/>
    <mergeCell ref="E6191:F6191"/>
    <mergeCell ref="E6192:F6192"/>
    <mergeCell ref="E6193:F6193"/>
    <mergeCell ref="E6195:F6195"/>
    <mergeCell ref="E6177:F6177"/>
    <mergeCell ref="E6175:F6175"/>
    <mergeCell ref="E6172:F6172"/>
    <mergeCell ref="E6174:F6174"/>
    <mergeCell ref="E6029:H6029"/>
    <mergeCell ref="E6030:H6030"/>
    <mergeCell ref="E6031:H6031"/>
    <mergeCell ref="E6032:H6032"/>
    <mergeCell ref="E6051:H6051"/>
    <mergeCell ref="E6052:H6052"/>
    <mergeCell ref="E6053:H6053"/>
    <mergeCell ref="E6054:H6054"/>
    <mergeCell ref="E6055:H6055"/>
    <mergeCell ref="E6056:H6056"/>
    <mergeCell ref="E6057:H6057"/>
    <mergeCell ref="E6068:F6068"/>
    <mergeCell ref="E6079:H6079"/>
    <mergeCell ref="E6114:H6114"/>
    <mergeCell ref="E6115:H6115"/>
    <mergeCell ref="E6117:F6117"/>
    <mergeCell ref="E6118:F6118"/>
    <mergeCell ref="E6119:F6119"/>
    <mergeCell ref="E6120:F6120"/>
    <mergeCell ref="E6121:F6121"/>
    <mergeCell ref="E6122:F6122"/>
    <mergeCell ref="E6123:F6123"/>
    <mergeCell ref="E6130:H6130"/>
    <mergeCell ref="E6131:H6131"/>
    <mergeCell ref="E6132:H6132"/>
    <mergeCell ref="E6162:H6162"/>
    <mergeCell ref="E6166:F6166"/>
    <mergeCell ref="E6167:F6167"/>
    <mergeCell ref="E6168:F6168"/>
    <mergeCell ref="E6265:F6265"/>
    <mergeCell ref="E6266:F6266"/>
    <mergeCell ref="E6267:F6267"/>
    <mergeCell ref="E6295:F6295"/>
    <mergeCell ref="E6312:F6312"/>
    <mergeCell ref="E6311:F6311"/>
    <mergeCell ref="E6314:F6314"/>
    <mergeCell ref="E6313:F6313"/>
    <mergeCell ref="E6077:H6077"/>
    <mergeCell ref="E6078:H6078"/>
    <mergeCell ref="E6080:F6080"/>
    <mergeCell ref="E6315:F6315"/>
    <mergeCell ref="E6239:F6239"/>
    <mergeCell ref="E6081:F6081"/>
    <mergeCell ref="E5698:F5698"/>
    <mergeCell ref="E5704:F5704"/>
    <mergeCell ref="E5721:F5721"/>
    <mergeCell ref="E5722:F5722"/>
    <mergeCell ref="E5724:F5724"/>
    <mergeCell ref="E5725:F5725"/>
    <mergeCell ref="E5400:F5400"/>
    <mergeCell ref="E5401:F5401"/>
    <mergeCell ref="E5402:F5402"/>
    <mergeCell ref="E5417:F5417"/>
    <mergeCell ref="E5418:F5418"/>
    <mergeCell ref="E5419:F5419"/>
    <mergeCell ref="E5425:H5425"/>
    <mergeCell ref="E5426:H5426"/>
    <mergeCell ref="E5427:H5427"/>
    <mergeCell ref="E5428:H5428"/>
    <mergeCell ref="E5413:F5413"/>
    <mergeCell ref="E5630:F5630"/>
    <mergeCell ref="E5611:F5611"/>
    <mergeCell ref="E5613:F5613"/>
    <mergeCell ref="E5538:F5538"/>
    <mergeCell ref="E5542:H5542"/>
    <mergeCell ref="E5543:H5543"/>
    <mergeCell ref="E5544:H5544"/>
    <mergeCell ref="E5545:H5545"/>
    <mergeCell ref="E5546:H5546"/>
    <mergeCell ref="E5626:F5626"/>
    <mergeCell ref="E5557:F5557"/>
    <mergeCell ref="E5558:F5558"/>
    <mergeCell ref="E5582:F5582"/>
    <mergeCell ref="E5583:F5583"/>
    <mergeCell ref="E5584:F5584"/>
    <mergeCell ref="E5585:F5585"/>
    <mergeCell ref="E5586:F5586"/>
    <mergeCell ref="E5587:F5587"/>
    <mergeCell ref="E5588:F5588"/>
    <mergeCell ref="E5589:F5589"/>
    <mergeCell ref="E5591:H5591"/>
    <mergeCell ref="E5592:H5592"/>
    <mergeCell ref="E5593:H5593"/>
    <mergeCell ref="E5594:H5594"/>
    <mergeCell ref="E5595:H5595"/>
    <mergeCell ref="E5596:H5596"/>
    <mergeCell ref="E5597:H5597"/>
    <mergeCell ref="E5598:H5598"/>
    <mergeCell ref="E5432:F5432"/>
    <mergeCell ref="E5433:F5433"/>
    <mergeCell ref="E5444:H5444"/>
    <mergeCell ref="E5445:H5445"/>
    <mergeCell ref="E5446:H5446"/>
    <mergeCell ref="E5429:H5429"/>
    <mergeCell ref="E5430:H5430"/>
    <mergeCell ref="E5431:H5431"/>
    <mergeCell ref="E5479:F5479"/>
    <mergeCell ref="E5483:H5483"/>
    <mergeCell ref="E5484:H5484"/>
    <mergeCell ref="E5485:H5485"/>
    <mergeCell ref="E5486:H5486"/>
    <mergeCell ref="E5487:H5487"/>
    <mergeCell ref="E5443:F5443"/>
    <mergeCell ref="E5450:H5450"/>
    <mergeCell ref="E5451:H5451"/>
    <mergeCell ref="E5436:F5436"/>
    <mergeCell ref="E5437:F5437"/>
    <mergeCell ref="E5397:F5397"/>
    <mergeCell ref="E5398:F5398"/>
    <mergeCell ref="E5420:F5420"/>
    <mergeCell ref="E5421:F5421"/>
    <mergeCell ref="E5364:H5364"/>
    <mergeCell ref="E5365:H5365"/>
    <mergeCell ref="E5366:H5366"/>
    <mergeCell ref="E5369:F5369"/>
    <mergeCell ref="E5370:F5370"/>
    <mergeCell ref="E5392:F5392"/>
    <mergeCell ref="E5393:F5393"/>
    <mergeCell ref="E5374:F5374"/>
    <mergeCell ref="E5375:F5375"/>
    <mergeCell ref="E5376:F5376"/>
    <mergeCell ref="E5377:F5377"/>
    <mergeCell ref="E5378:F5378"/>
    <mergeCell ref="E5379:F5379"/>
    <mergeCell ref="E5380:F5380"/>
    <mergeCell ref="E5416:F5416"/>
    <mergeCell ref="E4499:F4499"/>
    <mergeCell ref="E4500:F4500"/>
    <mergeCell ref="E5684:H5684"/>
    <mergeCell ref="E5685:H5685"/>
    <mergeCell ref="E5686:H5686"/>
    <mergeCell ref="E5687:H5687"/>
    <mergeCell ref="E5688:H5688"/>
    <mergeCell ref="E5689:H5689"/>
    <mergeCell ref="E5690:H5690"/>
    <mergeCell ref="E5691:H5691"/>
    <mergeCell ref="E5692:H5692"/>
    <mergeCell ref="E5693:H5693"/>
    <mergeCell ref="E5694:H5694"/>
    <mergeCell ref="E5697:F5697"/>
    <mergeCell ref="E4501:F4501"/>
    <mergeCell ref="E4502:F4502"/>
    <mergeCell ref="E4503:F4503"/>
    <mergeCell ref="E4504:F4504"/>
    <mergeCell ref="E4505:F4505"/>
    <mergeCell ref="E4537:H4537"/>
    <mergeCell ref="E4538:H4538"/>
    <mergeCell ref="E4539:H4539"/>
    <mergeCell ref="E4540:H4540"/>
    <mergeCell ref="E4541:H4541"/>
    <mergeCell ref="E4542:H4542"/>
    <mergeCell ref="E4543:H4543"/>
    <mergeCell ref="E4544:H4544"/>
    <mergeCell ref="E4547:F4547"/>
    <mergeCell ref="E4548:F4548"/>
    <mergeCell ref="E4549:F4549"/>
    <mergeCell ref="E4550:F4550"/>
    <mergeCell ref="E4510:H4510"/>
    <mergeCell ref="E4511:H4511"/>
    <mergeCell ref="E4512:H4512"/>
    <mergeCell ref="E4513:H4513"/>
    <mergeCell ref="E4514:H4514"/>
    <mergeCell ref="E4515:H4515"/>
    <mergeCell ref="E4516:H4516"/>
    <mergeCell ref="E4517:H4517"/>
    <mergeCell ref="E4523:F4523"/>
    <mergeCell ref="E4524:F4524"/>
    <mergeCell ref="E4525:F4525"/>
    <mergeCell ref="E4526:F4526"/>
    <mergeCell ref="E4527:F4527"/>
    <mergeCell ref="E4531:F4531"/>
    <mergeCell ref="E4967:F4967"/>
    <mergeCell ref="E4968:F4968"/>
    <mergeCell ref="E4969:F4969"/>
    <mergeCell ref="E4970:F4970"/>
    <mergeCell ref="E4971:F4971"/>
    <mergeCell ref="E4972:H4972"/>
    <mergeCell ref="E4973:H4973"/>
    <mergeCell ref="E4974:H4974"/>
    <mergeCell ref="E4975:H4975"/>
    <mergeCell ref="E4976:H4976"/>
    <mergeCell ref="E4977:H4977"/>
    <mergeCell ref="E4978:H4978"/>
    <mergeCell ref="E4979:H4979"/>
    <mergeCell ref="E4990:F4990"/>
    <mergeCell ref="E4991:F4991"/>
    <mergeCell ref="E4992:F4992"/>
    <mergeCell ref="E4989:F4989"/>
    <mergeCell ref="E4982:F4982"/>
    <mergeCell ref="E4983:F4983"/>
    <mergeCell ref="E4984:F4984"/>
    <mergeCell ref="E4273:F4273"/>
    <mergeCell ref="E4274:F4274"/>
    <mergeCell ref="E4285:H4285"/>
    <mergeCell ref="E4286:H4286"/>
    <mergeCell ref="E4287:H4287"/>
    <mergeCell ref="E4288:H4288"/>
    <mergeCell ref="E4294:F4294"/>
    <mergeCell ref="E4295:F4295"/>
    <mergeCell ref="E4296:F4296"/>
    <mergeCell ref="E4297:F4297"/>
    <mergeCell ref="E4298:F4298"/>
    <mergeCell ref="E4307:H4307"/>
    <mergeCell ref="E4308:H4308"/>
    <mergeCell ref="E4309:H4309"/>
    <mergeCell ref="E4310:H4310"/>
    <mergeCell ref="E4311:H4311"/>
    <mergeCell ref="E4318:F4318"/>
    <mergeCell ref="E4319:F4319"/>
    <mergeCell ref="E4331:H4331"/>
    <mergeCell ref="E4345:H4345"/>
    <mergeCell ref="E4346:H4346"/>
    <mergeCell ref="E4347:H4347"/>
    <mergeCell ref="E4348:H4348"/>
    <mergeCell ref="E4349:H4349"/>
    <mergeCell ref="E4354:F4354"/>
    <mergeCell ref="E4358:H4358"/>
    <mergeCell ref="E4359:H4359"/>
    <mergeCell ref="E4360:H4360"/>
    <mergeCell ref="E4361:H4361"/>
    <mergeCell ref="E4458:H4458"/>
    <mergeCell ref="E4459:H4459"/>
    <mergeCell ref="E4460:H4460"/>
    <mergeCell ref="E4470:F4470"/>
    <mergeCell ref="E4471:F4471"/>
    <mergeCell ref="E4532:F4532"/>
    <mergeCell ref="E4551:F4551"/>
    <mergeCell ref="E4506:F4506"/>
    <mergeCell ref="E4507:F4507"/>
    <mergeCell ref="E4508:F4508"/>
    <mergeCell ref="E4528:F4528"/>
    <mergeCell ref="E4518:F4518"/>
    <mergeCell ref="E4509:H4509"/>
    <mergeCell ref="E4519:F4519"/>
    <mergeCell ref="E4520:F4520"/>
    <mergeCell ref="E4194:H4194"/>
    <mergeCell ref="E4195:H4195"/>
    <mergeCell ref="E4196:H4196"/>
    <mergeCell ref="E4202:H4202"/>
    <mergeCell ref="E4203:H4203"/>
    <mergeCell ref="E4204:H4204"/>
    <mergeCell ref="E4205:H4205"/>
    <mergeCell ref="E4217:F4217"/>
    <mergeCell ref="E4218:F4218"/>
    <mergeCell ref="E4219:F4219"/>
    <mergeCell ref="E4220:F4220"/>
    <mergeCell ref="E4222:F4222"/>
    <mergeCell ref="E4235:H4235"/>
    <mergeCell ref="E4236:H4236"/>
    <mergeCell ref="E4237:H4237"/>
    <mergeCell ref="E4239:H4239"/>
    <mergeCell ref="E4241:F4241"/>
    <mergeCell ref="E4242:F4242"/>
    <mergeCell ref="E4243:F4243"/>
    <mergeCell ref="E4244:F4244"/>
    <mergeCell ref="E4245:F4245"/>
    <mergeCell ref="E4246:F4246"/>
    <mergeCell ref="E4247:F4247"/>
    <mergeCell ref="E4248:F4248"/>
    <mergeCell ref="E4249:F4249"/>
    <mergeCell ref="E4250:F4250"/>
    <mergeCell ref="E4251:F4251"/>
    <mergeCell ref="E4252:F4252"/>
    <mergeCell ref="E4253:F4253"/>
    <mergeCell ref="E4258:H4258"/>
    <mergeCell ref="E4259:H4259"/>
    <mergeCell ref="E3883:F3883"/>
    <mergeCell ref="E3884:F3884"/>
    <mergeCell ref="E3885:F3885"/>
    <mergeCell ref="E3889:F3889"/>
    <mergeCell ref="E3890:F3890"/>
    <mergeCell ref="E3891:F3891"/>
    <mergeCell ref="E3905:H3905"/>
    <mergeCell ref="E3983:F3983"/>
    <mergeCell ref="E3984:F3984"/>
    <mergeCell ref="E3982:F3982"/>
    <mergeCell ref="E4019:F4019"/>
    <mergeCell ref="E4020:F4020"/>
    <mergeCell ref="E4021:F4021"/>
    <mergeCell ref="E4023:F4023"/>
    <mergeCell ref="E4024:F4024"/>
    <mergeCell ref="E4025:F4025"/>
    <mergeCell ref="E4033:H4033"/>
    <mergeCell ref="E4037:H4037"/>
    <mergeCell ref="E4049:F4049"/>
    <mergeCell ref="E4050:F4050"/>
    <mergeCell ref="E4051:F4051"/>
    <mergeCell ref="E3964:H3964"/>
    <mergeCell ref="E3965:H3965"/>
    <mergeCell ref="E3966:H3966"/>
    <mergeCell ref="E3967:H3967"/>
    <mergeCell ref="E3968:H3968"/>
    <mergeCell ref="E3969:H3969"/>
    <mergeCell ref="E3970:H3970"/>
    <mergeCell ref="E3893:F3893"/>
    <mergeCell ref="E3911:F3911"/>
    <mergeCell ref="E3912:F3912"/>
    <mergeCell ref="E3913:F3913"/>
    <mergeCell ref="E3914:F3914"/>
    <mergeCell ref="E3973:F3973"/>
    <mergeCell ref="E3974:F3974"/>
    <mergeCell ref="E3976:F3976"/>
    <mergeCell ref="E3977:F3977"/>
    <mergeCell ref="E3978:F3978"/>
    <mergeCell ref="E3979:F3979"/>
    <mergeCell ref="E3980:F3980"/>
    <mergeCell ref="E3993:H3993"/>
    <mergeCell ref="E3923:F3923"/>
    <mergeCell ref="E3930:F3930"/>
    <mergeCell ref="E3931:F3931"/>
    <mergeCell ref="E3739:F3739"/>
    <mergeCell ref="E3718:F3718"/>
    <mergeCell ref="E3719:F3719"/>
    <mergeCell ref="E3741:F3741"/>
    <mergeCell ref="E3734:H3734"/>
    <mergeCell ref="E3735:H3735"/>
    <mergeCell ref="E3736:H3736"/>
    <mergeCell ref="E3742:F3742"/>
    <mergeCell ref="E3654:F3654"/>
    <mergeCell ref="E3655:F3655"/>
    <mergeCell ref="E3730:H3730"/>
    <mergeCell ref="E3737:F3737"/>
    <mergeCell ref="E3738:F3738"/>
    <mergeCell ref="E3740:F3740"/>
    <mergeCell ref="E3743:F3743"/>
    <mergeCell ref="E3744:F3744"/>
    <mergeCell ref="E3756:F3756"/>
    <mergeCell ref="E3757:F3757"/>
    <mergeCell ref="E3758:F3758"/>
    <mergeCell ref="E3760:F3760"/>
    <mergeCell ref="E3762:F3762"/>
    <mergeCell ref="E3728:F3728"/>
    <mergeCell ref="E3773:H3773"/>
    <mergeCell ref="E3774:H3774"/>
    <mergeCell ref="E3763:F3763"/>
    <mergeCell ref="E3764:F3764"/>
    <mergeCell ref="E3766:F3766"/>
    <mergeCell ref="E3887:F3887"/>
    <mergeCell ref="E3899:F3899"/>
    <mergeCell ref="E3900:F3900"/>
    <mergeCell ref="E3902:H3902"/>
    <mergeCell ref="E3903:H3903"/>
    <mergeCell ref="E3904:H3904"/>
    <mergeCell ref="E3926:F3926"/>
    <mergeCell ref="E3943:H3943"/>
    <mergeCell ref="E3901:H3901"/>
    <mergeCell ref="E3906:H3906"/>
    <mergeCell ref="E3907:H3907"/>
    <mergeCell ref="E3908:H3908"/>
    <mergeCell ref="E3909:H3909"/>
    <mergeCell ref="E3910:H3910"/>
    <mergeCell ref="E3749:H3749"/>
    <mergeCell ref="E3857:F3857"/>
    <mergeCell ref="E3858:F3858"/>
    <mergeCell ref="E3896:H3896"/>
    <mergeCell ref="E3932:F3932"/>
    <mergeCell ref="E3933:F3933"/>
    <mergeCell ref="E3934:F3934"/>
    <mergeCell ref="E3935:F3935"/>
    <mergeCell ref="E3938:H3938"/>
    <mergeCell ref="E3939:H3939"/>
    <mergeCell ref="E3940:H3940"/>
    <mergeCell ref="E3941:H3941"/>
    <mergeCell ref="E3852:F3852"/>
    <mergeCell ref="E3853:F3853"/>
    <mergeCell ref="E3849:H3849"/>
    <mergeCell ref="E3850:H3850"/>
    <mergeCell ref="E3827:F3827"/>
    <mergeCell ref="E3633:F3633"/>
    <mergeCell ref="E3634:F3634"/>
    <mergeCell ref="E3635:F3635"/>
    <mergeCell ref="E3636:F3636"/>
    <mergeCell ref="E3637:F3637"/>
    <mergeCell ref="E3638:F3638"/>
    <mergeCell ref="E3641:H3641"/>
    <mergeCell ref="E3642:H3642"/>
    <mergeCell ref="E3643:H3643"/>
    <mergeCell ref="E3750:H3750"/>
    <mergeCell ref="E3751:H3751"/>
    <mergeCell ref="E3752:H3752"/>
    <mergeCell ref="E3753:H3753"/>
    <mergeCell ref="E3754:H3754"/>
    <mergeCell ref="E3755:H3755"/>
    <mergeCell ref="E3759:F3759"/>
    <mergeCell ref="E3765:F3765"/>
    <mergeCell ref="E3767:H3767"/>
    <mergeCell ref="E3768:H3768"/>
    <mergeCell ref="E3769:H3769"/>
    <mergeCell ref="E3770:H3770"/>
    <mergeCell ref="E3771:H3771"/>
    <mergeCell ref="E3772:H3772"/>
    <mergeCell ref="E3775:F3775"/>
    <mergeCell ref="E3777:F3777"/>
    <mergeCell ref="E3837:H3837"/>
    <mergeCell ref="E3838:H3838"/>
    <mergeCell ref="E3839:H3839"/>
    <mergeCell ref="E3840:H3840"/>
    <mergeCell ref="E3841:H3841"/>
    <mergeCell ref="E3717:H3717"/>
    <mergeCell ref="E3729:H3729"/>
    <mergeCell ref="E3845:H3845"/>
    <mergeCell ref="E3745:F3745"/>
    <mergeCell ref="E3746:F3746"/>
    <mergeCell ref="E3747:F3747"/>
    <mergeCell ref="E3748:H3748"/>
    <mergeCell ref="E3694:H3694"/>
    <mergeCell ref="E3695:H3695"/>
    <mergeCell ref="E3696:H3696"/>
    <mergeCell ref="E3706:F3706"/>
    <mergeCell ref="E3707:F3707"/>
    <mergeCell ref="E3708:F3708"/>
    <mergeCell ref="E3704:F3704"/>
    <mergeCell ref="E3680:F3680"/>
    <mergeCell ref="E3681:F3681"/>
    <mergeCell ref="E3657:F3657"/>
    <mergeCell ref="E3656:F3656"/>
    <mergeCell ref="E3697:F3697"/>
    <mergeCell ref="E3698:F3698"/>
    <mergeCell ref="E3705:F3705"/>
    <mergeCell ref="E3663:H3663"/>
    <mergeCell ref="E3699:F3699"/>
    <mergeCell ref="E3700:F3700"/>
    <mergeCell ref="E3639:H3639"/>
    <mergeCell ref="E3640:H3640"/>
    <mergeCell ref="E3649:F3649"/>
    <mergeCell ref="E3650:F3650"/>
    <mergeCell ref="E3651:F3651"/>
    <mergeCell ref="E3611:F3611"/>
    <mergeCell ref="E3617:H3617"/>
    <mergeCell ref="E3618:H3618"/>
    <mergeCell ref="E3619:H3619"/>
    <mergeCell ref="E3620:H3620"/>
    <mergeCell ref="E3621:H3621"/>
    <mergeCell ref="E3585:F3585"/>
    <mergeCell ref="E3586:F3586"/>
    <mergeCell ref="E3568:H3568"/>
    <mergeCell ref="E3722:F3722"/>
    <mergeCell ref="E3723:F3723"/>
    <mergeCell ref="E3724:F3724"/>
    <mergeCell ref="E3725:F3725"/>
    <mergeCell ref="E3726:F3726"/>
    <mergeCell ref="E3727:F3727"/>
    <mergeCell ref="E3731:H3731"/>
    <mergeCell ref="E3709:F3709"/>
    <mergeCell ref="E3714:H3714"/>
    <mergeCell ref="E3711:H3711"/>
    <mergeCell ref="E3712:H3712"/>
    <mergeCell ref="E3713:H3713"/>
    <mergeCell ref="E3826:F3826"/>
    <mergeCell ref="E3851:F3851"/>
    <mergeCell ref="E3616:F3616"/>
    <mergeCell ref="E3589:F3589"/>
    <mergeCell ref="E3612:F3612"/>
    <mergeCell ref="E3588:H3588"/>
    <mergeCell ref="E3622:H3622"/>
    <mergeCell ref="E3623:H3623"/>
    <mergeCell ref="E3624:H3624"/>
    <mergeCell ref="E3631:F3631"/>
    <mergeCell ref="E3632:F3632"/>
    <mergeCell ref="E3627:F3627"/>
    <mergeCell ref="E3628:F3628"/>
    <mergeCell ref="E3629:F3629"/>
    <mergeCell ref="E3630:F3630"/>
    <mergeCell ref="E3664:H3664"/>
    <mergeCell ref="E3665:H3665"/>
    <mergeCell ref="E3666:H3666"/>
    <mergeCell ref="E3673:F3673"/>
    <mergeCell ref="E3674:F3674"/>
    <mergeCell ref="E3732:H3732"/>
    <mergeCell ref="E3733:H3733"/>
    <mergeCell ref="E3720:F3720"/>
    <mergeCell ref="E3721:F3721"/>
    <mergeCell ref="E3824:F3824"/>
    <mergeCell ref="E3825:F3825"/>
    <mergeCell ref="E3929:F3929"/>
    <mergeCell ref="E3927:F3927"/>
    <mergeCell ref="E3583:F3583"/>
    <mergeCell ref="E3584:F3584"/>
    <mergeCell ref="E3405:H3405"/>
    <mergeCell ref="E3504:H3504"/>
    <mergeCell ref="E3241:H3241"/>
    <mergeCell ref="E3242:H3242"/>
    <mergeCell ref="E3287:H3287"/>
    <mergeCell ref="E3288:H3288"/>
    <mergeCell ref="E3289:H3289"/>
    <mergeCell ref="E3290:H3290"/>
    <mergeCell ref="E3291:H3291"/>
    <mergeCell ref="E3292:H3292"/>
    <mergeCell ref="E3293:H3293"/>
    <mergeCell ref="E3294:H3294"/>
    <mergeCell ref="E3299:F3299"/>
    <mergeCell ref="E3300:F3300"/>
    <mergeCell ref="E3301:F3301"/>
    <mergeCell ref="E3303:F3303"/>
    <mergeCell ref="E3304:F3304"/>
    <mergeCell ref="E3305:F3305"/>
    <mergeCell ref="E3306:F3306"/>
    <mergeCell ref="E3307:H3307"/>
    <mergeCell ref="E3308:H3308"/>
    <mergeCell ref="E3309:H3309"/>
    <mergeCell ref="E3310:H3310"/>
    <mergeCell ref="E3311:H3311"/>
    <mergeCell ref="E3374:F3374"/>
    <mergeCell ref="E3350:H3350"/>
    <mergeCell ref="E3371:F3371"/>
    <mergeCell ref="E3372:F3372"/>
    <mergeCell ref="E3510:H3510"/>
    <mergeCell ref="E3924:F3924"/>
    <mergeCell ref="E3925:F3925"/>
    <mergeCell ref="E3518:F3518"/>
    <mergeCell ref="E3453:F3453"/>
    <mergeCell ref="E3490:H3490"/>
    <mergeCell ref="E3502:F3502"/>
    <mergeCell ref="E3501:F3501"/>
    <mergeCell ref="E3565:F3565"/>
    <mergeCell ref="E3566:F3566"/>
    <mergeCell ref="E3555:F3555"/>
    <mergeCell ref="E3521:F3521"/>
    <mergeCell ref="E3522:F3522"/>
    <mergeCell ref="E3523:F3523"/>
    <mergeCell ref="E3525:H3525"/>
    <mergeCell ref="E3526:H3526"/>
    <mergeCell ref="E3527:H3527"/>
    <mergeCell ref="E3528:H3528"/>
    <mergeCell ref="E3861:F3861"/>
    <mergeCell ref="E3862:F3862"/>
    <mergeCell ref="E3863:F3863"/>
    <mergeCell ref="E3842:H3842"/>
    <mergeCell ref="E3843:H3843"/>
    <mergeCell ref="E3844:H3844"/>
    <mergeCell ref="E3567:F3567"/>
    <mergeCell ref="E3569:H3569"/>
    <mergeCell ref="E3570:H3570"/>
    <mergeCell ref="E3571:H3571"/>
    <mergeCell ref="E3572:H3572"/>
    <mergeCell ref="E3608:F3608"/>
    <mergeCell ref="E3609:F3609"/>
    <mergeCell ref="E3610:F3610"/>
    <mergeCell ref="E2906:H2906"/>
    <mergeCell ref="E2907:F2907"/>
    <mergeCell ref="E2909:F2909"/>
    <mergeCell ref="E2910:F2910"/>
    <mergeCell ref="E2926:F2926"/>
    <mergeCell ref="E2912:H2912"/>
    <mergeCell ref="E2921:F2921"/>
    <mergeCell ref="E2913:H2913"/>
    <mergeCell ref="E2914:H2914"/>
    <mergeCell ref="E2884:F2884"/>
    <mergeCell ref="E2897:F2897"/>
    <mergeCell ref="E2898:F2898"/>
    <mergeCell ref="E2916:F2916"/>
    <mergeCell ref="E2896:F2896"/>
    <mergeCell ref="E2941:H2941"/>
    <mergeCell ref="E2942:H2942"/>
    <mergeCell ref="E2943:H2943"/>
    <mergeCell ref="E2944:H2944"/>
    <mergeCell ref="E3147:F3147"/>
    <mergeCell ref="E2917:F2917"/>
    <mergeCell ref="E3118:H3118"/>
    <mergeCell ref="E3119:H3119"/>
    <mergeCell ref="E2946:F2946"/>
    <mergeCell ref="E2947:F2947"/>
    <mergeCell ref="E2948:F2948"/>
    <mergeCell ref="E2949:F2949"/>
    <mergeCell ref="E2950:F2950"/>
    <mergeCell ref="E2951:F2951"/>
    <mergeCell ref="E2952:F2952"/>
    <mergeCell ref="E2961:H2961"/>
    <mergeCell ref="E2972:H2972"/>
    <mergeCell ref="E2973:H2973"/>
    <mergeCell ref="E2974:H2974"/>
    <mergeCell ref="E2975:H2975"/>
    <mergeCell ref="E2925:F2925"/>
    <mergeCell ref="E2945:H2945"/>
    <mergeCell ref="E2962:F2962"/>
    <mergeCell ref="E2963:F2963"/>
    <mergeCell ref="E3029:F3029"/>
    <mergeCell ref="E3034:F3034"/>
    <mergeCell ref="E3035:F3035"/>
    <mergeCell ref="E3031:F3031"/>
    <mergeCell ref="E3066:F3066"/>
    <mergeCell ref="E3075:F3075"/>
    <mergeCell ref="E3045:H3045"/>
    <mergeCell ref="E3046:H3046"/>
    <mergeCell ref="E3088:F3088"/>
    <mergeCell ref="E3087:F3087"/>
    <mergeCell ref="E3092:F3092"/>
    <mergeCell ref="E3093:F3093"/>
    <mergeCell ref="E3094:F3094"/>
    <mergeCell ref="E3095:F3095"/>
    <mergeCell ref="E2923:F2923"/>
    <mergeCell ref="E2936:F2936"/>
    <mergeCell ref="E2924:F2924"/>
    <mergeCell ref="E2918:F2918"/>
    <mergeCell ref="E2919:F2919"/>
    <mergeCell ref="E2920:F2920"/>
    <mergeCell ref="E2922:F2922"/>
    <mergeCell ref="E2985:F2985"/>
    <mergeCell ref="E2986:F2986"/>
    <mergeCell ref="E2991:H2991"/>
    <mergeCell ref="E2992:H2992"/>
    <mergeCell ref="E2993:H2993"/>
    <mergeCell ref="E2114:H2114"/>
    <mergeCell ref="E2115:H2115"/>
    <mergeCell ref="E2116:H2116"/>
    <mergeCell ref="E1774:H1774"/>
    <mergeCell ref="E1770:F1770"/>
    <mergeCell ref="E3820:F3820"/>
    <mergeCell ref="E3821:F3821"/>
    <mergeCell ref="E3822:F3822"/>
    <mergeCell ref="E3823:F3823"/>
    <mergeCell ref="E3790:F3790"/>
    <mergeCell ref="E3810:F3810"/>
    <mergeCell ref="E3811:F3811"/>
    <mergeCell ref="E3866:F3866"/>
    <mergeCell ref="E3867:F3867"/>
    <mergeCell ref="E3791:F3791"/>
    <mergeCell ref="E3836:F3836"/>
    <mergeCell ref="E3833:F3833"/>
    <mergeCell ref="E3794:F3794"/>
    <mergeCell ref="E3818:F3818"/>
    <mergeCell ref="E3819:F3819"/>
    <mergeCell ref="E3859:F3859"/>
    <mergeCell ref="E3860:F3860"/>
    <mergeCell ref="E3254:H3254"/>
    <mergeCell ref="E3259:H3259"/>
    <mergeCell ref="E3260:H3260"/>
    <mergeCell ref="E3261:H3261"/>
    <mergeCell ref="E3262:H3262"/>
    <mergeCell ref="E3264:H3264"/>
    <mergeCell ref="E3265:H3265"/>
    <mergeCell ref="E3266:H3266"/>
    <mergeCell ref="E2352:F2352"/>
    <mergeCell ref="E2400:H2400"/>
    <mergeCell ref="E2401:H2401"/>
    <mergeCell ref="E3133:F3133"/>
    <mergeCell ref="E3146:F3146"/>
    <mergeCell ref="E3167:F3167"/>
    <mergeCell ref="E3175:H3175"/>
    <mergeCell ref="E3180:H3180"/>
    <mergeCell ref="E3189:H3189"/>
    <mergeCell ref="E3190:H3190"/>
    <mergeCell ref="E3191:H3191"/>
    <mergeCell ref="E3192:H3192"/>
    <mergeCell ref="E3193:H3193"/>
    <mergeCell ref="E3194:H3194"/>
    <mergeCell ref="E3202:F3202"/>
    <mergeCell ref="E3204:F3204"/>
    <mergeCell ref="E3205:F3205"/>
    <mergeCell ref="E3206:F3206"/>
    <mergeCell ref="E2846:F2846"/>
    <mergeCell ref="E2848:F2848"/>
    <mergeCell ref="E2849:F2849"/>
    <mergeCell ref="E2822:F2822"/>
    <mergeCell ref="E2816:F2816"/>
    <mergeCell ref="E3026:F3026"/>
    <mergeCell ref="E3160:H3160"/>
    <mergeCell ref="E3183:H3183"/>
    <mergeCell ref="E3848:H3848"/>
    <mergeCell ref="E3221:F3221"/>
    <mergeCell ref="E3222:F3222"/>
    <mergeCell ref="E3176:F3176"/>
    <mergeCell ref="E3255:F3255"/>
    <mergeCell ref="E2850:F2850"/>
    <mergeCell ref="E2883:F2883"/>
    <mergeCell ref="E3056:F3056"/>
    <mergeCell ref="E1737:H1737"/>
    <mergeCell ref="E1738:H1738"/>
    <mergeCell ref="E1675:F1675"/>
    <mergeCell ref="E1676:F1676"/>
    <mergeCell ref="E1865:H1865"/>
    <mergeCell ref="E1866:H1866"/>
    <mergeCell ref="E1867:H1867"/>
    <mergeCell ref="E1868:H1868"/>
    <mergeCell ref="E1869:H1869"/>
    <mergeCell ref="E1870:H1870"/>
    <mergeCell ref="E1874:F1874"/>
    <mergeCell ref="E1876:F1876"/>
    <mergeCell ref="E1877:F1877"/>
    <mergeCell ref="E1889:H1889"/>
    <mergeCell ref="E1890:H1890"/>
    <mergeCell ref="E1897:F1897"/>
    <mergeCell ref="E1898:F1898"/>
    <mergeCell ref="E1934:F1934"/>
    <mergeCell ref="E1935:F1935"/>
    <mergeCell ref="E1936:F1936"/>
    <mergeCell ref="E1937:F1937"/>
    <mergeCell ref="E1938:F1938"/>
    <mergeCell ref="E1946:H1946"/>
    <mergeCell ref="E1947:H1947"/>
    <mergeCell ref="E1948:H1948"/>
    <mergeCell ref="E1949:H1949"/>
    <mergeCell ref="E1950:H1950"/>
    <mergeCell ref="E1951:H1951"/>
    <mergeCell ref="E1952:H1952"/>
    <mergeCell ref="E1954:F1954"/>
    <mergeCell ref="E2152:F2152"/>
    <mergeCell ref="E2138:H2138"/>
    <mergeCell ref="E2139:H2139"/>
    <mergeCell ref="E2140:H2140"/>
    <mergeCell ref="E2141:H2141"/>
    <mergeCell ref="E2142:H2142"/>
    <mergeCell ref="E2143:H2143"/>
    <mergeCell ref="E2144:H2144"/>
    <mergeCell ref="E2145:H2145"/>
    <mergeCell ref="E2149:F2149"/>
    <mergeCell ref="E2150:F2150"/>
    <mergeCell ref="E1833:F1833"/>
    <mergeCell ref="E1838:H1838"/>
    <mergeCell ref="E1851:F1851"/>
    <mergeCell ref="E1852:F1852"/>
    <mergeCell ref="E1854:H1854"/>
    <mergeCell ref="E1855:F1855"/>
    <mergeCell ref="E1856:F1856"/>
    <mergeCell ref="E1871:F1871"/>
    <mergeCell ref="E1883:H1883"/>
    <mergeCell ref="E1884:H1884"/>
    <mergeCell ref="E1885:H1885"/>
    <mergeCell ref="E1891:F1891"/>
    <mergeCell ref="E1892:F1892"/>
    <mergeCell ref="E1893:F1893"/>
    <mergeCell ref="E1894:F1894"/>
    <mergeCell ref="E1895:F1895"/>
    <mergeCell ref="E1904:H1904"/>
    <mergeCell ref="E1905:H1905"/>
    <mergeCell ref="E1906:H1906"/>
    <mergeCell ref="E1907:H1907"/>
    <mergeCell ref="E1908:H1908"/>
    <mergeCell ref="E1858:H1858"/>
    <mergeCell ref="E1845:F1845"/>
    <mergeCell ref="E1812:F1812"/>
    <mergeCell ref="E1813:F1813"/>
    <mergeCell ref="E1814:F1814"/>
    <mergeCell ref="E1815:F1815"/>
    <mergeCell ref="E1823:F1823"/>
    <mergeCell ref="E1826:F1826"/>
    <mergeCell ref="E1827:F1827"/>
    <mergeCell ref="E1828:F1828"/>
    <mergeCell ref="E1829:F1829"/>
    <mergeCell ref="E1830:F1830"/>
    <mergeCell ref="E1834:H1834"/>
    <mergeCell ref="E1835:H1835"/>
    <mergeCell ref="E1836:H1836"/>
    <mergeCell ref="E1837:H1837"/>
    <mergeCell ref="E1839:F1839"/>
    <mergeCell ref="E1840:F1840"/>
    <mergeCell ref="E1841:F1841"/>
    <mergeCell ref="E1842:F1842"/>
    <mergeCell ref="E1918:F1918"/>
    <mergeCell ref="E1919:F1919"/>
    <mergeCell ref="E1790:F1790"/>
    <mergeCell ref="E1798:H1798"/>
    <mergeCell ref="E1799:F1799"/>
    <mergeCell ref="E1914:F1914"/>
    <mergeCell ref="E1915:F1915"/>
    <mergeCell ref="E1916:F1916"/>
    <mergeCell ref="E1926:H1926"/>
    <mergeCell ref="E1927:H1927"/>
    <mergeCell ref="E1928:H1928"/>
    <mergeCell ref="E1929:H1929"/>
    <mergeCell ref="E1930:H1930"/>
    <mergeCell ref="E1925:F1925"/>
    <mergeCell ref="E1847:F1847"/>
    <mergeCell ref="E1843:F1843"/>
    <mergeCell ref="E1848:F1848"/>
    <mergeCell ref="E1849:F1849"/>
    <mergeCell ref="E1913:H1913"/>
    <mergeCell ref="E1872:F1872"/>
    <mergeCell ref="E1864:H1864"/>
    <mergeCell ref="E1873:F1873"/>
    <mergeCell ref="E1882:F1882"/>
    <mergeCell ref="E1857:H1857"/>
    <mergeCell ref="E1862:H1862"/>
    <mergeCell ref="E1863:H1863"/>
    <mergeCell ref="E1875:F1875"/>
    <mergeCell ref="E1878:F1878"/>
    <mergeCell ref="E1844:F1844"/>
    <mergeCell ref="E1903:F1903"/>
    <mergeCell ref="E1909:H1909"/>
    <mergeCell ref="E1910:H1910"/>
    <mergeCell ref="E1911:H1911"/>
    <mergeCell ref="E1879:F1879"/>
    <mergeCell ref="E1880:F1880"/>
    <mergeCell ref="E1881:F1881"/>
    <mergeCell ref="E1886:H1886"/>
    <mergeCell ref="E1896:F1896"/>
    <mergeCell ref="E1899:F1899"/>
    <mergeCell ref="E1902:F1902"/>
    <mergeCell ref="E1887:H1887"/>
    <mergeCell ref="E1888:H1888"/>
    <mergeCell ref="E1362:F1362"/>
    <mergeCell ref="E1422:F1422"/>
    <mergeCell ref="E1423:F1423"/>
    <mergeCell ref="E1424:F1424"/>
    <mergeCell ref="E1425:F1425"/>
    <mergeCell ref="E1426:F1426"/>
    <mergeCell ref="E1427:F1427"/>
    <mergeCell ref="E1428:F1428"/>
    <mergeCell ref="E1444:F1444"/>
    <mergeCell ref="E1443:F1443"/>
    <mergeCell ref="E1445:F1445"/>
    <mergeCell ref="E1452:H1452"/>
    <mergeCell ref="E1453:H1453"/>
    <mergeCell ref="E1391:H1391"/>
    <mergeCell ref="E1395:H1395"/>
    <mergeCell ref="E1430:F1430"/>
    <mergeCell ref="E1431:F1431"/>
    <mergeCell ref="E1311:H1311"/>
    <mergeCell ref="E1312:H1312"/>
    <mergeCell ref="E1315:F1315"/>
    <mergeCell ref="E1317:F1317"/>
    <mergeCell ref="E1318:F1318"/>
    <mergeCell ref="E1321:H1321"/>
    <mergeCell ref="E1322:H1322"/>
    <mergeCell ref="E1337:F1337"/>
    <mergeCell ref="E1338:F1338"/>
    <mergeCell ref="E1339:F1339"/>
    <mergeCell ref="E1340:F1340"/>
    <mergeCell ref="E1342:F1342"/>
    <mergeCell ref="E1343:F1343"/>
    <mergeCell ref="E1344:F1344"/>
    <mergeCell ref="E1345:F1345"/>
    <mergeCell ref="E1346:F1346"/>
    <mergeCell ref="E1356:H1356"/>
    <mergeCell ref="E1357:H1357"/>
    <mergeCell ref="E1358:H1358"/>
    <mergeCell ref="E1359:H1359"/>
    <mergeCell ref="E1333:F1333"/>
    <mergeCell ref="E1334:F1334"/>
    <mergeCell ref="E1335:F1335"/>
    <mergeCell ref="E1336:F1336"/>
    <mergeCell ref="E1348:F1348"/>
    <mergeCell ref="E1313:H1313"/>
    <mergeCell ref="E1314:H1314"/>
    <mergeCell ref="E1324:F1324"/>
    <mergeCell ref="E1331:F1331"/>
    <mergeCell ref="E1325:F1325"/>
    <mergeCell ref="E1366:F1366"/>
    <mergeCell ref="E1367:F1367"/>
    <mergeCell ref="E1368:F1368"/>
    <mergeCell ref="E1369:F1369"/>
    <mergeCell ref="E1370:F1370"/>
    <mergeCell ref="E1371:F1371"/>
    <mergeCell ref="E1372:F1372"/>
    <mergeCell ref="E1360:H1360"/>
    <mergeCell ref="E1363:F1363"/>
    <mergeCell ref="E1376:H1376"/>
    <mergeCell ref="E1381:H1381"/>
    <mergeCell ref="E1382:H1382"/>
    <mergeCell ref="E1383:H1383"/>
    <mergeCell ref="E1352:F1352"/>
    <mergeCell ref="E1326:F1326"/>
    <mergeCell ref="E1327:F1327"/>
    <mergeCell ref="E1328:F1328"/>
    <mergeCell ref="E1384:H1384"/>
    <mergeCell ref="E1385:H1385"/>
    <mergeCell ref="E1410:F1410"/>
    <mergeCell ref="E1411:F1411"/>
    <mergeCell ref="E1412:F1412"/>
    <mergeCell ref="E1274:F1274"/>
    <mergeCell ref="E1275:F1275"/>
    <mergeCell ref="E1276:F1276"/>
    <mergeCell ref="E1277:F1277"/>
    <mergeCell ref="E1263:F1263"/>
    <mergeCell ref="E1267:H1267"/>
    <mergeCell ref="E1268:H1268"/>
    <mergeCell ref="E1269:H1269"/>
    <mergeCell ref="E1270:H1270"/>
    <mergeCell ref="E1271:H1271"/>
    <mergeCell ref="E1279:F1279"/>
    <mergeCell ref="E1280:F1280"/>
    <mergeCell ref="E1196:F1196"/>
    <mergeCell ref="E1221:F1221"/>
    <mergeCell ref="E1186:H1186"/>
    <mergeCell ref="E1231:H1231"/>
    <mergeCell ref="E1232:H1232"/>
    <mergeCell ref="E1218:F1218"/>
    <mergeCell ref="E1187:H1187"/>
    <mergeCell ref="E1188:H1188"/>
    <mergeCell ref="E1189:H1189"/>
    <mergeCell ref="E1190:H1190"/>
    <mergeCell ref="E1191:H1191"/>
    <mergeCell ref="E1192:H1192"/>
    <mergeCell ref="E1193:H1193"/>
    <mergeCell ref="E1364:F1364"/>
    <mergeCell ref="E1365:F1365"/>
    <mergeCell ref="E1293:F1293"/>
    <mergeCell ref="E1294:F1294"/>
    <mergeCell ref="E1295:F1295"/>
    <mergeCell ref="E1296:F1296"/>
    <mergeCell ref="E1297:F1297"/>
    <mergeCell ref="E1298:F1298"/>
    <mergeCell ref="E1299:F1299"/>
    <mergeCell ref="E1307:H1307"/>
    <mergeCell ref="E1308:H1308"/>
    <mergeCell ref="E1309:H1309"/>
    <mergeCell ref="E1310:H1310"/>
    <mergeCell ref="E1258:F1258"/>
    <mergeCell ref="E1289:H1289"/>
    <mergeCell ref="E1290:H1290"/>
    <mergeCell ref="E1291:H1291"/>
    <mergeCell ref="E1292:H1292"/>
    <mergeCell ref="E1300:F1300"/>
    <mergeCell ref="E1301:F1301"/>
    <mergeCell ref="E1306:F1306"/>
    <mergeCell ref="E1302:F1302"/>
    <mergeCell ref="E1303:F1303"/>
    <mergeCell ref="E1304:F1304"/>
    <mergeCell ref="E1305:F1305"/>
    <mergeCell ref="E1353:F1353"/>
    <mergeCell ref="E1354:F1354"/>
    <mergeCell ref="E1320:H1320"/>
    <mergeCell ref="E1349:F1349"/>
    <mergeCell ref="E1351:F1351"/>
    <mergeCell ref="E1373:F1373"/>
    <mergeCell ref="E1374:F1374"/>
    <mergeCell ref="E1377:F1377"/>
    <mergeCell ref="E1361:F1361"/>
    <mergeCell ref="E556:H556"/>
    <mergeCell ref="E557:H557"/>
    <mergeCell ref="E558:H558"/>
    <mergeCell ref="E567:H567"/>
    <mergeCell ref="E571:F571"/>
    <mergeCell ref="E585:H585"/>
    <mergeCell ref="E593:F593"/>
    <mergeCell ref="E570:F570"/>
    <mergeCell ref="E839:F839"/>
    <mergeCell ref="E812:F812"/>
    <mergeCell ref="E647:H647"/>
    <mergeCell ref="E747:F747"/>
    <mergeCell ref="E748:F748"/>
    <mergeCell ref="E749:F749"/>
    <mergeCell ref="E777:F777"/>
    <mergeCell ref="E779:F779"/>
    <mergeCell ref="E835:F835"/>
    <mergeCell ref="E836:F836"/>
    <mergeCell ref="E673:F673"/>
    <mergeCell ref="E674:F674"/>
    <mergeCell ref="E675:F675"/>
    <mergeCell ref="E676:F676"/>
    <mergeCell ref="E677:F677"/>
    <mergeCell ref="E678:F678"/>
    <mergeCell ref="E698:F698"/>
    <mergeCell ref="E699:F699"/>
    <mergeCell ref="E700:F700"/>
    <mergeCell ref="E701:F701"/>
    <mergeCell ref="E702:F702"/>
    <mergeCell ref="E703:F703"/>
    <mergeCell ref="E704:F704"/>
    <mergeCell ref="E591:H591"/>
    <mergeCell ref="E743:H743"/>
    <mergeCell ref="E744:H744"/>
    <mergeCell ref="E745:H745"/>
    <mergeCell ref="E746:H746"/>
    <mergeCell ref="E750:F750"/>
    <mergeCell ref="E751:F751"/>
    <mergeCell ref="E752:F752"/>
    <mergeCell ref="E753:F753"/>
    <mergeCell ref="E754:F754"/>
    <mergeCell ref="E755:F755"/>
    <mergeCell ref="E756:F756"/>
    <mergeCell ref="E757:F757"/>
    <mergeCell ref="E768:H768"/>
    <mergeCell ref="E769:H769"/>
    <mergeCell ref="E770:H770"/>
    <mergeCell ref="E771:H771"/>
    <mergeCell ref="E772:H772"/>
    <mergeCell ref="E653:H653"/>
    <mergeCell ref="E654:H654"/>
    <mergeCell ref="E655:H655"/>
    <mergeCell ref="E660:F660"/>
    <mergeCell ref="E661:F661"/>
    <mergeCell ref="E662:F662"/>
    <mergeCell ref="E663:F663"/>
    <mergeCell ref="E664:F664"/>
    <mergeCell ref="E665:F665"/>
    <mergeCell ref="E679:H679"/>
    <mergeCell ref="E680:H680"/>
    <mergeCell ref="E681:H681"/>
    <mergeCell ref="E682:H682"/>
    <mergeCell ref="E683:H683"/>
    <mergeCell ref="E684:H684"/>
    <mergeCell ref="E617:H617"/>
    <mergeCell ref="E618:H618"/>
    <mergeCell ref="E628:F628"/>
    <mergeCell ref="E648:H648"/>
    <mergeCell ref="E623:F623"/>
    <mergeCell ref="E629:F629"/>
    <mergeCell ref="E622:H622"/>
    <mergeCell ref="E625:F625"/>
    <mergeCell ref="E636:F636"/>
    <mergeCell ref="E637:F637"/>
    <mergeCell ref="E638:F638"/>
    <mergeCell ref="E639:F639"/>
    <mergeCell ref="E640:F640"/>
    <mergeCell ref="E641:F641"/>
    <mergeCell ref="E642:F642"/>
    <mergeCell ref="E607:F607"/>
    <mergeCell ref="E595:F595"/>
    <mergeCell ref="E645:H645"/>
    <mergeCell ref="E635:F635"/>
    <mergeCell ref="E586:H586"/>
    <mergeCell ref="E552:F552"/>
    <mergeCell ref="E644:F644"/>
    <mergeCell ref="E652:H652"/>
    <mergeCell ref="E656:F656"/>
    <mergeCell ref="E657:F657"/>
    <mergeCell ref="E658:F658"/>
    <mergeCell ref="E659:F659"/>
    <mergeCell ref="E594:F594"/>
    <mergeCell ref="E596:F596"/>
    <mergeCell ref="E597:F597"/>
    <mergeCell ref="E598:F598"/>
    <mergeCell ref="E694:F694"/>
    <mergeCell ref="E574:F574"/>
    <mergeCell ref="E581:F581"/>
    <mergeCell ref="E582:F582"/>
    <mergeCell ref="E583:F583"/>
    <mergeCell ref="E599:F599"/>
    <mergeCell ref="E605:F605"/>
    <mergeCell ref="E608:F608"/>
    <mergeCell ref="E609:F609"/>
    <mergeCell ref="E610:F610"/>
    <mergeCell ref="E611:F611"/>
    <mergeCell ref="E612:F612"/>
    <mergeCell ref="E614:H614"/>
    <mergeCell ref="E615:H615"/>
    <mergeCell ref="E616:H616"/>
    <mergeCell ref="E619:H619"/>
    <mergeCell ref="E620:H620"/>
    <mergeCell ref="E559:H559"/>
    <mergeCell ref="E560:H560"/>
    <mergeCell ref="E561:H561"/>
    <mergeCell ref="E562:H562"/>
    <mergeCell ref="E563:H563"/>
    <mergeCell ref="E564:H564"/>
    <mergeCell ref="E565:H565"/>
    <mergeCell ref="E566:H566"/>
    <mergeCell ref="E568:F568"/>
    <mergeCell ref="E569:F569"/>
    <mergeCell ref="E553:H553"/>
    <mergeCell ref="E601:F601"/>
    <mergeCell ref="E602:F602"/>
    <mergeCell ref="E603:F603"/>
    <mergeCell ref="E573:F573"/>
    <mergeCell ref="E572:F572"/>
    <mergeCell ref="E314:H314"/>
    <mergeCell ref="E315:H315"/>
    <mergeCell ref="E316:H316"/>
    <mergeCell ref="E317:H317"/>
    <mergeCell ref="E528:H528"/>
    <mergeCell ref="E497:H497"/>
    <mergeCell ref="E498:H498"/>
    <mergeCell ref="E499:H499"/>
    <mergeCell ref="E477:H477"/>
    <mergeCell ref="E478:H478"/>
    <mergeCell ref="E480:H480"/>
    <mergeCell ref="E341:H341"/>
    <mergeCell ref="E342:H342"/>
    <mergeCell ref="E348:H348"/>
    <mergeCell ref="E349:H349"/>
    <mergeCell ref="E350:H350"/>
    <mergeCell ref="E353:F353"/>
    <mergeCell ref="E355:F355"/>
    <mergeCell ref="E356:F356"/>
    <mergeCell ref="E357:F357"/>
    <mergeCell ref="E358:F358"/>
    <mergeCell ref="E360:F360"/>
    <mergeCell ref="E367:H367"/>
    <mergeCell ref="E368:H368"/>
    <mergeCell ref="E402:F402"/>
    <mergeCell ref="E404:F404"/>
    <mergeCell ref="E405:F405"/>
    <mergeCell ref="E397:H397"/>
    <mergeCell ref="E398:H398"/>
    <mergeCell ref="E399:H399"/>
    <mergeCell ref="E400:H400"/>
    <mergeCell ref="E401:H401"/>
    <mergeCell ref="E510:F510"/>
    <mergeCell ref="E511:F511"/>
    <mergeCell ref="E512:F512"/>
    <mergeCell ref="E513:F513"/>
    <mergeCell ref="E514:F514"/>
    <mergeCell ref="E519:F519"/>
    <mergeCell ref="E338:F338"/>
    <mergeCell ref="E339:F339"/>
    <mergeCell ref="E340:F340"/>
    <mergeCell ref="E330:F330"/>
    <mergeCell ref="E331:F331"/>
    <mergeCell ref="E332:F332"/>
    <mergeCell ref="E521:F521"/>
    <mergeCell ref="E362:F362"/>
    <mergeCell ref="E361:F361"/>
    <mergeCell ref="E343:H343"/>
    <mergeCell ref="E344:H344"/>
    <mergeCell ref="E345:H345"/>
    <mergeCell ref="E346:H346"/>
    <mergeCell ref="E347:H347"/>
    <mergeCell ref="E351:F351"/>
    <mergeCell ref="E354:F354"/>
    <mergeCell ref="E359:F359"/>
    <mergeCell ref="E522:F522"/>
    <mergeCell ref="E524:F524"/>
    <mergeCell ref="E425:H425"/>
    <mergeCell ref="E426:H426"/>
    <mergeCell ref="E427:H427"/>
    <mergeCell ref="E428:H428"/>
    <mergeCell ref="E429:H429"/>
    <mergeCell ref="E430:F430"/>
    <mergeCell ref="E411:F411"/>
    <mergeCell ref="E600:F600"/>
    <mergeCell ref="E575:F575"/>
    <mergeCell ref="E577:F577"/>
    <mergeCell ref="E578:F578"/>
    <mergeCell ref="E576:F576"/>
    <mergeCell ref="E579:F579"/>
    <mergeCell ref="E580:F580"/>
    <mergeCell ref="E587:H587"/>
    <mergeCell ref="E588:H588"/>
    <mergeCell ref="E589:H589"/>
    <mergeCell ref="E590:H590"/>
    <mergeCell ref="E526:F526"/>
    <mergeCell ref="E554:H554"/>
    <mergeCell ref="E555:H555"/>
    <mergeCell ref="E221:H221"/>
    <mergeCell ref="E226:H226"/>
    <mergeCell ref="E227:H227"/>
    <mergeCell ref="E228:H228"/>
    <mergeCell ref="E229:H229"/>
    <mergeCell ref="E230:H230"/>
    <mergeCell ref="E240:H240"/>
    <mergeCell ref="E249:F249"/>
    <mergeCell ref="E250:F250"/>
    <mergeCell ref="E251:F251"/>
    <mergeCell ref="E252:F252"/>
    <mergeCell ref="E253:F253"/>
    <mergeCell ref="E254:F254"/>
    <mergeCell ref="E255:F255"/>
    <mergeCell ref="E501:F501"/>
    <mergeCell ref="E502:F502"/>
    <mergeCell ref="E503:F503"/>
    <mergeCell ref="E504:F504"/>
    <mergeCell ref="E516:F516"/>
    <mergeCell ref="E517:F517"/>
    <mergeCell ref="E505:F505"/>
    <mergeCell ref="E506:F506"/>
    <mergeCell ref="E507:F507"/>
    <mergeCell ref="E508:F508"/>
    <mergeCell ref="E278:F278"/>
    <mergeCell ref="E279:F279"/>
    <mergeCell ref="E280:F280"/>
    <mergeCell ref="E311:F311"/>
    <mergeCell ref="E270:F270"/>
    <mergeCell ref="E271:F271"/>
    <mergeCell ref="E272:F272"/>
    <mergeCell ref="E273:F273"/>
    <mergeCell ref="E274:F274"/>
    <mergeCell ref="E283:H283"/>
    <mergeCell ref="E292:H292"/>
    <mergeCell ref="E301:F301"/>
    <mergeCell ref="E302:F302"/>
    <mergeCell ref="E303:F303"/>
    <mergeCell ref="E304:F304"/>
    <mergeCell ref="E305:F305"/>
    <mergeCell ref="E306:F306"/>
    <mergeCell ref="E307:F307"/>
    <mergeCell ref="E308:F308"/>
    <mergeCell ref="E312:H312"/>
    <mergeCell ref="E296:F296"/>
    <mergeCell ref="E297:F297"/>
    <mergeCell ref="E298:F298"/>
    <mergeCell ref="E299:F299"/>
    <mergeCell ref="E300:F300"/>
    <mergeCell ref="E309:F309"/>
    <mergeCell ref="E13129:F13129"/>
    <mergeCell ref="E13108:H13108"/>
    <mergeCell ref="E13109:H13109"/>
    <mergeCell ref="E13110:H13110"/>
    <mergeCell ref="E13118:F13118"/>
    <mergeCell ref="E13119:F13119"/>
    <mergeCell ref="E13120:F13120"/>
    <mergeCell ref="E13121:F13121"/>
    <mergeCell ref="E13122:F13122"/>
    <mergeCell ref="E13123:F13123"/>
    <mergeCell ref="E13124:F13124"/>
    <mergeCell ref="E13101:F13101"/>
    <mergeCell ref="E13107:F13107"/>
    <mergeCell ref="E13111:F13111"/>
    <mergeCell ref="E13112:F13112"/>
    <mergeCell ref="E13113:F13113"/>
    <mergeCell ref="E13114:F13114"/>
    <mergeCell ref="E13106:F13106"/>
    <mergeCell ref="E13066:F13066"/>
    <mergeCell ref="E13078:F13078"/>
    <mergeCell ref="E13080:H13080"/>
    <mergeCell ref="E13083:F13083"/>
    <mergeCell ref="E13000:F13000"/>
    <mergeCell ref="E13001:F13001"/>
    <mergeCell ref="E13002:F13002"/>
    <mergeCell ref="E13014:F13014"/>
    <mergeCell ref="E13016:F13016"/>
    <mergeCell ref="E13023:F13023"/>
    <mergeCell ref="E13024:F13024"/>
    <mergeCell ref="E13029:F13029"/>
    <mergeCell ref="E13034:H13034"/>
    <mergeCell ref="E12822:F12822"/>
    <mergeCell ref="E12837:H12837"/>
    <mergeCell ref="E12842:H12842"/>
    <mergeCell ref="E12845:F12845"/>
    <mergeCell ref="E12846:F12846"/>
    <mergeCell ref="E12847:F12847"/>
    <mergeCell ref="E12848:F12848"/>
    <mergeCell ref="E12849:F12849"/>
    <mergeCell ref="E12850:F12850"/>
    <mergeCell ref="E12851:F12851"/>
    <mergeCell ref="E12852:F12852"/>
    <mergeCell ref="E12853:F12853"/>
    <mergeCell ref="E12854:F12854"/>
    <mergeCell ref="E12855:F12855"/>
    <mergeCell ref="E12861:H12861"/>
    <mergeCell ref="E12864:F12864"/>
    <mergeCell ref="E12829:F12829"/>
    <mergeCell ref="E12830:F12830"/>
    <mergeCell ref="E12835:F12835"/>
    <mergeCell ref="E12836:F12836"/>
    <mergeCell ref="E12838:F12838"/>
    <mergeCell ref="E12839:F12839"/>
    <mergeCell ref="E12840:F12840"/>
    <mergeCell ref="E12841:F12841"/>
    <mergeCell ref="E12843:H12843"/>
    <mergeCell ref="E12844:H12844"/>
    <mergeCell ref="E12856:F12856"/>
    <mergeCell ref="E12857:F12857"/>
    <mergeCell ref="E12858:F12858"/>
    <mergeCell ref="E12859:F12859"/>
    <mergeCell ref="E12860:F12860"/>
    <mergeCell ref="E12862:F12862"/>
    <mergeCell ref="E12863:F12863"/>
    <mergeCell ref="E12866:H12866"/>
    <mergeCell ref="E12867:H12867"/>
    <mergeCell ref="E12868:H12868"/>
    <mergeCell ref="E12869:H12869"/>
    <mergeCell ref="E12870:H12870"/>
    <mergeCell ref="E12871:H12871"/>
    <mergeCell ref="E12872:H12872"/>
    <mergeCell ref="E12873:F12873"/>
    <mergeCell ref="E12874:F12874"/>
    <mergeCell ref="E12876:F12876"/>
    <mergeCell ref="E12877:F12877"/>
    <mergeCell ref="E12896:F12896"/>
    <mergeCell ref="E12904:H12904"/>
    <mergeCell ref="E12909:H12909"/>
    <mergeCell ref="E12910:H12910"/>
    <mergeCell ref="E12929:F12929"/>
    <mergeCell ref="E12930:F12930"/>
    <mergeCell ref="E12878:F12878"/>
    <mergeCell ref="E12831:F12831"/>
    <mergeCell ref="E12915:H12915"/>
    <mergeCell ref="E12916:H12916"/>
    <mergeCell ref="E12907:F12907"/>
    <mergeCell ref="E12118:F12118"/>
    <mergeCell ref="E12140:F12140"/>
    <mergeCell ref="E12141:F12141"/>
    <mergeCell ref="E12131:F12131"/>
    <mergeCell ref="E12090:F12090"/>
    <mergeCell ref="E12091:F12091"/>
    <mergeCell ref="E12092:F12092"/>
    <mergeCell ref="E12093:F12093"/>
    <mergeCell ref="E12095:H12095"/>
    <mergeCell ref="E12096:H12096"/>
    <mergeCell ref="E12097:H12097"/>
    <mergeCell ref="E12098:H12098"/>
    <mergeCell ref="E12099:H12099"/>
    <mergeCell ref="E12100:H12100"/>
    <mergeCell ref="E12101:H12101"/>
    <mergeCell ref="E12102:H12102"/>
    <mergeCell ref="E12112:F12112"/>
    <mergeCell ref="E12113:F12113"/>
    <mergeCell ref="E12114:F12114"/>
    <mergeCell ref="E12116:F12116"/>
    <mergeCell ref="E12119:F12119"/>
    <mergeCell ref="E12120:F12120"/>
    <mergeCell ref="E12122:F12122"/>
    <mergeCell ref="E12123:F12123"/>
    <mergeCell ref="E12124:F12124"/>
    <mergeCell ref="E12126:H12126"/>
    <mergeCell ref="E12127:H12127"/>
    <mergeCell ref="E12296:H12296"/>
    <mergeCell ref="E12297:H12297"/>
    <mergeCell ref="E12094:F12094"/>
    <mergeCell ref="E12190:F12190"/>
    <mergeCell ref="E12199:F12199"/>
    <mergeCell ref="E12310:F12310"/>
    <mergeCell ref="E12352:H12352"/>
    <mergeCell ref="E12353:F12353"/>
    <mergeCell ref="E12355:F12355"/>
    <mergeCell ref="E12925:F12925"/>
    <mergeCell ref="E12926:F12926"/>
    <mergeCell ref="E12927:F12927"/>
    <mergeCell ref="E12928:F12928"/>
    <mergeCell ref="E12358:H12358"/>
    <mergeCell ref="E12359:H12359"/>
    <mergeCell ref="E12208:F12208"/>
    <mergeCell ref="E12209:F12209"/>
    <mergeCell ref="E12210:H12210"/>
    <mergeCell ref="E12211:H12211"/>
    <mergeCell ref="E12212:H12212"/>
    <mergeCell ref="E12213:H12213"/>
    <mergeCell ref="E12214:H12214"/>
    <mergeCell ref="E12215:H12215"/>
    <mergeCell ref="E12216:H12216"/>
    <mergeCell ref="E12217:H12217"/>
    <mergeCell ref="E12218:H12218"/>
    <mergeCell ref="E12219:H12219"/>
    <mergeCell ref="E12221:F12221"/>
    <mergeCell ref="E12226:F12226"/>
    <mergeCell ref="E12227:F12227"/>
    <mergeCell ref="E12228:F12228"/>
    <mergeCell ref="E12229:F12229"/>
    <mergeCell ref="E12311:F12311"/>
    <mergeCell ref="E12312:F12312"/>
    <mergeCell ref="E12313:F12313"/>
    <mergeCell ref="E12314:F12314"/>
    <mergeCell ref="E12230:F12230"/>
    <mergeCell ref="E12231:F12231"/>
    <mergeCell ref="E12232:F12232"/>
    <mergeCell ref="E12233:F12233"/>
    <mergeCell ref="E12234:F12234"/>
    <mergeCell ref="E12235:F12235"/>
    <mergeCell ref="E12240:H12240"/>
    <mergeCell ref="E12276:F12276"/>
    <mergeCell ref="E12277:F12277"/>
    <mergeCell ref="E12278:F12278"/>
    <mergeCell ref="E12298:H12298"/>
    <mergeCell ref="E12300:F12300"/>
    <mergeCell ref="E12301:F12301"/>
    <mergeCell ref="E12302:F12302"/>
    <mergeCell ref="E12303:F12303"/>
    <mergeCell ref="E12304:F12304"/>
    <mergeCell ref="E12305:F12305"/>
    <mergeCell ref="E12306:F12306"/>
    <mergeCell ref="E12307:F12307"/>
    <mergeCell ref="E12253:F12253"/>
    <mergeCell ref="E12254:F12254"/>
    <mergeCell ref="E12255:F12255"/>
    <mergeCell ref="E12256:F12256"/>
    <mergeCell ref="E12257:F12257"/>
    <mergeCell ref="E12258:F12258"/>
    <mergeCell ref="E12259:F12259"/>
    <mergeCell ref="E12260:F12260"/>
    <mergeCell ref="E12261:F12261"/>
    <mergeCell ref="E12262:F12262"/>
    <mergeCell ref="E12264:H12264"/>
    <mergeCell ref="E12265:H12265"/>
    <mergeCell ref="E12266:H12266"/>
    <mergeCell ref="E12267:H12267"/>
    <mergeCell ref="E12268:H12268"/>
    <mergeCell ref="E12269:H12269"/>
    <mergeCell ref="E12270:H12270"/>
    <mergeCell ref="E12271:H12271"/>
    <mergeCell ref="E12237:F12237"/>
    <mergeCell ref="E12238:F12238"/>
    <mergeCell ref="E12239:F12239"/>
    <mergeCell ref="E12236:F12236"/>
    <mergeCell ref="E12241:H12241"/>
    <mergeCell ref="E12242:H12242"/>
    <mergeCell ref="E12243:H12243"/>
    <mergeCell ref="E12244:H12244"/>
    <mergeCell ref="E12249:F12249"/>
    <mergeCell ref="E12289:F12289"/>
    <mergeCell ref="E12290:F12290"/>
    <mergeCell ref="E12272:F12272"/>
    <mergeCell ref="E12273:F12273"/>
    <mergeCell ref="E12315:F12315"/>
    <mergeCell ref="E12250:F12250"/>
    <mergeCell ref="E12251:F12251"/>
    <mergeCell ref="E12317:F12317"/>
    <mergeCell ref="E12295:H12295"/>
    <mergeCell ref="E11539:F11539"/>
    <mergeCell ref="E11540:F11540"/>
    <mergeCell ref="E11541:F11541"/>
    <mergeCell ref="E11547:F11547"/>
    <mergeCell ref="E11548:F11548"/>
    <mergeCell ref="E11552:H11552"/>
    <mergeCell ref="E11553:H11553"/>
    <mergeCell ref="E11554:H11554"/>
    <mergeCell ref="E11555:H11555"/>
    <mergeCell ref="E11556:H11556"/>
    <mergeCell ref="E11564:F11564"/>
    <mergeCell ref="E11567:F11567"/>
    <mergeCell ref="E11568:F11568"/>
    <mergeCell ref="E11569:F11569"/>
    <mergeCell ref="E11570:F11570"/>
    <mergeCell ref="E11571:F11571"/>
    <mergeCell ref="E11572:F11572"/>
    <mergeCell ref="E11579:H11579"/>
    <mergeCell ref="E11580:H11580"/>
    <mergeCell ref="E11562:F11562"/>
    <mergeCell ref="E11563:F11563"/>
    <mergeCell ref="E11565:F11565"/>
    <mergeCell ref="E11566:F11566"/>
    <mergeCell ref="E11545:F11545"/>
    <mergeCell ref="E11546:F11546"/>
    <mergeCell ref="E11542:F11542"/>
    <mergeCell ref="E11543:F11543"/>
    <mergeCell ref="E11549:H11549"/>
    <mergeCell ref="E11550:H11550"/>
    <mergeCell ref="E11551:H11551"/>
    <mergeCell ref="E11557:F11557"/>
    <mergeCell ref="E11558:F11558"/>
    <mergeCell ref="E11559:F11559"/>
    <mergeCell ref="E11560:F11560"/>
    <mergeCell ref="E11561:F11561"/>
    <mergeCell ref="E11573:H11573"/>
    <mergeCell ref="E11574:H11574"/>
    <mergeCell ref="E11575:H11575"/>
    <mergeCell ref="E11576:H11576"/>
    <mergeCell ref="E11577:H11577"/>
    <mergeCell ref="E11578:H11578"/>
    <mergeCell ref="E11544:F11544"/>
    <mergeCell ref="E11664:F11664"/>
    <mergeCell ref="E11665:F11665"/>
    <mergeCell ref="E11590:F11590"/>
    <mergeCell ref="E11611:F11611"/>
    <mergeCell ref="E11612:F11612"/>
    <mergeCell ref="E11613:F11613"/>
    <mergeCell ref="E11614:F11614"/>
    <mergeCell ref="E11615:F11615"/>
    <mergeCell ref="E11603:H11603"/>
    <mergeCell ref="E11604:H11604"/>
    <mergeCell ref="E11050:F11050"/>
    <mergeCell ref="E11051:F11051"/>
    <mergeCell ref="E11052:F11052"/>
    <mergeCell ref="E11053:F11053"/>
    <mergeCell ref="E11054:F11054"/>
    <mergeCell ref="E11055:F11055"/>
    <mergeCell ref="E11056:F11056"/>
    <mergeCell ref="E11244:F11244"/>
    <mergeCell ref="E11241:F11241"/>
    <mergeCell ref="E11246:F11246"/>
    <mergeCell ref="E11245:F11245"/>
    <mergeCell ref="E11250:F11250"/>
    <mergeCell ref="E11219:F11219"/>
    <mergeCell ref="E11220:F11220"/>
    <mergeCell ref="E11221:F11221"/>
    <mergeCell ref="E11231:H11231"/>
    <mergeCell ref="E11232:H11232"/>
    <mergeCell ref="E11242:F11242"/>
    <mergeCell ref="E11243:F11243"/>
    <mergeCell ref="E11249:F11249"/>
    <mergeCell ref="E11132:F11132"/>
    <mergeCell ref="E11134:F11134"/>
    <mergeCell ref="E11183:F11183"/>
    <mergeCell ref="E11063:H11063"/>
    <mergeCell ref="E11064:H11064"/>
    <mergeCell ref="E11075:F11075"/>
    <mergeCell ref="E11076:F11076"/>
    <mergeCell ref="E11077:F11077"/>
    <mergeCell ref="E11078:F11078"/>
    <mergeCell ref="E11079:F11079"/>
    <mergeCell ref="E11103:F11103"/>
    <mergeCell ref="E11117:H11117"/>
    <mergeCell ref="E11118:H11118"/>
    <mergeCell ref="E11125:F11125"/>
    <mergeCell ref="E11126:F11126"/>
    <mergeCell ref="E11120:H11120"/>
    <mergeCell ref="E11119:H11119"/>
    <mergeCell ref="E11073:F11073"/>
    <mergeCell ref="E11074:F11074"/>
    <mergeCell ref="E11112:F11112"/>
    <mergeCell ref="E11114:F11114"/>
    <mergeCell ref="E11070:F11070"/>
    <mergeCell ref="E11071:F11071"/>
    <mergeCell ref="E11072:F11072"/>
    <mergeCell ref="E11080:H11080"/>
    <mergeCell ref="E11081:H11081"/>
    <mergeCell ref="E11082:H11082"/>
    <mergeCell ref="E11083:H11083"/>
    <mergeCell ref="E11084:H11084"/>
    <mergeCell ref="E11085:H11085"/>
    <mergeCell ref="E11086:H11086"/>
    <mergeCell ref="E11087:H11087"/>
    <mergeCell ref="E11093:F11093"/>
    <mergeCell ref="E11094:F11094"/>
    <mergeCell ref="E11095:F11095"/>
    <mergeCell ref="E11096:F11096"/>
    <mergeCell ref="E11097:F11097"/>
    <mergeCell ref="E11098:F11098"/>
    <mergeCell ref="E11099:F11099"/>
    <mergeCell ref="E11100:F11100"/>
    <mergeCell ref="E11058:H11058"/>
    <mergeCell ref="E11059:H11059"/>
    <mergeCell ref="E11215:H11215"/>
    <mergeCell ref="E11216:H11216"/>
    <mergeCell ref="E10797:H10797"/>
    <mergeCell ref="E10812:F10812"/>
    <mergeCell ref="E10813:H10813"/>
    <mergeCell ref="E10814:H10814"/>
    <mergeCell ref="E10815:H10815"/>
    <mergeCell ref="E10816:H10816"/>
    <mergeCell ref="E10817:H10817"/>
    <mergeCell ref="E10818:H10818"/>
    <mergeCell ref="E10819:H10819"/>
    <mergeCell ref="E10820:H10820"/>
    <mergeCell ref="E10821:H10821"/>
    <mergeCell ref="E10822:H10822"/>
    <mergeCell ref="E10826:F10826"/>
    <mergeCell ref="E10827:F10827"/>
    <mergeCell ref="E10828:F10828"/>
    <mergeCell ref="E10829:F10829"/>
    <mergeCell ref="E10830:F10830"/>
    <mergeCell ref="E10544:F10544"/>
    <mergeCell ref="E10582:F10582"/>
    <mergeCell ref="E10604:F10604"/>
    <mergeCell ref="E10606:F10606"/>
    <mergeCell ref="E10575:F10575"/>
    <mergeCell ref="E11012:H11012"/>
    <mergeCell ref="E11013:H11013"/>
    <mergeCell ref="E11014:H11014"/>
    <mergeCell ref="E11015:H11015"/>
    <mergeCell ref="E11016:H11016"/>
    <mergeCell ref="E11026:F11026"/>
    <mergeCell ref="E11027:F11027"/>
    <mergeCell ref="E11028:F11028"/>
    <mergeCell ref="E10806:F10806"/>
    <mergeCell ref="E10807:F10807"/>
    <mergeCell ref="E10808:F10808"/>
    <mergeCell ref="E10809:F10809"/>
    <mergeCell ref="E10811:F10811"/>
    <mergeCell ref="E10776:F10776"/>
    <mergeCell ref="E10551:F10551"/>
    <mergeCell ref="E10552:F10552"/>
    <mergeCell ref="E10553:F10553"/>
    <mergeCell ref="E10554:F10554"/>
    <mergeCell ref="E10556:F10556"/>
    <mergeCell ref="E10559:F10559"/>
    <mergeCell ref="E10563:H10563"/>
    <mergeCell ref="E10564:H10564"/>
    <mergeCell ref="E10568:F10568"/>
    <mergeCell ref="E10574:F10574"/>
    <mergeCell ref="E10580:H10580"/>
    <mergeCell ref="E10585:H10585"/>
    <mergeCell ref="E10586:H10586"/>
    <mergeCell ref="E10587:H10587"/>
    <mergeCell ref="E10848:F10848"/>
    <mergeCell ref="E10859:H10859"/>
    <mergeCell ref="E10867:F10867"/>
    <mergeCell ref="E10888:F10888"/>
    <mergeCell ref="E10799:F10799"/>
    <mergeCell ref="E10678:H10678"/>
    <mergeCell ref="E10798:F10798"/>
    <mergeCell ref="E11024:F11024"/>
    <mergeCell ref="E10990:F10990"/>
    <mergeCell ref="E11018:F11018"/>
    <mergeCell ref="E11019:F11019"/>
    <mergeCell ref="E11017:F11017"/>
    <mergeCell ref="E10567:F10567"/>
    <mergeCell ref="E10800:F10800"/>
    <mergeCell ref="E10420:H10420"/>
    <mergeCell ref="E10421:H10421"/>
    <mergeCell ref="E10426:F10426"/>
    <mergeCell ref="E10427:F10427"/>
    <mergeCell ref="E10428:F10428"/>
    <mergeCell ref="E10429:F10429"/>
    <mergeCell ref="E10430:F10430"/>
    <mergeCell ref="E10431:F10431"/>
    <mergeCell ref="E10432:F10432"/>
    <mergeCell ref="E10433:F10433"/>
    <mergeCell ref="E10434:F10434"/>
    <mergeCell ref="E10788:H10788"/>
    <mergeCell ref="E10697:F10697"/>
    <mergeCell ref="E10698:F10698"/>
    <mergeCell ref="E10699:F10699"/>
    <mergeCell ref="E10700:F10700"/>
    <mergeCell ref="E10721:F10721"/>
    <mergeCell ref="E10722:F10722"/>
    <mergeCell ref="E10737:F10737"/>
    <mergeCell ref="E10764:F10764"/>
    <mergeCell ref="E10765:F10765"/>
    <mergeCell ref="E10724:F10724"/>
    <mergeCell ref="E10442:H10442"/>
    <mergeCell ref="E10446:F10446"/>
    <mergeCell ref="E10447:F10447"/>
    <mergeCell ref="E10448:F10448"/>
    <mergeCell ref="E10449:F10449"/>
    <mergeCell ref="E10450:F10450"/>
    <mergeCell ref="E10439:H10439"/>
    <mergeCell ref="E10440:H10440"/>
    <mergeCell ref="E10656:F10656"/>
    <mergeCell ref="E10670:F10670"/>
    <mergeCell ref="E10630:F10630"/>
    <mergeCell ref="E10631:F10631"/>
    <mergeCell ref="E10667:F10667"/>
    <mergeCell ref="E10668:F10668"/>
    <mergeCell ref="E10669:F10669"/>
    <mergeCell ref="E10679:H10679"/>
    <mergeCell ref="E10761:F10761"/>
    <mergeCell ref="E10762:F10762"/>
    <mergeCell ref="E10763:F10763"/>
    <mergeCell ref="E10778:F10778"/>
    <mergeCell ref="E10545:F10545"/>
    <mergeCell ref="E10546:F10546"/>
    <mergeCell ref="E10438:H10438"/>
    <mergeCell ref="E10543:F10543"/>
    <mergeCell ref="E10623:F10623"/>
    <mergeCell ref="E10624:F10624"/>
    <mergeCell ref="E10625:F10625"/>
    <mergeCell ref="E10634:H10634"/>
    <mergeCell ref="E10635:H10635"/>
    <mergeCell ref="E10636:H10636"/>
    <mergeCell ref="E10637:H10637"/>
    <mergeCell ref="E10581:F10581"/>
    <mergeCell ref="E10577:F10577"/>
    <mergeCell ref="E10578:F10578"/>
    <mergeCell ref="E10557:F10557"/>
    <mergeCell ref="E10571:F10571"/>
    <mergeCell ref="E10572:F10572"/>
    <mergeCell ref="E10573:F10573"/>
    <mergeCell ref="E10565:F10565"/>
    <mergeCell ref="E10566:F10566"/>
    <mergeCell ref="E10456:F10456"/>
    <mergeCell ref="E10451:F10451"/>
    <mergeCell ref="E10262:H10262"/>
    <mergeCell ref="E10273:F10273"/>
    <mergeCell ref="E10258:F10258"/>
    <mergeCell ref="E10012:F10012"/>
    <mergeCell ref="E10131:F10131"/>
    <mergeCell ref="E10132:F10132"/>
    <mergeCell ref="E10134:F10134"/>
    <mergeCell ref="E10100:H10100"/>
    <mergeCell ref="E10086:F10086"/>
    <mergeCell ref="E10087:F10087"/>
    <mergeCell ref="E10088:F10088"/>
    <mergeCell ref="E10089:F10089"/>
    <mergeCell ref="E10008:H10008"/>
    <mergeCell ref="E10032:H10032"/>
    <mergeCell ref="E10045:F10045"/>
    <mergeCell ref="E10046:F10046"/>
    <mergeCell ref="E10023:F10023"/>
    <mergeCell ref="E10090:F10090"/>
    <mergeCell ref="E10091:F10091"/>
    <mergeCell ref="E10234:F10234"/>
    <mergeCell ref="E10013:F10013"/>
    <mergeCell ref="E10014:F10014"/>
    <mergeCell ref="E10015:F10015"/>
    <mergeCell ref="E10016:F10016"/>
    <mergeCell ref="E10017:F10017"/>
    <mergeCell ref="E10213:H10213"/>
    <mergeCell ref="E10242:H10242"/>
    <mergeCell ref="E10121:F10121"/>
    <mergeCell ref="E10143:F10143"/>
    <mergeCell ref="E10151:H10151"/>
    <mergeCell ref="E10117:F10117"/>
    <mergeCell ref="E10115:F10115"/>
    <mergeCell ref="E10116:F10116"/>
    <mergeCell ref="E10123:H10123"/>
    <mergeCell ref="E10124:H10124"/>
    <mergeCell ref="E10125:H10125"/>
    <mergeCell ref="E10126:H10126"/>
    <mergeCell ref="E10127:H10127"/>
    <mergeCell ref="E10128:H10128"/>
    <mergeCell ref="E10129:H10129"/>
    <mergeCell ref="E10133:F10133"/>
    <mergeCell ref="E10140:F10140"/>
    <mergeCell ref="E10034:H10034"/>
    <mergeCell ref="E10020:F10020"/>
    <mergeCell ref="E10021:F10021"/>
    <mergeCell ref="E10022:F10022"/>
    <mergeCell ref="E10048:F10048"/>
    <mergeCell ref="E10069:F10069"/>
    <mergeCell ref="E10070:F10070"/>
    <mergeCell ref="E10071:F10071"/>
    <mergeCell ref="E10215:F10215"/>
    <mergeCell ref="E10216:F10216"/>
    <mergeCell ref="E10217:F10217"/>
    <mergeCell ref="E10218:F10218"/>
    <mergeCell ref="E10219:F10219"/>
    <mergeCell ref="E10220:F10220"/>
    <mergeCell ref="E10196:F10196"/>
    <mergeCell ref="E10225:H10225"/>
    <mergeCell ref="E10226:H10226"/>
    <mergeCell ref="E10227:H10227"/>
    <mergeCell ref="E10209:H10209"/>
    <mergeCell ref="E10210:H10210"/>
    <mergeCell ref="E10211:H10211"/>
    <mergeCell ref="E10212:H10212"/>
    <mergeCell ref="E9491:F9491"/>
    <mergeCell ref="E9492:F9492"/>
    <mergeCell ref="E9493:F9493"/>
    <mergeCell ref="E9495:F9495"/>
    <mergeCell ref="E9498:F9498"/>
    <mergeCell ref="E9501:F9501"/>
    <mergeCell ref="E9502:F9502"/>
    <mergeCell ref="E9504:H9504"/>
    <mergeCell ref="E9505:H9505"/>
    <mergeCell ref="E9506:H9506"/>
    <mergeCell ref="E9507:H9507"/>
    <mergeCell ref="E9508:H9508"/>
    <mergeCell ref="E9509:H9509"/>
    <mergeCell ref="E9510:H9510"/>
    <mergeCell ref="E9511:H9511"/>
    <mergeCell ref="E9513:H9513"/>
    <mergeCell ref="E9516:H9516"/>
    <mergeCell ref="E9437:F9437"/>
    <mergeCell ref="E9452:F9452"/>
    <mergeCell ref="E9453:F9453"/>
    <mergeCell ref="E9454:F9454"/>
    <mergeCell ref="E9455:F9455"/>
    <mergeCell ref="E9478:F9478"/>
    <mergeCell ref="E9298:H9298"/>
    <mergeCell ref="E9363:F9363"/>
    <mergeCell ref="E9383:F9383"/>
    <mergeCell ref="E9356:F9356"/>
    <mergeCell ref="E9357:F9357"/>
    <mergeCell ref="E9494:F9494"/>
    <mergeCell ref="E9497:F9497"/>
    <mergeCell ref="E9540:F9540"/>
    <mergeCell ref="E9538:F9538"/>
    <mergeCell ref="E9539:F9539"/>
    <mergeCell ref="E9359:F9359"/>
    <mergeCell ref="E9523:F9523"/>
    <mergeCell ref="E9323:H9323"/>
    <mergeCell ref="E9324:H9324"/>
    <mergeCell ref="E9325:H9325"/>
    <mergeCell ref="E9326:H9326"/>
    <mergeCell ref="E9327:H9327"/>
    <mergeCell ref="E9328:H9328"/>
    <mergeCell ref="E9329:H9329"/>
    <mergeCell ref="E9330:H9330"/>
    <mergeCell ref="E9331:H9331"/>
    <mergeCell ref="E9332:H9332"/>
    <mergeCell ref="E9333:F9333"/>
    <mergeCell ref="E9340:F9340"/>
    <mergeCell ref="E9341:F9341"/>
    <mergeCell ref="E9342:F9342"/>
    <mergeCell ref="E9343:F9343"/>
    <mergeCell ref="E9344:F9344"/>
    <mergeCell ref="E9345:F9345"/>
    <mergeCell ref="E9348:H9348"/>
    <mergeCell ref="E9349:H9349"/>
    <mergeCell ref="E9350:H9350"/>
    <mergeCell ref="E9351:H9351"/>
    <mergeCell ref="E9352:H9352"/>
    <mergeCell ref="E9353:H9353"/>
    <mergeCell ref="E9354:H9354"/>
    <mergeCell ref="E9355:H9355"/>
    <mergeCell ref="E9360:F9360"/>
    <mergeCell ref="E9361:F9361"/>
    <mergeCell ref="E9364:F9364"/>
    <mergeCell ref="E9358:F9358"/>
    <mergeCell ref="E9482:H9482"/>
    <mergeCell ref="E9317:F9317"/>
    <mergeCell ref="E9318:F9318"/>
    <mergeCell ref="E9421:H9421"/>
    <mergeCell ref="E9422:H9422"/>
    <mergeCell ref="E9423:H9423"/>
    <mergeCell ref="E9424:H9424"/>
    <mergeCell ref="E9429:F9429"/>
    <mergeCell ref="E8856:F8856"/>
    <mergeCell ref="E8858:F8858"/>
    <mergeCell ref="E8861:H8861"/>
    <mergeCell ref="E8874:F8874"/>
    <mergeCell ref="E8900:F8900"/>
    <mergeCell ref="E8875:F8875"/>
    <mergeCell ref="E8876:F8876"/>
    <mergeCell ref="E8878:F8878"/>
    <mergeCell ref="E8879:F8879"/>
    <mergeCell ref="E9061:F9061"/>
    <mergeCell ref="E8859:F8859"/>
    <mergeCell ref="E8892:F8892"/>
    <mergeCell ref="E8893:F8893"/>
    <mergeCell ref="E8902:F8902"/>
    <mergeCell ref="E8904:H8904"/>
    <mergeCell ref="E8907:F8907"/>
    <mergeCell ref="E8908:F8908"/>
    <mergeCell ref="E8915:H8915"/>
    <mergeCell ref="E8916:H8916"/>
    <mergeCell ref="E8917:H8917"/>
    <mergeCell ref="E8919:H8919"/>
    <mergeCell ref="E8920:H8920"/>
    <mergeCell ref="E8921:H8921"/>
    <mergeCell ref="E8898:F8898"/>
    <mergeCell ref="E8901:F8901"/>
    <mergeCell ref="E8905:F8905"/>
    <mergeCell ref="E8906:F8906"/>
    <mergeCell ref="E8909:H8909"/>
    <mergeCell ref="E8910:H8910"/>
    <mergeCell ref="E8911:H8911"/>
    <mergeCell ref="E8912:H8912"/>
    <mergeCell ref="E8890:F8890"/>
    <mergeCell ref="E8891:F8891"/>
    <mergeCell ref="E8982:F8982"/>
    <mergeCell ref="E8983:F8983"/>
    <mergeCell ref="E8984:F8984"/>
    <mergeCell ref="E8986:H8986"/>
    <mergeCell ref="E8987:H8987"/>
    <mergeCell ref="E8988:H8988"/>
    <mergeCell ref="E8989:H8989"/>
    <mergeCell ref="E8990:H8990"/>
    <mergeCell ref="E9010:H9010"/>
    <mergeCell ref="E9011:H9011"/>
    <mergeCell ref="E9012:H9012"/>
    <mergeCell ref="E9031:H9031"/>
    <mergeCell ref="E9032:H9032"/>
    <mergeCell ref="E9033:H9033"/>
    <mergeCell ref="E9041:F9041"/>
    <mergeCell ref="E9013:H9013"/>
    <mergeCell ref="E9014:H9014"/>
    <mergeCell ref="E9019:F9019"/>
    <mergeCell ref="E8999:F8999"/>
    <mergeCell ref="E9000:F9000"/>
    <mergeCell ref="E8868:F8868"/>
    <mergeCell ref="E9046:F9046"/>
    <mergeCell ref="E8869:F8869"/>
    <mergeCell ref="E8871:F8871"/>
    <mergeCell ref="E8872:F8872"/>
    <mergeCell ref="E8873:F8873"/>
    <mergeCell ref="E8881:F8881"/>
    <mergeCell ref="E8884:H8884"/>
    <mergeCell ref="E8885:H8885"/>
    <mergeCell ref="E8889:F8889"/>
    <mergeCell ref="E8888:H8888"/>
    <mergeCell ref="E8967:H8967"/>
    <mergeCell ref="E8051:F8051"/>
    <mergeCell ref="E8068:F8068"/>
    <mergeCell ref="E8069:F8069"/>
    <mergeCell ref="E8246:H8246"/>
    <mergeCell ref="E8243:H8243"/>
    <mergeCell ref="E8244:H8244"/>
    <mergeCell ref="E8238:F8238"/>
    <mergeCell ref="E8239:F8239"/>
    <mergeCell ref="E8224:H8224"/>
    <mergeCell ref="E8232:F8232"/>
    <mergeCell ref="E8233:F8233"/>
    <mergeCell ref="E8234:F8234"/>
    <mergeCell ref="E8235:F8235"/>
    <mergeCell ref="E8236:F8236"/>
    <mergeCell ref="E8214:F8214"/>
    <mergeCell ref="E8215:F8215"/>
    <mergeCell ref="E8216:F8216"/>
    <mergeCell ref="E8240:F8240"/>
    <mergeCell ref="E8241:F8241"/>
    <mergeCell ref="E8242:F8242"/>
    <mergeCell ref="E8223:H8223"/>
    <mergeCell ref="E8262:F8262"/>
    <mergeCell ref="E8141:F8141"/>
    <mergeCell ref="E8153:F8153"/>
    <mergeCell ref="E8154:F8154"/>
    <mergeCell ref="E8155:F8155"/>
    <mergeCell ref="E8156:F8156"/>
    <mergeCell ref="E8157:F8157"/>
    <mergeCell ref="E8158:F8158"/>
    <mergeCell ref="E8107:H8107"/>
    <mergeCell ref="E8108:H8108"/>
    <mergeCell ref="E8111:F8111"/>
    <mergeCell ref="E8116:H8116"/>
    <mergeCell ref="E8120:F8120"/>
    <mergeCell ref="E8121:F8121"/>
    <mergeCell ref="E8122:F8122"/>
    <mergeCell ref="E8123:F8123"/>
    <mergeCell ref="E8124:F8124"/>
    <mergeCell ref="E8125:F8125"/>
    <mergeCell ref="E8126:F8126"/>
    <mergeCell ref="E8127:F8127"/>
    <mergeCell ref="E8128:F8128"/>
    <mergeCell ref="E8129:F8129"/>
    <mergeCell ref="E8130:F8130"/>
    <mergeCell ref="E8131:F8131"/>
    <mergeCell ref="E8133:F8133"/>
    <mergeCell ref="E8135:F8135"/>
    <mergeCell ref="E8136:F8136"/>
    <mergeCell ref="E8137:F8137"/>
    <mergeCell ref="E8179:H8179"/>
    <mergeCell ref="E8186:F8186"/>
    <mergeCell ref="E8187:F8187"/>
    <mergeCell ref="E8188:F8188"/>
    <mergeCell ref="E8189:F8189"/>
    <mergeCell ref="E8528:H8528"/>
    <mergeCell ref="E7037:F7037"/>
    <mergeCell ref="E7038:F7038"/>
    <mergeCell ref="E6924:F6924"/>
    <mergeCell ref="E6925:F6925"/>
    <mergeCell ref="E6926:F6926"/>
    <mergeCell ref="E6927:F6927"/>
    <mergeCell ref="E6789:F6789"/>
    <mergeCell ref="E6790:F6790"/>
    <mergeCell ref="E6791:F6791"/>
    <mergeCell ref="E6812:F6812"/>
    <mergeCell ref="E6813:F6813"/>
    <mergeCell ref="E6814:F6814"/>
    <mergeCell ref="E6815:F6815"/>
    <mergeCell ref="E6862:H6862"/>
    <mergeCell ref="E6917:F6917"/>
    <mergeCell ref="E6918:F6918"/>
    <mergeCell ref="E6919:F6919"/>
    <mergeCell ref="E6819:H6819"/>
    <mergeCell ref="E6820:H6820"/>
    <mergeCell ref="E6821:H6821"/>
    <mergeCell ref="E6822:H6822"/>
    <mergeCell ref="E6823:H6823"/>
    <mergeCell ref="E6824:H6824"/>
    <mergeCell ref="E6832:F6832"/>
    <mergeCell ref="E6833:F6833"/>
    <mergeCell ref="E6834:F6834"/>
    <mergeCell ref="E6835:F6835"/>
    <mergeCell ref="E6836:F6836"/>
    <mergeCell ref="E6837:F6837"/>
    <mergeCell ref="E6838:F6838"/>
    <mergeCell ref="E6839:F6839"/>
    <mergeCell ref="E6842:H6842"/>
    <mergeCell ref="E6843:H6843"/>
    <mergeCell ref="E6844:H6844"/>
    <mergeCell ref="E6845:H6845"/>
    <mergeCell ref="E6846:H6846"/>
    <mergeCell ref="E6847:H6847"/>
    <mergeCell ref="E6858:F6858"/>
    <mergeCell ref="E6868:H6868"/>
    <mergeCell ref="E6887:F6887"/>
    <mergeCell ref="E6860:F6860"/>
    <mergeCell ref="E6861:F6861"/>
    <mergeCell ref="E6859:F6859"/>
    <mergeCell ref="E6881:F6881"/>
    <mergeCell ref="E6840:H6840"/>
    <mergeCell ref="E6841:H6841"/>
    <mergeCell ref="E6947:F6947"/>
    <mergeCell ref="E6948:F6948"/>
    <mergeCell ref="E6949:F6949"/>
    <mergeCell ref="E6950:F6950"/>
    <mergeCell ref="E6951:F6951"/>
    <mergeCell ref="E6952:F6952"/>
    <mergeCell ref="E6953:F6953"/>
    <mergeCell ref="E6954:F6954"/>
    <mergeCell ref="E6960:H6960"/>
    <mergeCell ref="E6961:H6961"/>
    <mergeCell ref="E6962:H6962"/>
    <mergeCell ref="E6963:H6963"/>
    <mergeCell ref="E6964:H6964"/>
    <mergeCell ref="E6965:H6965"/>
    <mergeCell ref="E6966:H6966"/>
    <mergeCell ref="E6967:H6967"/>
    <mergeCell ref="E6974:F6974"/>
    <mergeCell ref="E6968:F6968"/>
    <mergeCell ref="E6660:F6660"/>
    <mergeCell ref="E6663:H6663"/>
    <mergeCell ref="E6664:H6664"/>
    <mergeCell ref="E6665:H6665"/>
    <mergeCell ref="E6674:F6674"/>
    <mergeCell ref="E6675:F6675"/>
    <mergeCell ref="E6676:F6676"/>
    <mergeCell ref="E6677:F6677"/>
    <mergeCell ref="E6678:F6678"/>
    <mergeCell ref="E6682:F6682"/>
    <mergeCell ref="E6802:F6802"/>
    <mergeCell ref="E6803:F6803"/>
    <mergeCell ref="E6793:H6793"/>
    <mergeCell ref="E6794:H6794"/>
    <mergeCell ref="E6795:H6795"/>
    <mergeCell ref="E6796:H6796"/>
    <mergeCell ref="E6797:H6797"/>
    <mergeCell ref="E6798:H6798"/>
    <mergeCell ref="E6799:H6799"/>
    <mergeCell ref="E6800:H6800"/>
    <mergeCell ref="E6801:H6801"/>
    <mergeCell ref="E6804:F6804"/>
    <mergeCell ref="E6805:F6805"/>
    <mergeCell ref="E6806:F6806"/>
    <mergeCell ref="E6807:F6807"/>
    <mergeCell ref="E6808:F6808"/>
    <mergeCell ref="E6809:F6809"/>
    <mergeCell ref="E6699:F6699"/>
    <mergeCell ref="E6700:F6700"/>
    <mergeCell ref="E6681:F6681"/>
    <mergeCell ref="E6736:H6736"/>
    <mergeCell ref="E6737:H6737"/>
    <mergeCell ref="E6738:H6738"/>
    <mergeCell ref="E6739:H6739"/>
    <mergeCell ref="E6742:F6742"/>
    <mergeCell ref="E6748:F6748"/>
    <mergeCell ref="E6749:F6749"/>
    <mergeCell ref="E6750:F6750"/>
    <mergeCell ref="E6751:F6751"/>
    <mergeCell ref="E6752:F6752"/>
    <mergeCell ref="E6755:H6755"/>
    <mergeCell ref="E6760:H6760"/>
    <mergeCell ref="E6761:H6761"/>
    <mergeCell ref="E6762:H6762"/>
    <mergeCell ref="E6763:H6763"/>
    <mergeCell ref="E6764:H6764"/>
    <mergeCell ref="E6765:H6765"/>
    <mergeCell ref="E6766:H6766"/>
    <mergeCell ref="E6767:H6767"/>
    <mergeCell ref="E6769:H6769"/>
    <mergeCell ref="E6770:H6770"/>
    <mergeCell ref="E6775:F6775"/>
    <mergeCell ref="E6776:F6776"/>
    <mergeCell ref="E6777:F6777"/>
    <mergeCell ref="E6778:F6778"/>
    <mergeCell ref="E6779:F6779"/>
    <mergeCell ref="E6780:F6780"/>
    <mergeCell ref="E6781:F6781"/>
    <mergeCell ref="E6730:F6730"/>
    <mergeCell ref="E6731:F6731"/>
    <mergeCell ref="E6732:F6732"/>
    <mergeCell ref="E6733:F6733"/>
    <mergeCell ref="E6706:F6706"/>
    <mergeCell ref="E6707:F6707"/>
    <mergeCell ref="E6598:F6598"/>
    <mergeCell ref="E6599:F6599"/>
    <mergeCell ref="E6600:F6600"/>
    <mergeCell ref="E6653:H6653"/>
    <mergeCell ref="E6654:H6654"/>
    <mergeCell ref="E6655:H6655"/>
    <mergeCell ref="E6656:H6656"/>
    <mergeCell ref="E6337:F6337"/>
    <mergeCell ref="E6338:F6338"/>
    <mergeCell ref="E6339:H6339"/>
    <mergeCell ref="E6340:H6340"/>
    <mergeCell ref="E6341:H6341"/>
    <mergeCell ref="E6342:H6342"/>
    <mergeCell ref="E6343:H6343"/>
    <mergeCell ref="E6344:H6344"/>
    <mergeCell ref="E6345:H6345"/>
    <mergeCell ref="E6346:H6346"/>
    <mergeCell ref="E6347:F6347"/>
    <mergeCell ref="E6348:F6348"/>
    <mergeCell ref="E6349:F6349"/>
    <mergeCell ref="E6350:F6350"/>
    <mergeCell ref="E6351:F6351"/>
    <mergeCell ref="E6352:F6352"/>
    <mergeCell ref="E6353:F6353"/>
    <mergeCell ref="E6354:F6354"/>
    <mergeCell ref="E6355:F6355"/>
    <mergeCell ref="E6356:F6356"/>
    <mergeCell ref="E6685:F6685"/>
    <mergeCell ref="E6686:F6686"/>
    <mergeCell ref="E6640:F6640"/>
    <mergeCell ref="E6641:F6641"/>
    <mergeCell ref="E6642:F6642"/>
    <mergeCell ref="E6643:F6643"/>
    <mergeCell ref="E6650:H6650"/>
    <mergeCell ref="E6651:H6651"/>
    <mergeCell ref="E6601:F6601"/>
    <mergeCell ref="E6602:F6602"/>
    <mergeCell ref="E6603:F6603"/>
    <mergeCell ref="E6604:F6604"/>
    <mergeCell ref="E6605:F6605"/>
    <mergeCell ref="E6612:H6612"/>
    <mergeCell ref="E6613:H6613"/>
    <mergeCell ref="E6622:F6622"/>
    <mergeCell ref="E6623:F6623"/>
    <mergeCell ref="E6624:F6624"/>
    <mergeCell ref="E6625:F6625"/>
    <mergeCell ref="E6626:F6626"/>
    <mergeCell ref="E6627:F6627"/>
    <mergeCell ref="E6620:F6620"/>
    <mergeCell ref="E6621:F6621"/>
    <mergeCell ref="E6631:H6631"/>
    <mergeCell ref="E6632:H6632"/>
    <mergeCell ref="E6633:H6633"/>
    <mergeCell ref="E6634:H6634"/>
    <mergeCell ref="E6635:H6635"/>
    <mergeCell ref="E6639:F6639"/>
    <mergeCell ref="E6607:H6607"/>
    <mergeCell ref="E6608:H6608"/>
    <mergeCell ref="E6609:H6609"/>
    <mergeCell ref="E6610:H6610"/>
    <mergeCell ref="E6611:H6611"/>
    <mergeCell ref="E6617:F6617"/>
    <mergeCell ref="E6618:F6618"/>
    <mergeCell ref="E6619:F6619"/>
    <mergeCell ref="E6593:F6593"/>
    <mergeCell ref="E6594:F6594"/>
    <mergeCell ref="E6595:F6595"/>
    <mergeCell ref="E6357:F6357"/>
    <mergeCell ref="E6358:F6358"/>
    <mergeCell ref="E6359:F6359"/>
    <mergeCell ref="E6360:F6360"/>
    <mergeCell ref="E6361:F6361"/>
    <mergeCell ref="E6362:H6362"/>
    <mergeCell ref="E6363:H6363"/>
    <mergeCell ref="E6364:H6364"/>
    <mergeCell ref="E6365:H6365"/>
    <mergeCell ref="E6366:H6366"/>
    <mergeCell ref="E6367:H6367"/>
    <mergeCell ref="E6368:H6368"/>
    <mergeCell ref="E6369:H6369"/>
    <mergeCell ref="E6370:F6370"/>
    <mergeCell ref="E6371:H6371"/>
    <mergeCell ref="E6372:H6372"/>
    <mergeCell ref="E6373:H6373"/>
    <mergeCell ref="E6374:H6374"/>
    <mergeCell ref="E6375:H6375"/>
    <mergeCell ref="E6376:H6376"/>
    <mergeCell ref="E6377:H6377"/>
    <mergeCell ref="E6378:H6378"/>
    <mergeCell ref="E6292:F6292"/>
    <mergeCell ref="E6270:H6270"/>
    <mergeCell ref="E6271:H6271"/>
    <mergeCell ref="E6272:H6272"/>
    <mergeCell ref="E6273:H6273"/>
    <mergeCell ref="E6274:H6274"/>
    <mergeCell ref="E6275:H6275"/>
    <mergeCell ref="E6291:F6291"/>
    <mergeCell ref="E6299:F6299"/>
    <mergeCell ref="E6304:H6304"/>
    <mergeCell ref="E6305:H6305"/>
    <mergeCell ref="E6306:H6306"/>
    <mergeCell ref="E6307:H6307"/>
    <mergeCell ref="E6325:H6325"/>
    <mergeCell ref="E6326:H6326"/>
    <mergeCell ref="E6565:H6565"/>
    <mergeCell ref="E6566:H6566"/>
    <mergeCell ref="E6567:H6567"/>
    <mergeCell ref="E6568:H6568"/>
    <mergeCell ref="E6569:H6569"/>
    <mergeCell ref="E6570:H6570"/>
    <mergeCell ref="E6571:H6571"/>
    <mergeCell ref="E6583:F6583"/>
    <mergeCell ref="E6379:F6379"/>
    <mergeCell ref="E6381:F6381"/>
    <mergeCell ref="E6382:F6382"/>
    <mergeCell ref="E6384:H6384"/>
    <mergeCell ref="E6385:H6385"/>
    <mergeCell ref="E6386:H6386"/>
    <mergeCell ref="E6388:F6388"/>
    <mergeCell ref="E6389:F6389"/>
    <mergeCell ref="E6390:F6390"/>
    <mergeCell ref="E6391:F6391"/>
    <mergeCell ref="E6392:F6392"/>
    <mergeCell ref="E6393:F6393"/>
    <mergeCell ref="E6395:F6395"/>
    <mergeCell ref="E6396:F6396"/>
    <mergeCell ref="E6397:F6397"/>
    <mergeCell ref="E6309:F6309"/>
    <mergeCell ref="E6249:H6249"/>
    <mergeCell ref="E6252:F6252"/>
    <mergeCell ref="E5947:F5947"/>
    <mergeCell ref="E5948:F5948"/>
    <mergeCell ref="E5949:F5949"/>
    <mergeCell ref="E5927:H5927"/>
    <mergeCell ref="E5928:H5928"/>
    <mergeCell ref="E5929:H5929"/>
    <mergeCell ref="E5930:H5930"/>
    <mergeCell ref="E6288:F6288"/>
    <mergeCell ref="E6293:F6293"/>
    <mergeCell ref="E6294:F6294"/>
    <mergeCell ref="E6297:F6297"/>
    <mergeCell ref="E6298:F6298"/>
    <mergeCell ref="E5961:F5961"/>
    <mergeCell ref="E5962:F5962"/>
    <mergeCell ref="E5963:F5963"/>
    <mergeCell ref="E5964:F5964"/>
    <mergeCell ref="E5965:F5965"/>
    <mergeCell ref="E5966:F5966"/>
    <mergeCell ref="E5967:F5967"/>
    <mergeCell ref="E5968:F5968"/>
    <mergeCell ref="E5991:F5991"/>
    <mergeCell ref="E5992:F5992"/>
    <mergeCell ref="E5990:F5990"/>
    <mergeCell ref="E5979:H5979"/>
    <mergeCell ref="E5977:H5977"/>
    <mergeCell ref="E5978:H5978"/>
    <mergeCell ref="E6100:F6100"/>
    <mergeCell ref="E6101:F6101"/>
    <mergeCell ref="E6109:H6109"/>
    <mergeCell ref="E6110:H6110"/>
    <mergeCell ref="E6111:H6111"/>
    <mergeCell ref="E6112:H6112"/>
    <mergeCell ref="E6113:H6113"/>
    <mergeCell ref="E5960:F5960"/>
    <mergeCell ref="E5969:F5969"/>
    <mergeCell ref="E5970:F5970"/>
    <mergeCell ref="E5971:F5971"/>
    <mergeCell ref="E6067:F6067"/>
    <mergeCell ref="E6070:H6070"/>
    <mergeCell ref="E6071:H6071"/>
    <mergeCell ref="E6072:H6072"/>
    <mergeCell ref="E6073:H6073"/>
    <mergeCell ref="E6074:H6074"/>
    <mergeCell ref="E6075:H6075"/>
    <mergeCell ref="E6133:H6133"/>
    <mergeCell ref="E6134:H6134"/>
    <mergeCell ref="E6135:H6135"/>
    <mergeCell ref="E6138:F6138"/>
    <mergeCell ref="E6139:F6139"/>
    <mergeCell ref="E6140:F6140"/>
    <mergeCell ref="E6141:F6141"/>
    <mergeCell ref="E6142:F6142"/>
    <mergeCell ref="E6143:F6143"/>
    <mergeCell ref="E6144:F6144"/>
    <mergeCell ref="E6145:F6145"/>
    <mergeCell ref="E6146:F6146"/>
    <mergeCell ref="E5935:F5935"/>
    <mergeCell ref="E6082:F6082"/>
    <mergeCell ref="E6003:H6003"/>
    <mergeCell ref="E6004:H6004"/>
    <mergeCell ref="E6005:H6005"/>
    <mergeCell ref="E6006:H6006"/>
    <mergeCell ref="E5100:H5100"/>
    <mergeCell ref="E5101:H5101"/>
    <mergeCell ref="E5088:F5088"/>
    <mergeCell ref="E5065:F5065"/>
    <mergeCell ref="E5066:F5066"/>
    <mergeCell ref="E5086:F5086"/>
    <mergeCell ref="E5087:F5087"/>
    <mergeCell ref="E5084:F5084"/>
    <mergeCell ref="E5081:F5081"/>
    <mergeCell ref="E5082:F5082"/>
    <mergeCell ref="E5083:F5083"/>
    <mergeCell ref="E5080:H5080"/>
    <mergeCell ref="E5094:F5094"/>
    <mergeCell ref="E5097:F5097"/>
    <mergeCell ref="E5098:F5098"/>
    <mergeCell ref="E5102:H5102"/>
    <mergeCell ref="E5103:H5103"/>
    <mergeCell ref="E5104:H5104"/>
    <mergeCell ref="E5105:H5105"/>
    <mergeCell ref="E5568:F5568"/>
    <mergeCell ref="E5627:F5627"/>
    <mergeCell ref="E5628:F5628"/>
    <mergeCell ref="E5577:F5577"/>
    <mergeCell ref="E5578:F5578"/>
    <mergeCell ref="E5579:F5579"/>
    <mergeCell ref="E5580:F5580"/>
    <mergeCell ref="E5581:F5581"/>
    <mergeCell ref="E5601:F5601"/>
    <mergeCell ref="E5602:F5602"/>
    <mergeCell ref="E5616:H5616"/>
    <mergeCell ref="E5617:H5617"/>
    <mergeCell ref="E5618:H5618"/>
    <mergeCell ref="E5624:F5624"/>
    <mergeCell ref="E5625:F5625"/>
    <mergeCell ref="E5371:F5371"/>
    <mergeCell ref="E5372:F5372"/>
    <mergeCell ref="E5373:F5373"/>
    <mergeCell ref="E5422:F5422"/>
    <mergeCell ref="E5423:F5423"/>
    <mergeCell ref="E5356:F5356"/>
    <mergeCell ref="E5357:F5357"/>
    <mergeCell ref="E5358:F5358"/>
    <mergeCell ref="E5200:H5200"/>
    <mergeCell ref="E5359:H5359"/>
    <mergeCell ref="E5360:H5360"/>
    <mergeCell ref="E5361:H5361"/>
    <mergeCell ref="E5362:H5362"/>
    <mergeCell ref="E5363:H5363"/>
    <mergeCell ref="E5367:H5367"/>
    <mergeCell ref="E5368:H5368"/>
    <mergeCell ref="E5381:F5381"/>
    <mergeCell ref="E5382:H5382"/>
    <mergeCell ref="E5383:H5383"/>
    <mergeCell ref="E5384:H5384"/>
    <mergeCell ref="E5385:H5385"/>
    <mergeCell ref="E5386:H5386"/>
    <mergeCell ref="E5387:H5387"/>
    <mergeCell ref="E5388:H5388"/>
    <mergeCell ref="E5389:H5389"/>
    <mergeCell ref="E5390:H5390"/>
    <mergeCell ref="E5391:H5391"/>
    <mergeCell ref="E5394:F5394"/>
    <mergeCell ref="E5395:F5395"/>
    <mergeCell ref="E5396:F5396"/>
    <mergeCell ref="E5064:F5064"/>
    <mergeCell ref="E4655:F4655"/>
    <mergeCell ref="E4270:H4270"/>
    <mergeCell ref="E4271:H4271"/>
    <mergeCell ref="E4275:F4275"/>
    <mergeCell ref="E4276:F4276"/>
    <mergeCell ref="E4277:F4277"/>
    <mergeCell ref="E4278:F4278"/>
    <mergeCell ref="E4279:F4279"/>
    <mergeCell ref="E4289:H4289"/>
    <mergeCell ref="E4257:F4257"/>
    <mergeCell ref="E4272:H4272"/>
    <mergeCell ref="E4240:F4240"/>
    <mergeCell ref="E4437:F4437"/>
    <mergeCell ref="E4267:H4267"/>
    <mergeCell ref="E4268:H4268"/>
    <mergeCell ref="E4269:H4269"/>
    <mergeCell ref="E4324:F4324"/>
    <mergeCell ref="E4325:F4325"/>
    <mergeCell ref="E4355:H4355"/>
    <mergeCell ref="E4341:F4341"/>
    <mergeCell ref="E4356:H4356"/>
    <mergeCell ref="E4357:H4357"/>
    <mergeCell ref="E4407:F4407"/>
    <mergeCell ref="E4408:F4408"/>
    <mergeCell ref="E4412:F4412"/>
    <mergeCell ref="E4406:F4406"/>
    <mergeCell ref="E4368:F4368"/>
    <mergeCell ref="E4369:F4369"/>
    <mergeCell ref="E4385:F4385"/>
    <mergeCell ref="E4394:F4394"/>
    <mergeCell ref="E4399:H4399"/>
    <mergeCell ref="E4400:H4400"/>
    <mergeCell ref="E4401:H4401"/>
    <mergeCell ref="E4396:F4396"/>
    <mergeCell ref="E4329:F4329"/>
    <mergeCell ref="E4330:F4330"/>
    <mergeCell ref="E4332:H4332"/>
    <mergeCell ref="E4333:H4333"/>
    <mergeCell ref="E4334:H4334"/>
    <mergeCell ref="E4340:F4340"/>
    <mergeCell ref="E4370:F4370"/>
    <mergeCell ref="E4371:F4371"/>
    <mergeCell ref="E4372:F4372"/>
    <mergeCell ref="E4487:H4487"/>
    <mergeCell ref="E4488:H4488"/>
    <mergeCell ref="E4489:H4489"/>
    <mergeCell ref="E4490:H4490"/>
    <mergeCell ref="E4492:H4492"/>
    <mergeCell ref="E4801:F4801"/>
    <mergeCell ref="E4873:F4873"/>
    <mergeCell ref="E4322:F4322"/>
    <mergeCell ref="E4373:F4373"/>
    <mergeCell ref="E4374:F4374"/>
    <mergeCell ref="E4299:F4299"/>
    <mergeCell ref="E4303:F4303"/>
    <mergeCell ref="E4304:F4304"/>
    <mergeCell ref="E4392:F4392"/>
    <mergeCell ref="E4393:F4393"/>
    <mergeCell ref="E4395:F4395"/>
    <mergeCell ref="E4410:F4410"/>
    <mergeCell ref="E4411:F4411"/>
    <mergeCell ref="E4367:F4367"/>
    <mergeCell ref="E4280:F4280"/>
    <mergeCell ref="E4985:F4985"/>
    <mergeCell ref="E4986:F4986"/>
    <mergeCell ref="E5010:F5010"/>
    <mergeCell ref="E4988:F4988"/>
    <mergeCell ref="E4903:F4903"/>
    <mergeCell ref="E4960:F4960"/>
    <mergeCell ref="E4963:F4963"/>
    <mergeCell ref="E4915:F4915"/>
    <mergeCell ref="E4924:F4924"/>
    <mergeCell ref="E4925:F4925"/>
    <mergeCell ref="E4959:F4959"/>
    <mergeCell ref="E4953:H4953"/>
    <mergeCell ref="E4954:H4954"/>
    <mergeCell ref="E4955:H4955"/>
    <mergeCell ref="E4956:H4956"/>
    <mergeCell ref="E4375:F4375"/>
    <mergeCell ref="E4376:H4376"/>
    <mergeCell ref="E4377:H4377"/>
    <mergeCell ref="E5062:F5062"/>
    <mergeCell ref="E5063:F5063"/>
    <mergeCell ref="E3644:H3644"/>
    <mergeCell ref="E3645:H3645"/>
    <mergeCell ref="E3646:H3646"/>
    <mergeCell ref="E3647:H3647"/>
    <mergeCell ref="E3648:H3648"/>
    <mergeCell ref="E3660:F3660"/>
    <mergeCell ref="E3661:F3661"/>
    <mergeCell ref="E3662:F3662"/>
    <mergeCell ref="E3668:H3668"/>
    <mergeCell ref="E3669:H3669"/>
    <mergeCell ref="E3670:H3670"/>
    <mergeCell ref="E3778:F3778"/>
    <mergeCell ref="E3795:F3795"/>
    <mergeCell ref="E3834:F3834"/>
    <mergeCell ref="E3956:F3956"/>
    <mergeCell ref="E3957:F3957"/>
    <mergeCell ref="E3958:F3958"/>
    <mergeCell ref="E3990:F3990"/>
    <mergeCell ref="E3991:F3991"/>
    <mergeCell ref="E3981:F3981"/>
    <mergeCell ref="E3951:F3951"/>
    <mergeCell ref="E3879:F3879"/>
    <mergeCell ref="E3894:F3894"/>
    <mergeCell ref="E3895:F3895"/>
    <mergeCell ref="E3814:H3814"/>
    <mergeCell ref="E3815:H3815"/>
    <mergeCell ref="E3816:H3816"/>
    <mergeCell ref="E3817:H3817"/>
    <mergeCell ref="E3784:F3784"/>
    <mergeCell ref="E3785:F3785"/>
    <mergeCell ref="E3786:F3786"/>
    <mergeCell ref="E3787:F3787"/>
    <mergeCell ref="E3788:F3788"/>
    <mergeCell ref="E3789:F3789"/>
    <mergeCell ref="E3868:F3868"/>
    <mergeCell ref="E3869:F3869"/>
    <mergeCell ref="E3870:F3870"/>
    <mergeCell ref="E3659:F3659"/>
    <mergeCell ref="E3667:H3667"/>
    <mergeCell ref="E3782:H3782"/>
    <mergeCell ref="E3806:F3806"/>
    <mergeCell ref="E3807:F3807"/>
    <mergeCell ref="E3808:F3808"/>
    <mergeCell ref="E3892:F3892"/>
    <mergeCell ref="E3875:H3875"/>
    <mergeCell ref="E3846:H3846"/>
    <mergeCell ref="E3855:F3855"/>
    <mergeCell ref="E3856:F3856"/>
    <mergeCell ref="E3871:H3871"/>
    <mergeCell ref="E3897:F3897"/>
    <mergeCell ref="E3898:F3898"/>
    <mergeCell ref="E3864:F3864"/>
    <mergeCell ref="E2937:F2937"/>
    <mergeCell ref="E2938:F2938"/>
    <mergeCell ref="E2939:F2939"/>
    <mergeCell ref="E2940:F2940"/>
    <mergeCell ref="E2928:F2928"/>
    <mergeCell ref="E2929:F2929"/>
    <mergeCell ref="E2930:F2930"/>
    <mergeCell ref="E2931:F2931"/>
    <mergeCell ref="E2932:F2932"/>
    <mergeCell ref="E2965:H2965"/>
    <mergeCell ref="E2966:H2966"/>
    <mergeCell ref="E3038:H3038"/>
    <mergeCell ref="E3039:H3039"/>
    <mergeCell ref="E3036:F3036"/>
    <mergeCell ref="E3037:F3037"/>
    <mergeCell ref="E3047:F3047"/>
    <mergeCell ref="E3048:F3048"/>
    <mergeCell ref="E3351:H3351"/>
    <mergeCell ref="E2987:F2987"/>
    <mergeCell ref="E2988:F2988"/>
    <mergeCell ref="E2989:F2989"/>
    <mergeCell ref="E3121:H3121"/>
    <mergeCell ref="E3025:F3025"/>
    <mergeCell ref="E3444:H3444"/>
    <mergeCell ref="E3458:F3458"/>
    <mergeCell ref="E3466:H3466"/>
    <mergeCell ref="E3467:H3467"/>
    <mergeCell ref="E3468:H3468"/>
    <mergeCell ref="E3437:H3437"/>
    <mergeCell ref="E3438:H3438"/>
    <mergeCell ref="E3439:H3439"/>
    <mergeCell ref="E3440:H3440"/>
    <mergeCell ref="E3445:F3445"/>
    <mergeCell ref="E3446:F3446"/>
    <mergeCell ref="E3447:F3447"/>
    <mergeCell ref="E3448:F3448"/>
    <mergeCell ref="E3449:F3449"/>
    <mergeCell ref="E3828:F3828"/>
    <mergeCell ref="E3829:F3829"/>
    <mergeCell ref="E3116:H3116"/>
    <mergeCell ref="E3117:H3117"/>
    <mergeCell ref="E3208:H3208"/>
    <mergeCell ref="E3209:H3209"/>
    <mergeCell ref="E3184:H3184"/>
    <mergeCell ref="E3195:F3195"/>
    <mergeCell ref="E3459:H3459"/>
    <mergeCell ref="E3460:H3460"/>
    <mergeCell ref="E3559:F3559"/>
    <mergeCell ref="E3560:F3560"/>
    <mergeCell ref="E3561:F3561"/>
    <mergeCell ref="E3562:F3562"/>
    <mergeCell ref="E3542:F3542"/>
    <mergeCell ref="E3543:F3543"/>
    <mergeCell ref="E3544:F3544"/>
    <mergeCell ref="E3469:F3469"/>
    <mergeCell ref="E3470:F3470"/>
    <mergeCell ref="E3493:F3493"/>
    <mergeCell ref="E3496:F3496"/>
    <mergeCell ref="E3497:F3497"/>
    <mergeCell ref="E3498:F3498"/>
    <mergeCell ref="E3499:F3499"/>
    <mergeCell ref="E3500:F3500"/>
    <mergeCell ref="E3471:F3471"/>
    <mergeCell ref="E3509:H3509"/>
    <mergeCell ref="E3508:H3508"/>
    <mergeCell ref="E3511:F3511"/>
    <mergeCell ref="E3512:F3512"/>
    <mergeCell ref="E3513:F3513"/>
    <mergeCell ref="E3514:F3514"/>
    <mergeCell ref="E3515:F3515"/>
    <mergeCell ref="E3780:H3780"/>
    <mergeCell ref="E3781:H3781"/>
    <mergeCell ref="E3573:F3573"/>
    <mergeCell ref="E3574:F3574"/>
    <mergeCell ref="E3575:F3575"/>
    <mergeCell ref="E3576:F3576"/>
    <mergeCell ref="E3577:F3577"/>
    <mergeCell ref="E3578:F3578"/>
    <mergeCell ref="E3579:F3579"/>
    <mergeCell ref="E3580:F3580"/>
    <mergeCell ref="E3581:F3581"/>
    <mergeCell ref="E3582:F3582"/>
    <mergeCell ref="E3682:F3682"/>
    <mergeCell ref="E3690:H3690"/>
    <mergeCell ref="E3671:H3671"/>
    <mergeCell ref="E3672:H3672"/>
    <mergeCell ref="E3683:F3683"/>
    <mergeCell ref="E3684:F3684"/>
    <mergeCell ref="E3685:F3685"/>
    <mergeCell ref="E3686:F3686"/>
    <mergeCell ref="E3687:F3687"/>
    <mergeCell ref="E3691:H3691"/>
    <mergeCell ref="E3692:H3692"/>
    <mergeCell ref="E3693:H3693"/>
    <mergeCell ref="E3715:H3715"/>
    <mergeCell ref="E3716:H3716"/>
    <mergeCell ref="E3516:F3516"/>
    <mergeCell ref="E3547:F3547"/>
    <mergeCell ref="E3548:F3548"/>
    <mergeCell ref="E3549:F3549"/>
    <mergeCell ref="E3550:F3550"/>
    <mergeCell ref="E3551:F3551"/>
    <mergeCell ref="E3552:F3552"/>
    <mergeCell ref="E3480:F3480"/>
    <mergeCell ref="E3482:F3482"/>
    <mergeCell ref="E3488:H3488"/>
    <mergeCell ref="E3477:F3477"/>
    <mergeCell ref="E3483:H3483"/>
    <mergeCell ref="E3484:H3484"/>
    <mergeCell ref="E3485:H3485"/>
    <mergeCell ref="E3486:H3486"/>
    <mergeCell ref="E3487:H3487"/>
    <mergeCell ref="E3563:F3563"/>
    <mergeCell ref="E3556:F3556"/>
    <mergeCell ref="E3557:F3557"/>
    <mergeCell ref="E3554:F3554"/>
    <mergeCell ref="E3545:F3545"/>
    <mergeCell ref="E3546:F3546"/>
    <mergeCell ref="E3529:H3529"/>
    <mergeCell ref="E3531:H3531"/>
    <mergeCell ref="E3454:F3454"/>
    <mergeCell ref="E3457:F3457"/>
    <mergeCell ref="E3461:H3461"/>
    <mergeCell ref="E2814:H2814"/>
    <mergeCell ref="E3107:F3107"/>
    <mergeCell ref="E3108:F3108"/>
    <mergeCell ref="E3110:F3110"/>
    <mergeCell ref="E2397:H2397"/>
    <mergeCell ref="E2398:H2398"/>
    <mergeCell ref="E2404:F2404"/>
    <mergeCell ref="E2424:F2424"/>
    <mergeCell ref="E2819:F2819"/>
    <mergeCell ref="E3530:H3530"/>
    <mergeCell ref="E3295:F3295"/>
    <mergeCell ref="E2934:F2934"/>
    <mergeCell ref="E2935:F2935"/>
    <mergeCell ref="E2954:F2954"/>
    <mergeCell ref="E2955:F2955"/>
    <mergeCell ref="E2956:F2956"/>
    <mergeCell ref="E2957:F2957"/>
    <mergeCell ref="E2958:F2958"/>
    <mergeCell ref="E2959:F2959"/>
    <mergeCell ref="E2964:H2964"/>
    <mergeCell ref="E2970:H2970"/>
    <mergeCell ref="E2971:H2971"/>
    <mergeCell ref="E2977:H2977"/>
    <mergeCell ref="E2978:H2978"/>
    <mergeCell ref="E2981:F2981"/>
    <mergeCell ref="E2982:F2982"/>
    <mergeCell ref="E2983:F2983"/>
    <mergeCell ref="E3044:H3044"/>
    <mergeCell ref="E3246:F3246"/>
    <mergeCell ref="E3247:F3247"/>
    <mergeCell ref="E3224:F3224"/>
    <mergeCell ref="E3225:F3225"/>
    <mergeCell ref="E3227:F3227"/>
    <mergeCell ref="E3228:F3228"/>
    <mergeCell ref="E3229:F3229"/>
    <mergeCell ref="E3230:F3230"/>
    <mergeCell ref="E3223:F3223"/>
    <mergeCell ref="E3217:F3217"/>
    <mergeCell ref="E2425:F2425"/>
    <mergeCell ref="E2426:F2426"/>
    <mergeCell ref="E2427:F2427"/>
    <mergeCell ref="E2428:F2428"/>
    <mergeCell ref="E2430:F2430"/>
    <mergeCell ref="E2431:F2431"/>
    <mergeCell ref="E2432:F2432"/>
    <mergeCell ref="E2433:F2433"/>
    <mergeCell ref="E2422:F2422"/>
    <mergeCell ref="E3450:F3450"/>
    <mergeCell ref="E3455:F3455"/>
    <mergeCell ref="E3456:F3456"/>
    <mergeCell ref="E3049:F3049"/>
    <mergeCell ref="E3050:F3050"/>
    <mergeCell ref="E2976:H2976"/>
    <mergeCell ref="E2979:F2979"/>
    <mergeCell ref="E3207:F3207"/>
    <mergeCell ref="E3210:H3210"/>
    <mergeCell ref="E3211:H3211"/>
    <mergeCell ref="E3212:H3212"/>
    <mergeCell ref="E3213:H3213"/>
    <mergeCell ref="E3214:H3214"/>
    <mergeCell ref="E3200:F3200"/>
    <mergeCell ref="E3201:F3201"/>
    <mergeCell ref="E2820:F2820"/>
    <mergeCell ref="E2821:F2821"/>
    <mergeCell ref="E2831:H2831"/>
    <mergeCell ref="E2832:H2832"/>
    <mergeCell ref="E2833:H2833"/>
    <mergeCell ref="E2834:H2834"/>
    <mergeCell ref="E2828:F2828"/>
    <mergeCell ref="E2829:F2829"/>
    <mergeCell ref="E2830:F2830"/>
    <mergeCell ref="E2836:H2836"/>
    <mergeCell ref="E2837:H2837"/>
    <mergeCell ref="E2838:H2838"/>
    <mergeCell ref="E2531:F2531"/>
    <mergeCell ref="E2532:F2532"/>
    <mergeCell ref="E2175:F2175"/>
    <mergeCell ref="E2190:F2190"/>
    <mergeCell ref="E2246:F2246"/>
    <mergeCell ref="E2247:F2247"/>
    <mergeCell ref="E2248:F2248"/>
    <mergeCell ref="E2249:F2249"/>
    <mergeCell ref="E2250:F2250"/>
    <mergeCell ref="E2253:F2253"/>
    <mergeCell ref="E2254:F2254"/>
    <mergeCell ref="E2242:F2242"/>
    <mergeCell ref="E2267:H2267"/>
    <mergeCell ref="E2268:H2268"/>
    <mergeCell ref="E2984:F2984"/>
    <mergeCell ref="E2813:H2813"/>
    <mergeCell ref="E2815:F2815"/>
    <mergeCell ref="E2817:F2817"/>
    <mergeCell ref="E2818:F2818"/>
    <mergeCell ref="E2482:F2482"/>
    <mergeCell ref="E2483:F2483"/>
    <mergeCell ref="E2484:F2484"/>
    <mergeCell ref="E2423:F2423"/>
    <mergeCell ref="E2355:H2355"/>
    <mergeCell ref="E2356:H2356"/>
    <mergeCell ref="E2357:H2357"/>
    <mergeCell ref="E2812:H2812"/>
    <mergeCell ref="E2673:F2673"/>
    <mergeCell ref="E2347:F2347"/>
    <mergeCell ref="E2348:F2348"/>
    <mergeCell ref="E2980:F2980"/>
    <mergeCell ref="E2953:F2953"/>
    <mergeCell ref="E3030:F3030"/>
    <mergeCell ref="E3032:F3032"/>
    <mergeCell ref="E3033:F3033"/>
    <mergeCell ref="E3040:H3040"/>
    <mergeCell ref="E3041:H3041"/>
    <mergeCell ref="E3042:H3042"/>
    <mergeCell ref="E3043:H3043"/>
    <mergeCell ref="E3006:F3006"/>
    <mergeCell ref="E3007:F3007"/>
    <mergeCell ref="E3055:F3055"/>
    <mergeCell ref="E3109:F3109"/>
    <mergeCell ref="E3115:H3115"/>
    <mergeCell ref="E2185:H2185"/>
    <mergeCell ref="E2176:F2176"/>
    <mergeCell ref="E2177:F2177"/>
    <mergeCell ref="E2178:F2178"/>
    <mergeCell ref="E2181:F2181"/>
    <mergeCell ref="E2189:H2189"/>
    <mergeCell ref="E2202:F2202"/>
    <mergeCell ref="E2117:H2117"/>
    <mergeCell ref="E2118:H2118"/>
    <mergeCell ref="E2274:F2274"/>
    <mergeCell ref="E2208:H2208"/>
    <mergeCell ref="E2209:H2209"/>
    <mergeCell ref="E2210:H2210"/>
    <mergeCell ref="E2211:H2211"/>
    <mergeCell ref="E2237:F2237"/>
    <mergeCell ref="E2238:F2238"/>
    <mergeCell ref="E2244:F2244"/>
    <mergeCell ref="E2215:F2215"/>
    <mergeCell ref="E2245:F2245"/>
    <mergeCell ref="E2252:H2252"/>
    <mergeCell ref="E2266:H2266"/>
    <mergeCell ref="E2241:F2241"/>
    <mergeCell ref="E2243:F2243"/>
    <mergeCell ref="E2187:H2187"/>
    <mergeCell ref="E2240:F2240"/>
    <mergeCell ref="E2200:F2200"/>
    <mergeCell ref="E2146:F2146"/>
    <mergeCell ref="E2184:H2184"/>
    <mergeCell ref="E2170:F2170"/>
    <mergeCell ref="E2171:F2171"/>
    <mergeCell ref="E2172:F2172"/>
    <mergeCell ref="E2162:H2162"/>
    <mergeCell ref="E2270:F2270"/>
    <mergeCell ref="E2271:F2271"/>
    <mergeCell ref="E2272:F2272"/>
    <mergeCell ref="E2273:F2273"/>
    <mergeCell ref="E2147:F2147"/>
    <mergeCell ref="E2148:F2148"/>
    <mergeCell ref="E2151:F2151"/>
    <mergeCell ref="E2163:H2163"/>
    <mergeCell ref="E2167:H2167"/>
    <mergeCell ref="E2173:F2173"/>
    <mergeCell ref="E2174:F2174"/>
    <mergeCell ref="E2179:F2179"/>
    <mergeCell ref="E2182:H2182"/>
    <mergeCell ref="E2183:H2183"/>
    <mergeCell ref="E2214:F2214"/>
    <mergeCell ref="E2168:F2168"/>
    <mergeCell ref="E2169:F2169"/>
    <mergeCell ref="E2221:F2221"/>
    <mergeCell ref="E2153:F2153"/>
    <mergeCell ref="E2154:F2154"/>
    <mergeCell ref="E2155:F2155"/>
    <mergeCell ref="E2156:F2156"/>
    <mergeCell ref="E2157:F2157"/>
    <mergeCell ref="E2158:F2158"/>
    <mergeCell ref="E2159:F2159"/>
    <mergeCell ref="E2180:F2180"/>
    <mergeCell ref="E2191:F2191"/>
    <mergeCell ref="E2160:H2160"/>
    <mergeCell ref="E2186:H2186"/>
    <mergeCell ref="E2188:H2188"/>
    <mergeCell ref="E2192:F2192"/>
    <mergeCell ref="E2193:F2193"/>
    <mergeCell ref="E2194:F2194"/>
    <mergeCell ref="E2195:F2195"/>
    <mergeCell ref="E2201:F2201"/>
    <mergeCell ref="E2255:H2255"/>
    <mergeCell ref="E2256:H2256"/>
    <mergeCell ref="E2257:H2257"/>
    <mergeCell ref="E2258:H2258"/>
    <mergeCell ref="E1714:H1714"/>
    <mergeCell ref="E1715:H1715"/>
    <mergeCell ref="E1716:H1716"/>
    <mergeCell ref="E1730:H1730"/>
    <mergeCell ref="E1739:H1739"/>
    <mergeCell ref="E1752:H1752"/>
    <mergeCell ref="E1753:H1753"/>
    <mergeCell ref="E1754:H1754"/>
    <mergeCell ref="E1755:H1755"/>
    <mergeCell ref="E1756:H1756"/>
    <mergeCell ref="E1757:H1757"/>
    <mergeCell ref="E1758:H1758"/>
    <mergeCell ref="E1759:H1759"/>
    <mergeCell ref="E1761:F1761"/>
    <mergeCell ref="E1762:F1762"/>
    <mergeCell ref="E1763:F1763"/>
    <mergeCell ref="E1764:F1764"/>
    <mergeCell ref="E1765:F1765"/>
    <mergeCell ref="E1766:F1766"/>
    <mergeCell ref="E1767:F1767"/>
    <mergeCell ref="E1768:F1768"/>
    <mergeCell ref="E1771:H1771"/>
    <mergeCell ref="E1772:H1772"/>
    <mergeCell ref="E1773:H1773"/>
    <mergeCell ref="E2349:F2349"/>
    <mergeCell ref="E2353:H2353"/>
    <mergeCell ref="E2333:H2333"/>
    <mergeCell ref="E2334:H2334"/>
    <mergeCell ref="E2335:H2335"/>
    <mergeCell ref="E2336:H2336"/>
    <mergeCell ref="E2134:F2134"/>
    <mergeCell ref="E2136:H2136"/>
    <mergeCell ref="E2137:H2137"/>
    <mergeCell ref="E2239:F2239"/>
    <mergeCell ref="E2344:F2344"/>
    <mergeCell ref="E2345:F2345"/>
    <mergeCell ref="E2346:F2346"/>
    <mergeCell ref="E2164:H2164"/>
    <mergeCell ref="E2165:H2165"/>
    <mergeCell ref="E2135:F2135"/>
    <mergeCell ref="E1920:F1920"/>
    <mergeCell ref="E1922:F1922"/>
    <mergeCell ref="E1859:H1859"/>
    <mergeCell ref="E1860:H1860"/>
    <mergeCell ref="E1861:H1861"/>
    <mergeCell ref="E1931:H1931"/>
    <mergeCell ref="E1932:H1932"/>
    <mergeCell ref="E1933:H1933"/>
    <mergeCell ref="E1809:F1809"/>
    <mergeCell ref="E1816:F1816"/>
    <mergeCell ref="E2123:F2123"/>
    <mergeCell ref="E2129:F2129"/>
    <mergeCell ref="E2296:F2296"/>
    <mergeCell ref="E2166:H2166"/>
    <mergeCell ref="E2161:H2161"/>
    <mergeCell ref="E1779:F1779"/>
    <mergeCell ref="E1781:F1781"/>
    <mergeCell ref="E1782:F1782"/>
    <mergeCell ref="E1789:F1789"/>
    <mergeCell ref="E1796:H1796"/>
    <mergeCell ref="E1797:H1797"/>
    <mergeCell ref="E1817:F1817"/>
    <mergeCell ref="E1818:F1818"/>
    <mergeCell ref="E2109:F2109"/>
    <mergeCell ref="E1700:F1700"/>
    <mergeCell ref="E1718:F1718"/>
    <mergeCell ref="E1719:F1719"/>
    <mergeCell ref="E1720:F1720"/>
    <mergeCell ref="E1769:F1769"/>
    <mergeCell ref="E1921:F1921"/>
    <mergeCell ref="E1923:F1923"/>
    <mergeCell ref="E1924:F1924"/>
    <mergeCell ref="E1912:H1912"/>
    <mergeCell ref="E1917:F1917"/>
    <mergeCell ref="E1802:F1802"/>
    <mergeCell ref="E1721:F1721"/>
    <mergeCell ref="E1722:F1722"/>
    <mergeCell ref="E1723:F1723"/>
    <mergeCell ref="E1724:F1724"/>
    <mergeCell ref="E1725:F1725"/>
    <mergeCell ref="E1728:F1728"/>
    <mergeCell ref="E1731:H1731"/>
    <mergeCell ref="E1732:H1732"/>
    <mergeCell ref="E1733:H1733"/>
    <mergeCell ref="E1734:H1734"/>
    <mergeCell ref="E1741:F1741"/>
    <mergeCell ref="E1742:F1742"/>
    <mergeCell ref="E1726:F1726"/>
    <mergeCell ref="E1727:F1727"/>
    <mergeCell ref="E1729:F1729"/>
    <mergeCell ref="E1740:F1740"/>
    <mergeCell ref="E1749:F1749"/>
    <mergeCell ref="E1751:F1751"/>
    <mergeCell ref="E1743:F1743"/>
    <mergeCell ref="E1744:F1744"/>
    <mergeCell ref="E1745:F1745"/>
    <mergeCell ref="E1746:F1746"/>
    <mergeCell ref="E1747:F1747"/>
    <mergeCell ref="E1748:F1748"/>
    <mergeCell ref="E1780:F1780"/>
    <mergeCell ref="E1783:F1783"/>
    <mergeCell ref="E1784:F1784"/>
    <mergeCell ref="E1785:F1785"/>
    <mergeCell ref="E1792:H1792"/>
    <mergeCell ref="E1793:H1793"/>
    <mergeCell ref="E1794:H1794"/>
    <mergeCell ref="E1795:H1795"/>
    <mergeCell ref="E1788:F1788"/>
    <mergeCell ref="E1791:H1791"/>
    <mergeCell ref="E1760:F1760"/>
    <mergeCell ref="E1820:F1820"/>
    <mergeCell ref="E1824:F1824"/>
    <mergeCell ref="E1831:F1831"/>
    <mergeCell ref="E1832:F1832"/>
    <mergeCell ref="E1705:F1705"/>
    <mergeCell ref="E1706:F1706"/>
    <mergeCell ref="E1707:F1707"/>
    <mergeCell ref="E1708:F1708"/>
    <mergeCell ref="E1701:F1701"/>
    <mergeCell ref="E1702:F1702"/>
    <mergeCell ref="E1703:F1703"/>
    <mergeCell ref="E1704:F1704"/>
    <mergeCell ref="E1821:F1821"/>
    <mergeCell ref="E1822:F1822"/>
    <mergeCell ref="E1900:F1900"/>
    <mergeCell ref="E1901:F1901"/>
    <mergeCell ref="E1735:H1735"/>
    <mergeCell ref="E1736:H1736"/>
    <mergeCell ref="E1673:F1673"/>
    <mergeCell ref="E1674:F1674"/>
    <mergeCell ref="E1645:F1645"/>
    <mergeCell ref="E1648:F1648"/>
    <mergeCell ref="E1649:F1649"/>
    <mergeCell ref="E1641:F1641"/>
    <mergeCell ref="E1643:F1643"/>
    <mergeCell ref="E1534:F1534"/>
    <mergeCell ref="E1671:F1671"/>
    <mergeCell ref="E1672:F1672"/>
    <mergeCell ref="E1661:H1661"/>
    <mergeCell ref="E1593:H1593"/>
    <mergeCell ref="E1594:F1594"/>
    <mergeCell ref="E1595:F1595"/>
    <mergeCell ref="E1596:F1596"/>
    <mergeCell ref="E1577:F1577"/>
    <mergeCell ref="E1578:F1578"/>
    <mergeCell ref="E1602:F1602"/>
    <mergeCell ref="E1603:F1603"/>
    <mergeCell ref="E1604:F1604"/>
    <mergeCell ref="E1605:F1605"/>
    <mergeCell ref="E1606:F1606"/>
    <mergeCell ref="E1607:F1607"/>
    <mergeCell ref="E1608:F1608"/>
    <mergeCell ref="E1609:F1609"/>
    <mergeCell ref="E1611:F1611"/>
    <mergeCell ref="E1619:H1619"/>
    <mergeCell ref="E1678:H1678"/>
    <mergeCell ref="E1679:G1679"/>
    <mergeCell ref="E1804:H1804"/>
    <mergeCell ref="E1805:H1805"/>
    <mergeCell ref="E1810:F1810"/>
    <mergeCell ref="E1811:F1811"/>
    <mergeCell ref="E1786:F1786"/>
    <mergeCell ref="E1787:F1787"/>
    <mergeCell ref="E1681:G1681"/>
    <mergeCell ref="E1682:G1682"/>
    <mergeCell ref="E1683:H1683"/>
    <mergeCell ref="E1684:H1684"/>
    <mergeCell ref="E1685:H1685"/>
    <mergeCell ref="E1686:H1686"/>
    <mergeCell ref="E1687:H1687"/>
    <mergeCell ref="E1688:H1688"/>
    <mergeCell ref="E1689:H1689"/>
    <mergeCell ref="E1690:H1690"/>
    <mergeCell ref="E1691:H1691"/>
    <mergeCell ref="E1697:F1697"/>
    <mergeCell ref="E1698:F1698"/>
    <mergeCell ref="E1699:F1699"/>
    <mergeCell ref="E1692:H1692"/>
    <mergeCell ref="E1693:H1693"/>
    <mergeCell ref="E1694:H1694"/>
    <mergeCell ref="E1695:H1695"/>
    <mergeCell ref="E1680:G1680"/>
    <mergeCell ref="E1709:H1709"/>
    <mergeCell ref="E1710:H1710"/>
    <mergeCell ref="E1711:H1711"/>
    <mergeCell ref="E1712:H1712"/>
    <mergeCell ref="E1713:H1713"/>
    <mergeCell ref="E1696:H1696"/>
    <mergeCell ref="E1775:H1775"/>
    <mergeCell ref="E1776:H1776"/>
    <mergeCell ref="E1777:H1777"/>
    <mergeCell ref="E1778:H1778"/>
    <mergeCell ref="E1330:F1330"/>
    <mergeCell ref="E1332:F1332"/>
    <mergeCell ref="E1350:F1350"/>
    <mergeCell ref="E934:F934"/>
    <mergeCell ref="E935:F935"/>
    <mergeCell ref="E982:F982"/>
    <mergeCell ref="E983:F983"/>
    <mergeCell ref="E985:F985"/>
    <mergeCell ref="E922:F922"/>
    <mergeCell ref="E923:F923"/>
    <mergeCell ref="E1032:F1032"/>
    <mergeCell ref="E1034:F1034"/>
    <mergeCell ref="E1035:F1035"/>
    <mergeCell ref="E1036:F1036"/>
    <mergeCell ref="E1037:F1037"/>
    <mergeCell ref="E1038:F1038"/>
    <mergeCell ref="E1040:F1040"/>
    <mergeCell ref="E1045:H1045"/>
    <mergeCell ref="E944:H944"/>
    <mergeCell ref="E960:F960"/>
    <mergeCell ref="E962:F962"/>
    <mergeCell ref="E963:F963"/>
    <mergeCell ref="E842:F842"/>
    <mergeCell ref="E850:H850"/>
    <mergeCell ref="E851:H851"/>
    <mergeCell ref="E1501:F1501"/>
    <mergeCell ref="E1660:H1660"/>
    <mergeCell ref="E1664:F1664"/>
    <mergeCell ref="E1665:F1665"/>
    <mergeCell ref="E1666:F1666"/>
    <mergeCell ref="E1667:F1667"/>
    <mergeCell ref="E1668:F1668"/>
    <mergeCell ref="E1669:F1669"/>
    <mergeCell ref="E1647:F1647"/>
    <mergeCell ref="E1653:F1653"/>
    <mergeCell ref="E1156:F1156"/>
    <mergeCell ref="E1157:F1157"/>
    <mergeCell ref="E1158:F1158"/>
    <mergeCell ref="E1160:F1160"/>
    <mergeCell ref="E1124:H1124"/>
    <mergeCell ref="E1143:H1143"/>
    <mergeCell ref="E1146:F1146"/>
    <mergeCell ref="E1147:F1147"/>
    <mergeCell ref="E1063:H1063"/>
    <mergeCell ref="E1065:H1065"/>
    <mergeCell ref="E1247:H1247"/>
    <mergeCell ref="E1249:H1249"/>
    <mergeCell ref="E1254:F1254"/>
    <mergeCell ref="E1260:F1260"/>
    <mergeCell ref="E1261:F1261"/>
    <mergeCell ref="E1262:F1262"/>
    <mergeCell ref="E1248:H1248"/>
    <mergeCell ref="E1250:F1250"/>
    <mergeCell ref="E1251:F1251"/>
    <mergeCell ref="E1252:F1252"/>
    <mergeCell ref="E1253:F1253"/>
    <mergeCell ref="E1255:F1255"/>
    <mergeCell ref="E1256:F1256"/>
    <mergeCell ref="E1257:F1257"/>
    <mergeCell ref="E1091:H1091"/>
    <mergeCell ref="E1093:F1093"/>
    <mergeCell ref="G1097:H1097"/>
    <mergeCell ref="E1098:F1098"/>
    <mergeCell ref="E1099:F1099"/>
    <mergeCell ref="E606:F606"/>
    <mergeCell ref="E613:F613"/>
    <mergeCell ref="E621:H621"/>
    <mergeCell ref="E633:F633"/>
    <mergeCell ref="E634:F634"/>
    <mergeCell ref="E691:F691"/>
    <mergeCell ref="E713:H713"/>
    <mergeCell ref="E643:F643"/>
    <mergeCell ref="E705:F705"/>
    <mergeCell ref="E708:F708"/>
    <mergeCell ref="E687:H687"/>
    <mergeCell ref="E688:H688"/>
    <mergeCell ref="E689:H689"/>
    <mergeCell ref="E692:F692"/>
    <mergeCell ref="E693:F693"/>
    <mergeCell ref="E712:H712"/>
    <mergeCell ref="E733:F733"/>
    <mergeCell ref="E734:F734"/>
    <mergeCell ref="E707:F707"/>
    <mergeCell ref="E1456:F1456"/>
    <mergeCell ref="E1457:F1457"/>
    <mergeCell ref="E1549:F1549"/>
    <mergeCell ref="E1550:F1550"/>
    <mergeCell ref="E1464:F1464"/>
    <mergeCell ref="E1510:F1510"/>
    <mergeCell ref="E1535:F1535"/>
    <mergeCell ref="E1438:F1438"/>
    <mergeCell ref="E1439:F1439"/>
    <mergeCell ref="E1440:F1440"/>
    <mergeCell ref="E1441:F1441"/>
    <mergeCell ref="E1442:F1442"/>
    <mergeCell ref="E1450:H1450"/>
    <mergeCell ref="E1451:H1451"/>
    <mergeCell ref="E1459:F1459"/>
    <mergeCell ref="E1460:F1460"/>
    <mergeCell ref="E1461:F1461"/>
    <mergeCell ref="E1462:F1462"/>
    <mergeCell ref="E1463:F1463"/>
    <mergeCell ref="E1482:F1482"/>
    <mergeCell ref="E1532:F1532"/>
    <mergeCell ref="E1533:F1533"/>
    <mergeCell ref="E1547:F1547"/>
    <mergeCell ref="E1513:F1513"/>
    <mergeCell ref="E1514:F1514"/>
    <mergeCell ref="E1454:H1454"/>
    <mergeCell ref="E1455:H1455"/>
    <mergeCell ref="E1465:F1465"/>
    <mergeCell ref="E1466:F1466"/>
    <mergeCell ref="E1467:F1467"/>
    <mergeCell ref="E1468:F1468"/>
    <mergeCell ref="E1469:F1469"/>
    <mergeCell ref="E840:F840"/>
    <mergeCell ref="E841:F841"/>
    <mergeCell ref="E984:F984"/>
    <mergeCell ref="E994:H994"/>
    <mergeCell ref="E987:F987"/>
    <mergeCell ref="E1380:F1380"/>
    <mergeCell ref="E1329:F1329"/>
    <mergeCell ref="E852:H852"/>
    <mergeCell ref="E1278:F1278"/>
    <mergeCell ref="E1285:H1285"/>
    <mergeCell ref="E1286:H1286"/>
    <mergeCell ref="E1287:H1287"/>
    <mergeCell ref="E1288:H1288"/>
    <mergeCell ref="E13916:H13916"/>
    <mergeCell ref="E13917:H13917"/>
    <mergeCell ref="E13918:H13918"/>
    <mergeCell ref="E13940:H13940"/>
    <mergeCell ref="E13941:H13941"/>
    <mergeCell ref="E13942:H13942"/>
    <mergeCell ref="E13943:H13943"/>
    <mergeCell ref="E13972:H13972"/>
    <mergeCell ref="E13973:H13973"/>
    <mergeCell ref="E14011:H14011"/>
    <mergeCell ref="E13819:F13819"/>
    <mergeCell ref="E13820:F13820"/>
    <mergeCell ref="E13821:F13821"/>
    <mergeCell ref="E13822:F13822"/>
    <mergeCell ref="E30:H30"/>
    <mergeCell ref="E38:F38"/>
    <mergeCell ref="E53:H53"/>
    <mergeCell ref="E54:H54"/>
    <mergeCell ref="E55:H55"/>
    <mergeCell ref="E63:F63"/>
    <mergeCell ref="E64:F64"/>
    <mergeCell ref="E65:F65"/>
    <mergeCell ref="E85:F85"/>
    <mergeCell ref="E86:F86"/>
    <mergeCell ref="E87:F87"/>
    <mergeCell ref="E105:F105"/>
    <mergeCell ref="E119:F119"/>
    <mergeCell ref="E120:F120"/>
    <mergeCell ref="E45:F45"/>
    <mergeCell ref="E42:F42"/>
    <mergeCell ref="E43:F43"/>
    <mergeCell ref="E44:F44"/>
    <mergeCell ref="E100:F100"/>
    <mergeCell ref="E101:F101"/>
    <mergeCell ref="E102:F102"/>
    <mergeCell ref="E103:F103"/>
    <mergeCell ref="E104:F104"/>
    <mergeCell ref="E125:H125"/>
    <mergeCell ref="E126:H126"/>
    <mergeCell ref="E127:H127"/>
    <mergeCell ref="E128:H128"/>
    <mergeCell ref="E129:H129"/>
    <mergeCell ref="E130:H130"/>
    <mergeCell ref="E132:F132"/>
    <mergeCell ref="E133:F133"/>
    <mergeCell ref="E134:F134"/>
    <mergeCell ref="E135:F135"/>
    <mergeCell ref="E74:H74"/>
    <mergeCell ref="E75:H75"/>
    <mergeCell ref="E76:H76"/>
    <mergeCell ref="E79:F79"/>
    <mergeCell ref="E80:F80"/>
    <mergeCell ref="E81:F81"/>
    <mergeCell ref="E82:F82"/>
    <mergeCell ref="E83:F83"/>
    <mergeCell ref="E84:F84"/>
    <mergeCell ref="E91:H91"/>
    <mergeCell ref="E92:H92"/>
    <mergeCell ref="E93:H93"/>
    <mergeCell ref="E94:H94"/>
    <mergeCell ref="E95:H95"/>
    <mergeCell ref="E99:F99"/>
    <mergeCell ref="E532:H532"/>
    <mergeCell ref="E592:H592"/>
    <mergeCell ref="E13617:F13617"/>
    <mergeCell ref="E13368:H13368"/>
    <mergeCell ref="E13369:H13369"/>
    <mergeCell ref="E13370:H13370"/>
    <mergeCell ref="E13372:H13372"/>
    <mergeCell ref="E13373:H13373"/>
    <mergeCell ref="E13376:F13376"/>
    <mergeCell ref="E13377:F13377"/>
    <mergeCell ref="E13378:F13378"/>
    <mergeCell ref="E13379:F13379"/>
    <mergeCell ref="E13380:F13380"/>
    <mergeCell ref="E13381:F13381"/>
    <mergeCell ref="E13351:H13351"/>
    <mergeCell ref="E13352:H13352"/>
    <mergeCell ref="E14012:H14012"/>
    <mergeCell ref="E13977:H13977"/>
    <mergeCell ref="E13978:H13978"/>
    <mergeCell ref="E13979:H13979"/>
    <mergeCell ref="E14013:H14013"/>
    <mergeCell ref="E14007:H14007"/>
    <mergeCell ref="E14008:H14008"/>
    <mergeCell ref="E14009:H14009"/>
    <mergeCell ref="E14010:H14010"/>
    <mergeCell ref="E13944:H13944"/>
    <mergeCell ref="E13946:H13946"/>
    <mergeCell ref="E13945:H13945"/>
    <mergeCell ref="E13947:H13947"/>
    <mergeCell ref="E13948:H13948"/>
    <mergeCell ref="E13949:H13949"/>
    <mergeCell ref="E13911:H13911"/>
    <mergeCell ref="E13803:F13803"/>
    <mergeCell ref="E13805:F13805"/>
    <mergeCell ref="E13806:F13806"/>
    <mergeCell ref="E13807:F13807"/>
    <mergeCell ref="E13808:F13808"/>
    <mergeCell ref="E13804:F13804"/>
    <mergeCell ref="E13809:F13809"/>
    <mergeCell ref="E13810:F13810"/>
    <mergeCell ref="E13811:F13811"/>
    <mergeCell ref="E13813:F13813"/>
    <mergeCell ref="E13790:F13790"/>
    <mergeCell ref="E13796:F13796"/>
    <mergeCell ref="E13797:F13797"/>
    <mergeCell ref="E13798:F13798"/>
    <mergeCell ref="E13799:F13799"/>
    <mergeCell ref="E13800:F13800"/>
    <mergeCell ref="E13801:F13801"/>
    <mergeCell ref="E13802:F13802"/>
    <mergeCell ref="E13849:H13849"/>
    <mergeCell ref="E13850:H13850"/>
    <mergeCell ref="E13851:H13851"/>
    <mergeCell ref="E13852:H13852"/>
    <mergeCell ref="E13853:H13853"/>
    <mergeCell ref="E13854:H13854"/>
    <mergeCell ref="E13855:H13855"/>
    <mergeCell ref="E13856:H13856"/>
    <mergeCell ref="E13857:H13857"/>
    <mergeCell ref="E13858:H13858"/>
    <mergeCell ref="E13859:H13859"/>
    <mergeCell ref="E13860:H13860"/>
    <mergeCell ref="E13912:H13912"/>
    <mergeCell ref="E13913:H13913"/>
    <mergeCell ref="E13914:H13914"/>
    <mergeCell ref="E13915:H13915"/>
    <mergeCell ref="E13238:F13238"/>
    <mergeCell ref="E13239:F13239"/>
    <mergeCell ref="E13241:F13241"/>
    <mergeCell ref="E13242:F13242"/>
    <mergeCell ref="E13243:F13243"/>
    <mergeCell ref="E13575:H13575"/>
    <mergeCell ref="E13572:F13572"/>
    <mergeCell ref="E13573:F13573"/>
    <mergeCell ref="E13574:F13574"/>
    <mergeCell ref="E13576:F13576"/>
    <mergeCell ref="E13577:F13577"/>
    <mergeCell ref="E13580:H13580"/>
    <mergeCell ref="E13581:H13581"/>
    <mergeCell ref="E13582:H13582"/>
    <mergeCell ref="E13583:H13583"/>
    <mergeCell ref="E13584:H13584"/>
    <mergeCell ref="E13585:H13585"/>
    <mergeCell ref="E13651:H13651"/>
    <mergeCell ref="E13652:H13652"/>
    <mergeCell ref="E13653:H13653"/>
    <mergeCell ref="E13654:H13654"/>
    <mergeCell ref="E13656:H13656"/>
    <mergeCell ref="E13660:F13660"/>
    <mergeCell ref="E13661:F13661"/>
    <mergeCell ref="E13612:F13612"/>
    <mergeCell ref="E13322:H13322"/>
    <mergeCell ref="E13323:H13323"/>
    <mergeCell ref="E13772:F13772"/>
    <mergeCell ref="E13773:F13773"/>
    <mergeCell ref="E13726:F13726"/>
    <mergeCell ref="E13727:F13727"/>
    <mergeCell ref="E13728:F13728"/>
    <mergeCell ref="E13729:F13729"/>
    <mergeCell ref="E13730:F13730"/>
    <mergeCell ref="E13731:F13731"/>
    <mergeCell ref="E13740:H13740"/>
    <mergeCell ref="E13746:F13746"/>
    <mergeCell ref="E13747:F13747"/>
    <mergeCell ref="E13748:F13748"/>
    <mergeCell ref="E13755:F13755"/>
    <mergeCell ref="E13756:F13756"/>
    <mergeCell ref="E13757:F13757"/>
    <mergeCell ref="E13761:H13761"/>
    <mergeCell ref="E13762:H13762"/>
    <mergeCell ref="E13763:H13763"/>
    <mergeCell ref="E13764:H13764"/>
    <mergeCell ref="E13765:H13765"/>
    <mergeCell ref="E13586:H13586"/>
    <mergeCell ref="E13587:H13587"/>
    <mergeCell ref="E13588:F13588"/>
    <mergeCell ref="E13589:H13589"/>
    <mergeCell ref="E13592:H13592"/>
    <mergeCell ref="E13597:F13597"/>
    <mergeCell ref="E13598:F13598"/>
    <mergeCell ref="E13599:F13599"/>
    <mergeCell ref="E13600:F13600"/>
    <mergeCell ref="E13602:F13602"/>
    <mergeCell ref="E13742:H13742"/>
    <mergeCell ref="E13743:H13743"/>
    <mergeCell ref="E13744:H13744"/>
    <mergeCell ref="E13753:F13753"/>
    <mergeCell ref="E13754:F13754"/>
    <mergeCell ref="E13611:F13611"/>
    <mergeCell ref="E13616:F13616"/>
    <mergeCell ref="E12386:F12386"/>
    <mergeCell ref="E12387:F12387"/>
    <mergeCell ref="E12388:F12388"/>
    <mergeCell ref="E13774:F13774"/>
    <mergeCell ref="E13775:F13775"/>
    <mergeCell ref="E13776:F13776"/>
    <mergeCell ref="E13777:F13777"/>
    <mergeCell ref="E13778:F13778"/>
    <mergeCell ref="E13606:H13606"/>
    <mergeCell ref="E13569:F13569"/>
    <mergeCell ref="E13553:H13553"/>
    <mergeCell ref="E13567:F13567"/>
    <mergeCell ref="E13568:F13568"/>
    <mergeCell ref="E13604:F13604"/>
    <mergeCell ref="E13578:F13578"/>
    <mergeCell ref="E13601:F13601"/>
    <mergeCell ref="E13337:F13337"/>
    <mergeCell ref="E13339:F13339"/>
    <mergeCell ref="E13340:F13340"/>
    <mergeCell ref="E13341:F13341"/>
    <mergeCell ref="E13388:F13388"/>
    <mergeCell ref="E13462:F13462"/>
    <mergeCell ref="E13463:F13463"/>
    <mergeCell ref="E13227:F13227"/>
    <mergeCell ref="E13228:F13228"/>
    <mergeCell ref="E13229:F13229"/>
    <mergeCell ref="E13230:F13230"/>
    <mergeCell ref="E13231:F13231"/>
    <mergeCell ref="E13232:F13232"/>
    <mergeCell ref="E13233:F13233"/>
    <mergeCell ref="E13250:F13250"/>
    <mergeCell ref="E13251:F13251"/>
    <mergeCell ref="E13252:F13252"/>
    <mergeCell ref="E13253:F13253"/>
    <mergeCell ref="E13254:F13254"/>
    <mergeCell ref="E13255:F13255"/>
    <mergeCell ref="E13256:F13256"/>
    <mergeCell ref="E13257:F13257"/>
    <mergeCell ref="E13258:F13258"/>
    <mergeCell ref="E13273:H13273"/>
    <mergeCell ref="E13280:F13280"/>
    <mergeCell ref="E13281:F13281"/>
    <mergeCell ref="E13294:H13294"/>
    <mergeCell ref="E13303:H13303"/>
    <mergeCell ref="E13304:H13304"/>
    <mergeCell ref="E13305:H13305"/>
    <mergeCell ref="E13245:F13245"/>
    <mergeCell ref="E13246:F13246"/>
    <mergeCell ref="E12557:F12557"/>
    <mergeCell ref="E13247:F13247"/>
    <mergeCell ref="E12558:F12558"/>
    <mergeCell ref="E13217:F13217"/>
    <mergeCell ref="E13218:F13218"/>
    <mergeCell ref="E13219:F13219"/>
    <mergeCell ref="E13220:F13220"/>
    <mergeCell ref="E13240:F13240"/>
    <mergeCell ref="E13203:H13203"/>
    <mergeCell ref="E13214:F13214"/>
    <mergeCell ref="E13216:F13216"/>
    <mergeCell ref="E13235:F13235"/>
    <mergeCell ref="E13236:F13236"/>
    <mergeCell ref="E13225:F13225"/>
    <mergeCell ref="E13226:F13226"/>
    <mergeCell ref="E13237:F13237"/>
    <mergeCell ref="E12356:F12356"/>
    <mergeCell ref="E12366:F12366"/>
    <mergeCell ref="E12367:F12367"/>
    <mergeCell ref="E12396:F12396"/>
    <mergeCell ref="E12397:F12397"/>
    <mergeCell ref="E12418:H12418"/>
    <mergeCell ref="E12425:H12425"/>
    <mergeCell ref="E12426:H12426"/>
    <mergeCell ref="E12427:H12427"/>
    <mergeCell ref="E12533:F12533"/>
    <mergeCell ref="E12534:F12534"/>
    <mergeCell ref="E12553:F12553"/>
    <mergeCell ref="E12519:H12519"/>
    <mergeCell ref="E12520:H12520"/>
    <mergeCell ref="E12521:H12521"/>
    <mergeCell ref="E12522:H12522"/>
    <mergeCell ref="E12527:F12527"/>
    <mergeCell ref="E12528:F12528"/>
    <mergeCell ref="E12529:F12529"/>
    <mergeCell ref="E12530:F12530"/>
    <mergeCell ref="E12017:F12017"/>
    <mergeCell ref="E12019:F12019"/>
    <mergeCell ref="E11914:F11914"/>
    <mergeCell ref="E11915:F11915"/>
    <mergeCell ref="E11916:F11916"/>
    <mergeCell ref="E11917:F11917"/>
    <mergeCell ref="E11918:F11918"/>
    <mergeCell ref="E11943:F11943"/>
    <mergeCell ref="E12007:H12007"/>
    <mergeCell ref="E12008:H12008"/>
    <mergeCell ref="E12044:F12044"/>
    <mergeCell ref="E12220:F12220"/>
    <mergeCell ref="E12222:F12222"/>
    <mergeCell ref="E12223:F12223"/>
    <mergeCell ref="E12224:F12224"/>
    <mergeCell ref="E12225:F12225"/>
    <mergeCell ref="E12105:F12105"/>
    <mergeCell ref="E12106:F12106"/>
    <mergeCell ref="E12164:F12164"/>
    <mergeCell ref="E11994:F11994"/>
    <mergeCell ref="E11996:F11996"/>
    <mergeCell ref="E12022:F12022"/>
    <mergeCell ref="E12030:H12030"/>
    <mergeCell ref="E12031:H12031"/>
    <mergeCell ref="E12103:F12103"/>
    <mergeCell ref="E12108:H12108"/>
    <mergeCell ref="E12109:H12109"/>
    <mergeCell ref="E12110:H12110"/>
    <mergeCell ref="E12360:H12360"/>
    <mergeCell ref="E12361:H12361"/>
    <mergeCell ref="E12342:F12342"/>
    <mergeCell ref="E12343:F12343"/>
    <mergeCell ref="E12399:F12399"/>
    <mergeCell ref="E12398:F12398"/>
    <mergeCell ref="E12419:H12419"/>
    <mergeCell ref="E12354:F12354"/>
    <mergeCell ref="E12357:F12357"/>
    <mergeCell ref="E12341:F12341"/>
    <mergeCell ref="E12335:F12335"/>
    <mergeCell ref="E12336:F12336"/>
    <mergeCell ref="E12337:F12337"/>
    <mergeCell ref="E12338:F12338"/>
    <mergeCell ref="E12346:H12346"/>
    <mergeCell ref="E12385:F12385"/>
    <mergeCell ref="E11616:F11616"/>
    <mergeCell ref="E11617:F11617"/>
    <mergeCell ref="E11618:F11618"/>
    <mergeCell ref="E11619:F11619"/>
    <mergeCell ref="E11850:F11850"/>
    <mergeCell ref="E11851:F11851"/>
    <mergeCell ref="E11907:H11907"/>
    <mergeCell ref="E11908:H11908"/>
    <mergeCell ref="E11960:H11960"/>
    <mergeCell ref="E11961:H11961"/>
    <mergeCell ref="E11962:H11962"/>
    <mergeCell ref="E11971:F11971"/>
    <mergeCell ref="E11972:F11972"/>
    <mergeCell ref="E11606:H11606"/>
    <mergeCell ref="E11632:H11632"/>
    <mergeCell ref="E11633:H11633"/>
    <mergeCell ref="E11685:F11685"/>
    <mergeCell ref="E11686:F11686"/>
    <mergeCell ref="E11687:F11687"/>
    <mergeCell ref="E11696:F11696"/>
    <mergeCell ref="E11697:F11697"/>
    <mergeCell ref="E11698:F11698"/>
    <mergeCell ref="E11699:F11699"/>
    <mergeCell ref="E11706:H11706"/>
    <mergeCell ref="E11707:H11707"/>
    <mergeCell ref="E11708:H11708"/>
    <mergeCell ref="E11620:F11620"/>
    <mergeCell ref="E11623:F11623"/>
    <mergeCell ref="E11624:F11624"/>
    <mergeCell ref="E11628:H11628"/>
    <mergeCell ref="E11629:H11629"/>
    <mergeCell ref="E11630:H11630"/>
    <mergeCell ref="E11631:H11631"/>
    <mergeCell ref="E11639:F11639"/>
    <mergeCell ref="E11640:F11640"/>
    <mergeCell ref="E11641:F11641"/>
    <mergeCell ref="E11701:F11701"/>
    <mergeCell ref="E11723:F11723"/>
    <mergeCell ref="E11700:F11700"/>
    <mergeCell ref="E11725:H11725"/>
    <mergeCell ref="E11726:H11726"/>
    <mergeCell ref="E11727:H11727"/>
    <mergeCell ref="E11728:H11728"/>
    <mergeCell ref="E11729:H11729"/>
    <mergeCell ref="E11730:H11730"/>
    <mergeCell ref="E11731:H11731"/>
    <mergeCell ref="E11736:F11736"/>
    <mergeCell ref="E11740:F11740"/>
    <mergeCell ref="E11923:H11923"/>
    <mergeCell ref="E11924:H11924"/>
    <mergeCell ref="E11925:H11925"/>
    <mergeCell ref="E11911:F11911"/>
    <mergeCell ref="E11912:F11912"/>
    <mergeCell ref="E11913:F11913"/>
    <mergeCell ref="E11650:H11650"/>
    <mergeCell ref="E11675:H11675"/>
    <mergeCell ref="E11676:H11676"/>
    <mergeCell ref="E11678:F11678"/>
    <mergeCell ref="E11679:F11679"/>
    <mergeCell ref="E11863:H11863"/>
    <mergeCell ref="E11864:H11864"/>
    <mergeCell ref="E11865:H11865"/>
    <mergeCell ref="E11866:H11866"/>
    <mergeCell ref="E11873:F11873"/>
    <mergeCell ref="E11586:H11586"/>
    <mergeCell ref="E11660:F11660"/>
    <mergeCell ref="E11661:F11661"/>
    <mergeCell ref="E11662:F11662"/>
    <mergeCell ref="E11663:F11663"/>
    <mergeCell ref="E11677:H11677"/>
    <mergeCell ref="E11269:F11269"/>
    <mergeCell ref="E11291:F11291"/>
    <mergeCell ref="E11312:F11312"/>
    <mergeCell ref="E11326:H11326"/>
    <mergeCell ref="E11334:F11334"/>
    <mergeCell ref="E11634:H11634"/>
    <mergeCell ref="E11635:H11635"/>
    <mergeCell ref="E11644:F11644"/>
    <mergeCell ref="E11645:F11645"/>
    <mergeCell ref="E11646:F11646"/>
    <mergeCell ref="E11647:F11647"/>
    <mergeCell ref="E11648:F11648"/>
    <mergeCell ref="E11654:H11654"/>
    <mergeCell ref="E11655:H11655"/>
    <mergeCell ref="E11656:H11656"/>
    <mergeCell ref="E11652:H11652"/>
    <mergeCell ref="E11653:H11653"/>
    <mergeCell ref="E11376:H11376"/>
    <mergeCell ref="E11377:H11377"/>
    <mergeCell ref="E11391:F11391"/>
    <mergeCell ref="E11378:H11378"/>
    <mergeCell ref="E11379:H11379"/>
    <mergeCell ref="E11380:H11380"/>
    <mergeCell ref="E11392:F11392"/>
    <mergeCell ref="E11368:F11368"/>
    <mergeCell ref="E11369:F11369"/>
    <mergeCell ref="E11371:F11371"/>
    <mergeCell ref="E11375:F11375"/>
    <mergeCell ref="E11381:H11381"/>
    <mergeCell ref="E11382:H11382"/>
    <mergeCell ref="E11383:H11383"/>
    <mergeCell ref="E11390:F11390"/>
    <mergeCell ref="E11285:F11285"/>
    <mergeCell ref="E11286:F11286"/>
    <mergeCell ref="E11642:F11642"/>
    <mergeCell ref="E11643:F11643"/>
    <mergeCell ref="E11666:F11666"/>
    <mergeCell ref="E11667:F11667"/>
    <mergeCell ref="E11370:F11370"/>
    <mergeCell ref="E11374:F11374"/>
    <mergeCell ref="E11347:F11347"/>
    <mergeCell ref="E11357:H11357"/>
    <mergeCell ref="E11365:F11365"/>
    <mergeCell ref="E11344:F11344"/>
    <mergeCell ref="E11346:F11346"/>
    <mergeCell ref="E11353:H11353"/>
    <mergeCell ref="E11354:H11354"/>
    <mergeCell ref="E11355:H11355"/>
    <mergeCell ref="E11356:H11356"/>
    <mergeCell ref="E11358:F11358"/>
    <mergeCell ref="E11359:F11359"/>
    <mergeCell ref="E11360:F11360"/>
    <mergeCell ref="E11361:F11361"/>
    <mergeCell ref="E11362:F11362"/>
    <mergeCell ref="E11363:F11363"/>
    <mergeCell ref="E11364:F11364"/>
    <mergeCell ref="E11373:H11373"/>
    <mergeCell ref="E11384:H11384"/>
    <mergeCell ref="E10452:F10452"/>
    <mergeCell ref="E10453:F10453"/>
    <mergeCell ref="E10460:H10460"/>
    <mergeCell ref="E10461:H10461"/>
    <mergeCell ref="E10462:H10462"/>
    <mergeCell ref="E10463:H10463"/>
    <mergeCell ref="E10464:H10464"/>
    <mergeCell ref="E10468:F10468"/>
    <mergeCell ref="E10469:F10469"/>
    <mergeCell ref="E10470:F10470"/>
    <mergeCell ref="E10471:F10471"/>
    <mergeCell ref="E10473:F10473"/>
    <mergeCell ref="E10475:F10475"/>
    <mergeCell ref="E10476:F10476"/>
    <mergeCell ref="E10494:F10494"/>
    <mergeCell ref="E10496:F10496"/>
    <mergeCell ref="E10497:F10497"/>
    <mergeCell ref="E10499:F10499"/>
    <mergeCell ref="E10500:F10500"/>
    <mergeCell ref="E10501:F10501"/>
    <mergeCell ref="E10502:F10502"/>
    <mergeCell ref="E10503:F10503"/>
    <mergeCell ref="E10493:F10493"/>
    <mergeCell ref="E10495:F10495"/>
    <mergeCell ref="E10492:F10492"/>
    <mergeCell ref="E10491:F10491"/>
    <mergeCell ref="E10529:H10529"/>
    <mergeCell ref="E10530:H10530"/>
    <mergeCell ref="E10531:H10531"/>
    <mergeCell ref="E10536:F10536"/>
    <mergeCell ref="E10537:F10537"/>
    <mergeCell ref="E10532:H10532"/>
    <mergeCell ref="E10518:F10518"/>
    <mergeCell ref="E10519:F10519"/>
    <mergeCell ref="E10534:F10534"/>
    <mergeCell ref="E10466:H10466"/>
    <mergeCell ref="E10467:H10467"/>
    <mergeCell ref="E10454:F10454"/>
    <mergeCell ref="E10457:F10457"/>
    <mergeCell ref="E10208:H10208"/>
    <mergeCell ref="E10233:F10233"/>
    <mergeCell ref="E10174:F10174"/>
    <mergeCell ref="E10175:F10175"/>
    <mergeCell ref="E10205:F10205"/>
    <mergeCell ref="E10114:F10114"/>
    <mergeCell ref="E10135:F10135"/>
    <mergeCell ref="E10148:H10148"/>
    <mergeCell ref="E10138:F10138"/>
    <mergeCell ref="E10139:F10139"/>
    <mergeCell ref="E10141:F10141"/>
    <mergeCell ref="E10142:F10142"/>
    <mergeCell ref="E10122:F10122"/>
    <mergeCell ref="E10130:H10130"/>
    <mergeCell ref="E10152:H10152"/>
    <mergeCell ref="E10153:F10153"/>
    <mergeCell ref="E10156:F10156"/>
    <mergeCell ref="E10157:F10157"/>
    <mergeCell ref="E10158:F10158"/>
    <mergeCell ref="E10159:F10159"/>
    <mergeCell ref="E10160:F10160"/>
    <mergeCell ref="E10119:F10119"/>
    <mergeCell ref="E10120:F10120"/>
    <mergeCell ref="E10110:H10110"/>
    <mergeCell ref="E10172:H10172"/>
    <mergeCell ref="E10173:H10173"/>
    <mergeCell ref="E10178:F10178"/>
    <mergeCell ref="E10184:F10184"/>
    <mergeCell ref="E10185:F10185"/>
    <mergeCell ref="E10186:F10186"/>
    <mergeCell ref="E10189:H10189"/>
    <mergeCell ref="E10190:H10190"/>
    <mergeCell ref="E10191:H10191"/>
    <mergeCell ref="E10192:H10192"/>
    <mergeCell ref="E10193:H10193"/>
    <mergeCell ref="E10194:H10194"/>
    <mergeCell ref="E10195:H10195"/>
    <mergeCell ref="E10203:F10203"/>
    <mergeCell ref="E10204:F10204"/>
    <mergeCell ref="E10206:H10206"/>
    <mergeCell ref="E10214:F10214"/>
    <mergeCell ref="E10111:F10111"/>
    <mergeCell ref="E10112:F10112"/>
    <mergeCell ref="E10113:F10113"/>
    <mergeCell ref="E10224:F10224"/>
    <mergeCell ref="E10221:F10221"/>
    <mergeCell ref="E10222:F10222"/>
    <mergeCell ref="E10223:F10223"/>
    <mergeCell ref="E10228:H10228"/>
    <mergeCell ref="E10229:H10229"/>
    <mergeCell ref="E10230:H10230"/>
    <mergeCell ref="E10231:H10231"/>
    <mergeCell ref="E10232:H10232"/>
    <mergeCell ref="E10149:H10149"/>
    <mergeCell ref="E10150:H10150"/>
    <mergeCell ref="E10118:F10118"/>
    <mergeCell ref="E9496:F9496"/>
    <mergeCell ref="E9809:F9809"/>
    <mergeCell ref="E9541:F9541"/>
    <mergeCell ref="E10101:H10101"/>
    <mergeCell ref="E10162:F10162"/>
    <mergeCell ref="E10163:F10163"/>
    <mergeCell ref="E10164:F10164"/>
    <mergeCell ref="E10176:F10176"/>
    <mergeCell ref="E10177:F10177"/>
    <mergeCell ref="E10179:F10179"/>
    <mergeCell ref="E10180:F10180"/>
    <mergeCell ref="E10181:F10181"/>
    <mergeCell ref="E10182:F10182"/>
    <mergeCell ref="E10183:F10183"/>
    <mergeCell ref="E10187:H10187"/>
    <mergeCell ref="E10188:H10188"/>
    <mergeCell ref="E10197:F10197"/>
    <mergeCell ref="E10198:F10198"/>
    <mergeCell ref="E10199:F10199"/>
    <mergeCell ref="E10200:F10200"/>
    <mergeCell ref="E10201:F10201"/>
    <mergeCell ref="E10202:F10202"/>
    <mergeCell ref="E10207:H10207"/>
    <mergeCell ref="E10047:F10047"/>
    <mergeCell ref="E10061:F10061"/>
    <mergeCell ref="E10062:F10062"/>
    <mergeCell ref="E10063:F10063"/>
    <mergeCell ref="E10064:F10064"/>
    <mergeCell ref="E10077:H10077"/>
    <mergeCell ref="E10085:F10085"/>
    <mergeCell ref="E10094:F10094"/>
    <mergeCell ref="E10095:F10095"/>
    <mergeCell ref="E10102:H10102"/>
    <mergeCell ref="E10103:H10103"/>
    <mergeCell ref="E10104:H10104"/>
    <mergeCell ref="E10105:H10105"/>
    <mergeCell ref="E10106:H10106"/>
    <mergeCell ref="E10096:H10096"/>
    <mergeCell ref="E10097:H10097"/>
    <mergeCell ref="E10098:H10098"/>
    <mergeCell ref="E10107:H10107"/>
    <mergeCell ref="E10108:H10108"/>
    <mergeCell ref="E10109:H10109"/>
    <mergeCell ref="E10068:F10068"/>
    <mergeCell ref="E9542:F9542"/>
    <mergeCell ref="E9522:F9522"/>
    <mergeCell ref="E9785:H9785"/>
    <mergeCell ref="E9786:H9786"/>
    <mergeCell ref="E9787:F9787"/>
    <mergeCell ref="E9776:F9776"/>
    <mergeCell ref="E9732:F9732"/>
    <mergeCell ref="E9735:F9735"/>
    <mergeCell ref="E9742:H9742"/>
    <mergeCell ref="E9746:F9746"/>
    <mergeCell ref="E9747:F9747"/>
    <mergeCell ref="E9748:F9748"/>
    <mergeCell ref="E9749:F9749"/>
    <mergeCell ref="E9750:F9750"/>
    <mergeCell ref="E9751:F9751"/>
    <mergeCell ref="G9753:G9754"/>
    <mergeCell ref="H9753:H9754"/>
    <mergeCell ref="E9759:H9759"/>
    <mergeCell ref="E9760:H9760"/>
    <mergeCell ref="E9761:H9761"/>
    <mergeCell ref="E8529:H8529"/>
    <mergeCell ref="E8667:H8667"/>
    <mergeCell ref="E9554:H9554"/>
    <mergeCell ref="E9525:F9525"/>
    <mergeCell ref="E9526:F9526"/>
    <mergeCell ref="E9527:F9527"/>
    <mergeCell ref="E9616:F9616"/>
    <mergeCell ref="E9617:F9617"/>
    <mergeCell ref="E9603:F9603"/>
    <mergeCell ref="E9560:F9560"/>
    <mergeCell ref="E9561:F9561"/>
    <mergeCell ref="E9562:F9562"/>
    <mergeCell ref="E9565:F9565"/>
    <mergeCell ref="E9566:F9566"/>
    <mergeCell ref="E9570:H9570"/>
    <mergeCell ref="E9571:H9571"/>
    <mergeCell ref="E9572:H9572"/>
    <mergeCell ref="E9573:H9573"/>
    <mergeCell ref="E9744:H9744"/>
    <mergeCell ref="E9781:H9781"/>
    <mergeCell ref="E9782:H9782"/>
    <mergeCell ref="E9783:H9783"/>
    <mergeCell ref="E9784:H9784"/>
    <mergeCell ref="E8751:F8751"/>
    <mergeCell ref="E8752:F8752"/>
    <mergeCell ref="E8739:F8739"/>
    <mergeCell ref="E8740:F8740"/>
    <mergeCell ref="E8742:F8742"/>
    <mergeCell ref="E8743:F8743"/>
    <mergeCell ref="E10416:H10416"/>
    <mergeCell ref="E10417:H10417"/>
    <mergeCell ref="E10311:H10311"/>
    <mergeCell ref="E10339:F10339"/>
    <mergeCell ref="E10340:F10340"/>
    <mergeCell ref="E10353:F10353"/>
    <mergeCell ref="E10362:F10362"/>
    <mergeCell ref="E10364:F10364"/>
    <mergeCell ref="E10365:F10365"/>
    <mergeCell ref="E10383:F10383"/>
    <mergeCell ref="E10161:F10161"/>
    <mergeCell ref="E10165:H10165"/>
    <mergeCell ref="E10166:H10166"/>
    <mergeCell ref="E10167:H10167"/>
    <mergeCell ref="E10168:H10168"/>
    <mergeCell ref="E10169:H10169"/>
    <mergeCell ref="E10170:H10170"/>
    <mergeCell ref="E10171:H10171"/>
    <mergeCell ref="E9870:F9870"/>
    <mergeCell ref="E9871:F9871"/>
    <mergeCell ref="E9872:F9872"/>
    <mergeCell ref="E9483:H9483"/>
    <mergeCell ref="E9484:H9484"/>
    <mergeCell ref="E9299:H9299"/>
    <mergeCell ref="E9302:F9302"/>
    <mergeCell ref="E9309:H9309"/>
    <mergeCell ref="E9313:F9313"/>
    <mergeCell ref="E9335:F9335"/>
    <mergeCell ref="E9300:H9300"/>
    <mergeCell ref="E9312:F9312"/>
    <mergeCell ref="E9305:F9305"/>
    <mergeCell ref="E9444:H9444"/>
    <mergeCell ref="E9445:H9445"/>
    <mergeCell ref="E9446:H9446"/>
    <mergeCell ref="E8848:H8848"/>
    <mergeCell ref="E8849:H8849"/>
    <mergeCell ref="E8850:H8850"/>
    <mergeCell ref="E9795:F9795"/>
    <mergeCell ref="E9798:F9798"/>
    <mergeCell ref="E9796:F9796"/>
    <mergeCell ref="E9438:F9438"/>
    <mergeCell ref="E9384:F9384"/>
    <mergeCell ref="E8483:F8483"/>
    <mergeCell ref="E8484:F8484"/>
    <mergeCell ref="E8485:F8485"/>
    <mergeCell ref="E8486:F8486"/>
    <mergeCell ref="E8490:H8490"/>
    <mergeCell ref="E8423:H8423"/>
    <mergeCell ref="E8424:H8424"/>
    <mergeCell ref="E8428:F8428"/>
    <mergeCell ref="E8429:F8429"/>
    <mergeCell ref="E8430:F8430"/>
    <mergeCell ref="E9618:F9618"/>
    <mergeCell ref="E9619:F9619"/>
    <mergeCell ref="E9620:F9620"/>
    <mergeCell ref="E9621:F9621"/>
    <mergeCell ref="E9622:F9622"/>
    <mergeCell ref="E9623:F9623"/>
    <mergeCell ref="E9624:F9624"/>
    <mergeCell ref="E9625:F9625"/>
    <mergeCell ref="E9626:F9626"/>
    <mergeCell ref="E9627:H9627"/>
    <mergeCell ref="E9628:H9628"/>
    <mergeCell ref="E9655:F9655"/>
    <mergeCell ref="E9658:F9658"/>
    <mergeCell ref="E9659:F9659"/>
    <mergeCell ref="E9660:F9660"/>
    <mergeCell ref="E9662:F9662"/>
    <mergeCell ref="E9663:F9663"/>
    <mergeCell ref="E9664:F9664"/>
    <mergeCell ref="E8790:H8790"/>
    <mergeCell ref="E8803:F8803"/>
    <mergeCell ref="E8880:F8880"/>
    <mergeCell ref="E8629:F8629"/>
    <mergeCell ref="E8704:F8704"/>
    <mergeCell ref="E8706:F8706"/>
    <mergeCell ref="E8538:F8538"/>
    <mergeCell ref="E8508:F8508"/>
    <mergeCell ref="E8509:F8509"/>
    <mergeCell ref="E8593:H8593"/>
    <mergeCell ref="E8594:H8594"/>
    <mergeCell ref="E8601:F8601"/>
    <mergeCell ref="E8602:F8602"/>
    <mergeCell ref="E8574:H8574"/>
    <mergeCell ref="E8581:F8581"/>
    <mergeCell ref="E8681:F8681"/>
    <mergeCell ref="E8568:H8568"/>
    <mergeCell ref="E8678:F8678"/>
    <mergeCell ref="E8701:F8701"/>
    <mergeCell ref="E9521:F9521"/>
    <mergeCell ref="E9524:F9524"/>
    <mergeCell ref="E9530:H9530"/>
    <mergeCell ref="E8531:F8531"/>
    <mergeCell ref="E8551:F8551"/>
    <mergeCell ref="E8552:F8552"/>
    <mergeCell ref="E8555:F8555"/>
    <mergeCell ref="E8556:F8556"/>
    <mergeCell ref="E8527:H8527"/>
    <mergeCell ref="E8431:F8431"/>
    <mergeCell ref="E7639:H7639"/>
    <mergeCell ref="E7640:H7640"/>
    <mergeCell ref="E7641:H7641"/>
    <mergeCell ref="E8927:F8927"/>
    <mergeCell ref="E8936:F8936"/>
    <mergeCell ref="E8940:H8940"/>
    <mergeCell ref="E8941:H8941"/>
    <mergeCell ref="E8942:H8942"/>
    <mergeCell ref="E8943:H8943"/>
    <mergeCell ref="E8841:F8841"/>
    <mergeCell ref="E8851:H8851"/>
    <mergeCell ref="E8852:H8852"/>
    <mergeCell ref="E8865:F8865"/>
    <mergeCell ref="E8398:H8398"/>
    <mergeCell ref="E8399:H8399"/>
    <mergeCell ref="E9039:F9039"/>
    <mergeCell ref="E9043:F9043"/>
    <mergeCell ref="E8435:F8435"/>
    <mergeCell ref="E8676:F8676"/>
    <mergeCell ref="E8437:F8437"/>
    <mergeCell ref="E8422:H8422"/>
    <mergeCell ref="E8550:F8550"/>
    <mergeCell ref="E8576:H8576"/>
    <mergeCell ref="E8557:F8557"/>
    <mergeCell ref="E8558:F8558"/>
    <mergeCell ref="E8592:H8592"/>
    <mergeCell ref="E8595:H8595"/>
    <mergeCell ref="E8596:H8596"/>
    <mergeCell ref="E8597:H8597"/>
    <mergeCell ref="E8598:H8598"/>
    <mergeCell ref="E8609:F8609"/>
    <mergeCell ref="E8590:F8590"/>
    <mergeCell ref="E8610:F8610"/>
    <mergeCell ref="E8675:F8675"/>
    <mergeCell ref="E8489:F8489"/>
    <mergeCell ref="E8439:F8439"/>
    <mergeCell ref="E8452:F8452"/>
    <mergeCell ref="E8453:F8453"/>
    <mergeCell ref="E8454:F8454"/>
    <mergeCell ref="E8455:F8455"/>
    <mergeCell ref="E8456:F8456"/>
    <mergeCell ref="E8457:F8457"/>
    <mergeCell ref="E8465:H8465"/>
    <mergeCell ref="E8466:H8466"/>
    <mergeCell ref="E8467:H8467"/>
    <mergeCell ref="E8476:F8476"/>
    <mergeCell ref="E8477:F8477"/>
    <mergeCell ref="E8478:F8478"/>
    <mergeCell ref="E8471:H8471"/>
    <mergeCell ref="E8472:H8472"/>
    <mergeCell ref="E8473:H8473"/>
    <mergeCell ref="E8474:H8474"/>
    <mergeCell ref="E8475:H8475"/>
    <mergeCell ref="E8479:F8479"/>
    <mergeCell ref="E8480:F8480"/>
    <mergeCell ref="E8481:F8481"/>
    <mergeCell ref="E8482:F8482"/>
    <mergeCell ref="E8894:F8894"/>
    <mergeCell ref="E8895:F8895"/>
    <mergeCell ref="E8896:F8896"/>
    <mergeCell ref="E8897:F8897"/>
    <mergeCell ref="E8899:F8899"/>
    <mergeCell ref="E8886:H8886"/>
    <mergeCell ref="E8887:H8887"/>
    <mergeCell ref="E8432:F8432"/>
    <mergeCell ref="E8433:F8433"/>
    <mergeCell ref="E8434:F8434"/>
    <mergeCell ref="E8440:H8440"/>
    <mergeCell ref="E8441:H8441"/>
    <mergeCell ref="E8442:H8442"/>
    <mergeCell ref="E8443:H8443"/>
    <mergeCell ref="E8444:H8444"/>
    <mergeCell ref="E8445:H8445"/>
    <mergeCell ref="E7981:F7981"/>
    <mergeCell ref="E7982:F7982"/>
    <mergeCell ref="E7983:F7983"/>
    <mergeCell ref="E7984:F7984"/>
    <mergeCell ref="E7985:F7985"/>
    <mergeCell ref="E7986:F7986"/>
    <mergeCell ref="E7849:F7849"/>
    <mergeCell ref="E7871:F7871"/>
    <mergeCell ref="E7869:F7869"/>
    <mergeCell ref="E7872:F7872"/>
    <mergeCell ref="E7904:F7904"/>
    <mergeCell ref="E7910:F7910"/>
    <mergeCell ref="E7960:H7960"/>
    <mergeCell ref="E7961:F7961"/>
    <mergeCell ref="E7941:H7941"/>
    <mergeCell ref="E7942:H7942"/>
    <mergeCell ref="E7944:H7944"/>
    <mergeCell ref="E7945:F7945"/>
    <mergeCell ref="E7946:F7946"/>
    <mergeCell ref="E7953:F7953"/>
    <mergeCell ref="E7954:F7954"/>
    <mergeCell ref="E7955:F7955"/>
    <mergeCell ref="E7956:F7956"/>
    <mergeCell ref="E7957:F7957"/>
    <mergeCell ref="E7958:F7958"/>
    <mergeCell ref="E7924:F7924"/>
    <mergeCell ref="E7926:F7926"/>
    <mergeCell ref="E7927:F7927"/>
    <mergeCell ref="E7928:F7928"/>
    <mergeCell ref="E7929:F7929"/>
    <mergeCell ref="E7932:F7932"/>
    <mergeCell ref="E7933:F7933"/>
    <mergeCell ref="E7934:F7934"/>
    <mergeCell ref="E7908:F7908"/>
    <mergeCell ref="E7909:H7909"/>
    <mergeCell ref="E7914:H7914"/>
    <mergeCell ref="E7915:H7915"/>
    <mergeCell ref="E7916:H7916"/>
    <mergeCell ref="E7917:H7917"/>
    <mergeCell ref="E7949:H7949"/>
    <mergeCell ref="E7950:H7950"/>
    <mergeCell ref="E7951:H7951"/>
    <mergeCell ref="E7952:H7952"/>
    <mergeCell ref="E7959:F7959"/>
    <mergeCell ref="E7963:F7963"/>
    <mergeCell ref="E7965:F7965"/>
    <mergeCell ref="E7966:F7966"/>
    <mergeCell ref="E7967:F7967"/>
    <mergeCell ref="E7975:F7975"/>
    <mergeCell ref="E8049:F8049"/>
    <mergeCell ref="E8050:F8050"/>
    <mergeCell ref="E7976:F7976"/>
    <mergeCell ref="E7980:H7980"/>
    <mergeCell ref="E7940:H7940"/>
    <mergeCell ref="E7935:H7935"/>
    <mergeCell ref="E7672:F7672"/>
    <mergeCell ref="E7673:F7673"/>
    <mergeCell ref="E7674:F7674"/>
    <mergeCell ref="E7610:F7610"/>
    <mergeCell ref="E4656:F4656"/>
    <mergeCell ref="E4646:H4646"/>
    <mergeCell ref="E4647:H4647"/>
    <mergeCell ref="E4961:F4961"/>
    <mergeCell ref="E4962:F4962"/>
    <mergeCell ref="E5011:F5011"/>
    <mergeCell ref="E5012:F5012"/>
    <mergeCell ref="E4681:F4681"/>
    <mergeCell ref="E4727:F4727"/>
    <mergeCell ref="E4728:F4728"/>
    <mergeCell ref="E4729:F4729"/>
    <mergeCell ref="E4749:F4749"/>
    <mergeCell ref="E4748:F4748"/>
    <mergeCell ref="E4750:F4750"/>
    <mergeCell ref="E4751:F4751"/>
    <mergeCell ref="E6317:F6317"/>
    <mergeCell ref="E6318:F6318"/>
    <mergeCell ref="E6043:F6043"/>
    <mergeCell ref="E6044:F6044"/>
    <mergeCell ref="E4964:F4964"/>
    <mergeCell ref="E4965:F4965"/>
    <mergeCell ref="E4966:F4966"/>
    <mergeCell ref="E7918:H7918"/>
    <mergeCell ref="E7919:H7919"/>
    <mergeCell ref="E7920:H7920"/>
    <mergeCell ref="E7921:H7921"/>
    <mergeCell ref="E7925:F7925"/>
    <mergeCell ref="E7930:H7930"/>
    <mergeCell ref="E7931:F7931"/>
    <mergeCell ref="E5632:F5632"/>
    <mergeCell ref="E5633:F5633"/>
    <mergeCell ref="E5634:F5634"/>
    <mergeCell ref="E6124:F6124"/>
    <mergeCell ref="E5999:F5999"/>
    <mergeCell ref="E6000:F6000"/>
    <mergeCell ref="E6017:F6017"/>
    <mergeCell ref="E6018:F6018"/>
    <mergeCell ref="E6019:F6019"/>
    <mergeCell ref="E6013:F6013"/>
    <mergeCell ref="E6014:F6014"/>
    <mergeCell ref="E6015:F6015"/>
    <mergeCell ref="E6016:F6016"/>
    <mergeCell ref="E6011:F6011"/>
    <mergeCell ref="E6020:F6020"/>
    <mergeCell ref="E6035:F6035"/>
    <mergeCell ref="E6036:F6036"/>
    <mergeCell ref="E6012:F6012"/>
    <mergeCell ref="E6001:F6001"/>
    <mergeCell ref="E6037:F6037"/>
    <mergeCell ref="E6038:F6038"/>
    <mergeCell ref="E6039:F6039"/>
    <mergeCell ref="E6040:F6040"/>
    <mergeCell ref="E6041:F6041"/>
    <mergeCell ref="E6042:F6042"/>
    <mergeCell ref="E6756:F6756"/>
    <mergeCell ref="E6757:F6757"/>
    <mergeCell ref="E6768:H6768"/>
    <mergeCell ref="E6771:H6771"/>
    <mergeCell ref="E5565:F5565"/>
    <mergeCell ref="E5566:F5566"/>
    <mergeCell ref="E7936:H7936"/>
    <mergeCell ref="E7937:H7937"/>
    <mergeCell ref="E7938:H7938"/>
    <mergeCell ref="E7939:H7939"/>
    <mergeCell ref="E7943:F7943"/>
    <mergeCell ref="E7947:H7947"/>
    <mergeCell ref="E7948:H7948"/>
    <mergeCell ref="E5113:F5113"/>
    <mergeCell ref="E5115:F5115"/>
    <mergeCell ref="E4497:F4497"/>
    <mergeCell ref="E4498:F4498"/>
    <mergeCell ref="E4447:F4447"/>
    <mergeCell ref="E4464:F4464"/>
    <mergeCell ref="E4465:F4465"/>
    <mergeCell ref="E4466:F4466"/>
    <mergeCell ref="E4467:F4467"/>
    <mergeCell ref="E4468:F4468"/>
    <mergeCell ref="E4469:F4469"/>
    <mergeCell ref="E4491:H4491"/>
    <mergeCell ref="E4477:F4477"/>
    <mergeCell ref="E4443:F4443"/>
    <mergeCell ref="E4416:F4416"/>
    <mergeCell ref="E4426:F4426"/>
    <mergeCell ref="E4428:F4428"/>
    <mergeCell ref="E4480:H4480"/>
    <mergeCell ref="E4481:H4481"/>
    <mergeCell ref="E4482:H4482"/>
    <mergeCell ref="E4483:H4483"/>
    <mergeCell ref="E4413:F4413"/>
    <mergeCell ref="E4414:F4414"/>
    <mergeCell ref="E4429:F4429"/>
    <mergeCell ref="E4474:F4474"/>
    <mergeCell ref="E4476:H4476"/>
    <mergeCell ref="E4479:H4479"/>
    <mergeCell ref="E4484:H4484"/>
    <mergeCell ref="E4485:H4485"/>
    <mergeCell ref="E4486:H4486"/>
    <mergeCell ref="E4453:F4453"/>
    <mergeCell ref="E4455:F4455"/>
    <mergeCell ref="E4461:F4461"/>
    <mergeCell ref="E4462:F4462"/>
    <mergeCell ref="E4478:F4478"/>
    <mergeCell ref="E4472:F4472"/>
    <mergeCell ref="E4473:F4473"/>
    <mergeCell ref="E4446:F4446"/>
    <mergeCell ref="E4463:F4463"/>
    <mergeCell ref="E4451:F4451"/>
    <mergeCell ref="E4452:F4452"/>
    <mergeCell ref="E4494:F4494"/>
    <mergeCell ref="E4957:H4957"/>
    <mergeCell ref="E4958:H4958"/>
    <mergeCell ref="E5925:F5925"/>
    <mergeCell ref="E5926:F5926"/>
    <mergeCell ref="E5933:F5933"/>
    <mergeCell ref="E5934:F5934"/>
    <mergeCell ref="E7544:F7544"/>
    <mergeCell ref="E7545:F7545"/>
    <mergeCell ref="E7533:F7533"/>
    <mergeCell ref="E5590:F5590"/>
    <mergeCell ref="E5556:F5556"/>
    <mergeCell ref="E5533:F5533"/>
    <mergeCell ref="E5974:F5974"/>
    <mergeCell ref="E5631:F5631"/>
    <mergeCell ref="E5567:F5567"/>
    <mergeCell ref="E6316:F6316"/>
    <mergeCell ref="E1378:F1378"/>
    <mergeCell ref="E1394:H1394"/>
    <mergeCell ref="E1379:F1379"/>
    <mergeCell ref="E4448:F4448"/>
    <mergeCell ref="E4450:F4450"/>
    <mergeCell ref="E4560:F4560"/>
    <mergeCell ref="E4292:H4292"/>
    <mergeCell ref="E4293:H4293"/>
    <mergeCell ref="E4301:F4301"/>
    <mergeCell ref="E4302:F4302"/>
    <mergeCell ref="E4364:F4364"/>
    <mergeCell ref="E4365:F4365"/>
    <mergeCell ref="E4417:H4417"/>
    <mergeCell ref="E4418:H4418"/>
    <mergeCell ref="E4419:H4419"/>
    <mergeCell ref="E4420:H4420"/>
    <mergeCell ref="E5089:F5089"/>
    <mergeCell ref="E5090:F5090"/>
    <mergeCell ref="E4495:F4495"/>
    <mergeCell ref="E5267:F5267"/>
    <mergeCell ref="E5268:F5268"/>
    <mergeCell ref="E5319:H5319"/>
    <mergeCell ref="E5320:H5320"/>
    <mergeCell ref="E4752:F4752"/>
    <mergeCell ref="E4730:F4730"/>
    <mergeCell ref="E4814:F4814"/>
    <mergeCell ref="E4857:F4857"/>
    <mergeCell ref="E4980:F4980"/>
    <mergeCell ref="E4981:F4981"/>
    <mergeCell ref="E4951:H4951"/>
    <mergeCell ref="E4952:H4952"/>
    <mergeCell ref="E1458:F1458"/>
    <mergeCell ref="E1717:F1717"/>
    <mergeCell ref="E1846:F1846"/>
    <mergeCell ref="E1640:F1640"/>
    <mergeCell ref="E1624:F1624"/>
    <mergeCell ref="E1629:H1629"/>
    <mergeCell ref="E1630:H1630"/>
    <mergeCell ref="E1631:H1631"/>
    <mergeCell ref="E1632:H1632"/>
    <mergeCell ref="E1635:F1635"/>
    <mergeCell ref="E1636:F1636"/>
    <mergeCell ref="E1637:F1637"/>
    <mergeCell ref="E1662:H1662"/>
    <mergeCell ref="E1663:H1663"/>
    <mergeCell ref="E1750:F1750"/>
    <mergeCell ref="E1511:F1511"/>
    <mergeCell ref="E1512:F1512"/>
    <mergeCell ref="E1548:F1548"/>
    <mergeCell ref="E5114:F5114"/>
    <mergeCell ref="E5096:H5096"/>
    <mergeCell ref="E5099:H5099"/>
    <mergeCell ref="E5091:F5091"/>
    <mergeCell ref="E5092:F5092"/>
    <mergeCell ref="E5068:F5068"/>
    <mergeCell ref="E5076:H5076"/>
    <mergeCell ref="E5077:H5077"/>
    <mergeCell ref="E5085:F5085"/>
    <mergeCell ref="E1670:F1670"/>
    <mergeCell ref="E1850:F1850"/>
    <mergeCell ref="E1801:F1801"/>
    <mergeCell ref="E1806:H1806"/>
    <mergeCell ref="E1808:F1808"/>
    <mergeCell ref="E4380:H4380"/>
    <mergeCell ref="E4381:H4381"/>
    <mergeCell ref="E4382:H4382"/>
    <mergeCell ref="E4383:H4383"/>
    <mergeCell ref="E4384:H4384"/>
    <mergeCell ref="E4386:F4386"/>
    <mergeCell ref="E4387:F4387"/>
    <mergeCell ref="E4388:F4388"/>
    <mergeCell ref="E4389:F4389"/>
    <mergeCell ref="E4390:F4390"/>
    <mergeCell ref="E4391:F4391"/>
    <mergeCell ref="E4439:F4439"/>
    <mergeCell ref="E4440:F4440"/>
    <mergeCell ref="E4441:F4441"/>
    <mergeCell ref="E4444:F4444"/>
    <mergeCell ref="E4445:F4445"/>
    <mergeCell ref="E4493:H4493"/>
    <mergeCell ref="E4496:F4496"/>
    <mergeCell ref="E4808:H4808"/>
    <mergeCell ref="E4809:H4809"/>
    <mergeCell ref="E4796:F4796"/>
    <mergeCell ref="E4797:F4797"/>
    <mergeCell ref="E3792:F3792"/>
    <mergeCell ref="E3793:F3793"/>
    <mergeCell ref="E3796:F3796"/>
    <mergeCell ref="E3798:F3798"/>
    <mergeCell ref="E3799:F3799"/>
    <mergeCell ref="E3800:F3800"/>
    <mergeCell ref="E3802:F3802"/>
    <mergeCell ref="E3803:F3803"/>
    <mergeCell ref="E3804:F3804"/>
    <mergeCell ref="E3805:F3805"/>
    <mergeCell ref="E3835:F3835"/>
    <mergeCell ref="E4017:F4017"/>
    <mergeCell ref="E4018:F4018"/>
    <mergeCell ref="E3996:H3996"/>
    <mergeCell ref="E3985:F3985"/>
    <mergeCell ref="E3960:F3960"/>
    <mergeCell ref="E3847:H3847"/>
    <mergeCell ref="E3955:F3955"/>
    <mergeCell ref="E3961:F3961"/>
    <mergeCell ref="E4104:F4104"/>
    <mergeCell ref="E4041:F4041"/>
    <mergeCell ref="E4042:F4042"/>
    <mergeCell ref="E4197:F4197"/>
    <mergeCell ref="E4199:F4199"/>
    <mergeCell ref="E4200:F4200"/>
    <mergeCell ref="E4207:F4207"/>
    <mergeCell ref="E4208:F4208"/>
    <mergeCell ref="E4209:F4209"/>
    <mergeCell ref="E4210:F4210"/>
    <mergeCell ref="E4211:F4211"/>
    <mergeCell ref="E4212:F4212"/>
    <mergeCell ref="E4185:F4185"/>
    <mergeCell ref="E4186:F4186"/>
    <mergeCell ref="E3809:F3809"/>
    <mergeCell ref="E3813:H3813"/>
    <mergeCell ref="E4639:F4639"/>
    <mergeCell ref="E4640:F4640"/>
    <mergeCell ref="E3865:F3865"/>
    <mergeCell ref="E3872:H3872"/>
    <mergeCell ref="E3873:H3873"/>
    <mergeCell ref="E3876:H3876"/>
    <mergeCell ref="E3882:F3882"/>
    <mergeCell ref="E32:H32"/>
    <mergeCell ref="E33:H33"/>
    <mergeCell ref="E3590:F3590"/>
    <mergeCell ref="E3604:H3604"/>
    <mergeCell ref="E3613:F3613"/>
    <mergeCell ref="E3614:F3614"/>
    <mergeCell ref="E3615:F3615"/>
    <mergeCell ref="E3761:F3761"/>
    <mergeCell ref="E3625:F3625"/>
    <mergeCell ref="E3626:F3626"/>
    <mergeCell ref="E3675:F3675"/>
    <mergeCell ref="E3676:F3676"/>
    <mergeCell ref="E3677:F3677"/>
    <mergeCell ref="E3678:F3678"/>
    <mergeCell ref="E3679:F3679"/>
    <mergeCell ref="E3688:H3688"/>
    <mergeCell ref="E3689:H3689"/>
    <mergeCell ref="E3658:F3658"/>
    <mergeCell ref="E3701:F3701"/>
    <mergeCell ref="E3702:F3702"/>
    <mergeCell ref="E3703:F3703"/>
    <mergeCell ref="E3710:H3710"/>
    <mergeCell ref="E4632:F4632"/>
    <mergeCell ref="E4633:F4633"/>
    <mergeCell ref="E4634:F4634"/>
    <mergeCell ref="E4635:F4635"/>
    <mergeCell ref="E4636:F4636"/>
    <mergeCell ref="E4637:F4637"/>
    <mergeCell ref="E4638:F4638"/>
    <mergeCell ref="E4561:F4561"/>
    <mergeCell ref="E4562:F4562"/>
    <mergeCell ref="E3251:F3251"/>
    <mergeCell ref="E3252:F3252"/>
    <mergeCell ref="E3168:F3168"/>
    <mergeCell ref="E3181:H3181"/>
    <mergeCell ref="E1096:F1096"/>
    <mergeCell ref="E646:H646"/>
    <mergeCell ref="E604:F604"/>
    <mergeCell ref="E584:F584"/>
    <mergeCell ref="E649:H649"/>
    <mergeCell ref="E650:H650"/>
    <mergeCell ref="E651:H651"/>
    <mergeCell ref="E739:H739"/>
    <mergeCell ref="E740:H740"/>
    <mergeCell ref="E741:H741"/>
    <mergeCell ref="E685:H685"/>
    <mergeCell ref="E686:H686"/>
    <mergeCell ref="E735:F735"/>
    <mergeCell ref="E736:F736"/>
    <mergeCell ref="E737:F737"/>
    <mergeCell ref="E738:F738"/>
    <mergeCell ref="E706:F706"/>
    <mergeCell ref="E709:F709"/>
    <mergeCell ref="E718:F718"/>
    <mergeCell ref="E719:F719"/>
    <mergeCell ref="E720:F720"/>
    <mergeCell ref="E721:F721"/>
    <mergeCell ref="E722:F722"/>
    <mergeCell ref="E723:F723"/>
    <mergeCell ref="E724:F724"/>
    <mergeCell ref="E725:F725"/>
    <mergeCell ref="E726:F726"/>
    <mergeCell ref="E4378:H4378"/>
    <mergeCell ref="E4379:H4379"/>
    <mergeCell ref="E1259:F1259"/>
    <mergeCell ref="E1284:F1284"/>
    <mergeCell ref="E1281:F1281"/>
    <mergeCell ref="E1282:F1282"/>
    <mergeCell ref="E1283:F1283"/>
    <mergeCell ref="E1244:H1244"/>
    <mergeCell ref="E1245:H1245"/>
    <mergeCell ref="E1246:H1246"/>
    <mergeCell ref="E1264:H1264"/>
    <mergeCell ref="E1265:H1265"/>
    <mergeCell ref="E1266:H1266"/>
    <mergeCell ref="E1272:F1272"/>
    <mergeCell ref="E1273:F1273"/>
    <mergeCell ref="E2:H2"/>
    <mergeCell ref="E3:H3"/>
    <mergeCell ref="E4:H4"/>
    <mergeCell ref="E5:H5"/>
    <mergeCell ref="E6:H6"/>
    <mergeCell ref="E7:H7"/>
    <mergeCell ref="E15:H15"/>
    <mergeCell ref="E8:H8"/>
    <mergeCell ref="E9:H9"/>
    <mergeCell ref="E13:H13"/>
    <mergeCell ref="E14:H14"/>
    <mergeCell ref="E630:F630"/>
    <mergeCell ref="E631:F631"/>
    <mergeCell ref="E632:F632"/>
    <mergeCell ref="E624:F624"/>
    <mergeCell ref="E626:F626"/>
    <mergeCell ref="E627:F627"/>
    <mergeCell ref="E16:F16"/>
    <mergeCell ref="E31:H31"/>
    <mergeCell ref="E39:F39"/>
    <mergeCell ref="E66:F66"/>
    <mergeCell ref="E10:H10"/>
    <mergeCell ref="E12:H12"/>
    <mergeCell ref="E264:F264"/>
    <mergeCell ref="E326:F326"/>
    <mergeCell ref="E327:F327"/>
    <mergeCell ref="E328:F328"/>
    <mergeCell ref="E11:H11"/>
    <mergeCell ref="E17:F17"/>
    <mergeCell ref="E18:F18"/>
    <mergeCell ref="E19:F19"/>
    <mergeCell ref="E20:F20"/>
    <mergeCell ref="E21:F21"/>
    <mergeCell ref="E22:F22"/>
    <mergeCell ref="E23:F23"/>
    <mergeCell ref="E24:F24"/>
    <mergeCell ref="E25:F25"/>
    <mergeCell ref="E363:F363"/>
    <mergeCell ref="E364:F364"/>
    <mergeCell ref="E365:F365"/>
    <mergeCell ref="E366:F366"/>
    <mergeCell ref="E715:H715"/>
    <mergeCell ref="E716:H716"/>
    <mergeCell ref="E717:H717"/>
    <mergeCell ref="E690:F690"/>
    <mergeCell ref="E40:F40"/>
    <mergeCell ref="E41:F41"/>
    <mergeCell ref="E207:F207"/>
    <mergeCell ref="E111:H111"/>
    <mergeCell ref="E112:H112"/>
    <mergeCell ref="E113:H113"/>
    <mergeCell ref="E543:F543"/>
    <mergeCell ref="E545:F545"/>
    <mergeCell ref="E546:F546"/>
    <mergeCell ref="E549:F549"/>
    <mergeCell ref="E371:H371"/>
    <mergeCell ref="E372:H372"/>
    <mergeCell ref="E373:H373"/>
    <mergeCell ref="E374:H374"/>
    <mergeCell ref="E383:F383"/>
    <mergeCell ref="E384:F384"/>
    <mergeCell ref="E387:F387"/>
    <mergeCell ref="E388:F388"/>
    <mergeCell ref="E389:F389"/>
    <mergeCell ref="E390:F390"/>
    <mergeCell ref="E391:F391"/>
    <mergeCell ref="E392:F392"/>
    <mergeCell ref="E393:F393"/>
    <mergeCell ref="E406:F406"/>
    <mergeCell ref="E417:F417"/>
    <mergeCell ref="E418:F418"/>
    <mergeCell ref="E352:F352"/>
    <mergeCell ref="E525:F525"/>
    <mergeCell ref="E509:F509"/>
    <mergeCell ref="E531:H531"/>
    <mergeCell ref="E533:F533"/>
    <mergeCell ref="E534:F534"/>
    <mergeCell ref="E535:F535"/>
    <mergeCell ref="E536:F536"/>
    <mergeCell ref="E537:F537"/>
    <mergeCell ref="E538:F538"/>
    <mergeCell ref="E539:F539"/>
    <mergeCell ref="E544:F544"/>
    <mergeCell ref="E548:H548"/>
    <mergeCell ref="E438:H438"/>
    <mergeCell ref="E445:F445"/>
    <mergeCell ref="E446:F446"/>
    <mergeCell ref="E369:H369"/>
    <mergeCell ref="E370:H370"/>
    <mergeCell ref="E542:F542"/>
    <mergeCell ref="E518:F518"/>
    <mergeCell ref="E520:F520"/>
    <mergeCell ref="E382:F382"/>
    <mergeCell ref="E385:F385"/>
    <mergeCell ref="E386:F386"/>
    <mergeCell ref="E394:H394"/>
    <mergeCell ref="E395:H395"/>
    <mergeCell ref="E396:H396"/>
    <mergeCell ref="E419:F419"/>
    <mergeCell ref="E420:F420"/>
    <mergeCell ref="E421:F421"/>
    <mergeCell ref="E541:F541"/>
    <mergeCell ref="E529:H529"/>
    <mergeCell ref="E530:H530"/>
    <mergeCell ref="E540:F540"/>
    <mergeCell ref="E431:H431"/>
    <mergeCell ref="E432:H432"/>
    <mergeCell ref="E433:H433"/>
    <mergeCell ref="E434:H434"/>
    <mergeCell ref="E435:H435"/>
    <mergeCell ref="E436:H436"/>
    <mergeCell ref="E437:H437"/>
    <mergeCell ref="E403:F403"/>
    <mergeCell ref="E409:F409"/>
    <mergeCell ref="E410:F410"/>
    <mergeCell ref="E5946:F5946"/>
    <mergeCell ref="E5902:F5902"/>
    <mergeCell ref="E5903:F5903"/>
    <mergeCell ref="E5998:F5998"/>
    <mergeCell ref="E375:F375"/>
    <mergeCell ref="E376:F376"/>
    <mergeCell ref="E377:F377"/>
    <mergeCell ref="E378:F378"/>
    <mergeCell ref="E379:F379"/>
    <mergeCell ref="E380:F380"/>
    <mergeCell ref="E550:F550"/>
    <mergeCell ref="E551:F551"/>
    <mergeCell ref="E321:H321"/>
    <mergeCell ref="E333:F333"/>
    <mergeCell ref="E5093:F5093"/>
    <mergeCell ref="E4421:H4421"/>
    <mergeCell ref="E4422:H4422"/>
    <mergeCell ref="E4423:H4423"/>
    <mergeCell ref="E4424:H4424"/>
    <mergeCell ref="E4425:H4425"/>
    <mergeCell ref="E4430:H4430"/>
    <mergeCell ref="E4432:H4432"/>
    <mergeCell ref="E4433:H4433"/>
    <mergeCell ref="E4434:H4434"/>
    <mergeCell ref="E4435:H4435"/>
    <mergeCell ref="E4454:H4454"/>
    <mergeCell ref="E4456:H4456"/>
    <mergeCell ref="E4457:H4457"/>
    <mergeCell ref="E4366:F4366"/>
    <mergeCell ref="E4314:H4314"/>
    <mergeCell ref="E4315:H4315"/>
    <mergeCell ref="E4316:H4316"/>
    <mergeCell ref="E4317:H4317"/>
    <mergeCell ref="E4397:H4397"/>
    <mergeCell ref="E4398:H4398"/>
    <mergeCell ref="E4402:H4402"/>
    <mergeCell ref="E4403:H4403"/>
    <mergeCell ref="E4404:H4404"/>
    <mergeCell ref="E4415:F4415"/>
    <mergeCell ref="E4438:F4438"/>
    <mergeCell ref="E4994:H4994"/>
    <mergeCell ref="E4995:H4995"/>
    <mergeCell ref="E4996:H4996"/>
    <mergeCell ref="E4997:H4997"/>
    <mergeCell ref="E4987:F4987"/>
    <mergeCell ref="E4816:F4816"/>
    <mergeCell ref="E4405:H4405"/>
    <mergeCell ref="E4409:F4409"/>
    <mergeCell ref="E4817:F4817"/>
    <mergeCell ref="E4832:F4832"/>
    <mergeCell ref="E4948:F4948"/>
    <mergeCell ref="E4949:F4949"/>
    <mergeCell ref="E4950:F4950"/>
    <mergeCell ref="E856:H856"/>
    <mergeCell ref="E857:H857"/>
    <mergeCell ref="E862:F862"/>
    <mergeCell ref="E868:F868"/>
    <mergeCell ref="E892:F892"/>
    <mergeCell ref="E843:H843"/>
    <mergeCell ref="E844:H844"/>
    <mergeCell ref="E845:H845"/>
    <mergeCell ref="E846:H846"/>
    <mergeCell ref="E847:H847"/>
    <mergeCell ref="E714:H714"/>
    <mergeCell ref="E6241:F6241"/>
    <mergeCell ref="E6246:H6246"/>
    <mergeCell ref="E6247:H6247"/>
    <mergeCell ref="E6248:H6248"/>
    <mergeCell ref="E955:H955"/>
    <mergeCell ref="E970:F970"/>
    <mergeCell ref="E971:F971"/>
    <mergeCell ref="E1025:H1025"/>
    <mergeCell ref="E1026:H1026"/>
    <mergeCell ref="E958:H958"/>
    <mergeCell ref="E7503:F7503"/>
    <mergeCell ref="E7504:F7504"/>
    <mergeCell ref="E7505:F7505"/>
    <mergeCell ref="E7518:F7518"/>
    <mergeCell ref="E7520:F7520"/>
    <mergeCell ref="E7521:F7521"/>
    <mergeCell ref="E7495:H7495"/>
    <mergeCell ref="E7511:H7511"/>
    <mergeCell ref="E7512:H7512"/>
    <mergeCell ref="E7513:H7513"/>
    <mergeCell ref="E6319:F6319"/>
    <mergeCell ref="E6320:F6320"/>
    <mergeCell ref="E6321:F6321"/>
    <mergeCell ref="E6322:F6322"/>
    <mergeCell ref="E4858:F4858"/>
    <mergeCell ref="E4842:F4842"/>
    <mergeCell ref="E4843:F4843"/>
    <mergeCell ref="E4841:F4841"/>
    <mergeCell ref="E4998:H4998"/>
    <mergeCell ref="E4999:H4999"/>
    <mergeCell ref="E4799:F4799"/>
    <mergeCell ref="E4800:F4800"/>
    <mergeCell ref="E4798:F4798"/>
    <mergeCell ref="E4794:F4794"/>
    <mergeCell ref="E5599:H5599"/>
    <mergeCell ref="E5600:H5600"/>
    <mergeCell ref="E5603:F5603"/>
    <mergeCell ref="E5604:F5604"/>
    <mergeCell ref="E5605:F5605"/>
    <mergeCell ref="E5606:F5606"/>
    <mergeCell ref="E5607:F5607"/>
    <mergeCell ref="E5608:F5608"/>
    <mergeCell ref="E5609:F5609"/>
    <mergeCell ref="E5610:F5610"/>
    <mergeCell ref="E5612:F5612"/>
    <mergeCell ref="E5614:H5614"/>
    <mergeCell ref="E5615:H5615"/>
    <mergeCell ref="E5619:H5619"/>
    <mergeCell ref="E5349:F5349"/>
    <mergeCell ref="E5350:F5350"/>
    <mergeCell ref="E5351:F5351"/>
    <mergeCell ref="E5352:F5352"/>
    <mergeCell ref="E5353:F5353"/>
    <mergeCell ref="E5354:F5354"/>
    <mergeCell ref="E5700:H5700"/>
    <mergeCell ref="E5701:H5701"/>
    <mergeCell ref="E5695:F5695"/>
    <mergeCell ref="E5773:F5773"/>
    <mergeCell ref="E4993:H4993"/>
    <mergeCell ref="E5355:F5355"/>
    <mergeCell ref="E5922:H5922"/>
    <mergeCell ref="E5924:H5924"/>
    <mergeCell ref="E5944:F5944"/>
    <mergeCell ref="E5945:F5945"/>
    <mergeCell ref="E10850:F10850"/>
    <mergeCell ref="E10802:F10802"/>
    <mergeCell ref="E10803:F10803"/>
    <mergeCell ref="E10804:F10804"/>
    <mergeCell ref="E10805:F10805"/>
    <mergeCell ref="E5569:H5569"/>
    <mergeCell ref="E5570:H5570"/>
    <mergeCell ref="E5571:H5571"/>
    <mergeCell ref="E5572:H5572"/>
    <mergeCell ref="E5573:H5573"/>
    <mergeCell ref="E5574:H5574"/>
    <mergeCell ref="E5575:H5575"/>
    <mergeCell ref="E5576:H5576"/>
    <mergeCell ref="E5559:F5559"/>
    <mergeCell ref="E5620:H5620"/>
    <mergeCell ref="E5621:H5621"/>
    <mergeCell ref="E5622:H5622"/>
    <mergeCell ref="E5623:H5623"/>
    <mergeCell ref="E5629:F5629"/>
    <mergeCell ref="E5931:H5931"/>
    <mergeCell ref="E5932:H5932"/>
    <mergeCell ref="E5938:F5938"/>
    <mergeCell ref="E5939:F5939"/>
    <mergeCell ref="E5940:F5940"/>
    <mergeCell ref="E5941:F5941"/>
    <mergeCell ref="E5942:F5942"/>
    <mergeCell ref="E5936:F5936"/>
    <mergeCell ref="E5914:F5914"/>
    <mergeCell ref="E5913:F5913"/>
    <mergeCell ref="E7557:F7557"/>
    <mergeCell ref="E7558:F7558"/>
    <mergeCell ref="E7559:F7559"/>
    <mergeCell ref="E7560:F7560"/>
    <mergeCell ref="E7563:F7563"/>
    <mergeCell ref="E7564:F7564"/>
    <mergeCell ref="E7570:H7570"/>
    <mergeCell ref="E7571:H7571"/>
    <mergeCell ref="E7547:F7547"/>
    <mergeCell ref="E7548:F7548"/>
    <mergeCell ref="E7549:F7549"/>
    <mergeCell ref="E7546:F7546"/>
    <mergeCell ref="E7561:F7561"/>
    <mergeCell ref="E5937:H5937"/>
    <mergeCell ref="E5943:H5943"/>
    <mergeCell ref="E5951:H5951"/>
    <mergeCell ref="E5958:F5958"/>
    <mergeCell ref="E5959:F5959"/>
    <mergeCell ref="E5972:H5972"/>
    <mergeCell ref="E5973:H5973"/>
    <mergeCell ref="E5976:H5976"/>
    <mergeCell ref="E5987:H5987"/>
    <mergeCell ref="E5988:H5988"/>
    <mergeCell ref="E5989:H5989"/>
    <mergeCell ref="E5993:F5993"/>
    <mergeCell ref="E5994:F5994"/>
    <mergeCell ref="E5995:F5995"/>
    <mergeCell ref="E5672:F5672"/>
    <mergeCell ref="E5673:F5673"/>
    <mergeCell ref="E5674:F5674"/>
    <mergeCell ref="E5675:F5675"/>
    <mergeCell ref="E5676:F5676"/>
    <mergeCell ref="E5682:H5682"/>
    <mergeCell ref="E5683:H5683"/>
    <mergeCell ref="E6240:F6240"/>
    <mergeCell ref="E11029:F11029"/>
    <mergeCell ref="E11030:F11030"/>
    <mergeCell ref="E11031:F11031"/>
    <mergeCell ref="E11032:F11032"/>
    <mergeCell ref="E11036:H11036"/>
    <mergeCell ref="E7572:F7572"/>
    <mergeCell ref="E7573:F7573"/>
    <mergeCell ref="E7574:F7574"/>
    <mergeCell ref="E7575:F7575"/>
    <mergeCell ref="E7576:F7576"/>
    <mergeCell ref="E7577:F7577"/>
    <mergeCell ref="E7578:F7578"/>
    <mergeCell ref="E7579:F7579"/>
    <mergeCell ref="E7580:F7580"/>
    <mergeCell ref="E7587:H7587"/>
    <mergeCell ref="E10849:F10849"/>
    <mergeCell ref="E10853:H10853"/>
    <mergeCell ref="E10854:H10854"/>
    <mergeCell ref="E10855:H10855"/>
    <mergeCell ref="E10842:F10842"/>
    <mergeCell ref="E10843:F10843"/>
    <mergeCell ref="E10844:F10844"/>
    <mergeCell ref="E10845:F10845"/>
    <mergeCell ref="E10738:F10738"/>
    <mergeCell ref="E10709:F10709"/>
    <mergeCell ref="E10711:F10711"/>
    <mergeCell ref="E10712:F10712"/>
    <mergeCell ref="E10823:F10823"/>
    <mergeCell ref="E10824:F10824"/>
    <mergeCell ref="E10825:F10825"/>
    <mergeCell ref="E10832:F10832"/>
    <mergeCell ref="E10833:F10833"/>
    <mergeCell ref="E7702:F7702"/>
    <mergeCell ref="E7704:F7704"/>
    <mergeCell ref="E7705:F7705"/>
    <mergeCell ref="E7728:F7728"/>
    <mergeCell ref="E7695:H7695"/>
    <mergeCell ref="E7696:H7696"/>
    <mergeCell ref="E7697:H7697"/>
    <mergeCell ref="E7698:H7698"/>
    <mergeCell ref="E7724:H7724"/>
    <mergeCell ref="E7721:F7721"/>
    <mergeCell ref="E7719:F7719"/>
    <mergeCell ref="E7589:F7589"/>
    <mergeCell ref="E7598:H7598"/>
    <mergeCell ref="E7599:H7599"/>
    <mergeCell ref="E7600:H7600"/>
    <mergeCell ref="E7684:F7684"/>
    <mergeCell ref="E7687:F7687"/>
    <mergeCell ref="E7689:F7689"/>
    <mergeCell ref="E7690:F7690"/>
    <mergeCell ref="E7683:F7683"/>
    <mergeCell ref="E7596:H7596"/>
    <mergeCell ref="E10831:F10831"/>
    <mergeCell ref="E10834:H10834"/>
    <mergeCell ref="E10835:H10835"/>
    <mergeCell ref="E10836:H10836"/>
    <mergeCell ref="E10837:H10837"/>
    <mergeCell ref="E10838:H10838"/>
    <mergeCell ref="E10839:H10839"/>
    <mergeCell ref="E10840:H10840"/>
    <mergeCell ref="E10841:H10841"/>
    <mergeCell ref="E10846:F10846"/>
    <mergeCell ref="E10847:F10847"/>
    <mergeCell ref="E14111:H14111"/>
    <mergeCell ref="E14137:H14137"/>
    <mergeCell ref="E14138:H14138"/>
    <mergeCell ref="E14139:H14139"/>
    <mergeCell ref="E14140:H14140"/>
    <mergeCell ref="E10801:F10801"/>
    <mergeCell ref="E10810:F10810"/>
    <mergeCell ref="E11366:F11366"/>
    <mergeCell ref="E11367:F11367"/>
    <mergeCell ref="E11339:F11339"/>
    <mergeCell ref="E11340:F11340"/>
    <mergeCell ref="E11341:F11341"/>
    <mergeCell ref="E11342:F11342"/>
    <mergeCell ref="E11343:F11343"/>
    <mergeCell ref="E11385:H11385"/>
    <mergeCell ref="E11207:F11207"/>
    <mergeCell ref="E11222:F11222"/>
    <mergeCell ref="E11088:F11088"/>
    <mergeCell ref="E11089:F11089"/>
    <mergeCell ref="E11090:F11090"/>
    <mergeCell ref="E11091:F11091"/>
    <mergeCell ref="E11092:F11092"/>
    <mergeCell ref="E10996:F10996"/>
    <mergeCell ref="E11025:F11025"/>
    <mergeCell ref="E11044:F11044"/>
    <mergeCell ref="E11045:F11045"/>
    <mergeCell ref="E11046:F11046"/>
    <mergeCell ref="E11047:F11047"/>
    <mergeCell ref="E11048:F11048"/>
    <mergeCell ref="E11041:F11041"/>
    <mergeCell ref="E11042:F11042"/>
    <mergeCell ref="E11043:F11043"/>
    <mergeCell ref="E10936:F10936"/>
    <mergeCell ref="E10937:F10937"/>
    <mergeCell ref="E10938:F10938"/>
    <mergeCell ref="E10939:F10939"/>
    <mergeCell ref="E10940:F10940"/>
    <mergeCell ref="E10941:F10941"/>
    <mergeCell ref="E10942:F10942"/>
    <mergeCell ref="E10951:F10951"/>
    <mergeCell ref="E10956:H10956"/>
    <mergeCell ref="E10957:H10957"/>
    <mergeCell ref="E10958:H10958"/>
    <mergeCell ref="E10935:F10935"/>
    <mergeCell ref="E10899:H10899"/>
    <mergeCell ref="E10912:F10912"/>
    <mergeCell ref="E10913:F10913"/>
    <mergeCell ref="E10914:F10914"/>
    <mergeCell ref="E10950:H10950"/>
    <mergeCell ref="E11062:H11062"/>
    <mergeCell ref="E11065:F11065"/>
    <mergeCell ref="E11066:F11066"/>
    <mergeCell ref="E11067:F11067"/>
    <mergeCell ref="E11068:F11068"/>
    <mergeCell ref="E11069:F11069"/>
    <mergeCell ref="E10983:H10983"/>
    <mergeCell ref="E10984:H10984"/>
    <mergeCell ref="E10985:H10985"/>
    <mergeCell ref="E10991:F10991"/>
    <mergeCell ref="E10992:F10992"/>
    <mergeCell ref="E11002:F11002"/>
    <mergeCell ref="E11003:F11003"/>
    <mergeCell ref="E10967:F10967"/>
    <mergeCell ref="E10968:F10968"/>
    <mergeCell ref="E13607:F13607"/>
    <mergeCell ref="E13608:F13608"/>
    <mergeCell ref="E13609:F13609"/>
    <mergeCell ref="E13610:F13610"/>
    <mergeCell ref="E13613:H13613"/>
    <mergeCell ref="E13619:H13619"/>
    <mergeCell ref="E13321:H13321"/>
    <mergeCell ref="E13244:F13244"/>
    <mergeCell ref="E13259:F13259"/>
    <mergeCell ref="E13591:F13591"/>
    <mergeCell ref="E13590:F13590"/>
    <mergeCell ref="E13593:H13593"/>
    <mergeCell ref="E13594:H13594"/>
    <mergeCell ref="E13595:H13595"/>
    <mergeCell ref="E13596:H13596"/>
    <mergeCell ref="E13603:F13603"/>
    <mergeCell ref="E14162:H14162"/>
    <mergeCell ref="E14163:H14163"/>
    <mergeCell ref="E14164:H14164"/>
    <mergeCell ref="E14165:H14165"/>
    <mergeCell ref="E14166:H14166"/>
    <mergeCell ref="E14167:H14167"/>
    <mergeCell ref="E14168:H14168"/>
    <mergeCell ref="E14169:H14169"/>
    <mergeCell ref="E14170:H14170"/>
    <mergeCell ref="E14171:H14171"/>
    <mergeCell ref="E14172:H14172"/>
    <mergeCell ref="E14173:H14173"/>
    <mergeCell ref="E14174:H14174"/>
    <mergeCell ref="E14175:H14175"/>
    <mergeCell ref="E14176:H14176"/>
    <mergeCell ref="E14177:F14177"/>
    <mergeCell ref="E14178:F14178"/>
    <mergeCell ref="E14141:H14141"/>
    <mergeCell ref="E14142:H14142"/>
    <mergeCell ref="E14157:H14157"/>
    <mergeCell ref="E14036:H14036"/>
    <mergeCell ref="E14037:H14037"/>
    <mergeCell ref="E14038:H14038"/>
    <mergeCell ref="E14039:H14039"/>
    <mergeCell ref="E14040:H14040"/>
    <mergeCell ref="E14041:H14041"/>
    <mergeCell ref="E14042:H14042"/>
    <mergeCell ref="E14043:H14043"/>
    <mergeCell ref="E14066:H14066"/>
    <mergeCell ref="E14067:H14067"/>
    <mergeCell ref="E14068:H14068"/>
    <mergeCell ref="E14069:H14069"/>
    <mergeCell ref="E14070:H14070"/>
    <mergeCell ref="E14071:H14071"/>
    <mergeCell ref="E14090:H14090"/>
    <mergeCell ref="E14095:H14095"/>
    <mergeCell ref="E14096:H14096"/>
    <mergeCell ref="E14072:H14072"/>
    <mergeCell ref="E14073:H14073"/>
    <mergeCell ref="E14097:H14097"/>
    <mergeCell ref="E14098:H14098"/>
    <mergeCell ref="E14099:H14099"/>
    <mergeCell ref="E14100:H14100"/>
    <mergeCell ref="E14101:H14101"/>
    <mergeCell ref="E14102:H14102"/>
    <mergeCell ref="E14108:H14108"/>
    <mergeCell ref="E14109:H14109"/>
    <mergeCell ref="E14110:H14110"/>
    <mergeCell ref="E14179:F14179"/>
    <mergeCell ref="E14180:F14180"/>
    <mergeCell ref="E14181:F14181"/>
    <mergeCell ref="E14182:F14182"/>
    <mergeCell ref="E14183:F14183"/>
    <mergeCell ref="E14184:F14184"/>
    <mergeCell ref="E14185:F14185"/>
    <mergeCell ref="E14186:F14186"/>
    <mergeCell ref="E14187:F14187"/>
    <mergeCell ref="E14188:F14188"/>
    <mergeCell ref="E14189:F14189"/>
    <mergeCell ref="E14190:F14190"/>
    <mergeCell ref="E14191:F14191"/>
    <mergeCell ref="E14192:F14192"/>
    <mergeCell ref="E14193:F14193"/>
    <mergeCell ref="E14194:H14194"/>
    <mergeCell ref="E14195:F14195"/>
    <mergeCell ref="E14196:F14196"/>
    <mergeCell ref="E14197:F14197"/>
    <mergeCell ref="E14198:F14198"/>
    <mergeCell ref="E14199:H14199"/>
    <mergeCell ref="E14200:H14200"/>
    <mergeCell ref="E14201:H14201"/>
    <mergeCell ref="E14202:H14202"/>
    <mergeCell ref="E14203:H14203"/>
    <mergeCell ref="E14204:H14204"/>
    <mergeCell ref="E14205:H14205"/>
    <mergeCell ref="E14206:H14206"/>
    <mergeCell ref="E14207:F14207"/>
    <mergeCell ref="E14208:F14208"/>
    <mergeCell ref="E14209:F14209"/>
    <mergeCell ref="E14210:F14210"/>
    <mergeCell ref="E14211:F14211"/>
    <mergeCell ref="E14212:F14212"/>
    <mergeCell ref="E14213:F14213"/>
    <mergeCell ref="E14214:F14214"/>
    <mergeCell ref="E14215:F14215"/>
    <mergeCell ref="E14216:F14216"/>
    <mergeCell ref="E14217:F14217"/>
    <mergeCell ref="E14218:F14218"/>
    <mergeCell ref="E14219:F14219"/>
    <mergeCell ref="E14220:F14220"/>
    <mergeCell ref="E14221:F14221"/>
    <mergeCell ref="E14222:F14222"/>
    <mergeCell ref="E14223:F14223"/>
    <mergeCell ref="E14224:F14224"/>
    <mergeCell ref="E14225:F14225"/>
    <mergeCell ref="E14226:F14226"/>
    <mergeCell ref="E14227:F14227"/>
    <mergeCell ref="E14228:F14228"/>
    <mergeCell ref="E14229:F14229"/>
    <mergeCell ref="E14230:H14230"/>
    <mergeCell ref="E14231:F14231"/>
    <mergeCell ref="E14232:F14232"/>
    <mergeCell ref="E14233:F14233"/>
    <mergeCell ref="E14234:F14234"/>
    <mergeCell ref="E14235:H14235"/>
    <mergeCell ref="E14236:H14236"/>
    <mergeCell ref="E14237:H14237"/>
    <mergeCell ref="E14238:H14238"/>
    <mergeCell ref="E14239:H14239"/>
    <mergeCell ref="E14240:H14240"/>
    <mergeCell ref="E14241:H14241"/>
    <mergeCell ref="E14242:H14242"/>
    <mergeCell ref="E14243:H14243"/>
    <mergeCell ref="E14244:F14244"/>
    <mergeCell ref="E14245:F14245"/>
    <mergeCell ref="E14246:F14246"/>
    <mergeCell ref="E14247:F14247"/>
    <mergeCell ref="E14248:F14248"/>
    <mergeCell ref="E14249:F14249"/>
    <mergeCell ref="E14250:F14250"/>
    <mergeCell ref="E14251:F14251"/>
    <mergeCell ref="E14252:F14252"/>
    <mergeCell ref="E14253:F14253"/>
    <mergeCell ref="E14254:F14254"/>
    <mergeCell ref="E14255:F14255"/>
    <mergeCell ref="E14256:F14256"/>
    <mergeCell ref="E14257:F14257"/>
    <mergeCell ref="E14258:F14258"/>
    <mergeCell ref="E14259:F14259"/>
    <mergeCell ref="E14260:F14260"/>
    <mergeCell ref="E14261:F14261"/>
    <mergeCell ref="E14262:F14262"/>
    <mergeCell ref="E14263:F14263"/>
    <mergeCell ref="E14264:F14264"/>
    <mergeCell ref="E14265:F14265"/>
    <mergeCell ref="E14266:F14266"/>
    <mergeCell ref="E14267:F14267"/>
    <mergeCell ref="E14268:F14268"/>
    <mergeCell ref="E14269:F14269"/>
    <mergeCell ref="E14270:H14270"/>
    <mergeCell ref="E14271:F14271"/>
    <mergeCell ref="E14272:F14272"/>
    <mergeCell ref="E14273:F14273"/>
    <mergeCell ref="E14274:F14274"/>
    <mergeCell ref="E14275:H14275"/>
    <mergeCell ref="E14276:H14276"/>
    <mergeCell ref="E14277:H14277"/>
    <mergeCell ref="E14278:H14278"/>
    <mergeCell ref="E14279:H14279"/>
    <mergeCell ref="E14280:H14280"/>
    <mergeCell ref="E14281:H14281"/>
    <mergeCell ref="E14282:H14282"/>
    <mergeCell ref="E14283:F14283"/>
    <mergeCell ref="E14284:F14284"/>
    <mergeCell ref="E14285:F14285"/>
    <mergeCell ref="E14286:F14286"/>
    <mergeCell ref="E14287:F14287"/>
    <mergeCell ref="E14288:F14288"/>
    <mergeCell ref="E14289:F14289"/>
    <mergeCell ref="E14290:F14290"/>
    <mergeCell ref="E14291:F14291"/>
    <mergeCell ref="E14292:F14292"/>
    <mergeCell ref="E14293:F14293"/>
    <mergeCell ref="E14294:F14294"/>
    <mergeCell ref="E14295:F14295"/>
    <mergeCell ref="E14296:F14296"/>
    <mergeCell ref="E14297:F14297"/>
    <mergeCell ref="E14298:F14298"/>
    <mergeCell ref="E14299:F14299"/>
    <mergeCell ref="E14300:F14300"/>
    <mergeCell ref="E14301:H14301"/>
    <mergeCell ref="E14302:F14302"/>
    <mergeCell ref="E14303:F14303"/>
    <mergeCell ref="E14304:F14304"/>
    <mergeCell ref="E14305:F14305"/>
    <mergeCell ref="E14306:H14306"/>
    <mergeCell ref="E14307:H14307"/>
    <mergeCell ref="E14308:H14308"/>
    <mergeCell ref="E14309:H14309"/>
    <mergeCell ref="E14310:H14310"/>
    <mergeCell ref="E14311:H14311"/>
    <mergeCell ref="E14312:H14312"/>
    <mergeCell ref="E14313:H14313"/>
    <mergeCell ref="E14314:F14314"/>
    <mergeCell ref="E14315:F14315"/>
    <mergeCell ref="E14316:F14316"/>
    <mergeCell ref="E14317:F14317"/>
    <mergeCell ref="E14318:F14318"/>
    <mergeCell ref="E14319:F14319"/>
    <mergeCell ref="E14320:F14320"/>
    <mergeCell ref="E14321:F14321"/>
    <mergeCell ref="E14322:F14322"/>
    <mergeCell ref="E14323:F14323"/>
    <mergeCell ref="E14324:F14324"/>
    <mergeCell ref="E14325:F14325"/>
    <mergeCell ref="E14326:F14326"/>
    <mergeCell ref="E14327:F14327"/>
    <mergeCell ref="E14328:F14328"/>
    <mergeCell ref="E14329:F14329"/>
    <mergeCell ref="E14330:F14330"/>
    <mergeCell ref="E14331:F14331"/>
    <mergeCell ref="E14332:H14332"/>
    <mergeCell ref="E14333:F14333"/>
    <mergeCell ref="E14334:F14334"/>
    <mergeCell ref="E14335:F14335"/>
    <mergeCell ref="E14336:F14336"/>
    <mergeCell ref="E14337:H14337"/>
    <mergeCell ref="E14338:H14338"/>
    <mergeCell ref="E14339:H14339"/>
    <mergeCell ref="E14340:H14340"/>
    <mergeCell ref="E14341:H14341"/>
    <mergeCell ref="E14342:H14342"/>
    <mergeCell ref="E14343:H14343"/>
    <mergeCell ref="E14344:H14344"/>
    <mergeCell ref="E14345:F14345"/>
    <mergeCell ref="E14346:F14346"/>
    <mergeCell ref="E14347:F14347"/>
    <mergeCell ref="E14348:F14348"/>
    <mergeCell ref="E14349:F14349"/>
    <mergeCell ref="E14350:F14350"/>
    <mergeCell ref="E14351:F14351"/>
    <mergeCell ref="E14352:F14352"/>
    <mergeCell ref="E14353:F14353"/>
    <mergeCell ref="E14354:F14354"/>
    <mergeCell ref="E14355:F14355"/>
    <mergeCell ref="E14356:F14356"/>
    <mergeCell ref="E14357:F14357"/>
    <mergeCell ref="E14358:F14358"/>
    <mergeCell ref="E14359:F14359"/>
    <mergeCell ref="E14360:F14360"/>
    <mergeCell ref="E14361:F14361"/>
    <mergeCell ref="E14362:F14362"/>
    <mergeCell ref="E14363:F14363"/>
    <mergeCell ref="E14364:F14364"/>
    <mergeCell ref="E14365:H14365"/>
    <mergeCell ref="E14366:F14366"/>
    <mergeCell ref="E14367:F14367"/>
    <mergeCell ref="E14368:F14368"/>
    <mergeCell ref="E14369:F14369"/>
    <mergeCell ref="E14370:H14370"/>
    <mergeCell ref="E14371:H14371"/>
    <mergeCell ref="E14372:H14372"/>
    <mergeCell ref="E14373:H14373"/>
    <mergeCell ref="E14374:H14374"/>
    <mergeCell ref="E14375:H14375"/>
    <mergeCell ref="E14376:H14376"/>
    <mergeCell ref="E14377:H14377"/>
    <mergeCell ref="E14378:F14378"/>
    <mergeCell ref="E14379:H14379"/>
    <mergeCell ref="E14380:F14380"/>
    <mergeCell ref="E14381:F14381"/>
    <mergeCell ref="E14382:H14382"/>
    <mergeCell ref="E14383:H14383"/>
    <mergeCell ref="E14384:H14384"/>
    <mergeCell ref="E14385:H14385"/>
    <mergeCell ref="E14386:H14386"/>
    <mergeCell ref="E14387:F14387"/>
    <mergeCell ref="E14388:F14388"/>
    <mergeCell ref="E14389:F14389"/>
    <mergeCell ref="E14390:F14390"/>
    <mergeCell ref="E14391:F14391"/>
    <mergeCell ref="E14392:F14392"/>
    <mergeCell ref="E14393:F14393"/>
    <mergeCell ref="E14394:F14394"/>
    <mergeCell ref="E14395:F14395"/>
    <mergeCell ref="E14396:F14396"/>
    <mergeCell ref="E14397:F14397"/>
    <mergeCell ref="E14398:F14398"/>
    <mergeCell ref="E14399:F14399"/>
    <mergeCell ref="E14400:H14400"/>
    <mergeCell ref="E14401:F14401"/>
    <mergeCell ref="E14402:F14402"/>
    <mergeCell ref="E14403:F14403"/>
    <mergeCell ref="E14404:F14404"/>
    <mergeCell ref="E14405:F14405"/>
    <mergeCell ref="E14406:H14406"/>
    <mergeCell ref="E14407:F14407"/>
    <mergeCell ref="E14408:F14408"/>
    <mergeCell ref="E14409:F14409"/>
    <mergeCell ref="E14410:F14410"/>
    <mergeCell ref="E14411:F14411"/>
    <mergeCell ref="E14412:F14412"/>
    <mergeCell ref="E14413:H14413"/>
    <mergeCell ref="E14414:H14414"/>
    <mergeCell ref="E14415:H14415"/>
    <mergeCell ref="E14416:H14416"/>
    <mergeCell ref="E14417:H14417"/>
    <mergeCell ref="E14418:H14418"/>
    <mergeCell ref="E14419:F14419"/>
    <mergeCell ref="E14420:F14420"/>
    <mergeCell ref="E14421:F14421"/>
    <mergeCell ref="E14422:F14422"/>
    <mergeCell ref="E14423:F14423"/>
    <mergeCell ref="E14424:H14424"/>
    <mergeCell ref="E14425:F14425"/>
    <mergeCell ref="E14426:F14426"/>
    <mergeCell ref="E14427:H14427"/>
    <mergeCell ref="E14428:H14428"/>
    <mergeCell ref="E14429:H14429"/>
    <mergeCell ref="E14430:F14430"/>
    <mergeCell ref="E14431:F14431"/>
    <mergeCell ref="E14432:F14432"/>
    <mergeCell ref="E14433:H14433"/>
    <mergeCell ref="E14434:H14434"/>
    <mergeCell ref="E14435:F14435"/>
    <mergeCell ref="E14436:F14436"/>
    <mergeCell ref="E14437:H14437"/>
    <mergeCell ref="E14438:H14438"/>
    <mergeCell ref="E14439:H14439"/>
    <mergeCell ref="E14440:H14440"/>
    <mergeCell ref="E14441:H14441"/>
    <mergeCell ref="E14442:H14442"/>
    <mergeCell ref="E14443:H14443"/>
    <mergeCell ref="E14444:H14444"/>
    <mergeCell ref="E14445:H14445"/>
    <mergeCell ref="E14446:H14446"/>
    <mergeCell ref="E14447:H14447"/>
    <mergeCell ref="E14448:H14448"/>
    <mergeCell ref="E14449:H14449"/>
    <mergeCell ref="E14450:H14450"/>
    <mergeCell ref="E14451:H14451"/>
    <mergeCell ref="E14452:F14452"/>
    <mergeCell ref="E14453:F14453"/>
    <mergeCell ref="E14454:F14454"/>
    <mergeCell ref="E14455:F14455"/>
    <mergeCell ref="E14456:F14456"/>
    <mergeCell ref="E14457:F14457"/>
    <mergeCell ref="E14458:F14458"/>
    <mergeCell ref="E14459:F14459"/>
    <mergeCell ref="E14460:F14460"/>
    <mergeCell ref="E14461:F14461"/>
    <mergeCell ref="E14462:F14462"/>
    <mergeCell ref="E14463:F14463"/>
    <mergeCell ref="E14464:F14464"/>
    <mergeCell ref="E14465:F14465"/>
    <mergeCell ref="E14466:F14466"/>
    <mergeCell ref="E14467:F14467"/>
    <mergeCell ref="E14468:F14468"/>
    <mergeCell ref="E14469:F14469"/>
    <mergeCell ref="E14470:H14470"/>
    <mergeCell ref="E14471:H14471"/>
    <mergeCell ref="E14472:H14472"/>
    <mergeCell ref="E14473:H14473"/>
    <mergeCell ref="E14474:H14474"/>
    <mergeCell ref="E14475:H14475"/>
    <mergeCell ref="E14476:H14476"/>
    <mergeCell ref="E14477:H14477"/>
    <mergeCell ref="E14478:F14478"/>
    <mergeCell ref="E14479:F14479"/>
    <mergeCell ref="E14480:F14480"/>
    <mergeCell ref="E14481:F14481"/>
    <mergeCell ref="E14482:F14482"/>
    <mergeCell ref="E14483:F14483"/>
    <mergeCell ref="E14484:F14484"/>
    <mergeCell ref="E14485:F14485"/>
    <mergeCell ref="E14486:F14486"/>
    <mergeCell ref="E14487:F14487"/>
    <mergeCell ref="E14488:F14488"/>
    <mergeCell ref="E14489:F14489"/>
    <mergeCell ref="E14490:F14490"/>
    <mergeCell ref="E14491:F14491"/>
    <mergeCell ref="E14492:F14492"/>
    <mergeCell ref="E14493:F14493"/>
    <mergeCell ref="E14494:F14494"/>
    <mergeCell ref="E14495:F14495"/>
    <mergeCell ref="E14496:F14496"/>
    <mergeCell ref="E14497:F14497"/>
    <mergeCell ref="E14498:F14498"/>
    <mergeCell ref="E14499:F14499"/>
    <mergeCell ref="E14500:H14500"/>
    <mergeCell ref="E14501:H14501"/>
    <mergeCell ref="E14502:H14502"/>
    <mergeCell ref="E14503:H14503"/>
    <mergeCell ref="E14504:H14504"/>
    <mergeCell ref="E14505:H14505"/>
    <mergeCell ref="E14506:H14506"/>
    <mergeCell ref="E14507:H14507"/>
    <mergeCell ref="E14508:H14508"/>
    <mergeCell ref="E14509:F14509"/>
    <mergeCell ref="E14510:F14510"/>
    <mergeCell ref="E14511:F14511"/>
    <mergeCell ref="E14512:F14512"/>
    <mergeCell ref="E14513:F14513"/>
    <mergeCell ref="E14514:F14514"/>
    <mergeCell ref="E14515:F14515"/>
    <mergeCell ref="E14516:F14516"/>
    <mergeCell ref="E14517:F14517"/>
    <mergeCell ref="E14518:F14518"/>
    <mergeCell ref="E14519:F14519"/>
    <mergeCell ref="E14520:F14520"/>
    <mergeCell ref="E14521:F14521"/>
    <mergeCell ref="E14522:F14522"/>
    <mergeCell ref="E14523:F14523"/>
    <mergeCell ref="E14524:F14524"/>
    <mergeCell ref="E14525:F14525"/>
    <mergeCell ref="E14526:F14526"/>
    <mergeCell ref="E14527:F14527"/>
    <mergeCell ref="E14528:F14528"/>
    <mergeCell ref="E14529:F14529"/>
    <mergeCell ref="E14530:F14530"/>
    <mergeCell ref="E14531:H14531"/>
    <mergeCell ref="E14532:H14532"/>
    <mergeCell ref="E14533:H14533"/>
    <mergeCell ref="E14534:H14534"/>
    <mergeCell ref="E14535:H14535"/>
    <mergeCell ref="E14536:H14536"/>
    <mergeCell ref="E14537:H14537"/>
    <mergeCell ref="E14538:H14538"/>
    <mergeCell ref="E14539:F14539"/>
    <mergeCell ref="E14540:F14540"/>
    <mergeCell ref="E14541:F14541"/>
    <mergeCell ref="E14542:F14542"/>
    <mergeCell ref="E14543:F14543"/>
    <mergeCell ref="E14544:F14544"/>
    <mergeCell ref="E14545:F14545"/>
    <mergeCell ref="E14546:F14546"/>
    <mergeCell ref="E14547:F14547"/>
    <mergeCell ref="E14548:F14548"/>
    <mergeCell ref="E14549:F14549"/>
    <mergeCell ref="E14550:F14550"/>
    <mergeCell ref="E14551:F14551"/>
    <mergeCell ref="E14552:F14552"/>
    <mergeCell ref="E14553:F14553"/>
    <mergeCell ref="E14554:F14554"/>
    <mergeCell ref="E14555:F14555"/>
    <mergeCell ref="E14556:F14556"/>
    <mergeCell ref="E14557:F14557"/>
    <mergeCell ref="E14558:H14558"/>
    <mergeCell ref="E14559:H14559"/>
    <mergeCell ref="E14560:H14560"/>
    <mergeCell ref="E14561:H14561"/>
    <mergeCell ref="E14562:H14562"/>
    <mergeCell ref="E14563:H14563"/>
    <mergeCell ref="E14564:H14564"/>
    <mergeCell ref="E14565:H14565"/>
    <mergeCell ref="E14566:F14566"/>
    <mergeCell ref="E14567:F14567"/>
    <mergeCell ref="E14568:F14568"/>
    <mergeCell ref="E14569:F14569"/>
    <mergeCell ref="E14570:F14570"/>
    <mergeCell ref="E14571:F14571"/>
    <mergeCell ref="E14572:F14572"/>
    <mergeCell ref="E14573:F14573"/>
    <mergeCell ref="E14574:F14574"/>
    <mergeCell ref="E14575:F14575"/>
    <mergeCell ref="E14576:F14576"/>
    <mergeCell ref="E14577:F14577"/>
    <mergeCell ref="E14578:F14578"/>
    <mergeCell ref="E14579:F14579"/>
    <mergeCell ref="E14580:F14580"/>
    <mergeCell ref="E14581:F14581"/>
    <mergeCell ref="E14582:F14582"/>
    <mergeCell ref="E14583:F14583"/>
    <mergeCell ref="E14584:F14584"/>
    <mergeCell ref="E14585:H14585"/>
    <mergeCell ref="E14586:H14586"/>
    <mergeCell ref="E14587:H14587"/>
    <mergeCell ref="E14588:H14588"/>
    <mergeCell ref="E14589:H14589"/>
    <mergeCell ref="E14590:H14590"/>
    <mergeCell ref="E14628:F14628"/>
    <mergeCell ref="E14629:F14629"/>
    <mergeCell ref="E14630:H14630"/>
    <mergeCell ref="E14631:F14631"/>
    <mergeCell ref="E14632:F14632"/>
    <mergeCell ref="E14633:H14633"/>
    <mergeCell ref="E14634:H14634"/>
    <mergeCell ref="E14635:H14635"/>
    <mergeCell ref="E14636:F14636"/>
    <mergeCell ref="E14637:F14637"/>
    <mergeCell ref="E14638:F14638"/>
    <mergeCell ref="E14640:H14640"/>
    <mergeCell ref="E14641:F14641"/>
    <mergeCell ref="E14642:F14642"/>
    <mergeCell ref="E14591:H14591"/>
    <mergeCell ref="E14592:H14592"/>
    <mergeCell ref="E14593:F14593"/>
    <mergeCell ref="E14595:F14595"/>
    <mergeCell ref="E14596:F14596"/>
    <mergeCell ref="E14598:H14598"/>
    <mergeCell ref="E14599:H14599"/>
    <mergeCell ref="E14600:H14600"/>
    <mergeCell ref="E14602:F14602"/>
    <mergeCell ref="E14603:F14603"/>
    <mergeCell ref="E14604:F14604"/>
    <mergeCell ref="E14605:F14605"/>
    <mergeCell ref="E14606:F14606"/>
    <mergeCell ref="E14607:H14607"/>
    <mergeCell ref="E14608:F14608"/>
    <mergeCell ref="E14609:F14609"/>
    <mergeCell ref="E14610:F14610"/>
    <mergeCell ref="E14611:F14611"/>
    <mergeCell ref="E14612:F14612"/>
    <mergeCell ref="E14614:F14614"/>
    <mergeCell ref="E14615:F14615"/>
    <mergeCell ref="E14616:F14616"/>
    <mergeCell ref="E14617:F14617"/>
    <mergeCell ref="E14618:F14618"/>
    <mergeCell ref="E14619:F14619"/>
    <mergeCell ref="E14620:H14620"/>
    <mergeCell ref="E14621:H14621"/>
    <mergeCell ref="E14622:H14622"/>
    <mergeCell ref="E14623:H14623"/>
    <mergeCell ref="E14624:H14624"/>
    <mergeCell ref="E14625:F14625"/>
    <mergeCell ref="E14626:F14626"/>
    <mergeCell ref="E14627:F14627"/>
  </mergeCells>
  <pageMargins left="0.7" right="0.7" top="0.75" bottom="0.75" header="0.3" footer="0.3"/>
  <pageSetup scale="43"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B62"/>
  <sheetViews>
    <sheetView showGridLines="0" topLeftCell="B16" zoomScale="80" zoomScaleNormal="80" zoomScaleSheetLayoutView="25" workbookViewId="0">
      <pane xSplit="3" topLeftCell="BR1" activePane="topRight" state="frozenSplit"/>
      <selection activeCell="R3" sqref="R3"/>
      <selection pane="topRight" activeCell="B1" sqref="B1"/>
    </sheetView>
  </sheetViews>
  <sheetFormatPr defaultColWidth="9.28515625" defaultRowHeight="15" x14ac:dyDescent="0.25"/>
  <cols>
    <col min="1" max="1" width="9.28515625" style="3" hidden="1" customWidth="1"/>
    <col min="2" max="2" width="2.7109375" style="3" bestFit="1" customWidth="1"/>
    <col min="3" max="3" width="90.5703125" style="3" customWidth="1"/>
    <col min="4" max="4" width="16.5703125" style="3" customWidth="1"/>
    <col min="5" max="5" width="16.28515625" style="269" hidden="1" customWidth="1"/>
    <col min="6" max="6" width="23.28515625" style="269" hidden="1" customWidth="1"/>
    <col min="7" max="8" width="18.42578125" style="269" hidden="1" customWidth="1"/>
    <col min="9" max="9" width="14.7109375" style="269" hidden="1" customWidth="1"/>
    <col min="10" max="10" width="14.28515625" style="269" hidden="1" customWidth="1"/>
    <col min="11" max="13" width="14.7109375" style="269" hidden="1" customWidth="1"/>
    <col min="14" max="14" width="15.42578125" style="269" hidden="1" customWidth="1"/>
    <col min="15" max="15" width="16.28515625" style="269" customWidth="1"/>
    <col min="16" max="16" width="23.28515625" style="269" customWidth="1"/>
    <col min="17" max="18" width="18.42578125" style="269" customWidth="1"/>
    <col min="19" max="19" width="14.7109375" style="269" customWidth="1"/>
    <col min="20" max="20" width="14.28515625" style="269" customWidth="1"/>
    <col min="21" max="23" width="14.7109375" style="269" customWidth="1"/>
    <col min="24" max="24" width="15.42578125" style="269" customWidth="1"/>
    <col min="25" max="25" width="16.28515625" style="269" customWidth="1"/>
    <col min="26" max="26" width="23.28515625" style="269" customWidth="1"/>
    <col min="27" max="28" width="18.42578125" style="269" customWidth="1"/>
    <col min="29" max="29" width="14.7109375" style="269" customWidth="1"/>
    <col min="30" max="30" width="14.28515625" style="269" customWidth="1"/>
    <col min="31" max="33" width="14.7109375" style="269" customWidth="1"/>
    <col min="34" max="34" width="15.42578125" style="269" customWidth="1"/>
    <col min="35" max="35" width="16.28515625" style="269" customWidth="1"/>
    <col min="36" max="36" width="23.28515625" style="269" customWidth="1"/>
    <col min="37" max="38" width="18.42578125" style="269" customWidth="1"/>
    <col min="39" max="39" width="14.7109375" style="269" customWidth="1"/>
    <col min="40" max="40" width="14.28515625" style="269" customWidth="1"/>
    <col min="41" max="43" width="14.7109375" style="269" customWidth="1"/>
    <col min="44" max="44" width="15.42578125" style="269" customWidth="1"/>
    <col min="45" max="45" width="16.28515625" style="269" customWidth="1"/>
    <col min="46" max="46" width="23.28515625" style="269" customWidth="1"/>
    <col min="47" max="48" width="18.42578125" style="269" customWidth="1"/>
    <col min="49" max="49" width="14.7109375" style="269" customWidth="1"/>
    <col min="50" max="50" width="14.28515625" style="269" customWidth="1"/>
    <col min="51" max="53" width="14.7109375" style="269" customWidth="1"/>
    <col min="54" max="54" width="15.42578125" style="269" customWidth="1"/>
    <col min="55" max="55" width="16.28515625" style="269" customWidth="1"/>
    <col min="56" max="56" width="23.28515625" style="269" customWidth="1"/>
    <col min="57" max="58" width="18.42578125" style="269" customWidth="1"/>
    <col min="59" max="59" width="14.7109375" style="269" customWidth="1"/>
    <col min="60" max="60" width="14.28515625" style="269" customWidth="1"/>
    <col min="61" max="63" width="14.7109375" style="269" customWidth="1"/>
    <col min="64" max="64" width="15.42578125" style="269" customWidth="1"/>
    <col min="65" max="66" width="14.7109375" style="269" customWidth="1"/>
    <col min="67" max="67" width="19" style="269" customWidth="1"/>
    <col min="68" max="68" width="17.28515625" style="269" customWidth="1"/>
    <col min="69" max="70" width="26.7109375" style="269" customWidth="1"/>
    <col min="71" max="71" width="18.28515625" style="269" customWidth="1"/>
    <col min="72" max="72" width="13.7109375" style="269" customWidth="1"/>
    <col min="73" max="73" width="14.42578125" style="269" customWidth="1"/>
    <col min="74" max="74" width="22.42578125" style="269" bestFit="1" customWidth="1"/>
    <col min="75" max="75" width="19.5703125" style="269" bestFit="1" customWidth="1"/>
    <col min="76" max="76" width="9.28515625" style="488"/>
    <col min="77" max="16384" width="9.28515625" style="3"/>
  </cols>
  <sheetData>
    <row r="1" spans="3:80" ht="12.75" customHeight="1" x14ac:dyDescent="0.25">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487"/>
      <c r="BY1" s="49"/>
      <c r="BZ1" s="49"/>
      <c r="CA1" s="49"/>
      <c r="CB1" s="428" t="b">
        <v>0</v>
      </c>
    </row>
    <row r="2" spans="3:80" ht="12.75" customHeight="1" x14ac:dyDescent="0.25">
      <c r="C2" s="49" t="b">
        <v>0</v>
      </c>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4"/>
      <c r="BW2" s="334"/>
      <c r="BX2" s="487"/>
      <c r="BY2" s="49"/>
      <c r="BZ2" s="49"/>
      <c r="CA2" s="49"/>
      <c r="CB2" s="428" t="b">
        <v>0</v>
      </c>
    </row>
    <row r="3" spans="3:80" ht="12.75" customHeight="1" x14ac:dyDescent="0.25">
      <c r="C3" s="49" t="b">
        <v>1</v>
      </c>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487"/>
      <c r="BY3" s="49"/>
      <c r="BZ3" s="49"/>
      <c r="CA3" s="49"/>
      <c r="CB3" s="428" t="b">
        <v>0</v>
      </c>
    </row>
    <row r="4" spans="3:80" ht="12.75" customHeight="1" x14ac:dyDescent="0.25">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487"/>
      <c r="BY4" s="49"/>
      <c r="BZ4" s="49"/>
      <c r="CA4" s="49"/>
      <c r="CB4" s="428" t="b">
        <v>0</v>
      </c>
    </row>
    <row r="5" spans="3:80" ht="12.75" customHeight="1" x14ac:dyDescent="0.25">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487"/>
      <c r="BY5" s="49"/>
      <c r="BZ5" s="49"/>
      <c r="CA5" s="49"/>
      <c r="CB5" s="428" t="b">
        <v>0</v>
      </c>
    </row>
    <row r="6" spans="3:80" ht="12.75" customHeight="1" x14ac:dyDescent="0.25">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487"/>
      <c r="BY6" s="49"/>
      <c r="BZ6" s="49"/>
      <c r="CA6" s="49"/>
      <c r="CB6" s="428" t="b">
        <v>0</v>
      </c>
    </row>
    <row r="7" spans="3:80" x14ac:dyDescent="0.25">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487"/>
      <c r="BY7" s="49"/>
      <c r="BZ7" s="49"/>
      <c r="CA7" s="49"/>
      <c r="CB7" s="428" t="b">
        <v>0</v>
      </c>
    </row>
    <row r="8" spans="3:80" x14ac:dyDescent="0.25">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487"/>
      <c r="BY8" s="49"/>
      <c r="BZ8" s="49"/>
      <c r="CA8" s="49"/>
      <c r="CB8" s="428" t="b">
        <v>0</v>
      </c>
    </row>
    <row r="9" spans="3:80" x14ac:dyDescent="0.25">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4"/>
      <c r="BU9" s="334"/>
      <c r="BV9" s="334"/>
      <c r="BW9" s="334"/>
      <c r="BX9" s="487"/>
      <c r="BY9" s="49"/>
      <c r="BZ9" s="49"/>
      <c r="CA9" s="49"/>
      <c r="CB9" s="428" t="b">
        <v>0</v>
      </c>
    </row>
    <row r="10" spans="3:80" x14ac:dyDescent="0.25">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487"/>
      <c r="BY10" s="49"/>
      <c r="BZ10" s="49"/>
      <c r="CA10" s="49"/>
      <c r="CB10" s="428" t="b">
        <v>1</v>
      </c>
    </row>
    <row r="11" spans="3:80" x14ac:dyDescent="0.25">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4"/>
      <c r="BS11" s="334"/>
      <c r="BT11" s="334"/>
      <c r="BU11" s="334"/>
      <c r="BV11" s="334"/>
      <c r="BW11" s="334"/>
      <c r="BX11" s="487"/>
      <c r="BY11" s="49"/>
      <c r="BZ11" s="49"/>
      <c r="CA11" s="49"/>
      <c r="CB11" s="428" t="b">
        <v>1</v>
      </c>
    </row>
    <row r="12" spans="3:80" ht="63" customHeight="1" x14ac:dyDescent="0.25">
      <c r="C12" s="1803" t="s">
        <v>129</v>
      </c>
      <c r="D12" s="1803"/>
      <c r="E12" s="334"/>
      <c r="F12" s="334"/>
      <c r="G12" s="334"/>
      <c r="H12" s="334"/>
      <c r="I12" s="334"/>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4"/>
      <c r="AJ12" s="334"/>
      <c r="AK12" s="334"/>
      <c r="AL12" s="334"/>
      <c r="AM12" s="334"/>
      <c r="AN12" s="334"/>
      <c r="AO12" s="334"/>
      <c r="AP12" s="334"/>
      <c r="AQ12" s="334"/>
      <c r="AR12" s="334"/>
      <c r="AS12" s="334"/>
      <c r="AT12" s="334"/>
      <c r="AU12" s="334"/>
      <c r="AV12" s="334"/>
      <c r="AW12" s="334"/>
      <c r="AX12" s="334"/>
      <c r="AY12" s="334"/>
      <c r="AZ12" s="334"/>
      <c r="BA12" s="334"/>
      <c r="BB12" s="334"/>
      <c r="BC12" s="334"/>
      <c r="BD12" s="334"/>
      <c r="BE12" s="334"/>
      <c r="BF12" s="334"/>
      <c r="BG12" s="334"/>
      <c r="BH12" s="334"/>
      <c r="BI12" s="334"/>
      <c r="BJ12" s="334"/>
      <c r="BK12" s="334"/>
      <c r="BL12" s="334"/>
      <c r="BM12" s="334"/>
      <c r="BN12" s="334"/>
      <c r="BO12" s="334"/>
      <c r="BP12" s="334"/>
      <c r="BQ12" s="334"/>
      <c r="BR12" s="334"/>
      <c r="BS12" s="334"/>
      <c r="BT12" s="334"/>
      <c r="BU12" s="334"/>
      <c r="BV12" s="334"/>
      <c r="BW12" s="334"/>
      <c r="BX12" s="487"/>
      <c r="BY12" s="49"/>
      <c r="BZ12" s="49"/>
      <c r="CA12" s="49"/>
      <c r="CB12" s="49"/>
    </row>
    <row r="13" spans="3:80" ht="24.75" customHeight="1" thickBot="1" x14ac:dyDescent="0.3">
      <c r="C13" s="1803"/>
      <c r="D13" s="1803"/>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c r="AW13" s="334"/>
      <c r="AX13" s="334"/>
      <c r="AY13" s="334"/>
      <c r="AZ13" s="334"/>
      <c r="BA13" s="334"/>
      <c r="BB13" s="334"/>
      <c r="BC13" s="334"/>
      <c r="BD13" s="334"/>
      <c r="BE13" s="334"/>
      <c r="BF13" s="334"/>
      <c r="BG13" s="334"/>
      <c r="BH13" s="334"/>
      <c r="BI13" s="334"/>
      <c r="BJ13" s="334"/>
      <c r="BK13" s="334"/>
      <c r="BL13" s="334"/>
      <c r="BM13" s="334"/>
      <c r="BN13" s="334"/>
      <c r="BO13" s="334"/>
      <c r="BP13" s="334"/>
      <c r="BQ13" s="334"/>
      <c r="BR13" s="334"/>
      <c r="BS13" s="334"/>
      <c r="BT13" s="334"/>
      <c r="BU13" s="334"/>
      <c r="BV13" s="334"/>
      <c r="BW13" s="334"/>
      <c r="BX13" s="487"/>
      <c r="BY13" s="49"/>
      <c r="BZ13" s="49"/>
      <c r="CA13" s="49"/>
      <c r="CB13" s="49"/>
    </row>
    <row r="14" spans="3:80" ht="44.25" hidden="1" customHeight="1" thickBot="1" x14ac:dyDescent="0.3">
      <c r="C14" s="1803"/>
      <c r="D14" s="1803"/>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4"/>
      <c r="BS14" s="334"/>
      <c r="BT14" s="334"/>
      <c r="BU14" s="334"/>
      <c r="BV14" s="334"/>
      <c r="BW14" s="334"/>
      <c r="BX14" s="487"/>
      <c r="BY14" s="49"/>
      <c r="BZ14" s="49"/>
      <c r="CA14" s="49"/>
      <c r="CB14" s="49"/>
    </row>
    <row r="15" spans="3:80" ht="101.25" hidden="1" customHeight="1" thickBot="1" x14ac:dyDescent="0.3">
      <c r="C15" s="1803"/>
      <c r="D15" s="1803"/>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4"/>
      <c r="BS15" s="334"/>
      <c r="BT15" s="918"/>
      <c r="BU15" s="918"/>
      <c r="BV15" s="919"/>
      <c r="BW15" s="334"/>
      <c r="BX15" s="487"/>
      <c r="BY15" s="49"/>
      <c r="BZ15" s="49"/>
      <c r="CA15" s="49"/>
      <c r="CB15" s="49"/>
    </row>
    <row r="16" spans="3:80" ht="32.25" thickBot="1" x14ac:dyDescent="0.5">
      <c r="C16" s="429"/>
      <c r="D16" s="270"/>
      <c r="E16" s="1800">
        <v>2019</v>
      </c>
      <c r="F16" s="1801"/>
      <c r="G16" s="1801"/>
      <c r="H16" s="1801"/>
      <c r="I16" s="1801"/>
      <c r="J16" s="1801"/>
      <c r="K16" s="1801"/>
      <c r="L16" s="1801"/>
      <c r="M16" s="1801"/>
      <c r="N16" s="1802"/>
      <c r="O16" s="1800">
        <f>E16+1</f>
        <v>2020</v>
      </c>
      <c r="P16" s="1801"/>
      <c r="Q16" s="1801"/>
      <c r="R16" s="1801"/>
      <c r="S16" s="1801"/>
      <c r="T16" s="1801"/>
      <c r="U16" s="1801"/>
      <c r="V16" s="1801"/>
      <c r="W16" s="1801"/>
      <c r="X16" s="1802"/>
      <c r="Y16" s="1800">
        <f>O16+1</f>
        <v>2021</v>
      </c>
      <c r="Z16" s="1801"/>
      <c r="AA16" s="1801"/>
      <c r="AB16" s="1801"/>
      <c r="AC16" s="1801"/>
      <c r="AD16" s="1801"/>
      <c r="AE16" s="1801"/>
      <c r="AF16" s="1801"/>
      <c r="AG16" s="1801"/>
      <c r="AH16" s="1802"/>
      <c r="AI16" s="1800">
        <f>Y16+1</f>
        <v>2022</v>
      </c>
      <c r="AJ16" s="1801"/>
      <c r="AK16" s="1801"/>
      <c r="AL16" s="1801"/>
      <c r="AM16" s="1801"/>
      <c r="AN16" s="1801"/>
      <c r="AO16" s="1801"/>
      <c r="AP16" s="1801"/>
      <c r="AQ16" s="1801"/>
      <c r="AR16" s="1802"/>
      <c r="AS16" s="1800">
        <f>AI16+1</f>
        <v>2023</v>
      </c>
      <c r="AT16" s="1801"/>
      <c r="AU16" s="1801"/>
      <c r="AV16" s="1801"/>
      <c r="AW16" s="1801"/>
      <c r="AX16" s="1801"/>
      <c r="AY16" s="1801"/>
      <c r="AZ16" s="1801"/>
      <c r="BA16" s="1801"/>
      <c r="BB16" s="1801"/>
      <c r="BC16" s="1800">
        <f>AS16+1</f>
        <v>2024</v>
      </c>
      <c r="BD16" s="1801"/>
      <c r="BE16" s="1801"/>
      <c r="BF16" s="1801"/>
      <c r="BG16" s="1801"/>
      <c r="BH16" s="1801"/>
      <c r="BI16" s="1801"/>
      <c r="BJ16" s="1801"/>
      <c r="BK16" s="1801"/>
      <c r="BL16" s="1802"/>
      <c r="BM16" s="1800">
        <f>BC16+1</f>
        <v>2025</v>
      </c>
      <c r="BN16" s="1801"/>
      <c r="BO16" s="1801"/>
      <c r="BP16" s="1801"/>
      <c r="BQ16" s="1793" t="s">
        <v>7698</v>
      </c>
      <c r="BR16" s="1794"/>
      <c r="BS16" s="1794"/>
      <c r="BT16" s="1795"/>
      <c r="BU16" s="1241"/>
      <c r="BV16" s="312" t="s">
        <v>130</v>
      </c>
      <c r="BW16" s="271"/>
    </row>
    <row r="17" spans="3:80" ht="12.75" customHeight="1" x14ac:dyDescent="0.2">
      <c r="C17" s="1796" t="s">
        <v>131</v>
      </c>
      <c r="D17" s="1798" t="s">
        <v>132</v>
      </c>
      <c r="E17" s="1786" t="str">
        <f>"Opening Principal Amounts as of Jan 1, " &amp; E16</f>
        <v>Opening Principal Amounts as of Jan 1, 2019</v>
      </c>
      <c r="F17" s="1776" t="str">
        <f>"Transactions Debit / (Credit) during " &amp; E16</f>
        <v>Transactions Debit / (Credit) during 2019</v>
      </c>
      <c r="G17" s="1768" t="str">
        <f>"OEB-Approved Disposition during " &amp; E16</f>
        <v>OEB-Approved Disposition during 2019</v>
      </c>
      <c r="H17" s="1768" t="str">
        <f>"Principal Adjustments1 during "&amp; E16</f>
        <v>Principal Adjustments1 during 2019</v>
      </c>
      <c r="I17" s="1768" t="str">
        <f>"Closing Principal Balance as of Dec 31, " &amp; E16</f>
        <v>Closing Principal Balance as of Dec 31, 2019</v>
      </c>
      <c r="J17" s="1768" t="str">
        <f>"Opening Interest Amounts as of Jan 1, " &amp;E16</f>
        <v>Opening Interest Amounts as of Jan 1, 2019</v>
      </c>
      <c r="K17" s="1768" t="str">
        <f>"Interest Jan 1 to Dec 31, " &amp; E16</f>
        <v>Interest Jan 1 to Dec 31, 2019</v>
      </c>
      <c r="L17" s="1768" t="str">
        <f>"OEB-Approved Disposition during " &amp; E16</f>
        <v>OEB-Approved Disposition during 2019</v>
      </c>
      <c r="M17" s="1768" t="str">
        <f>"Interest Adjustments1 during " &amp; E16</f>
        <v>Interest Adjustments1 during 2019</v>
      </c>
      <c r="N17" s="1773" t="str">
        <f>"Closing Interest Amounts as of Dec 31, " &amp; E16</f>
        <v>Closing Interest Amounts as of Dec 31, 2019</v>
      </c>
      <c r="O17" s="1786" t="str">
        <f>"Opening Principal Amounts as of Jan 1, " &amp; O16</f>
        <v>Opening Principal Amounts as of Jan 1, 2020</v>
      </c>
      <c r="P17" s="1776" t="str">
        <f>"Transactions Debit / (Credit) during " &amp; O16</f>
        <v>Transactions Debit / (Credit) during 2020</v>
      </c>
      <c r="Q17" s="1768" t="str">
        <f>"OEB-Approved Disposition during " &amp; O16</f>
        <v>OEB-Approved Disposition during 2020</v>
      </c>
      <c r="R17" s="1768" t="str">
        <f>"Principal Adjustments1 during "&amp; O16</f>
        <v>Principal Adjustments1 during 2020</v>
      </c>
      <c r="S17" s="1768" t="str">
        <f>"Closing Principal Balance as of Dec 31, " &amp; O16</f>
        <v>Closing Principal Balance as of Dec 31, 2020</v>
      </c>
      <c r="T17" s="1768" t="str">
        <f>"Opening Interest Amounts as of Jan 1, " &amp;O16</f>
        <v>Opening Interest Amounts as of Jan 1, 2020</v>
      </c>
      <c r="U17" s="1768" t="str">
        <f>"Interest Jan 1 to Dec 31, " &amp; O16</f>
        <v>Interest Jan 1 to Dec 31, 2020</v>
      </c>
      <c r="V17" s="1768" t="str">
        <f>"OEB-Approved Disposition during " &amp; O16</f>
        <v>OEB-Approved Disposition during 2020</v>
      </c>
      <c r="W17" s="1768" t="str">
        <f>"Interest Adjustments1 during " &amp; O16</f>
        <v>Interest Adjustments1 during 2020</v>
      </c>
      <c r="X17" s="1773" t="str">
        <f>"Closing Interest Amounts as of Dec 31, " &amp; O16</f>
        <v>Closing Interest Amounts as of Dec 31, 2020</v>
      </c>
      <c r="Y17" s="1786" t="str">
        <f>"Opening Principal Amounts as of Jan 1, " &amp; Y16</f>
        <v>Opening Principal Amounts as of Jan 1, 2021</v>
      </c>
      <c r="Z17" s="1776" t="str">
        <f>"Transactions Debit / (Credit) during " &amp; Y16</f>
        <v>Transactions Debit / (Credit) during 2021</v>
      </c>
      <c r="AA17" s="1768" t="str">
        <f>"OEB-Approved Disposition during " &amp; Y16</f>
        <v>OEB-Approved Disposition during 2021</v>
      </c>
      <c r="AB17" s="1768" t="str">
        <f>"Principal Adjustments1 during "&amp; Y16</f>
        <v>Principal Adjustments1 during 2021</v>
      </c>
      <c r="AC17" s="1768" t="str">
        <f>"Closing Principal Balance as of Dec 31, " &amp; Y16</f>
        <v>Closing Principal Balance as of Dec 31, 2021</v>
      </c>
      <c r="AD17" s="1768" t="str">
        <f>"Opening Interest Amounts as of Jan 1, " &amp;Y16</f>
        <v>Opening Interest Amounts as of Jan 1, 2021</v>
      </c>
      <c r="AE17" s="1768" t="str">
        <f>"Interest Jan 1 to Dec 31, " &amp; Y16</f>
        <v>Interest Jan 1 to Dec 31, 2021</v>
      </c>
      <c r="AF17" s="1768" t="str">
        <f>"OEB-Approved Disposition during " &amp; Y16</f>
        <v>OEB-Approved Disposition during 2021</v>
      </c>
      <c r="AG17" s="1768" t="str">
        <f>"Interest Adjustments1 during " &amp; Y16</f>
        <v>Interest Adjustments1 during 2021</v>
      </c>
      <c r="AH17" s="1773" t="str">
        <f>"Closing Interest Amounts as of Dec 31, " &amp; Y16</f>
        <v>Closing Interest Amounts as of Dec 31, 2021</v>
      </c>
      <c r="AI17" s="1786" t="str">
        <f>"Opening Principal Amounts as of Jan 1, " &amp; AI16</f>
        <v>Opening Principal Amounts as of Jan 1, 2022</v>
      </c>
      <c r="AJ17" s="1776" t="str">
        <f>"Transactions Debit / (Credit) during " &amp; AI16</f>
        <v>Transactions Debit / (Credit) during 2022</v>
      </c>
      <c r="AK17" s="1768" t="str">
        <f>"OEB-Approved Disposition during " &amp; AI16</f>
        <v>OEB-Approved Disposition during 2022</v>
      </c>
      <c r="AL17" s="1768" t="str">
        <f>"Principal Adjustments1 during "&amp; AI16</f>
        <v>Principal Adjustments1 during 2022</v>
      </c>
      <c r="AM17" s="1768" t="str">
        <f>"Closing Principal Balance as of Dec 31, " &amp; AI16</f>
        <v>Closing Principal Balance as of Dec 31, 2022</v>
      </c>
      <c r="AN17" s="1768" t="str">
        <f>"Opening Interest Amounts as of Jan 1, " &amp;AI16</f>
        <v>Opening Interest Amounts as of Jan 1, 2022</v>
      </c>
      <c r="AO17" s="1768" t="str">
        <f>"Interest Jan 1 to Dec 31, " &amp; AI16</f>
        <v>Interest Jan 1 to Dec 31, 2022</v>
      </c>
      <c r="AP17" s="1768" t="str">
        <f>"OEB-Approved Disposition during " &amp; AI16</f>
        <v>OEB-Approved Disposition during 2022</v>
      </c>
      <c r="AQ17" s="1768" t="str">
        <f>"Interest Adjustments1 during " &amp; AI16</f>
        <v>Interest Adjustments1 during 2022</v>
      </c>
      <c r="AR17" s="1773" t="str">
        <f>"Closing Interest Amounts as of Dec 31, " &amp; AI16</f>
        <v>Closing Interest Amounts as of Dec 31, 2022</v>
      </c>
      <c r="AS17" s="1786" t="str">
        <f>"Opening Principal Amounts as of Jan 1, " &amp; AS16</f>
        <v>Opening Principal Amounts as of Jan 1, 2023</v>
      </c>
      <c r="AT17" s="1776" t="str">
        <f>"Transactions Debit / (Credit) during " &amp; AS16</f>
        <v>Transactions Debit / (Credit) during 2023</v>
      </c>
      <c r="AU17" s="1768" t="str">
        <f>"OEB-Approved Disposition during " &amp; AS16</f>
        <v>OEB-Approved Disposition during 2023</v>
      </c>
      <c r="AV17" s="1768" t="str">
        <f>"Principal Adjustments1 during "&amp; AS16</f>
        <v>Principal Adjustments1 during 2023</v>
      </c>
      <c r="AW17" s="1768" t="str">
        <f>"Closing Principal Balance as of Dec 31, " &amp; AS16</f>
        <v>Closing Principal Balance as of Dec 31, 2023</v>
      </c>
      <c r="AX17" s="1768" t="str">
        <f>"Opening Interest Amounts as of Jan 1, " &amp;AS16</f>
        <v>Opening Interest Amounts as of Jan 1, 2023</v>
      </c>
      <c r="AY17" s="1768" t="str">
        <f>"Interest Jan 1 to Dec 31, " &amp; AS16</f>
        <v>Interest Jan 1 to Dec 31, 2023</v>
      </c>
      <c r="AZ17" s="1768" t="str">
        <f>"OEB-Approved Disposition during " &amp; AS16</f>
        <v>OEB-Approved Disposition during 2023</v>
      </c>
      <c r="BA17" s="1768" t="str">
        <f>"Interest Adjustments1 during " &amp; AS16</f>
        <v>Interest Adjustments1 during 2023</v>
      </c>
      <c r="BB17" s="1773" t="str">
        <f>"Closing Interest Amounts as of Dec 31, " &amp; AS16</f>
        <v>Closing Interest Amounts as of Dec 31, 2023</v>
      </c>
      <c r="BC17" s="1786" t="str">
        <f>"Opening Principal Amounts as of Jan 1, " &amp; BC16</f>
        <v>Opening Principal Amounts as of Jan 1, 2024</v>
      </c>
      <c r="BD17" s="1776" t="str">
        <f>"Transactions Debit / (Credit) during " &amp; BC16</f>
        <v>Transactions Debit / (Credit) during 2024</v>
      </c>
      <c r="BE17" s="1768" t="str">
        <f>"OEB-Approved Disposition during " &amp; BC16</f>
        <v>OEB-Approved Disposition during 2024</v>
      </c>
      <c r="BF17" s="1768" t="str">
        <f>"Principal Adjustments1 during "&amp; BC16</f>
        <v>Principal Adjustments1 during 2024</v>
      </c>
      <c r="BG17" s="1768" t="str">
        <f>"Closing Principal Balance as of Dec 31, " &amp; BC16</f>
        <v>Closing Principal Balance as of Dec 31, 2024</v>
      </c>
      <c r="BH17" s="1768" t="str">
        <f>"Opening Interest Amounts as of Jan 1, " &amp;BC16</f>
        <v>Opening Interest Amounts as of Jan 1, 2024</v>
      </c>
      <c r="BI17" s="1768" t="str">
        <f>"Interest Jan 1 to Dec 31, " &amp; BC16</f>
        <v>Interest Jan 1 to Dec 31, 2024</v>
      </c>
      <c r="BJ17" s="1768" t="str">
        <f>"OEB-Approved Disposition during " &amp; BC16</f>
        <v>OEB-Approved Disposition during 2024</v>
      </c>
      <c r="BK17" s="1768" t="str">
        <f>"Interest Adjustments1 during " &amp; BC16</f>
        <v>Interest Adjustments1 during 2024</v>
      </c>
      <c r="BL17" s="1773" t="str">
        <f>"Closing Interest Amounts as of Dec 31, " &amp; BC16</f>
        <v>Closing Interest Amounts as of Dec 31, 2024</v>
      </c>
      <c r="BM17" s="1786" t="str">
        <f>"Principal Disposition during " &amp; BM16 &amp; " - instructed by OEB"</f>
        <v>Principal Disposition during 2025 - instructed by OEB</v>
      </c>
      <c r="BN17" s="1776" t="str">
        <f>"Interest Disposition during " &amp; BM16 &amp; " - instructed by OEB"</f>
        <v>Interest Disposition during 2025 - instructed by OEB</v>
      </c>
      <c r="BO17" s="1776" t="str">
        <f>"Closing Principal Balances as of Dec 31, 2023 Adjusted for Disposition during " &amp; BM16</f>
        <v>Closing Principal Balances as of Dec 31, 2023 Adjusted for Disposition during 2025</v>
      </c>
      <c r="BP17" s="1776" t="str">
        <f>"Closing Interest Balances as of Dec 31, 2023 Adjusted for Disposition during " &amp; BM16</f>
        <v>Closing Interest Balances as of Dec 31, 2023 Adjusted for Disposition during 2025</v>
      </c>
      <c r="BQ17" s="1786" t="s">
        <v>6485</v>
      </c>
      <c r="BR17" s="1776" t="s">
        <v>6486</v>
      </c>
      <c r="BS17" s="1776" t="s">
        <v>133</v>
      </c>
      <c r="BT17" s="1776" t="s">
        <v>134</v>
      </c>
      <c r="BU17" s="1782" t="s">
        <v>135</v>
      </c>
      <c r="BV17" s="1779" t="s">
        <v>6487</v>
      </c>
      <c r="BW17" s="1779" t="s">
        <v>6488</v>
      </c>
    </row>
    <row r="18" spans="3:80" ht="30.75" customHeight="1" x14ac:dyDescent="0.2">
      <c r="C18" s="1797"/>
      <c r="D18" s="1799"/>
      <c r="E18" s="1791"/>
      <c r="F18" s="1777"/>
      <c r="G18" s="1769"/>
      <c r="H18" s="1771"/>
      <c r="I18" s="1769"/>
      <c r="J18" s="1771"/>
      <c r="K18" s="1769"/>
      <c r="L18" s="1769"/>
      <c r="M18" s="1771"/>
      <c r="N18" s="1774"/>
      <c r="O18" s="1791"/>
      <c r="P18" s="1777"/>
      <c r="Q18" s="1769"/>
      <c r="R18" s="1771"/>
      <c r="S18" s="1769"/>
      <c r="T18" s="1771"/>
      <c r="U18" s="1769"/>
      <c r="V18" s="1769"/>
      <c r="W18" s="1771"/>
      <c r="X18" s="1774"/>
      <c r="Y18" s="1791"/>
      <c r="Z18" s="1777"/>
      <c r="AA18" s="1769"/>
      <c r="AB18" s="1771"/>
      <c r="AC18" s="1769"/>
      <c r="AD18" s="1771"/>
      <c r="AE18" s="1769"/>
      <c r="AF18" s="1769"/>
      <c r="AG18" s="1771"/>
      <c r="AH18" s="1774"/>
      <c r="AI18" s="1791"/>
      <c r="AJ18" s="1777"/>
      <c r="AK18" s="1769"/>
      <c r="AL18" s="1771"/>
      <c r="AM18" s="1769"/>
      <c r="AN18" s="1771"/>
      <c r="AO18" s="1769"/>
      <c r="AP18" s="1769"/>
      <c r="AQ18" s="1771"/>
      <c r="AR18" s="1774"/>
      <c r="AS18" s="1791"/>
      <c r="AT18" s="1777"/>
      <c r="AU18" s="1769"/>
      <c r="AV18" s="1771"/>
      <c r="AW18" s="1769"/>
      <c r="AX18" s="1771"/>
      <c r="AY18" s="1769"/>
      <c r="AZ18" s="1769"/>
      <c r="BA18" s="1771"/>
      <c r="BB18" s="1774"/>
      <c r="BC18" s="1791"/>
      <c r="BD18" s="1777"/>
      <c r="BE18" s="1769"/>
      <c r="BF18" s="1771"/>
      <c r="BG18" s="1769"/>
      <c r="BH18" s="1771"/>
      <c r="BI18" s="1769"/>
      <c r="BJ18" s="1769"/>
      <c r="BK18" s="1771"/>
      <c r="BL18" s="1774"/>
      <c r="BM18" s="1787"/>
      <c r="BN18" s="1789"/>
      <c r="BO18" s="1789"/>
      <c r="BP18" s="1789"/>
      <c r="BQ18" s="1791"/>
      <c r="BR18" s="1777"/>
      <c r="BS18" s="1777"/>
      <c r="BT18" s="1777"/>
      <c r="BU18" s="1783"/>
      <c r="BV18" s="1780"/>
      <c r="BW18" s="1780"/>
    </row>
    <row r="19" spans="3:80" ht="48" customHeight="1" thickBot="1" x14ac:dyDescent="0.25">
      <c r="C19" s="1797"/>
      <c r="D19" s="1799"/>
      <c r="E19" s="1792"/>
      <c r="F19" s="1778"/>
      <c r="G19" s="1770"/>
      <c r="H19" s="1772"/>
      <c r="I19" s="1770"/>
      <c r="J19" s="1772"/>
      <c r="K19" s="1770"/>
      <c r="L19" s="1770"/>
      <c r="M19" s="1772"/>
      <c r="N19" s="1775"/>
      <c r="O19" s="1792"/>
      <c r="P19" s="1778"/>
      <c r="Q19" s="1770"/>
      <c r="R19" s="1772"/>
      <c r="S19" s="1770"/>
      <c r="T19" s="1772"/>
      <c r="U19" s="1770"/>
      <c r="V19" s="1770"/>
      <c r="W19" s="1772"/>
      <c r="X19" s="1775"/>
      <c r="Y19" s="1792"/>
      <c r="Z19" s="1778"/>
      <c r="AA19" s="1770"/>
      <c r="AB19" s="1772"/>
      <c r="AC19" s="1770"/>
      <c r="AD19" s="1772"/>
      <c r="AE19" s="1770"/>
      <c r="AF19" s="1770"/>
      <c r="AG19" s="1772"/>
      <c r="AH19" s="1775"/>
      <c r="AI19" s="1792"/>
      <c r="AJ19" s="1778"/>
      <c r="AK19" s="1770"/>
      <c r="AL19" s="1772"/>
      <c r="AM19" s="1770"/>
      <c r="AN19" s="1772"/>
      <c r="AO19" s="1770"/>
      <c r="AP19" s="1770"/>
      <c r="AQ19" s="1772"/>
      <c r="AR19" s="1775"/>
      <c r="AS19" s="1792"/>
      <c r="AT19" s="1778"/>
      <c r="AU19" s="1770"/>
      <c r="AV19" s="1772"/>
      <c r="AW19" s="1770"/>
      <c r="AX19" s="1772"/>
      <c r="AY19" s="1770"/>
      <c r="AZ19" s="1770"/>
      <c r="BA19" s="1772"/>
      <c r="BB19" s="1775"/>
      <c r="BC19" s="1792"/>
      <c r="BD19" s="1778"/>
      <c r="BE19" s="1770"/>
      <c r="BF19" s="1772"/>
      <c r="BG19" s="1770"/>
      <c r="BH19" s="1772"/>
      <c r="BI19" s="1770"/>
      <c r="BJ19" s="1770"/>
      <c r="BK19" s="1772"/>
      <c r="BL19" s="1775"/>
      <c r="BM19" s="1788"/>
      <c r="BN19" s="1790"/>
      <c r="BO19" s="1790"/>
      <c r="BP19" s="1790"/>
      <c r="BQ19" s="1792"/>
      <c r="BR19" s="1778"/>
      <c r="BS19" s="1778"/>
      <c r="BT19" s="1778" t="s">
        <v>136</v>
      </c>
      <c r="BU19" s="1784"/>
      <c r="BV19" s="1781"/>
      <c r="BW19" s="1781"/>
    </row>
    <row r="20" spans="3:80" ht="24" thickBot="1" x14ac:dyDescent="0.3">
      <c r="C20" s="299" t="s">
        <v>137</v>
      </c>
      <c r="D20" s="300"/>
      <c r="E20" s="298"/>
      <c r="F20" s="277"/>
      <c r="G20" s="295"/>
      <c r="H20" s="295"/>
      <c r="I20" s="295"/>
      <c r="J20" s="295"/>
      <c r="K20" s="295"/>
      <c r="L20" s="295"/>
      <c r="M20" s="295"/>
      <c r="N20" s="1242"/>
      <c r="O20" s="296"/>
      <c r="P20" s="297"/>
      <c r="Q20" s="295"/>
      <c r="R20" s="295"/>
      <c r="S20" s="295"/>
      <c r="T20" s="295"/>
      <c r="U20" s="295"/>
      <c r="V20" s="295"/>
      <c r="W20" s="278"/>
      <c r="X20" s="1243"/>
      <c r="Y20" s="279"/>
      <c r="Z20" s="277"/>
      <c r="AA20" s="278"/>
      <c r="AB20" s="278"/>
      <c r="AC20" s="278"/>
      <c r="AD20" s="278"/>
      <c r="AE20" s="278"/>
      <c r="AF20" s="278"/>
      <c r="AG20" s="278"/>
      <c r="AH20" s="1243"/>
      <c r="AI20" s="279"/>
      <c r="AJ20" s="277"/>
      <c r="AK20" s="278"/>
      <c r="AL20" s="278"/>
      <c r="AM20" s="278"/>
      <c r="AN20" s="278"/>
      <c r="AO20" s="278"/>
      <c r="AP20" s="278"/>
      <c r="AQ20" s="278"/>
      <c r="AR20" s="1243"/>
      <c r="AS20" s="279"/>
      <c r="AT20" s="277"/>
      <c r="AU20" s="278"/>
      <c r="AV20" s="278"/>
      <c r="AW20" s="278"/>
      <c r="AX20" s="278"/>
      <c r="AY20" s="278"/>
      <c r="AZ20" s="278"/>
      <c r="BA20" s="278"/>
      <c r="BB20" s="309"/>
      <c r="BC20" s="279"/>
      <c r="BD20" s="277"/>
      <c r="BE20" s="278"/>
      <c r="BF20" s="278"/>
      <c r="BG20" s="278"/>
      <c r="BH20" s="278"/>
      <c r="BI20" s="278"/>
      <c r="BJ20" s="278"/>
      <c r="BK20" s="278"/>
      <c r="BL20" s="1243"/>
      <c r="BM20" s="280"/>
      <c r="BN20" s="281"/>
      <c r="BO20" s="278"/>
      <c r="BP20" s="281"/>
      <c r="BQ20" s="313"/>
      <c r="BR20" s="282"/>
      <c r="BS20" s="282"/>
      <c r="BT20" s="282"/>
      <c r="BU20" s="282"/>
      <c r="BV20" s="920"/>
      <c r="BW20" s="283"/>
    </row>
    <row r="21" spans="3:80" thickBot="1" x14ac:dyDescent="0.25">
      <c r="C21" s="301" t="s">
        <v>138</v>
      </c>
      <c r="D21" s="1244">
        <v>1550</v>
      </c>
      <c r="E21" s="1245"/>
      <c r="F21" s="1246"/>
      <c r="G21" s="1246"/>
      <c r="H21" s="1246"/>
      <c r="I21" s="297">
        <f>E21+F21-G21+H21</f>
        <v>0</v>
      </c>
      <c r="J21" s="1246"/>
      <c r="K21" s="1246"/>
      <c r="L21" s="1246"/>
      <c r="M21" s="1246"/>
      <c r="N21" s="297">
        <f>J21+K21-L21+M21</f>
        <v>0</v>
      </c>
      <c r="O21" s="921">
        <f>I21</f>
        <v>0</v>
      </c>
      <c r="P21" s="1246"/>
      <c r="Q21" s="1246"/>
      <c r="R21" s="1246"/>
      <c r="S21" s="297">
        <f t="shared" ref="S21:S31" si="0">O21+P21-Q21+SUM(R21:R21)</f>
        <v>0</v>
      </c>
      <c r="T21" s="297">
        <f t="shared" ref="T21:T37" si="1">N21</f>
        <v>0</v>
      </c>
      <c r="U21" s="1246"/>
      <c r="V21" s="1246"/>
      <c r="W21" s="1246"/>
      <c r="X21" s="1247">
        <f>T21+U21-V21+W21</f>
        <v>0</v>
      </c>
      <c r="Y21" s="922">
        <f>S21</f>
        <v>0</v>
      </c>
      <c r="Z21" s="1246"/>
      <c r="AA21" s="1246"/>
      <c r="AB21" s="1246"/>
      <c r="AC21" s="297">
        <f>Y21+Z21-AA21+SUM(AB21:AB21)</f>
        <v>0</v>
      </c>
      <c r="AD21" s="1248">
        <f t="shared" ref="AD21:AD37" si="2">X21</f>
        <v>0</v>
      </c>
      <c r="AE21" s="1246"/>
      <c r="AF21" s="1246"/>
      <c r="AG21" s="1246"/>
      <c r="AH21" s="1247">
        <f>AD21+AE21-AF21+AG21</f>
        <v>0</v>
      </c>
      <c r="AI21" s="922">
        <f t="shared" ref="AI21:AI37" si="3">AC21</f>
        <v>0</v>
      </c>
      <c r="AJ21" s="1246"/>
      <c r="AK21" s="1246"/>
      <c r="AL21" s="1249"/>
      <c r="AM21" s="297">
        <f t="shared" ref="AM21:AM37" si="4">AI21+AJ21-AK21+SUM(AL21:AL21)</f>
        <v>0</v>
      </c>
      <c r="AN21" s="1248">
        <f t="shared" ref="AN21:AN37" si="5">AH21</f>
        <v>0</v>
      </c>
      <c r="AO21" s="1246"/>
      <c r="AP21" s="1246"/>
      <c r="AQ21" s="1249"/>
      <c r="AR21" s="1247">
        <f>AN21+AO21-AP21+AQ21</f>
        <v>0</v>
      </c>
      <c r="AS21" s="922">
        <f t="shared" ref="AS21:AS37" si="6">AM21</f>
        <v>0</v>
      </c>
      <c r="AT21" s="1250"/>
      <c r="AU21" s="1246"/>
      <c r="AV21" s="1032">
        <v>838844.21000000089</v>
      </c>
      <c r="AW21" s="297">
        <f t="shared" ref="AW21:AW37" si="7">AS21+AT21-AU21+SUM(AV21:AV21)</f>
        <v>838844.21000000089</v>
      </c>
      <c r="AX21" s="1248">
        <f t="shared" ref="AX21:AX37" si="8">AR21</f>
        <v>0</v>
      </c>
      <c r="AY21" s="1250"/>
      <c r="AZ21" s="1246"/>
      <c r="BA21" s="1032">
        <v>52892.939429415914</v>
      </c>
      <c r="BB21" s="297">
        <f>AX21+AY21-AZ21+BA21</f>
        <v>52892.939429415914</v>
      </c>
      <c r="BC21" s="922">
        <f t="shared" ref="BC21:BC37" si="9">AW21</f>
        <v>838844.21000000089</v>
      </c>
      <c r="BD21" s="1251">
        <v>432535.35</v>
      </c>
      <c r="BE21" s="1032">
        <v>456990.46000000089</v>
      </c>
      <c r="BF21" s="1252"/>
      <c r="BG21" s="297">
        <f t="shared" ref="BG21:BG37" si="10">BC21+BD21-BE21+SUM(BF21:BF21)</f>
        <v>814389.10000000009</v>
      </c>
      <c r="BH21" s="1248">
        <f t="shared" ref="BH21:BH37" si="11">BB21</f>
        <v>52892.939429415914</v>
      </c>
      <c r="BI21" s="1251">
        <v>31680.707902333284</v>
      </c>
      <c r="BJ21" s="1032">
        <v>43253.607331749241</v>
      </c>
      <c r="BK21" s="1252"/>
      <c r="BL21" s="1247">
        <f>BH21+BI21-BJ21+BK21</f>
        <v>41320.039999999964</v>
      </c>
      <c r="BM21" s="1253">
        <v>381854</v>
      </c>
      <c r="BN21" s="1253">
        <v>33741</v>
      </c>
      <c r="BO21" s="1248">
        <f>BG21-BM21</f>
        <v>432535.10000000009</v>
      </c>
      <c r="BP21" s="311">
        <f>BL21-BN21</f>
        <v>7579.0399999999645</v>
      </c>
      <c r="BQ21" s="326">
        <v>14981.895288333322</v>
      </c>
      <c r="BR21" s="1253"/>
      <c r="BS21" s="322">
        <f>BP21+BQ21+BR21</f>
        <v>22560.935288333287</v>
      </c>
      <c r="BT21" s="1254">
        <f>SUM(BO21:BR21)</f>
        <v>455096.03528833337</v>
      </c>
      <c r="BU21" s="297"/>
      <c r="BV21" s="416">
        <v>855709.14</v>
      </c>
      <c r="BW21" s="796">
        <f t="shared" ref="BW21:BW37" si="12">ROUND(BV21-SUM(BG21,BL21),2)</f>
        <v>0</v>
      </c>
      <c r="BX21" s="487" t="str">
        <f>IF(ABS(BW21)&gt;1,"Please provide an explanation of the variance in the Manager's Summary","")</f>
        <v/>
      </c>
      <c r="BY21" s="49"/>
      <c r="BZ21" s="49"/>
      <c r="CA21" s="49"/>
      <c r="CB21" s="49"/>
    </row>
    <row r="22" spans="3:80" thickBot="1" x14ac:dyDescent="0.25">
      <c r="C22" s="301" t="s">
        <v>139</v>
      </c>
      <c r="D22" s="1244">
        <v>1551</v>
      </c>
      <c r="E22" s="1245"/>
      <c r="F22" s="1246"/>
      <c r="G22" s="1246"/>
      <c r="H22" s="1246"/>
      <c r="I22" s="297">
        <f>E22+F22-G22+H22</f>
        <v>0</v>
      </c>
      <c r="J22" s="1246"/>
      <c r="K22" s="1246"/>
      <c r="L22" s="1246"/>
      <c r="M22" s="1246"/>
      <c r="N22" s="297">
        <f>J22+K22-L22+M22</f>
        <v>0</v>
      </c>
      <c r="O22" s="921">
        <f>I22</f>
        <v>0</v>
      </c>
      <c r="P22" s="1246"/>
      <c r="Q22" s="1246"/>
      <c r="R22" s="1246"/>
      <c r="S22" s="297">
        <f t="shared" si="0"/>
        <v>0</v>
      </c>
      <c r="T22" s="297">
        <f t="shared" si="1"/>
        <v>0</v>
      </c>
      <c r="U22" s="1246"/>
      <c r="V22" s="1246"/>
      <c r="W22" s="1246"/>
      <c r="X22" s="1247">
        <f>T22+U22-V22+W22</f>
        <v>0</v>
      </c>
      <c r="Y22" s="922">
        <f t="shared" ref="Y22:Y37" si="13">S22</f>
        <v>0</v>
      </c>
      <c r="Z22" s="1246"/>
      <c r="AA22" s="1246"/>
      <c r="AB22" s="1246"/>
      <c r="AC22" s="297">
        <f>Y22+Z22-AA22+SUM(AB22:AB22)</f>
        <v>0</v>
      </c>
      <c r="AD22" s="1248">
        <f>X22</f>
        <v>0</v>
      </c>
      <c r="AE22" s="1246"/>
      <c r="AF22" s="1255"/>
      <c r="AG22" s="1256"/>
      <c r="AH22" s="1247">
        <f>AD22+AE22-AF22+AG22</f>
        <v>0</v>
      </c>
      <c r="AI22" s="922">
        <f t="shared" si="3"/>
        <v>0</v>
      </c>
      <c r="AJ22" s="1246"/>
      <c r="AK22" s="1246"/>
      <c r="AL22" s="1257"/>
      <c r="AM22" s="297">
        <f t="shared" si="4"/>
        <v>0</v>
      </c>
      <c r="AN22" s="1248">
        <f t="shared" si="5"/>
        <v>0</v>
      </c>
      <c r="AO22" s="1246"/>
      <c r="AP22" s="1255"/>
      <c r="AQ22" s="1257"/>
      <c r="AR22" s="1247">
        <f>AN22+AO22-AP22+AQ22</f>
        <v>0</v>
      </c>
      <c r="AS22" s="922">
        <f t="shared" si="6"/>
        <v>0</v>
      </c>
      <c r="AT22" s="1258"/>
      <c r="AU22" s="1246"/>
      <c r="AV22" s="1032">
        <v>-3628663.7698856005</v>
      </c>
      <c r="AW22" s="297">
        <f t="shared" si="7"/>
        <v>-3628663.7698856005</v>
      </c>
      <c r="AX22" s="1248">
        <f t="shared" si="8"/>
        <v>0</v>
      </c>
      <c r="AY22" s="1258"/>
      <c r="AZ22" s="1255"/>
      <c r="BA22" s="885">
        <v>-85393.784039632097</v>
      </c>
      <c r="BB22" s="297">
        <f>AX22+AY22-AZ22+BA22</f>
        <v>-85393.784039632097</v>
      </c>
      <c r="BC22" s="922">
        <f t="shared" si="9"/>
        <v>-3628663.7698856005</v>
      </c>
      <c r="BD22" s="1251">
        <v>-624371.90000000026</v>
      </c>
      <c r="BE22" s="1032">
        <v>-2142142</v>
      </c>
      <c r="BF22" s="1252"/>
      <c r="BG22" s="297">
        <f t="shared" si="10"/>
        <v>-2110893.6698856009</v>
      </c>
      <c r="BH22" s="1248">
        <f t="shared" si="11"/>
        <v>-85393.784039632097</v>
      </c>
      <c r="BI22" s="1251">
        <v>-99879.016074766769</v>
      </c>
      <c r="BJ22" s="884">
        <v>-103977</v>
      </c>
      <c r="BK22" s="327"/>
      <c r="BL22" s="1247">
        <f>BH22+BI22-BJ22+BK22</f>
        <v>-81295.80011439888</v>
      </c>
      <c r="BM22" s="1253">
        <v>-1486522</v>
      </c>
      <c r="BN22" s="1253">
        <v>-75366</v>
      </c>
      <c r="BO22" s="1248">
        <f t="shared" ref="BO22:BO37" si="14">BG22-BM22</f>
        <v>-624371.66988560092</v>
      </c>
      <c r="BP22" s="311">
        <f t="shared" ref="BP22:BP37" si="15">BL22-BN22</f>
        <v>-5929.8001143988804</v>
      </c>
      <c r="BQ22" s="326">
        <v>-24988.506433985589</v>
      </c>
      <c r="BR22" s="1253"/>
      <c r="BS22" s="322">
        <f t="shared" ref="BS22:BS37" si="16">BP22+BQ22+BR22</f>
        <v>-30918.306548384469</v>
      </c>
      <c r="BT22" s="1254">
        <f>SUM(BO22:BR22)</f>
        <v>-655289.97643398528</v>
      </c>
      <c r="BU22" s="297"/>
      <c r="BV22" s="416">
        <v>-2192189.4700000002</v>
      </c>
      <c r="BW22" s="796">
        <f t="shared" si="12"/>
        <v>0</v>
      </c>
      <c r="BX22" s="487" t="str">
        <f t="shared" ref="BX22:BX46" si="17">IF(ABS(BW22)&gt;1,"Please provide an explanation of the variance in the Manager's Summary","")</f>
        <v/>
      </c>
      <c r="BY22" s="49"/>
      <c r="BZ22" s="49"/>
      <c r="CA22" s="49"/>
      <c r="CB22" s="49"/>
    </row>
    <row r="23" spans="3:80" ht="17.25" thickBot="1" x14ac:dyDescent="0.25">
      <c r="C23" s="301" t="s">
        <v>140</v>
      </c>
      <c r="D23" s="1244">
        <v>1580</v>
      </c>
      <c r="E23" s="1245"/>
      <c r="F23" s="1246"/>
      <c r="G23" s="1246"/>
      <c r="H23" s="1246"/>
      <c r="I23" s="297">
        <f t="shared" ref="I23:I37" si="18">E23+F23-G23+H23</f>
        <v>0</v>
      </c>
      <c r="J23" s="1246"/>
      <c r="K23" s="1246"/>
      <c r="L23" s="1246"/>
      <c r="M23" s="1246"/>
      <c r="N23" s="297">
        <f t="shared" ref="N23:N37" si="19">J23+K23-L23+M23</f>
        <v>0</v>
      </c>
      <c r="O23" s="921">
        <f t="shared" ref="O23:O37" si="20">I23</f>
        <v>0</v>
      </c>
      <c r="P23" s="1246"/>
      <c r="Q23" s="1246"/>
      <c r="R23" s="1246"/>
      <c r="S23" s="297">
        <f t="shared" si="0"/>
        <v>0</v>
      </c>
      <c r="T23" s="297">
        <f t="shared" si="1"/>
        <v>0</v>
      </c>
      <c r="U23" s="1246"/>
      <c r="V23" s="1246"/>
      <c r="W23" s="1246"/>
      <c r="X23" s="1247">
        <f t="shared" ref="X23:X37" si="21">T23+U23-V23+W23</f>
        <v>0</v>
      </c>
      <c r="Y23" s="922">
        <f t="shared" si="13"/>
        <v>0</v>
      </c>
      <c r="Z23" s="1246"/>
      <c r="AA23" s="1246"/>
      <c r="AB23" s="1246"/>
      <c r="AC23" s="297">
        <f t="shared" ref="AC23:AC31" si="22">Y23+Z23-AA23+SUM(AB23:AB23)</f>
        <v>0</v>
      </c>
      <c r="AD23" s="1248">
        <f t="shared" si="2"/>
        <v>0</v>
      </c>
      <c r="AE23" s="1246"/>
      <c r="AF23" s="1246"/>
      <c r="AG23" s="1246"/>
      <c r="AH23" s="1247">
        <f t="shared" ref="AH23:AH37" si="23">AD23+AE23-AF23+AG23</f>
        <v>0</v>
      </c>
      <c r="AI23" s="922">
        <f t="shared" si="3"/>
        <v>0</v>
      </c>
      <c r="AJ23" s="1246"/>
      <c r="AK23" s="1246"/>
      <c r="AL23" s="1259"/>
      <c r="AM23" s="297">
        <f t="shared" si="4"/>
        <v>0</v>
      </c>
      <c r="AN23" s="1248">
        <f t="shared" si="5"/>
        <v>0</v>
      </c>
      <c r="AO23" s="1246"/>
      <c r="AP23" s="1246"/>
      <c r="AQ23" s="1259"/>
      <c r="AR23" s="1247">
        <f t="shared" ref="AR23:AR37" si="24">AN23+AO23-AP23+AQ23</f>
        <v>0</v>
      </c>
      <c r="AS23" s="922">
        <f t="shared" si="6"/>
        <v>0</v>
      </c>
      <c r="AT23" s="1250"/>
      <c r="AU23" s="1246"/>
      <c r="AV23" s="1032">
        <v>27993230.117229663</v>
      </c>
      <c r="AW23" s="297">
        <f t="shared" si="7"/>
        <v>27993230.117229663</v>
      </c>
      <c r="AX23" s="1248">
        <f t="shared" si="8"/>
        <v>0</v>
      </c>
      <c r="AY23" s="1250"/>
      <c r="AZ23" s="1246"/>
      <c r="BA23" s="1032">
        <v>3325966.3602827089</v>
      </c>
      <c r="BB23" s="297">
        <f t="shared" ref="BB23:BB37" si="25">AX23+AY23-AZ23+BA23</f>
        <v>3325966.3602827089</v>
      </c>
      <c r="BC23" s="922">
        <f t="shared" si="9"/>
        <v>27993230.117229663</v>
      </c>
      <c r="BD23" s="1251">
        <v>-7382028.8699999992</v>
      </c>
      <c r="BE23" s="1032">
        <v>52044467.107229732</v>
      </c>
      <c r="BF23" s="1252"/>
      <c r="BG23" s="297">
        <f t="shared" si="10"/>
        <v>-31433265.860000066</v>
      </c>
      <c r="BH23" s="1248">
        <f t="shared" si="11"/>
        <v>3325966.3602827089</v>
      </c>
      <c r="BI23" s="1251">
        <v>-918356.24204601813</v>
      </c>
      <c r="BJ23" s="1032">
        <v>3517839.9782366217</v>
      </c>
      <c r="BK23" s="1252"/>
      <c r="BL23" s="1247">
        <f t="shared" ref="BL23:BL37" si="26">BH23+BI23-BJ23+BK23</f>
        <v>-1110229.859999931</v>
      </c>
      <c r="BM23" s="1253">
        <v>-24051237</v>
      </c>
      <c r="BN23" s="1253">
        <f>-1091624</f>
        <v>-1091624</v>
      </c>
      <c r="BO23" s="1248">
        <f t="shared" si="14"/>
        <v>-7382028.8600000665</v>
      </c>
      <c r="BP23" s="311">
        <f t="shared" si="15"/>
        <v>-18605.859999930952</v>
      </c>
      <c r="BQ23" s="326">
        <v>-276518.16506417358</v>
      </c>
      <c r="BR23" s="1253"/>
      <c r="BS23" s="322">
        <f t="shared" si="16"/>
        <v>-295124.02506410453</v>
      </c>
      <c r="BT23" s="1254">
        <f>SUM(BO23:BR23)</f>
        <v>-7677152.8850641707</v>
      </c>
      <c r="BU23" s="297"/>
      <c r="BV23" s="416">
        <v>-21170716.07</v>
      </c>
      <c r="BW23" s="796">
        <f t="shared" si="12"/>
        <v>11372779.65</v>
      </c>
      <c r="BX23" s="487" t="str">
        <f>IF(ROUND(BW23,0)=ROUND(BV25,0),"","The variance does not match the value in cell BV25. Please provide an explanation of the variance in the Manager's Summary")</f>
        <v/>
      </c>
      <c r="BY23" s="49"/>
      <c r="BZ23" s="49"/>
      <c r="CA23" s="49"/>
      <c r="CB23" s="49"/>
    </row>
    <row r="24" spans="3:80" ht="17.25" thickBot="1" x14ac:dyDescent="0.25">
      <c r="C24" s="301" t="s">
        <v>141</v>
      </c>
      <c r="D24" s="1244">
        <v>1580</v>
      </c>
      <c r="E24" s="1245"/>
      <c r="F24" s="1246"/>
      <c r="G24" s="1246"/>
      <c r="H24" s="1246"/>
      <c r="I24" s="297">
        <f t="shared" si="18"/>
        <v>0</v>
      </c>
      <c r="J24" s="1246"/>
      <c r="K24" s="1246"/>
      <c r="L24" s="1246"/>
      <c r="M24" s="1246"/>
      <c r="N24" s="297">
        <f t="shared" si="19"/>
        <v>0</v>
      </c>
      <c r="O24" s="921">
        <f t="shared" si="20"/>
        <v>0</v>
      </c>
      <c r="P24" s="1246"/>
      <c r="Q24" s="1246"/>
      <c r="R24" s="1246"/>
      <c r="S24" s="297">
        <f t="shared" si="0"/>
        <v>0</v>
      </c>
      <c r="T24" s="297">
        <f t="shared" si="1"/>
        <v>0</v>
      </c>
      <c r="U24" s="1246"/>
      <c r="V24" s="1246"/>
      <c r="W24" s="1246"/>
      <c r="X24" s="1247">
        <f t="shared" si="21"/>
        <v>0</v>
      </c>
      <c r="Y24" s="922">
        <f t="shared" si="13"/>
        <v>0</v>
      </c>
      <c r="Z24" s="1246"/>
      <c r="AA24" s="1246"/>
      <c r="AB24" s="1246"/>
      <c r="AC24" s="297">
        <f t="shared" si="22"/>
        <v>0</v>
      </c>
      <c r="AD24" s="1248">
        <f t="shared" si="2"/>
        <v>0</v>
      </c>
      <c r="AE24" s="1246"/>
      <c r="AF24" s="1246"/>
      <c r="AG24" s="1246"/>
      <c r="AH24" s="1247">
        <f t="shared" si="23"/>
        <v>0</v>
      </c>
      <c r="AI24" s="922">
        <f t="shared" si="3"/>
        <v>0</v>
      </c>
      <c r="AJ24" s="1246"/>
      <c r="AK24" s="1246"/>
      <c r="AL24" s="1246"/>
      <c r="AM24" s="297">
        <f t="shared" si="4"/>
        <v>0</v>
      </c>
      <c r="AN24" s="1248">
        <f t="shared" si="5"/>
        <v>0</v>
      </c>
      <c r="AO24" s="1246"/>
      <c r="AP24" s="1246"/>
      <c r="AQ24" s="1246"/>
      <c r="AR24" s="1247">
        <f t="shared" si="24"/>
        <v>0</v>
      </c>
      <c r="AS24" s="922">
        <f t="shared" si="6"/>
        <v>0</v>
      </c>
      <c r="AT24" s="1246"/>
      <c r="AU24" s="1246"/>
      <c r="AV24" s="1032">
        <v>0</v>
      </c>
      <c r="AW24" s="297">
        <f t="shared" si="7"/>
        <v>0</v>
      </c>
      <c r="AX24" s="1248">
        <f t="shared" si="8"/>
        <v>0</v>
      </c>
      <c r="AY24" s="1246"/>
      <c r="AZ24" s="1246"/>
      <c r="BA24" s="1032">
        <v>0</v>
      </c>
      <c r="BB24" s="297">
        <f t="shared" si="25"/>
        <v>0</v>
      </c>
      <c r="BC24" s="922">
        <f t="shared" si="9"/>
        <v>0</v>
      </c>
      <c r="BD24" s="1032"/>
      <c r="BE24" s="1032"/>
      <c r="BF24" s="1252"/>
      <c r="BG24" s="297">
        <f>BC24+BD24-BE24+SUM(BF24:BF24)</f>
        <v>0</v>
      </c>
      <c r="BH24" s="1248">
        <f t="shared" si="11"/>
        <v>0</v>
      </c>
      <c r="BI24" s="1032"/>
      <c r="BJ24" s="1032"/>
      <c r="BK24" s="1252"/>
      <c r="BL24" s="1247">
        <f t="shared" si="26"/>
        <v>0</v>
      </c>
      <c r="BM24" s="1260"/>
      <c r="BN24" s="1252"/>
      <c r="BO24" s="1248">
        <f t="shared" si="14"/>
        <v>0</v>
      </c>
      <c r="BP24" s="311">
        <f t="shared" si="15"/>
        <v>0</v>
      </c>
      <c r="BQ24" s="325"/>
      <c r="BR24" s="1253"/>
      <c r="BS24" s="322">
        <f t="shared" si="16"/>
        <v>0</v>
      </c>
      <c r="BT24" s="1254">
        <f>IF(CB5=TRUE, 0, 0)</f>
        <v>0</v>
      </c>
      <c r="BU24" s="297"/>
      <c r="BV24" s="416">
        <v>0</v>
      </c>
      <c r="BW24" s="796">
        <f t="shared" si="12"/>
        <v>0</v>
      </c>
      <c r="BX24" s="487" t="str">
        <f t="shared" si="17"/>
        <v/>
      </c>
      <c r="BY24" s="49"/>
      <c r="BZ24" s="49"/>
      <c r="CA24" s="49"/>
      <c r="CB24" s="49"/>
    </row>
    <row r="25" spans="3:80" ht="17.25" thickBot="1" x14ac:dyDescent="0.25">
      <c r="C25" s="301" t="s">
        <v>142</v>
      </c>
      <c r="D25" s="1244">
        <v>1580</v>
      </c>
      <c r="E25" s="1245"/>
      <c r="F25" s="1246"/>
      <c r="G25" s="1246"/>
      <c r="H25" s="1246"/>
      <c r="I25" s="297">
        <f t="shared" si="18"/>
        <v>0</v>
      </c>
      <c r="J25" s="1246"/>
      <c r="K25" s="1246"/>
      <c r="L25" s="1246"/>
      <c r="M25" s="1246"/>
      <c r="N25" s="297">
        <f t="shared" si="19"/>
        <v>0</v>
      </c>
      <c r="O25" s="921">
        <f t="shared" si="20"/>
        <v>0</v>
      </c>
      <c r="P25" s="1246"/>
      <c r="Q25" s="1246"/>
      <c r="R25" s="1246"/>
      <c r="S25" s="297">
        <f t="shared" si="0"/>
        <v>0</v>
      </c>
      <c r="T25" s="297">
        <f t="shared" si="1"/>
        <v>0</v>
      </c>
      <c r="U25" s="1246"/>
      <c r="V25" s="1246"/>
      <c r="W25" s="1246"/>
      <c r="X25" s="1247">
        <f t="shared" si="21"/>
        <v>0</v>
      </c>
      <c r="Y25" s="922">
        <f t="shared" si="13"/>
        <v>0</v>
      </c>
      <c r="Z25" s="1246"/>
      <c r="AA25" s="1246"/>
      <c r="AB25" s="1246"/>
      <c r="AC25" s="297">
        <f t="shared" si="22"/>
        <v>0</v>
      </c>
      <c r="AD25" s="1248">
        <f t="shared" si="2"/>
        <v>0</v>
      </c>
      <c r="AE25" s="1246"/>
      <c r="AF25" s="1246"/>
      <c r="AG25" s="1246"/>
      <c r="AH25" s="1247">
        <f t="shared" si="23"/>
        <v>0</v>
      </c>
      <c r="AI25" s="922">
        <f t="shared" si="3"/>
        <v>0</v>
      </c>
      <c r="AJ25" s="1246"/>
      <c r="AK25" s="1246"/>
      <c r="AL25" s="1246"/>
      <c r="AM25" s="297">
        <f t="shared" si="4"/>
        <v>0</v>
      </c>
      <c r="AN25" s="1248">
        <f t="shared" si="5"/>
        <v>0</v>
      </c>
      <c r="AO25" s="1246"/>
      <c r="AP25" s="1246"/>
      <c r="AQ25" s="1246"/>
      <c r="AR25" s="1247">
        <f t="shared" si="24"/>
        <v>0</v>
      </c>
      <c r="AS25" s="922">
        <f t="shared" si="6"/>
        <v>0</v>
      </c>
      <c r="AT25" s="1246"/>
      <c r="AU25" s="1246"/>
      <c r="AV25" s="1032">
        <v>843155.91000000108</v>
      </c>
      <c r="AW25" s="297">
        <f t="shared" si="7"/>
        <v>843155.91000000108</v>
      </c>
      <c r="AX25" s="1248">
        <f t="shared" si="8"/>
        <v>0</v>
      </c>
      <c r="AY25" s="1246"/>
      <c r="AZ25" s="1246"/>
      <c r="BA25" s="1032">
        <v>-193343.48206341758</v>
      </c>
      <c r="BB25" s="297">
        <f t="shared" si="25"/>
        <v>-193343.48206341758</v>
      </c>
      <c r="BC25" s="922">
        <f t="shared" si="9"/>
        <v>843155.91000000108</v>
      </c>
      <c r="BD25" s="1032">
        <v>8263783.6899999995</v>
      </c>
      <c r="BE25" s="1032">
        <v>-2086635.8399999989</v>
      </c>
      <c r="BF25" s="1252"/>
      <c r="BG25" s="297">
        <f t="shared" si="10"/>
        <v>11193575.440000001</v>
      </c>
      <c r="BH25" s="1248">
        <f t="shared" si="11"/>
        <v>-193343.48206341758</v>
      </c>
      <c r="BI25" s="1032">
        <v>197714.68272783322</v>
      </c>
      <c r="BJ25" s="1032">
        <v>-174833.00933558401</v>
      </c>
      <c r="BK25" s="1252"/>
      <c r="BL25" s="1247">
        <f t="shared" si="26"/>
        <v>179204.20999999964</v>
      </c>
      <c r="BM25" s="1260">
        <v>2929792</v>
      </c>
      <c r="BN25" s="1252">
        <v>156041</v>
      </c>
      <c r="BO25" s="1248">
        <f t="shared" si="14"/>
        <v>8263783.4400000013</v>
      </c>
      <c r="BP25" s="311">
        <f t="shared" si="15"/>
        <v>23163.209999999643</v>
      </c>
      <c r="BQ25" s="326">
        <v>269609.41588533332</v>
      </c>
      <c r="BR25" s="1253"/>
      <c r="BS25" s="322">
        <f t="shared" si="16"/>
        <v>292772.62588533293</v>
      </c>
      <c r="BT25" s="1254">
        <f>SUM(BO25:BR25)</f>
        <v>8556556.0658853352</v>
      </c>
      <c r="BU25" s="297"/>
      <c r="BV25" s="416">
        <v>11372779.65</v>
      </c>
      <c r="BW25" s="796">
        <f t="shared" si="12"/>
        <v>0</v>
      </c>
      <c r="BX25" s="487" t="str">
        <f t="shared" si="17"/>
        <v/>
      </c>
      <c r="BY25" s="49"/>
      <c r="BZ25" s="49"/>
      <c r="CA25" s="49"/>
      <c r="CB25" s="49"/>
    </row>
    <row r="26" spans="3:80" thickBot="1" x14ac:dyDescent="0.25">
      <c r="C26" s="301" t="s">
        <v>143</v>
      </c>
      <c r="D26" s="1244">
        <v>1584</v>
      </c>
      <c r="E26" s="1245"/>
      <c r="F26" s="1246"/>
      <c r="G26" s="1246"/>
      <c r="H26" s="1246"/>
      <c r="I26" s="297">
        <f t="shared" si="18"/>
        <v>0</v>
      </c>
      <c r="J26" s="1246"/>
      <c r="K26" s="1246"/>
      <c r="L26" s="1246"/>
      <c r="M26" s="1246"/>
      <c r="N26" s="297">
        <f t="shared" si="19"/>
        <v>0</v>
      </c>
      <c r="O26" s="921">
        <f t="shared" si="20"/>
        <v>0</v>
      </c>
      <c r="P26" s="1246"/>
      <c r="Q26" s="1246"/>
      <c r="R26" s="1246"/>
      <c r="S26" s="297">
        <f t="shared" si="0"/>
        <v>0</v>
      </c>
      <c r="T26" s="297">
        <f t="shared" si="1"/>
        <v>0</v>
      </c>
      <c r="U26" s="1246"/>
      <c r="V26" s="1246"/>
      <c r="W26" s="1246"/>
      <c r="X26" s="1247">
        <f t="shared" si="21"/>
        <v>0</v>
      </c>
      <c r="Y26" s="922">
        <f t="shared" si="13"/>
        <v>0</v>
      </c>
      <c r="Z26" s="1246"/>
      <c r="AA26" s="1246"/>
      <c r="AB26" s="1246"/>
      <c r="AC26" s="297">
        <f t="shared" si="22"/>
        <v>0</v>
      </c>
      <c r="AD26" s="1248">
        <f t="shared" si="2"/>
        <v>0</v>
      </c>
      <c r="AE26" s="1246"/>
      <c r="AF26" s="1246"/>
      <c r="AG26" s="1246"/>
      <c r="AH26" s="1247">
        <f t="shared" si="23"/>
        <v>0</v>
      </c>
      <c r="AI26" s="922">
        <f t="shared" si="3"/>
        <v>0</v>
      </c>
      <c r="AJ26" s="1246"/>
      <c r="AK26" s="1246"/>
      <c r="AL26" s="1261"/>
      <c r="AM26" s="297">
        <f t="shared" si="4"/>
        <v>0</v>
      </c>
      <c r="AN26" s="1248">
        <f t="shared" si="5"/>
        <v>0</v>
      </c>
      <c r="AO26" s="1246"/>
      <c r="AP26" s="1246"/>
      <c r="AQ26" s="1261"/>
      <c r="AR26" s="1247">
        <f t="shared" si="24"/>
        <v>0</v>
      </c>
      <c r="AS26" s="922">
        <f t="shared" si="6"/>
        <v>0</v>
      </c>
      <c r="AT26" s="1262"/>
      <c r="AU26" s="1246"/>
      <c r="AV26" s="1032">
        <v>56026870.656302296</v>
      </c>
      <c r="AW26" s="297">
        <f t="shared" si="7"/>
        <v>56026870.656302296</v>
      </c>
      <c r="AX26" s="1248">
        <f t="shared" si="8"/>
        <v>0</v>
      </c>
      <c r="AY26" s="1262"/>
      <c r="AZ26" s="1246"/>
      <c r="BA26" s="1032">
        <v>3360337.3752272334</v>
      </c>
      <c r="BB26" s="297">
        <f t="shared" si="25"/>
        <v>3360337.3752272334</v>
      </c>
      <c r="BC26" s="922">
        <f t="shared" si="9"/>
        <v>56026870.656302296</v>
      </c>
      <c r="BD26" s="1251">
        <v>21880941.609999999</v>
      </c>
      <c r="BE26" s="1032">
        <v>35362034.966302298</v>
      </c>
      <c r="BF26" s="1252"/>
      <c r="BG26" s="297">
        <f t="shared" si="10"/>
        <v>42545777.29999999</v>
      </c>
      <c r="BH26" s="1248">
        <f t="shared" si="11"/>
        <v>3360337.3752272334</v>
      </c>
      <c r="BI26" s="1251">
        <v>1591208.3090689327</v>
      </c>
      <c r="BJ26" s="1032">
        <v>2831212.9342961507</v>
      </c>
      <c r="BK26" s="1252"/>
      <c r="BL26" s="1247">
        <f t="shared" si="26"/>
        <v>2120332.7500000158</v>
      </c>
      <c r="BM26" s="1253">
        <v>20664836</v>
      </c>
      <c r="BN26" s="1253">
        <v>1814392</v>
      </c>
      <c r="BO26" s="1248">
        <f t="shared" si="14"/>
        <v>21880941.29999999</v>
      </c>
      <c r="BP26" s="311">
        <f t="shared" si="15"/>
        <v>305940.75000001583</v>
      </c>
      <c r="BQ26" s="326">
        <v>756160.81580366159</v>
      </c>
      <c r="BR26" s="1253"/>
      <c r="BS26" s="322">
        <f t="shared" si="16"/>
        <v>1062101.5658036773</v>
      </c>
      <c r="BT26" s="1254">
        <f>SUM(BO26:BR26)</f>
        <v>22943042.865803666</v>
      </c>
      <c r="BU26" s="297"/>
      <c r="BV26" s="416">
        <v>44666110.049999997</v>
      </c>
      <c r="BW26" s="796">
        <f t="shared" si="12"/>
        <v>0</v>
      </c>
      <c r="BX26" s="487" t="str">
        <f t="shared" si="17"/>
        <v/>
      </c>
      <c r="BY26" s="49"/>
      <c r="BZ26" s="49"/>
      <c r="CA26" s="49"/>
      <c r="CB26" s="49"/>
    </row>
    <row r="27" spans="3:80" thickBot="1" x14ac:dyDescent="0.25">
      <c r="C27" s="302" t="s">
        <v>144</v>
      </c>
      <c r="D27" s="1244">
        <v>1586</v>
      </c>
      <c r="E27" s="1245"/>
      <c r="F27" s="1246"/>
      <c r="G27" s="1246"/>
      <c r="H27" s="1246"/>
      <c r="I27" s="297">
        <f t="shared" si="18"/>
        <v>0</v>
      </c>
      <c r="J27" s="1246"/>
      <c r="K27" s="1246"/>
      <c r="L27" s="1246"/>
      <c r="M27" s="1246"/>
      <c r="N27" s="297">
        <f t="shared" si="19"/>
        <v>0</v>
      </c>
      <c r="O27" s="922">
        <f t="shared" si="20"/>
        <v>0</v>
      </c>
      <c r="P27" s="1246"/>
      <c r="Q27" s="1246"/>
      <c r="R27" s="1246"/>
      <c r="S27" s="297">
        <f t="shared" si="0"/>
        <v>0</v>
      </c>
      <c r="T27" s="297">
        <f t="shared" si="1"/>
        <v>0</v>
      </c>
      <c r="U27" s="1246"/>
      <c r="V27" s="1246"/>
      <c r="W27" s="1246"/>
      <c r="X27" s="1247">
        <f t="shared" si="21"/>
        <v>0</v>
      </c>
      <c r="Y27" s="922">
        <f t="shared" si="13"/>
        <v>0</v>
      </c>
      <c r="Z27" s="1246"/>
      <c r="AA27" s="1246"/>
      <c r="AB27" s="1246"/>
      <c r="AC27" s="297">
        <f t="shared" si="22"/>
        <v>0</v>
      </c>
      <c r="AD27" s="1248">
        <f t="shared" si="2"/>
        <v>0</v>
      </c>
      <c r="AE27" s="1246"/>
      <c r="AF27" s="1246"/>
      <c r="AG27" s="1246"/>
      <c r="AH27" s="1247">
        <f t="shared" si="23"/>
        <v>0</v>
      </c>
      <c r="AI27" s="922">
        <f t="shared" si="3"/>
        <v>0</v>
      </c>
      <c r="AJ27" s="1246"/>
      <c r="AK27" s="1246"/>
      <c r="AL27" s="1261"/>
      <c r="AM27" s="297">
        <f t="shared" si="4"/>
        <v>0</v>
      </c>
      <c r="AN27" s="1248">
        <f t="shared" si="5"/>
        <v>0</v>
      </c>
      <c r="AO27" s="1246"/>
      <c r="AP27" s="1246"/>
      <c r="AQ27" s="1261"/>
      <c r="AR27" s="1247">
        <f t="shared" si="24"/>
        <v>0</v>
      </c>
      <c r="AS27" s="922">
        <f t="shared" si="6"/>
        <v>0</v>
      </c>
      <c r="AT27" s="1258"/>
      <c r="AU27" s="1246"/>
      <c r="AV27" s="1032">
        <v>38014265.221006237</v>
      </c>
      <c r="AW27" s="297">
        <f t="shared" si="7"/>
        <v>38014265.221006237</v>
      </c>
      <c r="AX27" s="1248">
        <f t="shared" si="8"/>
        <v>0</v>
      </c>
      <c r="AY27" s="1258"/>
      <c r="AZ27" s="1246"/>
      <c r="BA27" s="1032">
        <v>1697386.0550416729</v>
      </c>
      <c r="BB27" s="297">
        <f t="shared" si="25"/>
        <v>1697386.0550416729</v>
      </c>
      <c r="BC27" s="922">
        <f t="shared" si="9"/>
        <v>38014265.221006237</v>
      </c>
      <c r="BD27" s="1251">
        <v>5050978.6500000041</v>
      </c>
      <c r="BE27" s="1032">
        <v>17359200.38100623</v>
      </c>
      <c r="BF27" s="1252"/>
      <c r="BG27" s="297">
        <f t="shared" si="10"/>
        <v>25706043.490000013</v>
      </c>
      <c r="BH27" s="1248">
        <f t="shared" si="11"/>
        <v>1697386.0550416729</v>
      </c>
      <c r="BI27" s="1251">
        <v>1295437.3988842382</v>
      </c>
      <c r="BJ27" s="1032">
        <v>1127896.193925923</v>
      </c>
      <c r="BK27" s="1252"/>
      <c r="BL27" s="1247">
        <f t="shared" si="26"/>
        <v>1864927.2599999884</v>
      </c>
      <c r="BM27" s="1253">
        <v>20655065.221006237</v>
      </c>
      <c r="BN27" s="1253">
        <v>1781886</v>
      </c>
      <c r="BO27" s="1248">
        <f t="shared" si="14"/>
        <v>5050978.2689937763</v>
      </c>
      <c r="BP27" s="311">
        <f t="shared" si="15"/>
        <v>83041.259999988368</v>
      </c>
      <c r="BQ27" s="326">
        <v>222012.06093005885</v>
      </c>
      <c r="BR27" s="1253"/>
      <c r="BS27" s="322">
        <f t="shared" si="16"/>
        <v>305053.32093004719</v>
      </c>
      <c r="BT27" s="1254">
        <f>SUM(BO27:BR27)</f>
        <v>5356031.5899238242</v>
      </c>
      <c r="BU27" s="297"/>
      <c r="BV27" s="416">
        <v>27570970.75</v>
      </c>
      <c r="BW27" s="796">
        <f t="shared" si="12"/>
        <v>0</v>
      </c>
      <c r="BX27" s="487" t="str">
        <f t="shared" si="17"/>
        <v/>
      </c>
      <c r="BY27" s="49"/>
      <c r="BZ27" s="49"/>
      <c r="CA27" s="49"/>
      <c r="CB27" s="49"/>
    </row>
    <row r="28" spans="3:80" ht="17.25" thickBot="1" x14ac:dyDescent="0.25">
      <c r="C28" s="303" t="s">
        <v>145</v>
      </c>
      <c r="D28" s="1244">
        <v>1588</v>
      </c>
      <c r="E28" s="1245"/>
      <c r="F28" s="1246"/>
      <c r="G28" s="1246"/>
      <c r="H28" s="1246"/>
      <c r="I28" s="297">
        <f t="shared" si="18"/>
        <v>0</v>
      </c>
      <c r="J28" s="1246"/>
      <c r="K28" s="1246"/>
      <c r="L28" s="1246"/>
      <c r="M28" s="1246"/>
      <c r="N28" s="297">
        <f t="shared" si="19"/>
        <v>0</v>
      </c>
      <c r="O28" s="922">
        <f t="shared" si="20"/>
        <v>0</v>
      </c>
      <c r="P28" s="1246"/>
      <c r="Q28" s="1246"/>
      <c r="R28" s="1246"/>
      <c r="S28" s="297">
        <f t="shared" si="0"/>
        <v>0</v>
      </c>
      <c r="T28" s="297">
        <f t="shared" si="1"/>
        <v>0</v>
      </c>
      <c r="U28" s="1246"/>
      <c r="V28" s="1246"/>
      <c r="W28" s="1246"/>
      <c r="X28" s="1247">
        <f t="shared" si="21"/>
        <v>0</v>
      </c>
      <c r="Y28" s="922">
        <f t="shared" si="13"/>
        <v>0</v>
      </c>
      <c r="Z28" s="1246"/>
      <c r="AA28" s="1246"/>
      <c r="AB28" s="1246"/>
      <c r="AC28" s="297">
        <f t="shared" si="22"/>
        <v>0</v>
      </c>
      <c r="AD28" s="1248">
        <f t="shared" si="2"/>
        <v>0</v>
      </c>
      <c r="AE28" s="1246"/>
      <c r="AF28" s="1246"/>
      <c r="AG28" s="1246"/>
      <c r="AH28" s="1247">
        <f t="shared" si="23"/>
        <v>0</v>
      </c>
      <c r="AI28" s="922">
        <f t="shared" si="3"/>
        <v>0</v>
      </c>
      <c r="AJ28" s="1246"/>
      <c r="AK28" s="1246"/>
      <c r="AL28" s="1261"/>
      <c r="AM28" s="297">
        <f t="shared" si="4"/>
        <v>0</v>
      </c>
      <c r="AN28" s="1248">
        <f t="shared" si="5"/>
        <v>0</v>
      </c>
      <c r="AO28" s="1246"/>
      <c r="AP28" s="1246"/>
      <c r="AQ28" s="1261"/>
      <c r="AR28" s="1247">
        <f t="shared" si="24"/>
        <v>0</v>
      </c>
      <c r="AS28" s="922">
        <f t="shared" si="6"/>
        <v>0</v>
      </c>
      <c r="AT28" s="1258"/>
      <c r="AU28" s="1246"/>
      <c r="AV28" s="1032">
        <v>35272948.084627807</v>
      </c>
      <c r="AW28" s="297">
        <f t="shared" si="7"/>
        <v>35272948.084627807</v>
      </c>
      <c r="AX28" s="1248">
        <f t="shared" si="8"/>
        <v>0</v>
      </c>
      <c r="AY28" s="1258"/>
      <c r="AZ28" s="1246"/>
      <c r="BA28" s="1032">
        <v>1763725.9040199942</v>
      </c>
      <c r="BB28" s="297">
        <f t="shared" si="25"/>
        <v>1763725.9040199942</v>
      </c>
      <c r="BC28" s="922">
        <f t="shared" si="9"/>
        <v>35272948.084627807</v>
      </c>
      <c r="BD28" s="1251">
        <v>14263655.899999972</v>
      </c>
      <c r="BE28" s="1032"/>
      <c r="BF28" s="1252">
        <v>-1518799.4521520138</v>
      </c>
      <c r="BG28" s="297">
        <f t="shared" si="10"/>
        <v>48017804.53247577</v>
      </c>
      <c r="BH28" s="1248">
        <f t="shared" si="11"/>
        <v>1763725.9040199942</v>
      </c>
      <c r="BI28" s="1251">
        <v>1908198.5531350966</v>
      </c>
      <c r="BJ28" s="1032"/>
      <c r="BK28" s="1252"/>
      <c r="BL28" s="1247">
        <f t="shared" si="26"/>
        <v>3671924.4571550908</v>
      </c>
      <c r="BM28" s="1253">
        <v>35272948</v>
      </c>
      <c r="BN28" s="1253">
        <v>3474260</v>
      </c>
      <c r="BO28" s="1248">
        <f t="shared" si="14"/>
        <v>12744856.53247577</v>
      </c>
      <c r="BP28" s="311">
        <f t="shared" si="15"/>
        <v>197664.45715509076</v>
      </c>
      <c r="BQ28" s="326">
        <v>418928.54793584615</v>
      </c>
      <c r="BR28" s="1253"/>
      <c r="BS28" s="322">
        <f t="shared" si="16"/>
        <v>616593.0050909369</v>
      </c>
      <c r="BT28" s="1254">
        <f>IF(BU28="Yes", SUM(BO28:BR28), 0)</f>
        <v>13361449.537566705</v>
      </c>
      <c r="BU28" s="590" t="s">
        <v>146</v>
      </c>
      <c r="BV28" s="416">
        <v>49812666.020000003</v>
      </c>
      <c r="BW28" s="796">
        <f t="shared" si="12"/>
        <v>-1877062.97</v>
      </c>
      <c r="BX28" s="487" t="str">
        <f t="shared" si="17"/>
        <v>Please provide an explanation of the variance in the Manager's Summary</v>
      </c>
      <c r="BY28" s="49"/>
      <c r="BZ28" s="49"/>
      <c r="CA28" s="49"/>
      <c r="CB28" s="49"/>
    </row>
    <row r="29" spans="3:80" ht="17.25" thickBot="1" x14ac:dyDescent="0.25">
      <c r="C29" s="303" t="s">
        <v>147</v>
      </c>
      <c r="D29" s="1244">
        <v>1589</v>
      </c>
      <c r="E29" s="1245"/>
      <c r="F29" s="1246"/>
      <c r="G29" s="1246"/>
      <c r="H29" s="1246"/>
      <c r="I29" s="297">
        <f t="shared" si="18"/>
        <v>0</v>
      </c>
      <c r="J29" s="1246"/>
      <c r="K29" s="1246"/>
      <c r="L29" s="1246"/>
      <c r="M29" s="1246"/>
      <c r="N29" s="297">
        <f t="shared" si="19"/>
        <v>0</v>
      </c>
      <c r="O29" s="922">
        <f t="shared" si="20"/>
        <v>0</v>
      </c>
      <c r="P29" s="1246"/>
      <c r="Q29" s="1246"/>
      <c r="R29" s="1246"/>
      <c r="S29" s="297">
        <f t="shared" si="0"/>
        <v>0</v>
      </c>
      <c r="T29" s="297">
        <f t="shared" si="1"/>
        <v>0</v>
      </c>
      <c r="U29" s="1246"/>
      <c r="V29" s="1246"/>
      <c r="W29" s="1246"/>
      <c r="X29" s="1247">
        <f t="shared" si="21"/>
        <v>0</v>
      </c>
      <c r="Y29" s="922">
        <f t="shared" si="13"/>
        <v>0</v>
      </c>
      <c r="Z29" s="1246"/>
      <c r="AA29" s="1246"/>
      <c r="AB29" s="1246"/>
      <c r="AC29" s="297">
        <f t="shared" si="22"/>
        <v>0</v>
      </c>
      <c r="AD29" s="1248">
        <f t="shared" si="2"/>
        <v>0</v>
      </c>
      <c r="AE29" s="1246"/>
      <c r="AF29" s="1246"/>
      <c r="AG29" s="1246"/>
      <c r="AH29" s="1247">
        <f t="shared" si="23"/>
        <v>0</v>
      </c>
      <c r="AI29" s="922">
        <f t="shared" si="3"/>
        <v>0</v>
      </c>
      <c r="AJ29" s="1246"/>
      <c r="AK29" s="1246"/>
      <c r="AL29" s="1261"/>
      <c r="AM29" s="297">
        <f t="shared" si="4"/>
        <v>0</v>
      </c>
      <c r="AN29" s="1248">
        <f t="shared" si="5"/>
        <v>0</v>
      </c>
      <c r="AO29" s="1246"/>
      <c r="AP29" s="1246"/>
      <c r="AQ29" s="1261"/>
      <c r="AR29" s="1247">
        <f t="shared" si="24"/>
        <v>0</v>
      </c>
      <c r="AS29" s="922">
        <f t="shared" si="6"/>
        <v>0</v>
      </c>
      <c r="AT29" s="1258"/>
      <c r="AU29" s="1246"/>
      <c r="AV29" s="1032">
        <v>7622242.475700628</v>
      </c>
      <c r="AW29" s="297">
        <f t="shared" si="7"/>
        <v>7622242.475700628</v>
      </c>
      <c r="AX29" s="1248">
        <f t="shared" si="8"/>
        <v>0</v>
      </c>
      <c r="AY29" s="1258"/>
      <c r="AZ29" s="1246"/>
      <c r="BA29" s="1032">
        <v>859066.20387987699</v>
      </c>
      <c r="BB29" s="297">
        <f t="shared" si="25"/>
        <v>859066.20387987699</v>
      </c>
      <c r="BC29" s="922">
        <f t="shared" si="9"/>
        <v>7622242.475700628</v>
      </c>
      <c r="BD29" s="1251">
        <v>39819105.050000012</v>
      </c>
      <c r="BE29" s="1032"/>
      <c r="BF29" s="1252">
        <v>-4956319.0082938671</v>
      </c>
      <c r="BG29" s="297">
        <f t="shared" si="10"/>
        <v>42485028.517406777</v>
      </c>
      <c r="BH29" s="1248">
        <f t="shared" si="11"/>
        <v>859066.20387987699</v>
      </c>
      <c r="BI29" s="1251">
        <v>960021.69310464186</v>
      </c>
      <c r="BJ29" s="1032"/>
      <c r="BK29" s="1252"/>
      <c r="BL29" s="1247">
        <f t="shared" si="26"/>
        <v>1819087.896984519</v>
      </c>
      <c r="BM29" s="1253">
        <v>7622242</v>
      </c>
      <c r="BN29" s="1253">
        <v>872634</v>
      </c>
      <c r="BO29" s="1248">
        <f t="shared" si="14"/>
        <v>34862786.517406777</v>
      </c>
      <c r="BP29" s="311">
        <f t="shared" si="15"/>
        <v>946453.89698451897</v>
      </c>
      <c r="BQ29" s="326">
        <v>906141.63014799473</v>
      </c>
      <c r="BR29" s="1253"/>
      <c r="BS29" s="322">
        <f t="shared" si="16"/>
        <v>1852595.5271325137</v>
      </c>
      <c r="BT29" s="1254">
        <f>IF(BU29="Yes", SUM(BO29:BR29), 0)</f>
        <v>36715382.044539288</v>
      </c>
      <c r="BU29" s="590" t="s">
        <v>146</v>
      </c>
      <c r="BV29" s="416">
        <v>46203185.939999998</v>
      </c>
      <c r="BW29" s="796">
        <f t="shared" si="12"/>
        <v>1899069.53</v>
      </c>
      <c r="BX29" s="487" t="str">
        <f t="shared" si="17"/>
        <v>Please provide an explanation of the variance in the Manager's Summary</v>
      </c>
      <c r="BY29" s="49"/>
      <c r="BZ29" s="49"/>
      <c r="CA29" s="49"/>
      <c r="CB29" s="49"/>
    </row>
    <row r="30" spans="3:80" ht="17.100000000000001" hidden="1" customHeight="1" thickBot="1" x14ac:dyDescent="0.25">
      <c r="C30" s="303" t="s">
        <v>148</v>
      </c>
      <c r="D30" s="1244">
        <v>1595</v>
      </c>
      <c r="E30" s="324"/>
      <c r="F30" s="1252"/>
      <c r="G30" s="1252"/>
      <c r="H30" s="1252"/>
      <c r="I30" s="297">
        <f t="shared" si="18"/>
        <v>0</v>
      </c>
      <c r="J30" s="1252"/>
      <c r="K30" s="1252"/>
      <c r="L30" s="1252"/>
      <c r="M30" s="1252"/>
      <c r="N30" s="297">
        <f t="shared" si="19"/>
        <v>0</v>
      </c>
      <c r="O30" s="922">
        <f t="shared" si="20"/>
        <v>0</v>
      </c>
      <c r="P30" s="1252"/>
      <c r="Q30" s="1252"/>
      <c r="R30" s="1252"/>
      <c r="S30" s="297">
        <f t="shared" si="0"/>
        <v>0</v>
      </c>
      <c r="T30" s="297">
        <f t="shared" si="1"/>
        <v>0</v>
      </c>
      <c r="U30" s="1252"/>
      <c r="V30" s="1252"/>
      <c r="W30" s="1252"/>
      <c r="X30" s="1247">
        <f t="shared" si="21"/>
        <v>0</v>
      </c>
      <c r="Y30" s="922">
        <f t="shared" si="13"/>
        <v>0</v>
      </c>
      <c r="Z30" s="1252"/>
      <c r="AA30" s="1252"/>
      <c r="AB30" s="1252"/>
      <c r="AC30" s="297">
        <f t="shared" si="22"/>
        <v>0</v>
      </c>
      <c r="AD30" s="1248">
        <f t="shared" si="2"/>
        <v>0</v>
      </c>
      <c r="AE30" s="1252"/>
      <c r="AF30" s="1252"/>
      <c r="AG30" s="1252"/>
      <c r="AH30" s="1247">
        <f t="shared" si="23"/>
        <v>0</v>
      </c>
      <c r="AI30" s="922">
        <f t="shared" si="3"/>
        <v>0</v>
      </c>
      <c r="AJ30" s="1252"/>
      <c r="AK30" s="1252"/>
      <c r="AL30" s="345"/>
      <c r="AM30" s="297">
        <f t="shared" si="4"/>
        <v>0</v>
      </c>
      <c r="AN30" s="1248">
        <f t="shared" si="5"/>
        <v>0</v>
      </c>
      <c r="AO30" s="1252"/>
      <c r="AP30" s="1252"/>
      <c r="AQ30" s="345"/>
      <c r="AR30" s="1247">
        <f t="shared" si="24"/>
        <v>0</v>
      </c>
      <c r="AS30" s="922">
        <f t="shared" si="6"/>
        <v>0</v>
      </c>
      <c r="AT30" s="1253"/>
      <c r="AU30" s="1252"/>
      <c r="AV30" s="1252"/>
      <c r="AW30" s="297">
        <f t="shared" si="7"/>
        <v>0</v>
      </c>
      <c r="AX30" s="1248">
        <f t="shared" si="8"/>
        <v>0</v>
      </c>
      <c r="AY30" s="1253"/>
      <c r="AZ30" s="1252"/>
      <c r="BA30" s="1252"/>
      <c r="BB30" s="297">
        <f t="shared" si="25"/>
        <v>0</v>
      </c>
      <c r="BC30" s="922">
        <f t="shared" si="9"/>
        <v>0</v>
      </c>
      <c r="BD30" s="1253"/>
      <c r="BE30" s="1252"/>
      <c r="BF30" s="1252"/>
      <c r="BG30" s="297">
        <f t="shared" si="10"/>
        <v>0</v>
      </c>
      <c r="BH30" s="1248">
        <f t="shared" si="11"/>
        <v>0</v>
      </c>
      <c r="BI30" s="1253"/>
      <c r="BJ30" s="1252"/>
      <c r="BK30" s="1252"/>
      <c r="BL30" s="1247">
        <f t="shared" si="26"/>
        <v>0</v>
      </c>
      <c r="BM30" s="1253"/>
      <c r="BN30" s="1253"/>
      <c r="BO30" s="1248">
        <f t="shared" si="14"/>
        <v>0</v>
      </c>
      <c r="BP30" s="311">
        <f t="shared" si="15"/>
        <v>0</v>
      </c>
      <c r="BQ30" s="326"/>
      <c r="BR30" s="1253"/>
      <c r="BS30" s="322">
        <f t="shared" si="16"/>
        <v>0</v>
      </c>
      <c r="BT30" s="1254">
        <f>IF(CB7=TRUE, SUM(BO30:BR30), 0)</f>
        <v>0</v>
      </c>
      <c r="BU30" s="516" t="s">
        <v>146</v>
      </c>
      <c r="BV30" s="416"/>
      <c r="BW30" s="796">
        <f t="shared" si="12"/>
        <v>0</v>
      </c>
      <c r="BX30" s="487" t="str">
        <f t="shared" si="17"/>
        <v/>
      </c>
      <c r="BY30" s="49"/>
      <c r="BZ30" s="49"/>
      <c r="CA30" s="49"/>
      <c r="CB30" s="49"/>
    </row>
    <row r="31" spans="3:80" ht="17.100000000000001" hidden="1" customHeight="1" thickBot="1" x14ac:dyDescent="0.25">
      <c r="C31" s="303" t="s">
        <v>6502</v>
      </c>
      <c r="D31" s="1244">
        <v>1595</v>
      </c>
      <c r="E31" s="1245"/>
      <c r="F31" s="1246"/>
      <c r="G31" s="1246"/>
      <c r="H31" s="1246"/>
      <c r="I31" s="297">
        <f t="shared" si="18"/>
        <v>0</v>
      </c>
      <c r="J31" s="1246"/>
      <c r="K31" s="1246"/>
      <c r="L31" s="1246"/>
      <c r="M31" s="1246"/>
      <c r="N31" s="297">
        <f t="shared" si="19"/>
        <v>0</v>
      </c>
      <c r="O31" s="922">
        <f t="shared" si="20"/>
        <v>0</v>
      </c>
      <c r="P31" s="1032"/>
      <c r="Q31" s="1032"/>
      <c r="R31" s="1032"/>
      <c r="S31" s="297">
        <f t="shared" si="0"/>
        <v>0</v>
      </c>
      <c r="T31" s="297">
        <f t="shared" si="1"/>
        <v>0</v>
      </c>
      <c r="U31" s="1032"/>
      <c r="V31" s="1032"/>
      <c r="W31" s="1032"/>
      <c r="X31" s="1247">
        <f t="shared" si="21"/>
        <v>0</v>
      </c>
      <c r="Y31" s="922">
        <f t="shared" si="13"/>
        <v>0</v>
      </c>
      <c r="Z31" s="1032"/>
      <c r="AA31" s="1032"/>
      <c r="AB31" s="1032"/>
      <c r="AC31" s="297">
        <f t="shared" si="22"/>
        <v>0</v>
      </c>
      <c r="AD31" s="1248">
        <f t="shared" si="2"/>
        <v>0</v>
      </c>
      <c r="AE31" s="1032"/>
      <c r="AF31" s="1032"/>
      <c r="AG31" s="1032"/>
      <c r="AH31" s="1247">
        <f t="shared" si="23"/>
        <v>0</v>
      </c>
      <c r="AI31" s="922">
        <f t="shared" si="3"/>
        <v>0</v>
      </c>
      <c r="AJ31" s="1032"/>
      <c r="AK31" s="1032"/>
      <c r="AL31" s="514"/>
      <c r="AM31" s="297">
        <f t="shared" si="4"/>
        <v>0</v>
      </c>
      <c r="AN31" s="1248">
        <f t="shared" si="5"/>
        <v>0</v>
      </c>
      <c r="AO31" s="1032"/>
      <c r="AP31" s="1032"/>
      <c r="AQ31" s="514"/>
      <c r="AR31" s="1247">
        <f t="shared" si="24"/>
        <v>0</v>
      </c>
      <c r="AS31" s="922">
        <f t="shared" si="6"/>
        <v>0</v>
      </c>
      <c r="AT31" s="1251"/>
      <c r="AU31" s="1032"/>
      <c r="AV31" s="1032"/>
      <c r="AW31" s="297">
        <f t="shared" si="7"/>
        <v>0</v>
      </c>
      <c r="AX31" s="1248">
        <f t="shared" si="8"/>
        <v>0</v>
      </c>
      <c r="AY31" s="1251"/>
      <c r="AZ31" s="1032"/>
      <c r="BA31" s="1032"/>
      <c r="BB31" s="297">
        <f t="shared" si="25"/>
        <v>0</v>
      </c>
      <c r="BC31" s="922">
        <f t="shared" si="9"/>
        <v>0</v>
      </c>
      <c r="BD31" s="1253"/>
      <c r="BE31" s="1252"/>
      <c r="BF31" s="1252"/>
      <c r="BG31" s="297">
        <f t="shared" si="10"/>
        <v>0</v>
      </c>
      <c r="BH31" s="1248">
        <f t="shared" si="11"/>
        <v>0</v>
      </c>
      <c r="BI31" s="1253"/>
      <c r="BJ31" s="1252"/>
      <c r="BK31" s="1252"/>
      <c r="BL31" s="1247">
        <f t="shared" si="26"/>
        <v>0</v>
      </c>
      <c r="BM31" s="1253"/>
      <c r="BN31" s="1253"/>
      <c r="BO31" s="1248">
        <f t="shared" si="14"/>
        <v>0</v>
      </c>
      <c r="BP31" s="311">
        <f t="shared" si="15"/>
        <v>0</v>
      </c>
      <c r="BQ31" s="326"/>
      <c r="BR31" s="1253"/>
      <c r="BS31" s="322">
        <f t="shared" si="16"/>
        <v>0</v>
      </c>
      <c r="BT31" s="1254">
        <f>IF(BU31="Yes", SUM(BO31:BR31), 0)</f>
        <v>0</v>
      </c>
      <c r="BU31" s="516" t="s">
        <v>128</v>
      </c>
      <c r="BV31" s="416"/>
      <c r="BW31" s="796">
        <f t="shared" si="12"/>
        <v>0</v>
      </c>
      <c r="BX31" s="487" t="str">
        <f t="shared" si="17"/>
        <v/>
      </c>
      <c r="BY31" s="49"/>
      <c r="BZ31" s="49"/>
      <c r="CA31" s="49"/>
      <c r="CB31" s="49"/>
    </row>
    <row r="32" spans="3:80" ht="17.25" thickBot="1" x14ac:dyDescent="0.25">
      <c r="C32" s="303" t="s">
        <v>149</v>
      </c>
      <c r="D32" s="1244">
        <v>1595</v>
      </c>
      <c r="E32" s="1245"/>
      <c r="F32" s="1246"/>
      <c r="G32" s="1246"/>
      <c r="H32" s="1246"/>
      <c r="I32" s="297">
        <f t="shared" si="18"/>
        <v>0</v>
      </c>
      <c r="J32" s="1246"/>
      <c r="K32" s="1246"/>
      <c r="L32" s="1246"/>
      <c r="M32" s="1246"/>
      <c r="N32" s="297">
        <f t="shared" si="19"/>
        <v>0</v>
      </c>
      <c r="O32" s="922">
        <f t="shared" si="20"/>
        <v>0</v>
      </c>
      <c r="P32" s="1032">
        <v>25890096.36328746</v>
      </c>
      <c r="Q32" s="1032">
        <v>70380410.352973074</v>
      </c>
      <c r="R32" s="1032"/>
      <c r="S32" s="297">
        <f t="shared" ref="S32:S37" si="27">O32+P32-Q32+SUM(R32:R32)</f>
        <v>-44490313.98968561</v>
      </c>
      <c r="T32" s="297">
        <f t="shared" si="1"/>
        <v>0</v>
      </c>
      <c r="U32" s="1032">
        <v>-742533.23945787072</v>
      </c>
      <c r="V32" s="1032">
        <v>1975065.3908565242</v>
      </c>
      <c r="W32" s="1032"/>
      <c r="X32" s="1247">
        <f t="shared" si="21"/>
        <v>-2717598.6303143948</v>
      </c>
      <c r="Y32" s="922">
        <f t="shared" si="13"/>
        <v>-44490313.98968561</v>
      </c>
      <c r="Z32" s="1032">
        <v>45648966.474132769</v>
      </c>
      <c r="AA32" s="1032"/>
      <c r="AB32" s="1032"/>
      <c r="AC32" s="297">
        <f t="shared" ref="AC32:AC37" si="28">Y32+Z32-AA32+SUM(AB32:AB32)</f>
        <v>1158652.4844471589</v>
      </c>
      <c r="AD32" s="1248">
        <f t="shared" si="2"/>
        <v>-2717598.6303143948</v>
      </c>
      <c r="AE32" s="1032">
        <v>-135972.33430722356</v>
      </c>
      <c r="AF32" s="1032"/>
      <c r="AG32" s="1032"/>
      <c r="AH32" s="1247">
        <f t="shared" si="23"/>
        <v>-2853570.9646216184</v>
      </c>
      <c r="AI32" s="922">
        <f t="shared" si="3"/>
        <v>1158652.4844471589</v>
      </c>
      <c r="AJ32" s="1032">
        <v>-421081.86584577529</v>
      </c>
      <c r="AK32" s="1032"/>
      <c r="AL32" s="514">
        <v>-1401834.7257008387</v>
      </c>
      <c r="AM32" s="297">
        <f t="shared" si="4"/>
        <v>-664264.10709945508</v>
      </c>
      <c r="AN32" s="1248">
        <f t="shared" si="5"/>
        <v>-2853570.9646216184</v>
      </c>
      <c r="AO32" s="1032">
        <v>33673.021575023209</v>
      </c>
      <c r="AP32" s="1032"/>
      <c r="AQ32" s="514">
        <v>2265983.2492866726</v>
      </c>
      <c r="AR32" s="1247">
        <f t="shared" si="24"/>
        <v>-553914.6937599224</v>
      </c>
      <c r="AS32" s="922">
        <f t="shared" si="6"/>
        <v>-664264.10709945508</v>
      </c>
      <c r="AT32" s="1251">
        <v>-251680.26043402191</v>
      </c>
      <c r="AU32" s="1032"/>
      <c r="AV32" s="1032">
        <v>-1773961.7802500352</v>
      </c>
      <c r="AW32" s="297">
        <f t="shared" si="7"/>
        <v>-2689906.1477835122</v>
      </c>
      <c r="AX32" s="1248">
        <f t="shared" si="8"/>
        <v>-553914.6937599224</v>
      </c>
      <c r="AY32" s="1251">
        <v>-71384.528979232127</v>
      </c>
      <c r="AZ32" s="1032"/>
      <c r="BA32" s="1032">
        <v>-173914.38299375027</v>
      </c>
      <c r="BB32" s="297">
        <f t="shared" si="25"/>
        <v>-799213.60573290475</v>
      </c>
      <c r="BC32" s="922">
        <f t="shared" si="9"/>
        <v>-2689906.1477835122</v>
      </c>
      <c r="BD32" s="1253">
        <v>231.70540717948026</v>
      </c>
      <c r="BE32" s="1252"/>
      <c r="BF32" s="1252"/>
      <c r="BG32" s="297">
        <f t="shared" si="10"/>
        <v>-2689674.4423763328</v>
      </c>
      <c r="BH32" s="1248">
        <f t="shared" si="11"/>
        <v>-799213.60573290475</v>
      </c>
      <c r="BI32" s="1253">
        <v>-73808.766145760019</v>
      </c>
      <c r="BJ32" s="1252"/>
      <c r="BK32" s="1252">
        <v>-5130.5857450016774</v>
      </c>
      <c r="BL32" s="1247">
        <f t="shared" si="26"/>
        <v>-878152.95762366639</v>
      </c>
      <c r="BM32" s="1253"/>
      <c r="BN32" s="1253"/>
      <c r="BO32" s="1248">
        <f t="shared" si="14"/>
        <v>-2689674.4423763328</v>
      </c>
      <c r="BP32" s="311">
        <f t="shared" si="15"/>
        <v>-878152.95762366639</v>
      </c>
      <c r="BQ32" s="326">
        <v>-84859.228656973297</v>
      </c>
      <c r="BR32" s="1253"/>
      <c r="BS32" s="322">
        <f t="shared" si="16"/>
        <v>-963012.18628063973</v>
      </c>
      <c r="BT32" s="1254">
        <f t="shared" ref="BT32:BT37" si="29">IF(BU32="Yes", SUM(BO32:BR32), 0)</f>
        <v>-3652686.6286569727</v>
      </c>
      <c r="BU32" s="516" t="s">
        <v>146</v>
      </c>
      <c r="BV32" s="416">
        <v>-3567827.4</v>
      </c>
      <c r="BW32" s="796">
        <f t="shared" si="12"/>
        <v>0</v>
      </c>
      <c r="BX32" s="487" t="str">
        <f t="shared" si="17"/>
        <v/>
      </c>
      <c r="BY32" s="49"/>
      <c r="BZ32" s="49"/>
      <c r="CA32" s="49"/>
      <c r="CB32" s="49"/>
    </row>
    <row r="33" spans="1:80" ht="17.25" thickBot="1" x14ac:dyDescent="0.25">
      <c r="C33" s="303" t="s">
        <v>150</v>
      </c>
      <c r="D33" s="1244">
        <v>1595</v>
      </c>
      <c r="E33" s="1245"/>
      <c r="F33" s="1246"/>
      <c r="G33" s="1246"/>
      <c r="H33" s="1246"/>
      <c r="I33" s="297">
        <f t="shared" si="18"/>
        <v>0</v>
      </c>
      <c r="J33" s="1246"/>
      <c r="K33" s="1246"/>
      <c r="L33" s="1246"/>
      <c r="M33" s="1246"/>
      <c r="N33" s="297">
        <f t="shared" si="19"/>
        <v>0</v>
      </c>
      <c r="O33" s="922">
        <f t="shared" si="20"/>
        <v>0</v>
      </c>
      <c r="P33" s="1032"/>
      <c r="Q33" s="1032"/>
      <c r="R33" s="1032"/>
      <c r="S33" s="297">
        <f t="shared" si="27"/>
        <v>0</v>
      </c>
      <c r="T33" s="297">
        <f t="shared" si="1"/>
        <v>0</v>
      </c>
      <c r="U33" s="1032"/>
      <c r="V33" s="1032"/>
      <c r="W33" s="1032"/>
      <c r="X33" s="1247">
        <f t="shared" si="21"/>
        <v>0</v>
      </c>
      <c r="Y33" s="922">
        <f t="shared" si="13"/>
        <v>0</v>
      </c>
      <c r="Z33" s="1032">
        <v>-47443445.987087108</v>
      </c>
      <c r="AA33" s="1032">
        <v>-43217479.884977572</v>
      </c>
      <c r="AB33" s="1032"/>
      <c r="AC33" s="297">
        <f t="shared" si="28"/>
        <v>-4225966.1021095365</v>
      </c>
      <c r="AD33" s="1248">
        <f t="shared" si="2"/>
        <v>0</v>
      </c>
      <c r="AE33" s="1032">
        <v>-68131.733550012141</v>
      </c>
      <c r="AF33" s="1032">
        <v>36115.51011903584</v>
      </c>
      <c r="AG33" s="1032"/>
      <c r="AH33" s="1247">
        <f t="shared" si="23"/>
        <v>-104247.24366904798</v>
      </c>
      <c r="AI33" s="922">
        <f t="shared" si="3"/>
        <v>-4225966.1021095365</v>
      </c>
      <c r="AJ33" s="1032">
        <v>-480828.14683241257</v>
      </c>
      <c r="AK33" s="1032"/>
      <c r="AL33" s="514">
        <v>-373200.57954730577</v>
      </c>
      <c r="AM33" s="297">
        <f t="shared" si="4"/>
        <v>-5079994.8284892542</v>
      </c>
      <c r="AN33" s="1248">
        <f t="shared" si="5"/>
        <v>-104247.24366904798</v>
      </c>
      <c r="AO33" s="1032">
        <v>-148121.9560145617</v>
      </c>
      <c r="AP33" s="1032"/>
      <c r="AQ33" s="514">
        <v>355333.94562652434</v>
      </c>
      <c r="AR33" s="1247">
        <f t="shared" si="24"/>
        <v>102964.74594291465</v>
      </c>
      <c r="AS33" s="922">
        <f t="shared" si="6"/>
        <v>-5079994.8284892542</v>
      </c>
      <c r="AT33" s="1251">
        <v>3693130.9763197666</v>
      </c>
      <c r="AU33" s="1032"/>
      <c r="AV33" s="1032">
        <v>390103.77999999945</v>
      </c>
      <c r="AW33" s="297">
        <f t="shared" si="7"/>
        <v>-996760.07216948818</v>
      </c>
      <c r="AX33" s="1248">
        <f t="shared" si="8"/>
        <v>102964.74594291465</v>
      </c>
      <c r="AY33" s="1251">
        <v>-210039.45411288246</v>
      </c>
      <c r="AZ33" s="1032"/>
      <c r="BA33" s="1032">
        <v>-203684.66925474996</v>
      </c>
      <c r="BB33" s="297">
        <f t="shared" si="25"/>
        <v>-310759.37742471776</v>
      </c>
      <c r="BC33" s="922">
        <f t="shared" si="9"/>
        <v>-996760.07216948818</v>
      </c>
      <c r="BD33" s="1253">
        <v>3730189.2632225049</v>
      </c>
      <c r="BE33" s="1252"/>
      <c r="BF33" s="1252"/>
      <c r="BG33" s="297">
        <f t="shared" si="10"/>
        <v>2733429.1910530166</v>
      </c>
      <c r="BH33" s="1248">
        <f t="shared" si="11"/>
        <v>-310759.37742471776</v>
      </c>
      <c r="BI33" s="1253">
        <v>-25281.350341403602</v>
      </c>
      <c r="BJ33" s="1252"/>
      <c r="BK33" s="1252">
        <v>0</v>
      </c>
      <c r="BL33" s="1247">
        <f t="shared" si="26"/>
        <v>-336040.72776612139</v>
      </c>
      <c r="BM33" s="1253"/>
      <c r="BN33" s="1253"/>
      <c r="BO33" s="1248">
        <f t="shared" si="14"/>
        <v>2733429.1910530166</v>
      </c>
      <c r="BP33" s="311">
        <f t="shared" si="15"/>
        <v>-336040.72776612139</v>
      </c>
      <c r="BQ33" s="326"/>
      <c r="BR33" s="1253"/>
      <c r="BS33" s="322">
        <f t="shared" si="16"/>
        <v>-336040.72776612139</v>
      </c>
      <c r="BT33" s="1254">
        <f t="shared" si="29"/>
        <v>0</v>
      </c>
      <c r="BU33" s="516" t="s">
        <v>128</v>
      </c>
      <c r="BV33" s="416">
        <v>2397388.4700000002</v>
      </c>
      <c r="BW33" s="796">
        <f t="shared" si="12"/>
        <v>0.01</v>
      </c>
      <c r="BX33" s="487" t="str">
        <f t="shared" si="17"/>
        <v/>
      </c>
      <c r="BY33" s="49"/>
      <c r="BZ33" s="49"/>
      <c r="CA33" s="49"/>
      <c r="CB33" s="49"/>
    </row>
    <row r="34" spans="1:80" ht="17.25" thickBot="1" x14ac:dyDescent="0.25">
      <c r="C34" s="303" t="s">
        <v>151</v>
      </c>
      <c r="D34" s="1244">
        <v>1595</v>
      </c>
      <c r="E34" s="1245"/>
      <c r="F34" s="1246"/>
      <c r="G34" s="1246"/>
      <c r="H34" s="1246"/>
      <c r="I34" s="297">
        <f t="shared" si="18"/>
        <v>0</v>
      </c>
      <c r="J34" s="1246"/>
      <c r="K34" s="1246"/>
      <c r="L34" s="1246"/>
      <c r="M34" s="1246"/>
      <c r="N34" s="297">
        <f t="shared" si="19"/>
        <v>0</v>
      </c>
      <c r="O34" s="922">
        <f t="shared" si="20"/>
        <v>0</v>
      </c>
      <c r="P34" s="1032"/>
      <c r="Q34" s="1032"/>
      <c r="R34" s="1032"/>
      <c r="S34" s="297">
        <f t="shared" si="27"/>
        <v>0</v>
      </c>
      <c r="T34" s="297">
        <f t="shared" si="1"/>
        <v>0</v>
      </c>
      <c r="U34" s="1032"/>
      <c r="V34" s="1032"/>
      <c r="W34" s="1032"/>
      <c r="X34" s="1247">
        <f t="shared" si="21"/>
        <v>0</v>
      </c>
      <c r="Y34" s="922">
        <f t="shared" si="13"/>
        <v>0</v>
      </c>
      <c r="Z34" s="1032"/>
      <c r="AA34" s="1032"/>
      <c r="AB34" s="1032"/>
      <c r="AC34" s="297">
        <f t="shared" si="28"/>
        <v>0</v>
      </c>
      <c r="AD34" s="1248">
        <f t="shared" si="2"/>
        <v>0</v>
      </c>
      <c r="AE34" s="1032"/>
      <c r="AF34" s="1032"/>
      <c r="AG34" s="1032"/>
      <c r="AH34" s="1247">
        <f t="shared" si="23"/>
        <v>0</v>
      </c>
      <c r="AI34" s="922">
        <f t="shared" si="3"/>
        <v>0</v>
      </c>
      <c r="AJ34" s="1032">
        <v>31169512.060000002</v>
      </c>
      <c r="AK34" s="1032">
        <v>31422955.32</v>
      </c>
      <c r="AL34" s="514"/>
      <c r="AM34" s="297">
        <f t="shared" si="4"/>
        <v>-253443.25999999791</v>
      </c>
      <c r="AN34" s="1248">
        <f t="shared" si="5"/>
        <v>0</v>
      </c>
      <c r="AO34" s="1032">
        <v>-220011.7946323792</v>
      </c>
      <c r="AP34" s="1032">
        <v>1993945.3096311707</v>
      </c>
      <c r="AQ34" s="514"/>
      <c r="AR34" s="1247">
        <f t="shared" si="24"/>
        <v>-2213957.1042635497</v>
      </c>
      <c r="AS34" s="922">
        <f t="shared" si="6"/>
        <v>-253443.25999999791</v>
      </c>
      <c r="AT34" s="1251">
        <v>2375403.3700000006</v>
      </c>
      <c r="AU34" s="1032"/>
      <c r="AV34" s="1032">
        <v>0</v>
      </c>
      <c r="AW34" s="297">
        <f t="shared" si="7"/>
        <v>2121960.1100000027</v>
      </c>
      <c r="AX34" s="1248">
        <f t="shared" si="8"/>
        <v>-2213957.1042635497</v>
      </c>
      <c r="AY34" s="1251">
        <v>135059.53961510726</v>
      </c>
      <c r="AZ34" s="1032"/>
      <c r="BA34" s="1032">
        <v>0</v>
      </c>
      <c r="BB34" s="297">
        <f t="shared" si="25"/>
        <v>-2078897.5646484424</v>
      </c>
      <c r="BC34" s="922">
        <f t="shared" si="9"/>
        <v>2121960.1100000027</v>
      </c>
      <c r="BD34" s="1253">
        <v>0</v>
      </c>
      <c r="BE34" s="1252"/>
      <c r="BF34" s="1252">
        <v>-2121960.1099999971</v>
      </c>
      <c r="BG34" s="297">
        <f t="shared" si="10"/>
        <v>5.5879354476928711E-9</v>
      </c>
      <c r="BH34" s="1248">
        <f t="shared" si="11"/>
        <v>-2078897.5646484424</v>
      </c>
      <c r="BI34" s="1253">
        <v>147496.79464843965</v>
      </c>
      <c r="BJ34" s="1252">
        <v>16891.78</v>
      </c>
      <c r="BK34" s="1252">
        <v>2121960.1099999971</v>
      </c>
      <c r="BL34" s="1247">
        <f t="shared" si="26"/>
        <v>173667.55999999424</v>
      </c>
      <c r="BM34" s="1253"/>
      <c r="BN34" s="1253"/>
      <c r="BO34" s="1248">
        <f t="shared" si="14"/>
        <v>5.5879354476928711E-9</v>
      </c>
      <c r="BP34" s="311">
        <f t="shared" si="15"/>
        <v>173667.55999999424</v>
      </c>
      <c r="BQ34" s="326">
        <v>-205965.21777875081</v>
      </c>
      <c r="BR34" s="1253"/>
      <c r="BS34" s="322">
        <f t="shared" si="16"/>
        <v>-32297.657778756577</v>
      </c>
      <c r="BT34" s="1254">
        <f t="shared" si="29"/>
        <v>-32297.657778750989</v>
      </c>
      <c r="BU34" s="516" t="s">
        <v>146</v>
      </c>
      <c r="BV34" s="416">
        <v>173667.54</v>
      </c>
      <c r="BW34" s="796">
        <f t="shared" si="12"/>
        <v>-0.02</v>
      </c>
      <c r="BX34" s="487" t="str">
        <f t="shared" si="17"/>
        <v/>
      </c>
      <c r="BY34" s="49"/>
      <c r="BZ34" s="49"/>
      <c r="CA34" s="49"/>
      <c r="CB34" s="49"/>
    </row>
    <row r="35" spans="1:80" ht="17.25" thickBot="1" x14ac:dyDescent="0.25">
      <c r="C35" s="303" t="s">
        <v>152</v>
      </c>
      <c r="D35" s="1244">
        <v>1595</v>
      </c>
      <c r="E35" s="1245"/>
      <c r="F35" s="1246"/>
      <c r="G35" s="1246"/>
      <c r="H35" s="1246"/>
      <c r="I35" s="297">
        <f t="shared" si="18"/>
        <v>0</v>
      </c>
      <c r="J35" s="1246"/>
      <c r="K35" s="1246"/>
      <c r="L35" s="1246"/>
      <c r="M35" s="1246"/>
      <c r="N35" s="297">
        <f t="shared" si="19"/>
        <v>0</v>
      </c>
      <c r="O35" s="922">
        <f t="shared" si="20"/>
        <v>0</v>
      </c>
      <c r="P35" s="1032"/>
      <c r="Q35" s="1032"/>
      <c r="R35" s="1032"/>
      <c r="S35" s="297">
        <f t="shared" si="27"/>
        <v>0</v>
      </c>
      <c r="T35" s="297">
        <f t="shared" si="1"/>
        <v>0</v>
      </c>
      <c r="U35" s="1032"/>
      <c r="V35" s="1032"/>
      <c r="W35" s="1032"/>
      <c r="X35" s="1247">
        <f t="shared" si="21"/>
        <v>0</v>
      </c>
      <c r="Y35" s="922">
        <f t="shared" si="13"/>
        <v>0</v>
      </c>
      <c r="Z35" s="1032"/>
      <c r="AA35" s="1032"/>
      <c r="AB35" s="1032"/>
      <c r="AC35" s="297">
        <f t="shared" si="28"/>
        <v>0</v>
      </c>
      <c r="AD35" s="1248">
        <f t="shared" si="2"/>
        <v>0</v>
      </c>
      <c r="AE35" s="1032"/>
      <c r="AF35" s="1032"/>
      <c r="AG35" s="1032"/>
      <c r="AH35" s="1247">
        <f t="shared" si="23"/>
        <v>0</v>
      </c>
      <c r="AI35" s="922">
        <f t="shared" si="3"/>
        <v>0</v>
      </c>
      <c r="AJ35" s="1032"/>
      <c r="AK35" s="1032"/>
      <c r="AL35" s="514"/>
      <c r="AM35" s="297">
        <f t="shared" si="4"/>
        <v>0</v>
      </c>
      <c r="AN35" s="1248">
        <f t="shared" si="5"/>
        <v>0</v>
      </c>
      <c r="AO35" s="1032"/>
      <c r="AP35" s="1032"/>
      <c r="AQ35" s="1251"/>
      <c r="AR35" s="1247">
        <f t="shared" si="24"/>
        <v>0</v>
      </c>
      <c r="AS35" s="922">
        <f t="shared" si="6"/>
        <v>0</v>
      </c>
      <c r="AT35" s="1251">
        <v>-7557369.3254363732</v>
      </c>
      <c r="AU35" s="1032">
        <v>27836697.137823395</v>
      </c>
      <c r="AV35" s="1032">
        <v>0</v>
      </c>
      <c r="AW35" s="297">
        <f t="shared" si="7"/>
        <v>-35394066.463259771</v>
      </c>
      <c r="AX35" s="1248">
        <f t="shared" si="8"/>
        <v>0</v>
      </c>
      <c r="AY35" s="1251">
        <v>-1987384.6448572788</v>
      </c>
      <c r="AZ35" s="1032">
        <v>9014365.5699999984</v>
      </c>
      <c r="BA35" s="1032">
        <v>0</v>
      </c>
      <c r="BB35" s="297">
        <f t="shared" si="25"/>
        <v>-11001750.214857277</v>
      </c>
      <c r="BC35" s="922">
        <f t="shared" si="9"/>
        <v>-35394066.463259771</v>
      </c>
      <c r="BD35" s="1253">
        <v>42434809.429999992</v>
      </c>
      <c r="BE35" s="1252"/>
      <c r="BF35" s="1252"/>
      <c r="BG35" s="297">
        <f t="shared" si="10"/>
        <v>7040742.9667402208</v>
      </c>
      <c r="BH35" s="1248">
        <f t="shared" si="11"/>
        <v>-11001750.214857277</v>
      </c>
      <c r="BI35" s="1253">
        <v>-962042.72747561615</v>
      </c>
      <c r="BJ35" s="1252"/>
      <c r="BK35" s="1252">
        <v>0</v>
      </c>
      <c r="BL35" s="1247">
        <f t="shared" si="26"/>
        <v>-11963792.942332894</v>
      </c>
      <c r="BM35" s="1253"/>
      <c r="BN35" s="1253"/>
      <c r="BO35" s="1248">
        <f t="shared" si="14"/>
        <v>7040742.9667402208</v>
      </c>
      <c r="BP35" s="311">
        <f t="shared" si="15"/>
        <v>-11963792.942332894</v>
      </c>
      <c r="BQ35" s="326"/>
      <c r="BR35" s="1253"/>
      <c r="BS35" s="322">
        <f t="shared" si="16"/>
        <v>-11963792.942332894</v>
      </c>
      <c r="BT35" s="1254">
        <f t="shared" si="29"/>
        <v>0</v>
      </c>
      <c r="BU35" s="787" t="s">
        <v>128</v>
      </c>
      <c r="BV35" s="416">
        <v>-4923049.97</v>
      </c>
      <c r="BW35" s="796">
        <f t="shared" si="12"/>
        <v>0.01</v>
      </c>
      <c r="BX35" s="487" t="str">
        <f t="shared" si="17"/>
        <v/>
      </c>
      <c r="BY35" s="49"/>
      <c r="BZ35" s="49"/>
      <c r="CA35" s="49"/>
      <c r="CB35" s="49"/>
    </row>
    <row r="36" spans="1:80" ht="18" customHeight="1" thickBot="1" x14ac:dyDescent="0.25">
      <c r="C36" s="786" t="s">
        <v>6503</v>
      </c>
      <c r="D36" s="1244">
        <v>1595</v>
      </c>
      <c r="E36" s="1245"/>
      <c r="F36" s="1246"/>
      <c r="G36" s="1246"/>
      <c r="H36" s="1246"/>
      <c r="I36" s="297">
        <f t="shared" si="18"/>
        <v>0</v>
      </c>
      <c r="J36" s="1246"/>
      <c r="K36" s="1246"/>
      <c r="L36" s="1246"/>
      <c r="M36" s="1246"/>
      <c r="N36" s="297">
        <f t="shared" si="19"/>
        <v>0</v>
      </c>
      <c r="O36" s="922">
        <f t="shared" si="20"/>
        <v>0</v>
      </c>
      <c r="P36" s="1032"/>
      <c r="Q36" s="1032"/>
      <c r="R36" s="1032"/>
      <c r="S36" s="297">
        <f t="shared" si="27"/>
        <v>0</v>
      </c>
      <c r="T36" s="297">
        <f>N36</f>
        <v>0</v>
      </c>
      <c r="U36" s="1032"/>
      <c r="V36" s="1032"/>
      <c r="W36" s="1032"/>
      <c r="X36" s="1247">
        <f t="shared" si="21"/>
        <v>0</v>
      </c>
      <c r="Y36" s="922">
        <f t="shared" si="13"/>
        <v>0</v>
      </c>
      <c r="Z36" s="1032"/>
      <c r="AA36" s="1032"/>
      <c r="AB36" s="1032"/>
      <c r="AC36" s="297">
        <f t="shared" si="28"/>
        <v>0</v>
      </c>
      <c r="AD36" s="1248">
        <f t="shared" si="2"/>
        <v>0</v>
      </c>
      <c r="AE36" s="1032"/>
      <c r="AF36" s="1032"/>
      <c r="AG36" s="1032"/>
      <c r="AH36" s="1247">
        <f t="shared" si="23"/>
        <v>0</v>
      </c>
      <c r="AI36" s="922">
        <f t="shared" si="3"/>
        <v>0</v>
      </c>
      <c r="AJ36" s="1032"/>
      <c r="AK36" s="1032"/>
      <c r="AL36" s="514"/>
      <c r="AM36" s="297">
        <f t="shared" si="4"/>
        <v>0</v>
      </c>
      <c r="AN36" s="1248">
        <f t="shared" si="5"/>
        <v>0</v>
      </c>
      <c r="AO36" s="1032"/>
      <c r="AP36" s="1032"/>
      <c r="AQ36" s="1251"/>
      <c r="AR36" s="1247">
        <f t="shared" si="24"/>
        <v>0</v>
      </c>
      <c r="AS36" s="922">
        <f t="shared" si="6"/>
        <v>0</v>
      </c>
      <c r="AT36" s="1251"/>
      <c r="AU36" s="1032"/>
      <c r="AV36" s="1032"/>
      <c r="AW36" s="297">
        <f t="shared" si="7"/>
        <v>0</v>
      </c>
      <c r="AX36" s="1248">
        <f t="shared" si="8"/>
        <v>0</v>
      </c>
      <c r="AY36" s="1251"/>
      <c r="AZ36" s="1032"/>
      <c r="BA36" s="1032"/>
      <c r="BB36" s="297">
        <f t="shared" si="25"/>
        <v>0</v>
      </c>
      <c r="BC36" s="922">
        <f t="shared" si="9"/>
        <v>0</v>
      </c>
      <c r="BD36" s="1253">
        <v>-100584073.12000002</v>
      </c>
      <c r="BE36" s="1252">
        <v>-100993915.07453825</v>
      </c>
      <c r="BF36" s="1252"/>
      <c r="BG36" s="297">
        <f t="shared" si="10"/>
        <v>409841.95453822613</v>
      </c>
      <c r="BH36" s="1248">
        <f t="shared" si="11"/>
        <v>0</v>
      </c>
      <c r="BI36" s="1253">
        <v>2681697.383312691</v>
      </c>
      <c r="BJ36" s="1252">
        <v>-7241392.7044548607</v>
      </c>
      <c r="BK36" s="1252">
        <v>0</v>
      </c>
      <c r="BL36" s="1247">
        <f t="shared" si="26"/>
        <v>9923090.0877675526</v>
      </c>
      <c r="BM36" s="1253"/>
      <c r="BN36" s="1253"/>
      <c r="BO36" s="1248">
        <f t="shared" si="14"/>
        <v>409841.95453822613</v>
      </c>
      <c r="BP36" s="311">
        <f t="shared" si="15"/>
        <v>9923090.0877675526</v>
      </c>
      <c r="BQ36" s="326"/>
      <c r="BR36" s="1253"/>
      <c r="BS36" s="322">
        <f t="shared" si="16"/>
        <v>9923090.0877675526</v>
      </c>
      <c r="BT36" s="1254">
        <f t="shared" si="29"/>
        <v>0</v>
      </c>
      <c r="BU36" s="787" t="s">
        <v>128</v>
      </c>
      <c r="BV36" s="416">
        <v>10332931.970000001</v>
      </c>
      <c r="BW36" s="796">
        <f t="shared" si="12"/>
        <v>-7.0000000000000007E-2</v>
      </c>
      <c r="BX36" s="487" t="str">
        <f t="shared" si="17"/>
        <v/>
      </c>
      <c r="BY36" s="49"/>
      <c r="BZ36" s="49"/>
      <c r="CA36" s="49"/>
      <c r="CB36" s="49"/>
    </row>
    <row r="37" spans="1:80" ht="45.75" thickBot="1" x14ac:dyDescent="0.25">
      <c r="C37" s="304" t="s">
        <v>6504</v>
      </c>
      <c r="D37" s="1263">
        <v>1595</v>
      </c>
      <c r="E37" s="1245"/>
      <c r="F37" s="1246"/>
      <c r="G37" s="1246"/>
      <c r="H37" s="1246"/>
      <c r="I37" s="297">
        <f t="shared" si="18"/>
        <v>0</v>
      </c>
      <c r="J37" s="1246"/>
      <c r="K37" s="1246"/>
      <c r="L37" s="1246"/>
      <c r="M37" s="1246"/>
      <c r="N37" s="297">
        <f t="shared" si="19"/>
        <v>0</v>
      </c>
      <c r="O37" s="922">
        <f t="shared" si="20"/>
        <v>0</v>
      </c>
      <c r="P37" s="1032"/>
      <c r="Q37" s="1032"/>
      <c r="R37" s="1032"/>
      <c r="S37" s="297">
        <f t="shared" si="27"/>
        <v>0</v>
      </c>
      <c r="T37" s="297">
        <f t="shared" si="1"/>
        <v>0</v>
      </c>
      <c r="U37" s="1032"/>
      <c r="V37" s="1032"/>
      <c r="W37" s="1032"/>
      <c r="X37" s="1247">
        <f t="shared" si="21"/>
        <v>0</v>
      </c>
      <c r="Y37" s="922">
        <f t="shared" si="13"/>
        <v>0</v>
      </c>
      <c r="Z37" s="1032"/>
      <c r="AA37" s="1032"/>
      <c r="AB37" s="1032"/>
      <c r="AC37" s="297">
        <f t="shared" si="28"/>
        <v>0</v>
      </c>
      <c r="AD37" s="1248">
        <f t="shared" si="2"/>
        <v>0</v>
      </c>
      <c r="AE37" s="1032"/>
      <c r="AF37" s="1032"/>
      <c r="AG37" s="1032"/>
      <c r="AH37" s="1247">
        <f t="shared" si="23"/>
        <v>0</v>
      </c>
      <c r="AI37" s="922">
        <f t="shared" si="3"/>
        <v>0</v>
      </c>
      <c r="AJ37" s="1032"/>
      <c r="AK37" s="1032"/>
      <c r="AL37" s="514"/>
      <c r="AM37" s="297">
        <f t="shared" si="4"/>
        <v>0</v>
      </c>
      <c r="AN37" s="1248">
        <f t="shared" si="5"/>
        <v>0</v>
      </c>
      <c r="AO37" s="1032"/>
      <c r="AP37" s="1032"/>
      <c r="AQ37" s="1251"/>
      <c r="AR37" s="1247">
        <f t="shared" si="24"/>
        <v>0</v>
      </c>
      <c r="AS37" s="922">
        <f t="shared" si="6"/>
        <v>0</v>
      </c>
      <c r="AT37" s="1251"/>
      <c r="AU37" s="1032"/>
      <c r="AV37" s="1032"/>
      <c r="AW37" s="297">
        <f t="shared" si="7"/>
        <v>0</v>
      </c>
      <c r="AX37" s="1248">
        <f t="shared" si="8"/>
        <v>0</v>
      </c>
      <c r="AY37" s="1251"/>
      <c r="AZ37" s="1032"/>
      <c r="BA37" s="1032"/>
      <c r="BB37" s="297">
        <f t="shared" si="25"/>
        <v>0</v>
      </c>
      <c r="BC37" s="922">
        <f t="shared" si="9"/>
        <v>0</v>
      </c>
      <c r="BD37" s="1253"/>
      <c r="BE37" s="1252"/>
      <c r="BF37" s="1252"/>
      <c r="BG37" s="297">
        <f t="shared" si="10"/>
        <v>0</v>
      </c>
      <c r="BH37" s="1248">
        <f t="shared" si="11"/>
        <v>0</v>
      </c>
      <c r="BI37" s="1253"/>
      <c r="BJ37" s="1252"/>
      <c r="BK37" s="1252"/>
      <c r="BL37" s="1247">
        <f t="shared" si="26"/>
        <v>0</v>
      </c>
      <c r="BM37" s="1253"/>
      <c r="BN37" s="1253"/>
      <c r="BO37" s="1248">
        <f t="shared" si="14"/>
        <v>0</v>
      </c>
      <c r="BP37" s="311">
        <f t="shared" si="15"/>
        <v>0</v>
      </c>
      <c r="BQ37" s="326"/>
      <c r="BR37" s="1253"/>
      <c r="BS37" s="322">
        <f t="shared" si="16"/>
        <v>0</v>
      </c>
      <c r="BT37" s="1254">
        <f t="shared" si="29"/>
        <v>0</v>
      </c>
      <c r="BU37" s="787" t="s">
        <v>128</v>
      </c>
      <c r="BV37" s="416"/>
      <c r="BW37" s="796">
        <f t="shared" si="12"/>
        <v>0</v>
      </c>
      <c r="BX37" s="487" t="str">
        <f t="shared" si="17"/>
        <v/>
      </c>
      <c r="BY37" s="49"/>
      <c r="BZ37" s="49"/>
      <c r="CA37" s="49"/>
      <c r="CB37" s="49"/>
    </row>
    <row r="38" spans="1:80" x14ac:dyDescent="0.25">
      <c r="C38" s="303"/>
      <c r="D38" s="1244"/>
      <c r="E38" s="335"/>
      <c r="F38" s="335"/>
      <c r="G38" s="335"/>
      <c r="H38" s="335"/>
      <c r="I38" s="335"/>
      <c r="J38" s="335"/>
      <c r="K38" s="335"/>
      <c r="L38" s="335"/>
      <c r="M38" s="335"/>
      <c r="N38" s="1264"/>
      <c r="O38" s="339"/>
      <c r="P38" s="335"/>
      <c r="Q38" s="335"/>
      <c r="R38" s="335"/>
      <c r="S38" s="335"/>
      <c r="T38" s="335"/>
      <c r="U38" s="335"/>
      <c r="V38" s="335"/>
      <c r="W38" s="335"/>
      <c r="X38" s="1264"/>
      <c r="Y38" s="339"/>
      <c r="Z38" s="335"/>
      <c r="AA38" s="335"/>
      <c r="AB38" s="335"/>
      <c r="AC38" s="335"/>
      <c r="AD38" s="335"/>
      <c r="AE38" s="335"/>
      <c r="AF38" s="335"/>
      <c r="AG38" s="335"/>
      <c r="AH38" s="1264"/>
      <c r="AI38" s="340"/>
      <c r="AJ38" s="337"/>
      <c r="AK38" s="337"/>
      <c r="AL38" s="337"/>
      <c r="AM38" s="337"/>
      <c r="AN38" s="337"/>
      <c r="AO38" s="337"/>
      <c r="AP38" s="337"/>
      <c r="AQ38" s="337"/>
      <c r="AR38" s="1265"/>
      <c r="AS38" s="340"/>
      <c r="AT38" s="337"/>
      <c r="AU38" s="337"/>
      <c r="AV38" s="337"/>
      <c r="AW38" s="337"/>
      <c r="AX38" s="337"/>
      <c r="AY38" s="337"/>
      <c r="AZ38" s="337"/>
      <c r="BA38" s="337"/>
      <c r="BB38" s="337"/>
      <c r="BC38" s="340"/>
      <c r="BD38" s="337"/>
      <c r="BE38" s="337"/>
      <c r="BF38" s="337"/>
      <c r="BG38" s="337"/>
      <c r="BH38" s="337"/>
      <c r="BI38" s="337"/>
      <c r="BJ38" s="337"/>
      <c r="BK38" s="337"/>
      <c r="BL38" s="1265"/>
      <c r="BM38" s="340"/>
      <c r="BN38" s="337"/>
      <c r="BO38" s="297"/>
      <c r="BP38" s="297"/>
      <c r="BQ38" s="336"/>
      <c r="BR38" s="323"/>
      <c r="BS38" s="282"/>
      <c r="BT38" s="362"/>
      <c r="BU38" s="297"/>
      <c r="BV38" s="797"/>
      <c r="BW38" s="796"/>
      <c r="BX38" s="487" t="str">
        <f t="shared" si="17"/>
        <v/>
      </c>
      <c r="BY38" s="49"/>
      <c r="BZ38" s="49"/>
      <c r="CA38" s="49"/>
      <c r="CB38" s="49"/>
    </row>
    <row r="39" spans="1:80" ht="15.75" thickBot="1" x14ac:dyDescent="0.3">
      <c r="C39" s="305" t="s">
        <v>153</v>
      </c>
      <c r="D39" s="1266">
        <v>1589</v>
      </c>
      <c r="E39" s="297">
        <f>E29</f>
        <v>0</v>
      </c>
      <c r="F39" s="297">
        <f t="shared" ref="F39:BL39" si="30">F29</f>
        <v>0</v>
      </c>
      <c r="G39" s="297">
        <f t="shared" si="30"/>
        <v>0</v>
      </c>
      <c r="H39" s="297">
        <f t="shared" si="30"/>
        <v>0</v>
      </c>
      <c r="I39" s="297">
        <f t="shared" si="30"/>
        <v>0</v>
      </c>
      <c r="J39" s="297">
        <f t="shared" si="30"/>
        <v>0</v>
      </c>
      <c r="K39" s="297">
        <f t="shared" si="30"/>
        <v>0</v>
      </c>
      <c r="L39" s="297">
        <f t="shared" si="30"/>
        <v>0</v>
      </c>
      <c r="M39" s="297">
        <f t="shared" si="30"/>
        <v>0</v>
      </c>
      <c r="N39" s="297">
        <f t="shared" si="30"/>
        <v>0</v>
      </c>
      <c r="O39" s="297">
        <f>O29</f>
        <v>0</v>
      </c>
      <c r="P39" s="297">
        <f t="shared" si="30"/>
        <v>0</v>
      </c>
      <c r="Q39" s="297">
        <f t="shared" si="30"/>
        <v>0</v>
      </c>
      <c r="R39" s="297">
        <f t="shared" si="30"/>
        <v>0</v>
      </c>
      <c r="S39" s="297">
        <f t="shared" si="30"/>
        <v>0</v>
      </c>
      <c r="T39" s="297">
        <f t="shared" si="30"/>
        <v>0</v>
      </c>
      <c r="U39" s="297">
        <f t="shared" si="30"/>
        <v>0</v>
      </c>
      <c r="V39" s="297">
        <f t="shared" si="30"/>
        <v>0</v>
      </c>
      <c r="W39" s="297">
        <f t="shared" si="30"/>
        <v>0</v>
      </c>
      <c r="X39" s="297">
        <f t="shared" si="30"/>
        <v>0</v>
      </c>
      <c r="Y39" s="297">
        <f>Y29</f>
        <v>0</v>
      </c>
      <c r="Z39" s="297">
        <f t="shared" si="30"/>
        <v>0</v>
      </c>
      <c r="AA39" s="297">
        <f t="shared" si="30"/>
        <v>0</v>
      </c>
      <c r="AB39" s="297">
        <f t="shared" si="30"/>
        <v>0</v>
      </c>
      <c r="AC39" s="297">
        <f t="shared" si="30"/>
        <v>0</v>
      </c>
      <c r="AD39" s="297">
        <f t="shared" si="30"/>
        <v>0</v>
      </c>
      <c r="AE39" s="297">
        <f t="shared" si="30"/>
        <v>0</v>
      </c>
      <c r="AF39" s="297">
        <f t="shared" si="30"/>
        <v>0</v>
      </c>
      <c r="AG39" s="297">
        <f t="shared" si="30"/>
        <v>0</v>
      </c>
      <c r="AH39" s="297">
        <f t="shared" si="30"/>
        <v>0</v>
      </c>
      <c r="AI39" s="297">
        <f>AI29</f>
        <v>0</v>
      </c>
      <c r="AJ39" s="297">
        <f t="shared" si="30"/>
        <v>0</v>
      </c>
      <c r="AK39" s="297">
        <f t="shared" si="30"/>
        <v>0</v>
      </c>
      <c r="AL39" s="297">
        <f t="shared" si="30"/>
        <v>0</v>
      </c>
      <c r="AM39" s="297">
        <f t="shared" si="30"/>
        <v>0</v>
      </c>
      <c r="AN39" s="297">
        <f t="shared" si="30"/>
        <v>0</v>
      </c>
      <c r="AO39" s="297">
        <f t="shared" si="30"/>
        <v>0</v>
      </c>
      <c r="AP39" s="297">
        <f t="shared" si="30"/>
        <v>0</v>
      </c>
      <c r="AQ39" s="297">
        <f t="shared" si="30"/>
        <v>0</v>
      </c>
      <c r="AR39" s="297">
        <f t="shared" si="30"/>
        <v>0</v>
      </c>
      <c r="AS39" s="297">
        <f>AS29</f>
        <v>0</v>
      </c>
      <c r="AT39" s="297">
        <f t="shared" si="30"/>
        <v>0</v>
      </c>
      <c r="AU39" s="297">
        <f t="shared" si="30"/>
        <v>0</v>
      </c>
      <c r="AV39" s="297">
        <f t="shared" si="30"/>
        <v>7622242.475700628</v>
      </c>
      <c r="AW39" s="297">
        <f t="shared" si="30"/>
        <v>7622242.475700628</v>
      </c>
      <c r="AX39" s="297">
        <f t="shared" si="30"/>
        <v>0</v>
      </c>
      <c r="AY39" s="297">
        <f t="shared" si="30"/>
        <v>0</v>
      </c>
      <c r="AZ39" s="297">
        <f t="shared" si="30"/>
        <v>0</v>
      </c>
      <c r="BA39" s="297">
        <f t="shared" si="30"/>
        <v>859066.20387987699</v>
      </c>
      <c r="BB39" s="297">
        <f t="shared" si="30"/>
        <v>859066.20387987699</v>
      </c>
      <c r="BC39" s="297">
        <f>BC29</f>
        <v>7622242.475700628</v>
      </c>
      <c r="BD39" s="297">
        <f t="shared" si="30"/>
        <v>39819105.050000012</v>
      </c>
      <c r="BE39" s="297">
        <f t="shared" si="30"/>
        <v>0</v>
      </c>
      <c r="BF39" s="297">
        <f t="shared" si="30"/>
        <v>-4956319.0082938671</v>
      </c>
      <c r="BG39" s="297">
        <f t="shared" si="30"/>
        <v>42485028.517406777</v>
      </c>
      <c r="BH39" s="297">
        <f t="shared" si="30"/>
        <v>859066.20387987699</v>
      </c>
      <c r="BI39" s="297">
        <f t="shared" si="30"/>
        <v>960021.69310464186</v>
      </c>
      <c r="BJ39" s="297">
        <f t="shared" si="30"/>
        <v>0</v>
      </c>
      <c r="BK39" s="297">
        <f t="shared" si="30"/>
        <v>0</v>
      </c>
      <c r="BL39" s="297">
        <f t="shared" si="30"/>
        <v>1819087.896984519</v>
      </c>
      <c r="BM39" s="296">
        <f>BM29</f>
        <v>7622242</v>
      </c>
      <c r="BN39" s="297">
        <f t="shared" ref="BN39:BT39" si="31">BN29</f>
        <v>872634</v>
      </c>
      <c r="BO39" s="297">
        <f t="shared" si="31"/>
        <v>34862786.517406777</v>
      </c>
      <c r="BP39" s="297">
        <f t="shared" si="31"/>
        <v>946453.89698451897</v>
      </c>
      <c r="BQ39" s="296">
        <f t="shared" si="31"/>
        <v>906141.63014799473</v>
      </c>
      <c r="BR39" s="297">
        <f t="shared" si="31"/>
        <v>0</v>
      </c>
      <c r="BS39" s="297">
        <f t="shared" si="31"/>
        <v>1852595.5271325137</v>
      </c>
      <c r="BT39" s="361">
        <f t="shared" si="31"/>
        <v>36715382.044539288</v>
      </c>
      <c r="BU39" s="297"/>
      <c r="BV39" s="795">
        <f>BV29</f>
        <v>46203185.939999998</v>
      </c>
      <c r="BW39" s="796">
        <f>ROUND(BV39-SUM(BG39,BL39),2)</f>
        <v>1899069.53</v>
      </c>
      <c r="BX39" s="487"/>
      <c r="BY39" s="49"/>
      <c r="BZ39" s="49"/>
      <c r="CA39" s="49"/>
      <c r="CB39" s="49"/>
    </row>
    <row r="40" spans="1:80" s="282" customFormat="1" ht="15.75" thickBot="1" x14ac:dyDescent="0.3">
      <c r="A40"/>
      <c r="B40"/>
      <c r="C40" s="306" t="s">
        <v>154</v>
      </c>
      <c r="D40" s="1267"/>
      <c r="E40" s="297">
        <f>E41-E29</f>
        <v>0</v>
      </c>
      <c r="F40" s="297">
        <f t="shared" ref="F40:BQ40" si="32">F41-F29</f>
        <v>0</v>
      </c>
      <c r="G40" s="297">
        <f t="shared" si="32"/>
        <v>0</v>
      </c>
      <c r="H40" s="297">
        <f t="shared" si="32"/>
        <v>0</v>
      </c>
      <c r="I40" s="297">
        <f t="shared" si="32"/>
        <v>0</v>
      </c>
      <c r="J40" s="297">
        <f t="shared" si="32"/>
        <v>0</v>
      </c>
      <c r="K40" s="297">
        <f t="shared" si="32"/>
        <v>0</v>
      </c>
      <c r="L40" s="297">
        <f t="shared" si="32"/>
        <v>0</v>
      </c>
      <c r="M40" s="297">
        <f t="shared" si="32"/>
        <v>0</v>
      </c>
      <c r="N40" s="1247">
        <f t="shared" si="32"/>
        <v>0</v>
      </c>
      <c r="O40" s="297">
        <f t="shared" si="32"/>
        <v>0</v>
      </c>
      <c r="P40" s="297">
        <f t="shared" si="32"/>
        <v>25890096.36328746</v>
      </c>
      <c r="Q40" s="297">
        <f t="shared" si="32"/>
        <v>70380410.352973074</v>
      </c>
      <c r="R40" s="297">
        <f t="shared" si="32"/>
        <v>0</v>
      </c>
      <c r="S40" s="297">
        <f t="shared" si="32"/>
        <v>-44490313.98968561</v>
      </c>
      <c r="T40" s="297">
        <f t="shared" si="32"/>
        <v>0</v>
      </c>
      <c r="U40" s="297">
        <f t="shared" si="32"/>
        <v>-742533.23945787072</v>
      </c>
      <c r="V40" s="297">
        <f t="shared" si="32"/>
        <v>1975065.3908565242</v>
      </c>
      <c r="W40" s="297">
        <f t="shared" si="32"/>
        <v>0</v>
      </c>
      <c r="X40" s="297">
        <f t="shared" si="32"/>
        <v>-2717598.6303143948</v>
      </c>
      <c r="Y40" s="296">
        <f t="shared" si="32"/>
        <v>-44490313.98968561</v>
      </c>
      <c r="Z40" s="297">
        <f t="shared" si="32"/>
        <v>-1794479.5129543394</v>
      </c>
      <c r="AA40" s="297">
        <f t="shared" si="32"/>
        <v>-43217479.884977572</v>
      </c>
      <c r="AB40" s="297">
        <f t="shared" si="32"/>
        <v>0</v>
      </c>
      <c r="AC40" s="297">
        <f t="shared" si="32"/>
        <v>-3067313.6176623777</v>
      </c>
      <c r="AD40" s="297">
        <f t="shared" si="32"/>
        <v>-2717598.6303143948</v>
      </c>
      <c r="AE40" s="297">
        <f t="shared" si="32"/>
        <v>-204104.0678572357</v>
      </c>
      <c r="AF40" s="297">
        <f t="shared" si="32"/>
        <v>36115.51011903584</v>
      </c>
      <c r="AG40" s="297">
        <f t="shared" si="32"/>
        <v>0</v>
      </c>
      <c r="AH40" s="297">
        <f t="shared" si="32"/>
        <v>-2957818.2082906663</v>
      </c>
      <c r="AI40" s="296">
        <f t="shared" si="32"/>
        <v>-3067313.6176623777</v>
      </c>
      <c r="AJ40" s="297">
        <f t="shared" si="32"/>
        <v>30267602.047321815</v>
      </c>
      <c r="AK40" s="297">
        <f t="shared" si="32"/>
        <v>31422955.32</v>
      </c>
      <c r="AL40" s="297">
        <f t="shared" si="32"/>
        <v>-1775035.3052481445</v>
      </c>
      <c r="AM40" s="297">
        <f t="shared" si="32"/>
        <v>-5997702.195588707</v>
      </c>
      <c r="AN40" s="297">
        <f t="shared" si="32"/>
        <v>-2957818.2082906663</v>
      </c>
      <c r="AO40" s="297">
        <f t="shared" si="32"/>
        <v>-334460.72907191771</v>
      </c>
      <c r="AP40" s="297">
        <f t="shared" si="32"/>
        <v>1993945.3096311707</v>
      </c>
      <c r="AQ40" s="297">
        <f t="shared" si="32"/>
        <v>2621317.1949131968</v>
      </c>
      <c r="AR40" s="297">
        <f t="shared" si="32"/>
        <v>-2664907.0520805577</v>
      </c>
      <c r="AS40" s="1268">
        <f t="shared" si="32"/>
        <v>-5997702.195588707</v>
      </c>
      <c r="AT40" s="297">
        <f t="shared" si="32"/>
        <v>-1740515.2395506278</v>
      </c>
      <c r="AU40" s="297">
        <f t="shared" si="32"/>
        <v>27836697.137823395</v>
      </c>
      <c r="AV40" s="297">
        <f t="shared" si="32"/>
        <v>153976792.42903036</v>
      </c>
      <c r="AW40" s="297">
        <f t="shared" si="32"/>
        <v>118401877.85606763</v>
      </c>
      <c r="AX40" s="297">
        <f t="shared" si="32"/>
        <v>-2664907.0520805577</v>
      </c>
      <c r="AY40" s="297">
        <f t="shared" si="32"/>
        <v>-2133749.0883342861</v>
      </c>
      <c r="AZ40" s="297">
        <f t="shared" si="32"/>
        <v>9014365.5699999984</v>
      </c>
      <c r="BA40" s="297">
        <f t="shared" si="32"/>
        <v>9543972.3156494759</v>
      </c>
      <c r="BB40" s="297">
        <f t="shared" si="32"/>
        <v>-4269049.3947653631</v>
      </c>
      <c r="BC40" s="296">
        <f t="shared" si="32"/>
        <v>118401877.85606763</v>
      </c>
      <c r="BD40" s="297">
        <f t="shared" si="32"/>
        <v>-12533348.291370377</v>
      </c>
      <c r="BE40" s="297">
        <f t="shared" si="32"/>
        <v>0</v>
      </c>
      <c r="BF40" s="297">
        <f t="shared" si="32"/>
        <v>-3640759.5621520113</v>
      </c>
      <c r="BG40" s="297">
        <f t="shared" si="32"/>
        <v>102227770.00254519</v>
      </c>
      <c r="BH40" s="297">
        <f t="shared" si="32"/>
        <v>-4269049.3947653631</v>
      </c>
      <c r="BI40" s="297">
        <f t="shared" si="32"/>
        <v>5774065.7275959998</v>
      </c>
      <c r="BJ40" s="297">
        <f t="shared" si="32"/>
        <v>16891.779999999329</v>
      </c>
      <c r="BK40" s="297">
        <f t="shared" si="32"/>
        <v>2116829.5242549954</v>
      </c>
      <c r="BL40" s="297">
        <f t="shared" si="32"/>
        <v>3604954.0770856296</v>
      </c>
      <c r="BM40" s="296">
        <f t="shared" si="32"/>
        <v>54366736.221006237</v>
      </c>
      <c r="BN40" s="297">
        <f t="shared" si="32"/>
        <v>6093330</v>
      </c>
      <c r="BO40" s="297">
        <f t="shared" si="32"/>
        <v>47861033.781539008</v>
      </c>
      <c r="BP40" s="297">
        <f t="shared" si="32"/>
        <v>-2488375.9229143704</v>
      </c>
      <c r="BQ40" s="296">
        <f t="shared" si="32"/>
        <v>1089361.6179093497</v>
      </c>
      <c r="BR40" s="297">
        <f>BR41-BR29</f>
        <v>0</v>
      </c>
      <c r="BS40" s="297">
        <f>BS41-BS29</f>
        <v>-1399014.3050050202</v>
      </c>
      <c r="BT40" s="297">
        <f>SUM(BT21:BT37)-BT29</f>
        <v>38654748.946533993</v>
      </c>
      <c r="BU40" s="297"/>
      <c r="BV40" s="795">
        <f>SUM(BV21:BV37)-BV29-BV24-BV25</f>
        <v>103955661.02999997</v>
      </c>
      <c r="BW40" s="796">
        <f>ROUND(BV40-SUM(BG40,BL40),2)</f>
        <v>-1877063.05</v>
      </c>
      <c r="BX40" s="487"/>
      <c r="BY40" s="323"/>
      <c r="BZ40" s="323"/>
      <c r="CA40" s="323"/>
      <c r="CB40" s="323"/>
    </row>
    <row r="41" spans="1:80" s="282" customFormat="1" ht="15.75" thickBot="1" x14ac:dyDescent="0.3">
      <c r="A41"/>
      <c r="B41"/>
      <c r="C41" s="306" t="s">
        <v>155</v>
      </c>
      <c r="D41" s="1267"/>
      <c r="E41" s="297">
        <f>SUM(E21:E37)</f>
        <v>0</v>
      </c>
      <c r="F41" s="297">
        <f t="shared" ref="F41:BQ41" si="33">SUM(F21:F37)</f>
        <v>0</v>
      </c>
      <c r="G41" s="297">
        <f t="shared" si="33"/>
        <v>0</v>
      </c>
      <c r="H41" s="297">
        <f t="shared" si="33"/>
        <v>0</v>
      </c>
      <c r="I41" s="297">
        <f t="shared" si="33"/>
        <v>0</v>
      </c>
      <c r="J41" s="297">
        <f t="shared" si="33"/>
        <v>0</v>
      </c>
      <c r="K41" s="297">
        <f t="shared" si="33"/>
        <v>0</v>
      </c>
      <c r="L41" s="297">
        <f t="shared" si="33"/>
        <v>0</v>
      </c>
      <c r="M41" s="297">
        <f t="shared" si="33"/>
        <v>0</v>
      </c>
      <c r="N41" s="297">
        <f t="shared" si="33"/>
        <v>0</v>
      </c>
      <c r="O41" s="296">
        <f t="shared" si="33"/>
        <v>0</v>
      </c>
      <c r="P41" s="297">
        <f t="shared" si="33"/>
        <v>25890096.36328746</v>
      </c>
      <c r="Q41" s="297">
        <f t="shared" si="33"/>
        <v>70380410.352973074</v>
      </c>
      <c r="R41" s="297">
        <f t="shared" si="33"/>
        <v>0</v>
      </c>
      <c r="S41" s="297">
        <f t="shared" si="33"/>
        <v>-44490313.98968561</v>
      </c>
      <c r="T41" s="297">
        <f t="shared" si="33"/>
        <v>0</v>
      </c>
      <c r="U41" s="297">
        <f t="shared" si="33"/>
        <v>-742533.23945787072</v>
      </c>
      <c r="V41" s="297">
        <f t="shared" si="33"/>
        <v>1975065.3908565242</v>
      </c>
      <c r="W41" s="297">
        <f t="shared" si="33"/>
        <v>0</v>
      </c>
      <c r="X41" s="1247">
        <f t="shared" si="33"/>
        <v>-2717598.6303143948</v>
      </c>
      <c r="Y41" s="297">
        <f t="shared" si="33"/>
        <v>-44490313.98968561</v>
      </c>
      <c r="Z41" s="297">
        <f t="shared" si="33"/>
        <v>-1794479.5129543394</v>
      </c>
      <c r="AA41" s="297">
        <f t="shared" si="33"/>
        <v>-43217479.884977572</v>
      </c>
      <c r="AB41" s="297">
        <f t="shared" si="33"/>
        <v>0</v>
      </c>
      <c r="AC41" s="297">
        <f t="shared" si="33"/>
        <v>-3067313.6176623777</v>
      </c>
      <c r="AD41" s="297">
        <f t="shared" si="33"/>
        <v>-2717598.6303143948</v>
      </c>
      <c r="AE41" s="297">
        <f t="shared" si="33"/>
        <v>-204104.0678572357</v>
      </c>
      <c r="AF41" s="297">
        <f t="shared" si="33"/>
        <v>36115.51011903584</v>
      </c>
      <c r="AG41" s="297">
        <f t="shared" si="33"/>
        <v>0</v>
      </c>
      <c r="AH41" s="1247">
        <f t="shared" si="33"/>
        <v>-2957818.2082906663</v>
      </c>
      <c r="AI41" s="297">
        <f t="shared" si="33"/>
        <v>-3067313.6176623777</v>
      </c>
      <c r="AJ41" s="297">
        <f t="shared" si="33"/>
        <v>30267602.047321815</v>
      </c>
      <c r="AK41" s="297">
        <f t="shared" si="33"/>
        <v>31422955.32</v>
      </c>
      <c r="AL41" s="297">
        <f t="shared" si="33"/>
        <v>-1775035.3052481445</v>
      </c>
      <c r="AM41" s="297">
        <f t="shared" si="33"/>
        <v>-5997702.195588707</v>
      </c>
      <c r="AN41" s="297">
        <f t="shared" si="33"/>
        <v>-2957818.2082906663</v>
      </c>
      <c r="AO41" s="297">
        <f t="shared" si="33"/>
        <v>-334460.72907191771</v>
      </c>
      <c r="AP41" s="297">
        <f t="shared" si="33"/>
        <v>1993945.3096311707</v>
      </c>
      <c r="AQ41" s="297">
        <f t="shared" si="33"/>
        <v>2621317.1949131968</v>
      </c>
      <c r="AR41" s="297">
        <f t="shared" si="33"/>
        <v>-2664907.0520805577</v>
      </c>
      <c r="AS41" s="1269">
        <f t="shared" si="33"/>
        <v>-5997702.195588707</v>
      </c>
      <c r="AT41" s="297">
        <f t="shared" si="33"/>
        <v>-1740515.2395506278</v>
      </c>
      <c r="AU41" s="297">
        <f t="shared" si="33"/>
        <v>27836697.137823395</v>
      </c>
      <c r="AV41" s="297">
        <f t="shared" si="33"/>
        <v>161599034.90473098</v>
      </c>
      <c r="AW41" s="297">
        <f t="shared" si="33"/>
        <v>126024120.33176826</v>
      </c>
      <c r="AX41" s="297">
        <f t="shared" si="33"/>
        <v>-2664907.0520805577</v>
      </c>
      <c r="AY41" s="297">
        <f t="shared" si="33"/>
        <v>-2133749.0883342861</v>
      </c>
      <c r="AZ41" s="297">
        <f t="shared" si="33"/>
        <v>9014365.5699999984</v>
      </c>
      <c r="BA41" s="297">
        <f t="shared" si="33"/>
        <v>10403038.519529354</v>
      </c>
      <c r="BB41" s="297">
        <f t="shared" si="33"/>
        <v>-3409983.1908854861</v>
      </c>
      <c r="BC41" s="296">
        <f t="shared" si="33"/>
        <v>126024120.33176826</v>
      </c>
      <c r="BD41" s="297">
        <f t="shared" si="33"/>
        <v>27285756.758629635</v>
      </c>
      <c r="BE41" s="297">
        <f t="shared" si="33"/>
        <v>0</v>
      </c>
      <c r="BF41" s="297">
        <f t="shared" si="33"/>
        <v>-8597078.5704458784</v>
      </c>
      <c r="BG41" s="297">
        <f t="shared" si="33"/>
        <v>144712798.51995197</v>
      </c>
      <c r="BH41" s="297">
        <f t="shared" si="33"/>
        <v>-3409983.1908854861</v>
      </c>
      <c r="BI41" s="297">
        <f t="shared" si="33"/>
        <v>6734087.4207006413</v>
      </c>
      <c r="BJ41" s="297">
        <f t="shared" si="33"/>
        <v>16891.779999999329</v>
      </c>
      <c r="BK41" s="297">
        <f t="shared" si="33"/>
        <v>2116829.5242549954</v>
      </c>
      <c r="BL41" s="1247">
        <f t="shared" si="33"/>
        <v>5424041.9740701485</v>
      </c>
      <c r="BM41" s="296">
        <f t="shared" si="33"/>
        <v>61988978.221006237</v>
      </c>
      <c r="BN41" s="297">
        <f t="shared" si="33"/>
        <v>6965964</v>
      </c>
      <c r="BO41" s="297">
        <f t="shared" si="33"/>
        <v>82723820.298945785</v>
      </c>
      <c r="BP41" s="297">
        <f t="shared" si="33"/>
        <v>-1541922.0259298515</v>
      </c>
      <c r="BQ41" s="296">
        <f t="shared" si="33"/>
        <v>1995503.2480573445</v>
      </c>
      <c r="BR41" s="297">
        <f>SUM(BR21:BR37)</f>
        <v>0</v>
      </c>
      <c r="BS41" s="297">
        <f>SUM(BS21:BS37)</f>
        <v>453581.22212749347</v>
      </c>
      <c r="BT41" s="297">
        <f>SUM(BT39,BT40)</f>
        <v>75370130.991073281</v>
      </c>
      <c r="BU41" s="297"/>
      <c r="BV41" s="795">
        <f>SUM(BV39,BV40)</f>
        <v>150158846.96999997</v>
      </c>
      <c r="BW41" s="796">
        <f>ROUND(BV41-SUM(BG41,BL41),2)</f>
        <v>22006.48</v>
      </c>
      <c r="BX41" s="487"/>
      <c r="BY41" s="323"/>
      <c r="BZ41" s="323"/>
      <c r="CA41" s="323"/>
      <c r="CB41" s="323"/>
    </row>
    <row r="42" spans="1:80" s="282" customFormat="1" ht="15.75" thickBot="1" x14ac:dyDescent="0.3">
      <c r="A42"/>
      <c r="B42"/>
      <c r="C42" s="306"/>
      <c r="D42" s="1267"/>
      <c r="E42" s="297"/>
      <c r="F42" s="297"/>
      <c r="G42" s="297"/>
      <c r="H42" s="297"/>
      <c r="I42" s="297"/>
      <c r="J42" s="297"/>
      <c r="K42" s="297"/>
      <c r="L42" s="297"/>
      <c r="M42" s="297"/>
      <c r="N42" s="1247"/>
      <c r="O42" s="297"/>
      <c r="P42" s="297"/>
      <c r="Q42" s="297"/>
      <c r="R42" s="297"/>
      <c r="S42" s="297"/>
      <c r="T42" s="297"/>
      <c r="U42" s="297"/>
      <c r="V42" s="297"/>
      <c r="W42" s="297"/>
      <c r="X42" s="1247"/>
      <c r="Y42" s="297"/>
      <c r="Z42" s="297"/>
      <c r="AA42" s="297"/>
      <c r="AB42" s="297"/>
      <c r="AC42" s="297"/>
      <c r="AD42" s="297"/>
      <c r="AE42" s="297"/>
      <c r="AF42" s="297"/>
      <c r="AG42" s="297"/>
      <c r="AH42" s="1247"/>
      <c r="AI42" s="297"/>
      <c r="AJ42" s="297"/>
      <c r="AK42" s="297"/>
      <c r="AL42" s="297"/>
      <c r="AM42" s="297"/>
      <c r="AN42" s="297"/>
      <c r="AO42" s="297"/>
      <c r="AP42" s="297"/>
      <c r="AQ42" s="297"/>
      <c r="AR42" s="297"/>
      <c r="AS42" s="794"/>
      <c r="AT42" s="297"/>
      <c r="AU42" s="297"/>
      <c r="AV42" s="297"/>
      <c r="AW42" s="297"/>
      <c r="AX42" s="297"/>
      <c r="AY42" s="297"/>
      <c r="AZ42" s="297"/>
      <c r="BA42" s="297"/>
      <c r="BB42" s="297"/>
      <c r="BC42" s="296"/>
      <c r="BD42" s="297"/>
      <c r="BE42" s="297"/>
      <c r="BF42" s="297"/>
      <c r="BG42" s="297"/>
      <c r="BH42" s="297"/>
      <c r="BI42" s="297"/>
      <c r="BJ42" s="297"/>
      <c r="BK42" s="297"/>
      <c r="BL42" s="1247"/>
      <c r="BM42" s="296"/>
      <c r="BN42" s="297"/>
      <c r="BO42" s="297"/>
      <c r="BP42" s="297"/>
      <c r="BQ42" s="296"/>
      <c r="BR42" s="297"/>
      <c r="BS42" s="297"/>
      <c r="BT42" s="297"/>
      <c r="BU42" s="297"/>
      <c r="BV42" s="795"/>
      <c r="BW42" s="796"/>
      <c r="BX42" s="487"/>
      <c r="BY42" s="323"/>
      <c r="BZ42" s="323"/>
      <c r="CA42" s="323"/>
      <c r="CB42" s="323"/>
    </row>
    <row r="43" spans="1:80" s="803" customFormat="1" ht="14.45" hidden="1" customHeight="1" thickBot="1" x14ac:dyDescent="0.3">
      <c r="A43" s="22"/>
      <c r="B43" s="22"/>
      <c r="C43" s="305" t="s">
        <v>156</v>
      </c>
      <c r="D43" s="1270"/>
      <c r="E43" s="297">
        <f>E29</f>
        <v>0</v>
      </c>
      <c r="F43" s="297">
        <f t="shared" ref="F43:BQ43" si="34">F29</f>
        <v>0</v>
      </c>
      <c r="G43" s="297">
        <f t="shared" si="34"/>
        <v>0</v>
      </c>
      <c r="H43" s="297">
        <f t="shared" si="34"/>
        <v>0</v>
      </c>
      <c r="I43" s="297">
        <f t="shared" si="34"/>
        <v>0</v>
      </c>
      <c r="J43" s="297">
        <f t="shared" si="34"/>
        <v>0</v>
      </c>
      <c r="K43" s="297">
        <f t="shared" si="34"/>
        <v>0</v>
      </c>
      <c r="L43" s="297">
        <f t="shared" si="34"/>
        <v>0</v>
      </c>
      <c r="M43" s="297">
        <f t="shared" si="34"/>
        <v>0</v>
      </c>
      <c r="N43" s="297">
        <f t="shared" si="34"/>
        <v>0</v>
      </c>
      <c r="O43" s="296">
        <f t="shared" si="34"/>
        <v>0</v>
      </c>
      <c r="P43" s="297">
        <f t="shared" si="34"/>
        <v>0</v>
      </c>
      <c r="Q43" s="297">
        <f t="shared" si="34"/>
        <v>0</v>
      </c>
      <c r="R43" s="297">
        <f t="shared" si="34"/>
        <v>0</v>
      </c>
      <c r="S43" s="297">
        <f t="shared" si="34"/>
        <v>0</v>
      </c>
      <c r="T43" s="297">
        <f t="shared" si="34"/>
        <v>0</v>
      </c>
      <c r="U43" s="297">
        <f t="shared" si="34"/>
        <v>0</v>
      </c>
      <c r="V43" s="297">
        <f t="shared" si="34"/>
        <v>0</v>
      </c>
      <c r="W43" s="297">
        <f t="shared" si="34"/>
        <v>0</v>
      </c>
      <c r="X43" s="297">
        <f t="shared" si="34"/>
        <v>0</v>
      </c>
      <c r="Y43" s="296">
        <f t="shared" si="34"/>
        <v>0</v>
      </c>
      <c r="Z43" s="297">
        <f t="shared" si="34"/>
        <v>0</v>
      </c>
      <c r="AA43" s="297">
        <f t="shared" si="34"/>
        <v>0</v>
      </c>
      <c r="AB43" s="297">
        <f t="shared" si="34"/>
        <v>0</v>
      </c>
      <c r="AC43" s="297">
        <f t="shared" si="34"/>
        <v>0</v>
      </c>
      <c r="AD43" s="297">
        <f t="shared" si="34"/>
        <v>0</v>
      </c>
      <c r="AE43" s="297">
        <f t="shared" si="34"/>
        <v>0</v>
      </c>
      <c r="AF43" s="297">
        <f t="shared" si="34"/>
        <v>0</v>
      </c>
      <c r="AG43" s="297">
        <f t="shared" si="34"/>
        <v>0</v>
      </c>
      <c r="AH43" s="1247">
        <f t="shared" si="34"/>
        <v>0</v>
      </c>
      <c r="AI43" s="297">
        <f t="shared" si="34"/>
        <v>0</v>
      </c>
      <c r="AJ43" s="297">
        <f t="shared" si="34"/>
        <v>0</v>
      </c>
      <c r="AK43" s="297">
        <f t="shared" si="34"/>
        <v>0</v>
      </c>
      <c r="AL43" s="297">
        <f t="shared" si="34"/>
        <v>0</v>
      </c>
      <c r="AM43" s="297">
        <f t="shared" si="34"/>
        <v>0</v>
      </c>
      <c r="AN43" s="297">
        <f t="shared" si="34"/>
        <v>0</v>
      </c>
      <c r="AO43" s="297">
        <f t="shared" si="34"/>
        <v>0</v>
      </c>
      <c r="AP43" s="297">
        <f t="shared" si="34"/>
        <v>0</v>
      </c>
      <c r="AQ43" s="297">
        <f t="shared" si="34"/>
        <v>0</v>
      </c>
      <c r="AR43" s="297">
        <f t="shared" si="34"/>
        <v>0</v>
      </c>
      <c r="AS43" s="789">
        <f t="shared" si="34"/>
        <v>0</v>
      </c>
      <c r="AT43" s="297">
        <f t="shared" si="34"/>
        <v>0</v>
      </c>
      <c r="AU43" s="297">
        <f t="shared" si="34"/>
        <v>0</v>
      </c>
      <c r="AV43" s="297">
        <f t="shared" si="34"/>
        <v>7622242.475700628</v>
      </c>
      <c r="AW43" s="297">
        <f t="shared" si="34"/>
        <v>7622242.475700628</v>
      </c>
      <c r="AX43" s="297">
        <f t="shared" si="34"/>
        <v>0</v>
      </c>
      <c r="AY43" s="297">
        <f t="shared" si="34"/>
        <v>0</v>
      </c>
      <c r="AZ43" s="297">
        <f t="shared" si="34"/>
        <v>0</v>
      </c>
      <c r="BA43" s="297">
        <f t="shared" si="34"/>
        <v>859066.20387987699</v>
      </c>
      <c r="BB43" s="1247">
        <f t="shared" si="34"/>
        <v>859066.20387987699</v>
      </c>
      <c r="BC43" s="297">
        <f t="shared" si="34"/>
        <v>7622242.475700628</v>
      </c>
      <c r="BD43" s="297">
        <f t="shared" si="34"/>
        <v>39819105.050000012</v>
      </c>
      <c r="BE43" s="297">
        <f t="shared" si="34"/>
        <v>0</v>
      </c>
      <c r="BF43" s="297">
        <f t="shared" si="34"/>
        <v>-4956319.0082938671</v>
      </c>
      <c r="BG43" s="297">
        <f t="shared" si="34"/>
        <v>42485028.517406777</v>
      </c>
      <c r="BH43" s="297">
        <f t="shared" si="34"/>
        <v>859066.20387987699</v>
      </c>
      <c r="BI43" s="297">
        <f t="shared" si="34"/>
        <v>960021.69310464186</v>
      </c>
      <c r="BJ43" s="297">
        <f t="shared" si="34"/>
        <v>0</v>
      </c>
      <c r="BK43" s="297">
        <f t="shared" si="34"/>
        <v>0</v>
      </c>
      <c r="BL43" s="297">
        <f t="shared" si="34"/>
        <v>1819087.896984519</v>
      </c>
      <c r="BM43" s="296">
        <f t="shared" si="34"/>
        <v>7622242</v>
      </c>
      <c r="BN43" s="297">
        <f t="shared" si="34"/>
        <v>872634</v>
      </c>
      <c r="BO43" s="297">
        <f t="shared" si="34"/>
        <v>34862786.517406777</v>
      </c>
      <c r="BP43" s="297">
        <f t="shared" si="34"/>
        <v>946453.89698451897</v>
      </c>
      <c r="BQ43" s="296">
        <f t="shared" si="34"/>
        <v>906141.63014799473</v>
      </c>
      <c r="BR43" s="297">
        <f>BR29</f>
        <v>0</v>
      </c>
      <c r="BS43" s="297">
        <f>BS29</f>
        <v>1852595.5271325137</v>
      </c>
      <c r="BT43" s="361"/>
      <c r="BU43" s="297"/>
      <c r="BV43" s="797"/>
      <c r="BW43" s="798"/>
      <c r="BX43" s="804"/>
      <c r="BY43" s="805"/>
      <c r="BZ43" s="805"/>
      <c r="CA43" s="805"/>
      <c r="CB43" s="805"/>
    </row>
    <row r="44" spans="1:80" s="803" customFormat="1" ht="14.45" hidden="1" customHeight="1" thickBot="1" x14ac:dyDescent="0.3">
      <c r="A44" s="22"/>
      <c r="B44" s="22"/>
      <c r="C44" s="306" t="s">
        <v>157</v>
      </c>
      <c r="D44" s="1270"/>
      <c r="E44" s="297">
        <f>SUM(E21:E37)-E29</f>
        <v>0</v>
      </c>
      <c r="F44" s="297">
        <f t="shared" ref="F44:BQ44" si="35">SUM(F21:F37)-F29</f>
        <v>0</v>
      </c>
      <c r="G44" s="297">
        <f t="shared" si="35"/>
        <v>0</v>
      </c>
      <c r="H44" s="297">
        <f t="shared" si="35"/>
        <v>0</v>
      </c>
      <c r="I44" s="297">
        <f t="shared" si="35"/>
        <v>0</v>
      </c>
      <c r="J44" s="297">
        <f t="shared" si="35"/>
        <v>0</v>
      </c>
      <c r="K44" s="297">
        <f t="shared" si="35"/>
        <v>0</v>
      </c>
      <c r="L44" s="297">
        <f t="shared" si="35"/>
        <v>0</v>
      </c>
      <c r="M44" s="297">
        <f t="shared" si="35"/>
        <v>0</v>
      </c>
      <c r="N44" s="1247">
        <f t="shared" si="35"/>
        <v>0</v>
      </c>
      <c r="O44" s="297">
        <f t="shared" si="35"/>
        <v>0</v>
      </c>
      <c r="P44" s="297">
        <f t="shared" si="35"/>
        <v>25890096.36328746</v>
      </c>
      <c r="Q44" s="297">
        <f t="shared" si="35"/>
        <v>70380410.352973074</v>
      </c>
      <c r="R44" s="297">
        <f t="shared" si="35"/>
        <v>0</v>
      </c>
      <c r="S44" s="297">
        <f t="shared" si="35"/>
        <v>-44490313.98968561</v>
      </c>
      <c r="T44" s="297">
        <f t="shared" si="35"/>
        <v>0</v>
      </c>
      <c r="U44" s="297">
        <f t="shared" si="35"/>
        <v>-742533.23945787072</v>
      </c>
      <c r="V44" s="297">
        <f t="shared" si="35"/>
        <v>1975065.3908565242</v>
      </c>
      <c r="W44" s="297">
        <f t="shared" si="35"/>
        <v>0</v>
      </c>
      <c r="X44" s="297">
        <f t="shared" si="35"/>
        <v>-2717598.6303143948</v>
      </c>
      <c r="Y44" s="296">
        <f t="shared" si="35"/>
        <v>-44490313.98968561</v>
      </c>
      <c r="Z44" s="297">
        <f t="shared" si="35"/>
        <v>-1794479.5129543394</v>
      </c>
      <c r="AA44" s="297">
        <f t="shared" si="35"/>
        <v>-43217479.884977572</v>
      </c>
      <c r="AB44" s="297">
        <f t="shared" si="35"/>
        <v>0</v>
      </c>
      <c r="AC44" s="297">
        <f t="shared" si="35"/>
        <v>-3067313.6176623777</v>
      </c>
      <c r="AD44" s="297">
        <f t="shared" si="35"/>
        <v>-2717598.6303143948</v>
      </c>
      <c r="AE44" s="297">
        <f t="shared" si="35"/>
        <v>-204104.0678572357</v>
      </c>
      <c r="AF44" s="297">
        <f t="shared" si="35"/>
        <v>36115.51011903584</v>
      </c>
      <c r="AG44" s="297">
        <f t="shared" si="35"/>
        <v>0</v>
      </c>
      <c r="AH44" s="297">
        <f t="shared" si="35"/>
        <v>-2957818.2082906663</v>
      </c>
      <c r="AI44" s="296">
        <f t="shared" si="35"/>
        <v>-3067313.6176623777</v>
      </c>
      <c r="AJ44" s="297">
        <f t="shared" si="35"/>
        <v>30267602.047321815</v>
      </c>
      <c r="AK44" s="297">
        <f t="shared" si="35"/>
        <v>31422955.32</v>
      </c>
      <c r="AL44" s="297">
        <f t="shared" si="35"/>
        <v>-1775035.3052481445</v>
      </c>
      <c r="AM44" s="297">
        <f t="shared" si="35"/>
        <v>-5997702.195588707</v>
      </c>
      <c r="AN44" s="297">
        <f t="shared" si="35"/>
        <v>-2957818.2082906663</v>
      </c>
      <c r="AO44" s="297">
        <f t="shared" si="35"/>
        <v>-334460.72907191771</v>
      </c>
      <c r="AP44" s="297">
        <f t="shared" si="35"/>
        <v>1993945.3096311707</v>
      </c>
      <c r="AQ44" s="297">
        <f t="shared" si="35"/>
        <v>2621317.1949131968</v>
      </c>
      <c r="AR44" s="297">
        <f t="shared" si="35"/>
        <v>-2664907.0520805577</v>
      </c>
      <c r="AS44" s="1268">
        <f t="shared" si="35"/>
        <v>-5997702.195588707</v>
      </c>
      <c r="AT44" s="297">
        <f t="shared" si="35"/>
        <v>-1740515.2395506278</v>
      </c>
      <c r="AU44" s="297">
        <f t="shared" si="35"/>
        <v>27836697.137823395</v>
      </c>
      <c r="AV44" s="297">
        <f t="shared" si="35"/>
        <v>153976792.42903036</v>
      </c>
      <c r="AW44" s="297">
        <f t="shared" si="35"/>
        <v>118401877.85606763</v>
      </c>
      <c r="AX44" s="297">
        <f t="shared" si="35"/>
        <v>-2664907.0520805577</v>
      </c>
      <c r="AY44" s="297">
        <f t="shared" si="35"/>
        <v>-2133749.0883342861</v>
      </c>
      <c r="AZ44" s="297">
        <f t="shared" si="35"/>
        <v>9014365.5699999984</v>
      </c>
      <c r="BA44" s="297">
        <f t="shared" si="35"/>
        <v>9543972.3156494759</v>
      </c>
      <c r="BB44" s="297">
        <f t="shared" si="35"/>
        <v>-4269049.3947653631</v>
      </c>
      <c r="BC44" s="296">
        <f t="shared" si="35"/>
        <v>118401877.85606763</v>
      </c>
      <c r="BD44" s="297">
        <f t="shared" si="35"/>
        <v>-12533348.291370377</v>
      </c>
      <c r="BE44" s="297">
        <f t="shared" si="35"/>
        <v>0</v>
      </c>
      <c r="BF44" s="297">
        <f t="shared" si="35"/>
        <v>-3640759.5621520113</v>
      </c>
      <c r="BG44" s="297">
        <f t="shared" si="35"/>
        <v>102227770.00254519</v>
      </c>
      <c r="BH44" s="297">
        <f t="shared" si="35"/>
        <v>-4269049.3947653631</v>
      </c>
      <c r="BI44" s="297">
        <f t="shared" si="35"/>
        <v>5774065.7275959998</v>
      </c>
      <c r="BJ44" s="297">
        <f t="shared" si="35"/>
        <v>16891.779999999329</v>
      </c>
      <c r="BK44" s="297">
        <f t="shared" si="35"/>
        <v>2116829.5242549954</v>
      </c>
      <c r="BL44" s="297">
        <f t="shared" si="35"/>
        <v>3604954.0770856296</v>
      </c>
      <c r="BM44" s="296">
        <f t="shared" si="35"/>
        <v>54366736.221006237</v>
      </c>
      <c r="BN44" s="297">
        <f t="shared" si="35"/>
        <v>6093330</v>
      </c>
      <c r="BO44" s="297">
        <f t="shared" si="35"/>
        <v>47861033.781539008</v>
      </c>
      <c r="BP44" s="1247">
        <f t="shared" si="35"/>
        <v>-2488375.9229143704</v>
      </c>
      <c r="BQ44" s="297">
        <f t="shared" si="35"/>
        <v>1089361.6179093497</v>
      </c>
      <c r="BR44" s="297">
        <f>SUM(BR21:BR37)-BR29</f>
        <v>0</v>
      </c>
      <c r="BS44" s="297">
        <f>SUM(BS21:BS37)-BS29</f>
        <v>-1399014.3050050202</v>
      </c>
      <c r="BT44" s="361"/>
      <c r="BU44" s="297"/>
      <c r="BV44" s="797"/>
      <c r="BW44" s="798"/>
      <c r="BX44" s="804"/>
      <c r="BY44" s="805"/>
      <c r="BZ44" s="805"/>
      <c r="CA44" s="805"/>
      <c r="CB44" s="805"/>
    </row>
    <row r="45" spans="1:80" s="803" customFormat="1" ht="15.75" hidden="1" customHeight="1" thickBot="1" x14ac:dyDescent="0.3">
      <c r="A45" s="22"/>
      <c r="B45" s="22"/>
      <c r="C45" s="306" t="s">
        <v>158</v>
      </c>
      <c r="D45" s="1270"/>
      <c r="E45" s="297">
        <f>SUM(E43:E44)</f>
        <v>0</v>
      </c>
      <c r="F45" s="297">
        <f t="shared" ref="F45:BQ45" si="36">SUM(F43:F44)</f>
        <v>0</v>
      </c>
      <c r="G45" s="297">
        <f t="shared" si="36"/>
        <v>0</v>
      </c>
      <c r="H45" s="297">
        <f t="shared" si="36"/>
        <v>0</v>
      </c>
      <c r="I45" s="297">
        <f t="shared" si="36"/>
        <v>0</v>
      </c>
      <c r="J45" s="297">
        <f t="shared" si="36"/>
        <v>0</v>
      </c>
      <c r="K45" s="297">
        <f t="shared" si="36"/>
        <v>0</v>
      </c>
      <c r="L45" s="297">
        <f t="shared" si="36"/>
        <v>0</v>
      </c>
      <c r="M45" s="297">
        <f t="shared" si="36"/>
        <v>0</v>
      </c>
      <c r="N45" s="297">
        <f t="shared" si="36"/>
        <v>0</v>
      </c>
      <c r="O45" s="296">
        <f t="shared" si="36"/>
        <v>0</v>
      </c>
      <c r="P45" s="297">
        <f t="shared" si="36"/>
        <v>25890096.36328746</v>
      </c>
      <c r="Q45" s="297">
        <f t="shared" si="36"/>
        <v>70380410.352973074</v>
      </c>
      <c r="R45" s="297">
        <f t="shared" si="36"/>
        <v>0</v>
      </c>
      <c r="S45" s="297">
        <f t="shared" si="36"/>
        <v>-44490313.98968561</v>
      </c>
      <c r="T45" s="297">
        <f t="shared" si="36"/>
        <v>0</v>
      </c>
      <c r="U45" s="297">
        <f t="shared" si="36"/>
        <v>-742533.23945787072</v>
      </c>
      <c r="V45" s="297">
        <f t="shared" si="36"/>
        <v>1975065.3908565242</v>
      </c>
      <c r="W45" s="297">
        <f t="shared" si="36"/>
        <v>0</v>
      </c>
      <c r="X45" s="1247">
        <f t="shared" si="36"/>
        <v>-2717598.6303143948</v>
      </c>
      <c r="Y45" s="297">
        <f t="shared" si="36"/>
        <v>-44490313.98968561</v>
      </c>
      <c r="Z45" s="297">
        <f t="shared" si="36"/>
        <v>-1794479.5129543394</v>
      </c>
      <c r="AA45" s="297">
        <f t="shared" si="36"/>
        <v>-43217479.884977572</v>
      </c>
      <c r="AB45" s="297">
        <f t="shared" si="36"/>
        <v>0</v>
      </c>
      <c r="AC45" s="297">
        <f t="shared" si="36"/>
        <v>-3067313.6176623777</v>
      </c>
      <c r="AD45" s="297">
        <f t="shared" si="36"/>
        <v>-2717598.6303143948</v>
      </c>
      <c r="AE45" s="297">
        <f t="shared" si="36"/>
        <v>-204104.0678572357</v>
      </c>
      <c r="AF45" s="297">
        <f t="shared" si="36"/>
        <v>36115.51011903584</v>
      </c>
      <c r="AG45" s="297">
        <f t="shared" si="36"/>
        <v>0</v>
      </c>
      <c r="AH45" s="1247">
        <f t="shared" si="36"/>
        <v>-2957818.2082906663</v>
      </c>
      <c r="AI45" s="297">
        <f t="shared" si="36"/>
        <v>-3067313.6176623777</v>
      </c>
      <c r="AJ45" s="297">
        <f t="shared" si="36"/>
        <v>30267602.047321815</v>
      </c>
      <c r="AK45" s="297">
        <f t="shared" si="36"/>
        <v>31422955.32</v>
      </c>
      <c r="AL45" s="297">
        <f t="shared" si="36"/>
        <v>-1775035.3052481445</v>
      </c>
      <c r="AM45" s="297">
        <f t="shared" si="36"/>
        <v>-5997702.195588707</v>
      </c>
      <c r="AN45" s="297">
        <f t="shared" si="36"/>
        <v>-2957818.2082906663</v>
      </c>
      <c r="AO45" s="297">
        <f t="shared" si="36"/>
        <v>-334460.72907191771</v>
      </c>
      <c r="AP45" s="297">
        <f t="shared" si="36"/>
        <v>1993945.3096311707</v>
      </c>
      <c r="AQ45" s="297">
        <f t="shared" si="36"/>
        <v>2621317.1949131968</v>
      </c>
      <c r="AR45" s="297">
        <f t="shared" si="36"/>
        <v>-2664907.0520805577</v>
      </c>
      <c r="AS45" s="1269">
        <f t="shared" si="36"/>
        <v>-5997702.195588707</v>
      </c>
      <c r="AT45" s="297">
        <f t="shared" si="36"/>
        <v>-1740515.2395506278</v>
      </c>
      <c r="AU45" s="297">
        <f t="shared" si="36"/>
        <v>27836697.137823395</v>
      </c>
      <c r="AV45" s="297">
        <f t="shared" si="36"/>
        <v>161599034.90473098</v>
      </c>
      <c r="AW45" s="297">
        <f t="shared" si="36"/>
        <v>126024120.33176826</v>
      </c>
      <c r="AX45" s="297">
        <f t="shared" si="36"/>
        <v>-2664907.0520805577</v>
      </c>
      <c r="AY45" s="297">
        <f t="shared" si="36"/>
        <v>-2133749.0883342861</v>
      </c>
      <c r="AZ45" s="297">
        <f t="shared" si="36"/>
        <v>9014365.5699999984</v>
      </c>
      <c r="BA45" s="297">
        <f t="shared" si="36"/>
        <v>10403038.519529354</v>
      </c>
      <c r="BB45" s="297">
        <f t="shared" si="36"/>
        <v>-3409983.1908854861</v>
      </c>
      <c r="BC45" s="296">
        <f t="shared" si="36"/>
        <v>126024120.33176826</v>
      </c>
      <c r="BD45" s="297">
        <f t="shared" si="36"/>
        <v>27285756.758629635</v>
      </c>
      <c r="BE45" s="297">
        <f t="shared" si="36"/>
        <v>0</v>
      </c>
      <c r="BF45" s="297">
        <f t="shared" si="36"/>
        <v>-8597078.5704458784</v>
      </c>
      <c r="BG45" s="297">
        <f t="shared" si="36"/>
        <v>144712798.51995197</v>
      </c>
      <c r="BH45" s="297">
        <f t="shared" si="36"/>
        <v>-3409983.1908854861</v>
      </c>
      <c r="BI45" s="297">
        <f t="shared" si="36"/>
        <v>6734087.4207006413</v>
      </c>
      <c r="BJ45" s="297">
        <f t="shared" si="36"/>
        <v>16891.779999999329</v>
      </c>
      <c r="BK45" s="297">
        <f t="shared" si="36"/>
        <v>2116829.5242549954</v>
      </c>
      <c r="BL45" s="1247">
        <f t="shared" si="36"/>
        <v>5424041.9740701485</v>
      </c>
      <c r="BM45" s="296">
        <f t="shared" si="36"/>
        <v>61988978.221006237</v>
      </c>
      <c r="BN45" s="297">
        <f t="shared" si="36"/>
        <v>6965964</v>
      </c>
      <c r="BO45" s="297">
        <f t="shared" si="36"/>
        <v>82723820.298945785</v>
      </c>
      <c r="BP45" s="297">
        <f t="shared" si="36"/>
        <v>-1541922.0259298515</v>
      </c>
      <c r="BQ45" s="296">
        <f t="shared" si="36"/>
        <v>1995503.2480573445</v>
      </c>
      <c r="BR45" s="297">
        <f>SUM(BR43:BR44)</f>
        <v>0</v>
      </c>
      <c r="BS45" s="297">
        <f>SUM(BS43:BS44)</f>
        <v>453581.22212749347</v>
      </c>
      <c r="BT45" s="361"/>
      <c r="BU45" s="297"/>
      <c r="BV45" s="797">
        <f>SUM(BV41,BV43)</f>
        <v>150158846.96999997</v>
      </c>
      <c r="BW45" s="798"/>
      <c r="BX45" s="804"/>
      <c r="BY45" s="805"/>
      <c r="BZ45" s="805"/>
      <c r="CA45" s="805"/>
      <c r="CB45" s="805"/>
    </row>
    <row r="46" spans="1:80" s="282" customFormat="1" ht="15.75" thickBot="1" x14ac:dyDescent="0.3">
      <c r="A46">
        <v>29</v>
      </c>
      <c r="B46"/>
      <c r="C46" s="307" t="s">
        <v>159</v>
      </c>
      <c r="D46" s="1271">
        <v>1568</v>
      </c>
      <c r="E46" s="341"/>
      <c r="F46" s="341"/>
      <c r="G46" s="341"/>
      <c r="H46" s="341"/>
      <c r="I46" s="341"/>
      <c r="J46" s="341"/>
      <c r="K46" s="341"/>
      <c r="L46" s="341"/>
      <c r="M46" s="341"/>
      <c r="N46" s="1272"/>
      <c r="O46" s="328"/>
      <c r="P46" s="329"/>
      <c r="Q46" s="329"/>
      <c r="R46" s="329"/>
      <c r="S46" s="337">
        <f>O46+P46-Q46+SUM(R46:R46)</f>
        <v>0</v>
      </c>
      <c r="T46" s="329"/>
      <c r="U46" s="329"/>
      <c r="V46" s="329"/>
      <c r="W46" s="329"/>
      <c r="X46" s="1265">
        <f>T46+U46-V46+W46</f>
        <v>0</v>
      </c>
      <c r="Y46" s="342">
        <f>S46</f>
        <v>0</v>
      </c>
      <c r="Z46" s="329"/>
      <c r="AA46" s="329"/>
      <c r="AB46" s="329"/>
      <c r="AC46" s="337">
        <f>Y46+Z46-AA46+SUM(AB46:AB46)</f>
        <v>0</v>
      </c>
      <c r="AD46" s="337">
        <f>X46</f>
        <v>0</v>
      </c>
      <c r="AE46" s="329"/>
      <c r="AF46" s="329"/>
      <c r="AG46" s="1252"/>
      <c r="AH46" s="1265">
        <f>AD46+AE46-AF46+AG46</f>
        <v>0</v>
      </c>
      <c r="AI46" s="338">
        <f>AC46</f>
        <v>0</v>
      </c>
      <c r="AJ46" s="329"/>
      <c r="AK46" s="329"/>
      <c r="AL46" s="346"/>
      <c r="AM46" s="337">
        <f>AI46+AJ46-AK46+SUM(AL46:AL46)</f>
        <v>0</v>
      </c>
      <c r="AN46" s="337">
        <f>AH46</f>
        <v>0</v>
      </c>
      <c r="AO46" s="329"/>
      <c r="AP46" s="329"/>
      <c r="AQ46" s="346"/>
      <c r="AR46" s="1265">
        <f>AN46+AO46-AP46+AQ46</f>
        <v>0</v>
      </c>
      <c r="AS46" s="338">
        <f>AM46</f>
        <v>0</v>
      </c>
      <c r="AT46" s="329"/>
      <c r="AU46" s="329"/>
      <c r="AV46" s="329"/>
      <c r="AW46" s="337">
        <f>AS46+AT46-AU46+SUM(AV46:AV46)</f>
        <v>0</v>
      </c>
      <c r="AX46" s="337">
        <f>AR46</f>
        <v>0</v>
      </c>
      <c r="AY46" s="1253"/>
      <c r="AZ46" s="329"/>
      <c r="BA46" s="329"/>
      <c r="BB46" s="337">
        <f>AX46+AY46-AZ46+BA46</f>
        <v>0</v>
      </c>
      <c r="BC46" s="338">
        <f>AW46</f>
        <v>0</v>
      </c>
      <c r="BD46" s="1253"/>
      <c r="BE46" s="1253">
        <v>0</v>
      </c>
      <c r="BF46" s="1253"/>
      <c r="BG46" s="337">
        <f>BC46+BD46-BE46+SUM(BF46:BF46)</f>
        <v>0</v>
      </c>
      <c r="BH46" s="337">
        <f>BB46</f>
        <v>0</v>
      </c>
      <c r="BI46" s="1253"/>
      <c r="BJ46" s="329"/>
      <c r="BK46" s="329"/>
      <c r="BL46" s="1265">
        <f>BH46+BI46-BJ46+BK46</f>
        <v>0</v>
      </c>
      <c r="BM46" s="1253"/>
      <c r="BN46" s="1253"/>
      <c r="BO46" s="1248">
        <f>BG46-BM46</f>
        <v>0</v>
      </c>
      <c r="BP46" s="925">
        <f>BL46-BN46</f>
        <v>0</v>
      </c>
      <c r="BQ46" s="799"/>
      <c r="BR46" s="1253"/>
      <c r="BS46" s="297">
        <f>BP46+BQ46+BR46</f>
        <v>0</v>
      </c>
      <c r="BT46" s="361">
        <f>SUM(BO46:BR46)</f>
        <v>0</v>
      </c>
      <c r="BU46" s="297"/>
      <c r="BV46" s="795">
        <v>0</v>
      </c>
      <c r="BW46" s="796">
        <f>ROUND(BV46-SUM(BG46,BL46),2)</f>
        <v>0</v>
      </c>
      <c r="BX46" s="487" t="str">
        <f t="shared" si="17"/>
        <v/>
      </c>
      <c r="BY46" s="323"/>
      <c r="BZ46" s="323"/>
      <c r="CA46" s="323"/>
      <c r="CB46" s="323"/>
    </row>
    <row r="47" spans="1:80" s="282" customFormat="1" ht="32.25" hidden="1" customHeight="1" thickBot="1" x14ac:dyDescent="0.3">
      <c r="A47"/>
      <c r="B47"/>
      <c r="C47" s="827" t="s">
        <v>160</v>
      </c>
      <c r="D47" s="923">
        <v>1509</v>
      </c>
      <c r="E47" s="341"/>
      <c r="F47" s="341"/>
      <c r="G47" s="341"/>
      <c r="H47" s="341"/>
      <c r="I47" s="341"/>
      <c r="J47" s="341"/>
      <c r="K47" s="341"/>
      <c r="L47" s="341"/>
      <c r="M47" s="341"/>
      <c r="N47" s="924"/>
      <c r="O47" s="341"/>
      <c r="P47" s="341"/>
      <c r="Q47" s="341"/>
      <c r="R47" s="341"/>
      <c r="S47" s="341"/>
      <c r="T47" s="341"/>
      <c r="U47" s="341"/>
      <c r="V47" s="341"/>
      <c r="W47" s="341"/>
      <c r="X47" s="924"/>
      <c r="Y47" s="341"/>
      <c r="Z47" s="341"/>
      <c r="AA47" s="341"/>
      <c r="AB47" s="341"/>
      <c r="AC47" s="341"/>
      <c r="AD47" s="341"/>
      <c r="AE47" s="341"/>
      <c r="AF47" s="341"/>
      <c r="AG47" s="341"/>
      <c r="AH47" s="924"/>
      <c r="AI47" s="922">
        <f>AC47</f>
        <v>0</v>
      </c>
      <c r="AJ47" s="1032"/>
      <c r="AK47" s="1032"/>
      <c r="AL47" s="514"/>
      <c r="AM47" s="297">
        <f>AI47+AJ47-AK47+SUM(AL47:AL47)</f>
        <v>0</v>
      </c>
      <c r="AN47" s="1248">
        <f>AH47</f>
        <v>0</v>
      </c>
      <c r="AO47" s="1032"/>
      <c r="AP47" s="1032"/>
      <c r="AQ47" s="1251"/>
      <c r="AR47" s="788">
        <f>AN47+AO47-AP47+AQ47</f>
        <v>0</v>
      </c>
      <c r="AS47" s="922">
        <f>AM47</f>
        <v>0</v>
      </c>
      <c r="AT47" s="1251"/>
      <c r="AU47" s="1032"/>
      <c r="AV47" s="1032"/>
      <c r="AW47" s="297">
        <f>AS47+AT47-AU47+SUM(AV47:AV47)</f>
        <v>0</v>
      </c>
      <c r="AX47" s="1248">
        <f>AR47</f>
        <v>0</v>
      </c>
      <c r="AY47" s="1251"/>
      <c r="AZ47" s="1032"/>
      <c r="BA47" s="1032"/>
      <c r="BB47" s="297">
        <f>AX47+AY47-AZ47+BA47</f>
        <v>0</v>
      </c>
      <c r="BC47" s="922">
        <f>AW47</f>
        <v>0</v>
      </c>
      <c r="BD47" s="1253"/>
      <c r="BE47" s="1252"/>
      <c r="BF47" s="1252"/>
      <c r="BG47" s="297">
        <f>BC47+BD47-BE47+SUM(BF47:BF47)</f>
        <v>0</v>
      </c>
      <c r="BH47" s="1248">
        <f>BB47</f>
        <v>0</v>
      </c>
      <c r="BI47" s="1253"/>
      <c r="BJ47" s="1252"/>
      <c r="BK47" s="1252"/>
      <c r="BL47" s="788">
        <f>BH47+BI47-BJ47+BK47</f>
        <v>0</v>
      </c>
      <c r="BM47" s="1253"/>
      <c r="BN47" s="1253"/>
      <c r="BO47" s="1248">
        <f>BG47-BM47</f>
        <v>0</v>
      </c>
      <c r="BP47" s="311">
        <f>BL47-BN47</f>
        <v>0</v>
      </c>
      <c r="BQ47" s="326"/>
      <c r="BR47" s="1253"/>
      <c r="BS47" s="322">
        <f>BP47+BQ47+BR47</f>
        <v>0</v>
      </c>
      <c r="BT47" s="361">
        <f>SUM(BO47:BR47)</f>
        <v>0</v>
      </c>
      <c r="BU47" s="297"/>
      <c r="BV47" s="416"/>
      <c r="BW47" s="796">
        <f>ROUND(BV47-SUM(BG47,BL47),2)</f>
        <v>0</v>
      </c>
      <c r="BX47" s="487" t="str">
        <f>IF(ABS(BW47)&gt;1,"Please provide an explanation of the variance in the Manager's Summary","")</f>
        <v/>
      </c>
      <c r="BY47" s="323"/>
      <c r="BZ47" s="323"/>
      <c r="CA47" s="323"/>
      <c r="CB47" s="323"/>
    </row>
    <row r="48" spans="1:80" s="286" customFormat="1" ht="43.5" customHeight="1" thickBot="1" x14ac:dyDescent="0.3">
      <c r="A48" s="285"/>
      <c r="B48" s="285"/>
      <c r="C48" s="308" t="s">
        <v>9757</v>
      </c>
      <c r="D48" s="926"/>
      <c r="E48" s="315">
        <f>SUM(E41,E46,E47)</f>
        <v>0</v>
      </c>
      <c r="F48" s="315">
        <f t="shared" ref="F48:BQ48" si="37">SUM(F41,F46,F47)</f>
        <v>0</v>
      </c>
      <c r="G48" s="315">
        <f t="shared" si="37"/>
        <v>0</v>
      </c>
      <c r="H48" s="315">
        <f t="shared" si="37"/>
        <v>0</v>
      </c>
      <c r="I48" s="315">
        <f t="shared" si="37"/>
        <v>0</v>
      </c>
      <c r="J48" s="315">
        <f t="shared" si="37"/>
        <v>0</v>
      </c>
      <c r="K48" s="315">
        <f t="shared" si="37"/>
        <v>0</v>
      </c>
      <c r="L48" s="315">
        <f t="shared" si="37"/>
        <v>0</v>
      </c>
      <c r="M48" s="315">
        <f t="shared" si="37"/>
        <v>0</v>
      </c>
      <c r="N48" s="927">
        <f t="shared" si="37"/>
        <v>0</v>
      </c>
      <c r="O48" s="310">
        <f t="shared" si="37"/>
        <v>0</v>
      </c>
      <c r="P48" s="315">
        <f t="shared" si="37"/>
        <v>25890096.36328746</v>
      </c>
      <c r="Q48" s="315">
        <f t="shared" si="37"/>
        <v>70380410.352973074</v>
      </c>
      <c r="R48" s="315">
        <f t="shared" si="37"/>
        <v>0</v>
      </c>
      <c r="S48" s="315">
        <f t="shared" si="37"/>
        <v>-44490313.98968561</v>
      </c>
      <c r="T48" s="315">
        <f t="shared" si="37"/>
        <v>0</v>
      </c>
      <c r="U48" s="315">
        <f t="shared" si="37"/>
        <v>-742533.23945787072</v>
      </c>
      <c r="V48" s="315">
        <f t="shared" si="37"/>
        <v>1975065.3908565242</v>
      </c>
      <c r="W48" s="315">
        <f t="shared" si="37"/>
        <v>0</v>
      </c>
      <c r="X48" s="315">
        <f t="shared" si="37"/>
        <v>-2717598.6303143948</v>
      </c>
      <c r="Y48" s="310">
        <f t="shared" si="37"/>
        <v>-44490313.98968561</v>
      </c>
      <c r="Z48" s="315">
        <f t="shared" si="37"/>
        <v>-1794479.5129543394</v>
      </c>
      <c r="AA48" s="315">
        <f t="shared" si="37"/>
        <v>-43217479.884977572</v>
      </c>
      <c r="AB48" s="315">
        <f t="shared" si="37"/>
        <v>0</v>
      </c>
      <c r="AC48" s="315">
        <f t="shared" si="37"/>
        <v>-3067313.6176623777</v>
      </c>
      <c r="AD48" s="315">
        <f t="shared" si="37"/>
        <v>-2717598.6303143948</v>
      </c>
      <c r="AE48" s="315">
        <f t="shared" si="37"/>
        <v>-204104.0678572357</v>
      </c>
      <c r="AF48" s="315">
        <f t="shared" si="37"/>
        <v>36115.51011903584</v>
      </c>
      <c r="AG48" s="315">
        <f t="shared" si="37"/>
        <v>0</v>
      </c>
      <c r="AH48" s="315">
        <f t="shared" si="37"/>
        <v>-2957818.2082906663</v>
      </c>
      <c r="AI48" s="310">
        <f t="shared" si="37"/>
        <v>-3067313.6176623777</v>
      </c>
      <c r="AJ48" s="315">
        <f t="shared" si="37"/>
        <v>30267602.047321815</v>
      </c>
      <c r="AK48" s="315">
        <f t="shared" si="37"/>
        <v>31422955.32</v>
      </c>
      <c r="AL48" s="315">
        <f t="shared" si="37"/>
        <v>-1775035.3052481445</v>
      </c>
      <c r="AM48" s="315">
        <f t="shared" si="37"/>
        <v>-5997702.195588707</v>
      </c>
      <c r="AN48" s="315">
        <f t="shared" si="37"/>
        <v>-2957818.2082906663</v>
      </c>
      <c r="AO48" s="315">
        <f t="shared" si="37"/>
        <v>-334460.72907191771</v>
      </c>
      <c r="AP48" s="315">
        <f t="shared" si="37"/>
        <v>1993945.3096311707</v>
      </c>
      <c r="AQ48" s="315">
        <f t="shared" si="37"/>
        <v>2621317.1949131968</v>
      </c>
      <c r="AR48" s="315">
        <f t="shared" si="37"/>
        <v>-2664907.0520805577</v>
      </c>
      <c r="AS48" s="310">
        <f t="shared" si="37"/>
        <v>-5997702.195588707</v>
      </c>
      <c r="AT48" s="315">
        <f t="shared" si="37"/>
        <v>-1740515.2395506278</v>
      </c>
      <c r="AU48" s="315">
        <f t="shared" si="37"/>
        <v>27836697.137823395</v>
      </c>
      <c r="AV48" s="315">
        <f t="shared" si="37"/>
        <v>161599034.90473098</v>
      </c>
      <c r="AW48" s="315">
        <f t="shared" si="37"/>
        <v>126024120.33176826</v>
      </c>
      <c r="AX48" s="315">
        <f t="shared" si="37"/>
        <v>-2664907.0520805577</v>
      </c>
      <c r="AY48" s="315">
        <f t="shared" si="37"/>
        <v>-2133749.0883342861</v>
      </c>
      <c r="AZ48" s="315">
        <f t="shared" si="37"/>
        <v>9014365.5699999984</v>
      </c>
      <c r="BA48" s="315">
        <f t="shared" si="37"/>
        <v>10403038.519529354</v>
      </c>
      <c r="BB48" s="315">
        <f t="shared" si="37"/>
        <v>-3409983.1908854861</v>
      </c>
      <c r="BC48" s="310">
        <f t="shared" si="37"/>
        <v>126024120.33176826</v>
      </c>
      <c r="BD48" s="315">
        <f t="shared" si="37"/>
        <v>27285756.758629635</v>
      </c>
      <c r="BE48" s="315">
        <f t="shared" si="37"/>
        <v>0</v>
      </c>
      <c r="BF48" s="315">
        <f t="shared" si="37"/>
        <v>-8597078.5704458784</v>
      </c>
      <c r="BG48" s="315">
        <f t="shared" si="37"/>
        <v>144712798.51995197</v>
      </c>
      <c r="BH48" s="315">
        <f t="shared" si="37"/>
        <v>-3409983.1908854861</v>
      </c>
      <c r="BI48" s="315">
        <f t="shared" si="37"/>
        <v>6734087.4207006413</v>
      </c>
      <c r="BJ48" s="315">
        <f t="shared" si="37"/>
        <v>16891.779999999329</v>
      </c>
      <c r="BK48" s="315">
        <f t="shared" si="37"/>
        <v>2116829.5242549954</v>
      </c>
      <c r="BL48" s="927">
        <f t="shared" si="37"/>
        <v>5424041.9740701485</v>
      </c>
      <c r="BM48" s="315">
        <f t="shared" si="37"/>
        <v>61988978.221006237</v>
      </c>
      <c r="BN48" s="315">
        <f t="shared" si="37"/>
        <v>6965964</v>
      </c>
      <c r="BO48" s="315">
        <f t="shared" si="37"/>
        <v>82723820.298945785</v>
      </c>
      <c r="BP48" s="315">
        <f t="shared" si="37"/>
        <v>-1541922.0259298515</v>
      </c>
      <c r="BQ48" s="310">
        <f t="shared" si="37"/>
        <v>1995503.2480573445</v>
      </c>
      <c r="BR48" s="315">
        <f>SUM(BR41,BR46,BR47)</f>
        <v>0</v>
      </c>
      <c r="BS48" s="315">
        <f>SUM(BS41,BS46,BS47)</f>
        <v>453581.22212749347</v>
      </c>
      <c r="BT48" s="315">
        <f>SUM(BT41,BT46,BT47)</f>
        <v>75370130.991073281</v>
      </c>
      <c r="BU48" s="315"/>
      <c r="BV48" s="316">
        <f>SUM(BV41,BV46)</f>
        <v>150158846.96999997</v>
      </c>
      <c r="BW48" s="928">
        <f>ROUND(SUM(BW41,BW46),2)</f>
        <v>22006.48</v>
      </c>
      <c r="BX48" s="929"/>
      <c r="BY48" s="930"/>
      <c r="BZ48" s="930"/>
      <c r="CA48" s="930"/>
      <c r="CB48" s="930"/>
    </row>
    <row r="49" spans="1:80" s="282" customFormat="1" x14ac:dyDescent="0.25">
      <c r="A49"/>
      <c r="B49"/>
      <c r="C49" s="287"/>
      <c r="D49" s="284"/>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23"/>
      <c r="BR49" s="323"/>
      <c r="BS49" s="323"/>
      <c r="BT49" s="323"/>
      <c r="BU49" s="323"/>
      <c r="BV49" s="323"/>
      <c r="BW49" s="323"/>
      <c r="BX49" s="489"/>
      <c r="BY49" s="323"/>
      <c r="BZ49" s="323"/>
      <c r="CA49" s="323"/>
      <c r="CB49" s="323"/>
    </row>
    <row r="50" spans="1:80" customFormat="1" x14ac:dyDescent="0.25">
      <c r="E50" s="334"/>
      <c r="F50" s="334"/>
      <c r="G50" s="334"/>
      <c r="H50" s="334"/>
      <c r="I50" s="334"/>
      <c r="J50" s="334"/>
      <c r="K50" s="334"/>
      <c r="L50" s="334"/>
      <c r="M50" s="334"/>
      <c r="N50" s="334"/>
      <c r="O50" s="334"/>
      <c r="P50" s="334"/>
      <c r="Q50" s="334"/>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490"/>
      <c r="BY50" s="18"/>
      <c r="BZ50" s="18"/>
      <c r="CA50" s="18"/>
      <c r="CB50" s="18"/>
    </row>
    <row r="51" spans="1:80" customFormat="1" x14ac:dyDescent="0.25">
      <c r="B51" s="2"/>
      <c r="C51" s="1785" t="s">
        <v>161</v>
      </c>
      <c r="D51" s="1785"/>
      <c r="E51" s="334"/>
      <c r="F51" s="334"/>
      <c r="G51" s="334"/>
      <c r="H51" s="334"/>
      <c r="I51" s="334"/>
      <c r="J51" s="334"/>
      <c r="K51" s="334"/>
      <c r="L51" s="334"/>
      <c r="M51" s="334"/>
      <c r="N51" s="334"/>
      <c r="O51" s="334"/>
      <c r="P51" s="334"/>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490"/>
      <c r="BY51" s="18"/>
      <c r="BZ51" s="18"/>
      <c r="CA51" s="18"/>
      <c r="CB51" s="18"/>
    </row>
    <row r="52" spans="1:80" customFormat="1" ht="31.5" customHeight="1" x14ac:dyDescent="0.25">
      <c r="B52" s="288"/>
      <c r="C52" s="1785"/>
      <c r="D52" s="1785"/>
      <c r="E52" s="343"/>
      <c r="F52" s="343"/>
      <c r="G52" s="343"/>
      <c r="H52" s="343"/>
      <c r="I52" s="343"/>
      <c r="J52" s="334"/>
      <c r="K52" s="334"/>
      <c r="L52" s="334"/>
      <c r="M52" s="334"/>
      <c r="N52" s="334"/>
      <c r="O52" s="334"/>
      <c r="P52" s="334"/>
      <c r="Q52" s="334"/>
      <c r="R52" s="334"/>
      <c r="S52" s="334"/>
      <c r="T52" s="334"/>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490"/>
      <c r="BY52" s="18"/>
      <c r="BZ52" s="18"/>
      <c r="CA52" s="18"/>
      <c r="CB52" s="18"/>
    </row>
    <row r="53" spans="1:80" customFormat="1" ht="17.25" x14ac:dyDescent="0.25">
      <c r="B53" s="289"/>
      <c r="C53" s="290"/>
      <c r="D53" s="3"/>
      <c r="E53" s="343"/>
      <c r="F53" s="343"/>
      <c r="G53" s="343"/>
      <c r="H53" s="343"/>
      <c r="I53" s="343"/>
      <c r="J53" s="334"/>
      <c r="K53" s="334"/>
      <c r="L53" s="334"/>
      <c r="M53" s="334"/>
      <c r="N53" s="334"/>
      <c r="O53" s="334"/>
      <c r="P53" s="334"/>
      <c r="Q53" s="334"/>
      <c r="R53" s="334"/>
      <c r="S53" s="334"/>
      <c r="T53" s="334"/>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490"/>
      <c r="BY53" s="18"/>
      <c r="BZ53" s="18"/>
      <c r="CA53" s="18"/>
      <c r="CB53" s="18"/>
    </row>
    <row r="54" spans="1:80" customFormat="1" ht="26.25" customHeight="1" x14ac:dyDescent="0.25">
      <c r="B54" s="291">
        <v>1</v>
      </c>
      <c r="C54" s="292" t="s">
        <v>162</v>
      </c>
      <c r="D54" s="3"/>
      <c r="E54" s="344"/>
      <c r="F54" s="344"/>
      <c r="G54" s="344"/>
      <c r="H54" s="344"/>
      <c r="I54" s="34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490"/>
      <c r="BY54" s="18"/>
      <c r="BZ54" s="18"/>
      <c r="CA54" s="18"/>
      <c r="CB54" s="18"/>
    </row>
    <row r="55" spans="1:80" customFormat="1" ht="83.45" customHeight="1" x14ac:dyDescent="0.25">
      <c r="B55" s="291">
        <v>2</v>
      </c>
      <c r="C55" s="292" t="s">
        <v>163</v>
      </c>
      <c r="D55" s="61"/>
      <c r="E55" s="343"/>
      <c r="F55" s="343"/>
      <c r="G55" s="343"/>
      <c r="H55" s="343"/>
      <c r="I55" s="343"/>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490"/>
      <c r="BY55" s="18"/>
      <c r="BZ55" s="18"/>
      <c r="CA55" s="18"/>
      <c r="CB55" s="18"/>
    </row>
    <row r="56" spans="1:80" customFormat="1" ht="114" customHeight="1" x14ac:dyDescent="0.25">
      <c r="B56" s="291">
        <v>3</v>
      </c>
      <c r="C56" s="292" t="s">
        <v>164</v>
      </c>
      <c r="D56" s="61"/>
      <c r="E56" s="334"/>
      <c r="F56" s="334"/>
      <c r="G56" s="334"/>
      <c r="H56" s="334"/>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490"/>
      <c r="BY56" s="18"/>
      <c r="BZ56" s="18"/>
      <c r="CA56" s="18"/>
      <c r="CB56" s="18"/>
    </row>
    <row r="57" spans="1:80" ht="88.5" customHeight="1" x14ac:dyDescent="0.25">
      <c r="B57" s="291">
        <v>4</v>
      </c>
      <c r="C57" s="292" t="s">
        <v>165</v>
      </c>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487"/>
      <c r="BY57" s="49"/>
      <c r="BZ57" s="49"/>
      <c r="CA57" s="49"/>
      <c r="CB57" s="49"/>
    </row>
    <row r="58" spans="1:80" ht="37.5" customHeight="1" x14ac:dyDescent="0.25">
      <c r="B58" s="291">
        <v>5</v>
      </c>
      <c r="C58" s="292" t="s">
        <v>166</v>
      </c>
      <c r="E58" s="334"/>
      <c r="F58" s="334"/>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487"/>
      <c r="BY58" s="49"/>
      <c r="BZ58" s="49"/>
      <c r="CA58" s="49"/>
      <c r="CB58" s="49"/>
    </row>
    <row r="59" spans="1:80" ht="80.25" customHeight="1" x14ac:dyDescent="0.25">
      <c r="B59" s="291"/>
      <c r="C59" s="292"/>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487"/>
      <c r="BY59" s="49"/>
      <c r="BZ59" s="49"/>
      <c r="CA59" s="49"/>
      <c r="CB59" s="49"/>
    </row>
    <row r="60" spans="1:80" x14ac:dyDescent="0.25">
      <c r="E60" s="334"/>
      <c r="F60" s="334"/>
      <c r="G60" s="334"/>
      <c r="H60" s="334"/>
      <c r="I60" s="334"/>
      <c r="J60" s="334"/>
      <c r="K60" s="334"/>
      <c r="L60" s="334"/>
      <c r="M60" s="334"/>
      <c r="N60" s="334"/>
      <c r="O60" s="334"/>
      <c r="P60" s="334"/>
      <c r="Q60" s="334"/>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487"/>
      <c r="BY60" s="49"/>
      <c r="BZ60" s="49"/>
      <c r="CA60" s="49"/>
      <c r="CB60" s="49"/>
    </row>
    <row r="61" spans="1:80" x14ac:dyDescent="0.25">
      <c r="E61" s="334"/>
      <c r="F61" s="334"/>
      <c r="G61" s="334"/>
      <c r="H61" s="334"/>
      <c r="I61" s="334"/>
      <c r="J61" s="334"/>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487"/>
      <c r="BY61" s="49"/>
      <c r="BZ61" s="49"/>
      <c r="CA61" s="49"/>
      <c r="CB61" s="49"/>
    </row>
    <row r="62" spans="1:80" x14ac:dyDescent="0.25">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487"/>
      <c r="BY62" s="49"/>
      <c r="BZ62" s="49"/>
      <c r="CA62" s="49"/>
      <c r="CB62" s="49"/>
    </row>
  </sheetData>
  <mergeCells count="83">
    <mergeCell ref="O16:X16"/>
    <mergeCell ref="Y17:Y19"/>
    <mergeCell ref="Z17:Z19"/>
    <mergeCell ref="BM16:BP16"/>
    <mergeCell ref="AY17:AY19"/>
    <mergeCell ref="BP17:BP19"/>
    <mergeCell ref="AS17:AS19"/>
    <mergeCell ref="AB17:AB19"/>
    <mergeCell ref="AC17:AC19"/>
    <mergeCell ref="AD17:AD19"/>
    <mergeCell ref="AE17:AE19"/>
    <mergeCell ref="AF17:AF19"/>
    <mergeCell ref="O17:O19"/>
    <mergeCell ref="P17:P19"/>
    <mergeCell ref="Q17:Q19"/>
    <mergeCell ref="R17:R19"/>
    <mergeCell ref="C12:D15"/>
    <mergeCell ref="E16:N16"/>
    <mergeCell ref="Y16:AH16"/>
    <mergeCell ref="AI16:AR16"/>
    <mergeCell ref="AR17:AR19"/>
    <mergeCell ref="AN17:AN19"/>
    <mergeCell ref="AO17:AO19"/>
    <mergeCell ref="AP17:AP19"/>
    <mergeCell ref="AQ17:AQ19"/>
    <mergeCell ref="AG17:AG19"/>
    <mergeCell ref="AH17:AH19"/>
    <mergeCell ref="AI17:AI19"/>
    <mergeCell ref="AJ17:AJ19"/>
    <mergeCell ref="AK17:AK19"/>
    <mergeCell ref="AA17:AA19"/>
    <mergeCell ref="AM17:AM19"/>
    <mergeCell ref="BQ16:BT16"/>
    <mergeCell ref="C17:C19"/>
    <mergeCell ref="D17:D19"/>
    <mergeCell ref="E17:E19"/>
    <mergeCell ref="F17:F19"/>
    <mergeCell ref="G17:G19"/>
    <mergeCell ref="H17:H19"/>
    <mergeCell ref="I17:I19"/>
    <mergeCell ref="AS16:BB16"/>
    <mergeCell ref="J17:J19"/>
    <mergeCell ref="K17:K19"/>
    <mergeCell ref="L17:L19"/>
    <mergeCell ref="M17:M19"/>
    <mergeCell ref="N17:N19"/>
    <mergeCell ref="BC16:BL16"/>
    <mergeCell ref="AL17:AL19"/>
    <mergeCell ref="BQ17:BQ19"/>
    <mergeCell ref="BF17:BF19"/>
    <mergeCell ref="BG17:BG19"/>
    <mergeCell ref="BH17:BH19"/>
    <mergeCell ref="BI17:BI19"/>
    <mergeCell ref="BJ17:BJ19"/>
    <mergeCell ref="BK17:BK19"/>
    <mergeCell ref="C51:D52"/>
    <mergeCell ref="BL17:BL19"/>
    <mergeCell ref="BM17:BM19"/>
    <mergeCell ref="BN17:BN19"/>
    <mergeCell ref="BO17:BO19"/>
    <mergeCell ref="AZ17:AZ19"/>
    <mergeCell ref="BA17:BA19"/>
    <mergeCell ref="BB17:BB19"/>
    <mergeCell ref="BC17:BC19"/>
    <mergeCell ref="BD17:BD19"/>
    <mergeCell ref="BE17:BE19"/>
    <mergeCell ref="AT17:AT19"/>
    <mergeCell ref="AU17:AU19"/>
    <mergeCell ref="AV17:AV19"/>
    <mergeCell ref="AW17:AW19"/>
    <mergeCell ref="AX17:AX19"/>
    <mergeCell ref="BR17:BR19"/>
    <mergeCell ref="BS17:BS19"/>
    <mergeCell ref="BT17:BT19"/>
    <mergeCell ref="BV17:BV19"/>
    <mergeCell ref="BW17:BW19"/>
    <mergeCell ref="BU17:BU19"/>
    <mergeCell ref="S17:S19"/>
    <mergeCell ref="T17:T19"/>
    <mergeCell ref="U17:U19"/>
    <mergeCell ref="W17:W19"/>
    <mergeCell ref="X17:X19"/>
    <mergeCell ref="V17:V19"/>
  </mergeCells>
  <dataValidations count="2">
    <dataValidation type="list" errorTitle="Selection Needed" error="Please select an option from the drop-down list." prompt="Use the following format eg: January 1, 2013" sqref="BU30:BU37" xr:uid="{8E1DA9E8-D891-43F4-A8DF-B52792B5ADBE}">
      <formula1>"Yes,No"</formula1>
    </dataValidation>
    <dataValidation errorTitle="Selection Needed" error="Please select an option from the drop-down list." prompt="Use the following format eg: January 1, 2013" sqref="BU28:BU29 BU47" xr:uid="{4085E01F-CE5E-45BB-8155-56CB678E1DA3}"/>
  </dataValidations>
  <pageMargins left="0.23622047244094491" right="0.23622047244094491" top="0.74803149606299213" bottom="0.74803149606299213" header="0.31496062992125984" footer="0.31496062992125984"/>
  <pageSetup scale="95" fitToHeight="0" orientation="portrait" verticalDpi="4" r:id="rId1"/>
  <headerFooter>
    <oddFooter>&amp;C&amp;A</oddFooter>
  </headerFooter>
  <colBreaks count="4" manualBreakCount="4">
    <brk id="4" max="1048575" man="1"/>
    <brk id="14" max="48" man="1"/>
    <brk id="24" max="1048575" man="1"/>
    <brk id="44" max="1048575" man="1"/>
  </colBreaks>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8">
    <pageSetUpPr fitToPage="1"/>
  </sheetPr>
  <dimension ref="A1:AA15506"/>
  <sheetViews>
    <sheetView workbookViewId="0">
      <selection activeCell="B12" sqref="B12"/>
    </sheetView>
  </sheetViews>
  <sheetFormatPr defaultRowHeight="15" x14ac:dyDescent="0.25"/>
  <cols>
    <col min="1" max="1" width="38.7109375" style="400" customWidth="1"/>
    <col min="2" max="2" width="11" bestFit="1" customWidth="1"/>
    <col min="3" max="3" width="65.28515625" customWidth="1"/>
    <col min="5" max="5" width="19.140625" customWidth="1"/>
    <col min="27" max="27" width="104.28515625" bestFit="1" customWidth="1"/>
  </cols>
  <sheetData>
    <row r="1" spans="1:27" x14ac:dyDescent="0.25">
      <c r="A1" t="s">
        <v>167</v>
      </c>
      <c r="B1" t="s">
        <v>223</v>
      </c>
      <c r="C1" t="s">
        <v>169</v>
      </c>
      <c r="D1" t="s">
        <v>94</v>
      </c>
      <c r="I1" t="s">
        <v>170</v>
      </c>
      <c r="Q1" t="s">
        <v>170</v>
      </c>
      <c r="X1">
        <v>9</v>
      </c>
      <c r="Y1">
        <v>0</v>
      </c>
    </row>
    <row r="2" spans="1:27" x14ac:dyDescent="0.25">
      <c r="A2" t="s">
        <v>171</v>
      </c>
      <c r="B2" t="s">
        <v>225</v>
      </c>
      <c r="C2" t="s">
        <v>173</v>
      </c>
      <c r="D2" t="s">
        <v>94</v>
      </c>
      <c r="I2" t="s">
        <v>174</v>
      </c>
      <c r="Q2" t="s">
        <v>174</v>
      </c>
      <c r="AA2" t="s">
        <v>175</v>
      </c>
    </row>
    <row r="3" spans="1:27" x14ac:dyDescent="0.25">
      <c r="A3" t="s">
        <v>176</v>
      </c>
      <c r="B3" t="s">
        <v>228</v>
      </c>
      <c r="C3" t="s">
        <v>178</v>
      </c>
      <c r="D3" t="s">
        <v>94</v>
      </c>
      <c r="I3" t="s">
        <v>990</v>
      </c>
      <c r="Q3" t="s">
        <v>990</v>
      </c>
      <c r="AA3" t="s">
        <v>180</v>
      </c>
    </row>
    <row r="4" spans="1:27" x14ac:dyDescent="0.25">
      <c r="A4" t="s">
        <v>181</v>
      </c>
      <c r="B4" t="s">
        <v>231</v>
      </c>
      <c r="C4" t="s">
        <v>183</v>
      </c>
      <c r="D4" t="s">
        <v>94</v>
      </c>
      <c r="I4" t="s">
        <v>1008</v>
      </c>
      <c r="Q4" t="s">
        <v>1008</v>
      </c>
      <c r="AA4" t="s">
        <v>185</v>
      </c>
    </row>
    <row r="5" spans="1:27" x14ac:dyDescent="0.25">
      <c r="A5" t="s">
        <v>186</v>
      </c>
      <c r="B5" t="s">
        <v>233</v>
      </c>
      <c r="C5" t="s">
        <v>188</v>
      </c>
      <c r="D5" t="s">
        <v>94</v>
      </c>
      <c r="I5" t="s">
        <v>189</v>
      </c>
      <c r="Q5" t="s">
        <v>189</v>
      </c>
      <c r="AA5" t="s">
        <v>190</v>
      </c>
    </row>
    <row r="6" spans="1:27" x14ac:dyDescent="0.25">
      <c r="A6" t="s">
        <v>191</v>
      </c>
      <c r="B6" t="s">
        <v>235</v>
      </c>
      <c r="C6" t="s">
        <v>193</v>
      </c>
      <c r="D6" t="s">
        <v>94</v>
      </c>
      <c r="I6" t="s">
        <v>194</v>
      </c>
      <c r="Q6" t="s">
        <v>194</v>
      </c>
      <c r="AA6" t="s">
        <v>195</v>
      </c>
    </row>
    <row r="7" spans="1:27" x14ac:dyDescent="0.25">
      <c r="A7" t="s">
        <v>196</v>
      </c>
      <c r="B7" t="s">
        <v>238</v>
      </c>
      <c r="C7" t="s">
        <v>169</v>
      </c>
      <c r="I7" t="s">
        <v>202</v>
      </c>
      <c r="Q7" t="s">
        <v>202</v>
      </c>
      <c r="AA7" t="s">
        <v>199</v>
      </c>
    </row>
    <row r="8" spans="1:27" x14ac:dyDescent="0.25">
      <c r="A8" t="s">
        <v>200</v>
      </c>
      <c r="B8" t="s">
        <v>241</v>
      </c>
      <c r="C8" t="s">
        <v>169</v>
      </c>
      <c r="D8" t="s">
        <v>94</v>
      </c>
      <c r="I8" t="s">
        <v>207</v>
      </c>
      <c r="AA8" t="s">
        <v>203</v>
      </c>
    </row>
    <row r="9" spans="1:27" x14ac:dyDescent="0.25">
      <c r="A9" t="s">
        <v>204</v>
      </c>
      <c r="B9" t="s">
        <v>245</v>
      </c>
      <c r="C9" t="s">
        <v>206</v>
      </c>
      <c r="D9" t="s">
        <v>94</v>
      </c>
      <c r="AA9" t="s">
        <v>208</v>
      </c>
    </row>
    <row r="10" spans="1:27" x14ac:dyDescent="0.25">
      <c r="A10" t="s">
        <v>209</v>
      </c>
      <c r="B10" t="s">
        <v>249</v>
      </c>
      <c r="C10" t="s">
        <v>211</v>
      </c>
      <c r="D10" t="s">
        <v>94</v>
      </c>
    </row>
    <row r="11" spans="1:27" x14ac:dyDescent="0.25">
      <c r="A11" t="s">
        <v>212</v>
      </c>
      <c r="B11" t="s">
        <v>253</v>
      </c>
      <c r="C11" t="s">
        <v>169</v>
      </c>
    </row>
    <row r="12" spans="1:27" x14ac:dyDescent="0.25">
      <c r="A12" t="s">
        <v>214</v>
      </c>
      <c r="B12" t="s">
        <v>256</v>
      </c>
      <c r="C12" t="s">
        <v>216</v>
      </c>
      <c r="D12" t="s">
        <v>94</v>
      </c>
    </row>
    <row r="13" spans="1:27" x14ac:dyDescent="0.25">
      <c r="A13" t="s">
        <v>217</v>
      </c>
      <c r="B13" t="s">
        <v>260</v>
      </c>
      <c r="C13" t="s">
        <v>219</v>
      </c>
    </row>
    <row r="14" spans="1:27" x14ac:dyDescent="0.25">
      <c r="A14" t="s">
        <v>220</v>
      </c>
      <c r="B14" t="s">
        <v>263</v>
      </c>
      <c r="D14" t="s">
        <v>94</v>
      </c>
    </row>
    <row r="15" spans="1:27" x14ac:dyDescent="0.25">
      <c r="A15" t="s">
        <v>222</v>
      </c>
      <c r="B15" t="s">
        <v>266</v>
      </c>
      <c r="C15" t="s">
        <v>169</v>
      </c>
      <c r="D15" t="s">
        <v>94</v>
      </c>
    </row>
    <row r="16" spans="1:27" x14ac:dyDescent="0.25">
      <c r="A16" t="s">
        <v>224</v>
      </c>
      <c r="B16" t="s">
        <v>268</v>
      </c>
      <c r="C16" t="s">
        <v>226</v>
      </c>
      <c r="D16" t="s">
        <v>94</v>
      </c>
    </row>
    <row r="17" spans="1:27" x14ac:dyDescent="0.25">
      <c r="A17" t="s">
        <v>227</v>
      </c>
      <c r="B17" t="s">
        <v>270</v>
      </c>
      <c r="C17" t="s">
        <v>229</v>
      </c>
      <c r="D17" t="s">
        <v>94</v>
      </c>
    </row>
    <row r="18" spans="1:27" x14ac:dyDescent="0.25">
      <c r="A18" s="400" t="s">
        <v>230</v>
      </c>
      <c r="B18" t="s">
        <v>272</v>
      </c>
      <c r="D18" t="s">
        <v>94</v>
      </c>
    </row>
    <row r="19" spans="1:27" x14ac:dyDescent="0.25">
      <c r="A19" t="s">
        <v>232</v>
      </c>
      <c r="B19" t="s">
        <v>274</v>
      </c>
      <c r="D19" t="s">
        <v>94</v>
      </c>
    </row>
    <row r="20" spans="1:27" x14ac:dyDescent="0.25">
      <c r="A20" t="s">
        <v>234</v>
      </c>
      <c r="B20" t="s">
        <v>276</v>
      </c>
      <c r="C20" t="s">
        <v>236</v>
      </c>
    </row>
    <row r="21" spans="1:27" x14ac:dyDescent="0.25">
      <c r="A21" t="s">
        <v>237</v>
      </c>
      <c r="B21" t="s">
        <v>302</v>
      </c>
      <c r="C21" t="s">
        <v>239</v>
      </c>
      <c r="D21" t="s">
        <v>94</v>
      </c>
    </row>
    <row r="22" spans="1:27" x14ac:dyDescent="0.25">
      <c r="A22" t="s">
        <v>240</v>
      </c>
      <c r="B22" t="s">
        <v>304</v>
      </c>
      <c r="C22" t="s">
        <v>242</v>
      </c>
      <c r="D22" t="s">
        <v>94</v>
      </c>
      <c r="E22" t="s">
        <v>242</v>
      </c>
      <c r="AA22" t="s">
        <v>243</v>
      </c>
    </row>
    <row r="23" spans="1:27" x14ac:dyDescent="0.25">
      <c r="A23" t="s">
        <v>244</v>
      </c>
      <c r="B23" t="s">
        <v>306</v>
      </c>
      <c r="C23" t="s">
        <v>246</v>
      </c>
      <c r="E23" t="s">
        <v>246</v>
      </c>
      <c r="AA23" t="s">
        <v>247</v>
      </c>
    </row>
    <row r="24" spans="1:27" x14ac:dyDescent="0.25">
      <c r="A24" t="s">
        <v>248</v>
      </c>
      <c r="B24" t="s">
        <v>308</v>
      </c>
      <c r="C24" t="s">
        <v>250</v>
      </c>
      <c r="D24" t="s">
        <v>94</v>
      </c>
      <c r="E24" t="s">
        <v>250</v>
      </c>
      <c r="AA24" t="s">
        <v>251</v>
      </c>
    </row>
    <row r="25" spans="1:27" x14ac:dyDescent="0.25">
      <c r="A25" t="s">
        <v>252</v>
      </c>
      <c r="B25" t="s">
        <v>310</v>
      </c>
      <c r="C25" t="s">
        <v>169</v>
      </c>
      <c r="D25" t="s">
        <v>94</v>
      </c>
      <c r="AA25" t="s">
        <v>254</v>
      </c>
    </row>
    <row r="26" spans="1:27" x14ac:dyDescent="0.25">
      <c r="A26" t="s">
        <v>255</v>
      </c>
      <c r="B26" t="s">
        <v>312</v>
      </c>
      <c r="C26" t="s">
        <v>257</v>
      </c>
      <c r="D26" t="s">
        <v>94</v>
      </c>
      <c r="AA26" t="s">
        <v>258</v>
      </c>
    </row>
    <row r="27" spans="1:27" x14ac:dyDescent="0.25">
      <c r="A27" t="s">
        <v>259</v>
      </c>
      <c r="B27" t="s">
        <v>314</v>
      </c>
      <c r="C27" t="s">
        <v>261</v>
      </c>
    </row>
    <row r="28" spans="1:27" x14ac:dyDescent="0.25">
      <c r="A28" t="s">
        <v>262</v>
      </c>
      <c r="B28" t="s">
        <v>316</v>
      </c>
      <c r="C28" t="s">
        <v>169</v>
      </c>
      <c r="AA28" t="s">
        <v>264</v>
      </c>
    </row>
    <row r="29" spans="1:27" x14ac:dyDescent="0.25">
      <c r="A29" t="s">
        <v>265</v>
      </c>
      <c r="B29" t="s">
        <v>318</v>
      </c>
      <c r="C29" t="s">
        <v>6615</v>
      </c>
      <c r="D29" t="s">
        <v>94</v>
      </c>
    </row>
    <row r="30" spans="1:27" x14ac:dyDescent="0.25">
      <c r="A30" t="s">
        <v>267</v>
      </c>
      <c r="B30" t="s">
        <v>320</v>
      </c>
      <c r="C30" t="s">
        <v>6624</v>
      </c>
      <c r="D30" t="s">
        <v>94</v>
      </c>
    </row>
    <row r="31" spans="1:27" x14ac:dyDescent="0.25">
      <c r="A31" t="s">
        <v>269</v>
      </c>
      <c r="B31" t="s">
        <v>278</v>
      </c>
    </row>
    <row r="32" spans="1:27" x14ac:dyDescent="0.25">
      <c r="A32" t="s">
        <v>271</v>
      </c>
      <c r="B32" t="s">
        <v>280</v>
      </c>
      <c r="C32" t="s">
        <v>169</v>
      </c>
    </row>
    <row r="33" spans="1:4" x14ac:dyDescent="0.25">
      <c r="A33" t="s">
        <v>273</v>
      </c>
      <c r="B33" t="s">
        <v>283</v>
      </c>
    </row>
    <row r="34" spans="1:4" x14ac:dyDescent="0.25">
      <c r="A34" t="s">
        <v>275</v>
      </c>
      <c r="B34" t="s">
        <v>286</v>
      </c>
      <c r="D34" t="s">
        <v>94</v>
      </c>
    </row>
    <row r="35" spans="1:4" x14ac:dyDescent="0.25">
      <c r="A35" t="s">
        <v>277</v>
      </c>
      <c r="B35" t="s">
        <v>288</v>
      </c>
      <c r="C35" t="s">
        <v>169</v>
      </c>
    </row>
    <row r="36" spans="1:4" x14ac:dyDescent="0.25">
      <c r="A36" t="s">
        <v>279</v>
      </c>
      <c r="B36" t="s">
        <v>290</v>
      </c>
      <c r="C36" t="s">
        <v>281</v>
      </c>
      <c r="D36" t="s">
        <v>94</v>
      </c>
    </row>
    <row r="37" spans="1:4" x14ac:dyDescent="0.25">
      <c r="A37" t="s">
        <v>282</v>
      </c>
      <c r="B37" t="s">
        <v>292</v>
      </c>
      <c r="C37" t="s">
        <v>284</v>
      </c>
      <c r="D37" t="s">
        <v>94</v>
      </c>
    </row>
    <row r="38" spans="1:4" x14ac:dyDescent="0.25">
      <c r="A38" t="s">
        <v>285</v>
      </c>
      <c r="B38" t="s">
        <v>294</v>
      </c>
      <c r="C38" t="s">
        <v>169</v>
      </c>
    </row>
    <row r="39" spans="1:4" x14ac:dyDescent="0.25">
      <c r="A39" t="s">
        <v>287</v>
      </c>
      <c r="B39" t="s">
        <v>296</v>
      </c>
      <c r="C39" t="s">
        <v>5516</v>
      </c>
    </row>
    <row r="40" spans="1:4" x14ac:dyDescent="0.25">
      <c r="A40" t="s">
        <v>289</v>
      </c>
      <c r="B40" t="s">
        <v>298</v>
      </c>
      <c r="C40" t="s">
        <v>5543</v>
      </c>
      <c r="D40" t="s">
        <v>94</v>
      </c>
    </row>
    <row r="41" spans="1:4" x14ac:dyDescent="0.25">
      <c r="A41" t="s">
        <v>291</v>
      </c>
      <c r="B41" t="s">
        <v>300</v>
      </c>
      <c r="C41" t="s">
        <v>169</v>
      </c>
      <c r="D41" t="s">
        <v>94</v>
      </c>
    </row>
    <row r="42" spans="1:4" x14ac:dyDescent="0.25">
      <c r="A42" t="s">
        <v>293</v>
      </c>
      <c r="B42" t="s">
        <v>168</v>
      </c>
      <c r="C42" t="s">
        <v>169</v>
      </c>
    </row>
    <row r="43" spans="1:4" x14ac:dyDescent="0.25">
      <c r="A43" t="s">
        <v>295</v>
      </c>
      <c r="B43" t="s">
        <v>172</v>
      </c>
      <c r="C43" t="s">
        <v>169</v>
      </c>
    </row>
    <row r="44" spans="1:4" x14ac:dyDescent="0.25">
      <c r="A44" t="s">
        <v>297</v>
      </c>
      <c r="B44" t="s">
        <v>177</v>
      </c>
      <c r="C44" t="s">
        <v>169</v>
      </c>
    </row>
    <row r="45" spans="1:4" x14ac:dyDescent="0.25">
      <c r="A45" t="s">
        <v>299</v>
      </c>
      <c r="B45" t="s">
        <v>182</v>
      </c>
      <c r="C45" t="s">
        <v>169</v>
      </c>
    </row>
    <row r="46" spans="1:4" x14ac:dyDescent="0.25">
      <c r="A46" t="s">
        <v>301</v>
      </c>
      <c r="B46" t="s">
        <v>187</v>
      </c>
      <c r="C46" t="s">
        <v>169</v>
      </c>
    </row>
    <row r="47" spans="1:4" x14ac:dyDescent="0.25">
      <c r="A47" t="s">
        <v>303</v>
      </c>
      <c r="B47" t="s">
        <v>192</v>
      </c>
      <c r="C47" t="s">
        <v>169</v>
      </c>
      <c r="D47" t="s">
        <v>94</v>
      </c>
    </row>
    <row r="48" spans="1:4" x14ac:dyDescent="0.25">
      <c r="A48" t="s">
        <v>305</v>
      </c>
      <c r="B48" t="s">
        <v>197</v>
      </c>
      <c r="C48" t="s">
        <v>169</v>
      </c>
    </row>
    <row r="49" spans="1:4" x14ac:dyDescent="0.25">
      <c r="A49" t="s">
        <v>307</v>
      </c>
      <c r="B49" t="s">
        <v>201</v>
      </c>
      <c r="C49" t="s">
        <v>169</v>
      </c>
      <c r="D49" t="s">
        <v>94</v>
      </c>
    </row>
    <row r="50" spans="1:4" x14ac:dyDescent="0.25">
      <c r="A50" t="s">
        <v>309</v>
      </c>
      <c r="B50" t="s">
        <v>205</v>
      </c>
      <c r="C50" t="s">
        <v>169</v>
      </c>
      <c r="D50" t="s">
        <v>94</v>
      </c>
    </row>
    <row r="51" spans="1:4" x14ac:dyDescent="0.25">
      <c r="A51" t="s">
        <v>311</v>
      </c>
      <c r="B51" t="s">
        <v>210</v>
      </c>
      <c r="C51" t="s">
        <v>169</v>
      </c>
      <c r="D51" t="s">
        <v>94</v>
      </c>
    </row>
    <row r="52" spans="1:4" x14ac:dyDescent="0.25">
      <c r="A52" t="s">
        <v>313</v>
      </c>
      <c r="B52" t="s">
        <v>213</v>
      </c>
      <c r="C52" t="s">
        <v>169</v>
      </c>
    </row>
    <row r="53" spans="1:4" x14ac:dyDescent="0.25">
      <c r="A53" t="s">
        <v>315</v>
      </c>
      <c r="B53" t="s">
        <v>215</v>
      </c>
      <c r="C53" t="s">
        <v>169</v>
      </c>
    </row>
    <row r="54" spans="1:4" x14ac:dyDescent="0.25">
      <c r="A54" t="s">
        <v>317</v>
      </c>
      <c r="B54" t="s">
        <v>218</v>
      </c>
      <c r="C54" t="s">
        <v>169</v>
      </c>
      <c r="D54" t="s">
        <v>94</v>
      </c>
    </row>
    <row r="55" spans="1:4" x14ac:dyDescent="0.25">
      <c r="A55" t="s">
        <v>319</v>
      </c>
      <c r="B55" t="s">
        <v>221</v>
      </c>
      <c r="C55" t="s">
        <v>169</v>
      </c>
      <c r="D55" t="s">
        <v>94</v>
      </c>
    </row>
    <row r="56" spans="1:4" x14ac:dyDescent="0.25">
      <c r="A56"/>
      <c r="C56" t="s">
        <v>169</v>
      </c>
    </row>
    <row r="57" spans="1:4" x14ac:dyDescent="0.25">
      <c r="A57"/>
      <c r="C57" t="s">
        <v>169</v>
      </c>
      <c r="D57" t="s">
        <v>94</v>
      </c>
    </row>
    <row r="58" spans="1:4" x14ac:dyDescent="0.25">
      <c r="A58"/>
      <c r="C58" t="s">
        <v>169</v>
      </c>
      <c r="D58" t="s">
        <v>94</v>
      </c>
    </row>
    <row r="59" spans="1:4" x14ac:dyDescent="0.25">
      <c r="A59"/>
    </row>
    <row r="60" spans="1:4" x14ac:dyDescent="0.25">
      <c r="A60"/>
      <c r="D60" t="s">
        <v>94</v>
      </c>
    </row>
    <row r="61" spans="1:4" x14ac:dyDescent="0.25">
      <c r="A61"/>
      <c r="D61" t="s">
        <v>94</v>
      </c>
    </row>
    <row r="62" spans="1:4" x14ac:dyDescent="0.25">
      <c r="A62"/>
    </row>
    <row r="63" spans="1:4" x14ac:dyDescent="0.25">
      <c r="A63"/>
    </row>
    <row r="64" spans="1:4" x14ac:dyDescent="0.25">
      <c r="A64"/>
    </row>
    <row r="65" spans="1:4" x14ac:dyDescent="0.25">
      <c r="A65"/>
      <c r="D65" t="s">
        <v>94</v>
      </c>
    </row>
    <row r="66" spans="1:4" x14ac:dyDescent="0.25">
      <c r="A66"/>
    </row>
    <row r="67" spans="1:4" x14ac:dyDescent="0.25">
      <c r="A67"/>
      <c r="D67" t="s">
        <v>94</v>
      </c>
    </row>
    <row r="68" spans="1:4" x14ac:dyDescent="0.25">
      <c r="A68"/>
    </row>
    <row r="69" spans="1:4" x14ac:dyDescent="0.25">
      <c r="A69"/>
    </row>
    <row r="70" spans="1:4" x14ac:dyDescent="0.25">
      <c r="A70"/>
      <c r="D70" t="s">
        <v>94</v>
      </c>
    </row>
    <row r="71" spans="1:4" x14ac:dyDescent="0.25">
      <c r="A71"/>
      <c r="D71" t="s">
        <v>94</v>
      </c>
    </row>
    <row r="72" spans="1:4" x14ac:dyDescent="0.25">
      <c r="A72"/>
    </row>
    <row r="73" spans="1:4" x14ac:dyDescent="0.25">
      <c r="A73"/>
    </row>
    <row r="74" spans="1:4" x14ac:dyDescent="0.25">
      <c r="A74"/>
    </row>
    <row r="75" spans="1:4" x14ac:dyDescent="0.25">
      <c r="A75"/>
    </row>
    <row r="76" spans="1:4" x14ac:dyDescent="0.25">
      <c r="A76"/>
    </row>
    <row r="77" spans="1:4" x14ac:dyDescent="0.25">
      <c r="A77"/>
    </row>
    <row r="78" spans="1:4" x14ac:dyDescent="0.25">
      <c r="A78"/>
    </row>
    <row r="79" spans="1:4" x14ac:dyDescent="0.25">
      <c r="A79"/>
    </row>
    <row r="80" spans="1:4"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row r="3587" spans="1:1" x14ac:dyDescent="0.25">
      <c r="A3587"/>
    </row>
    <row r="3588" spans="1:1" x14ac:dyDescent="0.25">
      <c r="A3588"/>
    </row>
    <row r="3589" spans="1:1" x14ac:dyDescent="0.25">
      <c r="A3589"/>
    </row>
    <row r="3590" spans="1:1" x14ac:dyDescent="0.25">
      <c r="A3590"/>
    </row>
    <row r="3591" spans="1:1" x14ac:dyDescent="0.25">
      <c r="A3591"/>
    </row>
    <row r="3592" spans="1:1" x14ac:dyDescent="0.25">
      <c r="A3592"/>
    </row>
    <row r="3593" spans="1:1" x14ac:dyDescent="0.25">
      <c r="A3593"/>
    </row>
    <row r="3594" spans="1:1" x14ac:dyDescent="0.25">
      <c r="A3594"/>
    </row>
    <row r="3595" spans="1:1" x14ac:dyDescent="0.25">
      <c r="A3595"/>
    </row>
    <row r="3596" spans="1:1" x14ac:dyDescent="0.25">
      <c r="A3596"/>
    </row>
    <row r="3597" spans="1:1" x14ac:dyDescent="0.25">
      <c r="A3597"/>
    </row>
    <row r="3598" spans="1:1" x14ac:dyDescent="0.25">
      <c r="A3598"/>
    </row>
    <row r="3599" spans="1:1" x14ac:dyDescent="0.25">
      <c r="A3599"/>
    </row>
    <row r="3600" spans="1:1" x14ac:dyDescent="0.25">
      <c r="A3600"/>
    </row>
    <row r="3601" spans="1:1" x14ac:dyDescent="0.25">
      <c r="A3601"/>
    </row>
    <row r="3602" spans="1:1" x14ac:dyDescent="0.25">
      <c r="A3602"/>
    </row>
    <row r="3603" spans="1:1" x14ac:dyDescent="0.25">
      <c r="A3603"/>
    </row>
    <row r="3604" spans="1:1" x14ac:dyDescent="0.25">
      <c r="A3604"/>
    </row>
    <row r="3605" spans="1:1" x14ac:dyDescent="0.25">
      <c r="A3605"/>
    </row>
    <row r="3606" spans="1:1" x14ac:dyDescent="0.25">
      <c r="A3606"/>
    </row>
    <row r="3607" spans="1:1" x14ac:dyDescent="0.25">
      <c r="A3607"/>
    </row>
    <row r="3608" spans="1:1" x14ac:dyDescent="0.25">
      <c r="A3608"/>
    </row>
    <row r="3609" spans="1:1" x14ac:dyDescent="0.25">
      <c r="A3609"/>
    </row>
    <row r="3610" spans="1:1" x14ac:dyDescent="0.25">
      <c r="A3610"/>
    </row>
    <row r="3611" spans="1:1" x14ac:dyDescent="0.25">
      <c r="A3611"/>
    </row>
    <row r="3612" spans="1:1" x14ac:dyDescent="0.25">
      <c r="A3612"/>
    </row>
    <row r="3613" spans="1:1" x14ac:dyDescent="0.25">
      <c r="A3613"/>
    </row>
    <row r="3614" spans="1:1" x14ac:dyDescent="0.25">
      <c r="A3614"/>
    </row>
    <row r="3615" spans="1:1" x14ac:dyDescent="0.25">
      <c r="A3615"/>
    </row>
    <row r="3616" spans="1:1" x14ac:dyDescent="0.25">
      <c r="A3616"/>
    </row>
    <row r="3617" spans="1:1" x14ac:dyDescent="0.25">
      <c r="A3617"/>
    </row>
    <row r="3618" spans="1:1" x14ac:dyDescent="0.25">
      <c r="A3618"/>
    </row>
    <row r="3619" spans="1:1" x14ac:dyDescent="0.25">
      <c r="A3619"/>
    </row>
    <row r="3620" spans="1:1" x14ac:dyDescent="0.25">
      <c r="A3620"/>
    </row>
    <row r="3621" spans="1:1" x14ac:dyDescent="0.25">
      <c r="A3621"/>
    </row>
    <row r="3622" spans="1:1" x14ac:dyDescent="0.25">
      <c r="A3622"/>
    </row>
    <row r="3623" spans="1:1" x14ac:dyDescent="0.25">
      <c r="A3623"/>
    </row>
    <row r="3624" spans="1:1" x14ac:dyDescent="0.25">
      <c r="A3624"/>
    </row>
    <row r="3625" spans="1:1" x14ac:dyDescent="0.25">
      <c r="A3625"/>
    </row>
    <row r="3626" spans="1:1" x14ac:dyDescent="0.25">
      <c r="A3626"/>
    </row>
    <row r="3627" spans="1:1" x14ac:dyDescent="0.25">
      <c r="A3627"/>
    </row>
    <row r="3628" spans="1:1" x14ac:dyDescent="0.25">
      <c r="A3628"/>
    </row>
    <row r="3629" spans="1:1" x14ac:dyDescent="0.25">
      <c r="A3629"/>
    </row>
    <row r="3630" spans="1:1" x14ac:dyDescent="0.25">
      <c r="A3630"/>
    </row>
    <row r="3631" spans="1:1" x14ac:dyDescent="0.25">
      <c r="A3631"/>
    </row>
    <row r="3632" spans="1:1" x14ac:dyDescent="0.25">
      <c r="A3632"/>
    </row>
    <row r="3633" spans="1:1" x14ac:dyDescent="0.25">
      <c r="A3633"/>
    </row>
    <row r="3634" spans="1:1" x14ac:dyDescent="0.25">
      <c r="A3634"/>
    </row>
    <row r="3635" spans="1:1" x14ac:dyDescent="0.25">
      <c r="A3635"/>
    </row>
    <row r="3636" spans="1:1" x14ac:dyDescent="0.25">
      <c r="A3636"/>
    </row>
    <row r="3637" spans="1:1" x14ac:dyDescent="0.25">
      <c r="A3637"/>
    </row>
    <row r="3638" spans="1:1" x14ac:dyDescent="0.25">
      <c r="A3638"/>
    </row>
    <row r="3639" spans="1:1" x14ac:dyDescent="0.25">
      <c r="A3639"/>
    </row>
    <row r="3640" spans="1:1" x14ac:dyDescent="0.25">
      <c r="A3640"/>
    </row>
    <row r="3641" spans="1:1" x14ac:dyDescent="0.25">
      <c r="A3641"/>
    </row>
    <row r="3642" spans="1:1" x14ac:dyDescent="0.25">
      <c r="A3642"/>
    </row>
    <row r="3643" spans="1:1" x14ac:dyDescent="0.25">
      <c r="A3643"/>
    </row>
    <row r="3644" spans="1:1" x14ac:dyDescent="0.25">
      <c r="A3644"/>
    </row>
    <row r="3645" spans="1:1" x14ac:dyDescent="0.25">
      <c r="A3645"/>
    </row>
    <row r="3646" spans="1:1" x14ac:dyDescent="0.25">
      <c r="A3646"/>
    </row>
    <row r="3647" spans="1:1" x14ac:dyDescent="0.25">
      <c r="A3647"/>
    </row>
    <row r="3648" spans="1:1" x14ac:dyDescent="0.25">
      <c r="A3648"/>
    </row>
    <row r="3649" spans="1:1" x14ac:dyDescent="0.25">
      <c r="A3649"/>
    </row>
    <row r="3650" spans="1:1" x14ac:dyDescent="0.25">
      <c r="A3650"/>
    </row>
    <row r="3651" spans="1:1" x14ac:dyDescent="0.25">
      <c r="A3651"/>
    </row>
    <row r="3652" spans="1:1" x14ac:dyDescent="0.25">
      <c r="A3652"/>
    </row>
    <row r="3653" spans="1:1" x14ac:dyDescent="0.25">
      <c r="A3653"/>
    </row>
    <row r="3654" spans="1:1" x14ac:dyDescent="0.25">
      <c r="A3654"/>
    </row>
    <row r="3655" spans="1:1" x14ac:dyDescent="0.25">
      <c r="A3655"/>
    </row>
    <row r="3656" spans="1:1" x14ac:dyDescent="0.25">
      <c r="A3656"/>
    </row>
    <row r="3657" spans="1:1" x14ac:dyDescent="0.25">
      <c r="A3657"/>
    </row>
    <row r="3658" spans="1:1" x14ac:dyDescent="0.25">
      <c r="A3658"/>
    </row>
    <row r="3659" spans="1:1" x14ac:dyDescent="0.25">
      <c r="A3659"/>
    </row>
    <row r="3660" spans="1:1" x14ac:dyDescent="0.25">
      <c r="A3660"/>
    </row>
    <row r="3661" spans="1:1" x14ac:dyDescent="0.25">
      <c r="A3661"/>
    </row>
    <row r="3662" spans="1:1" x14ac:dyDescent="0.25">
      <c r="A3662"/>
    </row>
    <row r="3663" spans="1:1" x14ac:dyDescent="0.25">
      <c r="A3663"/>
    </row>
    <row r="3664" spans="1:1" x14ac:dyDescent="0.25">
      <c r="A3664"/>
    </row>
    <row r="3665" spans="1:1" x14ac:dyDescent="0.25">
      <c r="A3665"/>
    </row>
    <row r="3666" spans="1:1" x14ac:dyDescent="0.25">
      <c r="A3666"/>
    </row>
    <row r="3667" spans="1:1" x14ac:dyDescent="0.25">
      <c r="A3667"/>
    </row>
    <row r="3668" spans="1:1" x14ac:dyDescent="0.25">
      <c r="A3668"/>
    </row>
    <row r="3669" spans="1:1" x14ac:dyDescent="0.25">
      <c r="A3669"/>
    </row>
    <row r="3670" spans="1:1" x14ac:dyDescent="0.25">
      <c r="A3670"/>
    </row>
    <row r="3671" spans="1:1" x14ac:dyDescent="0.25">
      <c r="A3671"/>
    </row>
    <row r="3672" spans="1:1" x14ac:dyDescent="0.25">
      <c r="A3672"/>
    </row>
    <row r="3673" spans="1:1" x14ac:dyDescent="0.25">
      <c r="A3673"/>
    </row>
    <row r="3674" spans="1:1" x14ac:dyDescent="0.25">
      <c r="A3674"/>
    </row>
    <row r="3675" spans="1:1" x14ac:dyDescent="0.25">
      <c r="A3675"/>
    </row>
    <row r="3676" spans="1:1" x14ac:dyDescent="0.25">
      <c r="A3676"/>
    </row>
    <row r="3677" spans="1:1" x14ac:dyDescent="0.25">
      <c r="A3677"/>
    </row>
    <row r="3678" spans="1:1" x14ac:dyDescent="0.25">
      <c r="A3678"/>
    </row>
    <row r="3679" spans="1:1" x14ac:dyDescent="0.25">
      <c r="A3679"/>
    </row>
    <row r="3680" spans="1:1" x14ac:dyDescent="0.25">
      <c r="A3680"/>
    </row>
    <row r="3681" spans="1:1" x14ac:dyDescent="0.25">
      <c r="A3681"/>
    </row>
    <row r="3682" spans="1:1" x14ac:dyDescent="0.25">
      <c r="A3682"/>
    </row>
    <row r="3683" spans="1:1" x14ac:dyDescent="0.25">
      <c r="A3683"/>
    </row>
    <row r="3684" spans="1:1" x14ac:dyDescent="0.25">
      <c r="A3684"/>
    </row>
    <row r="3685" spans="1:1" x14ac:dyDescent="0.25">
      <c r="A3685"/>
    </row>
    <row r="3686" spans="1:1" x14ac:dyDescent="0.25">
      <c r="A3686"/>
    </row>
    <row r="3687" spans="1:1" x14ac:dyDescent="0.25">
      <c r="A3687"/>
    </row>
    <row r="3688" spans="1:1" x14ac:dyDescent="0.25">
      <c r="A3688"/>
    </row>
    <row r="3689" spans="1:1" x14ac:dyDescent="0.25">
      <c r="A3689"/>
    </row>
    <row r="3690" spans="1:1" x14ac:dyDescent="0.25">
      <c r="A3690"/>
    </row>
    <row r="3691" spans="1:1" x14ac:dyDescent="0.25">
      <c r="A3691"/>
    </row>
    <row r="3692" spans="1:1" x14ac:dyDescent="0.25">
      <c r="A3692"/>
    </row>
    <row r="3693" spans="1:1" x14ac:dyDescent="0.25">
      <c r="A3693"/>
    </row>
    <row r="3694" spans="1:1" x14ac:dyDescent="0.25">
      <c r="A3694"/>
    </row>
    <row r="3695" spans="1:1" x14ac:dyDescent="0.25">
      <c r="A3695"/>
    </row>
    <row r="3696" spans="1:1" x14ac:dyDescent="0.25">
      <c r="A3696"/>
    </row>
    <row r="3697" spans="1:1" x14ac:dyDescent="0.25">
      <c r="A3697"/>
    </row>
    <row r="3698" spans="1:1" x14ac:dyDescent="0.25">
      <c r="A3698"/>
    </row>
    <row r="3699" spans="1:1" x14ac:dyDescent="0.25">
      <c r="A3699"/>
    </row>
    <row r="3700" spans="1:1" x14ac:dyDescent="0.25">
      <c r="A3700"/>
    </row>
    <row r="3701" spans="1:1" x14ac:dyDescent="0.25">
      <c r="A3701"/>
    </row>
    <row r="3702" spans="1:1" x14ac:dyDescent="0.25">
      <c r="A3702"/>
    </row>
    <row r="3703" spans="1:1" x14ac:dyDescent="0.25">
      <c r="A3703"/>
    </row>
    <row r="3704" spans="1:1" x14ac:dyDescent="0.25">
      <c r="A3704"/>
    </row>
    <row r="3705" spans="1:1" x14ac:dyDescent="0.25">
      <c r="A3705"/>
    </row>
    <row r="3706" spans="1:1" x14ac:dyDescent="0.25">
      <c r="A3706"/>
    </row>
    <row r="3707" spans="1:1" x14ac:dyDescent="0.25">
      <c r="A3707"/>
    </row>
    <row r="3708" spans="1:1" x14ac:dyDescent="0.25">
      <c r="A3708"/>
    </row>
    <row r="3709" spans="1:1" x14ac:dyDescent="0.25">
      <c r="A3709"/>
    </row>
    <row r="3710" spans="1:1" x14ac:dyDescent="0.25">
      <c r="A3710"/>
    </row>
    <row r="3711" spans="1:1" x14ac:dyDescent="0.25">
      <c r="A3711"/>
    </row>
    <row r="3712" spans="1:1" x14ac:dyDescent="0.25">
      <c r="A3712"/>
    </row>
    <row r="3713" spans="1:1" x14ac:dyDescent="0.25">
      <c r="A3713"/>
    </row>
    <row r="3714" spans="1:1" x14ac:dyDescent="0.25">
      <c r="A3714"/>
    </row>
    <row r="3715" spans="1:1" x14ac:dyDescent="0.25">
      <c r="A3715"/>
    </row>
    <row r="3716" spans="1:1" x14ac:dyDescent="0.25">
      <c r="A3716"/>
    </row>
    <row r="3717" spans="1:1" x14ac:dyDescent="0.25">
      <c r="A3717"/>
    </row>
    <row r="3718" spans="1:1" x14ac:dyDescent="0.25">
      <c r="A3718"/>
    </row>
    <row r="3719" spans="1:1" x14ac:dyDescent="0.25">
      <c r="A3719"/>
    </row>
    <row r="3720" spans="1:1" x14ac:dyDescent="0.25">
      <c r="A3720"/>
    </row>
    <row r="3721" spans="1:1" x14ac:dyDescent="0.25">
      <c r="A3721"/>
    </row>
    <row r="3722" spans="1:1" x14ac:dyDescent="0.25">
      <c r="A3722"/>
    </row>
    <row r="3723" spans="1:1" x14ac:dyDescent="0.25">
      <c r="A3723"/>
    </row>
    <row r="3724" spans="1:1" x14ac:dyDescent="0.25">
      <c r="A3724"/>
    </row>
    <row r="3725" spans="1:1" x14ac:dyDescent="0.25">
      <c r="A3725"/>
    </row>
    <row r="3726" spans="1:1" x14ac:dyDescent="0.25">
      <c r="A3726"/>
    </row>
    <row r="3727" spans="1:1" x14ac:dyDescent="0.25">
      <c r="A3727"/>
    </row>
    <row r="3728" spans="1:1" x14ac:dyDescent="0.25">
      <c r="A3728"/>
    </row>
    <row r="3729" spans="1:1" x14ac:dyDescent="0.25">
      <c r="A3729"/>
    </row>
    <row r="3730" spans="1:1" x14ac:dyDescent="0.25">
      <c r="A3730"/>
    </row>
    <row r="3731" spans="1:1" x14ac:dyDescent="0.25">
      <c r="A3731"/>
    </row>
    <row r="3732" spans="1:1" x14ac:dyDescent="0.25">
      <c r="A3732"/>
    </row>
    <row r="3733" spans="1:1" x14ac:dyDescent="0.25">
      <c r="A3733"/>
    </row>
    <row r="3734" spans="1:1" x14ac:dyDescent="0.25">
      <c r="A3734"/>
    </row>
    <row r="3735" spans="1:1" x14ac:dyDescent="0.25">
      <c r="A3735"/>
    </row>
    <row r="3736" spans="1:1" x14ac:dyDescent="0.25">
      <c r="A3736"/>
    </row>
    <row r="3737" spans="1:1" x14ac:dyDescent="0.25">
      <c r="A3737"/>
    </row>
    <row r="3738" spans="1:1" x14ac:dyDescent="0.25">
      <c r="A3738"/>
    </row>
    <row r="3739" spans="1:1" x14ac:dyDescent="0.25">
      <c r="A3739"/>
    </row>
    <row r="3740" spans="1:1" x14ac:dyDescent="0.25">
      <c r="A3740"/>
    </row>
    <row r="3741" spans="1:1" x14ac:dyDescent="0.25">
      <c r="A3741"/>
    </row>
    <row r="3742" spans="1:1" x14ac:dyDescent="0.25">
      <c r="A3742"/>
    </row>
    <row r="3743" spans="1:1" x14ac:dyDescent="0.25">
      <c r="A3743"/>
    </row>
    <row r="3744" spans="1:1" x14ac:dyDescent="0.25">
      <c r="A3744"/>
    </row>
    <row r="3745" spans="1:1" x14ac:dyDescent="0.25">
      <c r="A3745"/>
    </row>
    <row r="3746" spans="1:1" x14ac:dyDescent="0.25">
      <c r="A3746"/>
    </row>
    <row r="3747" spans="1:1" x14ac:dyDescent="0.25">
      <c r="A3747"/>
    </row>
    <row r="3748" spans="1:1" x14ac:dyDescent="0.25">
      <c r="A3748"/>
    </row>
    <row r="3749" spans="1:1" x14ac:dyDescent="0.25">
      <c r="A3749"/>
    </row>
    <row r="3750" spans="1:1" x14ac:dyDescent="0.25">
      <c r="A3750"/>
    </row>
    <row r="3751" spans="1:1" x14ac:dyDescent="0.25">
      <c r="A3751"/>
    </row>
    <row r="3752" spans="1:1" x14ac:dyDescent="0.25">
      <c r="A3752"/>
    </row>
    <row r="3753" spans="1:1" x14ac:dyDescent="0.25">
      <c r="A3753"/>
    </row>
    <row r="3754" spans="1:1" x14ac:dyDescent="0.25">
      <c r="A3754"/>
    </row>
    <row r="3755" spans="1:1" x14ac:dyDescent="0.25">
      <c r="A3755"/>
    </row>
    <row r="3756" spans="1:1" x14ac:dyDescent="0.25">
      <c r="A3756"/>
    </row>
    <row r="3757" spans="1:1" x14ac:dyDescent="0.25">
      <c r="A3757"/>
    </row>
    <row r="3758" spans="1:1" x14ac:dyDescent="0.25">
      <c r="A3758"/>
    </row>
    <row r="3759" spans="1:1" x14ac:dyDescent="0.25">
      <c r="A3759"/>
    </row>
    <row r="3760" spans="1:1" x14ac:dyDescent="0.25">
      <c r="A3760"/>
    </row>
    <row r="3761" spans="1:1" x14ac:dyDescent="0.25">
      <c r="A3761"/>
    </row>
    <row r="3762" spans="1:1" x14ac:dyDescent="0.25">
      <c r="A3762"/>
    </row>
    <row r="3763" spans="1:1" x14ac:dyDescent="0.25">
      <c r="A3763"/>
    </row>
    <row r="3764" spans="1:1" x14ac:dyDescent="0.25">
      <c r="A3764"/>
    </row>
    <row r="3765" spans="1:1" x14ac:dyDescent="0.25">
      <c r="A3765"/>
    </row>
    <row r="3766" spans="1:1" x14ac:dyDescent="0.25">
      <c r="A3766"/>
    </row>
    <row r="3767" spans="1:1" x14ac:dyDescent="0.25">
      <c r="A3767"/>
    </row>
    <row r="3768" spans="1:1" x14ac:dyDescent="0.25">
      <c r="A3768"/>
    </row>
    <row r="3769" spans="1:1" x14ac:dyDescent="0.25">
      <c r="A3769"/>
    </row>
    <row r="3770" spans="1:1" x14ac:dyDescent="0.25">
      <c r="A3770"/>
    </row>
    <row r="3771" spans="1:1" x14ac:dyDescent="0.25">
      <c r="A3771"/>
    </row>
    <row r="3772" spans="1:1" x14ac:dyDescent="0.25">
      <c r="A3772"/>
    </row>
    <row r="3773" spans="1:1" x14ac:dyDescent="0.25">
      <c r="A3773"/>
    </row>
    <row r="3774" spans="1:1" x14ac:dyDescent="0.25">
      <c r="A3774"/>
    </row>
    <row r="3775" spans="1:1" x14ac:dyDescent="0.25">
      <c r="A3775"/>
    </row>
    <row r="3776" spans="1:1" x14ac:dyDescent="0.25">
      <c r="A3776"/>
    </row>
    <row r="3777" spans="1:1" x14ac:dyDescent="0.25">
      <c r="A3777"/>
    </row>
    <row r="3778" spans="1:1" x14ac:dyDescent="0.25">
      <c r="A3778"/>
    </row>
    <row r="3779" spans="1:1" x14ac:dyDescent="0.25">
      <c r="A3779"/>
    </row>
    <row r="3780" spans="1:1" x14ac:dyDescent="0.25">
      <c r="A3780"/>
    </row>
    <row r="3781" spans="1:1" x14ac:dyDescent="0.25">
      <c r="A3781"/>
    </row>
    <row r="3782" spans="1:1" x14ac:dyDescent="0.25">
      <c r="A3782"/>
    </row>
    <row r="3783" spans="1:1" x14ac:dyDescent="0.25">
      <c r="A3783"/>
    </row>
    <row r="3784" spans="1:1" x14ac:dyDescent="0.25">
      <c r="A3784"/>
    </row>
    <row r="3785" spans="1:1" x14ac:dyDescent="0.25">
      <c r="A3785"/>
    </row>
    <row r="3786" spans="1:1" x14ac:dyDescent="0.25">
      <c r="A3786"/>
    </row>
    <row r="3787" spans="1:1" x14ac:dyDescent="0.25">
      <c r="A3787"/>
    </row>
    <row r="3788" spans="1:1" x14ac:dyDescent="0.25">
      <c r="A3788"/>
    </row>
    <row r="3789" spans="1:1" x14ac:dyDescent="0.25">
      <c r="A3789"/>
    </row>
    <row r="3790" spans="1:1" x14ac:dyDescent="0.25">
      <c r="A3790"/>
    </row>
    <row r="3791" spans="1:1" x14ac:dyDescent="0.25">
      <c r="A3791"/>
    </row>
    <row r="3792" spans="1:1" x14ac:dyDescent="0.25">
      <c r="A3792"/>
    </row>
    <row r="3793" spans="1:1" x14ac:dyDescent="0.25">
      <c r="A3793"/>
    </row>
    <row r="3794" spans="1:1" x14ac:dyDescent="0.25">
      <c r="A3794"/>
    </row>
    <row r="3795" spans="1:1" x14ac:dyDescent="0.25">
      <c r="A3795"/>
    </row>
    <row r="3796" spans="1:1" x14ac:dyDescent="0.25">
      <c r="A3796"/>
    </row>
    <row r="3797" spans="1:1" x14ac:dyDescent="0.25">
      <c r="A3797"/>
    </row>
    <row r="3798" spans="1:1" x14ac:dyDescent="0.25">
      <c r="A3798"/>
    </row>
    <row r="3799" spans="1:1" x14ac:dyDescent="0.25">
      <c r="A3799"/>
    </row>
    <row r="3800" spans="1:1" x14ac:dyDescent="0.25">
      <c r="A3800"/>
    </row>
    <row r="3801" spans="1:1" x14ac:dyDescent="0.25">
      <c r="A3801"/>
    </row>
    <row r="3802" spans="1:1" x14ac:dyDescent="0.25">
      <c r="A3802"/>
    </row>
    <row r="3803" spans="1:1" x14ac:dyDescent="0.25">
      <c r="A3803"/>
    </row>
    <row r="3804" spans="1:1" x14ac:dyDescent="0.25">
      <c r="A3804"/>
    </row>
    <row r="3805" spans="1:1" x14ac:dyDescent="0.25">
      <c r="A3805"/>
    </row>
    <row r="3806" spans="1:1" x14ac:dyDescent="0.25">
      <c r="A3806"/>
    </row>
    <row r="3807" spans="1:1" x14ac:dyDescent="0.25">
      <c r="A3807"/>
    </row>
    <row r="3808" spans="1:1" x14ac:dyDescent="0.25">
      <c r="A3808"/>
    </row>
    <row r="3809" spans="1:1" x14ac:dyDescent="0.25">
      <c r="A3809"/>
    </row>
    <row r="3810" spans="1:1" x14ac:dyDescent="0.25">
      <c r="A3810"/>
    </row>
    <row r="3811" spans="1:1" x14ac:dyDescent="0.25">
      <c r="A3811"/>
    </row>
    <row r="3812" spans="1:1" x14ac:dyDescent="0.25">
      <c r="A3812"/>
    </row>
    <row r="3813" spans="1:1" x14ac:dyDescent="0.25">
      <c r="A3813"/>
    </row>
    <row r="3814" spans="1:1" x14ac:dyDescent="0.25">
      <c r="A3814"/>
    </row>
    <row r="3815" spans="1:1" x14ac:dyDescent="0.25">
      <c r="A3815"/>
    </row>
    <row r="3816" spans="1:1" x14ac:dyDescent="0.25">
      <c r="A3816"/>
    </row>
    <row r="3817" spans="1:1" x14ac:dyDescent="0.25">
      <c r="A3817"/>
    </row>
    <row r="3818" spans="1:1" x14ac:dyDescent="0.25">
      <c r="A3818"/>
    </row>
    <row r="3819" spans="1:1" x14ac:dyDescent="0.25">
      <c r="A3819"/>
    </row>
    <row r="3820" spans="1:1" x14ac:dyDescent="0.25">
      <c r="A3820"/>
    </row>
    <row r="3821" spans="1:1" x14ac:dyDescent="0.25">
      <c r="A3821"/>
    </row>
    <row r="3822" spans="1:1" x14ac:dyDescent="0.25">
      <c r="A3822"/>
    </row>
    <row r="3823" spans="1:1" x14ac:dyDescent="0.25">
      <c r="A3823"/>
    </row>
    <row r="3824" spans="1:1" x14ac:dyDescent="0.25">
      <c r="A3824"/>
    </row>
    <row r="3825" spans="1:1" x14ac:dyDescent="0.25">
      <c r="A3825"/>
    </row>
    <row r="3826" spans="1:1" x14ac:dyDescent="0.25">
      <c r="A3826"/>
    </row>
    <row r="3827" spans="1:1" x14ac:dyDescent="0.25">
      <c r="A3827"/>
    </row>
    <row r="3828" spans="1:1" x14ac:dyDescent="0.25">
      <c r="A3828"/>
    </row>
    <row r="3829" spans="1:1" x14ac:dyDescent="0.25">
      <c r="A3829"/>
    </row>
    <row r="3830" spans="1:1" x14ac:dyDescent="0.25">
      <c r="A3830"/>
    </row>
    <row r="3831" spans="1:1" x14ac:dyDescent="0.25">
      <c r="A3831"/>
    </row>
    <row r="3832" spans="1:1" x14ac:dyDescent="0.25">
      <c r="A3832"/>
    </row>
    <row r="3833" spans="1:1" x14ac:dyDescent="0.25">
      <c r="A3833"/>
    </row>
    <row r="3834" spans="1:1" x14ac:dyDescent="0.25">
      <c r="A3834"/>
    </row>
    <row r="3835" spans="1:1" x14ac:dyDescent="0.25">
      <c r="A3835"/>
    </row>
    <row r="3836" spans="1:1" x14ac:dyDescent="0.25">
      <c r="A3836"/>
    </row>
    <row r="3837" spans="1:1" x14ac:dyDescent="0.25">
      <c r="A3837"/>
    </row>
    <row r="3838" spans="1:1" x14ac:dyDescent="0.25">
      <c r="A3838"/>
    </row>
    <row r="3839" spans="1:1" x14ac:dyDescent="0.25">
      <c r="A3839"/>
    </row>
    <row r="3840" spans="1:1" x14ac:dyDescent="0.25">
      <c r="A3840"/>
    </row>
    <row r="3841" spans="1:1" x14ac:dyDescent="0.25">
      <c r="A3841"/>
    </row>
    <row r="3842" spans="1:1" x14ac:dyDescent="0.25">
      <c r="A3842"/>
    </row>
    <row r="3843" spans="1:1" x14ac:dyDescent="0.25">
      <c r="A3843"/>
    </row>
    <row r="3844" spans="1:1" x14ac:dyDescent="0.25">
      <c r="A3844"/>
    </row>
    <row r="3845" spans="1:1" x14ac:dyDescent="0.25">
      <c r="A3845"/>
    </row>
    <row r="3846" spans="1:1" x14ac:dyDescent="0.25">
      <c r="A3846"/>
    </row>
    <row r="3847" spans="1:1" x14ac:dyDescent="0.25">
      <c r="A3847"/>
    </row>
    <row r="3848" spans="1:1" x14ac:dyDescent="0.25">
      <c r="A3848"/>
    </row>
    <row r="3849" spans="1:1" x14ac:dyDescent="0.25">
      <c r="A3849"/>
    </row>
    <row r="3850" spans="1:1" x14ac:dyDescent="0.25">
      <c r="A3850"/>
    </row>
    <row r="3851" spans="1:1" x14ac:dyDescent="0.25">
      <c r="A3851"/>
    </row>
    <row r="3852" spans="1:1" x14ac:dyDescent="0.25">
      <c r="A3852"/>
    </row>
    <row r="3853" spans="1:1" x14ac:dyDescent="0.25">
      <c r="A3853"/>
    </row>
    <row r="3854" spans="1:1" x14ac:dyDescent="0.25">
      <c r="A3854"/>
    </row>
    <row r="3855" spans="1:1" x14ac:dyDescent="0.25">
      <c r="A3855"/>
    </row>
    <row r="3856" spans="1:1" x14ac:dyDescent="0.25">
      <c r="A3856"/>
    </row>
    <row r="3857" spans="1:1" x14ac:dyDescent="0.25">
      <c r="A3857"/>
    </row>
    <row r="3858" spans="1:1" x14ac:dyDescent="0.25">
      <c r="A3858"/>
    </row>
    <row r="3859" spans="1:1" x14ac:dyDescent="0.25">
      <c r="A3859"/>
    </row>
    <row r="3860" spans="1:1" x14ac:dyDescent="0.25">
      <c r="A3860"/>
    </row>
    <row r="3861" spans="1:1" x14ac:dyDescent="0.25">
      <c r="A3861"/>
    </row>
    <row r="3862" spans="1:1" x14ac:dyDescent="0.25">
      <c r="A3862"/>
    </row>
    <row r="3863" spans="1:1" x14ac:dyDescent="0.25">
      <c r="A3863"/>
    </row>
    <row r="3864" spans="1:1" x14ac:dyDescent="0.25">
      <c r="A3864"/>
    </row>
    <row r="3865" spans="1:1" x14ac:dyDescent="0.25">
      <c r="A3865"/>
    </row>
    <row r="3866" spans="1:1" x14ac:dyDescent="0.25">
      <c r="A3866"/>
    </row>
    <row r="3867" spans="1:1" x14ac:dyDescent="0.25">
      <c r="A3867"/>
    </row>
    <row r="3868" spans="1:1" x14ac:dyDescent="0.25">
      <c r="A3868"/>
    </row>
    <row r="3869" spans="1:1" x14ac:dyDescent="0.25">
      <c r="A3869"/>
    </row>
    <row r="3870" spans="1:1" x14ac:dyDescent="0.25">
      <c r="A3870"/>
    </row>
    <row r="3871" spans="1:1" x14ac:dyDescent="0.25">
      <c r="A3871"/>
    </row>
    <row r="3872" spans="1:1" x14ac:dyDescent="0.25">
      <c r="A3872"/>
    </row>
    <row r="3873" spans="1:1" x14ac:dyDescent="0.25">
      <c r="A3873"/>
    </row>
    <row r="3874" spans="1:1" x14ac:dyDescent="0.25">
      <c r="A3874"/>
    </row>
    <row r="3875" spans="1:1" x14ac:dyDescent="0.25">
      <c r="A3875"/>
    </row>
    <row r="3876" spans="1:1" x14ac:dyDescent="0.25">
      <c r="A3876"/>
    </row>
    <row r="3877" spans="1:1" x14ac:dyDescent="0.25">
      <c r="A3877"/>
    </row>
    <row r="3878" spans="1:1" x14ac:dyDescent="0.25">
      <c r="A3878"/>
    </row>
    <row r="3879" spans="1:1" x14ac:dyDescent="0.25">
      <c r="A3879"/>
    </row>
    <row r="3880" spans="1:1" x14ac:dyDescent="0.25">
      <c r="A3880"/>
    </row>
    <row r="3881" spans="1:1" x14ac:dyDescent="0.25">
      <c r="A3881"/>
    </row>
    <row r="3882" spans="1:1" x14ac:dyDescent="0.25">
      <c r="A3882"/>
    </row>
    <row r="3883" spans="1:1" x14ac:dyDescent="0.25">
      <c r="A3883"/>
    </row>
    <row r="3884" spans="1:1" x14ac:dyDescent="0.25">
      <c r="A3884"/>
    </row>
    <row r="3885" spans="1:1" x14ac:dyDescent="0.25">
      <c r="A3885"/>
    </row>
    <row r="3886" spans="1:1" x14ac:dyDescent="0.25">
      <c r="A3886"/>
    </row>
    <row r="3887" spans="1:1" x14ac:dyDescent="0.25">
      <c r="A3887"/>
    </row>
    <row r="3888" spans="1:1" x14ac:dyDescent="0.25">
      <c r="A3888"/>
    </row>
    <row r="3889" spans="1:1" x14ac:dyDescent="0.25">
      <c r="A3889"/>
    </row>
    <row r="3890" spans="1:1" x14ac:dyDescent="0.25">
      <c r="A3890"/>
    </row>
    <row r="3891" spans="1:1" x14ac:dyDescent="0.25">
      <c r="A3891"/>
    </row>
    <row r="3892" spans="1:1" x14ac:dyDescent="0.25">
      <c r="A3892"/>
    </row>
    <row r="3893" spans="1:1" x14ac:dyDescent="0.25">
      <c r="A3893"/>
    </row>
    <row r="3894" spans="1:1" x14ac:dyDescent="0.25">
      <c r="A3894"/>
    </row>
    <row r="3895" spans="1:1" x14ac:dyDescent="0.25">
      <c r="A3895"/>
    </row>
    <row r="3896" spans="1:1" x14ac:dyDescent="0.25">
      <c r="A3896"/>
    </row>
    <row r="3897" spans="1:1" x14ac:dyDescent="0.25">
      <c r="A3897"/>
    </row>
    <row r="3898" spans="1:1" x14ac:dyDescent="0.25">
      <c r="A3898"/>
    </row>
    <row r="3899" spans="1:1" x14ac:dyDescent="0.25">
      <c r="A3899"/>
    </row>
    <row r="3900" spans="1:1" x14ac:dyDescent="0.25">
      <c r="A3900"/>
    </row>
    <row r="3901" spans="1:1" x14ac:dyDescent="0.25">
      <c r="A3901"/>
    </row>
    <row r="3902" spans="1:1" x14ac:dyDescent="0.25">
      <c r="A3902"/>
    </row>
    <row r="3903" spans="1:1" x14ac:dyDescent="0.25">
      <c r="A3903"/>
    </row>
    <row r="3904" spans="1:1" x14ac:dyDescent="0.25">
      <c r="A3904"/>
    </row>
    <row r="3905" spans="1:1" x14ac:dyDescent="0.25">
      <c r="A3905"/>
    </row>
    <row r="3906" spans="1:1" x14ac:dyDescent="0.25">
      <c r="A3906"/>
    </row>
    <row r="3907" spans="1:1" x14ac:dyDescent="0.25">
      <c r="A3907"/>
    </row>
    <row r="3908" spans="1:1" x14ac:dyDescent="0.25">
      <c r="A3908"/>
    </row>
    <row r="3909" spans="1:1" x14ac:dyDescent="0.25">
      <c r="A3909"/>
    </row>
    <row r="3910" spans="1:1" x14ac:dyDescent="0.25">
      <c r="A3910"/>
    </row>
    <row r="3911" spans="1:1" x14ac:dyDescent="0.25">
      <c r="A3911"/>
    </row>
    <row r="3912" spans="1:1" x14ac:dyDescent="0.25">
      <c r="A3912"/>
    </row>
    <row r="3913" spans="1:1" x14ac:dyDescent="0.25">
      <c r="A3913"/>
    </row>
    <row r="3914" spans="1:1" x14ac:dyDescent="0.25">
      <c r="A3914"/>
    </row>
    <row r="3915" spans="1:1" x14ac:dyDescent="0.25">
      <c r="A3915"/>
    </row>
    <row r="3916" spans="1:1" x14ac:dyDescent="0.25">
      <c r="A3916"/>
    </row>
    <row r="3917" spans="1:1" x14ac:dyDescent="0.25">
      <c r="A3917"/>
    </row>
    <row r="3918" spans="1:1" x14ac:dyDescent="0.25">
      <c r="A3918"/>
    </row>
    <row r="3919" spans="1:1" x14ac:dyDescent="0.25">
      <c r="A3919"/>
    </row>
    <row r="3920" spans="1:1" x14ac:dyDescent="0.25">
      <c r="A3920"/>
    </row>
    <row r="3921" spans="1:1" x14ac:dyDescent="0.25">
      <c r="A3921"/>
    </row>
    <row r="3922" spans="1:1" x14ac:dyDescent="0.25">
      <c r="A3922"/>
    </row>
    <row r="3923" spans="1:1" x14ac:dyDescent="0.25">
      <c r="A3923"/>
    </row>
    <row r="3924" spans="1:1" x14ac:dyDescent="0.25">
      <c r="A3924"/>
    </row>
    <row r="3925" spans="1:1" x14ac:dyDescent="0.25">
      <c r="A3925"/>
    </row>
    <row r="3926" spans="1:1" x14ac:dyDescent="0.25">
      <c r="A3926"/>
    </row>
    <row r="3927" spans="1:1" x14ac:dyDescent="0.25">
      <c r="A3927"/>
    </row>
    <row r="3928" spans="1:1" x14ac:dyDescent="0.25">
      <c r="A3928"/>
    </row>
    <row r="3929" spans="1:1" x14ac:dyDescent="0.25">
      <c r="A3929"/>
    </row>
    <row r="3930" spans="1:1" x14ac:dyDescent="0.25">
      <c r="A3930"/>
    </row>
    <row r="3931" spans="1:1" x14ac:dyDescent="0.25">
      <c r="A3931"/>
    </row>
    <row r="3932" spans="1:1" x14ac:dyDescent="0.25">
      <c r="A3932"/>
    </row>
    <row r="3933" spans="1:1" x14ac:dyDescent="0.25">
      <c r="A3933"/>
    </row>
    <row r="3934" spans="1:1" x14ac:dyDescent="0.25">
      <c r="A3934"/>
    </row>
    <row r="3935" spans="1:1" x14ac:dyDescent="0.25">
      <c r="A3935"/>
    </row>
    <row r="3936" spans="1:1" x14ac:dyDescent="0.25">
      <c r="A3936"/>
    </row>
    <row r="3937" spans="1:1" x14ac:dyDescent="0.25">
      <c r="A3937"/>
    </row>
    <row r="3938" spans="1:1" x14ac:dyDescent="0.25">
      <c r="A3938"/>
    </row>
    <row r="3939" spans="1:1" x14ac:dyDescent="0.25">
      <c r="A3939"/>
    </row>
    <row r="3940" spans="1:1" x14ac:dyDescent="0.25">
      <c r="A3940"/>
    </row>
    <row r="3941" spans="1:1" x14ac:dyDescent="0.25">
      <c r="A3941"/>
    </row>
    <row r="3942" spans="1:1" x14ac:dyDescent="0.25">
      <c r="A3942"/>
    </row>
    <row r="3943" spans="1:1" x14ac:dyDescent="0.25">
      <c r="A3943"/>
    </row>
    <row r="3944" spans="1:1" x14ac:dyDescent="0.25">
      <c r="A3944"/>
    </row>
    <row r="3945" spans="1:1" x14ac:dyDescent="0.25">
      <c r="A3945"/>
    </row>
    <row r="3946" spans="1:1" x14ac:dyDescent="0.25">
      <c r="A3946"/>
    </row>
    <row r="3947" spans="1:1" x14ac:dyDescent="0.25">
      <c r="A3947"/>
    </row>
    <row r="3948" spans="1:1" x14ac:dyDescent="0.25">
      <c r="A3948"/>
    </row>
    <row r="3949" spans="1:1" x14ac:dyDescent="0.25">
      <c r="A3949"/>
    </row>
    <row r="3950" spans="1:1" x14ac:dyDescent="0.25">
      <c r="A3950"/>
    </row>
    <row r="3951" spans="1:1" x14ac:dyDescent="0.25">
      <c r="A3951"/>
    </row>
    <row r="3952" spans="1:1" x14ac:dyDescent="0.25">
      <c r="A3952"/>
    </row>
    <row r="3953" spans="1:1" x14ac:dyDescent="0.25">
      <c r="A3953"/>
    </row>
    <row r="3954" spans="1:1" x14ac:dyDescent="0.25">
      <c r="A3954"/>
    </row>
    <row r="3955" spans="1:1" x14ac:dyDescent="0.25">
      <c r="A3955"/>
    </row>
    <row r="3956" spans="1:1" x14ac:dyDescent="0.25">
      <c r="A3956"/>
    </row>
    <row r="3957" spans="1:1" x14ac:dyDescent="0.25">
      <c r="A3957"/>
    </row>
    <row r="3958" spans="1:1" x14ac:dyDescent="0.25">
      <c r="A3958"/>
    </row>
    <row r="3959" spans="1:1" x14ac:dyDescent="0.25">
      <c r="A3959"/>
    </row>
    <row r="3960" spans="1:1" x14ac:dyDescent="0.25">
      <c r="A3960"/>
    </row>
    <row r="3961" spans="1:1" x14ac:dyDescent="0.25">
      <c r="A3961"/>
    </row>
    <row r="3962" spans="1:1" x14ac:dyDescent="0.25">
      <c r="A3962"/>
    </row>
    <row r="3963" spans="1:1" x14ac:dyDescent="0.25">
      <c r="A3963"/>
    </row>
    <row r="3964" spans="1:1" x14ac:dyDescent="0.25">
      <c r="A3964"/>
    </row>
    <row r="3965" spans="1:1" x14ac:dyDescent="0.25">
      <c r="A3965"/>
    </row>
    <row r="3966" spans="1:1" x14ac:dyDescent="0.25">
      <c r="A3966"/>
    </row>
    <row r="3967" spans="1:1" x14ac:dyDescent="0.25">
      <c r="A3967"/>
    </row>
    <row r="3968" spans="1:1" x14ac:dyDescent="0.25">
      <c r="A3968"/>
    </row>
    <row r="3969" spans="1:1" x14ac:dyDescent="0.25">
      <c r="A3969"/>
    </row>
    <row r="3970" spans="1:1" x14ac:dyDescent="0.25">
      <c r="A3970"/>
    </row>
    <row r="3971" spans="1:1" x14ac:dyDescent="0.25">
      <c r="A3971"/>
    </row>
    <row r="3972" spans="1:1" x14ac:dyDescent="0.25">
      <c r="A3972"/>
    </row>
    <row r="3973" spans="1:1" x14ac:dyDescent="0.25">
      <c r="A3973"/>
    </row>
    <row r="3974" spans="1:1" x14ac:dyDescent="0.25">
      <c r="A3974"/>
    </row>
    <row r="3975" spans="1:1" x14ac:dyDescent="0.25">
      <c r="A3975"/>
    </row>
    <row r="3976" spans="1:1" x14ac:dyDescent="0.25">
      <c r="A3976"/>
    </row>
    <row r="3977" spans="1:1" x14ac:dyDescent="0.25">
      <c r="A3977"/>
    </row>
    <row r="3978" spans="1:1" x14ac:dyDescent="0.25">
      <c r="A3978"/>
    </row>
    <row r="3979" spans="1:1" x14ac:dyDescent="0.25">
      <c r="A3979"/>
    </row>
    <row r="3980" spans="1:1" x14ac:dyDescent="0.25">
      <c r="A3980"/>
    </row>
    <row r="3981" spans="1:1" x14ac:dyDescent="0.25">
      <c r="A3981"/>
    </row>
    <row r="3982" spans="1:1" x14ac:dyDescent="0.25">
      <c r="A3982"/>
    </row>
    <row r="3983" spans="1:1" x14ac:dyDescent="0.25">
      <c r="A3983"/>
    </row>
    <row r="3984" spans="1:1" x14ac:dyDescent="0.25">
      <c r="A3984"/>
    </row>
    <row r="3985" spans="1:1" x14ac:dyDescent="0.25">
      <c r="A3985"/>
    </row>
    <row r="3986" spans="1:1" x14ac:dyDescent="0.25">
      <c r="A3986"/>
    </row>
    <row r="3987" spans="1:1" x14ac:dyDescent="0.25">
      <c r="A3987"/>
    </row>
    <row r="3988" spans="1:1" x14ac:dyDescent="0.25">
      <c r="A3988"/>
    </row>
    <row r="3989" spans="1:1" x14ac:dyDescent="0.25">
      <c r="A3989"/>
    </row>
    <row r="3990" spans="1:1" x14ac:dyDescent="0.25">
      <c r="A3990"/>
    </row>
    <row r="3991" spans="1:1" x14ac:dyDescent="0.25">
      <c r="A3991"/>
    </row>
    <row r="3992" spans="1:1" x14ac:dyDescent="0.25">
      <c r="A3992"/>
    </row>
    <row r="3993" spans="1:1" x14ac:dyDescent="0.25">
      <c r="A3993"/>
    </row>
    <row r="3994" spans="1:1" x14ac:dyDescent="0.25">
      <c r="A3994"/>
    </row>
    <row r="3995" spans="1:1" x14ac:dyDescent="0.25">
      <c r="A3995"/>
    </row>
    <row r="3996" spans="1:1" x14ac:dyDescent="0.25">
      <c r="A3996"/>
    </row>
    <row r="3997" spans="1:1" x14ac:dyDescent="0.25">
      <c r="A3997"/>
    </row>
    <row r="3998" spans="1:1" x14ac:dyDescent="0.25">
      <c r="A3998"/>
    </row>
    <row r="3999" spans="1:1" x14ac:dyDescent="0.25">
      <c r="A3999"/>
    </row>
    <row r="4000" spans="1:1" x14ac:dyDescent="0.25">
      <c r="A4000"/>
    </row>
    <row r="4001" spans="1:1" x14ac:dyDescent="0.25">
      <c r="A4001"/>
    </row>
    <row r="4002" spans="1:1" x14ac:dyDescent="0.25">
      <c r="A4002"/>
    </row>
    <row r="4003" spans="1:1" x14ac:dyDescent="0.25">
      <c r="A4003"/>
    </row>
    <row r="4004" spans="1:1" x14ac:dyDescent="0.25">
      <c r="A4004"/>
    </row>
    <row r="4005" spans="1:1" x14ac:dyDescent="0.25">
      <c r="A4005"/>
    </row>
    <row r="4006" spans="1:1" x14ac:dyDescent="0.25">
      <c r="A4006"/>
    </row>
    <row r="4007" spans="1:1" x14ac:dyDescent="0.25">
      <c r="A4007"/>
    </row>
    <row r="4008" spans="1:1" x14ac:dyDescent="0.25">
      <c r="A4008"/>
    </row>
    <row r="4009" spans="1:1" x14ac:dyDescent="0.25">
      <c r="A4009"/>
    </row>
    <row r="4010" spans="1:1" x14ac:dyDescent="0.25">
      <c r="A4010"/>
    </row>
    <row r="4011" spans="1:1" x14ac:dyDescent="0.25">
      <c r="A4011"/>
    </row>
    <row r="4012" spans="1:1" x14ac:dyDescent="0.25">
      <c r="A4012"/>
    </row>
    <row r="4013" spans="1:1" x14ac:dyDescent="0.25">
      <c r="A4013"/>
    </row>
    <row r="4014" spans="1:1" x14ac:dyDescent="0.25">
      <c r="A4014"/>
    </row>
    <row r="4015" spans="1:1" x14ac:dyDescent="0.25">
      <c r="A4015"/>
    </row>
    <row r="4016" spans="1:1" x14ac:dyDescent="0.25">
      <c r="A4016"/>
    </row>
    <row r="4017" spans="1:1" x14ac:dyDescent="0.25">
      <c r="A4017"/>
    </row>
    <row r="4018" spans="1:1" x14ac:dyDescent="0.25">
      <c r="A4018"/>
    </row>
    <row r="4019" spans="1:1" x14ac:dyDescent="0.25">
      <c r="A4019"/>
    </row>
    <row r="4020" spans="1:1" x14ac:dyDescent="0.25">
      <c r="A4020"/>
    </row>
    <row r="4021" spans="1:1" x14ac:dyDescent="0.25">
      <c r="A4021"/>
    </row>
    <row r="4022" spans="1:1" x14ac:dyDescent="0.25">
      <c r="A4022"/>
    </row>
    <row r="4023" spans="1:1" x14ac:dyDescent="0.25">
      <c r="A4023"/>
    </row>
    <row r="4024" spans="1:1" x14ac:dyDescent="0.25">
      <c r="A4024"/>
    </row>
    <row r="4025" spans="1:1" x14ac:dyDescent="0.25">
      <c r="A4025"/>
    </row>
    <row r="4026" spans="1:1" x14ac:dyDescent="0.25">
      <c r="A4026"/>
    </row>
    <row r="4027" spans="1:1" x14ac:dyDescent="0.25">
      <c r="A4027"/>
    </row>
    <row r="4028" spans="1:1" x14ac:dyDescent="0.25">
      <c r="A4028"/>
    </row>
    <row r="4029" spans="1:1" x14ac:dyDescent="0.25">
      <c r="A4029"/>
    </row>
    <row r="4030" spans="1:1" x14ac:dyDescent="0.25">
      <c r="A4030"/>
    </row>
    <row r="4031" spans="1:1" x14ac:dyDescent="0.25">
      <c r="A4031"/>
    </row>
    <row r="4032" spans="1:1" x14ac:dyDescent="0.25">
      <c r="A4032"/>
    </row>
    <row r="4033" spans="1:1" x14ac:dyDescent="0.25">
      <c r="A4033"/>
    </row>
    <row r="4034" spans="1:1" x14ac:dyDescent="0.25">
      <c r="A4034"/>
    </row>
    <row r="4035" spans="1:1" x14ac:dyDescent="0.25">
      <c r="A4035"/>
    </row>
    <row r="4036" spans="1:1" x14ac:dyDescent="0.25">
      <c r="A4036"/>
    </row>
    <row r="4037" spans="1:1" x14ac:dyDescent="0.25">
      <c r="A4037"/>
    </row>
    <row r="4038" spans="1:1" x14ac:dyDescent="0.25">
      <c r="A4038"/>
    </row>
    <row r="4039" spans="1:1" x14ac:dyDescent="0.25">
      <c r="A4039"/>
    </row>
    <row r="4040" spans="1:1" x14ac:dyDescent="0.25">
      <c r="A4040"/>
    </row>
    <row r="4041" spans="1:1" x14ac:dyDescent="0.25">
      <c r="A4041"/>
    </row>
    <row r="4042" spans="1:1" x14ac:dyDescent="0.25">
      <c r="A4042"/>
    </row>
    <row r="4043" spans="1:1" x14ac:dyDescent="0.25">
      <c r="A4043"/>
    </row>
    <row r="4044" spans="1:1" x14ac:dyDescent="0.25">
      <c r="A4044"/>
    </row>
    <row r="4045" spans="1:1" x14ac:dyDescent="0.25">
      <c r="A4045"/>
    </row>
    <row r="4046" spans="1:1" x14ac:dyDescent="0.25">
      <c r="A4046"/>
    </row>
    <row r="4047" spans="1:1" x14ac:dyDescent="0.25">
      <c r="A4047"/>
    </row>
    <row r="4048" spans="1:1" x14ac:dyDescent="0.25">
      <c r="A4048"/>
    </row>
    <row r="4049" spans="1:1" x14ac:dyDescent="0.25">
      <c r="A4049"/>
    </row>
    <row r="4050" spans="1:1" x14ac:dyDescent="0.25">
      <c r="A4050"/>
    </row>
    <row r="4051" spans="1:1" x14ac:dyDescent="0.25">
      <c r="A4051"/>
    </row>
    <row r="4052" spans="1:1" x14ac:dyDescent="0.25">
      <c r="A4052"/>
    </row>
    <row r="4053" spans="1:1" x14ac:dyDescent="0.25">
      <c r="A4053"/>
    </row>
    <row r="4054" spans="1:1" x14ac:dyDescent="0.25">
      <c r="A4054"/>
    </row>
    <row r="4055" spans="1:1" x14ac:dyDescent="0.25">
      <c r="A4055"/>
    </row>
    <row r="4056" spans="1:1" x14ac:dyDescent="0.25">
      <c r="A4056"/>
    </row>
    <row r="4057" spans="1:1" x14ac:dyDescent="0.25">
      <c r="A4057"/>
    </row>
    <row r="4058" spans="1:1" x14ac:dyDescent="0.25">
      <c r="A4058"/>
    </row>
    <row r="4059" spans="1:1" x14ac:dyDescent="0.25">
      <c r="A4059"/>
    </row>
    <row r="4060" spans="1:1" x14ac:dyDescent="0.25">
      <c r="A4060"/>
    </row>
    <row r="4061" spans="1:1" x14ac:dyDescent="0.25">
      <c r="A4061"/>
    </row>
    <row r="4062" spans="1:1" x14ac:dyDescent="0.25">
      <c r="A4062"/>
    </row>
    <row r="4063" spans="1:1" x14ac:dyDescent="0.25">
      <c r="A4063"/>
    </row>
    <row r="4064" spans="1:1" x14ac:dyDescent="0.25">
      <c r="A4064"/>
    </row>
    <row r="4065" spans="1:1" x14ac:dyDescent="0.25">
      <c r="A4065"/>
    </row>
    <row r="4066" spans="1:1" x14ac:dyDescent="0.25">
      <c r="A4066"/>
    </row>
    <row r="4067" spans="1:1" x14ac:dyDescent="0.25">
      <c r="A4067"/>
    </row>
    <row r="4068" spans="1:1" x14ac:dyDescent="0.25">
      <c r="A4068"/>
    </row>
    <row r="4069" spans="1:1" x14ac:dyDescent="0.25">
      <c r="A4069"/>
    </row>
    <row r="4070" spans="1:1" x14ac:dyDescent="0.25">
      <c r="A4070"/>
    </row>
    <row r="4071" spans="1:1" x14ac:dyDescent="0.25">
      <c r="A4071"/>
    </row>
    <row r="4072" spans="1:1" x14ac:dyDescent="0.25">
      <c r="A4072"/>
    </row>
    <row r="4073" spans="1:1" x14ac:dyDescent="0.25">
      <c r="A4073"/>
    </row>
    <row r="4074" spans="1:1" x14ac:dyDescent="0.25">
      <c r="A4074"/>
    </row>
    <row r="4075" spans="1:1" x14ac:dyDescent="0.25">
      <c r="A4075"/>
    </row>
    <row r="4076" spans="1:1" x14ac:dyDescent="0.25">
      <c r="A4076"/>
    </row>
    <row r="4077" spans="1:1" x14ac:dyDescent="0.25">
      <c r="A4077"/>
    </row>
    <row r="4078" spans="1:1" x14ac:dyDescent="0.25">
      <c r="A4078"/>
    </row>
    <row r="4079" spans="1:1" x14ac:dyDescent="0.25">
      <c r="A4079"/>
    </row>
    <row r="4080" spans="1:1" x14ac:dyDescent="0.25">
      <c r="A4080"/>
    </row>
    <row r="4081" spans="1:1" x14ac:dyDescent="0.25">
      <c r="A4081"/>
    </row>
    <row r="4082" spans="1:1" x14ac:dyDescent="0.25">
      <c r="A4082"/>
    </row>
    <row r="4083" spans="1:1" x14ac:dyDescent="0.25">
      <c r="A4083"/>
    </row>
    <row r="4084" spans="1:1" x14ac:dyDescent="0.25">
      <c r="A4084"/>
    </row>
    <row r="4085" spans="1:1" x14ac:dyDescent="0.25">
      <c r="A4085"/>
    </row>
    <row r="4086" spans="1:1" x14ac:dyDescent="0.25">
      <c r="A4086"/>
    </row>
    <row r="4087" spans="1:1" x14ac:dyDescent="0.25">
      <c r="A4087"/>
    </row>
    <row r="4088" spans="1:1" x14ac:dyDescent="0.25">
      <c r="A4088"/>
    </row>
    <row r="4089" spans="1:1" x14ac:dyDescent="0.25">
      <c r="A4089"/>
    </row>
    <row r="4090" spans="1:1" x14ac:dyDescent="0.25">
      <c r="A4090"/>
    </row>
    <row r="4091" spans="1:1" x14ac:dyDescent="0.25">
      <c r="A4091"/>
    </row>
    <row r="4092" spans="1:1" x14ac:dyDescent="0.25">
      <c r="A4092"/>
    </row>
    <row r="4093" spans="1:1" x14ac:dyDescent="0.25">
      <c r="A4093"/>
    </row>
    <row r="4094" spans="1:1" x14ac:dyDescent="0.25">
      <c r="A4094"/>
    </row>
    <row r="4095" spans="1:1" x14ac:dyDescent="0.25">
      <c r="A4095"/>
    </row>
    <row r="4096" spans="1:1" x14ac:dyDescent="0.25">
      <c r="A4096"/>
    </row>
    <row r="4097" spans="1:1" x14ac:dyDescent="0.25">
      <c r="A4097"/>
    </row>
    <row r="4098" spans="1:1" x14ac:dyDescent="0.25">
      <c r="A4098"/>
    </row>
    <row r="4099" spans="1:1" x14ac:dyDescent="0.25">
      <c r="A4099"/>
    </row>
    <row r="4100" spans="1:1" x14ac:dyDescent="0.25">
      <c r="A4100"/>
    </row>
    <row r="4101" spans="1:1" x14ac:dyDescent="0.25">
      <c r="A4101"/>
    </row>
    <row r="4102" spans="1:1" x14ac:dyDescent="0.25">
      <c r="A4102"/>
    </row>
    <row r="4103" spans="1:1" x14ac:dyDescent="0.25">
      <c r="A4103"/>
    </row>
    <row r="4104" spans="1:1" x14ac:dyDescent="0.25">
      <c r="A4104"/>
    </row>
    <row r="4105" spans="1:1" x14ac:dyDescent="0.25">
      <c r="A4105"/>
    </row>
    <row r="4106" spans="1:1" x14ac:dyDescent="0.25">
      <c r="A4106"/>
    </row>
    <row r="4107" spans="1:1" x14ac:dyDescent="0.25">
      <c r="A4107"/>
    </row>
    <row r="4108" spans="1:1" x14ac:dyDescent="0.25">
      <c r="A4108"/>
    </row>
    <row r="4109" spans="1:1" x14ac:dyDescent="0.25">
      <c r="A4109"/>
    </row>
    <row r="4110" spans="1:1" x14ac:dyDescent="0.25">
      <c r="A4110"/>
    </row>
    <row r="4111" spans="1:1" x14ac:dyDescent="0.25">
      <c r="A4111"/>
    </row>
    <row r="4112" spans="1:1" x14ac:dyDescent="0.25">
      <c r="A4112"/>
    </row>
    <row r="4113" spans="1:1" x14ac:dyDescent="0.25">
      <c r="A4113"/>
    </row>
    <row r="4114" spans="1:1" x14ac:dyDescent="0.25">
      <c r="A4114"/>
    </row>
    <row r="4115" spans="1:1" x14ac:dyDescent="0.25">
      <c r="A4115"/>
    </row>
    <row r="4116" spans="1:1" x14ac:dyDescent="0.25">
      <c r="A4116"/>
    </row>
    <row r="4117" spans="1:1" x14ac:dyDescent="0.25">
      <c r="A4117"/>
    </row>
    <row r="4118" spans="1:1" x14ac:dyDescent="0.25">
      <c r="A4118"/>
    </row>
    <row r="4119" spans="1:1" x14ac:dyDescent="0.25">
      <c r="A4119"/>
    </row>
    <row r="4120" spans="1:1" x14ac:dyDescent="0.25">
      <c r="A4120"/>
    </row>
    <row r="4121" spans="1:1" x14ac:dyDescent="0.25">
      <c r="A4121"/>
    </row>
    <row r="4122" spans="1:1" x14ac:dyDescent="0.25">
      <c r="A4122"/>
    </row>
    <row r="4123" spans="1:1" x14ac:dyDescent="0.25">
      <c r="A4123"/>
    </row>
    <row r="4124" spans="1:1" x14ac:dyDescent="0.25">
      <c r="A4124"/>
    </row>
    <row r="4125" spans="1:1" x14ac:dyDescent="0.25">
      <c r="A4125"/>
    </row>
    <row r="4126" spans="1:1" x14ac:dyDescent="0.25">
      <c r="A4126"/>
    </row>
    <row r="4127" spans="1:1" x14ac:dyDescent="0.25">
      <c r="A4127"/>
    </row>
    <row r="4128" spans="1:1" x14ac:dyDescent="0.25">
      <c r="A4128"/>
    </row>
    <row r="4129" spans="1:1" x14ac:dyDescent="0.25">
      <c r="A4129"/>
    </row>
    <row r="4130" spans="1:1" x14ac:dyDescent="0.25">
      <c r="A4130"/>
    </row>
    <row r="4131" spans="1:1" x14ac:dyDescent="0.25">
      <c r="A4131"/>
    </row>
    <row r="4132" spans="1:1" x14ac:dyDescent="0.25">
      <c r="A4132"/>
    </row>
    <row r="4133" spans="1:1" x14ac:dyDescent="0.25">
      <c r="A4133"/>
    </row>
    <row r="4134" spans="1:1" x14ac:dyDescent="0.25">
      <c r="A4134"/>
    </row>
    <row r="4135" spans="1:1" x14ac:dyDescent="0.25">
      <c r="A4135"/>
    </row>
    <row r="4136" spans="1:1" x14ac:dyDescent="0.25">
      <c r="A4136"/>
    </row>
    <row r="4137" spans="1:1" x14ac:dyDescent="0.25">
      <c r="A4137"/>
    </row>
    <row r="4138" spans="1:1" x14ac:dyDescent="0.25">
      <c r="A4138"/>
    </row>
    <row r="4139" spans="1:1" x14ac:dyDescent="0.25">
      <c r="A4139"/>
    </row>
    <row r="4140" spans="1:1" x14ac:dyDescent="0.25">
      <c r="A4140"/>
    </row>
    <row r="4141" spans="1:1" x14ac:dyDescent="0.25">
      <c r="A4141"/>
    </row>
    <row r="4142" spans="1:1" x14ac:dyDescent="0.25">
      <c r="A4142"/>
    </row>
    <row r="4143" spans="1:1" x14ac:dyDescent="0.25">
      <c r="A4143"/>
    </row>
    <row r="4144" spans="1:1" x14ac:dyDescent="0.25">
      <c r="A4144"/>
    </row>
    <row r="4145" spans="1:1" x14ac:dyDescent="0.25">
      <c r="A4145"/>
    </row>
    <row r="4146" spans="1:1" x14ac:dyDescent="0.25">
      <c r="A4146"/>
    </row>
    <row r="4147" spans="1:1" x14ac:dyDescent="0.25">
      <c r="A4147"/>
    </row>
    <row r="4148" spans="1:1" x14ac:dyDescent="0.25">
      <c r="A4148"/>
    </row>
    <row r="4149" spans="1:1" x14ac:dyDescent="0.25">
      <c r="A4149"/>
    </row>
    <row r="4150" spans="1:1" x14ac:dyDescent="0.25">
      <c r="A4150"/>
    </row>
    <row r="4151" spans="1:1" x14ac:dyDescent="0.25">
      <c r="A4151"/>
    </row>
    <row r="4152" spans="1:1" x14ac:dyDescent="0.25">
      <c r="A4152"/>
    </row>
    <row r="4153" spans="1:1" x14ac:dyDescent="0.25">
      <c r="A4153"/>
    </row>
    <row r="4154" spans="1:1" x14ac:dyDescent="0.25">
      <c r="A4154"/>
    </row>
    <row r="4155" spans="1:1" x14ac:dyDescent="0.25">
      <c r="A4155"/>
    </row>
    <row r="4156" spans="1:1" x14ac:dyDescent="0.25">
      <c r="A4156"/>
    </row>
    <row r="4157" spans="1:1" x14ac:dyDescent="0.25">
      <c r="A4157"/>
    </row>
    <row r="4158" spans="1:1" x14ac:dyDescent="0.25">
      <c r="A4158"/>
    </row>
    <row r="4159" spans="1:1" x14ac:dyDescent="0.25">
      <c r="A4159"/>
    </row>
    <row r="4160" spans="1:1" x14ac:dyDescent="0.25">
      <c r="A4160"/>
    </row>
    <row r="4161" spans="1:1" x14ac:dyDescent="0.25">
      <c r="A4161"/>
    </row>
    <row r="4162" spans="1:1" x14ac:dyDescent="0.25">
      <c r="A4162"/>
    </row>
    <row r="4163" spans="1:1" x14ac:dyDescent="0.25">
      <c r="A4163"/>
    </row>
    <row r="4164" spans="1:1" x14ac:dyDescent="0.25">
      <c r="A4164"/>
    </row>
    <row r="4165" spans="1:1" x14ac:dyDescent="0.25">
      <c r="A4165"/>
    </row>
    <row r="4166" spans="1:1" x14ac:dyDescent="0.25">
      <c r="A4166"/>
    </row>
    <row r="4167" spans="1:1" x14ac:dyDescent="0.25">
      <c r="A4167"/>
    </row>
    <row r="4168" spans="1:1" x14ac:dyDescent="0.25">
      <c r="A4168"/>
    </row>
    <row r="4169" spans="1:1" x14ac:dyDescent="0.25">
      <c r="A4169"/>
    </row>
    <row r="4170" spans="1:1" x14ac:dyDescent="0.25">
      <c r="A4170"/>
    </row>
    <row r="4171" spans="1:1" x14ac:dyDescent="0.25">
      <c r="A4171"/>
    </row>
    <row r="4172" spans="1:1" x14ac:dyDescent="0.25">
      <c r="A4172"/>
    </row>
    <row r="4173" spans="1:1" x14ac:dyDescent="0.25">
      <c r="A4173"/>
    </row>
    <row r="4174" spans="1:1" x14ac:dyDescent="0.25">
      <c r="A4174"/>
    </row>
    <row r="4175" spans="1:1" x14ac:dyDescent="0.25">
      <c r="A4175"/>
    </row>
    <row r="4176" spans="1:1" x14ac:dyDescent="0.25">
      <c r="A4176"/>
    </row>
    <row r="4177" spans="1:1" x14ac:dyDescent="0.25">
      <c r="A4177"/>
    </row>
    <row r="4178" spans="1:1" x14ac:dyDescent="0.25">
      <c r="A4178"/>
    </row>
    <row r="4179" spans="1:1" x14ac:dyDescent="0.25">
      <c r="A4179"/>
    </row>
    <row r="4180" spans="1:1" x14ac:dyDescent="0.25">
      <c r="A4180"/>
    </row>
    <row r="4181" spans="1:1" x14ac:dyDescent="0.25">
      <c r="A4181"/>
    </row>
    <row r="4182" spans="1:1" x14ac:dyDescent="0.25">
      <c r="A4182"/>
    </row>
    <row r="4183" spans="1:1" x14ac:dyDescent="0.25">
      <c r="A4183"/>
    </row>
    <row r="4184" spans="1:1" x14ac:dyDescent="0.25">
      <c r="A4184"/>
    </row>
    <row r="4185" spans="1:1" x14ac:dyDescent="0.25">
      <c r="A4185"/>
    </row>
    <row r="4186" spans="1:1" x14ac:dyDescent="0.25">
      <c r="A4186"/>
    </row>
    <row r="4187" spans="1:1" x14ac:dyDescent="0.25">
      <c r="A4187"/>
    </row>
    <row r="4188" spans="1:1" x14ac:dyDescent="0.25">
      <c r="A4188"/>
    </row>
    <row r="4189" spans="1:1" x14ac:dyDescent="0.25">
      <c r="A4189"/>
    </row>
    <row r="4190" spans="1:1" x14ac:dyDescent="0.25">
      <c r="A4190"/>
    </row>
    <row r="4191" spans="1:1" x14ac:dyDescent="0.25">
      <c r="A4191"/>
    </row>
    <row r="4192" spans="1:1" x14ac:dyDescent="0.25">
      <c r="A4192"/>
    </row>
    <row r="4193" spans="1:1" x14ac:dyDescent="0.25">
      <c r="A4193"/>
    </row>
    <row r="4194" spans="1:1" x14ac:dyDescent="0.25">
      <c r="A4194"/>
    </row>
    <row r="4195" spans="1:1" x14ac:dyDescent="0.25">
      <c r="A4195"/>
    </row>
    <row r="4196" spans="1:1" x14ac:dyDescent="0.25">
      <c r="A4196"/>
    </row>
    <row r="4197" spans="1:1" x14ac:dyDescent="0.25">
      <c r="A4197"/>
    </row>
    <row r="4198" spans="1:1" x14ac:dyDescent="0.25">
      <c r="A4198"/>
    </row>
    <row r="4199" spans="1:1" x14ac:dyDescent="0.25">
      <c r="A4199"/>
    </row>
    <row r="4200" spans="1:1" x14ac:dyDescent="0.25">
      <c r="A4200"/>
    </row>
    <row r="4201" spans="1:1" x14ac:dyDescent="0.25">
      <c r="A4201"/>
    </row>
    <row r="4202" spans="1:1" x14ac:dyDescent="0.25">
      <c r="A4202"/>
    </row>
    <row r="4203" spans="1:1" x14ac:dyDescent="0.25">
      <c r="A4203"/>
    </row>
    <row r="4204" spans="1:1" x14ac:dyDescent="0.25">
      <c r="A4204"/>
    </row>
    <row r="4205" spans="1:1" x14ac:dyDescent="0.25">
      <c r="A4205"/>
    </row>
    <row r="4206" spans="1:1" x14ac:dyDescent="0.25">
      <c r="A4206"/>
    </row>
    <row r="4207" spans="1:1" x14ac:dyDescent="0.25">
      <c r="A4207"/>
    </row>
    <row r="4208" spans="1:1" x14ac:dyDescent="0.25">
      <c r="A4208"/>
    </row>
    <row r="4209" spans="1:1" x14ac:dyDescent="0.25">
      <c r="A4209"/>
    </row>
    <row r="4210" spans="1:1" x14ac:dyDescent="0.25">
      <c r="A4210"/>
    </row>
    <row r="4211" spans="1:1" x14ac:dyDescent="0.25">
      <c r="A4211"/>
    </row>
    <row r="4212" spans="1:1" x14ac:dyDescent="0.25">
      <c r="A4212"/>
    </row>
    <row r="4213" spans="1:1" x14ac:dyDescent="0.25">
      <c r="A4213"/>
    </row>
    <row r="4214" spans="1:1" x14ac:dyDescent="0.25">
      <c r="A4214"/>
    </row>
    <row r="4215" spans="1:1" x14ac:dyDescent="0.25">
      <c r="A4215"/>
    </row>
    <row r="4216" spans="1:1" x14ac:dyDescent="0.25">
      <c r="A4216"/>
    </row>
    <row r="4217" spans="1:1" x14ac:dyDescent="0.25">
      <c r="A4217"/>
    </row>
    <row r="4218" spans="1:1" x14ac:dyDescent="0.25">
      <c r="A4218"/>
    </row>
    <row r="4219" spans="1:1" x14ac:dyDescent="0.25">
      <c r="A4219"/>
    </row>
    <row r="4220" spans="1:1" x14ac:dyDescent="0.25">
      <c r="A4220"/>
    </row>
    <row r="4221" spans="1:1" x14ac:dyDescent="0.25">
      <c r="A4221"/>
    </row>
    <row r="4222" spans="1:1" x14ac:dyDescent="0.25">
      <c r="A4222"/>
    </row>
    <row r="4223" spans="1:1" x14ac:dyDescent="0.25">
      <c r="A4223"/>
    </row>
    <row r="4224" spans="1:1" x14ac:dyDescent="0.25">
      <c r="A4224"/>
    </row>
    <row r="4225" spans="1:1" x14ac:dyDescent="0.25">
      <c r="A4225"/>
    </row>
    <row r="4226" spans="1:1" x14ac:dyDescent="0.25">
      <c r="A4226"/>
    </row>
    <row r="4227" spans="1:1" x14ac:dyDescent="0.25">
      <c r="A4227"/>
    </row>
    <row r="4228" spans="1:1" x14ac:dyDescent="0.25">
      <c r="A4228"/>
    </row>
    <row r="4229" spans="1:1" x14ac:dyDescent="0.25">
      <c r="A4229"/>
    </row>
    <row r="4230" spans="1:1" x14ac:dyDescent="0.25">
      <c r="A4230"/>
    </row>
    <row r="4231" spans="1:1" x14ac:dyDescent="0.25">
      <c r="A4231"/>
    </row>
    <row r="4232" spans="1:1" x14ac:dyDescent="0.25">
      <c r="A4232"/>
    </row>
    <row r="4233" spans="1:1" x14ac:dyDescent="0.25">
      <c r="A4233"/>
    </row>
    <row r="4234" spans="1:1" x14ac:dyDescent="0.25">
      <c r="A4234"/>
    </row>
    <row r="4235" spans="1:1" x14ac:dyDescent="0.25">
      <c r="A4235"/>
    </row>
    <row r="4236" spans="1:1" x14ac:dyDescent="0.25">
      <c r="A4236"/>
    </row>
    <row r="4237" spans="1:1" x14ac:dyDescent="0.25">
      <c r="A4237"/>
    </row>
    <row r="4238" spans="1:1" x14ac:dyDescent="0.25">
      <c r="A4238"/>
    </row>
    <row r="4239" spans="1:1" x14ac:dyDescent="0.25">
      <c r="A4239"/>
    </row>
    <row r="4240" spans="1:1" x14ac:dyDescent="0.25">
      <c r="A4240"/>
    </row>
    <row r="4241" spans="1:1" x14ac:dyDescent="0.25">
      <c r="A4241"/>
    </row>
    <row r="4242" spans="1:1" x14ac:dyDescent="0.25">
      <c r="A4242"/>
    </row>
    <row r="4243" spans="1:1" x14ac:dyDescent="0.25">
      <c r="A4243"/>
    </row>
    <row r="4244" spans="1:1" x14ac:dyDescent="0.25">
      <c r="A4244"/>
    </row>
    <row r="4245" spans="1:1" x14ac:dyDescent="0.25">
      <c r="A4245"/>
    </row>
    <row r="4246" spans="1:1" x14ac:dyDescent="0.25">
      <c r="A4246"/>
    </row>
    <row r="4247" spans="1:1" x14ac:dyDescent="0.25">
      <c r="A4247"/>
    </row>
    <row r="4248" spans="1:1" x14ac:dyDescent="0.25">
      <c r="A4248"/>
    </row>
    <row r="4249" spans="1:1" x14ac:dyDescent="0.25">
      <c r="A4249"/>
    </row>
    <row r="4250" spans="1:1" x14ac:dyDescent="0.25">
      <c r="A4250"/>
    </row>
    <row r="4251" spans="1:1" x14ac:dyDescent="0.25">
      <c r="A4251"/>
    </row>
    <row r="4252" spans="1:1" x14ac:dyDescent="0.25">
      <c r="A4252"/>
    </row>
    <row r="4253" spans="1:1" x14ac:dyDescent="0.25">
      <c r="A4253"/>
    </row>
    <row r="4254" spans="1:1" x14ac:dyDescent="0.25">
      <c r="A4254"/>
    </row>
    <row r="4255" spans="1:1" x14ac:dyDescent="0.25">
      <c r="A4255"/>
    </row>
    <row r="4256" spans="1:1" x14ac:dyDescent="0.25">
      <c r="A4256"/>
    </row>
    <row r="4257" spans="1:1" x14ac:dyDescent="0.25">
      <c r="A4257"/>
    </row>
    <row r="4258" spans="1:1" x14ac:dyDescent="0.25">
      <c r="A4258"/>
    </row>
    <row r="4259" spans="1:1" x14ac:dyDescent="0.25">
      <c r="A4259"/>
    </row>
    <row r="4260" spans="1:1" x14ac:dyDescent="0.25">
      <c r="A4260"/>
    </row>
    <row r="4261" spans="1:1" x14ac:dyDescent="0.25">
      <c r="A4261"/>
    </row>
    <row r="4262" spans="1:1" x14ac:dyDescent="0.25">
      <c r="A4262"/>
    </row>
    <row r="4263" spans="1:1" x14ac:dyDescent="0.25">
      <c r="A4263"/>
    </row>
    <row r="4264" spans="1:1" x14ac:dyDescent="0.25">
      <c r="A4264"/>
    </row>
    <row r="4265" spans="1:1" x14ac:dyDescent="0.25">
      <c r="A4265"/>
    </row>
    <row r="4266" spans="1:1" x14ac:dyDescent="0.25">
      <c r="A4266"/>
    </row>
    <row r="4267" spans="1:1" x14ac:dyDescent="0.25">
      <c r="A4267"/>
    </row>
    <row r="4268" spans="1:1" x14ac:dyDescent="0.25">
      <c r="A4268"/>
    </row>
    <row r="4269" spans="1:1" x14ac:dyDescent="0.25">
      <c r="A4269"/>
    </row>
    <row r="4270" spans="1:1" x14ac:dyDescent="0.25">
      <c r="A4270"/>
    </row>
    <row r="4271" spans="1:1" x14ac:dyDescent="0.25">
      <c r="A4271"/>
    </row>
    <row r="4272" spans="1:1" x14ac:dyDescent="0.25">
      <c r="A4272"/>
    </row>
    <row r="4273" spans="1:1" x14ac:dyDescent="0.25">
      <c r="A4273"/>
    </row>
    <row r="4274" spans="1:1" x14ac:dyDescent="0.25">
      <c r="A4274"/>
    </row>
    <row r="4275" spans="1:1" x14ac:dyDescent="0.25">
      <c r="A4275"/>
    </row>
    <row r="4276" spans="1:1" x14ac:dyDescent="0.25">
      <c r="A4276"/>
    </row>
    <row r="4277" spans="1:1" x14ac:dyDescent="0.25">
      <c r="A4277"/>
    </row>
    <row r="4278" spans="1:1" x14ac:dyDescent="0.25">
      <c r="A4278"/>
    </row>
    <row r="4279" spans="1:1" x14ac:dyDescent="0.25">
      <c r="A4279"/>
    </row>
    <row r="4280" spans="1:1" x14ac:dyDescent="0.25">
      <c r="A4280"/>
    </row>
    <row r="4281" spans="1:1" x14ac:dyDescent="0.25">
      <c r="A4281"/>
    </row>
    <row r="4282" spans="1:1" x14ac:dyDescent="0.25">
      <c r="A4282"/>
    </row>
    <row r="4283" spans="1:1" x14ac:dyDescent="0.25">
      <c r="A4283"/>
    </row>
    <row r="4284" spans="1:1" x14ac:dyDescent="0.25">
      <c r="A4284"/>
    </row>
    <row r="4285" spans="1:1" x14ac:dyDescent="0.25">
      <c r="A4285"/>
    </row>
    <row r="4286" spans="1:1" x14ac:dyDescent="0.25">
      <c r="A4286"/>
    </row>
    <row r="4287" spans="1:1" x14ac:dyDescent="0.25">
      <c r="A4287"/>
    </row>
    <row r="4288" spans="1:1" x14ac:dyDescent="0.25">
      <c r="A4288"/>
    </row>
    <row r="4289" spans="1:1" x14ac:dyDescent="0.25">
      <c r="A4289"/>
    </row>
    <row r="4290" spans="1:1" x14ac:dyDescent="0.25">
      <c r="A4290"/>
    </row>
    <row r="4291" spans="1:1" x14ac:dyDescent="0.25">
      <c r="A4291"/>
    </row>
    <row r="4292" spans="1:1" x14ac:dyDescent="0.25">
      <c r="A4292"/>
    </row>
    <row r="4293" spans="1:1" x14ac:dyDescent="0.25">
      <c r="A4293"/>
    </row>
    <row r="4294" spans="1:1" x14ac:dyDescent="0.25">
      <c r="A4294"/>
    </row>
    <row r="4295" spans="1:1" x14ac:dyDescent="0.25">
      <c r="A4295"/>
    </row>
    <row r="4296" spans="1:1" x14ac:dyDescent="0.25">
      <c r="A4296"/>
    </row>
    <row r="4297" spans="1:1" x14ac:dyDescent="0.25">
      <c r="A4297"/>
    </row>
    <row r="4298" spans="1:1" x14ac:dyDescent="0.25">
      <c r="A4298"/>
    </row>
    <row r="4299" spans="1:1" x14ac:dyDescent="0.25">
      <c r="A4299"/>
    </row>
    <row r="4300" spans="1:1" x14ac:dyDescent="0.25">
      <c r="A4300"/>
    </row>
    <row r="4301" spans="1:1" x14ac:dyDescent="0.25">
      <c r="A4301"/>
    </row>
    <row r="4302" spans="1:1" x14ac:dyDescent="0.25">
      <c r="A4302"/>
    </row>
    <row r="4303" spans="1:1" x14ac:dyDescent="0.25">
      <c r="A4303"/>
    </row>
    <row r="4304" spans="1:1" x14ac:dyDescent="0.25">
      <c r="A4304"/>
    </row>
    <row r="4305" spans="1:1" x14ac:dyDescent="0.25">
      <c r="A4305"/>
    </row>
    <row r="4306" spans="1:1" x14ac:dyDescent="0.25">
      <c r="A4306"/>
    </row>
    <row r="4307" spans="1:1" x14ac:dyDescent="0.25">
      <c r="A4307"/>
    </row>
    <row r="4308" spans="1:1" x14ac:dyDescent="0.25">
      <c r="A4308"/>
    </row>
    <row r="4309" spans="1:1" x14ac:dyDescent="0.25">
      <c r="A4309"/>
    </row>
    <row r="4310" spans="1:1" x14ac:dyDescent="0.25">
      <c r="A4310"/>
    </row>
    <row r="4311" spans="1:1" x14ac:dyDescent="0.25">
      <c r="A4311"/>
    </row>
    <row r="4312" spans="1:1" x14ac:dyDescent="0.25">
      <c r="A4312"/>
    </row>
    <row r="4313" spans="1:1" x14ac:dyDescent="0.25">
      <c r="A4313"/>
    </row>
    <row r="4314" spans="1:1" x14ac:dyDescent="0.25">
      <c r="A4314"/>
    </row>
    <row r="4315" spans="1:1" x14ac:dyDescent="0.25">
      <c r="A4315"/>
    </row>
    <row r="4316" spans="1:1" x14ac:dyDescent="0.25">
      <c r="A4316"/>
    </row>
    <row r="4317" spans="1:1" x14ac:dyDescent="0.25">
      <c r="A4317"/>
    </row>
    <row r="4318" spans="1:1" x14ac:dyDescent="0.25">
      <c r="A4318"/>
    </row>
    <row r="4319" spans="1:1" x14ac:dyDescent="0.25">
      <c r="A4319"/>
    </row>
    <row r="4320" spans="1:1" x14ac:dyDescent="0.25">
      <c r="A4320"/>
    </row>
    <row r="4321" spans="1:1" x14ac:dyDescent="0.25">
      <c r="A4321"/>
    </row>
    <row r="4322" spans="1:1" x14ac:dyDescent="0.25">
      <c r="A4322"/>
    </row>
    <row r="4323" spans="1:1" x14ac:dyDescent="0.25">
      <c r="A4323"/>
    </row>
    <row r="4324" spans="1:1" x14ac:dyDescent="0.25">
      <c r="A4324"/>
    </row>
    <row r="4325" spans="1:1" x14ac:dyDescent="0.25">
      <c r="A4325"/>
    </row>
    <row r="4326" spans="1:1" x14ac:dyDescent="0.25">
      <c r="A4326"/>
    </row>
    <row r="4327" spans="1:1" x14ac:dyDescent="0.25">
      <c r="A4327"/>
    </row>
    <row r="4328" spans="1:1" x14ac:dyDescent="0.25">
      <c r="A4328"/>
    </row>
    <row r="4329" spans="1:1" x14ac:dyDescent="0.25">
      <c r="A4329"/>
    </row>
    <row r="4330" spans="1:1" x14ac:dyDescent="0.25">
      <c r="A4330"/>
    </row>
    <row r="4331" spans="1:1" x14ac:dyDescent="0.25">
      <c r="A4331"/>
    </row>
    <row r="4332" spans="1:1" x14ac:dyDescent="0.25">
      <c r="A4332"/>
    </row>
    <row r="4333" spans="1:1" x14ac:dyDescent="0.25">
      <c r="A4333"/>
    </row>
    <row r="4334" spans="1:1" x14ac:dyDescent="0.25">
      <c r="A4334"/>
    </row>
    <row r="4335" spans="1:1" x14ac:dyDescent="0.25">
      <c r="A4335"/>
    </row>
    <row r="4336" spans="1:1" x14ac:dyDescent="0.25">
      <c r="A4336"/>
    </row>
    <row r="4337" spans="1:1" x14ac:dyDescent="0.25">
      <c r="A4337"/>
    </row>
    <row r="4338" spans="1:1" x14ac:dyDescent="0.25">
      <c r="A4338"/>
    </row>
    <row r="4339" spans="1:1" x14ac:dyDescent="0.25">
      <c r="A4339"/>
    </row>
    <row r="4340" spans="1:1" x14ac:dyDescent="0.25">
      <c r="A4340"/>
    </row>
    <row r="4341" spans="1:1" x14ac:dyDescent="0.25">
      <c r="A4341"/>
    </row>
    <row r="4342" spans="1:1" x14ac:dyDescent="0.25">
      <c r="A4342"/>
    </row>
    <row r="4343" spans="1:1" x14ac:dyDescent="0.25">
      <c r="A4343"/>
    </row>
    <row r="4344" spans="1:1" x14ac:dyDescent="0.25">
      <c r="A4344"/>
    </row>
    <row r="4345" spans="1:1" x14ac:dyDescent="0.25">
      <c r="A4345"/>
    </row>
    <row r="4346" spans="1:1" x14ac:dyDescent="0.25">
      <c r="A4346"/>
    </row>
    <row r="4347" spans="1:1" x14ac:dyDescent="0.25">
      <c r="A4347"/>
    </row>
    <row r="4348" spans="1:1" x14ac:dyDescent="0.25">
      <c r="A4348"/>
    </row>
    <row r="4349" spans="1:1" x14ac:dyDescent="0.25">
      <c r="A4349"/>
    </row>
    <row r="4350" spans="1:1" x14ac:dyDescent="0.25">
      <c r="A4350"/>
    </row>
    <row r="4351" spans="1:1" x14ac:dyDescent="0.25">
      <c r="A4351"/>
    </row>
    <row r="4352" spans="1:1" x14ac:dyDescent="0.25">
      <c r="A4352"/>
    </row>
    <row r="4353" spans="1:1" x14ac:dyDescent="0.25">
      <c r="A4353"/>
    </row>
    <row r="4354" spans="1:1" x14ac:dyDescent="0.25">
      <c r="A4354"/>
    </row>
    <row r="4355" spans="1:1" x14ac:dyDescent="0.25">
      <c r="A4355"/>
    </row>
    <row r="4356" spans="1:1" x14ac:dyDescent="0.25">
      <c r="A4356"/>
    </row>
    <row r="4357" spans="1:1" x14ac:dyDescent="0.25">
      <c r="A4357"/>
    </row>
    <row r="4358" spans="1:1" x14ac:dyDescent="0.25">
      <c r="A4358"/>
    </row>
    <row r="4359" spans="1:1" x14ac:dyDescent="0.25">
      <c r="A4359"/>
    </row>
    <row r="4360" spans="1:1" x14ac:dyDescent="0.25">
      <c r="A4360"/>
    </row>
    <row r="4361" spans="1:1" x14ac:dyDescent="0.25">
      <c r="A4361"/>
    </row>
    <row r="4362" spans="1:1" x14ac:dyDescent="0.25">
      <c r="A4362"/>
    </row>
    <row r="4363" spans="1:1" x14ac:dyDescent="0.25">
      <c r="A4363"/>
    </row>
    <row r="4364" spans="1:1" x14ac:dyDescent="0.25">
      <c r="A4364"/>
    </row>
    <row r="4365" spans="1:1" x14ac:dyDescent="0.25">
      <c r="A4365"/>
    </row>
    <row r="4366" spans="1:1" x14ac:dyDescent="0.25">
      <c r="A4366"/>
    </row>
    <row r="4367" spans="1:1" x14ac:dyDescent="0.25">
      <c r="A4367"/>
    </row>
    <row r="4368" spans="1:1" x14ac:dyDescent="0.25">
      <c r="A4368"/>
    </row>
    <row r="4369" spans="1:1" x14ac:dyDescent="0.25">
      <c r="A4369"/>
    </row>
    <row r="4370" spans="1:1" x14ac:dyDescent="0.25">
      <c r="A4370"/>
    </row>
    <row r="4371" spans="1:1" x14ac:dyDescent="0.25">
      <c r="A4371"/>
    </row>
    <row r="4372" spans="1:1" x14ac:dyDescent="0.25">
      <c r="A4372"/>
    </row>
    <row r="4373" spans="1:1" x14ac:dyDescent="0.25">
      <c r="A4373"/>
    </row>
    <row r="4374" spans="1:1" x14ac:dyDescent="0.25">
      <c r="A4374"/>
    </row>
    <row r="4375" spans="1:1" x14ac:dyDescent="0.25">
      <c r="A4375"/>
    </row>
    <row r="4376" spans="1:1" x14ac:dyDescent="0.25">
      <c r="A4376"/>
    </row>
    <row r="4377" spans="1:1" x14ac:dyDescent="0.25">
      <c r="A4377"/>
    </row>
    <row r="4378" spans="1:1" x14ac:dyDescent="0.25">
      <c r="A4378"/>
    </row>
    <row r="4379" spans="1:1" x14ac:dyDescent="0.25">
      <c r="A4379"/>
    </row>
    <row r="4380" spans="1:1" x14ac:dyDescent="0.25">
      <c r="A4380"/>
    </row>
    <row r="4381" spans="1:1" x14ac:dyDescent="0.25">
      <c r="A4381"/>
    </row>
    <row r="4382" spans="1:1" x14ac:dyDescent="0.25">
      <c r="A4382"/>
    </row>
    <row r="4383" spans="1:1" x14ac:dyDescent="0.25">
      <c r="A4383"/>
    </row>
    <row r="4384" spans="1:1" x14ac:dyDescent="0.25">
      <c r="A4384"/>
    </row>
    <row r="4385" spans="1:1" x14ac:dyDescent="0.25">
      <c r="A4385"/>
    </row>
    <row r="4386" spans="1:1" x14ac:dyDescent="0.25">
      <c r="A4386"/>
    </row>
    <row r="4387" spans="1:1" x14ac:dyDescent="0.25">
      <c r="A4387"/>
    </row>
    <row r="4388" spans="1:1" x14ac:dyDescent="0.25">
      <c r="A4388"/>
    </row>
    <row r="4389" spans="1:1" x14ac:dyDescent="0.25">
      <c r="A4389"/>
    </row>
    <row r="4390" spans="1:1" x14ac:dyDescent="0.25">
      <c r="A4390"/>
    </row>
    <row r="4391" spans="1:1" x14ac:dyDescent="0.25">
      <c r="A4391"/>
    </row>
    <row r="4392" spans="1:1" x14ac:dyDescent="0.25">
      <c r="A4392"/>
    </row>
    <row r="4393" spans="1:1" x14ac:dyDescent="0.25">
      <c r="A4393"/>
    </row>
    <row r="4394" spans="1:1" x14ac:dyDescent="0.25">
      <c r="A4394"/>
    </row>
    <row r="4395" spans="1:1" x14ac:dyDescent="0.25">
      <c r="A4395"/>
    </row>
    <row r="4396" spans="1:1" x14ac:dyDescent="0.25">
      <c r="A4396"/>
    </row>
    <row r="4397" spans="1:1" x14ac:dyDescent="0.25">
      <c r="A4397"/>
    </row>
    <row r="4398" spans="1:1" x14ac:dyDescent="0.25">
      <c r="A4398"/>
    </row>
    <row r="4399" spans="1:1" x14ac:dyDescent="0.25">
      <c r="A4399"/>
    </row>
    <row r="4400" spans="1:1" x14ac:dyDescent="0.25">
      <c r="A4400"/>
    </row>
    <row r="4401" spans="1:1" x14ac:dyDescent="0.25">
      <c r="A4401"/>
    </row>
    <row r="4402" spans="1:1" x14ac:dyDescent="0.25">
      <c r="A4402"/>
    </row>
    <row r="4403" spans="1:1" x14ac:dyDescent="0.25">
      <c r="A4403"/>
    </row>
    <row r="4404" spans="1:1" x14ac:dyDescent="0.25">
      <c r="A4404"/>
    </row>
    <row r="4405" spans="1:1" x14ac:dyDescent="0.25">
      <c r="A4405"/>
    </row>
    <row r="4406" spans="1:1" x14ac:dyDescent="0.25">
      <c r="A4406"/>
    </row>
    <row r="4407" spans="1:1" x14ac:dyDescent="0.25">
      <c r="A4407"/>
    </row>
    <row r="4408" spans="1:1" x14ac:dyDescent="0.25">
      <c r="A4408"/>
    </row>
    <row r="4409" spans="1:1" x14ac:dyDescent="0.25">
      <c r="A4409"/>
    </row>
    <row r="4410" spans="1:1" x14ac:dyDescent="0.25">
      <c r="A4410"/>
    </row>
    <row r="4411" spans="1:1" x14ac:dyDescent="0.25">
      <c r="A4411"/>
    </row>
    <row r="4412" spans="1:1" x14ac:dyDescent="0.25">
      <c r="A4412"/>
    </row>
    <row r="4413" spans="1:1" x14ac:dyDescent="0.25">
      <c r="A4413"/>
    </row>
    <row r="4414" spans="1:1" x14ac:dyDescent="0.25">
      <c r="A4414"/>
    </row>
    <row r="4415" spans="1:1" x14ac:dyDescent="0.25">
      <c r="A4415"/>
    </row>
    <row r="4416" spans="1:1" x14ac:dyDescent="0.25">
      <c r="A4416"/>
    </row>
    <row r="4417" spans="1:1" x14ac:dyDescent="0.25">
      <c r="A4417"/>
    </row>
    <row r="4418" spans="1:1" x14ac:dyDescent="0.25">
      <c r="A4418"/>
    </row>
    <row r="4419" spans="1:1" x14ac:dyDescent="0.25">
      <c r="A4419"/>
    </row>
    <row r="4420" spans="1:1" x14ac:dyDescent="0.25">
      <c r="A4420"/>
    </row>
    <row r="4421" spans="1:1" x14ac:dyDescent="0.25">
      <c r="A4421"/>
    </row>
    <row r="4422" spans="1:1" x14ac:dyDescent="0.25">
      <c r="A4422"/>
    </row>
    <row r="4423" spans="1:1" x14ac:dyDescent="0.25">
      <c r="A4423"/>
    </row>
    <row r="4424" spans="1:1" x14ac:dyDescent="0.25">
      <c r="A4424"/>
    </row>
    <row r="4425" spans="1:1" x14ac:dyDescent="0.25">
      <c r="A4425"/>
    </row>
    <row r="4426" spans="1:1" x14ac:dyDescent="0.25">
      <c r="A4426"/>
    </row>
    <row r="4427" spans="1:1" x14ac:dyDescent="0.25">
      <c r="A4427"/>
    </row>
    <row r="4428" spans="1:1" x14ac:dyDescent="0.25">
      <c r="A4428"/>
    </row>
    <row r="4429" spans="1:1" x14ac:dyDescent="0.25">
      <c r="A4429"/>
    </row>
    <row r="4430" spans="1:1" x14ac:dyDescent="0.25">
      <c r="A4430"/>
    </row>
    <row r="4431" spans="1:1" x14ac:dyDescent="0.25">
      <c r="A4431"/>
    </row>
    <row r="4432" spans="1:1" x14ac:dyDescent="0.25">
      <c r="A4432"/>
    </row>
    <row r="4433" spans="1:1" x14ac:dyDescent="0.25">
      <c r="A4433"/>
    </row>
    <row r="4434" spans="1:1" x14ac:dyDescent="0.25">
      <c r="A4434"/>
    </row>
    <row r="4435" spans="1:1" x14ac:dyDescent="0.25">
      <c r="A4435"/>
    </row>
    <row r="4436" spans="1:1" x14ac:dyDescent="0.25">
      <c r="A4436"/>
    </row>
    <row r="4437" spans="1:1" x14ac:dyDescent="0.25">
      <c r="A4437"/>
    </row>
    <row r="4438" spans="1:1" x14ac:dyDescent="0.25">
      <c r="A4438"/>
    </row>
    <row r="4439" spans="1:1" x14ac:dyDescent="0.25">
      <c r="A4439"/>
    </row>
    <row r="4440" spans="1:1" x14ac:dyDescent="0.25">
      <c r="A4440"/>
    </row>
    <row r="4441" spans="1:1" x14ac:dyDescent="0.25">
      <c r="A4441"/>
    </row>
    <row r="4442" spans="1:1" x14ac:dyDescent="0.25">
      <c r="A4442"/>
    </row>
    <row r="4443" spans="1:1" x14ac:dyDescent="0.25">
      <c r="A4443"/>
    </row>
    <row r="4444" spans="1:1" x14ac:dyDescent="0.25">
      <c r="A4444"/>
    </row>
    <row r="4445" spans="1:1" x14ac:dyDescent="0.25">
      <c r="A4445"/>
    </row>
    <row r="4446" spans="1:1" x14ac:dyDescent="0.25">
      <c r="A4446"/>
    </row>
    <row r="4447" spans="1:1" x14ac:dyDescent="0.25">
      <c r="A4447"/>
    </row>
    <row r="4448" spans="1:1" x14ac:dyDescent="0.25">
      <c r="A4448"/>
    </row>
    <row r="4449" spans="1:1" x14ac:dyDescent="0.25">
      <c r="A4449"/>
    </row>
    <row r="4450" spans="1:1" x14ac:dyDescent="0.25">
      <c r="A4450"/>
    </row>
    <row r="4451" spans="1:1" x14ac:dyDescent="0.25">
      <c r="A4451"/>
    </row>
    <row r="4452" spans="1:1" x14ac:dyDescent="0.25">
      <c r="A4452"/>
    </row>
    <row r="4453" spans="1:1" x14ac:dyDescent="0.25">
      <c r="A4453"/>
    </row>
    <row r="4454" spans="1:1" x14ac:dyDescent="0.25">
      <c r="A4454"/>
    </row>
    <row r="4455" spans="1:1" x14ac:dyDescent="0.25">
      <c r="A4455"/>
    </row>
    <row r="4456" spans="1:1" x14ac:dyDescent="0.25">
      <c r="A4456"/>
    </row>
    <row r="4457" spans="1:1" x14ac:dyDescent="0.25">
      <c r="A4457"/>
    </row>
    <row r="4458" spans="1:1" x14ac:dyDescent="0.25">
      <c r="A4458"/>
    </row>
    <row r="4459" spans="1:1" x14ac:dyDescent="0.25">
      <c r="A4459"/>
    </row>
    <row r="4460" spans="1:1" x14ac:dyDescent="0.25">
      <c r="A4460"/>
    </row>
    <row r="4461" spans="1:1" x14ac:dyDescent="0.25">
      <c r="A4461"/>
    </row>
    <row r="4462" spans="1:1" x14ac:dyDescent="0.25">
      <c r="A4462"/>
    </row>
    <row r="4463" spans="1:1" x14ac:dyDescent="0.25">
      <c r="A4463"/>
    </row>
    <row r="4464" spans="1:1" x14ac:dyDescent="0.25">
      <c r="A4464"/>
    </row>
    <row r="4465" spans="1:1" x14ac:dyDescent="0.25">
      <c r="A4465"/>
    </row>
    <row r="4466" spans="1:1" x14ac:dyDescent="0.25">
      <c r="A4466"/>
    </row>
    <row r="4467" spans="1:1" x14ac:dyDescent="0.25">
      <c r="A4467"/>
    </row>
    <row r="4468" spans="1:1" x14ac:dyDescent="0.25">
      <c r="A4468"/>
    </row>
    <row r="4469" spans="1:1" x14ac:dyDescent="0.25">
      <c r="A4469"/>
    </row>
    <row r="4470" spans="1:1" x14ac:dyDescent="0.25">
      <c r="A4470"/>
    </row>
    <row r="4471" spans="1:1" x14ac:dyDescent="0.25">
      <c r="A4471"/>
    </row>
    <row r="4472" spans="1:1" x14ac:dyDescent="0.25">
      <c r="A4472"/>
    </row>
    <row r="4473" spans="1:1" x14ac:dyDescent="0.25">
      <c r="A4473"/>
    </row>
    <row r="4474" spans="1:1" x14ac:dyDescent="0.25">
      <c r="A4474"/>
    </row>
    <row r="4475" spans="1:1" x14ac:dyDescent="0.25">
      <c r="A4475"/>
    </row>
    <row r="4476" spans="1:1" x14ac:dyDescent="0.25">
      <c r="A4476"/>
    </row>
    <row r="4477" spans="1:1" x14ac:dyDescent="0.25">
      <c r="A4477"/>
    </row>
    <row r="4478" spans="1:1" x14ac:dyDescent="0.25">
      <c r="A4478"/>
    </row>
    <row r="4479" spans="1:1" x14ac:dyDescent="0.25">
      <c r="A4479"/>
    </row>
    <row r="4480" spans="1:1" x14ac:dyDescent="0.25">
      <c r="A4480"/>
    </row>
    <row r="4481" spans="1:1" x14ac:dyDescent="0.25">
      <c r="A4481"/>
    </row>
    <row r="4482" spans="1:1" x14ac:dyDescent="0.25">
      <c r="A4482"/>
    </row>
    <row r="4483" spans="1:1" x14ac:dyDescent="0.25">
      <c r="A4483"/>
    </row>
    <row r="4484" spans="1:1" x14ac:dyDescent="0.25">
      <c r="A4484"/>
    </row>
    <row r="4485" spans="1:1" x14ac:dyDescent="0.25">
      <c r="A4485"/>
    </row>
    <row r="4486" spans="1:1" x14ac:dyDescent="0.25">
      <c r="A4486"/>
    </row>
    <row r="4487" spans="1:1" x14ac:dyDescent="0.25">
      <c r="A4487"/>
    </row>
    <row r="4488" spans="1:1" x14ac:dyDescent="0.25">
      <c r="A4488"/>
    </row>
    <row r="4489" spans="1:1" x14ac:dyDescent="0.25">
      <c r="A4489"/>
    </row>
    <row r="4490" spans="1:1" x14ac:dyDescent="0.25">
      <c r="A4490"/>
    </row>
    <row r="4491" spans="1:1" x14ac:dyDescent="0.25">
      <c r="A4491"/>
    </row>
    <row r="4492" spans="1:1" x14ac:dyDescent="0.25">
      <c r="A4492"/>
    </row>
    <row r="4493" spans="1:1" x14ac:dyDescent="0.25">
      <c r="A4493"/>
    </row>
    <row r="4494" spans="1:1" x14ac:dyDescent="0.25">
      <c r="A4494"/>
    </row>
    <row r="4495" spans="1:1" x14ac:dyDescent="0.25">
      <c r="A4495"/>
    </row>
    <row r="4496" spans="1:1" x14ac:dyDescent="0.25">
      <c r="A4496"/>
    </row>
    <row r="4497" spans="1:1" x14ac:dyDescent="0.25">
      <c r="A4497"/>
    </row>
    <row r="4498" spans="1:1" x14ac:dyDescent="0.25">
      <c r="A4498"/>
    </row>
    <row r="4499" spans="1:1" x14ac:dyDescent="0.25">
      <c r="A4499"/>
    </row>
    <row r="4500" spans="1:1" x14ac:dyDescent="0.25">
      <c r="A4500"/>
    </row>
    <row r="4501" spans="1:1" x14ac:dyDescent="0.25">
      <c r="A4501"/>
    </row>
    <row r="4502" spans="1:1" x14ac:dyDescent="0.25">
      <c r="A4502"/>
    </row>
    <row r="4503" spans="1:1" x14ac:dyDescent="0.25">
      <c r="A4503"/>
    </row>
    <row r="4504" spans="1:1" x14ac:dyDescent="0.25">
      <c r="A4504"/>
    </row>
    <row r="4505" spans="1:1" x14ac:dyDescent="0.25">
      <c r="A4505"/>
    </row>
    <row r="4506" spans="1:1" x14ac:dyDescent="0.25">
      <c r="A4506"/>
    </row>
    <row r="4507" spans="1:1" x14ac:dyDescent="0.25">
      <c r="A4507"/>
    </row>
    <row r="4508" spans="1:1" x14ac:dyDescent="0.25">
      <c r="A4508"/>
    </row>
    <row r="4509" spans="1:1" x14ac:dyDescent="0.25">
      <c r="A4509"/>
    </row>
    <row r="4510" spans="1:1" x14ac:dyDescent="0.25">
      <c r="A4510"/>
    </row>
    <row r="4511" spans="1:1" x14ac:dyDescent="0.25">
      <c r="A4511"/>
    </row>
    <row r="4512" spans="1:1" x14ac:dyDescent="0.25">
      <c r="A4512"/>
    </row>
    <row r="4513" spans="1:1" x14ac:dyDescent="0.25">
      <c r="A4513"/>
    </row>
    <row r="4514" spans="1:1" x14ac:dyDescent="0.25">
      <c r="A4514"/>
    </row>
    <row r="4515" spans="1:1" x14ac:dyDescent="0.25">
      <c r="A4515"/>
    </row>
    <row r="4516" spans="1:1" x14ac:dyDescent="0.25">
      <c r="A4516"/>
    </row>
    <row r="4517" spans="1:1" x14ac:dyDescent="0.25">
      <c r="A4517"/>
    </row>
    <row r="4518" spans="1:1" x14ac:dyDescent="0.25">
      <c r="A4518"/>
    </row>
    <row r="4519" spans="1:1" x14ac:dyDescent="0.25">
      <c r="A4519"/>
    </row>
    <row r="4520" spans="1:1" x14ac:dyDescent="0.25">
      <c r="A4520"/>
    </row>
    <row r="4521" spans="1:1" x14ac:dyDescent="0.25">
      <c r="A4521"/>
    </row>
    <row r="4522" spans="1:1" x14ac:dyDescent="0.25">
      <c r="A4522"/>
    </row>
    <row r="4523" spans="1:1" x14ac:dyDescent="0.25">
      <c r="A4523"/>
    </row>
    <row r="4524" spans="1:1" x14ac:dyDescent="0.25">
      <c r="A4524"/>
    </row>
    <row r="4525" spans="1:1" x14ac:dyDescent="0.25">
      <c r="A4525"/>
    </row>
    <row r="4526" spans="1:1" x14ac:dyDescent="0.25">
      <c r="A4526"/>
    </row>
    <row r="4527" spans="1:1" x14ac:dyDescent="0.25">
      <c r="A4527"/>
    </row>
    <row r="4528" spans="1:1" x14ac:dyDescent="0.25">
      <c r="A4528"/>
    </row>
    <row r="4529" spans="1:1" x14ac:dyDescent="0.25">
      <c r="A4529"/>
    </row>
    <row r="4530" spans="1:1" x14ac:dyDescent="0.25">
      <c r="A4530"/>
    </row>
    <row r="4531" spans="1:1" x14ac:dyDescent="0.25">
      <c r="A4531"/>
    </row>
    <row r="4532" spans="1:1" x14ac:dyDescent="0.25">
      <c r="A4532"/>
    </row>
    <row r="4533" spans="1:1" x14ac:dyDescent="0.25">
      <c r="A4533"/>
    </row>
    <row r="4534" spans="1:1" x14ac:dyDescent="0.25">
      <c r="A4534"/>
    </row>
    <row r="4535" spans="1:1" x14ac:dyDescent="0.25">
      <c r="A4535"/>
    </row>
    <row r="4536" spans="1:1" x14ac:dyDescent="0.25">
      <c r="A4536"/>
    </row>
    <row r="4537" spans="1:1" x14ac:dyDescent="0.25">
      <c r="A4537"/>
    </row>
    <row r="4538" spans="1:1" x14ac:dyDescent="0.25">
      <c r="A4538"/>
    </row>
    <row r="4539" spans="1:1" x14ac:dyDescent="0.25">
      <c r="A4539"/>
    </row>
    <row r="4540" spans="1:1" x14ac:dyDescent="0.25">
      <c r="A4540"/>
    </row>
    <row r="4541" spans="1:1" x14ac:dyDescent="0.25">
      <c r="A4541"/>
    </row>
    <row r="4542" spans="1:1" x14ac:dyDescent="0.25">
      <c r="A4542"/>
    </row>
    <row r="4543" spans="1:1" x14ac:dyDescent="0.25">
      <c r="A4543"/>
    </row>
    <row r="4544" spans="1:1" x14ac:dyDescent="0.25">
      <c r="A4544"/>
    </row>
    <row r="4545" spans="1:1" x14ac:dyDescent="0.25">
      <c r="A4545"/>
    </row>
    <row r="4546" spans="1:1" x14ac:dyDescent="0.25">
      <c r="A4546"/>
    </row>
    <row r="4547" spans="1:1" x14ac:dyDescent="0.25">
      <c r="A4547"/>
    </row>
    <row r="4548" spans="1:1" x14ac:dyDescent="0.25">
      <c r="A4548"/>
    </row>
    <row r="4549" spans="1:1" x14ac:dyDescent="0.25">
      <c r="A4549"/>
    </row>
    <row r="4550" spans="1:1" x14ac:dyDescent="0.25">
      <c r="A4550"/>
    </row>
    <row r="4551" spans="1:1" x14ac:dyDescent="0.25">
      <c r="A4551"/>
    </row>
    <row r="4552" spans="1:1" x14ac:dyDescent="0.25">
      <c r="A4552"/>
    </row>
    <row r="4553" spans="1:1" x14ac:dyDescent="0.25">
      <c r="A4553"/>
    </row>
    <row r="4554" spans="1:1" x14ac:dyDescent="0.25">
      <c r="A4554"/>
    </row>
    <row r="4555" spans="1:1" x14ac:dyDescent="0.25">
      <c r="A4555"/>
    </row>
    <row r="4556" spans="1:1" x14ac:dyDescent="0.25">
      <c r="A4556"/>
    </row>
    <row r="4557" spans="1:1" x14ac:dyDescent="0.25">
      <c r="A4557"/>
    </row>
    <row r="4558" spans="1:1" x14ac:dyDescent="0.25">
      <c r="A4558"/>
    </row>
    <row r="4559" spans="1:1" x14ac:dyDescent="0.25">
      <c r="A4559"/>
    </row>
    <row r="4560" spans="1:1" x14ac:dyDescent="0.25">
      <c r="A4560"/>
    </row>
    <row r="4561" spans="1:1" x14ac:dyDescent="0.25">
      <c r="A4561"/>
    </row>
    <row r="4562" spans="1:1" x14ac:dyDescent="0.25">
      <c r="A4562"/>
    </row>
    <row r="4563" spans="1:1" x14ac:dyDescent="0.25">
      <c r="A4563"/>
    </row>
    <row r="4564" spans="1:1" x14ac:dyDescent="0.25">
      <c r="A4564"/>
    </row>
    <row r="4565" spans="1:1" x14ac:dyDescent="0.25">
      <c r="A4565"/>
    </row>
    <row r="4566" spans="1:1" x14ac:dyDescent="0.25">
      <c r="A4566"/>
    </row>
    <row r="4567" spans="1:1" x14ac:dyDescent="0.25">
      <c r="A4567"/>
    </row>
    <row r="4568" spans="1:1" x14ac:dyDescent="0.25">
      <c r="A4568"/>
    </row>
    <row r="4569" spans="1:1" x14ac:dyDescent="0.25">
      <c r="A4569"/>
    </row>
    <row r="4570" spans="1:1" x14ac:dyDescent="0.25">
      <c r="A4570"/>
    </row>
    <row r="4571" spans="1:1" x14ac:dyDescent="0.25">
      <c r="A4571"/>
    </row>
    <row r="4572" spans="1:1" x14ac:dyDescent="0.25">
      <c r="A4572"/>
    </row>
    <row r="4573" spans="1:1" x14ac:dyDescent="0.25">
      <c r="A4573"/>
    </row>
    <row r="4574" spans="1:1" x14ac:dyDescent="0.25">
      <c r="A4574"/>
    </row>
    <row r="4575" spans="1:1" x14ac:dyDescent="0.25">
      <c r="A4575"/>
    </row>
    <row r="4576" spans="1:1" x14ac:dyDescent="0.25">
      <c r="A4576"/>
    </row>
    <row r="4577" spans="1:1" x14ac:dyDescent="0.25">
      <c r="A4577"/>
    </row>
    <row r="4578" spans="1:1" x14ac:dyDescent="0.25">
      <c r="A4578"/>
    </row>
    <row r="4579" spans="1:1" x14ac:dyDescent="0.25">
      <c r="A4579"/>
    </row>
    <row r="4580" spans="1:1" x14ac:dyDescent="0.25">
      <c r="A4580"/>
    </row>
    <row r="4581" spans="1:1" x14ac:dyDescent="0.25">
      <c r="A4581"/>
    </row>
    <row r="4582" spans="1:1" x14ac:dyDescent="0.25">
      <c r="A4582"/>
    </row>
    <row r="4583" spans="1:1" x14ac:dyDescent="0.25">
      <c r="A4583"/>
    </row>
    <row r="4584" spans="1:1" x14ac:dyDescent="0.25">
      <c r="A4584"/>
    </row>
    <row r="4585" spans="1:1" x14ac:dyDescent="0.25">
      <c r="A4585"/>
    </row>
    <row r="4586" spans="1:1" x14ac:dyDescent="0.25">
      <c r="A4586"/>
    </row>
    <row r="4587" spans="1:1" x14ac:dyDescent="0.25">
      <c r="A4587"/>
    </row>
    <row r="4588" spans="1:1" x14ac:dyDescent="0.25">
      <c r="A4588"/>
    </row>
    <row r="4589" spans="1:1" x14ac:dyDescent="0.25">
      <c r="A4589"/>
    </row>
    <row r="4590" spans="1:1" x14ac:dyDescent="0.25">
      <c r="A4590"/>
    </row>
    <row r="4591" spans="1:1" x14ac:dyDescent="0.25">
      <c r="A4591"/>
    </row>
    <row r="4592" spans="1:1" x14ac:dyDescent="0.25">
      <c r="A4592"/>
    </row>
    <row r="4593" spans="1:1" x14ac:dyDescent="0.25">
      <c r="A4593"/>
    </row>
    <row r="4594" spans="1:1" x14ac:dyDescent="0.25">
      <c r="A4594"/>
    </row>
    <row r="4595" spans="1:1" x14ac:dyDescent="0.25">
      <c r="A4595"/>
    </row>
    <row r="4596" spans="1:1" x14ac:dyDescent="0.25">
      <c r="A4596"/>
    </row>
    <row r="4597" spans="1:1" x14ac:dyDescent="0.25">
      <c r="A4597"/>
    </row>
    <row r="4598" spans="1:1" x14ac:dyDescent="0.25">
      <c r="A4598"/>
    </row>
    <row r="4599" spans="1:1" x14ac:dyDescent="0.25">
      <c r="A4599"/>
    </row>
    <row r="4600" spans="1:1" x14ac:dyDescent="0.25">
      <c r="A4600"/>
    </row>
    <row r="4601" spans="1:1" x14ac:dyDescent="0.25">
      <c r="A4601"/>
    </row>
    <row r="4602" spans="1:1" x14ac:dyDescent="0.25">
      <c r="A4602"/>
    </row>
    <row r="4603" spans="1:1" x14ac:dyDescent="0.25">
      <c r="A4603"/>
    </row>
    <row r="4604" spans="1:1" x14ac:dyDescent="0.25">
      <c r="A4604"/>
    </row>
    <row r="4605" spans="1:1" x14ac:dyDescent="0.25">
      <c r="A4605"/>
    </row>
    <row r="4606" spans="1:1" x14ac:dyDescent="0.25">
      <c r="A4606"/>
    </row>
    <row r="4607" spans="1:1" x14ac:dyDescent="0.25">
      <c r="A4607"/>
    </row>
    <row r="4608" spans="1:1" x14ac:dyDescent="0.25">
      <c r="A4608"/>
    </row>
    <row r="4609" spans="1:1" x14ac:dyDescent="0.25">
      <c r="A4609"/>
    </row>
    <row r="4610" spans="1:1" x14ac:dyDescent="0.25">
      <c r="A4610"/>
    </row>
    <row r="4611" spans="1:1" x14ac:dyDescent="0.25">
      <c r="A4611"/>
    </row>
    <row r="4612" spans="1:1" x14ac:dyDescent="0.25">
      <c r="A4612"/>
    </row>
    <row r="4613" spans="1:1" x14ac:dyDescent="0.25">
      <c r="A4613"/>
    </row>
    <row r="4614" spans="1:1" x14ac:dyDescent="0.25">
      <c r="A4614"/>
    </row>
    <row r="4615" spans="1:1" x14ac:dyDescent="0.25">
      <c r="A4615"/>
    </row>
    <row r="4616" spans="1:1" x14ac:dyDescent="0.25">
      <c r="A4616"/>
    </row>
    <row r="4617" spans="1:1" x14ac:dyDescent="0.25">
      <c r="A4617"/>
    </row>
    <row r="4618" spans="1:1" x14ac:dyDescent="0.25">
      <c r="A4618"/>
    </row>
    <row r="4619" spans="1:1" x14ac:dyDescent="0.25">
      <c r="A4619"/>
    </row>
    <row r="4620" spans="1:1" x14ac:dyDescent="0.25">
      <c r="A4620"/>
    </row>
    <row r="4621" spans="1:1" x14ac:dyDescent="0.25">
      <c r="A4621"/>
    </row>
    <row r="4622" spans="1:1" x14ac:dyDescent="0.25">
      <c r="A4622"/>
    </row>
    <row r="4623" spans="1:1" x14ac:dyDescent="0.25">
      <c r="A4623"/>
    </row>
    <row r="4624" spans="1:1" x14ac:dyDescent="0.25">
      <c r="A4624"/>
    </row>
    <row r="4625" spans="1:1" x14ac:dyDescent="0.25">
      <c r="A4625"/>
    </row>
    <row r="4626" spans="1:1" x14ac:dyDescent="0.25">
      <c r="A4626"/>
    </row>
    <row r="4627" spans="1:1" x14ac:dyDescent="0.25">
      <c r="A4627"/>
    </row>
    <row r="4628" spans="1:1" x14ac:dyDescent="0.25">
      <c r="A4628"/>
    </row>
    <row r="4629" spans="1:1" x14ac:dyDescent="0.25">
      <c r="A4629"/>
    </row>
    <row r="4630" spans="1:1" x14ac:dyDescent="0.25">
      <c r="A4630"/>
    </row>
    <row r="4631" spans="1:1" x14ac:dyDescent="0.25">
      <c r="A4631"/>
    </row>
    <row r="4632" spans="1:1" x14ac:dyDescent="0.25">
      <c r="A4632"/>
    </row>
    <row r="4633" spans="1:1" x14ac:dyDescent="0.25">
      <c r="A4633"/>
    </row>
    <row r="4634" spans="1:1" x14ac:dyDescent="0.25">
      <c r="A4634"/>
    </row>
    <row r="4635" spans="1:1" x14ac:dyDescent="0.25">
      <c r="A4635"/>
    </row>
    <row r="4636" spans="1:1" x14ac:dyDescent="0.25">
      <c r="A4636"/>
    </row>
    <row r="4637" spans="1:1" x14ac:dyDescent="0.25">
      <c r="A4637"/>
    </row>
    <row r="4638" spans="1:1" x14ac:dyDescent="0.25">
      <c r="A4638"/>
    </row>
    <row r="4639" spans="1:1" x14ac:dyDescent="0.25">
      <c r="A4639"/>
    </row>
    <row r="4640" spans="1:1" x14ac:dyDescent="0.25">
      <c r="A4640"/>
    </row>
    <row r="4641" spans="1:1" x14ac:dyDescent="0.25">
      <c r="A4641"/>
    </row>
    <row r="4642" spans="1:1" x14ac:dyDescent="0.25">
      <c r="A4642"/>
    </row>
    <row r="4643" spans="1:1" x14ac:dyDescent="0.25">
      <c r="A4643"/>
    </row>
    <row r="4644" spans="1:1" x14ac:dyDescent="0.25">
      <c r="A4644"/>
    </row>
    <row r="4645" spans="1:1" x14ac:dyDescent="0.25">
      <c r="A4645"/>
    </row>
    <row r="4646" spans="1:1" x14ac:dyDescent="0.25">
      <c r="A4646"/>
    </row>
    <row r="4647" spans="1:1" x14ac:dyDescent="0.25">
      <c r="A4647"/>
    </row>
    <row r="4648" spans="1:1" x14ac:dyDescent="0.25">
      <c r="A4648"/>
    </row>
    <row r="4649" spans="1:1" x14ac:dyDescent="0.25">
      <c r="A4649"/>
    </row>
    <row r="4650" spans="1:1" x14ac:dyDescent="0.25">
      <c r="A4650"/>
    </row>
    <row r="4651" spans="1:1" x14ac:dyDescent="0.25">
      <c r="A4651"/>
    </row>
    <row r="4652" spans="1:1" x14ac:dyDescent="0.25">
      <c r="A4652"/>
    </row>
    <row r="4653" spans="1:1" x14ac:dyDescent="0.25">
      <c r="A4653"/>
    </row>
    <row r="4654" spans="1:1" x14ac:dyDescent="0.25">
      <c r="A4654"/>
    </row>
    <row r="4655" spans="1:1" x14ac:dyDescent="0.25">
      <c r="A4655"/>
    </row>
    <row r="4656" spans="1:1" x14ac:dyDescent="0.25">
      <c r="A4656"/>
    </row>
    <row r="4657" spans="1:1" x14ac:dyDescent="0.25">
      <c r="A4657"/>
    </row>
    <row r="4658" spans="1:1" x14ac:dyDescent="0.25">
      <c r="A4658"/>
    </row>
    <row r="4659" spans="1:1" x14ac:dyDescent="0.25">
      <c r="A4659"/>
    </row>
    <row r="4660" spans="1:1" x14ac:dyDescent="0.25">
      <c r="A4660"/>
    </row>
    <row r="4661" spans="1:1" x14ac:dyDescent="0.25">
      <c r="A4661"/>
    </row>
    <row r="4662" spans="1:1" x14ac:dyDescent="0.25">
      <c r="A4662"/>
    </row>
    <row r="4663" spans="1:1" x14ac:dyDescent="0.25">
      <c r="A4663"/>
    </row>
    <row r="4664" spans="1:1" x14ac:dyDescent="0.25">
      <c r="A4664"/>
    </row>
    <row r="4665" spans="1:1" x14ac:dyDescent="0.25">
      <c r="A4665"/>
    </row>
    <row r="4666" spans="1:1" x14ac:dyDescent="0.25">
      <c r="A4666"/>
    </row>
    <row r="4667" spans="1:1" x14ac:dyDescent="0.25">
      <c r="A4667"/>
    </row>
    <row r="4668" spans="1:1" x14ac:dyDescent="0.25">
      <c r="A4668"/>
    </row>
    <row r="4669" spans="1:1" x14ac:dyDescent="0.25">
      <c r="A4669"/>
    </row>
    <row r="4670" spans="1:1" x14ac:dyDescent="0.25">
      <c r="A4670"/>
    </row>
    <row r="4671" spans="1:1" x14ac:dyDescent="0.25">
      <c r="A4671"/>
    </row>
    <row r="4672" spans="1:1" x14ac:dyDescent="0.25">
      <c r="A4672"/>
    </row>
    <row r="4673" spans="1:1" x14ac:dyDescent="0.25">
      <c r="A4673"/>
    </row>
    <row r="4674" spans="1:1" x14ac:dyDescent="0.25">
      <c r="A4674"/>
    </row>
    <row r="4675" spans="1:1" x14ac:dyDescent="0.25">
      <c r="A4675"/>
    </row>
    <row r="4676" spans="1:1" x14ac:dyDescent="0.25">
      <c r="A4676"/>
    </row>
    <row r="4677" spans="1:1" x14ac:dyDescent="0.25">
      <c r="A4677"/>
    </row>
    <row r="4678" spans="1:1" x14ac:dyDescent="0.25">
      <c r="A4678"/>
    </row>
    <row r="4679" spans="1:1" x14ac:dyDescent="0.25">
      <c r="A4679"/>
    </row>
    <row r="4680" spans="1:1" x14ac:dyDescent="0.25">
      <c r="A4680"/>
    </row>
    <row r="4681" spans="1:1" x14ac:dyDescent="0.25">
      <c r="A4681"/>
    </row>
    <row r="4682" spans="1:1" x14ac:dyDescent="0.25">
      <c r="A4682"/>
    </row>
    <row r="4683" spans="1:1" x14ac:dyDescent="0.25">
      <c r="A4683"/>
    </row>
    <row r="4684" spans="1:1" x14ac:dyDescent="0.25">
      <c r="A4684"/>
    </row>
    <row r="4685" spans="1:1" x14ac:dyDescent="0.25">
      <c r="A4685"/>
    </row>
    <row r="4686" spans="1:1" x14ac:dyDescent="0.25">
      <c r="A4686"/>
    </row>
    <row r="4687" spans="1:1" x14ac:dyDescent="0.25">
      <c r="A4687"/>
    </row>
    <row r="4688" spans="1:1" x14ac:dyDescent="0.25">
      <c r="A4688"/>
    </row>
    <row r="4689" spans="1:1" x14ac:dyDescent="0.25">
      <c r="A4689"/>
    </row>
    <row r="4690" spans="1:1" x14ac:dyDescent="0.25">
      <c r="A4690"/>
    </row>
    <row r="4691" spans="1:1" x14ac:dyDescent="0.25">
      <c r="A4691"/>
    </row>
    <row r="4692" spans="1:1" x14ac:dyDescent="0.25">
      <c r="A4692"/>
    </row>
    <row r="4693" spans="1:1" x14ac:dyDescent="0.25">
      <c r="A4693"/>
    </row>
    <row r="4694" spans="1:1" x14ac:dyDescent="0.25">
      <c r="A4694"/>
    </row>
    <row r="4695" spans="1:1" x14ac:dyDescent="0.25">
      <c r="A4695"/>
    </row>
    <row r="4696" spans="1:1" x14ac:dyDescent="0.25">
      <c r="A4696"/>
    </row>
    <row r="4697" spans="1:1" x14ac:dyDescent="0.25">
      <c r="A4697"/>
    </row>
    <row r="4698" spans="1:1" x14ac:dyDescent="0.25">
      <c r="A4698"/>
    </row>
    <row r="4699" spans="1:1" x14ac:dyDescent="0.25">
      <c r="A4699"/>
    </row>
    <row r="4700" spans="1:1" x14ac:dyDescent="0.25">
      <c r="A4700"/>
    </row>
    <row r="4701" spans="1:1" x14ac:dyDescent="0.25">
      <c r="A4701"/>
    </row>
    <row r="4702" spans="1:1" x14ac:dyDescent="0.25">
      <c r="A4702"/>
    </row>
    <row r="4703" spans="1:1" x14ac:dyDescent="0.25">
      <c r="A4703"/>
    </row>
    <row r="4704" spans="1:1" x14ac:dyDescent="0.25">
      <c r="A4704"/>
    </row>
    <row r="4705" spans="1:1" x14ac:dyDescent="0.25">
      <c r="A4705"/>
    </row>
    <row r="4706" spans="1:1" x14ac:dyDescent="0.25">
      <c r="A4706"/>
    </row>
    <row r="4707" spans="1:1" x14ac:dyDescent="0.25">
      <c r="A4707"/>
    </row>
    <row r="4708" spans="1:1" x14ac:dyDescent="0.25">
      <c r="A4708"/>
    </row>
    <row r="4709" spans="1:1" x14ac:dyDescent="0.25">
      <c r="A4709"/>
    </row>
    <row r="4710" spans="1:1" x14ac:dyDescent="0.25">
      <c r="A4710"/>
    </row>
    <row r="4711" spans="1:1" x14ac:dyDescent="0.25">
      <c r="A4711"/>
    </row>
    <row r="4712" spans="1:1" x14ac:dyDescent="0.25">
      <c r="A4712"/>
    </row>
    <row r="4713" spans="1:1" x14ac:dyDescent="0.25">
      <c r="A4713"/>
    </row>
    <row r="4714" spans="1:1" x14ac:dyDescent="0.25">
      <c r="A4714"/>
    </row>
    <row r="4715" spans="1:1" x14ac:dyDescent="0.25">
      <c r="A4715"/>
    </row>
    <row r="4716" spans="1:1" x14ac:dyDescent="0.25">
      <c r="A4716"/>
    </row>
    <row r="4717" spans="1:1" x14ac:dyDescent="0.25">
      <c r="A4717"/>
    </row>
    <row r="4718" spans="1:1" x14ac:dyDescent="0.25">
      <c r="A4718"/>
    </row>
    <row r="4719" spans="1:1" x14ac:dyDescent="0.25">
      <c r="A4719"/>
    </row>
    <row r="4720" spans="1:1" x14ac:dyDescent="0.25">
      <c r="A4720"/>
    </row>
    <row r="4721" spans="1:1" x14ac:dyDescent="0.25">
      <c r="A4721"/>
    </row>
    <row r="4722" spans="1:1" x14ac:dyDescent="0.25">
      <c r="A4722"/>
    </row>
    <row r="4723" spans="1:1" x14ac:dyDescent="0.25">
      <c r="A4723"/>
    </row>
    <row r="4724" spans="1:1" x14ac:dyDescent="0.25">
      <c r="A4724"/>
    </row>
    <row r="4725" spans="1:1" x14ac:dyDescent="0.25">
      <c r="A4725"/>
    </row>
    <row r="4726" spans="1:1" x14ac:dyDescent="0.25">
      <c r="A4726"/>
    </row>
    <row r="4727" spans="1:1" x14ac:dyDescent="0.25">
      <c r="A4727"/>
    </row>
    <row r="4728" spans="1:1" x14ac:dyDescent="0.25">
      <c r="A4728"/>
    </row>
    <row r="4729" spans="1:1" x14ac:dyDescent="0.25">
      <c r="A4729"/>
    </row>
    <row r="4730" spans="1:1" x14ac:dyDescent="0.25">
      <c r="A4730"/>
    </row>
    <row r="4731" spans="1:1" x14ac:dyDescent="0.25">
      <c r="A4731"/>
    </row>
    <row r="4732" spans="1:1" x14ac:dyDescent="0.25">
      <c r="A4732"/>
    </row>
    <row r="4733" spans="1:1" x14ac:dyDescent="0.25">
      <c r="A4733"/>
    </row>
    <row r="4734" spans="1:1" x14ac:dyDescent="0.25">
      <c r="A4734"/>
    </row>
    <row r="4735" spans="1:1" x14ac:dyDescent="0.25">
      <c r="A4735"/>
    </row>
    <row r="4736" spans="1:1" x14ac:dyDescent="0.25">
      <c r="A4736"/>
    </row>
    <row r="4737" spans="1:1" x14ac:dyDescent="0.25">
      <c r="A4737"/>
    </row>
    <row r="4738" spans="1:1" x14ac:dyDescent="0.25">
      <c r="A4738"/>
    </row>
    <row r="4739" spans="1:1" x14ac:dyDescent="0.25">
      <c r="A4739"/>
    </row>
    <row r="4740" spans="1:1" x14ac:dyDescent="0.25">
      <c r="A4740"/>
    </row>
    <row r="4741" spans="1:1" x14ac:dyDescent="0.25">
      <c r="A4741"/>
    </row>
    <row r="4742" spans="1:1" x14ac:dyDescent="0.25">
      <c r="A4742"/>
    </row>
    <row r="4743" spans="1:1" x14ac:dyDescent="0.25">
      <c r="A4743"/>
    </row>
    <row r="4744" spans="1:1" x14ac:dyDescent="0.25">
      <c r="A4744"/>
    </row>
    <row r="4745" spans="1:1" x14ac:dyDescent="0.25">
      <c r="A4745"/>
    </row>
    <row r="4746" spans="1:1" x14ac:dyDescent="0.25">
      <c r="A4746"/>
    </row>
    <row r="4747" spans="1:1" x14ac:dyDescent="0.25">
      <c r="A4747"/>
    </row>
    <row r="4748" spans="1:1" x14ac:dyDescent="0.25">
      <c r="A4748"/>
    </row>
    <row r="4749" spans="1:1" x14ac:dyDescent="0.25">
      <c r="A4749"/>
    </row>
    <row r="4750" spans="1:1" x14ac:dyDescent="0.25">
      <c r="A4750"/>
    </row>
    <row r="4751" spans="1:1" x14ac:dyDescent="0.25">
      <c r="A4751"/>
    </row>
    <row r="4752" spans="1:1" x14ac:dyDescent="0.25">
      <c r="A4752"/>
    </row>
    <row r="4753" spans="1:1" x14ac:dyDescent="0.25">
      <c r="A4753"/>
    </row>
    <row r="4754" spans="1:1" x14ac:dyDescent="0.25">
      <c r="A4754"/>
    </row>
    <row r="4755" spans="1:1" x14ac:dyDescent="0.25">
      <c r="A4755"/>
    </row>
    <row r="4756" spans="1:1" x14ac:dyDescent="0.25">
      <c r="A4756"/>
    </row>
    <row r="4757" spans="1:1" x14ac:dyDescent="0.25">
      <c r="A4757"/>
    </row>
    <row r="4758" spans="1:1" x14ac:dyDescent="0.25">
      <c r="A4758"/>
    </row>
    <row r="4759" spans="1:1" x14ac:dyDescent="0.25">
      <c r="A4759"/>
    </row>
    <row r="4760" spans="1:1" x14ac:dyDescent="0.25">
      <c r="A4760"/>
    </row>
    <row r="4761" spans="1:1" x14ac:dyDescent="0.25">
      <c r="A4761"/>
    </row>
    <row r="4762" spans="1:1" x14ac:dyDescent="0.25">
      <c r="A4762"/>
    </row>
    <row r="4763" spans="1:1" x14ac:dyDescent="0.25">
      <c r="A4763"/>
    </row>
    <row r="4764" spans="1:1" x14ac:dyDescent="0.25">
      <c r="A4764"/>
    </row>
    <row r="4765" spans="1:1" x14ac:dyDescent="0.25">
      <c r="A4765"/>
    </row>
    <row r="4766" spans="1:1" x14ac:dyDescent="0.25">
      <c r="A4766"/>
    </row>
    <row r="4767" spans="1:1" x14ac:dyDescent="0.25">
      <c r="A4767"/>
    </row>
    <row r="4768" spans="1:1" x14ac:dyDescent="0.25">
      <c r="A4768"/>
    </row>
    <row r="4769" spans="1:1" x14ac:dyDescent="0.25">
      <c r="A4769"/>
    </row>
    <row r="4770" spans="1:1" x14ac:dyDescent="0.25">
      <c r="A4770"/>
    </row>
    <row r="4771" spans="1:1" x14ac:dyDescent="0.25">
      <c r="A4771"/>
    </row>
    <row r="4772" spans="1:1" x14ac:dyDescent="0.25">
      <c r="A4772"/>
    </row>
    <row r="4773" spans="1:1" x14ac:dyDescent="0.25">
      <c r="A4773"/>
    </row>
    <row r="4774" spans="1:1" x14ac:dyDescent="0.25">
      <c r="A4774"/>
    </row>
    <row r="4775" spans="1:1" x14ac:dyDescent="0.25">
      <c r="A4775"/>
    </row>
    <row r="4776" spans="1:1" x14ac:dyDescent="0.25">
      <c r="A4776"/>
    </row>
    <row r="4777" spans="1:1" x14ac:dyDescent="0.25">
      <c r="A4777"/>
    </row>
    <row r="4778" spans="1:1" x14ac:dyDescent="0.25">
      <c r="A4778"/>
    </row>
    <row r="4779" spans="1:1" x14ac:dyDescent="0.25">
      <c r="A4779"/>
    </row>
    <row r="4780" spans="1:1" x14ac:dyDescent="0.25">
      <c r="A4780"/>
    </row>
    <row r="4781" spans="1:1" x14ac:dyDescent="0.25">
      <c r="A4781"/>
    </row>
    <row r="4782" spans="1:1" x14ac:dyDescent="0.25">
      <c r="A4782"/>
    </row>
    <row r="4783" spans="1:1" x14ac:dyDescent="0.25">
      <c r="A4783"/>
    </row>
    <row r="4784" spans="1:1" x14ac:dyDescent="0.25">
      <c r="A4784"/>
    </row>
    <row r="4785" spans="1:1" x14ac:dyDescent="0.25">
      <c r="A4785"/>
    </row>
    <row r="4786" spans="1:1" x14ac:dyDescent="0.25">
      <c r="A4786"/>
    </row>
    <row r="4787" spans="1:1" x14ac:dyDescent="0.25">
      <c r="A4787"/>
    </row>
    <row r="4788" spans="1:1" x14ac:dyDescent="0.25">
      <c r="A4788"/>
    </row>
    <row r="4789" spans="1:1" x14ac:dyDescent="0.25">
      <c r="A4789"/>
    </row>
    <row r="4790" spans="1:1" x14ac:dyDescent="0.25">
      <c r="A4790"/>
    </row>
    <row r="4791" spans="1:1" x14ac:dyDescent="0.25">
      <c r="A4791"/>
    </row>
    <row r="4792" spans="1:1" x14ac:dyDescent="0.25">
      <c r="A4792"/>
    </row>
    <row r="4793" spans="1:1" x14ac:dyDescent="0.25">
      <c r="A4793"/>
    </row>
    <row r="4794" spans="1:1" x14ac:dyDescent="0.25">
      <c r="A4794"/>
    </row>
    <row r="4795" spans="1:1" x14ac:dyDescent="0.25">
      <c r="A4795"/>
    </row>
    <row r="4796" spans="1:1" x14ac:dyDescent="0.25">
      <c r="A4796"/>
    </row>
    <row r="4797" spans="1:1" x14ac:dyDescent="0.25">
      <c r="A4797"/>
    </row>
    <row r="4798" spans="1:1" x14ac:dyDescent="0.25">
      <c r="A4798"/>
    </row>
    <row r="4799" spans="1:1" x14ac:dyDescent="0.25">
      <c r="A4799"/>
    </row>
    <row r="4800" spans="1:1" x14ac:dyDescent="0.25">
      <c r="A4800"/>
    </row>
    <row r="4801" spans="1:1" x14ac:dyDescent="0.25">
      <c r="A4801"/>
    </row>
    <row r="4802" spans="1:1" x14ac:dyDescent="0.25">
      <c r="A4802"/>
    </row>
    <row r="4803" spans="1:1" x14ac:dyDescent="0.25">
      <c r="A4803"/>
    </row>
    <row r="4804" spans="1:1" x14ac:dyDescent="0.25">
      <c r="A4804"/>
    </row>
    <row r="4805" spans="1:1" x14ac:dyDescent="0.25">
      <c r="A4805"/>
    </row>
    <row r="4806" spans="1:1" x14ac:dyDescent="0.25">
      <c r="A4806"/>
    </row>
    <row r="4807" spans="1:1" x14ac:dyDescent="0.25">
      <c r="A4807"/>
    </row>
    <row r="4808" spans="1:1" x14ac:dyDescent="0.25">
      <c r="A4808"/>
    </row>
    <row r="4809" spans="1:1" x14ac:dyDescent="0.25">
      <c r="A4809"/>
    </row>
    <row r="4810" spans="1:1" x14ac:dyDescent="0.25">
      <c r="A4810"/>
    </row>
    <row r="4811" spans="1:1" x14ac:dyDescent="0.25">
      <c r="A4811"/>
    </row>
    <row r="4812" spans="1:1" x14ac:dyDescent="0.25">
      <c r="A4812"/>
    </row>
    <row r="4813" spans="1:1" x14ac:dyDescent="0.25">
      <c r="A4813"/>
    </row>
    <row r="4814" spans="1:1" x14ac:dyDescent="0.25">
      <c r="A4814"/>
    </row>
    <row r="4815" spans="1:1" x14ac:dyDescent="0.25">
      <c r="A4815"/>
    </row>
    <row r="4816" spans="1:1" x14ac:dyDescent="0.25">
      <c r="A4816"/>
    </row>
    <row r="4817" spans="1:1" x14ac:dyDescent="0.25">
      <c r="A4817"/>
    </row>
    <row r="4818" spans="1:1" x14ac:dyDescent="0.25">
      <c r="A4818"/>
    </row>
    <row r="4819" spans="1:1" x14ac:dyDescent="0.25">
      <c r="A4819"/>
    </row>
    <row r="4820" spans="1:1" x14ac:dyDescent="0.25">
      <c r="A4820"/>
    </row>
    <row r="4821" spans="1:1" x14ac:dyDescent="0.25">
      <c r="A4821"/>
    </row>
    <row r="4822" spans="1:1" x14ac:dyDescent="0.25">
      <c r="A4822"/>
    </row>
    <row r="4823" spans="1:1" x14ac:dyDescent="0.25">
      <c r="A4823"/>
    </row>
    <row r="4824" spans="1:1" x14ac:dyDescent="0.25">
      <c r="A4824"/>
    </row>
    <row r="4825" spans="1:1" x14ac:dyDescent="0.25">
      <c r="A4825"/>
    </row>
    <row r="4826" spans="1:1" x14ac:dyDescent="0.25">
      <c r="A4826"/>
    </row>
    <row r="4827" spans="1:1" x14ac:dyDescent="0.25">
      <c r="A4827"/>
    </row>
    <row r="4828" spans="1:1" x14ac:dyDescent="0.25">
      <c r="A4828"/>
    </row>
    <row r="4829" spans="1:1" x14ac:dyDescent="0.25">
      <c r="A4829"/>
    </row>
    <row r="4830" spans="1:1" x14ac:dyDescent="0.25">
      <c r="A4830"/>
    </row>
    <row r="4831" spans="1:1" x14ac:dyDescent="0.25">
      <c r="A4831"/>
    </row>
    <row r="4832" spans="1:1" x14ac:dyDescent="0.25">
      <c r="A4832"/>
    </row>
    <row r="4833" spans="1:1" x14ac:dyDescent="0.25">
      <c r="A4833"/>
    </row>
    <row r="4834" spans="1:1" x14ac:dyDescent="0.25">
      <c r="A4834"/>
    </row>
    <row r="4835" spans="1:1" x14ac:dyDescent="0.25">
      <c r="A4835"/>
    </row>
    <row r="4836" spans="1:1" x14ac:dyDescent="0.25">
      <c r="A4836"/>
    </row>
    <row r="4837" spans="1:1" x14ac:dyDescent="0.25">
      <c r="A4837"/>
    </row>
    <row r="4838" spans="1:1" x14ac:dyDescent="0.25">
      <c r="A4838"/>
    </row>
    <row r="4839" spans="1:1" x14ac:dyDescent="0.25">
      <c r="A4839"/>
    </row>
    <row r="4840" spans="1:1" x14ac:dyDescent="0.25">
      <c r="A4840"/>
    </row>
    <row r="4841" spans="1:1" x14ac:dyDescent="0.25">
      <c r="A4841"/>
    </row>
    <row r="4842" spans="1:1" x14ac:dyDescent="0.25">
      <c r="A4842"/>
    </row>
    <row r="4843" spans="1:1" x14ac:dyDescent="0.25">
      <c r="A4843"/>
    </row>
    <row r="4844" spans="1:1" x14ac:dyDescent="0.25">
      <c r="A4844"/>
    </row>
    <row r="4845" spans="1:1" x14ac:dyDescent="0.25">
      <c r="A4845"/>
    </row>
    <row r="4846" spans="1:1" x14ac:dyDescent="0.25">
      <c r="A4846"/>
    </row>
    <row r="4847" spans="1:1" x14ac:dyDescent="0.25">
      <c r="A4847"/>
    </row>
    <row r="4848" spans="1:1" x14ac:dyDescent="0.25">
      <c r="A4848"/>
    </row>
    <row r="4849" spans="1:1" x14ac:dyDescent="0.25">
      <c r="A4849"/>
    </row>
    <row r="4850" spans="1:1" x14ac:dyDescent="0.25">
      <c r="A4850"/>
    </row>
    <row r="4851" spans="1:1" x14ac:dyDescent="0.25">
      <c r="A4851"/>
    </row>
    <row r="4852" spans="1:1" x14ac:dyDescent="0.25">
      <c r="A4852"/>
    </row>
    <row r="4853" spans="1:1" x14ac:dyDescent="0.25">
      <c r="A4853"/>
    </row>
    <row r="4854" spans="1:1" x14ac:dyDescent="0.25">
      <c r="A4854"/>
    </row>
    <row r="4855" spans="1:1" x14ac:dyDescent="0.25">
      <c r="A4855"/>
    </row>
    <row r="4856" spans="1:1" x14ac:dyDescent="0.25">
      <c r="A4856"/>
    </row>
    <row r="4857" spans="1:1" x14ac:dyDescent="0.25">
      <c r="A4857"/>
    </row>
    <row r="4858" spans="1:1" x14ac:dyDescent="0.25">
      <c r="A4858"/>
    </row>
    <row r="4859" spans="1:1" x14ac:dyDescent="0.25">
      <c r="A4859"/>
    </row>
    <row r="4860" spans="1:1" x14ac:dyDescent="0.25">
      <c r="A4860"/>
    </row>
    <row r="4861" spans="1:1" x14ac:dyDescent="0.25">
      <c r="A4861"/>
    </row>
    <row r="4862" spans="1:1" x14ac:dyDescent="0.25">
      <c r="A4862"/>
    </row>
    <row r="4863" spans="1:1" x14ac:dyDescent="0.25">
      <c r="A4863"/>
    </row>
    <row r="4864" spans="1:1" x14ac:dyDescent="0.25">
      <c r="A4864"/>
    </row>
    <row r="4865" spans="1:1" x14ac:dyDescent="0.25">
      <c r="A4865"/>
    </row>
    <row r="4866" spans="1:1" x14ac:dyDescent="0.25">
      <c r="A4866"/>
    </row>
    <row r="4867" spans="1:1" x14ac:dyDescent="0.25">
      <c r="A4867"/>
    </row>
    <row r="4868" spans="1:1" x14ac:dyDescent="0.25">
      <c r="A4868"/>
    </row>
    <row r="4869" spans="1:1" x14ac:dyDescent="0.25">
      <c r="A4869"/>
    </row>
    <row r="4870" spans="1:1" x14ac:dyDescent="0.25">
      <c r="A4870"/>
    </row>
    <row r="4871" spans="1:1" x14ac:dyDescent="0.25">
      <c r="A4871"/>
    </row>
    <row r="4872" spans="1:1" x14ac:dyDescent="0.25">
      <c r="A4872"/>
    </row>
    <row r="4873" spans="1:1" x14ac:dyDescent="0.25">
      <c r="A4873"/>
    </row>
    <row r="4874" spans="1:1" x14ac:dyDescent="0.25">
      <c r="A4874"/>
    </row>
    <row r="4875" spans="1:1" x14ac:dyDescent="0.25">
      <c r="A4875"/>
    </row>
    <row r="4876" spans="1:1" x14ac:dyDescent="0.25">
      <c r="A4876"/>
    </row>
    <row r="4877" spans="1:1" x14ac:dyDescent="0.25">
      <c r="A4877"/>
    </row>
    <row r="4878" spans="1:1" x14ac:dyDescent="0.25">
      <c r="A4878"/>
    </row>
    <row r="4879" spans="1:1" x14ac:dyDescent="0.25">
      <c r="A4879"/>
    </row>
    <row r="4880" spans="1:1" x14ac:dyDescent="0.25">
      <c r="A4880"/>
    </row>
    <row r="4881" spans="1:1" x14ac:dyDescent="0.25">
      <c r="A4881"/>
    </row>
    <row r="4882" spans="1:1" x14ac:dyDescent="0.25">
      <c r="A4882"/>
    </row>
    <row r="4883" spans="1:1" x14ac:dyDescent="0.25">
      <c r="A4883"/>
    </row>
    <row r="4884" spans="1:1" x14ac:dyDescent="0.25">
      <c r="A4884"/>
    </row>
    <row r="4885" spans="1:1" x14ac:dyDescent="0.25">
      <c r="A4885"/>
    </row>
    <row r="4886" spans="1:1" x14ac:dyDescent="0.25">
      <c r="A4886"/>
    </row>
    <row r="4887" spans="1:1" x14ac:dyDescent="0.25">
      <c r="A4887"/>
    </row>
    <row r="4888" spans="1:1" x14ac:dyDescent="0.25">
      <c r="A4888"/>
    </row>
    <row r="4889" spans="1:1" x14ac:dyDescent="0.25">
      <c r="A4889"/>
    </row>
    <row r="4890" spans="1:1" x14ac:dyDescent="0.25">
      <c r="A4890"/>
    </row>
    <row r="4891" spans="1:1" x14ac:dyDescent="0.25">
      <c r="A4891"/>
    </row>
    <row r="4892" spans="1:1" x14ac:dyDescent="0.25">
      <c r="A4892"/>
    </row>
    <row r="4893" spans="1:1" x14ac:dyDescent="0.25">
      <c r="A4893"/>
    </row>
    <row r="4894" spans="1:1" x14ac:dyDescent="0.25">
      <c r="A4894"/>
    </row>
    <row r="4895" spans="1:1" x14ac:dyDescent="0.25">
      <c r="A4895"/>
    </row>
    <row r="4896" spans="1:1" x14ac:dyDescent="0.25">
      <c r="A4896"/>
    </row>
    <row r="4897" spans="1:1" x14ac:dyDescent="0.25">
      <c r="A4897"/>
    </row>
    <row r="4898" spans="1:1" x14ac:dyDescent="0.25">
      <c r="A4898"/>
    </row>
    <row r="4899" spans="1:1" x14ac:dyDescent="0.25">
      <c r="A4899"/>
    </row>
    <row r="4900" spans="1:1" x14ac:dyDescent="0.25">
      <c r="A4900"/>
    </row>
    <row r="4901" spans="1:1" x14ac:dyDescent="0.25">
      <c r="A4901"/>
    </row>
    <row r="4902" spans="1:1" x14ac:dyDescent="0.25">
      <c r="A4902"/>
    </row>
    <row r="4903" spans="1:1" x14ac:dyDescent="0.25">
      <c r="A4903"/>
    </row>
    <row r="4904" spans="1:1" x14ac:dyDescent="0.25">
      <c r="A4904"/>
    </row>
    <row r="4905" spans="1:1" x14ac:dyDescent="0.25">
      <c r="A4905"/>
    </row>
    <row r="4906" spans="1:1" x14ac:dyDescent="0.25">
      <c r="A4906"/>
    </row>
    <row r="4907" spans="1:1" x14ac:dyDescent="0.25">
      <c r="A4907"/>
    </row>
    <row r="4908" spans="1:1" x14ac:dyDescent="0.25">
      <c r="A4908"/>
    </row>
    <row r="4909" spans="1:1" x14ac:dyDescent="0.25">
      <c r="A4909"/>
    </row>
    <row r="4910" spans="1:1" x14ac:dyDescent="0.25">
      <c r="A4910"/>
    </row>
    <row r="4911" spans="1:1" x14ac:dyDescent="0.25">
      <c r="A4911"/>
    </row>
    <row r="4912" spans="1:1" x14ac:dyDescent="0.25">
      <c r="A4912"/>
    </row>
    <row r="4913" spans="1:1" x14ac:dyDescent="0.25">
      <c r="A4913"/>
    </row>
    <row r="4914" spans="1:1" x14ac:dyDescent="0.25">
      <c r="A4914"/>
    </row>
    <row r="4915" spans="1:1" x14ac:dyDescent="0.25">
      <c r="A4915"/>
    </row>
    <row r="4916" spans="1:1" x14ac:dyDescent="0.25">
      <c r="A4916"/>
    </row>
    <row r="4917" spans="1:1" x14ac:dyDescent="0.25">
      <c r="A4917"/>
    </row>
    <row r="4918" spans="1:1" x14ac:dyDescent="0.25">
      <c r="A4918"/>
    </row>
    <row r="4919" spans="1:1" x14ac:dyDescent="0.25">
      <c r="A4919"/>
    </row>
    <row r="4920" spans="1:1" x14ac:dyDescent="0.25">
      <c r="A4920"/>
    </row>
    <row r="4921" spans="1:1" x14ac:dyDescent="0.25">
      <c r="A4921"/>
    </row>
    <row r="4922" spans="1:1" x14ac:dyDescent="0.25">
      <c r="A4922"/>
    </row>
    <row r="4923" spans="1:1" x14ac:dyDescent="0.25">
      <c r="A4923"/>
    </row>
    <row r="4924" spans="1:1" x14ac:dyDescent="0.25">
      <c r="A4924"/>
    </row>
    <row r="4925" spans="1:1" x14ac:dyDescent="0.25">
      <c r="A4925"/>
    </row>
    <row r="4926" spans="1:1" x14ac:dyDescent="0.25">
      <c r="A4926"/>
    </row>
    <row r="4927" spans="1:1" x14ac:dyDescent="0.25">
      <c r="A4927"/>
    </row>
    <row r="4928" spans="1:1" x14ac:dyDescent="0.25">
      <c r="A4928"/>
    </row>
    <row r="4929" spans="1:1" x14ac:dyDescent="0.25">
      <c r="A4929"/>
    </row>
    <row r="4930" spans="1:1" x14ac:dyDescent="0.25">
      <c r="A4930"/>
    </row>
    <row r="4931" spans="1:1" x14ac:dyDescent="0.25">
      <c r="A4931"/>
    </row>
    <row r="4932" spans="1:1" x14ac:dyDescent="0.25">
      <c r="A4932"/>
    </row>
    <row r="4933" spans="1:1" x14ac:dyDescent="0.25">
      <c r="A4933"/>
    </row>
    <row r="4934" spans="1:1" x14ac:dyDescent="0.25">
      <c r="A4934"/>
    </row>
    <row r="4935" spans="1:1" x14ac:dyDescent="0.25">
      <c r="A4935"/>
    </row>
    <row r="4936" spans="1:1" x14ac:dyDescent="0.25">
      <c r="A4936"/>
    </row>
    <row r="4937" spans="1:1" x14ac:dyDescent="0.25">
      <c r="A4937"/>
    </row>
    <row r="4938" spans="1:1" x14ac:dyDescent="0.25">
      <c r="A4938"/>
    </row>
    <row r="4939" spans="1:1" x14ac:dyDescent="0.25">
      <c r="A4939"/>
    </row>
    <row r="4940" spans="1:1" x14ac:dyDescent="0.25">
      <c r="A4940"/>
    </row>
    <row r="4941" spans="1:1" x14ac:dyDescent="0.25">
      <c r="A4941"/>
    </row>
    <row r="4942" spans="1:1" x14ac:dyDescent="0.25">
      <c r="A4942"/>
    </row>
    <row r="4943" spans="1:1" x14ac:dyDescent="0.25">
      <c r="A4943"/>
    </row>
    <row r="4944" spans="1:1" x14ac:dyDescent="0.25">
      <c r="A4944"/>
    </row>
    <row r="4945" spans="1:1" x14ac:dyDescent="0.25">
      <c r="A4945"/>
    </row>
    <row r="4946" spans="1:1" x14ac:dyDescent="0.25">
      <c r="A4946"/>
    </row>
    <row r="4947" spans="1:1" x14ac:dyDescent="0.25">
      <c r="A4947"/>
    </row>
    <row r="4948" spans="1:1" x14ac:dyDescent="0.25">
      <c r="A4948"/>
    </row>
    <row r="4949" spans="1:1" x14ac:dyDescent="0.25">
      <c r="A4949"/>
    </row>
    <row r="4950" spans="1:1" x14ac:dyDescent="0.25">
      <c r="A4950"/>
    </row>
    <row r="4951" spans="1:1" x14ac:dyDescent="0.25">
      <c r="A4951"/>
    </row>
    <row r="4952" spans="1:1" x14ac:dyDescent="0.25">
      <c r="A4952"/>
    </row>
    <row r="4953" spans="1:1" x14ac:dyDescent="0.25">
      <c r="A4953"/>
    </row>
    <row r="4954" spans="1:1" x14ac:dyDescent="0.25">
      <c r="A4954"/>
    </row>
    <row r="4955" spans="1:1" x14ac:dyDescent="0.25">
      <c r="A4955"/>
    </row>
    <row r="4956" spans="1:1" x14ac:dyDescent="0.25">
      <c r="A4956"/>
    </row>
    <row r="4957" spans="1:1" x14ac:dyDescent="0.25">
      <c r="A4957"/>
    </row>
    <row r="4958" spans="1:1" x14ac:dyDescent="0.25">
      <c r="A4958"/>
    </row>
    <row r="4959" spans="1:1" x14ac:dyDescent="0.25">
      <c r="A4959"/>
    </row>
    <row r="4960" spans="1:1" x14ac:dyDescent="0.25">
      <c r="A4960"/>
    </row>
    <row r="4961" spans="1:1" x14ac:dyDescent="0.25">
      <c r="A4961"/>
    </row>
    <row r="4962" spans="1:1" x14ac:dyDescent="0.25">
      <c r="A4962"/>
    </row>
    <row r="4963" spans="1:1" x14ac:dyDescent="0.25">
      <c r="A4963"/>
    </row>
    <row r="4964" spans="1:1" x14ac:dyDescent="0.25">
      <c r="A4964"/>
    </row>
    <row r="4965" spans="1:1" x14ac:dyDescent="0.25">
      <c r="A4965"/>
    </row>
    <row r="4966" spans="1:1" x14ac:dyDescent="0.25">
      <c r="A4966"/>
    </row>
    <row r="4967" spans="1:1" x14ac:dyDescent="0.25">
      <c r="A4967"/>
    </row>
    <row r="4968" spans="1:1" x14ac:dyDescent="0.25">
      <c r="A4968"/>
    </row>
    <row r="4969" spans="1:1" x14ac:dyDescent="0.25">
      <c r="A4969"/>
    </row>
    <row r="4970" spans="1:1" x14ac:dyDescent="0.25">
      <c r="A4970"/>
    </row>
    <row r="4971" spans="1:1" x14ac:dyDescent="0.25">
      <c r="A4971"/>
    </row>
    <row r="4972" spans="1:1" x14ac:dyDescent="0.25">
      <c r="A4972"/>
    </row>
    <row r="4973" spans="1:1" x14ac:dyDescent="0.25">
      <c r="A4973"/>
    </row>
    <row r="4974" spans="1:1" x14ac:dyDescent="0.25">
      <c r="A4974"/>
    </row>
    <row r="4975" spans="1:1" x14ac:dyDescent="0.25">
      <c r="A4975"/>
    </row>
    <row r="4976" spans="1:1" x14ac:dyDescent="0.25">
      <c r="A4976"/>
    </row>
    <row r="4977" spans="1:1" x14ac:dyDescent="0.25">
      <c r="A4977"/>
    </row>
    <row r="4978" spans="1:1" x14ac:dyDescent="0.25">
      <c r="A4978"/>
    </row>
    <row r="4979" spans="1:1" x14ac:dyDescent="0.25">
      <c r="A4979"/>
    </row>
    <row r="4980" spans="1:1" x14ac:dyDescent="0.25">
      <c r="A4980"/>
    </row>
    <row r="4981" spans="1:1" x14ac:dyDescent="0.25">
      <c r="A4981"/>
    </row>
    <row r="4982" spans="1:1" x14ac:dyDescent="0.25">
      <c r="A4982"/>
    </row>
    <row r="4983" spans="1:1" x14ac:dyDescent="0.25">
      <c r="A4983"/>
    </row>
    <row r="4984" spans="1:1" x14ac:dyDescent="0.25">
      <c r="A4984"/>
    </row>
    <row r="4985" spans="1:1" x14ac:dyDescent="0.25">
      <c r="A4985"/>
    </row>
    <row r="4986" spans="1:1" x14ac:dyDescent="0.25">
      <c r="A4986"/>
    </row>
    <row r="4987" spans="1:1" x14ac:dyDescent="0.25">
      <c r="A4987"/>
    </row>
    <row r="4988" spans="1:1" x14ac:dyDescent="0.25">
      <c r="A4988"/>
    </row>
    <row r="4989" spans="1:1" x14ac:dyDescent="0.25">
      <c r="A4989"/>
    </row>
    <row r="4990" spans="1:1" x14ac:dyDescent="0.25">
      <c r="A4990"/>
    </row>
    <row r="4991" spans="1:1" x14ac:dyDescent="0.25">
      <c r="A4991"/>
    </row>
    <row r="4992" spans="1:1" x14ac:dyDescent="0.25">
      <c r="A4992"/>
    </row>
    <row r="4993" spans="1:1" x14ac:dyDescent="0.25">
      <c r="A4993"/>
    </row>
    <row r="4994" spans="1:1" x14ac:dyDescent="0.25">
      <c r="A4994"/>
    </row>
    <row r="4995" spans="1:1" x14ac:dyDescent="0.25">
      <c r="A4995"/>
    </row>
    <row r="4996" spans="1:1" x14ac:dyDescent="0.25">
      <c r="A4996"/>
    </row>
    <row r="4997" spans="1:1" x14ac:dyDescent="0.25">
      <c r="A4997"/>
    </row>
    <row r="4998" spans="1:1" x14ac:dyDescent="0.25">
      <c r="A4998"/>
    </row>
    <row r="4999" spans="1:1" x14ac:dyDescent="0.25">
      <c r="A4999"/>
    </row>
    <row r="5000" spans="1:1" x14ac:dyDescent="0.25">
      <c r="A5000"/>
    </row>
    <row r="5001" spans="1:1" x14ac:dyDescent="0.25">
      <c r="A5001"/>
    </row>
    <row r="5002" spans="1:1" x14ac:dyDescent="0.25">
      <c r="A5002"/>
    </row>
    <row r="5003" spans="1:1" x14ac:dyDescent="0.25">
      <c r="A5003"/>
    </row>
    <row r="5004" spans="1:1" x14ac:dyDescent="0.25">
      <c r="A5004"/>
    </row>
    <row r="5005" spans="1:1" x14ac:dyDescent="0.25">
      <c r="A5005"/>
    </row>
    <row r="5006" spans="1:1" x14ac:dyDescent="0.25">
      <c r="A5006"/>
    </row>
    <row r="5007" spans="1:1" x14ac:dyDescent="0.25">
      <c r="A5007"/>
    </row>
    <row r="5008" spans="1:1" x14ac:dyDescent="0.25">
      <c r="A5008"/>
    </row>
    <row r="5009" spans="1:1" x14ac:dyDescent="0.25">
      <c r="A5009"/>
    </row>
    <row r="5010" spans="1:1" x14ac:dyDescent="0.25">
      <c r="A5010"/>
    </row>
    <row r="5011" spans="1:1" x14ac:dyDescent="0.25">
      <c r="A5011"/>
    </row>
    <row r="5012" spans="1:1" x14ac:dyDescent="0.25">
      <c r="A5012"/>
    </row>
    <row r="5013" spans="1:1" x14ac:dyDescent="0.25">
      <c r="A5013"/>
    </row>
    <row r="5014" spans="1:1" x14ac:dyDescent="0.25">
      <c r="A5014"/>
    </row>
    <row r="5015" spans="1:1" x14ac:dyDescent="0.25">
      <c r="A5015"/>
    </row>
    <row r="5016" spans="1:1" x14ac:dyDescent="0.25">
      <c r="A5016"/>
    </row>
    <row r="5017" spans="1:1" x14ac:dyDescent="0.25">
      <c r="A5017"/>
    </row>
    <row r="5018" spans="1:1" x14ac:dyDescent="0.25">
      <c r="A5018"/>
    </row>
    <row r="5019" spans="1:1" x14ac:dyDescent="0.25">
      <c r="A5019"/>
    </row>
    <row r="5020" spans="1:1" x14ac:dyDescent="0.25">
      <c r="A5020"/>
    </row>
    <row r="5021" spans="1:1" x14ac:dyDescent="0.25">
      <c r="A5021"/>
    </row>
    <row r="5022" spans="1:1" x14ac:dyDescent="0.25">
      <c r="A5022"/>
    </row>
    <row r="5023" spans="1:1" x14ac:dyDescent="0.25">
      <c r="A5023"/>
    </row>
    <row r="5024" spans="1:1" x14ac:dyDescent="0.25">
      <c r="A5024"/>
    </row>
    <row r="5025" spans="1:1" x14ac:dyDescent="0.25">
      <c r="A5025"/>
    </row>
    <row r="5026" spans="1:1" x14ac:dyDescent="0.25">
      <c r="A5026"/>
    </row>
    <row r="5027" spans="1:1" x14ac:dyDescent="0.25">
      <c r="A5027"/>
    </row>
    <row r="5028" spans="1:1" x14ac:dyDescent="0.25">
      <c r="A5028"/>
    </row>
    <row r="5029" spans="1:1" x14ac:dyDescent="0.25">
      <c r="A5029"/>
    </row>
    <row r="5030" spans="1:1" x14ac:dyDescent="0.25">
      <c r="A5030"/>
    </row>
    <row r="5031" spans="1:1" x14ac:dyDescent="0.25">
      <c r="A5031"/>
    </row>
    <row r="5032" spans="1:1" x14ac:dyDescent="0.25">
      <c r="A5032"/>
    </row>
    <row r="5033" spans="1:1" x14ac:dyDescent="0.25">
      <c r="A5033"/>
    </row>
    <row r="5034" spans="1:1" x14ac:dyDescent="0.25">
      <c r="A5034"/>
    </row>
    <row r="5035" spans="1:1" x14ac:dyDescent="0.25">
      <c r="A5035"/>
    </row>
    <row r="5036" spans="1:1" x14ac:dyDescent="0.25">
      <c r="A5036"/>
    </row>
    <row r="5037" spans="1:1" x14ac:dyDescent="0.25">
      <c r="A5037"/>
    </row>
    <row r="5038" spans="1:1" x14ac:dyDescent="0.25">
      <c r="A5038"/>
    </row>
    <row r="5039" spans="1:1" x14ac:dyDescent="0.25">
      <c r="A5039"/>
    </row>
    <row r="5040" spans="1:1" x14ac:dyDescent="0.25">
      <c r="A5040"/>
    </row>
    <row r="5041" spans="1:1" x14ac:dyDescent="0.25">
      <c r="A5041"/>
    </row>
    <row r="5042" spans="1:1" x14ac:dyDescent="0.25">
      <c r="A5042"/>
    </row>
    <row r="5043" spans="1:1" x14ac:dyDescent="0.25">
      <c r="A5043"/>
    </row>
    <row r="5044" spans="1:1" x14ac:dyDescent="0.25">
      <c r="A5044"/>
    </row>
    <row r="5045" spans="1:1" x14ac:dyDescent="0.25">
      <c r="A5045"/>
    </row>
    <row r="5046" spans="1:1" x14ac:dyDescent="0.25">
      <c r="A5046"/>
    </row>
    <row r="5047" spans="1:1" x14ac:dyDescent="0.25">
      <c r="A5047"/>
    </row>
    <row r="5048" spans="1:1" x14ac:dyDescent="0.25">
      <c r="A5048"/>
    </row>
    <row r="5049" spans="1:1" x14ac:dyDescent="0.25">
      <c r="A5049"/>
    </row>
    <row r="5050" spans="1:1" x14ac:dyDescent="0.25">
      <c r="A5050"/>
    </row>
    <row r="5051" spans="1:1" x14ac:dyDescent="0.25">
      <c r="A5051"/>
    </row>
    <row r="5052" spans="1:1" x14ac:dyDescent="0.25">
      <c r="A5052"/>
    </row>
    <row r="5053" spans="1:1" x14ac:dyDescent="0.25">
      <c r="A5053"/>
    </row>
    <row r="5054" spans="1:1" x14ac:dyDescent="0.25">
      <c r="A5054"/>
    </row>
    <row r="5055" spans="1:1" x14ac:dyDescent="0.25">
      <c r="A5055"/>
    </row>
    <row r="5056" spans="1:1" x14ac:dyDescent="0.25">
      <c r="A5056"/>
    </row>
    <row r="5057" spans="1:1" x14ac:dyDescent="0.25">
      <c r="A5057"/>
    </row>
    <row r="5058" spans="1:1" x14ac:dyDescent="0.25">
      <c r="A5058"/>
    </row>
    <row r="5059" spans="1:1" x14ac:dyDescent="0.25">
      <c r="A5059"/>
    </row>
    <row r="5060" spans="1:1" x14ac:dyDescent="0.25">
      <c r="A5060"/>
    </row>
    <row r="5061" spans="1:1" x14ac:dyDescent="0.25">
      <c r="A5061"/>
    </row>
    <row r="5062" spans="1:1" x14ac:dyDescent="0.25">
      <c r="A5062"/>
    </row>
    <row r="5063" spans="1:1" x14ac:dyDescent="0.25">
      <c r="A5063"/>
    </row>
    <row r="5064" spans="1:1" x14ac:dyDescent="0.25">
      <c r="A5064"/>
    </row>
    <row r="5065" spans="1:1" x14ac:dyDescent="0.25">
      <c r="A5065"/>
    </row>
    <row r="5066" spans="1:1" x14ac:dyDescent="0.25">
      <c r="A5066"/>
    </row>
    <row r="5067" spans="1:1" x14ac:dyDescent="0.25">
      <c r="A5067"/>
    </row>
    <row r="5068" spans="1:1" x14ac:dyDescent="0.25">
      <c r="A5068"/>
    </row>
    <row r="5069" spans="1:1" x14ac:dyDescent="0.25">
      <c r="A5069"/>
    </row>
    <row r="5070" spans="1:1" x14ac:dyDescent="0.25">
      <c r="A5070"/>
    </row>
    <row r="5071" spans="1:1" x14ac:dyDescent="0.25">
      <c r="A5071"/>
    </row>
    <row r="5072" spans="1:1" x14ac:dyDescent="0.25">
      <c r="A5072"/>
    </row>
    <row r="5073" spans="1:1" x14ac:dyDescent="0.25">
      <c r="A5073"/>
    </row>
    <row r="5074" spans="1:1" x14ac:dyDescent="0.25">
      <c r="A5074"/>
    </row>
    <row r="5075" spans="1:1" x14ac:dyDescent="0.25">
      <c r="A5075"/>
    </row>
    <row r="5076" spans="1:1" x14ac:dyDescent="0.25">
      <c r="A5076"/>
    </row>
    <row r="5077" spans="1:1" x14ac:dyDescent="0.25">
      <c r="A5077"/>
    </row>
    <row r="5078" spans="1:1" x14ac:dyDescent="0.25">
      <c r="A5078"/>
    </row>
    <row r="5079" spans="1:1" x14ac:dyDescent="0.25">
      <c r="A5079"/>
    </row>
    <row r="5080" spans="1:1" x14ac:dyDescent="0.25">
      <c r="A5080"/>
    </row>
    <row r="5081" spans="1:1" x14ac:dyDescent="0.25">
      <c r="A5081"/>
    </row>
    <row r="5082" spans="1:1" x14ac:dyDescent="0.25">
      <c r="A5082"/>
    </row>
    <row r="5083" spans="1:1" x14ac:dyDescent="0.25">
      <c r="A5083"/>
    </row>
    <row r="5084" spans="1:1" x14ac:dyDescent="0.25">
      <c r="A5084"/>
    </row>
    <row r="5085" spans="1:1" x14ac:dyDescent="0.25">
      <c r="A5085"/>
    </row>
    <row r="5086" spans="1:1" x14ac:dyDescent="0.25">
      <c r="A5086"/>
    </row>
    <row r="5087" spans="1:1" x14ac:dyDescent="0.25">
      <c r="A5087"/>
    </row>
    <row r="5088" spans="1:1" x14ac:dyDescent="0.25">
      <c r="A5088"/>
    </row>
    <row r="5089" spans="1:1" x14ac:dyDescent="0.25">
      <c r="A5089"/>
    </row>
    <row r="5090" spans="1:1" x14ac:dyDescent="0.25">
      <c r="A5090"/>
    </row>
    <row r="5091" spans="1:1" x14ac:dyDescent="0.25">
      <c r="A5091"/>
    </row>
    <row r="5092" spans="1:1" x14ac:dyDescent="0.25">
      <c r="A5092"/>
    </row>
    <row r="5093" spans="1:1" x14ac:dyDescent="0.25">
      <c r="A5093"/>
    </row>
    <row r="5094" spans="1:1" x14ac:dyDescent="0.25">
      <c r="A5094"/>
    </row>
    <row r="5095" spans="1:1" x14ac:dyDescent="0.25">
      <c r="A5095"/>
    </row>
    <row r="5096" spans="1:1" x14ac:dyDescent="0.25">
      <c r="A5096"/>
    </row>
    <row r="5097" spans="1:1" x14ac:dyDescent="0.25">
      <c r="A5097"/>
    </row>
    <row r="5098" spans="1:1" x14ac:dyDescent="0.25">
      <c r="A5098"/>
    </row>
    <row r="5099" spans="1:1" x14ac:dyDescent="0.25">
      <c r="A5099"/>
    </row>
    <row r="5100" spans="1:1" x14ac:dyDescent="0.25">
      <c r="A5100"/>
    </row>
    <row r="5101" spans="1:1" x14ac:dyDescent="0.25">
      <c r="A5101"/>
    </row>
    <row r="5102" spans="1:1" x14ac:dyDescent="0.25">
      <c r="A5102"/>
    </row>
    <row r="5103" spans="1:1" x14ac:dyDescent="0.25">
      <c r="A5103"/>
    </row>
    <row r="5104" spans="1:1" x14ac:dyDescent="0.25">
      <c r="A5104"/>
    </row>
    <row r="5105" spans="1:1" x14ac:dyDescent="0.25">
      <c r="A5105"/>
    </row>
    <row r="5106" spans="1:1" x14ac:dyDescent="0.25">
      <c r="A5106"/>
    </row>
    <row r="5107" spans="1:1" x14ac:dyDescent="0.25">
      <c r="A5107"/>
    </row>
    <row r="5108" spans="1:1" x14ac:dyDescent="0.25">
      <c r="A5108"/>
    </row>
    <row r="5109" spans="1:1" x14ac:dyDescent="0.25">
      <c r="A5109"/>
    </row>
    <row r="5110" spans="1:1" x14ac:dyDescent="0.25">
      <c r="A5110"/>
    </row>
    <row r="5111" spans="1:1" x14ac:dyDescent="0.25">
      <c r="A5111"/>
    </row>
    <row r="5112" spans="1:1" x14ac:dyDescent="0.25">
      <c r="A5112"/>
    </row>
    <row r="5113" spans="1:1" x14ac:dyDescent="0.25">
      <c r="A5113"/>
    </row>
    <row r="5114" spans="1:1" x14ac:dyDescent="0.25">
      <c r="A5114"/>
    </row>
    <row r="5115" spans="1:1" x14ac:dyDescent="0.25">
      <c r="A5115"/>
    </row>
    <row r="5116" spans="1:1" x14ac:dyDescent="0.25">
      <c r="A5116"/>
    </row>
    <row r="5117" spans="1:1" x14ac:dyDescent="0.25">
      <c r="A5117"/>
    </row>
    <row r="5118" spans="1:1" x14ac:dyDescent="0.25">
      <c r="A5118"/>
    </row>
    <row r="5119" spans="1:1" x14ac:dyDescent="0.25">
      <c r="A5119"/>
    </row>
    <row r="5120" spans="1:1" x14ac:dyDescent="0.25">
      <c r="A5120"/>
    </row>
    <row r="5121" spans="1:1" x14ac:dyDescent="0.25">
      <c r="A5121"/>
    </row>
    <row r="5122" spans="1:1" x14ac:dyDescent="0.25">
      <c r="A5122"/>
    </row>
    <row r="5123" spans="1:1" x14ac:dyDescent="0.25">
      <c r="A5123"/>
    </row>
    <row r="5124" spans="1:1" x14ac:dyDescent="0.25">
      <c r="A5124"/>
    </row>
    <row r="5125" spans="1:1" x14ac:dyDescent="0.25">
      <c r="A5125"/>
    </row>
    <row r="5126" spans="1:1" x14ac:dyDescent="0.25">
      <c r="A5126"/>
    </row>
    <row r="5127" spans="1:1" x14ac:dyDescent="0.25">
      <c r="A5127"/>
    </row>
    <row r="5128" spans="1:1" x14ac:dyDescent="0.25">
      <c r="A5128"/>
    </row>
    <row r="5129" spans="1:1" x14ac:dyDescent="0.25">
      <c r="A5129"/>
    </row>
    <row r="5130" spans="1:1" x14ac:dyDescent="0.25">
      <c r="A5130"/>
    </row>
    <row r="5131" spans="1:1" x14ac:dyDescent="0.25">
      <c r="A5131"/>
    </row>
    <row r="5132" spans="1:1" x14ac:dyDescent="0.25">
      <c r="A5132"/>
    </row>
    <row r="5133" spans="1:1" x14ac:dyDescent="0.25">
      <c r="A5133"/>
    </row>
    <row r="5134" spans="1:1" x14ac:dyDescent="0.25">
      <c r="A5134"/>
    </row>
    <row r="5135" spans="1:1" x14ac:dyDescent="0.25">
      <c r="A5135"/>
    </row>
    <row r="5136" spans="1:1" x14ac:dyDescent="0.25">
      <c r="A5136"/>
    </row>
    <row r="5137" spans="1:1" x14ac:dyDescent="0.25">
      <c r="A5137"/>
    </row>
    <row r="5138" spans="1:1" x14ac:dyDescent="0.25">
      <c r="A5138"/>
    </row>
    <row r="5139" spans="1:1" x14ac:dyDescent="0.25">
      <c r="A5139"/>
    </row>
    <row r="5140" spans="1:1" x14ac:dyDescent="0.25">
      <c r="A5140"/>
    </row>
    <row r="5141" spans="1:1" x14ac:dyDescent="0.25">
      <c r="A5141"/>
    </row>
    <row r="5142" spans="1:1" x14ac:dyDescent="0.25">
      <c r="A5142"/>
    </row>
    <row r="5143" spans="1:1" x14ac:dyDescent="0.25">
      <c r="A5143"/>
    </row>
    <row r="5144" spans="1:1" x14ac:dyDescent="0.25">
      <c r="A5144"/>
    </row>
    <row r="5145" spans="1:1" x14ac:dyDescent="0.25">
      <c r="A5145"/>
    </row>
    <row r="5146" spans="1:1" x14ac:dyDescent="0.25">
      <c r="A5146"/>
    </row>
    <row r="5147" spans="1:1" x14ac:dyDescent="0.25">
      <c r="A5147"/>
    </row>
    <row r="5148" spans="1:1" x14ac:dyDescent="0.25">
      <c r="A5148"/>
    </row>
    <row r="5149" spans="1:1" x14ac:dyDescent="0.25">
      <c r="A5149"/>
    </row>
    <row r="5150" spans="1:1" x14ac:dyDescent="0.25">
      <c r="A5150"/>
    </row>
    <row r="5151" spans="1:1" x14ac:dyDescent="0.25">
      <c r="A5151"/>
    </row>
    <row r="5152" spans="1:1" x14ac:dyDescent="0.25">
      <c r="A5152"/>
    </row>
    <row r="5153" spans="1:1" x14ac:dyDescent="0.25">
      <c r="A5153"/>
    </row>
    <row r="5154" spans="1:1" x14ac:dyDescent="0.25">
      <c r="A5154"/>
    </row>
    <row r="5155" spans="1:1" x14ac:dyDescent="0.25">
      <c r="A5155"/>
    </row>
    <row r="5156" spans="1:1" x14ac:dyDescent="0.25">
      <c r="A5156"/>
    </row>
    <row r="5157" spans="1:1" x14ac:dyDescent="0.25">
      <c r="A5157"/>
    </row>
    <row r="5158" spans="1:1" x14ac:dyDescent="0.25">
      <c r="A5158"/>
    </row>
    <row r="5159" spans="1:1" x14ac:dyDescent="0.25">
      <c r="A5159"/>
    </row>
    <row r="5160" spans="1:1" x14ac:dyDescent="0.25">
      <c r="A5160"/>
    </row>
    <row r="5161" spans="1:1" x14ac:dyDescent="0.25">
      <c r="A5161"/>
    </row>
    <row r="5162" spans="1:1" x14ac:dyDescent="0.25">
      <c r="A5162"/>
    </row>
    <row r="5163" spans="1:1" x14ac:dyDescent="0.25">
      <c r="A5163"/>
    </row>
    <row r="5164" spans="1:1" x14ac:dyDescent="0.25">
      <c r="A5164"/>
    </row>
    <row r="5165" spans="1:1" x14ac:dyDescent="0.25">
      <c r="A5165"/>
    </row>
    <row r="5166" spans="1:1" x14ac:dyDescent="0.25">
      <c r="A5166"/>
    </row>
    <row r="5167" spans="1:1" x14ac:dyDescent="0.25">
      <c r="A5167"/>
    </row>
    <row r="5168" spans="1:1" x14ac:dyDescent="0.25">
      <c r="A5168"/>
    </row>
    <row r="5169" spans="1:1" x14ac:dyDescent="0.25">
      <c r="A5169"/>
    </row>
    <row r="5170" spans="1:1" x14ac:dyDescent="0.25">
      <c r="A5170"/>
    </row>
    <row r="5171" spans="1:1" x14ac:dyDescent="0.25">
      <c r="A5171"/>
    </row>
    <row r="5172" spans="1:1" x14ac:dyDescent="0.25">
      <c r="A5172"/>
    </row>
    <row r="5173" spans="1:1" x14ac:dyDescent="0.25">
      <c r="A5173"/>
    </row>
    <row r="5174" spans="1:1" x14ac:dyDescent="0.25">
      <c r="A5174"/>
    </row>
    <row r="5175" spans="1:1" x14ac:dyDescent="0.25">
      <c r="A5175"/>
    </row>
    <row r="5176" spans="1:1" x14ac:dyDescent="0.25">
      <c r="A5176"/>
    </row>
    <row r="5177" spans="1:1" x14ac:dyDescent="0.25">
      <c r="A5177"/>
    </row>
    <row r="5178" spans="1:1" x14ac:dyDescent="0.25">
      <c r="A5178"/>
    </row>
    <row r="5179" spans="1:1" x14ac:dyDescent="0.25">
      <c r="A5179"/>
    </row>
    <row r="5180" spans="1:1" x14ac:dyDescent="0.25">
      <c r="A5180"/>
    </row>
    <row r="5181" spans="1:1" x14ac:dyDescent="0.25">
      <c r="A5181"/>
    </row>
    <row r="5182" spans="1:1" x14ac:dyDescent="0.25">
      <c r="A5182"/>
    </row>
    <row r="5183" spans="1:1" x14ac:dyDescent="0.25">
      <c r="A5183"/>
    </row>
    <row r="5184" spans="1:1" x14ac:dyDescent="0.25">
      <c r="A5184"/>
    </row>
    <row r="5185" spans="1:1" x14ac:dyDescent="0.25">
      <c r="A5185"/>
    </row>
    <row r="5186" spans="1:1" x14ac:dyDescent="0.25">
      <c r="A5186"/>
    </row>
    <row r="5187" spans="1:1" x14ac:dyDescent="0.25">
      <c r="A5187"/>
    </row>
    <row r="5188" spans="1:1" x14ac:dyDescent="0.25">
      <c r="A5188"/>
    </row>
    <row r="5189" spans="1:1" x14ac:dyDescent="0.25">
      <c r="A5189"/>
    </row>
    <row r="5190" spans="1:1" x14ac:dyDescent="0.25">
      <c r="A5190"/>
    </row>
    <row r="5191" spans="1:1" x14ac:dyDescent="0.25">
      <c r="A5191"/>
    </row>
    <row r="5192" spans="1:1" x14ac:dyDescent="0.25">
      <c r="A5192"/>
    </row>
    <row r="5193" spans="1:1" x14ac:dyDescent="0.25">
      <c r="A5193"/>
    </row>
    <row r="5194" spans="1:1" x14ac:dyDescent="0.25">
      <c r="A5194"/>
    </row>
    <row r="5195" spans="1:1" x14ac:dyDescent="0.25">
      <c r="A5195"/>
    </row>
    <row r="5196" spans="1:1" x14ac:dyDescent="0.25">
      <c r="A5196"/>
    </row>
    <row r="5197" spans="1:1" x14ac:dyDescent="0.25">
      <c r="A5197"/>
    </row>
    <row r="5198" spans="1:1" x14ac:dyDescent="0.25">
      <c r="A5198"/>
    </row>
    <row r="5199" spans="1:1" x14ac:dyDescent="0.25">
      <c r="A5199"/>
    </row>
    <row r="5200" spans="1:1" x14ac:dyDescent="0.25">
      <c r="A5200"/>
    </row>
    <row r="5201" spans="1:1" x14ac:dyDescent="0.25">
      <c r="A5201"/>
    </row>
    <row r="5202" spans="1:1" x14ac:dyDescent="0.25">
      <c r="A5202"/>
    </row>
    <row r="5203" spans="1:1" x14ac:dyDescent="0.25">
      <c r="A5203"/>
    </row>
    <row r="5204" spans="1:1" x14ac:dyDescent="0.25">
      <c r="A5204"/>
    </row>
    <row r="5205" spans="1:1" x14ac:dyDescent="0.25">
      <c r="A5205"/>
    </row>
    <row r="5206" spans="1:1" x14ac:dyDescent="0.25">
      <c r="A5206"/>
    </row>
    <row r="5207" spans="1:1" x14ac:dyDescent="0.25">
      <c r="A5207"/>
    </row>
    <row r="5208" spans="1:1" x14ac:dyDescent="0.25">
      <c r="A5208"/>
    </row>
    <row r="5209" spans="1:1" x14ac:dyDescent="0.25">
      <c r="A5209"/>
    </row>
    <row r="5210" spans="1:1" x14ac:dyDescent="0.25">
      <c r="A5210"/>
    </row>
    <row r="5211" spans="1:1" x14ac:dyDescent="0.25">
      <c r="A5211"/>
    </row>
    <row r="5212" spans="1:1" x14ac:dyDescent="0.25">
      <c r="A5212"/>
    </row>
    <row r="5213" spans="1:1" x14ac:dyDescent="0.25">
      <c r="A5213"/>
    </row>
    <row r="5214" spans="1:1" x14ac:dyDescent="0.25">
      <c r="A5214"/>
    </row>
    <row r="5215" spans="1:1" x14ac:dyDescent="0.25">
      <c r="A5215"/>
    </row>
    <row r="5216" spans="1:1" x14ac:dyDescent="0.25">
      <c r="A5216"/>
    </row>
    <row r="5217" spans="1:1" x14ac:dyDescent="0.25">
      <c r="A5217"/>
    </row>
    <row r="5218" spans="1:1" x14ac:dyDescent="0.25">
      <c r="A5218"/>
    </row>
    <row r="5219" spans="1:1" x14ac:dyDescent="0.25">
      <c r="A5219"/>
    </row>
    <row r="5220" spans="1:1" x14ac:dyDescent="0.25">
      <c r="A5220"/>
    </row>
    <row r="5221" spans="1:1" x14ac:dyDescent="0.25">
      <c r="A5221"/>
    </row>
    <row r="5222" spans="1:1" x14ac:dyDescent="0.25">
      <c r="A5222"/>
    </row>
    <row r="5223" spans="1:1" x14ac:dyDescent="0.25">
      <c r="A5223"/>
    </row>
    <row r="5224" spans="1:1" x14ac:dyDescent="0.25">
      <c r="A5224"/>
    </row>
    <row r="5225" spans="1:1" x14ac:dyDescent="0.25">
      <c r="A5225"/>
    </row>
    <row r="5226" spans="1:1" x14ac:dyDescent="0.25">
      <c r="A5226"/>
    </row>
    <row r="5227" spans="1:1" x14ac:dyDescent="0.25">
      <c r="A5227"/>
    </row>
    <row r="5228" spans="1:1" x14ac:dyDescent="0.25">
      <c r="A5228"/>
    </row>
    <row r="5229" spans="1:1" x14ac:dyDescent="0.25">
      <c r="A5229"/>
    </row>
    <row r="5230" spans="1:1" x14ac:dyDescent="0.25">
      <c r="A5230"/>
    </row>
    <row r="5231" spans="1:1" x14ac:dyDescent="0.25">
      <c r="A5231"/>
    </row>
    <row r="5232" spans="1:1" x14ac:dyDescent="0.25">
      <c r="A5232"/>
    </row>
    <row r="5233" spans="1:1" x14ac:dyDescent="0.25">
      <c r="A5233"/>
    </row>
    <row r="5234" spans="1:1" x14ac:dyDescent="0.25">
      <c r="A5234"/>
    </row>
    <row r="5235" spans="1:1" x14ac:dyDescent="0.25">
      <c r="A5235"/>
    </row>
    <row r="5236" spans="1:1" x14ac:dyDescent="0.25">
      <c r="A5236"/>
    </row>
    <row r="5237" spans="1:1" x14ac:dyDescent="0.25">
      <c r="A5237"/>
    </row>
    <row r="5238" spans="1:1" x14ac:dyDescent="0.25">
      <c r="A5238"/>
    </row>
    <row r="5239" spans="1:1" x14ac:dyDescent="0.25">
      <c r="A5239"/>
    </row>
    <row r="5240" spans="1:1" x14ac:dyDescent="0.25">
      <c r="A5240"/>
    </row>
    <row r="5241" spans="1:1" x14ac:dyDescent="0.25">
      <c r="A5241"/>
    </row>
    <row r="5242" spans="1:1" x14ac:dyDescent="0.25">
      <c r="A5242"/>
    </row>
    <row r="5243" spans="1:1" x14ac:dyDescent="0.25">
      <c r="A5243"/>
    </row>
    <row r="5244" spans="1:1" x14ac:dyDescent="0.25">
      <c r="A5244"/>
    </row>
    <row r="5245" spans="1:1" x14ac:dyDescent="0.25">
      <c r="A5245"/>
    </row>
    <row r="5246" spans="1:1" x14ac:dyDescent="0.25">
      <c r="A5246"/>
    </row>
    <row r="5247" spans="1:1" x14ac:dyDescent="0.25">
      <c r="A5247"/>
    </row>
    <row r="5248" spans="1:1" x14ac:dyDescent="0.25">
      <c r="A5248"/>
    </row>
    <row r="5249" spans="1:1" x14ac:dyDescent="0.25">
      <c r="A5249"/>
    </row>
    <row r="5250" spans="1:1" x14ac:dyDescent="0.25">
      <c r="A5250"/>
    </row>
    <row r="5251" spans="1:1" x14ac:dyDescent="0.25">
      <c r="A5251"/>
    </row>
    <row r="5252" spans="1:1" x14ac:dyDescent="0.25">
      <c r="A5252"/>
    </row>
    <row r="5253" spans="1:1" x14ac:dyDescent="0.25">
      <c r="A5253"/>
    </row>
    <row r="5254" spans="1:1" x14ac:dyDescent="0.25">
      <c r="A5254"/>
    </row>
    <row r="5255" spans="1:1" x14ac:dyDescent="0.25">
      <c r="A5255"/>
    </row>
    <row r="5256" spans="1:1" x14ac:dyDescent="0.25">
      <c r="A5256"/>
    </row>
    <row r="5257" spans="1:1" x14ac:dyDescent="0.25">
      <c r="A5257"/>
    </row>
    <row r="5258" spans="1:1" x14ac:dyDescent="0.25">
      <c r="A5258"/>
    </row>
    <row r="5259" spans="1:1" x14ac:dyDescent="0.25">
      <c r="A5259"/>
    </row>
    <row r="5260" spans="1:1" x14ac:dyDescent="0.25">
      <c r="A5260"/>
    </row>
    <row r="5261" spans="1:1" x14ac:dyDescent="0.25">
      <c r="A5261"/>
    </row>
    <row r="5262" spans="1:1" x14ac:dyDescent="0.25">
      <c r="A5262"/>
    </row>
    <row r="5263" spans="1:1" x14ac:dyDescent="0.25">
      <c r="A5263"/>
    </row>
    <row r="5264" spans="1:1" x14ac:dyDescent="0.25">
      <c r="A5264"/>
    </row>
    <row r="5265" spans="1:1" x14ac:dyDescent="0.25">
      <c r="A5265"/>
    </row>
    <row r="5266" spans="1:1" x14ac:dyDescent="0.25">
      <c r="A5266"/>
    </row>
    <row r="5267" spans="1:1" x14ac:dyDescent="0.25">
      <c r="A5267"/>
    </row>
    <row r="5268" spans="1:1" x14ac:dyDescent="0.25">
      <c r="A5268"/>
    </row>
    <row r="5269" spans="1:1" x14ac:dyDescent="0.25">
      <c r="A5269"/>
    </row>
    <row r="5270" spans="1:1" x14ac:dyDescent="0.25">
      <c r="A5270"/>
    </row>
    <row r="5271" spans="1:1" x14ac:dyDescent="0.25">
      <c r="A5271"/>
    </row>
    <row r="5272" spans="1:1" x14ac:dyDescent="0.25">
      <c r="A5272"/>
    </row>
    <row r="5273" spans="1:1" x14ac:dyDescent="0.25">
      <c r="A5273"/>
    </row>
    <row r="5274" spans="1:1" x14ac:dyDescent="0.25">
      <c r="A5274"/>
    </row>
    <row r="5275" spans="1:1" x14ac:dyDescent="0.25">
      <c r="A5275"/>
    </row>
    <row r="5276" spans="1:1" x14ac:dyDescent="0.25">
      <c r="A5276"/>
    </row>
    <row r="5277" spans="1:1" x14ac:dyDescent="0.25">
      <c r="A5277"/>
    </row>
    <row r="5278" spans="1:1" x14ac:dyDescent="0.25">
      <c r="A5278"/>
    </row>
    <row r="5279" spans="1:1" x14ac:dyDescent="0.25">
      <c r="A5279"/>
    </row>
    <row r="5280" spans="1:1" x14ac:dyDescent="0.25">
      <c r="A5280"/>
    </row>
    <row r="5281" spans="1:1" x14ac:dyDescent="0.25">
      <c r="A5281"/>
    </row>
    <row r="5282" spans="1:1" x14ac:dyDescent="0.25">
      <c r="A5282"/>
    </row>
    <row r="5283" spans="1:1" x14ac:dyDescent="0.25">
      <c r="A5283"/>
    </row>
    <row r="5284" spans="1:1" x14ac:dyDescent="0.25">
      <c r="A5284"/>
    </row>
    <row r="5285" spans="1:1" x14ac:dyDescent="0.25">
      <c r="A5285"/>
    </row>
    <row r="5286" spans="1:1" x14ac:dyDescent="0.25">
      <c r="A5286"/>
    </row>
    <row r="5287" spans="1:1" x14ac:dyDescent="0.25">
      <c r="A5287"/>
    </row>
    <row r="5288" spans="1:1" x14ac:dyDescent="0.25">
      <c r="A5288"/>
    </row>
    <row r="5289" spans="1:1" x14ac:dyDescent="0.25">
      <c r="A5289"/>
    </row>
    <row r="5290" spans="1:1" x14ac:dyDescent="0.25">
      <c r="A5290"/>
    </row>
    <row r="5291" spans="1:1" x14ac:dyDescent="0.25">
      <c r="A5291"/>
    </row>
    <row r="5292" spans="1:1" x14ac:dyDescent="0.25">
      <c r="A5292"/>
    </row>
    <row r="5293" spans="1:1" x14ac:dyDescent="0.25">
      <c r="A5293"/>
    </row>
    <row r="5294" spans="1:1" x14ac:dyDescent="0.25">
      <c r="A5294"/>
    </row>
    <row r="5295" spans="1:1" x14ac:dyDescent="0.25">
      <c r="A5295"/>
    </row>
    <row r="5296" spans="1:1" x14ac:dyDescent="0.25">
      <c r="A5296"/>
    </row>
    <row r="5297" spans="1:1" x14ac:dyDescent="0.25">
      <c r="A5297"/>
    </row>
    <row r="5298" spans="1:1" x14ac:dyDescent="0.25">
      <c r="A5298"/>
    </row>
    <row r="5299" spans="1:1" x14ac:dyDescent="0.25">
      <c r="A5299"/>
    </row>
    <row r="5300" spans="1:1" x14ac:dyDescent="0.25">
      <c r="A5300"/>
    </row>
    <row r="5301" spans="1:1" x14ac:dyDescent="0.25">
      <c r="A5301"/>
    </row>
    <row r="5302" spans="1:1" x14ac:dyDescent="0.25">
      <c r="A5302"/>
    </row>
    <row r="5303" spans="1:1" x14ac:dyDescent="0.25">
      <c r="A5303"/>
    </row>
    <row r="5304" spans="1:1" x14ac:dyDescent="0.25">
      <c r="A5304"/>
    </row>
    <row r="5305" spans="1:1" x14ac:dyDescent="0.25">
      <c r="A5305"/>
    </row>
    <row r="5306" spans="1:1" x14ac:dyDescent="0.25">
      <c r="A5306"/>
    </row>
    <row r="5307" spans="1:1" x14ac:dyDescent="0.25">
      <c r="A5307"/>
    </row>
    <row r="5308" spans="1:1" x14ac:dyDescent="0.25">
      <c r="A5308"/>
    </row>
    <row r="5309" spans="1:1" x14ac:dyDescent="0.25">
      <c r="A5309"/>
    </row>
    <row r="5310" spans="1:1" x14ac:dyDescent="0.25">
      <c r="A5310"/>
    </row>
    <row r="5311" spans="1:1" x14ac:dyDescent="0.25">
      <c r="A5311"/>
    </row>
    <row r="5312" spans="1:1" x14ac:dyDescent="0.25">
      <c r="A5312"/>
    </row>
    <row r="5313" spans="1:1" x14ac:dyDescent="0.25">
      <c r="A5313"/>
    </row>
    <row r="5314" spans="1:1" x14ac:dyDescent="0.25">
      <c r="A5314"/>
    </row>
    <row r="5315" spans="1:1" x14ac:dyDescent="0.25">
      <c r="A5315"/>
    </row>
    <row r="5316" spans="1:1" x14ac:dyDescent="0.25">
      <c r="A5316"/>
    </row>
    <row r="5317" spans="1:1" x14ac:dyDescent="0.25">
      <c r="A5317"/>
    </row>
    <row r="5318" spans="1:1" x14ac:dyDescent="0.25">
      <c r="A5318"/>
    </row>
    <row r="5319" spans="1:1" x14ac:dyDescent="0.25">
      <c r="A5319"/>
    </row>
    <row r="5320" spans="1:1" x14ac:dyDescent="0.25">
      <c r="A5320"/>
    </row>
    <row r="5321" spans="1:1" x14ac:dyDescent="0.25">
      <c r="A5321"/>
    </row>
    <row r="5322" spans="1:1" x14ac:dyDescent="0.25">
      <c r="A5322"/>
    </row>
    <row r="5323" spans="1:1" x14ac:dyDescent="0.25">
      <c r="A5323"/>
    </row>
    <row r="5324" spans="1:1" x14ac:dyDescent="0.25">
      <c r="A5324"/>
    </row>
    <row r="5325" spans="1:1" x14ac:dyDescent="0.25">
      <c r="A5325"/>
    </row>
    <row r="5326" spans="1:1" x14ac:dyDescent="0.25">
      <c r="A5326"/>
    </row>
    <row r="5327" spans="1:1" x14ac:dyDescent="0.25">
      <c r="A5327"/>
    </row>
    <row r="5328" spans="1:1" x14ac:dyDescent="0.25">
      <c r="A5328"/>
    </row>
    <row r="5329" spans="1:1" x14ac:dyDescent="0.25">
      <c r="A5329"/>
    </row>
    <row r="5330" spans="1:1" x14ac:dyDescent="0.25">
      <c r="A5330"/>
    </row>
    <row r="5331" spans="1:1" x14ac:dyDescent="0.25">
      <c r="A5331"/>
    </row>
    <row r="5332" spans="1:1" x14ac:dyDescent="0.25">
      <c r="A5332"/>
    </row>
    <row r="5333" spans="1:1" x14ac:dyDescent="0.25">
      <c r="A5333"/>
    </row>
    <row r="5334" spans="1:1" x14ac:dyDescent="0.25">
      <c r="A5334"/>
    </row>
    <row r="5335" spans="1:1" x14ac:dyDescent="0.25">
      <c r="A5335"/>
    </row>
    <row r="5336" spans="1:1" x14ac:dyDescent="0.25">
      <c r="A5336"/>
    </row>
    <row r="5337" spans="1:1" x14ac:dyDescent="0.25">
      <c r="A5337"/>
    </row>
    <row r="5338" spans="1:1" x14ac:dyDescent="0.25">
      <c r="A5338"/>
    </row>
    <row r="5339" spans="1:1" x14ac:dyDescent="0.25">
      <c r="A5339"/>
    </row>
    <row r="5340" spans="1:1" x14ac:dyDescent="0.25">
      <c r="A5340"/>
    </row>
    <row r="5341" spans="1:1" x14ac:dyDescent="0.25">
      <c r="A5341"/>
    </row>
    <row r="5342" spans="1:1" x14ac:dyDescent="0.25">
      <c r="A5342"/>
    </row>
    <row r="5343" spans="1:1" x14ac:dyDescent="0.25">
      <c r="A5343"/>
    </row>
    <row r="5344" spans="1:1" x14ac:dyDescent="0.25">
      <c r="A5344"/>
    </row>
    <row r="5345" spans="1:1" x14ac:dyDescent="0.25">
      <c r="A5345"/>
    </row>
    <row r="5346" spans="1:1" x14ac:dyDescent="0.25">
      <c r="A5346"/>
    </row>
    <row r="5347" spans="1:1" x14ac:dyDescent="0.25">
      <c r="A5347"/>
    </row>
    <row r="5348" spans="1:1" x14ac:dyDescent="0.25">
      <c r="A5348"/>
    </row>
    <row r="5349" spans="1:1" x14ac:dyDescent="0.25">
      <c r="A5349"/>
    </row>
    <row r="5350" spans="1:1" x14ac:dyDescent="0.25">
      <c r="A5350"/>
    </row>
    <row r="5351" spans="1:1" x14ac:dyDescent="0.25">
      <c r="A5351"/>
    </row>
    <row r="5352" spans="1:1" x14ac:dyDescent="0.25">
      <c r="A5352"/>
    </row>
    <row r="5353" spans="1:1" x14ac:dyDescent="0.25">
      <c r="A5353"/>
    </row>
    <row r="5354" spans="1:1" x14ac:dyDescent="0.25">
      <c r="A5354"/>
    </row>
    <row r="5355" spans="1:1" x14ac:dyDescent="0.25">
      <c r="A5355"/>
    </row>
    <row r="5356" spans="1:1" x14ac:dyDescent="0.25">
      <c r="A5356"/>
    </row>
    <row r="5357" spans="1:1" x14ac:dyDescent="0.25">
      <c r="A5357"/>
    </row>
    <row r="5358" spans="1:1" x14ac:dyDescent="0.25">
      <c r="A5358"/>
    </row>
    <row r="5359" spans="1:1" x14ac:dyDescent="0.25">
      <c r="A5359"/>
    </row>
    <row r="5360" spans="1:1" x14ac:dyDescent="0.25">
      <c r="A5360"/>
    </row>
    <row r="5361" spans="1:1" x14ac:dyDescent="0.25">
      <c r="A5361"/>
    </row>
    <row r="5362" spans="1:1" x14ac:dyDescent="0.25">
      <c r="A5362"/>
    </row>
    <row r="5363" spans="1:1" x14ac:dyDescent="0.25">
      <c r="A5363"/>
    </row>
    <row r="5364" spans="1:1" x14ac:dyDescent="0.25">
      <c r="A5364"/>
    </row>
    <row r="5365" spans="1:1" x14ac:dyDescent="0.25">
      <c r="A5365"/>
    </row>
    <row r="5366" spans="1:1" x14ac:dyDescent="0.25">
      <c r="A5366"/>
    </row>
    <row r="5367" spans="1:1" x14ac:dyDescent="0.25">
      <c r="A5367"/>
    </row>
    <row r="5368" spans="1:1" x14ac:dyDescent="0.25">
      <c r="A5368"/>
    </row>
    <row r="5369" spans="1:1" x14ac:dyDescent="0.25">
      <c r="A5369"/>
    </row>
    <row r="5370" spans="1:1" x14ac:dyDescent="0.25">
      <c r="A5370"/>
    </row>
    <row r="5371" spans="1:1" x14ac:dyDescent="0.25">
      <c r="A5371"/>
    </row>
    <row r="5372" spans="1:1" x14ac:dyDescent="0.25">
      <c r="A5372"/>
    </row>
    <row r="5373" spans="1:1" x14ac:dyDescent="0.25">
      <c r="A5373"/>
    </row>
    <row r="5374" spans="1:1" x14ac:dyDescent="0.25">
      <c r="A5374"/>
    </row>
    <row r="5375" spans="1:1" x14ac:dyDescent="0.25">
      <c r="A5375"/>
    </row>
    <row r="5376" spans="1:1" x14ac:dyDescent="0.25">
      <c r="A5376"/>
    </row>
    <row r="5377" spans="1:1" x14ac:dyDescent="0.25">
      <c r="A5377"/>
    </row>
    <row r="5378" spans="1:1" x14ac:dyDescent="0.25">
      <c r="A5378"/>
    </row>
    <row r="5379" spans="1:1" x14ac:dyDescent="0.25">
      <c r="A5379"/>
    </row>
    <row r="5380" spans="1:1" x14ac:dyDescent="0.25">
      <c r="A5380"/>
    </row>
    <row r="5381" spans="1:1" x14ac:dyDescent="0.25">
      <c r="A5381"/>
    </row>
    <row r="5382" spans="1:1" x14ac:dyDescent="0.25">
      <c r="A5382"/>
    </row>
    <row r="5383" spans="1:1" x14ac:dyDescent="0.25">
      <c r="A5383"/>
    </row>
    <row r="5384" spans="1:1" x14ac:dyDescent="0.25">
      <c r="A5384"/>
    </row>
    <row r="5385" spans="1:1" x14ac:dyDescent="0.25">
      <c r="A5385"/>
    </row>
    <row r="5386" spans="1:1" x14ac:dyDescent="0.25">
      <c r="A5386"/>
    </row>
    <row r="5387" spans="1:1" x14ac:dyDescent="0.25">
      <c r="A5387"/>
    </row>
    <row r="5388" spans="1:1" x14ac:dyDescent="0.25">
      <c r="A5388"/>
    </row>
    <row r="5389" spans="1:1" x14ac:dyDescent="0.25">
      <c r="A5389"/>
    </row>
    <row r="5390" spans="1:1" x14ac:dyDescent="0.25">
      <c r="A5390"/>
    </row>
    <row r="5391" spans="1:1" x14ac:dyDescent="0.25">
      <c r="A5391"/>
    </row>
    <row r="5392" spans="1:1" x14ac:dyDescent="0.25">
      <c r="A5392"/>
    </row>
    <row r="5393" spans="1:1" x14ac:dyDescent="0.25">
      <c r="A5393"/>
    </row>
    <row r="5394" spans="1:1" x14ac:dyDescent="0.25">
      <c r="A5394"/>
    </row>
    <row r="5395" spans="1:1" x14ac:dyDescent="0.25">
      <c r="A5395"/>
    </row>
    <row r="5396" spans="1:1" x14ac:dyDescent="0.25">
      <c r="A5396"/>
    </row>
    <row r="5397" spans="1:1" x14ac:dyDescent="0.25">
      <c r="A5397"/>
    </row>
    <row r="5398" spans="1:1" x14ac:dyDescent="0.25">
      <c r="A5398"/>
    </row>
    <row r="5399" spans="1:1" x14ac:dyDescent="0.25">
      <c r="A5399"/>
    </row>
    <row r="5400" spans="1:1" x14ac:dyDescent="0.25">
      <c r="A5400"/>
    </row>
    <row r="5401" spans="1:1" x14ac:dyDescent="0.25">
      <c r="A5401"/>
    </row>
    <row r="5402" spans="1:1" x14ac:dyDescent="0.25">
      <c r="A5402"/>
    </row>
    <row r="5403" spans="1:1" x14ac:dyDescent="0.25">
      <c r="A5403"/>
    </row>
    <row r="5404" spans="1:1" x14ac:dyDescent="0.25">
      <c r="A5404"/>
    </row>
    <row r="5405" spans="1:1" x14ac:dyDescent="0.25">
      <c r="A5405"/>
    </row>
    <row r="5406" spans="1:1" x14ac:dyDescent="0.25">
      <c r="A5406"/>
    </row>
    <row r="5407" spans="1:1" x14ac:dyDescent="0.25">
      <c r="A5407"/>
    </row>
    <row r="5408" spans="1:1" x14ac:dyDescent="0.25">
      <c r="A5408"/>
    </row>
    <row r="5409" spans="1:1" x14ac:dyDescent="0.25">
      <c r="A5409"/>
    </row>
    <row r="5410" spans="1:1" x14ac:dyDescent="0.25">
      <c r="A5410"/>
    </row>
    <row r="5411" spans="1:1" x14ac:dyDescent="0.25">
      <c r="A5411"/>
    </row>
    <row r="5412" spans="1:1" x14ac:dyDescent="0.25">
      <c r="A5412"/>
    </row>
    <row r="5413" spans="1:1" x14ac:dyDescent="0.25">
      <c r="A5413"/>
    </row>
    <row r="5414" spans="1:1" x14ac:dyDescent="0.25">
      <c r="A5414"/>
    </row>
    <row r="5415" spans="1:1" x14ac:dyDescent="0.25">
      <c r="A5415"/>
    </row>
    <row r="5416" spans="1:1" x14ac:dyDescent="0.25">
      <c r="A5416"/>
    </row>
    <row r="5417" spans="1:1" x14ac:dyDescent="0.25">
      <c r="A5417"/>
    </row>
    <row r="5418" spans="1:1" x14ac:dyDescent="0.25">
      <c r="A5418"/>
    </row>
    <row r="5419" spans="1:1" x14ac:dyDescent="0.25">
      <c r="A5419"/>
    </row>
    <row r="5420" spans="1:1" x14ac:dyDescent="0.25">
      <c r="A5420"/>
    </row>
    <row r="5421" spans="1:1" x14ac:dyDescent="0.25">
      <c r="A5421"/>
    </row>
    <row r="5422" spans="1:1" x14ac:dyDescent="0.25">
      <c r="A5422"/>
    </row>
    <row r="5423" spans="1:1" x14ac:dyDescent="0.25">
      <c r="A5423"/>
    </row>
    <row r="5424" spans="1:1" x14ac:dyDescent="0.25">
      <c r="A5424"/>
    </row>
    <row r="5425" spans="1:1" x14ac:dyDescent="0.25">
      <c r="A5425"/>
    </row>
    <row r="5426" spans="1:1" x14ac:dyDescent="0.25">
      <c r="A5426"/>
    </row>
    <row r="5427" spans="1:1" x14ac:dyDescent="0.25">
      <c r="A5427"/>
    </row>
    <row r="5428" spans="1:1" x14ac:dyDescent="0.25">
      <c r="A5428"/>
    </row>
    <row r="5429" spans="1:1" x14ac:dyDescent="0.25">
      <c r="A5429"/>
    </row>
    <row r="5430" spans="1:1" x14ac:dyDescent="0.25">
      <c r="A5430"/>
    </row>
    <row r="5431" spans="1:1" x14ac:dyDescent="0.25">
      <c r="A5431"/>
    </row>
    <row r="5432" spans="1:1" x14ac:dyDescent="0.25">
      <c r="A5432"/>
    </row>
    <row r="5433" spans="1:1" x14ac:dyDescent="0.25">
      <c r="A5433"/>
    </row>
    <row r="5434" spans="1:1" x14ac:dyDescent="0.25">
      <c r="A5434"/>
    </row>
    <row r="5435" spans="1:1" x14ac:dyDescent="0.25">
      <c r="A5435"/>
    </row>
    <row r="5436" spans="1:1" x14ac:dyDescent="0.25">
      <c r="A5436"/>
    </row>
    <row r="5437" spans="1:1" x14ac:dyDescent="0.25">
      <c r="A5437"/>
    </row>
    <row r="5438" spans="1:1" x14ac:dyDescent="0.25">
      <c r="A5438"/>
    </row>
    <row r="5439" spans="1:1" x14ac:dyDescent="0.25">
      <c r="A5439"/>
    </row>
    <row r="5440" spans="1:1" x14ac:dyDescent="0.25">
      <c r="A5440"/>
    </row>
    <row r="5441" spans="1:1" x14ac:dyDescent="0.25">
      <c r="A5441"/>
    </row>
    <row r="5442" spans="1:1" x14ac:dyDescent="0.25">
      <c r="A5442"/>
    </row>
    <row r="5443" spans="1:1" x14ac:dyDescent="0.25">
      <c r="A5443"/>
    </row>
    <row r="5444" spans="1:1" x14ac:dyDescent="0.25">
      <c r="A5444"/>
    </row>
    <row r="5445" spans="1:1" x14ac:dyDescent="0.25">
      <c r="A5445"/>
    </row>
    <row r="5446" spans="1:1" x14ac:dyDescent="0.25">
      <c r="A5446"/>
    </row>
    <row r="5447" spans="1:1" x14ac:dyDescent="0.25">
      <c r="A5447"/>
    </row>
    <row r="5448" spans="1:1" x14ac:dyDescent="0.25">
      <c r="A5448"/>
    </row>
    <row r="5449" spans="1:1" x14ac:dyDescent="0.25">
      <c r="A5449"/>
    </row>
    <row r="5450" spans="1:1" x14ac:dyDescent="0.25">
      <c r="A5450"/>
    </row>
    <row r="5451" spans="1:1" x14ac:dyDescent="0.25">
      <c r="A5451"/>
    </row>
    <row r="5452" spans="1:1" x14ac:dyDescent="0.25">
      <c r="A5452"/>
    </row>
    <row r="5453" spans="1:1" x14ac:dyDescent="0.25">
      <c r="A5453"/>
    </row>
    <row r="5454" spans="1:1" x14ac:dyDescent="0.25">
      <c r="A5454"/>
    </row>
    <row r="5455" spans="1:1" x14ac:dyDescent="0.25">
      <c r="A5455"/>
    </row>
    <row r="5456" spans="1:1" x14ac:dyDescent="0.25">
      <c r="A5456"/>
    </row>
    <row r="5457" spans="1:1" x14ac:dyDescent="0.25">
      <c r="A5457"/>
    </row>
    <row r="5458" spans="1:1" x14ac:dyDescent="0.25">
      <c r="A5458"/>
    </row>
    <row r="5459" spans="1:1" x14ac:dyDescent="0.25">
      <c r="A5459"/>
    </row>
    <row r="5460" spans="1:1" x14ac:dyDescent="0.25">
      <c r="A5460"/>
    </row>
    <row r="5461" spans="1:1" x14ac:dyDescent="0.25">
      <c r="A5461"/>
    </row>
    <row r="5462" spans="1:1" x14ac:dyDescent="0.25">
      <c r="A5462"/>
    </row>
    <row r="5463" spans="1:1" x14ac:dyDescent="0.25">
      <c r="A5463"/>
    </row>
    <row r="5464" spans="1:1" x14ac:dyDescent="0.25">
      <c r="A5464"/>
    </row>
    <row r="5465" spans="1:1" x14ac:dyDescent="0.25">
      <c r="A5465"/>
    </row>
    <row r="5466" spans="1:1" x14ac:dyDescent="0.25">
      <c r="A5466"/>
    </row>
    <row r="5467" spans="1:1" x14ac:dyDescent="0.25">
      <c r="A5467"/>
    </row>
    <row r="5468" spans="1:1" x14ac:dyDescent="0.25">
      <c r="A5468"/>
    </row>
    <row r="5469" spans="1:1" x14ac:dyDescent="0.25">
      <c r="A5469"/>
    </row>
    <row r="5470" spans="1:1" x14ac:dyDescent="0.25">
      <c r="A5470"/>
    </row>
    <row r="5471" spans="1:1" x14ac:dyDescent="0.25">
      <c r="A5471"/>
    </row>
    <row r="5472" spans="1:1" x14ac:dyDescent="0.25">
      <c r="A5472"/>
    </row>
    <row r="5473" spans="1:1" x14ac:dyDescent="0.25">
      <c r="A5473"/>
    </row>
    <row r="5474" spans="1:1" x14ac:dyDescent="0.25">
      <c r="A5474"/>
    </row>
    <row r="5475" spans="1:1" x14ac:dyDescent="0.25">
      <c r="A5475"/>
    </row>
    <row r="5476" spans="1:1" x14ac:dyDescent="0.25">
      <c r="A5476"/>
    </row>
    <row r="5477" spans="1:1" x14ac:dyDescent="0.25">
      <c r="A5477"/>
    </row>
    <row r="5478" spans="1:1" x14ac:dyDescent="0.25">
      <c r="A5478"/>
    </row>
    <row r="5479" spans="1:1" x14ac:dyDescent="0.25">
      <c r="A5479"/>
    </row>
    <row r="5480" spans="1:1" x14ac:dyDescent="0.25">
      <c r="A5480"/>
    </row>
    <row r="5481" spans="1:1" x14ac:dyDescent="0.25">
      <c r="A5481"/>
    </row>
    <row r="5482" spans="1:1" x14ac:dyDescent="0.25">
      <c r="A5482"/>
    </row>
    <row r="5483" spans="1:1" x14ac:dyDescent="0.25">
      <c r="A5483"/>
    </row>
    <row r="5484" spans="1:1" x14ac:dyDescent="0.25">
      <c r="A5484"/>
    </row>
    <row r="5485" spans="1:1" x14ac:dyDescent="0.25">
      <c r="A5485"/>
    </row>
    <row r="5486" spans="1:1" x14ac:dyDescent="0.25">
      <c r="A5486"/>
    </row>
    <row r="5487" spans="1:1" x14ac:dyDescent="0.25">
      <c r="A5487"/>
    </row>
    <row r="5488" spans="1:1" x14ac:dyDescent="0.25">
      <c r="A5488"/>
    </row>
    <row r="5489" spans="1:1" x14ac:dyDescent="0.25">
      <c r="A5489"/>
    </row>
    <row r="5490" spans="1:1" x14ac:dyDescent="0.25">
      <c r="A5490"/>
    </row>
    <row r="5491" spans="1:1" x14ac:dyDescent="0.25">
      <c r="A5491"/>
    </row>
    <row r="5492" spans="1:1" x14ac:dyDescent="0.25">
      <c r="A5492"/>
    </row>
    <row r="5493" spans="1:1" x14ac:dyDescent="0.25">
      <c r="A5493"/>
    </row>
    <row r="5494" spans="1:1" x14ac:dyDescent="0.25">
      <c r="A5494"/>
    </row>
    <row r="5495" spans="1:1" x14ac:dyDescent="0.25">
      <c r="A5495"/>
    </row>
    <row r="5496" spans="1:1" x14ac:dyDescent="0.25">
      <c r="A5496"/>
    </row>
    <row r="5497" spans="1:1" x14ac:dyDescent="0.25">
      <c r="A5497"/>
    </row>
    <row r="5498" spans="1:1" x14ac:dyDescent="0.25">
      <c r="A5498"/>
    </row>
    <row r="5499" spans="1:1" x14ac:dyDescent="0.25">
      <c r="A5499"/>
    </row>
    <row r="5500" spans="1:1" x14ac:dyDescent="0.25">
      <c r="A5500"/>
    </row>
    <row r="5501" spans="1:1" x14ac:dyDescent="0.25">
      <c r="A5501"/>
    </row>
    <row r="5502" spans="1:1" x14ac:dyDescent="0.25">
      <c r="A5502"/>
    </row>
    <row r="5503" spans="1:1" x14ac:dyDescent="0.25">
      <c r="A5503"/>
    </row>
    <row r="5504" spans="1:1" x14ac:dyDescent="0.25">
      <c r="A5504"/>
    </row>
    <row r="5505" spans="1:1" x14ac:dyDescent="0.25">
      <c r="A5505"/>
    </row>
    <row r="5506" spans="1:1" x14ac:dyDescent="0.25">
      <c r="A5506"/>
    </row>
    <row r="5507" spans="1:1" x14ac:dyDescent="0.25">
      <c r="A5507"/>
    </row>
    <row r="5508" spans="1:1" x14ac:dyDescent="0.25">
      <c r="A5508"/>
    </row>
    <row r="5509" spans="1:1" x14ac:dyDescent="0.25">
      <c r="A5509"/>
    </row>
    <row r="5510" spans="1:1" x14ac:dyDescent="0.25">
      <c r="A5510"/>
    </row>
    <row r="5511" spans="1:1" x14ac:dyDescent="0.25">
      <c r="A5511"/>
    </row>
    <row r="5512" spans="1:1" x14ac:dyDescent="0.25">
      <c r="A5512"/>
    </row>
    <row r="5513" spans="1:1" x14ac:dyDescent="0.25">
      <c r="A5513"/>
    </row>
    <row r="5514" spans="1:1" x14ac:dyDescent="0.25">
      <c r="A5514"/>
    </row>
    <row r="5515" spans="1:1" x14ac:dyDescent="0.25">
      <c r="A5515"/>
    </row>
    <row r="5516" spans="1:1" x14ac:dyDescent="0.25">
      <c r="A5516"/>
    </row>
    <row r="5517" spans="1:1" x14ac:dyDescent="0.25">
      <c r="A5517"/>
    </row>
    <row r="5518" spans="1:1" x14ac:dyDescent="0.25">
      <c r="A5518"/>
    </row>
    <row r="5519" spans="1:1" x14ac:dyDescent="0.25">
      <c r="A5519"/>
    </row>
    <row r="5520" spans="1:1" x14ac:dyDescent="0.25">
      <c r="A5520"/>
    </row>
    <row r="5521" spans="1:1" x14ac:dyDescent="0.25">
      <c r="A5521"/>
    </row>
    <row r="5522" spans="1:1" x14ac:dyDescent="0.25">
      <c r="A5522"/>
    </row>
    <row r="5523" spans="1:1" x14ac:dyDescent="0.25">
      <c r="A5523"/>
    </row>
    <row r="5524" spans="1:1" x14ac:dyDescent="0.25">
      <c r="A5524"/>
    </row>
    <row r="5525" spans="1:1" x14ac:dyDescent="0.25">
      <c r="A5525"/>
    </row>
    <row r="5526" spans="1:1" x14ac:dyDescent="0.25">
      <c r="A5526"/>
    </row>
    <row r="5527" spans="1:1" x14ac:dyDescent="0.25">
      <c r="A5527"/>
    </row>
    <row r="5528" spans="1:1" x14ac:dyDescent="0.25">
      <c r="A5528"/>
    </row>
    <row r="5529" spans="1:1" x14ac:dyDescent="0.25">
      <c r="A5529"/>
    </row>
    <row r="5530" spans="1:1" x14ac:dyDescent="0.25">
      <c r="A5530"/>
    </row>
    <row r="5531" spans="1:1" x14ac:dyDescent="0.25">
      <c r="A5531"/>
    </row>
    <row r="5532" spans="1:1" x14ac:dyDescent="0.25">
      <c r="A5532"/>
    </row>
    <row r="5533" spans="1:1" x14ac:dyDescent="0.25">
      <c r="A5533"/>
    </row>
    <row r="5534" spans="1:1" x14ac:dyDescent="0.25">
      <c r="A5534"/>
    </row>
    <row r="5535" spans="1:1" x14ac:dyDescent="0.25">
      <c r="A5535"/>
    </row>
    <row r="5536" spans="1:1" x14ac:dyDescent="0.25">
      <c r="A5536"/>
    </row>
    <row r="5537" spans="1:1" x14ac:dyDescent="0.25">
      <c r="A5537"/>
    </row>
    <row r="5538" spans="1:1" x14ac:dyDescent="0.25">
      <c r="A5538"/>
    </row>
    <row r="5539" spans="1:1" x14ac:dyDescent="0.25">
      <c r="A5539"/>
    </row>
    <row r="5540" spans="1:1" x14ac:dyDescent="0.25">
      <c r="A5540"/>
    </row>
    <row r="5541" spans="1:1" x14ac:dyDescent="0.25">
      <c r="A5541"/>
    </row>
    <row r="5542" spans="1:1" x14ac:dyDescent="0.25">
      <c r="A5542"/>
    </row>
    <row r="5543" spans="1:1" x14ac:dyDescent="0.25">
      <c r="A5543"/>
    </row>
    <row r="5544" spans="1:1" x14ac:dyDescent="0.25">
      <c r="A5544"/>
    </row>
    <row r="5545" spans="1:1" x14ac:dyDescent="0.25">
      <c r="A5545"/>
    </row>
    <row r="5546" spans="1:1" x14ac:dyDescent="0.25">
      <c r="A5546"/>
    </row>
    <row r="5547" spans="1:1" x14ac:dyDescent="0.25">
      <c r="A5547"/>
    </row>
    <row r="5548" spans="1:1" x14ac:dyDescent="0.25">
      <c r="A5548"/>
    </row>
    <row r="5549" spans="1:1" x14ac:dyDescent="0.25">
      <c r="A5549"/>
    </row>
    <row r="5550" spans="1:1" x14ac:dyDescent="0.25">
      <c r="A5550"/>
    </row>
    <row r="5551" spans="1:1" x14ac:dyDescent="0.25">
      <c r="A5551"/>
    </row>
    <row r="5552" spans="1:1" x14ac:dyDescent="0.25">
      <c r="A5552"/>
    </row>
    <row r="5553" spans="1:1" x14ac:dyDescent="0.25">
      <c r="A5553"/>
    </row>
    <row r="5554" spans="1:1" x14ac:dyDescent="0.25">
      <c r="A5554"/>
    </row>
    <row r="5555" spans="1:1" x14ac:dyDescent="0.25">
      <c r="A5555"/>
    </row>
    <row r="5556" spans="1:1" x14ac:dyDescent="0.25">
      <c r="A5556"/>
    </row>
    <row r="5557" spans="1:1" x14ac:dyDescent="0.25">
      <c r="A5557"/>
    </row>
    <row r="5558" spans="1:1" x14ac:dyDescent="0.25">
      <c r="A5558"/>
    </row>
    <row r="5559" spans="1:1" x14ac:dyDescent="0.25">
      <c r="A5559"/>
    </row>
    <row r="5560" spans="1:1" x14ac:dyDescent="0.25">
      <c r="A5560"/>
    </row>
    <row r="5561" spans="1:1" x14ac:dyDescent="0.25">
      <c r="A5561"/>
    </row>
    <row r="5562" spans="1:1" x14ac:dyDescent="0.25">
      <c r="A5562"/>
    </row>
    <row r="5563" spans="1:1" x14ac:dyDescent="0.25">
      <c r="A5563"/>
    </row>
    <row r="5564" spans="1:1" x14ac:dyDescent="0.25">
      <c r="A5564"/>
    </row>
    <row r="5565" spans="1:1" x14ac:dyDescent="0.25">
      <c r="A5565"/>
    </row>
    <row r="5566" spans="1:1" x14ac:dyDescent="0.25">
      <c r="A5566"/>
    </row>
    <row r="5567" spans="1:1" x14ac:dyDescent="0.25">
      <c r="A5567"/>
    </row>
    <row r="5568" spans="1:1" x14ac:dyDescent="0.25">
      <c r="A5568"/>
    </row>
    <row r="5569" spans="1:1" x14ac:dyDescent="0.25">
      <c r="A5569"/>
    </row>
    <row r="5570" spans="1:1" x14ac:dyDescent="0.25">
      <c r="A5570"/>
    </row>
    <row r="5571" spans="1:1" x14ac:dyDescent="0.25">
      <c r="A5571"/>
    </row>
    <row r="5572" spans="1:1" x14ac:dyDescent="0.25">
      <c r="A5572"/>
    </row>
    <row r="5573" spans="1:1" x14ac:dyDescent="0.25">
      <c r="A5573"/>
    </row>
    <row r="5574" spans="1:1" x14ac:dyDescent="0.25">
      <c r="A5574"/>
    </row>
    <row r="5575" spans="1:1" x14ac:dyDescent="0.25">
      <c r="A5575"/>
    </row>
    <row r="5576" spans="1:1" x14ac:dyDescent="0.25">
      <c r="A5576"/>
    </row>
    <row r="5577" spans="1:1" x14ac:dyDescent="0.25">
      <c r="A5577"/>
    </row>
    <row r="5578" spans="1:1" x14ac:dyDescent="0.25">
      <c r="A5578"/>
    </row>
    <row r="5579" spans="1:1" x14ac:dyDescent="0.25">
      <c r="A5579"/>
    </row>
    <row r="5580" spans="1:1" x14ac:dyDescent="0.25">
      <c r="A5580"/>
    </row>
    <row r="5581" spans="1:1" x14ac:dyDescent="0.25">
      <c r="A5581"/>
    </row>
    <row r="5582" spans="1:1" x14ac:dyDescent="0.25">
      <c r="A5582"/>
    </row>
    <row r="5583" spans="1:1" x14ac:dyDescent="0.25">
      <c r="A5583"/>
    </row>
    <row r="5584" spans="1:1" x14ac:dyDescent="0.25">
      <c r="A5584"/>
    </row>
    <row r="5585" spans="1:1" x14ac:dyDescent="0.25">
      <c r="A5585"/>
    </row>
    <row r="5586" spans="1:1" x14ac:dyDescent="0.25">
      <c r="A5586"/>
    </row>
    <row r="5587" spans="1:1" x14ac:dyDescent="0.25">
      <c r="A5587"/>
    </row>
    <row r="5588" spans="1:1" x14ac:dyDescent="0.25">
      <c r="A5588"/>
    </row>
    <row r="5589" spans="1:1" x14ac:dyDescent="0.25">
      <c r="A5589"/>
    </row>
    <row r="5590" spans="1:1" x14ac:dyDescent="0.25">
      <c r="A5590"/>
    </row>
    <row r="5591" spans="1:1" x14ac:dyDescent="0.25">
      <c r="A5591"/>
    </row>
    <row r="5592" spans="1:1" x14ac:dyDescent="0.25">
      <c r="A5592"/>
    </row>
    <row r="5593" spans="1:1" x14ac:dyDescent="0.25">
      <c r="A5593"/>
    </row>
    <row r="5594" spans="1:1" x14ac:dyDescent="0.25">
      <c r="A5594"/>
    </row>
    <row r="5595" spans="1:1" x14ac:dyDescent="0.25">
      <c r="A5595"/>
    </row>
    <row r="5596" spans="1:1" x14ac:dyDescent="0.25">
      <c r="A5596"/>
    </row>
    <row r="5597" spans="1:1" x14ac:dyDescent="0.25">
      <c r="A5597"/>
    </row>
    <row r="5598" spans="1:1" x14ac:dyDescent="0.25">
      <c r="A5598"/>
    </row>
    <row r="5599" spans="1:1" x14ac:dyDescent="0.25">
      <c r="A5599"/>
    </row>
    <row r="5600" spans="1:1" x14ac:dyDescent="0.25">
      <c r="A5600"/>
    </row>
    <row r="5601" spans="1:1" x14ac:dyDescent="0.25">
      <c r="A5601"/>
    </row>
    <row r="5602" spans="1:1" x14ac:dyDescent="0.25">
      <c r="A5602"/>
    </row>
    <row r="5603" spans="1:1" x14ac:dyDescent="0.25">
      <c r="A5603"/>
    </row>
    <row r="5604" spans="1:1" x14ac:dyDescent="0.25">
      <c r="A5604"/>
    </row>
    <row r="5605" spans="1:1" x14ac:dyDescent="0.25">
      <c r="A5605"/>
    </row>
    <row r="5606" spans="1:1" x14ac:dyDescent="0.25">
      <c r="A5606"/>
    </row>
    <row r="5607" spans="1:1" x14ac:dyDescent="0.25">
      <c r="A5607"/>
    </row>
    <row r="5608" spans="1:1" x14ac:dyDescent="0.25">
      <c r="A5608"/>
    </row>
    <row r="5609" spans="1:1" x14ac:dyDescent="0.25">
      <c r="A5609"/>
    </row>
    <row r="5610" spans="1:1" x14ac:dyDescent="0.25">
      <c r="A5610"/>
    </row>
    <row r="5611" spans="1:1" x14ac:dyDescent="0.25">
      <c r="A5611"/>
    </row>
    <row r="5612" spans="1:1" x14ac:dyDescent="0.25">
      <c r="A5612"/>
    </row>
    <row r="5613" spans="1:1" x14ac:dyDescent="0.25">
      <c r="A5613"/>
    </row>
    <row r="5614" spans="1:1" x14ac:dyDescent="0.25">
      <c r="A5614"/>
    </row>
    <row r="5615" spans="1:1" x14ac:dyDescent="0.25">
      <c r="A5615"/>
    </row>
    <row r="5616" spans="1:1" x14ac:dyDescent="0.25">
      <c r="A5616"/>
    </row>
    <row r="5617" spans="1:1" x14ac:dyDescent="0.25">
      <c r="A5617"/>
    </row>
    <row r="5618" spans="1:1" x14ac:dyDescent="0.25">
      <c r="A5618"/>
    </row>
    <row r="5619" spans="1:1" x14ac:dyDescent="0.25">
      <c r="A5619"/>
    </row>
    <row r="5620" spans="1:1" x14ac:dyDescent="0.25">
      <c r="A5620"/>
    </row>
    <row r="5621" spans="1:1" x14ac:dyDescent="0.25">
      <c r="A5621"/>
    </row>
    <row r="5622" spans="1:1" x14ac:dyDescent="0.25">
      <c r="A5622"/>
    </row>
    <row r="5623" spans="1:1" x14ac:dyDescent="0.25">
      <c r="A5623"/>
    </row>
    <row r="5624" spans="1:1" x14ac:dyDescent="0.25">
      <c r="A5624"/>
    </row>
    <row r="5625" spans="1:1" x14ac:dyDescent="0.25">
      <c r="A5625"/>
    </row>
    <row r="5626" spans="1:1" x14ac:dyDescent="0.25">
      <c r="A5626"/>
    </row>
    <row r="5627" spans="1:1" x14ac:dyDescent="0.25">
      <c r="A5627"/>
    </row>
    <row r="5628" spans="1:1" x14ac:dyDescent="0.25">
      <c r="A5628"/>
    </row>
    <row r="5629" spans="1:1" x14ac:dyDescent="0.25">
      <c r="A5629"/>
    </row>
    <row r="5630" spans="1:1" x14ac:dyDescent="0.25">
      <c r="A5630"/>
    </row>
    <row r="5631" spans="1:1" x14ac:dyDescent="0.25">
      <c r="A5631"/>
    </row>
    <row r="5632" spans="1:1" x14ac:dyDescent="0.25">
      <c r="A5632"/>
    </row>
    <row r="5633" spans="1:1" x14ac:dyDescent="0.25">
      <c r="A5633"/>
    </row>
    <row r="5634" spans="1:1" x14ac:dyDescent="0.25">
      <c r="A5634"/>
    </row>
    <row r="5635" spans="1:1" x14ac:dyDescent="0.25">
      <c r="A5635"/>
    </row>
    <row r="5636" spans="1:1" x14ac:dyDescent="0.25">
      <c r="A5636"/>
    </row>
    <row r="5637" spans="1:1" x14ac:dyDescent="0.25">
      <c r="A5637"/>
    </row>
    <row r="5638" spans="1:1" x14ac:dyDescent="0.25">
      <c r="A5638"/>
    </row>
    <row r="5639" spans="1:1" x14ac:dyDescent="0.25">
      <c r="A5639"/>
    </row>
    <row r="5640" spans="1:1" x14ac:dyDescent="0.25">
      <c r="A5640"/>
    </row>
    <row r="5641" spans="1:1" x14ac:dyDescent="0.25">
      <c r="A5641"/>
    </row>
    <row r="5642" spans="1:1" x14ac:dyDescent="0.25">
      <c r="A5642"/>
    </row>
    <row r="5643" spans="1:1" x14ac:dyDescent="0.25">
      <c r="A5643"/>
    </row>
    <row r="5644" spans="1:1" x14ac:dyDescent="0.25">
      <c r="A5644"/>
    </row>
    <row r="5645" spans="1:1" x14ac:dyDescent="0.25">
      <c r="A5645"/>
    </row>
    <row r="5646" spans="1:1" x14ac:dyDescent="0.25">
      <c r="A5646"/>
    </row>
    <row r="5647" spans="1:1" x14ac:dyDescent="0.25">
      <c r="A5647"/>
    </row>
    <row r="5648" spans="1:1" x14ac:dyDescent="0.25">
      <c r="A5648"/>
    </row>
    <row r="5649" spans="1:1" x14ac:dyDescent="0.25">
      <c r="A5649"/>
    </row>
    <row r="5650" spans="1:1" x14ac:dyDescent="0.25">
      <c r="A5650"/>
    </row>
    <row r="5651" spans="1:1" x14ac:dyDescent="0.25">
      <c r="A5651"/>
    </row>
    <row r="5652" spans="1:1" x14ac:dyDescent="0.25">
      <c r="A5652"/>
    </row>
    <row r="5653" spans="1:1" x14ac:dyDescent="0.25">
      <c r="A5653"/>
    </row>
    <row r="5654" spans="1:1" x14ac:dyDescent="0.25">
      <c r="A5654"/>
    </row>
    <row r="5655" spans="1:1" x14ac:dyDescent="0.25">
      <c r="A5655"/>
    </row>
    <row r="5656" spans="1:1" x14ac:dyDescent="0.25">
      <c r="A5656"/>
    </row>
    <row r="5657" spans="1:1" x14ac:dyDescent="0.25">
      <c r="A5657"/>
    </row>
    <row r="5658" spans="1:1" x14ac:dyDescent="0.25">
      <c r="A5658"/>
    </row>
    <row r="5659" spans="1:1" x14ac:dyDescent="0.25">
      <c r="A5659"/>
    </row>
    <row r="5660" spans="1:1" x14ac:dyDescent="0.25">
      <c r="A5660"/>
    </row>
    <row r="5661" spans="1:1" x14ac:dyDescent="0.25">
      <c r="A5661"/>
    </row>
    <row r="5662" spans="1:1" x14ac:dyDescent="0.25">
      <c r="A5662"/>
    </row>
    <row r="5663" spans="1:1" x14ac:dyDescent="0.25">
      <c r="A5663"/>
    </row>
    <row r="5664" spans="1:1" x14ac:dyDescent="0.25">
      <c r="A5664"/>
    </row>
    <row r="5665" spans="1:1" x14ac:dyDescent="0.25">
      <c r="A5665"/>
    </row>
    <row r="5666" spans="1:1" x14ac:dyDescent="0.25">
      <c r="A5666"/>
    </row>
    <row r="5667" spans="1:1" x14ac:dyDescent="0.25">
      <c r="A5667"/>
    </row>
    <row r="5668" spans="1:1" x14ac:dyDescent="0.25">
      <c r="A5668"/>
    </row>
    <row r="5669" spans="1:1" x14ac:dyDescent="0.25">
      <c r="A5669"/>
    </row>
    <row r="5670" spans="1:1" x14ac:dyDescent="0.25">
      <c r="A5670"/>
    </row>
    <row r="5671" spans="1:1" x14ac:dyDescent="0.25">
      <c r="A5671"/>
    </row>
    <row r="5672" spans="1:1" x14ac:dyDescent="0.25">
      <c r="A5672"/>
    </row>
    <row r="5673" spans="1:1" x14ac:dyDescent="0.25">
      <c r="A5673"/>
    </row>
    <row r="5674" spans="1:1" x14ac:dyDescent="0.25">
      <c r="A5674"/>
    </row>
    <row r="5675" spans="1:1" x14ac:dyDescent="0.25">
      <c r="A5675"/>
    </row>
    <row r="5676" spans="1:1" x14ac:dyDescent="0.25">
      <c r="A5676"/>
    </row>
    <row r="5677" spans="1:1" x14ac:dyDescent="0.25">
      <c r="A5677"/>
    </row>
    <row r="5678" spans="1:1" x14ac:dyDescent="0.25">
      <c r="A5678"/>
    </row>
    <row r="5679" spans="1:1" x14ac:dyDescent="0.25">
      <c r="A5679"/>
    </row>
    <row r="5680" spans="1:1" x14ac:dyDescent="0.25">
      <c r="A5680"/>
    </row>
    <row r="5681" spans="1:1" x14ac:dyDescent="0.25">
      <c r="A5681"/>
    </row>
    <row r="5682" spans="1:1" x14ac:dyDescent="0.25">
      <c r="A5682"/>
    </row>
    <row r="5683" spans="1:1" x14ac:dyDescent="0.25">
      <c r="A5683"/>
    </row>
    <row r="5684" spans="1:1" x14ac:dyDescent="0.25">
      <c r="A5684"/>
    </row>
    <row r="5685" spans="1:1" x14ac:dyDescent="0.25">
      <c r="A5685"/>
    </row>
    <row r="5686" spans="1:1" x14ac:dyDescent="0.25">
      <c r="A5686"/>
    </row>
    <row r="5687" spans="1:1" x14ac:dyDescent="0.25">
      <c r="A5687"/>
    </row>
    <row r="5688" spans="1:1" x14ac:dyDescent="0.25">
      <c r="A5688"/>
    </row>
    <row r="5689" spans="1:1" x14ac:dyDescent="0.25">
      <c r="A5689"/>
    </row>
    <row r="5690" spans="1:1" x14ac:dyDescent="0.25">
      <c r="A5690"/>
    </row>
    <row r="5691" spans="1:1" x14ac:dyDescent="0.25">
      <c r="A5691"/>
    </row>
    <row r="5692" spans="1:1" x14ac:dyDescent="0.25">
      <c r="A5692"/>
    </row>
    <row r="5693" spans="1:1" x14ac:dyDescent="0.25">
      <c r="A5693"/>
    </row>
    <row r="5694" spans="1:1" x14ac:dyDescent="0.25">
      <c r="A5694"/>
    </row>
    <row r="5695" spans="1:1" x14ac:dyDescent="0.25">
      <c r="A5695"/>
    </row>
    <row r="5696" spans="1:1" x14ac:dyDescent="0.25">
      <c r="A5696"/>
    </row>
    <row r="5697" spans="1:1" x14ac:dyDescent="0.25">
      <c r="A5697"/>
    </row>
    <row r="5698" spans="1:1" x14ac:dyDescent="0.25">
      <c r="A5698"/>
    </row>
    <row r="5699" spans="1:1" x14ac:dyDescent="0.25">
      <c r="A5699"/>
    </row>
    <row r="5700" spans="1:1" x14ac:dyDescent="0.25">
      <c r="A5700"/>
    </row>
    <row r="5701" spans="1:1" x14ac:dyDescent="0.25">
      <c r="A5701"/>
    </row>
    <row r="5702" spans="1:1" x14ac:dyDescent="0.25">
      <c r="A5702"/>
    </row>
    <row r="5703" spans="1:1" x14ac:dyDescent="0.25">
      <c r="A5703"/>
    </row>
    <row r="5704" spans="1:1" x14ac:dyDescent="0.25">
      <c r="A5704"/>
    </row>
    <row r="5705" spans="1:1" x14ac:dyDescent="0.25">
      <c r="A5705"/>
    </row>
    <row r="5706" spans="1:1" x14ac:dyDescent="0.25">
      <c r="A5706"/>
    </row>
    <row r="5707" spans="1:1" x14ac:dyDescent="0.25">
      <c r="A5707"/>
    </row>
    <row r="5708" spans="1:1" x14ac:dyDescent="0.25">
      <c r="A5708"/>
    </row>
    <row r="5709" spans="1:1" x14ac:dyDescent="0.25">
      <c r="A5709"/>
    </row>
    <row r="5710" spans="1:1" x14ac:dyDescent="0.25">
      <c r="A5710"/>
    </row>
    <row r="5711" spans="1:1" x14ac:dyDescent="0.25">
      <c r="A5711"/>
    </row>
    <row r="5712" spans="1:1" x14ac:dyDescent="0.25">
      <c r="A5712"/>
    </row>
    <row r="5713" spans="1:1" x14ac:dyDescent="0.25">
      <c r="A5713"/>
    </row>
    <row r="5714" spans="1:1" x14ac:dyDescent="0.25">
      <c r="A5714"/>
    </row>
    <row r="5715" spans="1:1" x14ac:dyDescent="0.25">
      <c r="A5715"/>
    </row>
    <row r="5716" spans="1:1" x14ac:dyDescent="0.25">
      <c r="A5716"/>
    </row>
    <row r="5717" spans="1:1" x14ac:dyDescent="0.25">
      <c r="A5717"/>
    </row>
    <row r="5718" spans="1:1" x14ac:dyDescent="0.25">
      <c r="A5718"/>
    </row>
    <row r="5719" spans="1:1" x14ac:dyDescent="0.25">
      <c r="A5719"/>
    </row>
    <row r="5720" spans="1:1" x14ac:dyDescent="0.25">
      <c r="A5720"/>
    </row>
    <row r="5721" spans="1:1" x14ac:dyDescent="0.25">
      <c r="A5721"/>
    </row>
    <row r="5722" spans="1:1" x14ac:dyDescent="0.25">
      <c r="A5722"/>
    </row>
    <row r="5723" spans="1:1" x14ac:dyDescent="0.25">
      <c r="A5723"/>
    </row>
    <row r="5724" spans="1:1" x14ac:dyDescent="0.25">
      <c r="A5724"/>
    </row>
    <row r="5725" spans="1:1" x14ac:dyDescent="0.25">
      <c r="A5725"/>
    </row>
    <row r="5726" spans="1:1" x14ac:dyDescent="0.25">
      <c r="A5726"/>
    </row>
    <row r="5727" spans="1:1" x14ac:dyDescent="0.25">
      <c r="A5727"/>
    </row>
    <row r="5728" spans="1:1" x14ac:dyDescent="0.25">
      <c r="A5728"/>
    </row>
    <row r="5729" spans="1:1" x14ac:dyDescent="0.25">
      <c r="A5729"/>
    </row>
    <row r="5730" spans="1:1" x14ac:dyDescent="0.25">
      <c r="A5730"/>
    </row>
    <row r="5731" spans="1:1" x14ac:dyDescent="0.25">
      <c r="A5731"/>
    </row>
    <row r="5732" spans="1:1" x14ac:dyDescent="0.25">
      <c r="A5732"/>
    </row>
    <row r="5733" spans="1:1" x14ac:dyDescent="0.25">
      <c r="A5733"/>
    </row>
    <row r="5734" spans="1:1" x14ac:dyDescent="0.25">
      <c r="A5734"/>
    </row>
    <row r="5735" spans="1:1" x14ac:dyDescent="0.25">
      <c r="A5735"/>
    </row>
    <row r="5736" spans="1:1" x14ac:dyDescent="0.25">
      <c r="A5736"/>
    </row>
    <row r="5737" spans="1:1" x14ac:dyDescent="0.25">
      <c r="A5737"/>
    </row>
    <row r="5738" spans="1:1" x14ac:dyDescent="0.25">
      <c r="A5738"/>
    </row>
    <row r="5739" spans="1:1" x14ac:dyDescent="0.25">
      <c r="A5739"/>
    </row>
    <row r="5740" spans="1:1" x14ac:dyDescent="0.25">
      <c r="A5740"/>
    </row>
    <row r="5741" spans="1:1" x14ac:dyDescent="0.25">
      <c r="A5741"/>
    </row>
    <row r="5742" spans="1:1" x14ac:dyDescent="0.25">
      <c r="A5742"/>
    </row>
    <row r="5743" spans="1:1" x14ac:dyDescent="0.25">
      <c r="A5743"/>
    </row>
    <row r="5744" spans="1:1" x14ac:dyDescent="0.25">
      <c r="A5744"/>
    </row>
    <row r="5745" spans="1:1" x14ac:dyDescent="0.25">
      <c r="A5745"/>
    </row>
    <row r="5746" spans="1:1" x14ac:dyDescent="0.25">
      <c r="A5746"/>
    </row>
    <row r="5747" spans="1:1" x14ac:dyDescent="0.25">
      <c r="A5747"/>
    </row>
    <row r="5748" spans="1:1" x14ac:dyDescent="0.25">
      <c r="A5748"/>
    </row>
    <row r="5749" spans="1:1" x14ac:dyDescent="0.25">
      <c r="A5749"/>
    </row>
    <row r="5750" spans="1:1" x14ac:dyDescent="0.25">
      <c r="A5750"/>
    </row>
    <row r="5751" spans="1:1" x14ac:dyDescent="0.25">
      <c r="A5751"/>
    </row>
    <row r="5752" spans="1:1" x14ac:dyDescent="0.25">
      <c r="A5752"/>
    </row>
    <row r="5753" spans="1:1" x14ac:dyDescent="0.25">
      <c r="A5753"/>
    </row>
    <row r="5754" spans="1:1" x14ac:dyDescent="0.25">
      <c r="A5754"/>
    </row>
    <row r="5755" spans="1:1" x14ac:dyDescent="0.25">
      <c r="A5755"/>
    </row>
    <row r="5756" spans="1:1" x14ac:dyDescent="0.25">
      <c r="A5756"/>
    </row>
    <row r="5757" spans="1:1" x14ac:dyDescent="0.25">
      <c r="A5757"/>
    </row>
    <row r="5758" spans="1:1" x14ac:dyDescent="0.25">
      <c r="A5758"/>
    </row>
    <row r="5759" spans="1:1" x14ac:dyDescent="0.25">
      <c r="A5759"/>
    </row>
    <row r="5760" spans="1:1" x14ac:dyDescent="0.25">
      <c r="A5760"/>
    </row>
    <row r="5761" spans="1:1" x14ac:dyDescent="0.25">
      <c r="A5761"/>
    </row>
    <row r="5762" spans="1:1" x14ac:dyDescent="0.25">
      <c r="A5762"/>
    </row>
    <row r="5763" spans="1:1" x14ac:dyDescent="0.25">
      <c r="A5763"/>
    </row>
    <row r="5764" spans="1:1" x14ac:dyDescent="0.25">
      <c r="A5764"/>
    </row>
    <row r="5765" spans="1:1" x14ac:dyDescent="0.25">
      <c r="A5765"/>
    </row>
    <row r="5766" spans="1:1" x14ac:dyDescent="0.25">
      <c r="A5766"/>
    </row>
    <row r="5767" spans="1:1" x14ac:dyDescent="0.25">
      <c r="A5767"/>
    </row>
    <row r="5768" spans="1:1" x14ac:dyDescent="0.25">
      <c r="A5768"/>
    </row>
    <row r="5769" spans="1:1" x14ac:dyDescent="0.25">
      <c r="A5769"/>
    </row>
    <row r="5770" spans="1:1" x14ac:dyDescent="0.25">
      <c r="A5770"/>
    </row>
    <row r="5771" spans="1:1" x14ac:dyDescent="0.25">
      <c r="A5771"/>
    </row>
    <row r="5772" spans="1:1" x14ac:dyDescent="0.25">
      <c r="A5772"/>
    </row>
    <row r="5773" spans="1:1" x14ac:dyDescent="0.25">
      <c r="A5773"/>
    </row>
    <row r="5774" spans="1:1" x14ac:dyDescent="0.25">
      <c r="A5774"/>
    </row>
    <row r="5775" spans="1:1" x14ac:dyDescent="0.25">
      <c r="A5775"/>
    </row>
    <row r="5776" spans="1:1" x14ac:dyDescent="0.25">
      <c r="A5776"/>
    </row>
    <row r="5777" spans="1:1" x14ac:dyDescent="0.25">
      <c r="A5777"/>
    </row>
    <row r="5778" spans="1:1" x14ac:dyDescent="0.25">
      <c r="A5778"/>
    </row>
    <row r="5779" spans="1:1" x14ac:dyDescent="0.25">
      <c r="A5779"/>
    </row>
    <row r="5780" spans="1:1" x14ac:dyDescent="0.25">
      <c r="A5780"/>
    </row>
    <row r="5781" spans="1:1" x14ac:dyDescent="0.25">
      <c r="A5781"/>
    </row>
    <row r="5782" spans="1:1" x14ac:dyDescent="0.25">
      <c r="A5782"/>
    </row>
    <row r="5783" spans="1:1" x14ac:dyDescent="0.25">
      <c r="A5783"/>
    </row>
    <row r="5784" spans="1:1" x14ac:dyDescent="0.25">
      <c r="A5784"/>
    </row>
    <row r="5785" spans="1:1" x14ac:dyDescent="0.25">
      <c r="A5785"/>
    </row>
    <row r="5786" spans="1:1" x14ac:dyDescent="0.25">
      <c r="A5786"/>
    </row>
    <row r="5787" spans="1:1" x14ac:dyDescent="0.25">
      <c r="A5787"/>
    </row>
    <row r="5788" spans="1:1" x14ac:dyDescent="0.25">
      <c r="A5788"/>
    </row>
    <row r="5789" spans="1:1" x14ac:dyDescent="0.25">
      <c r="A5789"/>
    </row>
    <row r="5790" spans="1:1" x14ac:dyDescent="0.25">
      <c r="A5790"/>
    </row>
    <row r="5791" spans="1:1" x14ac:dyDescent="0.25">
      <c r="A5791"/>
    </row>
    <row r="5792" spans="1:1" x14ac:dyDescent="0.25">
      <c r="A5792"/>
    </row>
    <row r="5793" spans="1:1" x14ac:dyDescent="0.25">
      <c r="A5793"/>
    </row>
    <row r="5794" spans="1:1" x14ac:dyDescent="0.25">
      <c r="A5794"/>
    </row>
    <row r="5795" spans="1:1" x14ac:dyDescent="0.25">
      <c r="A5795"/>
    </row>
    <row r="5796" spans="1:1" x14ac:dyDescent="0.25">
      <c r="A5796"/>
    </row>
    <row r="5797" spans="1:1" x14ac:dyDescent="0.25">
      <c r="A5797"/>
    </row>
    <row r="5798" spans="1:1" x14ac:dyDescent="0.25">
      <c r="A5798"/>
    </row>
    <row r="5799" spans="1:1" x14ac:dyDescent="0.25">
      <c r="A5799"/>
    </row>
    <row r="5800" spans="1:1" x14ac:dyDescent="0.25">
      <c r="A5800"/>
    </row>
    <row r="5801" spans="1:1" x14ac:dyDescent="0.25">
      <c r="A5801"/>
    </row>
    <row r="5802" spans="1:1" x14ac:dyDescent="0.25">
      <c r="A5802"/>
    </row>
    <row r="5803" spans="1:1" x14ac:dyDescent="0.25">
      <c r="A5803"/>
    </row>
    <row r="5804" spans="1:1" x14ac:dyDescent="0.25">
      <c r="A5804"/>
    </row>
    <row r="5805" spans="1:1" x14ac:dyDescent="0.25">
      <c r="A5805"/>
    </row>
    <row r="5806" spans="1:1" x14ac:dyDescent="0.25">
      <c r="A5806"/>
    </row>
    <row r="5807" spans="1:1" x14ac:dyDescent="0.25">
      <c r="A5807"/>
    </row>
    <row r="5808" spans="1:1" x14ac:dyDescent="0.25">
      <c r="A5808"/>
    </row>
    <row r="5809" spans="1:1" x14ac:dyDescent="0.25">
      <c r="A5809"/>
    </row>
    <row r="5810" spans="1:1" x14ac:dyDescent="0.25">
      <c r="A5810"/>
    </row>
    <row r="5811" spans="1:1" x14ac:dyDescent="0.25">
      <c r="A5811"/>
    </row>
    <row r="5812" spans="1:1" x14ac:dyDescent="0.25">
      <c r="A5812"/>
    </row>
    <row r="5813" spans="1:1" x14ac:dyDescent="0.25">
      <c r="A5813"/>
    </row>
    <row r="5814" spans="1:1" x14ac:dyDescent="0.25">
      <c r="A5814"/>
    </row>
    <row r="5815" spans="1:1" x14ac:dyDescent="0.25">
      <c r="A5815"/>
    </row>
    <row r="5816" spans="1:1" x14ac:dyDescent="0.25">
      <c r="A5816"/>
    </row>
    <row r="5817" spans="1:1" x14ac:dyDescent="0.25">
      <c r="A5817"/>
    </row>
    <row r="5818" spans="1:1" x14ac:dyDescent="0.25">
      <c r="A5818"/>
    </row>
    <row r="5819" spans="1:1" x14ac:dyDescent="0.25">
      <c r="A5819"/>
    </row>
    <row r="5820" spans="1:1" x14ac:dyDescent="0.25">
      <c r="A5820"/>
    </row>
    <row r="5821" spans="1:1" x14ac:dyDescent="0.25">
      <c r="A5821"/>
    </row>
    <row r="5822" spans="1:1" x14ac:dyDescent="0.25">
      <c r="A5822"/>
    </row>
    <row r="5823" spans="1:1" x14ac:dyDescent="0.25">
      <c r="A5823"/>
    </row>
    <row r="5824" spans="1:1" x14ac:dyDescent="0.25">
      <c r="A5824"/>
    </row>
    <row r="5825" spans="1:1" x14ac:dyDescent="0.25">
      <c r="A5825"/>
    </row>
    <row r="5826" spans="1:1" x14ac:dyDescent="0.25">
      <c r="A5826"/>
    </row>
    <row r="5827" spans="1:1" x14ac:dyDescent="0.25">
      <c r="A5827"/>
    </row>
    <row r="5828" spans="1:1" x14ac:dyDescent="0.25">
      <c r="A5828"/>
    </row>
    <row r="5829" spans="1:1" x14ac:dyDescent="0.25">
      <c r="A5829"/>
    </row>
    <row r="5830" spans="1:1" x14ac:dyDescent="0.25">
      <c r="A5830"/>
    </row>
    <row r="5831" spans="1:1" x14ac:dyDescent="0.25">
      <c r="A5831"/>
    </row>
    <row r="5832" spans="1:1" x14ac:dyDescent="0.25">
      <c r="A5832"/>
    </row>
    <row r="5833" spans="1:1" x14ac:dyDescent="0.25">
      <c r="A5833"/>
    </row>
    <row r="5834" spans="1:1" x14ac:dyDescent="0.25">
      <c r="A5834"/>
    </row>
    <row r="5835" spans="1:1" x14ac:dyDescent="0.25">
      <c r="A5835"/>
    </row>
    <row r="5836" spans="1:1" x14ac:dyDescent="0.25">
      <c r="A5836"/>
    </row>
    <row r="5837" spans="1:1" x14ac:dyDescent="0.25">
      <c r="A5837"/>
    </row>
    <row r="5838" spans="1:1" x14ac:dyDescent="0.25">
      <c r="A5838"/>
    </row>
    <row r="5839" spans="1:1" x14ac:dyDescent="0.25">
      <c r="A5839"/>
    </row>
    <row r="5840" spans="1:1" x14ac:dyDescent="0.25">
      <c r="A5840"/>
    </row>
    <row r="5841" spans="1:1" x14ac:dyDescent="0.25">
      <c r="A5841"/>
    </row>
    <row r="5842" spans="1:1" x14ac:dyDescent="0.25">
      <c r="A5842"/>
    </row>
    <row r="5843" spans="1:1" x14ac:dyDescent="0.25">
      <c r="A5843"/>
    </row>
    <row r="5844" spans="1:1" x14ac:dyDescent="0.25">
      <c r="A5844"/>
    </row>
    <row r="5845" spans="1:1" x14ac:dyDescent="0.25">
      <c r="A5845"/>
    </row>
    <row r="5846" spans="1:1" x14ac:dyDescent="0.25">
      <c r="A5846"/>
    </row>
    <row r="5847" spans="1:1" x14ac:dyDescent="0.25">
      <c r="A5847"/>
    </row>
    <row r="5848" spans="1:1" x14ac:dyDescent="0.25">
      <c r="A5848"/>
    </row>
    <row r="5849" spans="1:1" x14ac:dyDescent="0.25">
      <c r="A5849"/>
    </row>
    <row r="5850" spans="1:1" x14ac:dyDescent="0.25">
      <c r="A5850"/>
    </row>
    <row r="5851" spans="1:1" x14ac:dyDescent="0.25">
      <c r="A5851"/>
    </row>
    <row r="5852" spans="1:1" x14ac:dyDescent="0.25">
      <c r="A5852"/>
    </row>
    <row r="5853" spans="1:1" x14ac:dyDescent="0.25">
      <c r="A5853"/>
    </row>
    <row r="5854" spans="1:1" x14ac:dyDescent="0.25">
      <c r="A5854"/>
    </row>
    <row r="5855" spans="1:1" x14ac:dyDescent="0.25">
      <c r="A5855"/>
    </row>
    <row r="5856" spans="1:1" x14ac:dyDescent="0.25">
      <c r="A5856"/>
    </row>
    <row r="5857" spans="1:1" x14ac:dyDescent="0.25">
      <c r="A5857"/>
    </row>
    <row r="5858" spans="1:1" x14ac:dyDescent="0.25">
      <c r="A5858"/>
    </row>
    <row r="5859" spans="1:1" x14ac:dyDescent="0.25">
      <c r="A5859"/>
    </row>
    <row r="5860" spans="1:1" x14ac:dyDescent="0.25">
      <c r="A5860"/>
    </row>
    <row r="5861" spans="1:1" x14ac:dyDescent="0.25">
      <c r="A5861"/>
    </row>
    <row r="5862" spans="1:1" x14ac:dyDescent="0.25">
      <c r="A5862"/>
    </row>
    <row r="5863" spans="1:1" x14ac:dyDescent="0.25">
      <c r="A5863"/>
    </row>
    <row r="5864" spans="1:1" x14ac:dyDescent="0.25">
      <c r="A5864"/>
    </row>
    <row r="5865" spans="1:1" x14ac:dyDescent="0.25">
      <c r="A5865"/>
    </row>
    <row r="5866" spans="1:1" x14ac:dyDescent="0.25">
      <c r="A5866"/>
    </row>
    <row r="5867" spans="1:1" x14ac:dyDescent="0.25">
      <c r="A5867"/>
    </row>
    <row r="5868" spans="1:1" x14ac:dyDescent="0.25">
      <c r="A5868"/>
    </row>
    <row r="5869" spans="1:1" x14ac:dyDescent="0.25">
      <c r="A5869"/>
    </row>
    <row r="5870" spans="1:1" x14ac:dyDescent="0.25">
      <c r="A5870"/>
    </row>
    <row r="5871" spans="1:1" x14ac:dyDescent="0.25">
      <c r="A5871"/>
    </row>
    <row r="5872" spans="1:1" x14ac:dyDescent="0.25">
      <c r="A5872"/>
    </row>
    <row r="5873" spans="1:1" x14ac:dyDescent="0.25">
      <c r="A5873"/>
    </row>
    <row r="5874" spans="1:1" x14ac:dyDescent="0.25">
      <c r="A5874"/>
    </row>
    <row r="5875" spans="1:1" x14ac:dyDescent="0.25">
      <c r="A5875"/>
    </row>
    <row r="5876" spans="1:1" x14ac:dyDescent="0.25">
      <c r="A5876"/>
    </row>
    <row r="5877" spans="1:1" x14ac:dyDescent="0.25">
      <c r="A5877"/>
    </row>
    <row r="5878" spans="1:1" x14ac:dyDescent="0.25">
      <c r="A5878"/>
    </row>
    <row r="5879" spans="1:1" x14ac:dyDescent="0.25">
      <c r="A5879"/>
    </row>
    <row r="5880" spans="1:1" x14ac:dyDescent="0.25">
      <c r="A5880"/>
    </row>
    <row r="5881" spans="1:1" x14ac:dyDescent="0.25">
      <c r="A5881"/>
    </row>
    <row r="5882" spans="1:1" x14ac:dyDescent="0.25">
      <c r="A5882"/>
    </row>
    <row r="5883" spans="1:1" x14ac:dyDescent="0.25">
      <c r="A5883"/>
    </row>
    <row r="5884" spans="1:1" x14ac:dyDescent="0.25">
      <c r="A5884"/>
    </row>
    <row r="5885" spans="1:1" x14ac:dyDescent="0.25">
      <c r="A5885"/>
    </row>
    <row r="5886" spans="1:1" x14ac:dyDescent="0.25">
      <c r="A5886"/>
    </row>
    <row r="5887" spans="1:1" x14ac:dyDescent="0.25">
      <c r="A5887"/>
    </row>
    <row r="5888" spans="1:1" x14ac:dyDescent="0.25">
      <c r="A5888"/>
    </row>
    <row r="5889" spans="1:1" x14ac:dyDescent="0.25">
      <c r="A5889"/>
    </row>
    <row r="5890" spans="1:1" x14ac:dyDescent="0.25">
      <c r="A5890"/>
    </row>
    <row r="5891" spans="1:1" x14ac:dyDescent="0.25">
      <c r="A5891"/>
    </row>
    <row r="5892" spans="1:1" x14ac:dyDescent="0.25">
      <c r="A5892"/>
    </row>
    <row r="5893" spans="1:1" x14ac:dyDescent="0.25">
      <c r="A5893"/>
    </row>
    <row r="5894" spans="1:1" x14ac:dyDescent="0.25">
      <c r="A5894"/>
    </row>
    <row r="5895" spans="1:1" x14ac:dyDescent="0.25">
      <c r="A5895"/>
    </row>
    <row r="5896" spans="1:1" x14ac:dyDescent="0.25">
      <c r="A5896"/>
    </row>
    <row r="5897" spans="1:1" x14ac:dyDescent="0.25">
      <c r="A5897"/>
    </row>
    <row r="5898" spans="1:1" x14ac:dyDescent="0.25">
      <c r="A5898"/>
    </row>
    <row r="5899" spans="1:1" x14ac:dyDescent="0.25">
      <c r="A5899"/>
    </row>
    <row r="5900" spans="1:1" x14ac:dyDescent="0.25">
      <c r="A5900"/>
    </row>
    <row r="5901" spans="1:1" x14ac:dyDescent="0.25">
      <c r="A5901"/>
    </row>
    <row r="5902" spans="1:1" x14ac:dyDescent="0.25">
      <c r="A5902"/>
    </row>
    <row r="5903" spans="1:1" x14ac:dyDescent="0.25">
      <c r="A5903"/>
    </row>
    <row r="5904" spans="1:1" x14ac:dyDescent="0.25">
      <c r="A5904"/>
    </row>
    <row r="5905" spans="1:1" x14ac:dyDescent="0.25">
      <c r="A5905"/>
    </row>
    <row r="5906" spans="1:1" x14ac:dyDescent="0.25">
      <c r="A5906"/>
    </row>
    <row r="5907" spans="1:1" x14ac:dyDescent="0.25">
      <c r="A5907"/>
    </row>
    <row r="5908" spans="1:1" x14ac:dyDescent="0.25">
      <c r="A5908"/>
    </row>
    <row r="5909" spans="1:1" x14ac:dyDescent="0.25">
      <c r="A5909"/>
    </row>
    <row r="5910" spans="1:1" x14ac:dyDescent="0.25">
      <c r="A5910"/>
    </row>
    <row r="5911" spans="1:1" x14ac:dyDescent="0.25">
      <c r="A5911"/>
    </row>
    <row r="5912" spans="1:1" x14ac:dyDescent="0.25">
      <c r="A5912"/>
    </row>
    <row r="5913" spans="1:1" x14ac:dyDescent="0.25">
      <c r="A5913"/>
    </row>
    <row r="5914" spans="1:1" x14ac:dyDescent="0.25">
      <c r="A5914"/>
    </row>
    <row r="5915" spans="1:1" x14ac:dyDescent="0.25">
      <c r="A5915"/>
    </row>
    <row r="5916" spans="1:1" x14ac:dyDescent="0.25">
      <c r="A5916"/>
    </row>
    <row r="5917" spans="1:1" x14ac:dyDescent="0.25">
      <c r="A5917"/>
    </row>
    <row r="5918" spans="1:1" x14ac:dyDescent="0.25">
      <c r="A5918"/>
    </row>
    <row r="5919" spans="1:1" x14ac:dyDescent="0.25">
      <c r="A5919"/>
    </row>
    <row r="5920" spans="1:1" x14ac:dyDescent="0.25">
      <c r="A5920"/>
    </row>
    <row r="5921" spans="1:1" x14ac:dyDescent="0.25">
      <c r="A5921"/>
    </row>
    <row r="5922" spans="1:1" x14ac:dyDescent="0.25">
      <c r="A5922"/>
    </row>
    <row r="5923" spans="1:1" x14ac:dyDescent="0.25">
      <c r="A5923"/>
    </row>
    <row r="5924" spans="1:1" x14ac:dyDescent="0.25">
      <c r="A5924"/>
    </row>
    <row r="5925" spans="1:1" x14ac:dyDescent="0.25">
      <c r="A5925"/>
    </row>
    <row r="5926" spans="1:1" x14ac:dyDescent="0.25">
      <c r="A5926"/>
    </row>
    <row r="5927" spans="1:1" x14ac:dyDescent="0.25">
      <c r="A5927"/>
    </row>
    <row r="5928" spans="1:1" x14ac:dyDescent="0.25">
      <c r="A5928"/>
    </row>
    <row r="5929" spans="1:1" x14ac:dyDescent="0.25">
      <c r="A5929"/>
    </row>
    <row r="5930" spans="1:1" x14ac:dyDescent="0.25">
      <c r="A5930"/>
    </row>
    <row r="5931" spans="1:1" x14ac:dyDescent="0.25">
      <c r="A5931"/>
    </row>
    <row r="5932" spans="1:1" x14ac:dyDescent="0.25">
      <c r="A5932"/>
    </row>
    <row r="5933" spans="1:1" x14ac:dyDescent="0.25">
      <c r="A5933"/>
    </row>
    <row r="5934" spans="1:1" x14ac:dyDescent="0.25">
      <c r="A5934"/>
    </row>
    <row r="5935" spans="1:1" x14ac:dyDescent="0.25">
      <c r="A5935"/>
    </row>
    <row r="5936" spans="1:1" x14ac:dyDescent="0.25">
      <c r="A5936"/>
    </row>
    <row r="5937" spans="1:1" x14ac:dyDescent="0.25">
      <c r="A5937"/>
    </row>
    <row r="5938" spans="1:1" x14ac:dyDescent="0.25">
      <c r="A5938"/>
    </row>
    <row r="5939" spans="1:1" x14ac:dyDescent="0.25">
      <c r="A5939"/>
    </row>
    <row r="5940" spans="1:1" x14ac:dyDescent="0.25">
      <c r="A5940"/>
    </row>
    <row r="5941" spans="1:1" x14ac:dyDescent="0.25">
      <c r="A5941"/>
    </row>
    <row r="5942" spans="1:1" x14ac:dyDescent="0.25">
      <c r="A5942"/>
    </row>
    <row r="5943" spans="1:1" x14ac:dyDescent="0.25">
      <c r="A5943"/>
    </row>
    <row r="5944" spans="1:1" x14ac:dyDescent="0.25">
      <c r="A5944"/>
    </row>
    <row r="5945" spans="1:1" x14ac:dyDescent="0.25">
      <c r="A5945"/>
    </row>
    <row r="5946" spans="1:1" x14ac:dyDescent="0.25">
      <c r="A5946"/>
    </row>
    <row r="5947" spans="1:1" x14ac:dyDescent="0.25">
      <c r="A5947"/>
    </row>
    <row r="5948" spans="1:1" x14ac:dyDescent="0.25">
      <c r="A5948"/>
    </row>
    <row r="5949" spans="1:1" x14ac:dyDescent="0.25">
      <c r="A5949"/>
    </row>
    <row r="5950" spans="1:1" x14ac:dyDescent="0.25">
      <c r="A5950"/>
    </row>
    <row r="5951" spans="1:1" x14ac:dyDescent="0.25">
      <c r="A5951"/>
    </row>
    <row r="5952" spans="1:1" x14ac:dyDescent="0.25">
      <c r="A5952"/>
    </row>
    <row r="5953" spans="1:1" x14ac:dyDescent="0.25">
      <c r="A5953"/>
    </row>
    <row r="5954" spans="1:1" x14ac:dyDescent="0.25">
      <c r="A5954"/>
    </row>
    <row r="5955" spans="1:1" x14ac:dyDescent="0.25">
      <c r="A5955"/>
    </row>
    <row r="5956" spans="1:1" x14ac:dyDescent="0.25">
      <c r="A5956"/>
    </row>
    <row r="5957" spans="1:1" x14ac:dyDescent="0.25">
      <c r="A5957"/>
    </row>
    <row r="5958" spans="1:1" x14ac:dyDescent="0.25">
      <c r="A5958"/>
    </row>
    <row r="5959" spans="1:1" x14ac:dyDescent="0.25">
      <c r="A5959"/>
    </row>
    <row r="5960" spans="1:1" x14ac:dyDescent="0.25">
      <c r="A5960"/>
    </row>
    <row r="5961" spans="1:1" x14ac:dyDescent="0.25">
      <c r="A5961"/>
    </row>
    <row r="5962" spans="1:1" x14ac:dyDescent="0.25">
      <c r="A5962"/>
    </row>
    <row r="5963" spans="1:1" x14ac:dyDescent="0.25">
      <c r="A5963"/>
    </row>
    <row r="5964" spans="1:1" x14ac:dyDescent="0.25">
      <c r="A5964"/>
    </row>
    <row r="5965" spans="1:1" x14ac:dyDescent="0.25">
      <c r="A5965"/>
    </row>
    <row r="5966" spans="1:1" x14ac:dyDescent="0.25">
      <c r="A5966"/>
    </row>
    <row r="5967" spans="1:1" x14ac:dyDescent="0.25">
      <c r="A5967"/>
    </row>
    <row r="5968" spans="1:1" x14ac:dyDescent="0.25">
      <c r="A5968"/>
    </row>
    <row r="5969" spans="1:1" x14ac:dyDescent="0.25">
      <c r="A5969"/>
    </row>
    <row r="5970" spans="1:1" x14ac:dyDescent="0.25">
      <c r="A5970"/>
    </row>
    <row r="5971" spans="1:1" x14ac:dyDescent="0.25">
      <c r="A5971"/>
    </row>
    <row r="5972" spans="1:1" x14ac:dyDescent="0.25">
      <c r="A5972"/>
    </row>
    <row r="5973" spans="1:1" x14ac:dyDescent="0.25">
      <c r="A5973"/>
    </row>
    <row r="5974" spans="1:1" x14ac:dyDescent="0.25">
      <c r="A5974"/>
    </row>
    <row r="5975" spans="1:1" x14ac:dyDescent="0.25">
      <c r="A5975"/>
    </row>
    <row r="5976" spans="1:1" x14ac:dyDescent="0.25">
      <c r="A5976"/>
    </row>
    <row r="5977" spans="1:1" x14ac:dyDescent="0.25">
      <c r="A5977"/>
    </row>
    <row r="5978" spans="1:1" x14ac:dyDescent="0.25">
      <c r="A5978"/>
    </row>
    <row r="5979" spans="1:1" x14ac:dyDescent="0.25">
      <c r="A5979"/>
    </row>
    <row r="5980" spans="1:1" x14ac:dyDescent="0.25">
      <c r="A5980"/>
    </row>
    <row r="5981" spans="1:1" x14ac:dyDescent="0.25">
      <c r="A5981"/>
    </row>
    <row r="5982" spans="1:1" x14ac:dyDescent="0.25">
      <c r="A5982"/>
    </row>
    <row r="5983" spans="1:1" x14ac:dyDescent="0.25">
      <c r="A5983"/>
    </row>
    <row r="5984" spans="1:1" x14ac:dyDescent="0.25">
      <c r="A5984"/>
    </row>
    <row r="5985" spans="1:1" x14ac:dyDescent="0.25">
      <c r="A5985"/>
    </row>
    <row r="5986" spans="1:1" x14ac:dyDescent="0.25">
      <c r="A5986"/>
    </row>
    <row r="5987" spans="1:1" x14ac:dyDescent="0.25">
      <c r="A5987"/>
    </row>
    <row r="5988" spans="1:1" x14ac:dyDescent="0.25">
      <c r="A5988"/>
    </row>
    <row r="5989" spans="1:1" x14ac:dyDescent="0.25">
      <c r="A5989"/>
    </row>
    <row r="5990" spans="1:1" x14ac:dyDescent="0.25">
      <c r="A5990"/>
    </row>
    <row r="5991" spans="1:1" x14ac:dyDescent="0.25">
      <c r="A5991"/>
    </row>
    <row r="5992" spans="1:1" x14ac:dyDescent="0.25">
      <c r="A5992"/>
    </row>
    <row r="5993" spans="1:1" x14ac:dyDescent="0.25">
      <c r="A5993"/>
    </row>
    <row r="5994" spans="1:1" x14ac:dyDescent="0.25">
      <c r="A5994"/>
    </row>
    <row r="5995" spans="1:1" x14ac:dyDescent="0.25">
      <c r="A5995"/>
    </row>
    <row r="5996" spans="1:1" x14ac:dyDescent="0.25">
      <c r="A5996"/>
    </row>
    <row r="5997" spans="1:1" x14ac:dyDescent="0.25">
      <c r="A5997"/>
    </row>
    <row r="5998" spans="1:1" x14ac:dyDescent="0.25">
      <c r="A5998"/>
    </row>
    <row r="5999" spans="1:1" x14ac:dyDescent="0.25">
      <c r="A5999"/>
    </row>
    <row r="6000" spans="1:1" x14ac:dyDescent="0.25">
      <c r="A6000"/>
    </row>
    <row r="6001" spans="1:1" x14ac:dyDescent="0.25">
      <c r="A6001"/>
    </row>
    <row r="6002" spans="1:1" x14ac:dyDescent="0.25">
      <c r="A6002"/>
    </row>
    <row r="6003" spans="1:1" x14ac:dyDescent="0.25">
      <c r="A6003"/>
    </row>
    <row r="6004" spans="1:1" x14ac:dyDescent="0.25">
      <c r="A6004"/>
    </row>
    <row r="6005" spans="1:1" x14ac:dyDescent="0.25">
      <c r="A6005"/>
    </row>
    <row r="6006" spans="1:1" x14ac:dyDescent="0.25">
      <c r="A6006"/>
    </row>
    <row r="6007" spans="1:1" x14ac:dyDescent="0.25">
      <c r="A6007"/>
    </row>
    <row r="6008" spans="1:1" x14ac:dyDescent="0.25">
      <c r="A6008"/>
    </row>
    <row r="6009" spans="1:1" x14ac:dyDescent="0.25">
      <c r="A6009"/>
    </row>
    <row r="6010" spans="1:1" x14ac:dyDescent="0.25">
      <c r="A6010"/>
    </row>
    <row r="6011" spans="1:1" x14ac:dyDescent="0.25">
      <c r="A6011"/>
    </row>
    <row r="6012" spans="1:1" x14ac:dyDescent="0.25">
      <c r="A6012"/>
    </row>
    <row r="6013" spans="1:1" x14ac:dyDescent="0.25">
      <c r="A6013"/>
    </row>
    <row r="6014" spans="1:1" x14ac:dyDescent="0.25">
      <c r="A6014"/>
    </row>
    <row r="6015" spans="1:1" x14ac:dyDescent="0.25">
      <c r="A6015"/>
    </row>
    <row r="6016" spans="1:1" x14ac:dyDescent="0.25">
      <c r="A6016"/>
    </row>
    <row r="6017" spans="1:1" x14ac:dyDescent="0.25">
      <c r="A6017"/>
    </row>
    <row r="6018" spans="1:1" x14ac:dyDescent="0.25">
      <c r="A6018"/>
    </row>
    <row r="6019" spans="1:1" x14ac:dyDescent="0.25">
      <c r="A6019"/>
    </row>
    <row r="6020" spans="1:1" x14ac:dyDescent="0.25">
      <c r="A6020"/>
    </row>
    <row r="6021" spans="1:1" x14ac:dyDescent="0.25">
      <c r="A6021"/>
    </row>
    <row r="6022" spans="1:1" x14ac:dyDescent="0.25">
      <c r="A6022"/>
    </row>
    <row r="6023" spans="1:1" x14ac:dyDescent="0.25">
      <c r="A6023"/>
    </row>
    <row r="6024" spans="1:1" x14ac:dyDescent="0.25">
      <c r="A6024"/>
    </row>
    <row r="6025" spans="1:1" x14ac:dyDescent="0.25">
      <c r="A6025"/>
    </row>
    <row r="6026" spans="1:1" x14ac:dyDescent="0.25">
      <c r="A6026"/>
    </row>
    <row r="6027" spans="1:1" x14ac:dyDescent="0.25">
      <c r="A6027"/>
    </row>
    <row r="6028" spans="1:1" x14ac:dyDescent="0.25">
      <c r="A6028"/>
    </row>
    <row r="6029" spans="1:1" x14ac:dyDescent="0.25">
      <c r="A6029"/>
    </row>
    <row r="6030" spans="1:1" x14ac:dyDescent="0.25">
      <c r="A6030"/>
    </row>
    <row r="6031" spans="1:1" x14ac:dyDescent="0.25">
      <c r="A6031"/>
    </row>
    <row r="6032" spans="1:1" x14ac:dyDescent="0.25">
      <c r="A6032"/>
    </row>
    <row r="6033" spans="1:1" x14ac:dyDescent="0.25">
      <c r="A6033"/>
    </row>
    <row r="6034" spans="1:1" x14ac:dyDescent="0.25">
      <c r="A6034"/>
    </row>
    <row r="6035" spans="1:1" x14ac:dyDescent="0.25">
      <c r="A6035"/>
    </row>
    <row r="6036" spans="1:1" x14ac:dyDescent="0.25">
      <c r="A6036"/>
    </row>
    <row r="6037" spans="1:1" x14ac:dyDescent="0.25">
      <c r="A6037"/>
    </row>
    <row r="6038" spans="1:1" x14ac:dyDescent="0.25">
      <c r="A6038"/>
    </row>
    <row r="6039" spans="1:1" x14ac:dyDescent="0.25">
      <c r="A6039"/>
    </row>
    <row r="6040" spans="1:1" x14ac:dyDescent="0.25">
      <c r="A6040"/>
    </row>
    <row r="6041" spans="1:1" x14ac:dyDescent="0.25">
      <c r="A6041"/>
    </row>
    <row r="6042" spans="1:1" x14ac:dyDescent="0.25">
      <c r="A6042"/>
    </row>
    <row r="6043" spans="1:1" x14ac:dyDescent="0.25">
      <c r="A6043"/>
    </row>
    <row r="6044" spans="1:1" x14ac:dyDescent="0.25">
      <c r="A6044"/>
    </row>
    <row r="6045" spans="1:1" x14ac:dyDescent="0.25">
      <c r="A6045"/>
    </row>
    <row r="6046" spans="1:1" x14ac:dyDescent="0.25">
      <c r="A6046"/>
    </row>
    <row r="6047" spans="1:1" x14ac:dyDescent="0.25">
      <c r="A6047"/>
    </row>
    <row r="6048" spans="1:1" x14ac:dyDescent="0.25">
      <c r="A6048"/>
    </row>
    <row r="6049" spans="1:1" x14ac:dyDescent="0.25">
      <c r="A6049"/>
    </row>
    <row r="6050" spans="1:1" x14ac:dyDescent="0.25">
      <c r="A6050"/>
    </row>
    <row r="6051" spans="1:1" x14ac:dyDescent="0.25">
      <c r="A6051"/>
    </row>
    <row r="6052" spans="1:1" x14ac:dyDescent="0.25">
      <c r="A6052"/>
    </row>
    <row r="6053" spans="1:1" x14ac:dyDescent="0.25">
      <c r="A6053"/>
    </row>
    <row r="6054" spans="1:1" x14ac:dyDescent="0.25">
      <c r="A6054"/>
    </row>
    <row r="6055" spans="1:1" x14ac:dyDescent="0.25">
      <c r="A6055"/>
    </row>
    <row r="6056" spans="1:1" x14ac:dyDescent="0.25">
      <c r="A6056"/>
    </row>
    <row r="6057" spans="1:1" x14ac:dyDescent="0.25">
      <c r="A6057"/>
    </row>
    <row r="6058" spans="1:1" x14ac:dyDescent="0.25">
      <c r="A6058"/>
    </row>
    <row r="6059" spans="1:1" x14ac:dyDescent="0.25">
      <c r="A6059"/>
    </row>
    <row r="6060" spans="1:1" x14ac:dyDescent="0.25">
      <c r="A6060"/>
    </row>
    <row r="6061" spans="1:1" x14ac:dyDescent="0.25">
      <c r="A6061"/>
    </row>
    <row r="6062" spans="1:1" x14ac:dyDescent="0.25">
      <c r="A6062"/>
    </row>
    <row r="6063" spans="1:1" x14ac:dyDescent="0.25">
      <c r="A6063"/>
    </row>
    <row r="6064" spans="1:1" x14ac:dyDescent="0.25">
      <c r="A6064"/>
    </row>
    <row r="6065" spans="1:1" x14ac:dyDescent="0.25">
      <c r="A6065"/>
    </row>
    <row r="6066" spans="1:1" x14ac:dyDescent="0.25">
      <c r="A6066"/>
    </row>
    <row r="6067" spans="1:1" x14ac:dyDescent="0.25">
      <c r="A6067"/>
    </row>
    <row r="6068" spans="1:1" x14ac:dyDescent="0.25">
      <c r="A6068"/>
    </row>
    <row r="6069" spans="1:1" x14ac:dyDescent="0.25">
      <c r="A6069"/>
    </row>
    <row r="6070" spans="1:1" x14ac:dyDescent="0.25">
      <c r="A6070"/>
    </row>
    <row r="6071" spans="1:1" x14ac:dyDescent="0.25">
      <c r="A6071"/>
    </row>
    <row r="6072" spans="1:1" x14ac:dyDescent="0.25">
      <c r="A6072"/>
    </row>
    <row r="6073" spans="1:1" x14ac:dyDescent="0.25">
      <c r="A6073"/>
    </row>
    <row r="6074" spans="1:1" x14ac:dyDescent="0.25">
      <c r="A6074"/>
    </row>
    <row r="6075" spans="1:1" x14ac:dyDescent="0.25">
      <c r="A6075"/>
    </row>
    <row r="6076" spans="1:1" x14ac:dyDescent="0.25">
      <c r="A6076"/>
    </row>
    <row r="6077" spans="1:1" x14ac:dyDescent="0.25">
      <c r="A6077"/>
    </row>
    <row r="6078" spans="1:1" x14ac:dyDescent="0.25">
      <c r="A6078"/>
    </row>
    <row r="6079" spans="1:1" x14ac:dyDescent="0.25">
      <c r="A6079"/>
    </row>
    <row r="6080" spans="1:1" x14ac:dyDescent="0.25">
      <c r="A6080"/>
    </row>
    <row r="6081" spans="1:1" x14ac:dyDescent="0.25">
      <c r="A6081"/>
    </row>
    <row r="6082" spans="1:1" x14ac:dyDescent="0.25">
      <c r="A6082"/>
    </row>
    <row r="6083" spans="1:1" x14ac:dyDescent="0.25">
      <c r="A6083"/>
    </row>
    <row r="6084" spans="1:1" x14ac:dyDescent="0.25">
      <c r="A6084"/>
    </row>
    <row r="6085" spans="1:1" x14ac:dyDescent="0.25">
      <c r="A6085"/>
    </row>
    <row r="6086" spans="1:1" x14ac:dyDescent="0.25">
      <c r="A6086"/>
    </row>
    <row r="6087" spans="1:1" x14ac:dyDescent="0.25">
      <c r="A6087"/>
    </row>
    <row r="6088" spans="1:1" x14ac:dyDescent="0.25">
      <c r="A6088"/>
    </row>
    <row r="6089" spans="1:1" x14ac:dyDescent="0.25">
      <c r="A6089"/>
    </row>
    <row r="6090" spans="1:1" x14ac:dyDescent="0.25">
      <c r="A6090"/>
    </row>
    <row r="6091" spans="1:1" x14ac:dyDescent="0.25">
      <c r="A6091"/>
    </row>
    <row r="6092" spans="1:1" x14ac:dyDescent="0.25">
      <c r="A6092"/>
    </row>
    <row r="6093" spans="1:1" x14ac:dyDescent="0.25">
      <c r="A6093"/>
    </row>
    <row r="6094" spans="1:1" x14ac:dyDescent="0.25">
      <c r="A6094"/>
    </row>
    <row r="6095" spans="1:1" x14ac:dyDescent="0.25">
      <c r="A6095"/>
    </row>
    <row r="6096" spans="1:1" x14ac:dyDescent="0.25">
      <c r="A6096"/>
    </row>
    <row r="6097" spans="1:1" x14ac:dyDescent="0.25">
      <c r="A6097"/>
    </row>
    <row r="6098" spans="1:1" x14ac:dyDescent="0.25">
      <c r="A6098"/>
    </row>
    <row r="6099" spans="1:1" x14ac:dyDescent="0.25">
      <c r="A6099"/>
    </row>
    <row r="6100" spans="1:1" x14ac:dyDescent="0.25">
      <c r="A6100"/>
    </row>
    <row r="6101" spans="1:1" x14ac:dyDescent="0.25">
      <c r="A6101"/>
    </row>
    <row r="6102" spans="1:1" x14ac:dyDescent="0.25">
      <c r="A6102"/>
    </row>
    <row r="6103" spans="1:1" x14ac:dyDescent="0.25">
      <c r="A6103"/>
    </row>
    <row r="6104" spans="1:1" x14ac:dyDescent="0.25">
      <c r="A6104"/>
    </row>
    <row r="6105" spans="1:1" x14ac:dyDescent="0.25">
      <c r="A6105"/>
    </row>
    <row r="6106" spans="1:1" x14ac:dyDescent="0.25">
      <c r="A6106"/>
    </row>
    <row r="6107" spans="1:1" x14ac:dyDescent="0.25">
      <c r="A6107"/>
    </row>
    <row r="6108" spans="1:1" x14ac:dyDescent="0.25">
      <c r="A6108"/>
    </row>
    <row r="6109" spans="1:1" x14ac:dyDescent="0.25">
      <c r="A6109"/>
    </row>
    <row r="6110" spans="1:1" x14ac:dyDescent="0.25">
      <c r="A6110"/>
    </row>
    <row r="6111" spans="1:1" x14ac:dyDescent="0.25">
      <c r="A6111"/>
    </row>
    <row r="6112" spans="1:1" x14ac:dyDescent="0.25">
      <c r="A6112"/>
    </row>
    <row r="6113" spans="1:1" x14ac:dyDescent="0.25">
      <c r="A6113"/>
    </row>
    <row r="6114" spans="1:1" x14ac:dyDescent="0.25">
      <c r="A6114"/>
    </row>
    <row r="6115" spans="1:1" x14ac:dyDescent="0.25">
      <c r="A6115"/>
    </row>
    <row r="6116" spans="1:1" x14ac:dyDescent="0.25">
      <c r="A6116"/>
    </row>
    <row r="6117" spans="1:1" x14ac:dyDescent="0.25">
      <c r="A6117"/>
    </row>
    <row r="6118" spans="1:1" x14ac:dyDescent="0.25">
      <c r="A6118"/>
    </row>
    <row r="6119" spans="1:1" x14ac:dyDescent="0.25">
      <c r="A6119"/>
    </row>
    <row r="6120" spans="1:1" x14ac:dyDescent="0.25">
      <c r="A6120"/>
    </row>
    <row r="6121" spans="1:1" x14ac:dyDescent="0.25">
      <c r="A6121"/>
    </row>
    <row r="6122" spans="1:1" x14ac:dyDescent="0.25">
      <c r="A6122"/>
    </row>
    <row r="6123" spans="1:1" x14ac:dyDescent="0.25">
      <c r="A6123"/>
    </row>
    <row r="6124" spans="1:1" x14ac:dyDescent="0.25">
      <c r="A6124"/>
    </row>
    <row r="6125" spans="1:1" x14ac:dyDescent="0.25">
      <c r="A6125"/>
    </row>
    <row r="6126" spans="1:1" x14ac:dyDescent="0.25">
      <c r="A6126"/>
    </row>
    <row r="6127" spans="1:1" x14ac:dyDescent="0.25">
      <c r="A6127"/>
    </row>
    <row r="6128" spans="1:1" x14ac:dyDescent="0.25">
      <c r="A6128"/>
    </row>
    <row r="6129" spans="1:1" x14ac:dyDescent="0.25">
      <c r="A6129"/>
    </row>
    <row r="6130" spans="1:1" x14ac:dyDescent="0.25">
      <c r="A6130"/>
    </row>
    <row r="6131" spans="1:1" x14ac:dyDescent="0.25">
      <c r="A6131"/>
    </row>
    <row r="6132" spans="1:1" x14ac:dyDescent="0.25">
      <c r="A6132"/>
    </row>
    <row r="6133" spans="1:1" x14ac:dyDescent="0.25">
      <c r="A6133"/>
    </row>
    <row r="6134" spans="1:1" x14ac:dyDescent="0.25">
      <c r="A6134"/>
    </row>
    <row r="6135" spans="1:1" x14ac:dyDescent="0.25">
      <c r="A6135"/>
    </row>
    <row r="6136" spans="1:1" x14ac:dyDescent="0.25">
      <c r="A6136"/>
    </row>
    <row r="6137" spans="1:1" x14ac:dyDescent="0.25">
      <c r="A6137"/>
    </row>
    <row r="6138" spans="1:1" x14ac:dyDescent="0.25">
      <c r="A6138"/>
    </row>
    <row r="6139" spans="1:1" x14ac:dyDescent="0.25">
      <c r="A6139"/>
    </row>
    <row r="6140" spans="1:1" x14ac:dyDescent="0.25">
      <c r="A6140"/>
    </row>
    <row r="6141" spans="1:1" x14ac:dyDescent="0.25">
      <c r="A6141"/>
    </row>
    <row r="6142" spans="1:1" x14ac:dyDescent="0.25">
      <c r="A6142"/>
    </row>
    <row r="6143" spans="1:1" x14ac:dyDescent="0.25">
      <c r="A6143"/>
    </row>
    <row r="6144" spans="1:1" x14ac:dyDescent="0.25">
      <c r="A6144"/>
    </row>
    <row r="6145" spans="1:1" x14ac:dyDescent="0.25">
      <c r="A6145"/>
    </row>
    <row r="6146" spans="1:1" x14ac:dyDescent="0.25">
      <c r="A6146"/>
    </row>
    <row r="6147" spans="1:1" x14ac:dyDescent="0.25">
      <c r="A6147"/>
    </row>
    <row r="6148" spans="1:1" x14ac:dyDescent="0.25">
      <c r="A6148"/>
    </row>
    <row r="6149" spans="1:1" x14ac:dyDescent="0.25">
      <c r="A6149"/>
    </row>
    <row r="6150" spans="1:1" x14ac:dyDescent="0.25">
      <c r="A6150"/>
    </row>
    <row r="6151" spans="1:1" x14ac:dyDescent="0.25">
      <c r="A6151"/>
    </row>
    <row r="6152" spans="1:1" x14ac:dyDescent="0.25">
      <c r="A6152"/>
    </row>
    <row r="6153" spans="1:1" x14ac:dyDescent="0.25">
      <c r="A6153"/>
    </row>
    <row r="6154" spans="1:1" x14ac:dyDescent="0.25">
      <c r="A6154"/>
    </row>
    <row r="6155" spans="1:1" x14ac:dyDescent="0.25">
      <c r="A6155"/>
    </row>
    <row r="6156" spans="1:1" x14ac:dyDescent="0.25">
      <c r="A6156"/>
    </row>
    <row r="6157" spans="1:1" x14ac:dyDescent="0.25">
      <c r="A6157"/>
    </row>
    <row r="6158" spans="1:1" x14ac:dyDescent="0.25">
      <c r="A6158"/>
    </row>
    <row r="6159" spans="1:1" x14ac:dyDescent="0.25">
      <c r="A6159"/>
    </row>
    <row r="6160" spans="1:1" x14ac:dyDescent="0.25">
      <c r="A6160"/>
    </row>
    <row r="6161" spans="1:1" x14ac:dyDescent="0.25">
      <c r="A6161"/>
    </row>
    <row r="6162" spans="1:1" x14ac:dyDescent="0.25">
      <c r="A6162"/>
    </row>
    <row r="6163" spans="1:1" x14ac:dyDescent="0.25">
      <c r="A6163"/>
    </row>
    <row r="6164" spans="1:1" x14ac:dyDescent="0.25">
      <c r="A6164"/>
    </row>
    <row r="6165" spans="1:1" x14ac:dyDescent="0.25">
      <c r="A6165"/>
    </row>
    <row r="6166" spans="1:1" x14ac:dyDescent="0.25">
      <c r="A6166"/>
    </row>
    <row r="6167" spans="1:1" x14ac:dyDescent="0.25">
      <c r="A6167"/>
    </row>
    <row r="6168" spans="1:1" x14ac:dyDescent="0.25">
      <c r="A6168"/>
    </row>
    <row r="6169" spans="1:1" x14ac:dyDescent="0.25">
      <c r="A6169"/>
    </row>
    <row r="6170" spans="1:1" x14ac:dyDescent="0.25">
      <c r="A6170"/>
    </row>
    <row r="6171" spans="1:1" x14ac:dyDescent="0.25">
      <c r="A6171"/>
    </row>
    <row r="6172" spans="1:1" x14ac:dyDescent="0.25">
      <c r="A6172"/>
    </row>
    <row r="6173" spans="1:1" x14ac:dyDescent="0.25">
      <c r="A6173"/>
    </row>
    <row r="6174" spans="1:1" x14ac:dyDescent="0.25">
      <c r="A6174"/>
    </row>
    <row r="6175" spans="1:1" x14ac:dyDescent="0.25">
      <c r="A6175"/>
    </row>
    <row r="6176" spans="1:1" x14ac:dyDescent="0.25">
      <c r="A6176"/>
    </row>
    <row r="6177" spans="1:1" x14ac:dyDescent="0.25">
      <c r="A6177"/>
    </row>
    <row r="6178" spans="1:1" x14ac:dyDescent="0.25">
      <c r="A6178"/>
    </row>
    <row r="6179" spans="1:1" x14ac:dyDescent="0.25">
      <c r="A6179"/>
    </row>
    <row r="6180" spans="1:1" x14ac:dyDescent="0.25">
      <c r="A6180"/>
    </row>
    <row r="6181" spans="1:1" x14ac:dyDescent="0.25">
      <c r="A6181"/>
    </row>
    <row r="6182" spans="1:1" x14ac:dyDescent="0.25">
      <c r="A6182"/>
    </row>
    <row r="6183" spans="1:1" x14ac:dyDescent="0.25">
      <c r="A6183"/>
    </row>
    <row r="6184" spans="1:1" x14ac:dyDescent="0.25">
      <c r="A6184"/>
    </row>
    <row r="6185" spans="1:1" x14ac:dyDescent="0.25">
      <c r="A6185"/>
    </row>
    <row r="6186" spans="1:1" x14ac:dyDescent="0.25">
      <c r="A6186"/>
    </row>
    <row r="6187" spans="1:1" x14ac:dyDescent="0.25">
      <c r="A6187"/>
    </row>
    <row r="6188" spans="1:1" x14ac:dyDescent="0.25">
      <c r="A6188"/>
    </row>
    <row r="6189" spans="1:1" x14ac:dyDescent="0.25">
      <c r="A6189"/>
    </row>
    <row r="6190" spans="1:1" x14ac:dyDescent="0.25">
      <c r="A6190"/>
    </row>
    <row r="6191" spans="1:1" x14ac:dyDescent="0.25">
      <c r="A6191"/>
    </row>
    <row r="6192" spans="1:1" x14ac:dyDescent="0.25">
      <c r="A6192"/>
    </row>
    <row r="6193" spans="1:1" x14ac:dyDescent="0.25">
      <c r="A6193"/>
    </row>
    <row r="6194" spans="1:1" x14ac:dyDescent="0.25">
      <c r="A6194"/>
    </row>
    <row r="6195" spans="1:1" x14ac:dyDescent="0.25">
      <c r="A6195"/>
    </row>
    <row r="6196" spans="1:1" x14ac:dyDescent="0.25">
      <c r="A6196"/>
    </row>
    <row r="6197" spans="1:1" x14ac:dyDescent="0.25">
      <c r="A6197"/>
    </row>
    <row r="6198" spans="1:1" x14ac:dyDescent="0.25">
      <c r="A6198"/>
    </row>
    <row r="6199" spans="1:1" x14ac:dyDescent="0.25">
      <c r="A6199"/>
    </row>
    <row r="6200" spans="1:1" x14ac:dyDescent="0.25">
      <c r="A6200"/>
    </row>
    <row r="6201" spans="1:1" x14ac:dyDescent="0.25">
      <c r="A6201"/>
    </row>
    <row r="6202" spans="1:1" x14ac:dyDescent="0.25">
      <c r="A6202"/>
    </row>
    <row r="6203" spans="1:1" x14ac:dyDescent="0.25">
      <c r="A6203"/>
    </row>
    <row r="6204" spans="1:1" x14ac:dyDescent="0.25">
      <c r="A6204"/>
    </row>
    <row r="6205" spans="1:1" x14ac:dyDescent="0.25">
      <c r="A6205"/>
    </row>
    <row r="6206" spans="1:1" x14ac:dyDescent="0.25">
      <c r="A6206"/>
    </row>
    <row r="6207" spans="1:1" x14ac:dyDescent="0.25">
      <c r="A6207"/>
    </row>
    <row r="6208" spans="1:1" x14ac:dyDescent="0.25">
      <c r="A6208"/>
    </row>
    <row r="6209" spans="1:1" x14ac:dyDescent="0.25">
      <c r="A6209"/>
    </row>
    <row r="6210" spans="1:1" x14ac:dyDescent="0.25">
      <c r="A6210"/>
    </row>
    <row r="6211" spans="1:1" x14ac:dyDescent="0.25">
      <c r="A6211"/>
    </row>
    <row r="6212" spans="1:1" x14ac:dyDescent="0.25">
      <c r="A6212"/>
    </row>
    <row r="6213" spans="1:1" x14ac:dyDescent="0.25">
      <c r="A6213"/>
    </row>
    <row r="6214" spans="1:1" x14ac:dyDescent="0.25">
      <c r="A6214"/>
    </row>
    <row r="6215" spans="1:1" x14ac:dyDescent="0.25">
      <c r="A6215"/>
    </row>
    <row r="6216" spans="1:1" x14ac:dyDescent="0.25">
      <c r="A6216"/>
    </row>
    <row r="6217" spans="1:1" x14ac:dyDescent="0.25">
      <c r="A6217"/>
    </row>
    <row r="6218" spans="1:1" x14ac:dyDescent="0.25">
      <c r="A6218"/>
    </row>
    <row r="6219" spans="1:1" x14ac:dyDescent="0.25">
      <c r="A6219"/>
    </row>
    <row r="6220" spans="1:1" x14ac:dyDescent="0.25">
      <c r="A6220"/>
    </row>
    <row r="6221" spans="1:1" x14ac:dyDescent="0.25">
      <c r="A6221"/>
    </row>
    <row r="6222" spans="1:1" x14ac:dyDescent="0.25">
      <c r="A6222"/>
    </row>
    <row r="6223" spans="1:1" x14ac:dyDescent="0.25">
      <c r="A6223"/>
    </row>
    <row r="6224" spans="1:1" x14ac:dyDescent="0.25">
      <c r="A6224"/>
    </row>
    <row r="6225" spans="1:1" x14ac:dyDescent="0.25">
      <c r="A6225"/>
    </row>
    <row r="6226" spans="1:1" x14ac:dyDescent="0.25">
      <c r="A6226"/>
    </row>
    <row r="6227" spans="1:1" x14ac:dyDescent="0.25">
      <c r="A6227"/>
    </row>
    <row r="6228" spans="1:1" x14ac:dyDescent="0.25">
      <c r="A6228"/>
    </row>
    <row r="6229" spans="1:1" x14ac:dyDescent="0.25">
      <c r="A6229"/>
    </row>
    <row r="6230" spans="1:1" x14ac:dyDescent="0.25">
      <c r="A6230"/>
    </row>
    <row r="6231" spans="1:1" x14ac:dyDescent="0.25">
      <c r="A6231"/>
    </row>
    <row r="6232" spans="1:1" x14ac:dyDescent="0.25">
      <c r="A6232"/>
    </row>
    <row r="6233" spans="1:1" x14ac:dyDescent="0.25">
      <c r="A6233"/>
    </row>
    <row r="6234" spans="1:1" x14ac:dyDescent="0.25">
      <c r="A6234"/>
    </row>
    <row r="6235" spans="1:1" x14ac:dyDescent="0.25">
      <c r="A6235"/>
    </row>
    <row r="6236" spans="1:1" x14ac:dyDescent="0.25">
      <c r="A6236"/>
    </row>
    <row r="6237" spans="1:1" x14ac:dyDescent="0.25">
      <c r="A6237"/>
    </row>
    <row r="6238" spans="1:1" x14ac:dyDescent="0.25">
      <c r="A6238"/>
    </row>
    <row r="6239" spans="1:1" x14ac:dyDescent="0.25">
      <c r="A6239"/>
    </row>
    <row r="6240" spans="1:1" x14ac:dyDescent="0.25">
      <c r="A6240"/>
    </row>
    <row r="6241" spans="1:1" x14ac:dyDescent="0.25">
      <c r="A6241"/>
    </row>
    <row r="6242" spans="1:1" x14ac:dyDescent="0.25">
      <c r="A6242"/>
    </row>
    <row r="6243" spans="1:1" x14ac:dyDescent="0.25">
      <c r="A6243"/>
    </row>
    <row r="6244" spans="1:1" x14ac:dyDescent="0.25">
      <c r="A6244"/>
    </row>
    <row r="6245" spans="1:1" x14ac:dyDescent="0.25">
      <c r="A6245"/>
    </row>
    <row r="6246" spans="1:1" x14ac:dyDescent="0.25">
      <c r="A6246"/>
    </row>
    <row r="6247" spans="1:1" x14ac:dyDescent="0.25">
      <c r="A6247"/>
    </row>
    <row r="6248" spans="1:1" x14ac:dyDescent="0.25">
      <c r="A6248"/>
    </row>
    <row r="6249" spans="1:1" x14ac:dyDescent="0.25">
      <c r="A6249"/>
    </row>
    <row r="6250" spans="1:1" x14ac:dyDescent="0.25">
      <c r="A6250"/>
    </row>
    <row r="6251" spans="1:1" x14ac:dyDescent="0.25">
      <c r="A6251"/>
    </row>
    <row r="6252" spans="1:1" x14ac:dyDescent="0.25">
      <c r="A6252"/>
    </row>
    <row r="6253" spans="1:1" x14ac:dyDescent="0.25">
      <c r="A6253"/>
    </row>
    <row r="6254" spans="1:1" x14ac:dyDescent="0.25">
      <c r="A6254"/>
    </row>
    <row r="6255" spans="1:1" x14ac:dyDescent="0.25">
      <c r="A6255"/>
    </row>
    <row r="6256" spans="1:1" x14ac:dyDescent="0.25">
      <c r="A6256"/>
    </row>
    <row r="6257" spans="1:1" x14ac:dyDescent="0.25">
      <c r="A6257"/>
    </row>
    <row r="6258" spans="1:1" x14ac:dyDescent="0.25">
      <c r="A6258"/>
    </row>
    <row r="6259" spans="1:1" x14ac:dyDescent="0.25">
      <c r="A6259"/>
    </row>
    <row r="6260" spans="1:1" x14ac:dyDescent="0.25">
      <c r="A6260"/>
    </row>
    <row r="6261" spans="1:1" x14ac:dyDescent="0.25">
      <c r="A6261"/>
    </row>
    <row r="6262" spans="1:1" x14ac:dyDescent="0.25">
      <c r="A6262"/>
    </row>
    <row r="6263" spans="1:1" x14ac:dyDescent="0.25">
      <c r="A6263"/>
    </row>
    <row r="6264" spans="1:1" x14ac:dyDescent="0.25">
      <c r="A6264"/>
    </row>
    <row r="6265" spans="1:1" x14ac:dyDescent="0.25">
      <c r="A6265"/>
    </row>
    <row r="6266" spans="1:1" x14ac:dyDescent="0.25">
      <c r="A6266"/>
    </row>
    <row r="6267" spans="1:1" x14ac:dyDescent="0.25">
      <c r="A6267"/>
    </row>
    <row r="6268" spans="1:1" x14ac:dyDescent="0.25">
      <c r="A6268"/>
    </row>
    <row r="6269" spans="1:1" x14ac:dyDescent="0.25">
      <c r="A6269"/>
    </row>
    <row r="6270" spans="1:1" x14ac:dyDescent="0.25">
      <c r="A6270"/>
    </row>
    <row r="6271" spans="1:1" x14ac:dyDescent="0.25">
      <c r="A6271"/>
    </row>
    <row r="6272" spans="1:1" x14ac:dyDescent="0.25">
      <c r="A6272"/>
    </row>
    <row r="6273" spans="1:1" x14ac:dyDescent="0.25">
      <c r="A6273"/>
    </row>
    <row r="6274" spans="1:1" x14ac:dyDescent="0.25">
      <c r="A6274"/>
    </row>
    <row r="6275" spans="1:1" x14ac:dyDescent="0.25">
      <c r="A6275"/>
    </row>
    <row r="6276" spans="1:1" x14ac:dyDescent="0.25">
      <c r="A6276"/>
    </row>
    <row r="6277" spans="1:1" x14ac:dyDescent="0.25">
      <c r="A6277"/>
    </row>
    <row r="6278" spans="1:1" x14ac:dyDescent="0.25">
      <c r="A6278"/>
    </row>
    <row r="6279" spans="1:1" x14ac:dyDescent="0.25">
      <c r="A6279"/>
    </row>
    <row r="6280" spans="1:1" x14ac:dyDescent="0.25">
      <c r="A6280"/>
    </row>
    <row r="6281" spans="1:1" x14ac:dyDescent="0.25">
      <c r="A6281"/>
    </row>
    <row r="6282" spans="1:1" x14ac:dyDescent="0.25">
      <c r="A6282"/>
    </row>
    <row r="6283" spans="1:1" x14ac:dyDescent="0.25">
      <c r="A6283"/>
    </row>
    <row r="6284" spans="1:1" x14ac:dyDescent="0.25">
      <c r="A6284"/>
    </row>
    <row r="6285" spans="1:1" x14ac:dyDescent="0.25">
      <c r="A6285"/>
    </row>
    <row r="6286" spans="1:1" x14ac:dyDescent="0.25">
      <c r="A6286"/>
    </row>
    <row r="6287" spans="1:1" x14ac:dyDescent="0.25">
      <c r="A6287"/>
    </row>
    <row r="6288" spans="1:1" x14ac:dyDescent="0.25">
      <c r="A6288"/>
    </row>
    <row r="6289" spans="1:1" x14ac:dyDescent="0.25">
      <c r="A6289"/>
    </row>
    <row r="6290" spans="1:1" x14ac:dyDescent="0.25">
      <c r="A6290"/>
    </row>
    <row r="6291" spans="1:1" x14ac:dyDescent="0.25">
      <c r="A6291"/>
    </row>
    <row r="6292" spans="1:1" x14ac:dyDescent="0.25">
      <c r="A6292"/>
    </row>
    <row r="6293" spans="1:1" x14ac:dyDescent="0.25">
      <c r="A6293"/>
    </row>
    <row r="6294" spans="1:1" x14ac:dyDescent="0.25">
      <c r="A6294"/>
    </row>
    <row r="6295" spans="1:1" x14ac:dyDescent="0.25">
      <c r="A6295"/>
    </row>
    <row r="6296" spans="1:1" x14ac:dyDescent="0.25">
      <c r="A6296"/>
    </row>
    <row r="6297" spans="1:1" x14ac:dyDescent="0.25">
      <c r="A6297"/>
    </row>
    <row r="6298" spans="1:1" x14ac:dyDescent="0.25">
      <c r="A6298"/>
    </row>
    <row r="6299" spans="1:1" x14ac:dyDescent="0.25">
      <c r="A6299"/>
    </row>
    <row r="6300" spans="1:1" x14ac:dyDescent="0.25">
      <c r="A6300"/>
    </row>
    <row r="6301" spans="1:1" x14ac:dyDescent="0.25">
      <c r="A6301"/>
    </row>
    <row r="6302" spans="1:1" x14ac:dyDescent="0.25">
      <c r="A6302"/>
    </row>
    <row r="6303" spans="1:1" x14ac:dyDescent="0.25">
      <c r="A6303"/>
    </row>
    <row r="6304" spans="1:1" x14ac:dyDescent="0.25">
      <c r="A6304"/>
    </row>
    <row r="6305" spans="1:1" x14ac:dyDescent="0.25">
      <c r="A6305"/>
    </row>
    <row r="6306" spans="1:1" x14ac:dyDescent="0.25">
      <c r="A6306"/>
    </row>
    <row r="6307" spans="1:1" x14ac:dyDescent="0.25">
      <c r="A6307"/>
    </row>
    <row r="6308" spans="1:1" x14ac:dyDescent="0.25">
      <c r="A6308"/>
    </row>
    <row r="6309" spans="1:1" x14ac:dyDescent="0.25">
      <c r="A6309"/>
    </row>
    <row r="6310" spans="1:1" x14ac:dyDescent="0.25">
      <c r="A6310"/>
    </row>
    <row r="6311" spans="1:1" x14ac:dyDescent="0.25">
      <c r="A6311"/>
    </row>
    <row r="6312" spans="1:1" x14ac:dyDescent="0.25">
      <c r="A6312"/>
    </row>
    <row r="6313" spans="1:1" x14ac:dyDescent="0.25">
      <c r="A6313"/>
    </row>
    <row r="6314" spans="1:1" x14ac:dyDescent="0.25">
      <c r="A6314"/>
    </row>
    <row r="6315" spans="1:1" x14ac:dyDescent="0.25">
      <c r="A6315"/>
    </row>
    <row r="6316" spans="1:1" x14ac:dyDescent="0.25">
      <c r="A6316"/>
    </row>
    <row r="6317" spans="1:1" x14ac:dyDescent="0.25">
      <c r="A6317"/>
    </row>
    <row r="6318" spans="1:1" x14ac:dyDescent="0.25">
      <c r="A6318"/>
    </row>
    <row r="6319" spans="1:1" x14ac:dyDescent="0.25">
      <c r="A6319"/>
    </row>
    <row r="6320" spans="1:1" x14ac:dyDescent="0.25">
      <c r="A6320"/>
    </row>
    <row r="6321" spans="1:1" x14ac:dyDescent="0.25">
      <c r="A6321"/>
    </row>
    <row r="6322" spans="1:1" x14ac:dyDescent="0.25">
      <c r="A6322"/>
    </row>
    <row r="6323" spans="1:1" x14ac:dyDescent="0.25">
      <c r="A6323"/>
    </row>
    <row r="6324" spans="1:1" x14ac:dyDescent="0.25">
      <c r="A6324"/>
    </row>
    <row r="6325" spans="1:1" x14ac:dyDescent="0.25">
      <c r="A6325"/>
    </row>
    <row r="6326" spans="1:1" x14ac:dyDescent="0.25">
      <c r="A6326"/>
    </row>
    <row r="6327" spans="1:1" x14ac:dyDescent="0.25">
      <c r="A6327"/>
    </row>
    <row r="6328" spans="1:1" x14ac:dyDescent="0.25">
      <c r="A6328"/>
    </row>
    <row r="6329" spans="1:1" x14ac:dyDescent="0.25">
      <c r="A6329"/>
    </row>
    <row r="6330" spans="1:1" x14ac:dyDescent="0.25">
      <c r="A6330"/>
    </row>
    <row r="6331" spans="1:1" x14ac:dyDescent="0.25">
      <c r="A6331"/>
    </row>
    <row r="6332" spans="1:1" x14ac:dyDescent="0.25">
      <c r="A6332"/>
    </row>
    <row r="6333" spans="1:1" x14ac:dyDescent="0.25">
      <c r="A6333"/>
    </row>
    <row r="6334" spans="1:1" x14ac:dyDescent="0.25">
      <c r="A6334"/>
    </row>
    <row r="6335" spans="1:1" x14ac:dyDescent="0.25">
      <c r="A6335"/>
    </row>
    <row r="6336" spans="1:1" x14ac:dyDescent="0.25">
      <c r="A6336"/>
    </row>
    <row r="6337" spans="1:1" x14ac:dyDescent="0.25">
      <c r="A6337"/>
    </row>
    <row r="6338" spans="1:1" x14ac:dyDescent="0.25">
      <c r="A6338"/>
    </row>
    <row r="6339" spans="1:1" x14ac:dyDescent="0.25">
      <c r="A6339"/>
    </row>
    <row r="6340" spans="1:1" x14ac:dyDescent="0.25">
      <c r="A6340"/>
    </row>
    <row r="6341" spans="1:1" x14ac:dyDescent="0.25">
      <c r="A6341"/>
    </row>
    <row r="6342" spans="1:1" x14ac:dyDescent="0.25">
      <c r="A6342"/>
    </row>
    <row r="6343" spans="1:1" x14ac:dyDescent="0.25">
      <c r="A6343"/>
    </row>
    <row r="6344" spans="1:1" x14ac:dyDescent="0.25">
      <c r="A6344"/>
    </row>
    <row r="6345" spans="1:1" x14ac:dyDescent="0.25">
      <c r="A6345"/>
    </row>
    <row r="6346" spans="1:1" x14ac:dyDescent="0.25">
      <c r="A6346"/>
    </row>
    <row r="6347" spans="1:1" x14ac:dyDescent="0.25">
      <c r="A6347"/>
    </row>
    <row r="6348" spans="1:1" x14ac:dyDescent="0.25">
      <c r="A6348"/>
    </row>
    <row r="6349" spans="1:1" x14ac:dyDescent="0.25">
      <c r="A6349"/>
    </row>
    <row r="6350" spans="1:1" x14ac:dyDescent="0.25">
      <c r="A6350"/>
    </row>
    <row r="6351" spans="1:1" x14ac:dyDescent="0.25">
      <c r="A6351"/>
    </row>
    <row r="6352" spans="1:1" x14ac:dyDescent="0.25">
      <c r="A6352"/>
    </row>
    <row r="6353" spans="1:1" x14ac:dyDescent="0.25">
      <c r="A6353"/>
    </row>
    <row r="6354" spans="1:1" x14ac:dyDescent="0.25">
      <c r="A6354"/>
    </row>
    <row r="6355" spans="1:1" x14ac:dyDescent="0.25">
      <c r="A6355"/>
    </row>
    <row r="6356" spans="1:1" x14ac:dyDescent="0.25">
      <c r="A6356"/>
    </row>
    <row r="6357" spans="1:1" x14ac:dyDescent="0.25">
      <c r="A6357"/>
    </row>
    <row r="6358" spans="1:1" x14ac:dyDescent="0.25">
      <c r="A6358"/>
    </row>
    <row r="6359" spans="1:1" x14ac:dyDescent="0.25">
      <c r="A6359"/>
    </row>
    <row r="6360" spans="1:1" x14ac:dyDescent="0.25">
      <c r="A6360"/>
    </row>
    <row r="6361" spans="1:1" x14ac:dyDescent="0.25">
      <c r="A6361"/>
    </row>
    <row r="6362" spans="1:1" x14ac:dyDescent="0.25">
      <c r="A6362"/>
    </row>
    <row r="6363" spans="1:1" x14ac:dyDescent="0.25">
      <c r="A6363"/>
    </row>
    <row r="6364" spans="1:1" x14ac:dyDescent="0.25">
      <c r="A6364"/>
    </row>
    <row r="6365" spans="1:1" x14ac:dyDescent="0.25">
      <c r="A6365"/>
    </row>
    <row r="6366" spans="1:1" x14ac:dyDescent="0.25">
      <c r="A6366"/>
    </row>
    <row r="6367" spans="1:1" x14ac:dyDescent="0.25">
      <c r="A6367"/>
    </row>
    <row r="6368" spans="1:1" x14ac:dyDescent="0.25">
      <c r="A6368"/>
    </row>
    <row r="6369" spans="1:1" x14ac:dyDescent="0.25">
      <c r="A6369"/>
    </row>
    <row r="6370" spans="1:1" x14ac:dyDescent="0.25">
      <c r="A6370"/>
    </row>
    <row r="6371" spans="1:1" x14ac:dyDescent="0.25">
      <c r="A6371"/>
    </row>
    <row r="6372" spans="1:1" x14ac:dyDescent="0.25">
      <c r="A6372"/>
    </row>
    <row r="6373" spans="1:1" x14ac:dyDescent="0.25">
      <c r="A6373"/>
    </row>
    <row r="6374" spans="1:1" x14ac:dyDescent="0.25">
      <c r="A6374"/>
    </row>
    <row r="6375" spans="1:1" x14ac:dyDescent="0.25">
      <c r="A6375"/>
    </row>
    <row r="6376" spans="1:1" x14ac:dyDescent="0.25">
      <c r="A6376"/>
    </row>
    <row r="6377" spans="1:1" x14ac:dyDescent="0.25">
      <c r="A6377"/>
    </row>
    <row r="6378" spans="1:1" x14ac:dyDescent="0.25">
      <c r="A6378"/>
    </row>
    <row r="6379" spans="1:1" x14ac:dyDescent="0.25">
      <c r="A6379"/>
    </row>
    <row r="6380" spans="1:1" x14ac:dyDescent="0.25">
      <c r="A6380"/>
    </row>
    <row r="6381" spans="1:1" x14ac:dyDescent="0.25">
      <c r="A6381"/>
    </row>
    <row r="6382" spans="1:1" x14ac:dyDescent="0.25">
      <c r="A6382"/>
    </row>
    <row r="6383" spans="1:1" x14ac:dyDescent="0.25">
      <c r="A6383"/>
    </row>
    <row r="6384" spans="1:1" x14ac:dyDescent="0.25">
      <c r="A6384"/>
    </row>
    <row r="6385" spans="1:1" x14ac:dyDescent="0.25">
      <c r="A6385"/>
    </row>
    <row r="6386" spans="1:1" x14ac:dyDescent="0.25">
      <c r="A6386"/>
    </row>
    <row r="6387" spans="1:1" x14ac:dyDescent="0.25">
      <c r="A6387"/>
    </row>
    <row r="6388" spans="1:1" x14ac:dyDescent="0.25">
      <c r="A6388"/>
    </row>
    <row r="6389" spans="1:1" x14ac:dyDescent="0.25">
      <c r="A6389"/>
    </row>
    <row r="6390" spans="1:1" x14ac:dyDescent="0.25">
      <c r="A6390"/>
    </row>
    <row r="6391" spans="1:1" x14ac:dyDescent="0.25">
      <c r="A6391"/>
    </row>
    <row r="6392" spans="1:1" x14ac:dyDescent="0.25">
      <c r="A6392"/>
    </row>
    <row r="6393" spans="1:1" x14ac:dyDescent="0.25">
      <c r="A6393"/>
    </row>
    <row r="6394" spans="1:1" x14ac:dyDescent="0.25">
      <c r="A6394"/>
    </row>
    <row r="6395" spans="1:1" x14ac:dyDescent="0.25">
      <c r="A6395"/>
    </row>
    <row r="6396" spans="1:1" x14ac:dyDescent="0.25">
      <c r="A6396"/>
    </row>
    <row r="6397" spans="1:1" x14ac:dyDescent="0.25">
      <c r="A6397"/>
    </row>
    <row r="6398" spans="1:1" x14ac:dyDescent="0.25">
      <c r="A6398"/>
    </row>
    <row r="6399" spans="1:1" x14ac:dyDescent="0.25">
      <c r="A6399"/>
    </row>
    <row r="6400" spans="1:1" x14ac:dyDescent="0.25">
      <c r="A6400"/>
    </row>
    <row r="6401" spans="1:1" x14ac:dyDescent="0.25">
      <c r="A6401"/>
    </row>
    <row r="6402" spans="1:1" x14ac:dyDescent="0.25">
      <c r="A6402"/>
    </row>
    <row r="6403" spans="1:1" x14ac:dyDescent="0.25">
      <c r="A6403"/>
    </row>
    <row r="6404" spans="1:1" x14ac:dyDescent="0.25">
      <c r="A6404"/>
    </row>
    <row r="6405" spans="1:1" x14ac:dyDescent="0.25">
      <c r="A6405"/>
    </row>
    <row r="6406" spans="1:1" x14ac:dyDescent="0.25">
      <c r="A6406"/>
    </row>
    <row r="6407" spans="1:1" x14ac:dyDescent="0.25">
      <c r="A6407"/>
    </row>
    <row r="6408" spans="1:1" x14ac:dyDescent="0.25">
      <c r="A6408"/>
    </row>
    <row r="6409" spans="1:1" x14ac:dyDescent="0.25">
      <c r="A6409"/>
    </row>
    <row r="6410" spans="1:1" x14ac:dyDescent="0.25">
      <c r="A6410"/>
    </row>
    <row r="6411" spans="1:1" x14ac:dyDescent="0.25">
      <c r="A6411"/>
    </row>
    <row r="6412" spans="1:1" x14ac:dyDescent="0.25">
      <c r="A6412"/>
    </row>
    <row r="6413" spans="1:1" x14ac:dyDescent="0.25">
      <c r="A6413"/>
    </row>
    <row r="6414" spans="1:1" x14ac:dyDescent="0.25">
      <c r="A6414"/>
    </row>
    <row r="6415" spans="1:1" x14ac:dyDescent="0.25">
      <c r="A6415"/>
    </row>
    <row r="6416" spans="1:1" x14ac:dyDescent="0.25">
      <c r="A6416"/>
    </row>
    <row r="6417" spans="1:1" x14ac:dyDescent="0.25">
      <c r="A6417"/>
    </row>
    <row r="6418" spans="1:1" x14ac:dyDescent="0.25">
      <c r="A6418"/>
    </row>
    <row r="6419" spans="1:1" x14ac:dyDescent="0.25">
      <c r="A6419"/>
    </row>
    <row r="6420" spans="1:1" x14ac:dyDescent="0.25">
      <c r="A6420"/>
    </row>
    <row r="6421" spans="1:1" x14ac:dyDescent="0.25">
      <c r="A6421"/>
    </row>
    <row r="6422" spans="1:1" x14ac:dyDescent="0.25">
      <c r="A6422"/>
    </row>
    <row r="6423" spans="1:1" x14ac:dyDescent="0.25">
      <c r="A6423"/>
    </row>
    <row r="6424" spans="1:1" x14ac:dyDescent="0.25">
      <c r="A6424"/>
    </row>
    <row r="6425" spans="1:1" x14ac:dyDescent="0.25">
      <c r="A6425"/>
    </row>
    <row r="6426" spans="1:1" x14ac:dyDescent="0.25">
      <c r="A6426"/>
    </row>
    <row r="6427" spans="1:1" x14ac:dyDescent="0.25">
      <c r="A6427"/>
    </row>
    <row r="6428" spans="1:1" x14ac:dyDescent="0.25">
      <c r="A6428"/>
    </row>
    <row r="6429" spans="1:1" x14ac:dyDescent="0.25">
      <c r="A6429"/>
    </row>
    <row r="6430" spans="1:1" x14ac:dyDescent="0.25">
      <c r="A6430"/>
    </row>
    <row r="6431" spans="1:1" x14ac:dyDescent="0.25">
      <c r="A6431"/>
    </row>
    <row r="6432" spans="1:1" x14ac:dyDescent="0.25">
      <c r="A6432"/>
    </row>
    <row r="6433" spans="1:1" x14ac:dyDescent="0.25">
      <c r="A6433"/>
    </row>
    <row r="6434" spans="1:1" x14ac:dyDescent="0.25">
      <c r="A6434"/>
    </row>
    <row r="6435" spans="1:1" x14ac:dyDescent="0.25">
      <c r="A6435"/>
    </row>
    <row r="6436" spans="1:1" x14ac:dyDescent="0.25">
      <c r="A6436"/>
    </row>
    <row r="6437" spans="1:1" x14ac:dyDescent="0.25">
      <c r="A6437"/>
    </row>
    <row r="6438" spans="1:1" x14ac:dyDescent="0.25">
      <c r="A6438"/>
    </row>
    <row r="6439" spans="1:1" x14ac:dyDescent="0.25">
      <c r="A6439"/>
    </row>
    <row r="6440" spans="1:1" x14ac:dyDescent="0.25">
      <c r="A6440"/>
    </row>
    <row r="6441" spans="1:1" x14ac:dyDescent="0.25">
      <c r="A6441"/>
    </row>
    <row r="6442" spans="1:1" x14ac:dyDescent="0.25">
      <c r="A6442"/>
    </row>
    <row r="6443" spans="1:1" x14ac:dyDescent="0.25">
      <c r="A6443"/>
    </row>
    <row r="6444" spans="1:1" x14ac:dyDescent="0.25">
      <c r="A6444"/>
    </row>
    <row r="6445" spans="1:1" x14ac:dyDescent="0.25">
      <c r="A6445"/>
    </row>
    <row r="6446" spans="1:1" x14ac:dyDescent="0.25">
      <c r="A6446"/>
    </row>
    <row r="6447" spans="1:1" x14ac:dyDescent="0.25">
      <c r="A6447"/>
    </row>
    <row r="6448" spans="1:1" x14ac:dyDescent="0.25">
      <c r="A6448"/>
    </row>
    <row r="6449" spans="1:1" x14ac:dyDescent="0.25">
      <c r="A6449"/>
    </row>
    <row r="6450" spans="1:1" x14ac:dyDescent="0.25">
      <c r="A6450"/>
    </row>
    <row r="6451" spans="1:1" x14ac:dyDescent="0.25">
      <c r="A6451"/>
    </row>
    <row r="6452" spans="1:1" x14ac:dyDescent="0.25">
      <c r="A6452"/>
    </row>
    <row r="6453" spans="1:1" x14ac:dyDescent="0.25">
      <c r="A6453"/>
    </row>
    <row r="6454" spans="1:1" x14ac:dyDescent="0.25">
      <c r="A6454"/>
    </row>
    <row r="6455" spans="1:1" x14ac:dyDescent="0.25">
      <c r="A6455"/>
    </row>
    <row r="6456" spans="1:1" x14ac:dyDescent="0.25">
      <c r="A6456"/>
    </row>
    <row r="6457" spans="1:1" x14ac:dyDescent="0.25">
      <c r="A6457"/>
    </row>
    <row r="6458" spans="1:1" x14ac:dyDescent="0.25">
      <c r="A6458"/>
    </row>
    <row r="6459" spans="1:1" x14ac:dyDescent="0.25">
      <c r="A6459"/>
    </row>
    <row r="6460" spans="1:1" x14ac:dyDescent="0.25">
      <c r="A6460"/>
    </row>
    <row r="6461" spans="1:1" x14ac:dyDescent="0.25">
      <c r="A6461"/>
    </row>
    <row r="6462" spans="1:1" x14ac:dyDescent="0.25">
      <c r="A6462"/>
    </row>
    <row r="6463" spans="1:1" x14ac:dyDescent="0.25">
      <c r="A6463"/>
    </row>
    <row r="6464" spans="1:1" x14ac:dyDescent="0.25">
      <c r="A6464"/>
    </row>
    <row r="6465" spans="1:1" x14ac:dyDescent="0.25">
      <c r="A6465"/>
    </row>
    <row r="6466" spans="1:1" x14ac:dyDescent="0.25">
      <c r="A6466"/>
    </row>
    <row r="6467" spans="1:1" x14ac:dyDescent="0.25">
      <c r="A6467"/>
    </row>
    <row r="6468" spans="1:1" x14ac:dyDescent="0.25">
      <c r="A6468"/>
    </row>
    <row r="6469" spans="1:1" x14ac:dyDescent="0.25">
      <c r="A6469"/>
    </row>
    <row r="6470" spans="1:1" x14ac:dyDescent="0.25">
      <c r="A6470"/>
    </row>
    <row r="6471" spans="1:1" x14ac:dyDescent="0.25">
      <c r="A6471"/>
    </row>
    <row r="6472" spans="1:1" x14ac:dyDescent="0.25">
      <c r="A6472"/>
    </row>
    <row r="6473" spans="1:1" x14ac:dyDescent="0.25">
      <c r="A6473"/>
    </row>
    <row r="6474" spans="1:1" x14ac:dyDescent="0.25">
      <c r="A6474"/>
    </row>
    <row r="6475" spans="1:1" x14ac:dyDescent="0.25">
      <c r="A6475"/>
    </row>
    <row r="6476" spans="1:1" x14ac:dyDescent="0.25">
      <c r="A6476"/>
    </row>
    <row r="6477" spans="1:1" x14ac:dyDescent="0.25">
      <c r="A6477"/>
    </row>
    <row r="6478" spans="1:1" x14ac:dyDescent="0.25">
      <c r="A6478"/>
    </row>
    <row r="6479" spans="1:1" x14ac:dyDescent="0.25">
      <c r="A6479"/>
    </row>
    <row r="6480" spans="1:1" x14ac:dyDescent="0.25">
      <c r="A6480"/>
    </row>
    <row r="6481" spans="1:1" x14ac:dyDescent="0.25">
      <c r="A6481"/>
    </row>
    <row r="6482" spans="1:1" x14ac:dyDescent="0.25">
      <c r="A6482"/>
    </row>
    <row r="6483" spans="1:1" x14ac:dyDescent="0.25">
      <c r="A6483"/>
    </row>
    <row r="6484" spans="1:1" x14ac:dyDescent="0.25">
      <c r="A6484"/>
    </row>
    <row r="6485" spans="1:1" x14ac:dyDescent="0.25">
      <c r="A6485"/>
    </row>
    <row r="6486" spans="1:1" x14ac:dyDescent="0.25">
      <c r="A6486"/>
    </row>
    <row r="6487" spans="1:1" x14ac:dyDescent="0.25">
      <c r="A6487"/>
    </row>
    <row r="6488" spans="1:1" x14ac:dyDescent="0.25">
      <c r="A6488"/>
    </row>
    <row r="6489" spans="1:1" x14ac:dyDescent="0.25">
      <c r="A6489"/>
    </row>
    <row r="6490" spans="1:1" x14ac:dyDescent="0.25">
      <c r="A6490"/>
    </row>
    <row r="6491" spans="1:1" x14ac:dyDescent="0.25">
      <c r="A6491"/>
    </row>
    <row r="6492" spans="1:1" x14ac:dyDescent="0.25">
      <c r="A6492"/>
    </row>
    <row r="6493" spans="1:1" x14ac:dyDescent="0.25">
      <c r="A6493"/>
    </row>
    <row r="6494" spans="1:1" x14ac:dyDescent="0.25">
      <c r="A6494"/>
    </row>
    <row r="6495" spans="1:1" x14ac:dyDescent="0.25">
      <c r="A6495"/>
    </row>
    <row r="6496" spans="1:1" x14ac:dyDescent="0.25">
      <c r="A6496"/>
    </row>
    <row r="6497" spans="1:1" x14ac:dyDescent="0.25">
      <c r="A6497"/>
    </row>
    <row r="6498" spans="1:1" x14ac:dyDescent="0.25">
      <c r="A6498"/>
    </row>
    <row r="6499" spans="1:1" x14ac:dyDescent="0.25">
      <c r="A6499"/>
    </row>
    <row r="6500" spans="1:1" x14ac:dyDescent="0.25">
      <c r="A6500"/>
    </row>
    <row r="6501" spans="1:1" x14ac:dyDescent="0.25">
      <c r="A6501"/>
    </row>
    <row r="6502" spans="1:1" x14ac:dyDescent="0.25">
      <c r="A6502"/>
    </row>
    <row r="6503" spans="1:1" x14ac:dyDescent="0.25">
      <c r="A6503"/>
    </row>
    <row r="6504" spans="1:1" x14ac:dyDescent="0.25">
      <c r="A6504"/>
    </row>
    <row r="6505" spans="1:1" x14ac:dyDescent="0.25">
      <c r="A6505"/>
    </row>
    <row r="6506" spans="1:1" x14ac:dyDescent="0.25">
      <c r="A6506"/>
    </row>
    <row r="6507" spans="1:1" x14ac:dyDescent="0.25">
      <c r="A6507"/>
    </row>
    <row r="6508" spans="1:1" x14ac:dyDescent="0.25">
      <c r="A6508"/>
    </row>
    <row r="6509" spans="1:1" x14ac:dyDescent="0.25">
      <c r="A6509"/>
    </row>
    <row r="6510" spans="1:1" x14ac:dyDescent="0.25">
      <c r="A6510"/>
    </row>
    <row r="6511" spans="1:1" x14ac:dyDescent="0.25">
      <c r="A6511"/>
    </row>
    <row r="6512" spans="1:1" x14ac:dyDescent="0.25">
      <c r="A6512"/>
    </row>
    <row r="6513" spans="1:1" x14ac:dyDescent="0.25">
      <c r="A6513"/>
    </row>
    <row r="6514" spans="1:1" x14ac:dyDescent="0.25">
      <c r="A6514"/>
    </row>
    <row r="6515" spans="1:1" x14ac:dyDescent="0.25">
      <c r="A6515"/>
    </row>
    <row r="6516" spans="1:1" x14ac:dyDescent="0.25">
      <c r="A6516"/>
    </row>
    <row r="6517" spans="1:1" x14ac:dyDescent="0.25">
      <c r="A6517"/>
    </row>
    <row r="6518" spans="1:1" x14ac:dyDescent="0.25">
      <c r="A6518"/>
    </row>
    <row r="6519" spans="1:1" x14ac:dyDescent="0.25">
      <c r="A6519"/>
    </row>
    <row r="6520" spans="1:1" x14ac:dyDescent="0.25">
      <c r="A6520"/>
    </row>
    <row r="6521" spans="1:1" x14ac:dyDescent="0.25">
      <c r="A6521"/>
    </row>
    <row r="6522" spans="1:1" x14ac:dyDescent="0.25">
      <c r="A6522"/>
    </row>
    <row r="6523" spans="1:1" x14ac:dyDescent="0.25">
      <c r="A6523"/>
    </row>
    <row r="6524" spans="1:1" x14ac:dyDescent="0.25">
      <c r="A6524"/>
    </row>
    <row r="6525" spans="1:1" x14ac:dyDescent="0.25">
      <c r="A6525"/>
    </row>
    <row r="6526" spans="1:1" x14ac:dyDescent="0.25">
      <c r="A6526"/>
    </row>
    <row r="6527" spans="1:1" x14ac:dyDescent="0.25">
      <c r="A6527"/>
    </row>
    <row r="6528" spans="1:1" x14ac:dyDescent="0.25">
      <c r="A6528"/>
    </row>
    <row r="6529" spans="1:1" x14ac:dyDescent="0.25">
      <c r="A6529"/>
    </row>
    <row r="6530" spans="1:1" x14ac:dyDescent="0.25">
      <c r="A6530"/>
    </row>
    <row r="6531" spans="1:1" x14ac:dyDescent="0.25">
      <c r="A6531"/>
    </row>
    <row r="6532" spans="1:1" x14ac:dyDescent="0.25">
      <c r="A6532"/>
    </row>
    <row r="6533" spans="1:1" x14ac:dyDescent="0.25">
      <c r="A6533"/>
    </row>
    <row r="6534" spans="1:1" x14ac:dyDescent="0.25">
      <c r="A6534"/>
    </row>
    <row r="6535" spans="1:1" x14ac:dyDescent="0.25">
      <c r="A6535"/>
    </row>
    <row r="6536" spans="1:1" x14ac:dyDescent="0.25">
      <c r="A6536"/>
    </row>
    <row r="6537" spans="1:1" x14ac:dyDescent="0.25">
      <c r="A6537"/>
    </row>
    <row r="6538" spans="1:1" x14ac:dyDescent="0.25">
      <c r="A6538"/>
    </row>
    <row r="6539" spans="1:1" x14ac:dyDescent="0.25">
      <c r="A6539"/>
    </row>
    <row r="6540" spans="1:1" x14ac:dyDescent="0.25">
      <c r="A6540"/>
    </row>
    <row r="6541" spans="1:1" x14ac:dyDescent="0.25">
      <c r="A6541"/>
    </row>
    <row r="6542" spans="1:1" x14ac:dyDescent="0.25">
      <c r="A6542"/>
    </row>
    <row r="6543" spans="1:1" x14ac:dyDescent="0.25">
      <c r="A6543"/>
    </row>
    <row r="6544" spans="1:1" x14ac:dyDescent="0.25">
      <c r="A6544"/>
    </row>
    <row r="6545" spans="1:1" x14ac:dyDescent="0.25">
      <c r="A6545"/>
    </row>
    <row r="6546" spans="1:1" x14ac:dyDescent="0.25">
      <c r="A6546"/>
    </row>
    <row r="6547" spans="1:1" x14ac:dyDescent="0.25">
      <c r="A6547"/>
    </row>
    <row r="6548" spans="1:1" x14ac:dyDescent="0.25">
      <c r="A6548"/>
    </row>
    <row r="6549" spans="1:1" x14ac:dyDescent="0.25">
      <c r="A6549"/>
    </row>
    <row r="6550" spans="1:1" x14ac:dyDescent="0.25">
      <c r="A6550"/>
    </row>
    <row r="6551" spans="1:1" x14ac:dyDescent="0.25">
      <c r="A6551"/>
    </row>
    <row r="6552" spans="1:1" x14ac:dyDescent="0.25">
      <c r="A6552"/>
    </row>
    <row r="6553" spans="1:1" x14ac:dyDescent="0.25">
      <c r="A6553"/>
    </row>
    <row r="6554" spans="1:1" x14ac:dyDescent="0.25">
      <c r="A6554"/>
    </row>
    <row r="6555" spans="1:1" x14ac:dyDescent="0.25">
      <c r="A6555"/>
    </row>
    <row r="6556" spans="1:1" x14ac:dyDescent="0.25">
      <c r="A6556"/>
    </row>
    <row r="6557" spans="1:1" x14ac:dyDescent="0.25">
      <c r="A6557"/>
    </row>
    <row r="6558" spans="1:1" x14ac:dyDescent="0.25">
      <c r="A6558"/>
    </row>
    <row r="6559" spans="1:1" x14ac:dyDescent="0.25">
      <c r="A6559"/>
    </row>
    <row r="6560" spans="1:1" x14ac:dyDescent="0.25">
      <c r="A6560"/>
    </row>
    <row r="6561" spans="1:1" x14ac:dyDescent="0.25">
      <c r="A6561"/>
    </row>
    <row r="6562" spans="1:1" x14ac:dyDescent="0.25">
      <c r="A6562"/>
    </row>
    <row r="6563" spans="1:1" x14ac:dyDescent="0.25">
      <c r="A6563"/>
    </row>
    <row r="6564" spans="1:1" x14ac:dyDescent="0.25">
      <c r="A6564"/>
    </row>
    <row r="6565" spans="1:1" x14ac:dyDescent="0.25">
      <c r="A6565"/>
    </row>
    <row r="6566" spans="1:1" x14ac:dyDescent="0.25">
      <c r="A6566"/>
    </row>
    <row r="6567" spans="1:1" x14ac:dyDescent="0.25">
      <c r="A6567"/>
    </row>
    <row r="6568" spans="1:1" x14ac:dyDescent="0.25">
      <c r="A6568"/>
    </row>
    <row r="6569" spans="1:1" x14ac:dyDescent="0.25">
      <c r="A6569"/>
    </row>
    <row r="6570" spans="1:1" x14ac:dyDescent="0.25">
      <c r="A6570"/>
    </row>
    <row r="6571" spans="1:1" x14ac:dyDescent="0.25">
      <c r="A6571"/>
    </row>
    <row r="6572" spans="1:1" x14ac:dyDescent="0.25">
      <c r="A6572"/>
    </row>
    <row r="6573" spans="1:1" x14ac:dyDescent="0.25">
      <c r="A6573"/>
    </row>
    <row r="6574" spans="1:1" x14ac:dyDescent="0.25">
      <c r="A6574"/>
    </row>
    <row r="6575" spans="1:1" x14ac:dyDescent="0.25">
      <c r="A6575"/>
    </row>
    <row r="6576" spans="1:1" x14ac:dyDescent="0.25">
      <c r="A6576"/>
    </row>
    <row r="6577" spans="1:1" x14ac:dyDescent="0.25">
      <c r="A6577"/>
    </row>
    <row r="6578" spans="1:1" x14ac:dyDescent="0.25">
      <c r="A6578"/>
    </row>
    <row r="6579" spans="1:1" x14ac:dyDescent="0.25">
      <c r="A6579"/>
    </row>
    <row r="6580" spans="1:1" x14ac:dyDescent="0.25">
      <c r="A6580"/>
    </row>
    <row r="6581" spans="1:1" x14ac:dyDescent="0.25">
      <c r="A6581"/>
    </row>
    <row r="6582" spans="1:1" x14ac:dyDescent="0.25">
      <c r="A6582"/>
    </row>
    <row r="6583" spans="1:1" x14ac:dyDescent="0.25">
      <c r="A6583"/>
    </row>
    <row r="6584" spans="1:1" x14ac:dyDescent="0.25">
      <c r="A6584"/>
    </row>
    <row r="6585" spans="1:1" x14ac:dyDescent="0.25">
      <c r="A6585"/>
    </row>
    <row r="6586" spans="1:1" x14ac:dyDescent="0.25">
      <c r="A6586"/>
    </row>
    <row r="6587" spans="1:1" x14ac:dyDescent="0.25">
      <c r="A6587"/>
    </row>
    <row r="6588" spans="1:1" x14ac:dyDescent="0.25">
      <c r="A6588"/>
    </row>
    <row r="6589" spans="1:1" x14ac:dyDescent="0.25">
      <c r="A6589"/>
    </row>
    <row r="6590" spans="1:1" x14ac:dyDescent="0.25">
      <c r="A6590"/>
    </row>
    <row r="6591" spans="1:1" x14ac:dyDescent="0.25">
      <c r="A6591"/>
    </row>
    <row r="6592" spans="1:1" x14ac:dyDescent="0.25">
      <c r="A6592"/>
    </row>
    <row r="6593" spans="1:1" x14ac:dyDescent="0.25">
      <c r="A6593"/>
    </row>
    <row r="6594" spans="1:1" x14ac:dyDescent="0.25">
      <c r="A6594"/>
    </row>
    <row r="6595" spans="1:1" x14ac:dyDescent="0.25">
      <c r="A6595"/>
    </row>
    <row r="6596" spans="1:1" x14ac:dyDescent="0.25">
      <c r="A6596"/>
    </row>
    <row r="6597" spans="1:1" x14ac:dyDescent="0.25">
      <c r="A6597"/>
    </row>
    <row r="6598" spans="1:1" x14ac:dyDescent="0.25">
      <c r="A6598"/>
    </row>
    <row r="6599" spans="1:1" x14ac:dyDescent="0.25">
      <c r="A6599"/>
    </row>
    <row r="6600" spans="1:1" x14ac:dyDescent="0.25">
      <c r="A6600"/>
    </row>
    <row r="6601" spans="1:1" x14ac:dyDescent="0.25">
      <c r="A6601"/>
    </row>
    <row r="6602" spans="1:1" x14ac:dyDescent="0.25">
      <c r="A6602"/>
    </row>
    <row r="6603" spans="1:1" x14ac:dyDescent="0.25">
      <c r="A6603"/>
    </row>
    <row r="6604" spans="1:1" x14ac:dyDescent="0.25">
      <c r="A6604"/>
    </row>
    <row r="6605" spans="1:1" x14ac:dyDescent="0.25">
      <c r="A6605"/>
    </row>
    <row r="6606" spans="1:1" x14ac:dyDescent="0.25">
      <c r="A6606"/>
    </row>
    <row r="6607" spans="1:1" x14ac:dyDescent="0.25">
      <c r="A6607"/>
    </row>
    <row r="6608" spans="1:1" x14ac:dyDescent="0.25">
      <c r="A6608"/>
    </row>
    <row r="6609" spans="1:1" x14ac:dyDescent="0.25">
      <c r="A6609"/>
    </row>
    <row r="6610" spans="1:1" x14ac:dyDescent="0.25">
      <c r="A6610"/>
    </row>
    <row r="6611" spans="1:1" x14ac:dyDescent="0.25">
      <c r="A6611"/>
    </row>
    <row r="6612" spans="1:1" x14ac:dyDescent="0.25">
      <c r="A6612"/>
    </row>
    <row r="6613" spans="1:1" x14ac:dyDescent="0.25">
      <c r="A6613"/>
    </row>
    <row r="6614" spans="1:1" x14ac:dyDescent="0.25">
      <c r="A6614"/>
    </row>
    <row r="6615" spans="1:1" x14ac:dyDescent="0.25">
      <c r="A6615"/>
    </row>
    <row r="6616" spans="1:1" x14ac:dyDescent="0.25">
      <c r="A6616"/>
    </row>
    <row r="6617" spans="1:1" x14ac:dyDescent="0.25">
      <c r="A6617"/>
    </row>
    <row r="6618" spans="1:1" x14ac:dyDescent="0.25">
      <c r="A6618"/>
    </row>
    <row r="6619" spans="1:1" x14ac:dyDescent="0.25">
      <c r="A6619"/>
    </row>
    <row r="6620" spans="1:1" x14ac:dyDescent="0.25">
      <c r="A6620"/>
    </row>
    <row r="6621" spans="1:1" x14ac:dyDescent="0.25">
      <c r="A6621"/>
    </row>
    <row r="6622" spans="1:1" x14ac:dyDescent="0.25">
      <c r="A6622"/>
    </row>
    <row r="6623" spans="1:1" x14ac:dyDescent="0.25">
      <c r="A6623"/>
    </row>
    <row r="6624" spans="1:1" x14ac:dyDescent="0.25">
      <c r="A6624"/>
    </row>
    <row r="6625" spans="1:1" x14ac:dyDescent="0.25">
      <c r="A6625"/>
    </row>
    <row r="6626" spans="1:1" x14ac:dyDescent="0.25">
      <c r="A6626"/>
    </row>
    <row r="6627" spans="1:1" x14ac:dyDescent="0.25">
      <c r="A6627"/>
    </row>
    <row r="6628" spans="1:1" x14ac:dyDescent="0.25">
      <c r="A6628"/>
    </row>
    <row r="6629" spans="1:1" x14ac:dyDescent="0.25">
      <c r="A6629"/>
    </row>
    <row r="6630" spans="1:1" x14ac:dyDescent="0.25">
      <c r="A6630"/>
    </row>
    <row r="6631" spans="1:1" x14ac:dyDescent="0.25">
      <c r="A6631"/>
    </row>
    <row r="6632" spans="1:1" x14ac:dyDescent="0.25">
      <c r="A6632"/>
    </row>
    <row r="6633" spans="1:1" x14ac:dyDescent="0.25">
      <c r="A6633"/>
    </row>
    <row r="6634" spans="1:1" x14ac:dyDescent="0.25">
      <c r="A6634"/>
    </row>
    <row r="6635" spans="1:1" x14ac:dyDescent="0.25">
      <c r="A6635"/>
    </row>
    <row r="6636" spans="1:1" x14ac:dyDescent="0.25">
      <c r="A6636"/>
    </row>
    <row r="6637" spans="1:1" x14ac:dyDescent="0.25">
      <c r="A6637"/>
    </row>
    <row r="6638" spans="1:1" x14ac:dyDescent="0.25">
      <c r="A6638"/>
    </row>
    <row r="6639" spans="1:1" x14ac:dyDescent="0.25">
      <c r="A6639"/>
    </row>
    <row r="6640" spans="1:1" x14ac:dyDescent="0.25">
      <c r="A6640"/>
    </row>
    <row r="6641" spans="1:1" x14ac:dyDescent="0.25">
      <c r="A6641"/>
    </row>
    <row r="6642" spans="1:1" x14ac:dyDescent="0.25">
      <c r="A6642"/>
    </row>
    <row r="6643" spans="1:1" x14ac:dyDescent="0.25">
      <c r="A6643"/>
    </row>
    <row r="6644" spans="1:1" x14ac:dyDescent="0.25">
      <c r="A6644"/>
    </row>
    <row r="6645" spans="1:1" x14ac:dyDescent="0.25">
      <c r="A6645"/>
    </row>
    <row r="6646" spans="1:1" x14ac:dyDescent="0.25">
      <c r="A6646"/>
    </row>
    <row r="6647" spans="1:1" x14ac:dyDescent="0.25">
      <c r="A6647"/>
    </row>
    <row r="6648" spans="1:1" x14ac:dyDescent="0.25">
      <c r="A6648"/>
    </row>
    <row r="6649" spans="1:1" x14ac:dyDescent="0.25">
      <c r="A6649"/>
    </row>
    <row r="6650" spans="1:1" x14ac:dyDescent="0.25">
      <c r="A6650"/>
    </row>
    <row r="6651" spans="1:1" x14ac:dyDescent="0.25">
      <c r="A6651"/>
    </row>
    <row r="6652" spans="1:1" x14ac:dyDescent="0.25">
      <c r="A6652"/>
    </row>
    <row r="6653" spans="1:1" x14ac:dyDescent="0.25">
      <c r="A6653"/>
    </row>
    <row r="6654" spans="1:1" x14ac:dyDescent="0.25">
      <c r="A6654"/>
    </row>
    <row r="6655" spans="1:1" x14ac:dyDescent="0.25">
      <c r="A6655"/>
    </row>
    <row r="6656" spans="1:1" x14ac:dyDescent="0.25">
      <c r="A6656"/>
    </row>
    <row r="6657" spans="1:1" x14ac:dyDescent="0.25">
      <c r="A6657"/>
    </row>
    <row r="6658" spans="1:1" x14ac:dyDescent="0.25">
      <c r="A6658"/>
    </row>
    <row r="6659" spans="1:1" x14ac:dyDescent="0.25">
      <c r="A6659"/>
    </row>
    <row r="6660" spans="1:1" x14ac:dyDescent="0.25">
      <c r="A6660"/>
    </row>
    <row r="6661" spans="1:1" x14ac:dyDescent="0.25">
      <c r="A6661"/>
    </row>
    <row r="6662" spans="1:1" x14ac:dyDescent="0.25">
      <c r="A6662"/>
    </row>
    <row r="6663" spans="1:1" x14ac:dyDescent="0.25">
      <c r="A6663"/>
    </row>
    <row r="6664" spans="1:1" x14ac:dyDescent="0.25">
      <c r="A6664"/>
    </row>
    <row r="6665" spans="1:1" x14ac:dyDescent="0.25">
      <c r="A6665"/>
    </row>
    <row r="6666" spans="1:1" x14ac:dyDescent="0.25">
      <c r="A6666"/>
    </row>
    <row r="6667" spans="1:1" x14ac:dyDescent="0.25">
      <c r="A6667"/>
    </row>
    <row r="6668" spans="1:1" x14ac:dyDescent="0.25">
      <c r="A6668"/>
    </row>
    <row r="6669" spans="1:1" x14ac:dyDescent="0.25">
      <c r="A6669"/>
    </row>
    <row r="6670" spans="1:1" x14ac:dyDescent="0.25">
      <c r="A6670"/>
    </row>
    <row r="6671" spans="1:1" x14ac:dyDescent="0.25">
      <c r="A6671"/>
    </row>
    <row r="6672" spans="1:1" x14ac:dyDescent="0.25">
      <c r="A6672"/>
    </row>
    <row r="6673" spans="1:1" x14ac:dyDescent="0.25">
      <c r="A6673"/>
    </row>
    <row r="6674" spans="1:1" x14ac:dyDescent="0.25">
      <c r="A6674"/>
    </row>
    <row r="6675" spans="1:1" x14ac:dyDescent="0.25">
      <c r="A6675"/>
    </row>
    <row r="6676" spans="1:1" x14ac:dyDescent="0.25">
      <c r="A6676"/>
    </row>
    <row r="6677" spans="1:1" x14ac:dyDescent="0.25">
      <c r="A6677"/>
    </row>
    <row r="6678" spans="1:1" x14ac:dyDescent="0.25">
      <c r="A6678"/>
    </row>
    <row r="6679" spans="1:1" x14ac:dyDescent="0.25">
      <c r="A6679"/>
    </row>
    <row r="6680" spans="1:1" x14ac:dyDescent="0.25">
      <c r="A6680"/>
    </row>
    <row r="6681" spans="1:1" x14ac:dyDescent="0.25">
      <c r="A6681"/>
    </row>
    <row r="6682" spans="1:1" x14ac:dyDescent="0.25">
      <c r="A6682"/>
    </row>
    <row r="6683" spans="1:1" x14ac:dyDescent="0.25">
      <c r="A6683"/>
    </row>
    <row r="6684" spans="1:1" x14ac:dyDescent="0.25">
      <c r="A6684"/>
    </row>
    <row r="6685" spans="1:1" x14ac:dyDescent="0.25">
      <c r="A6685"/>
    </row>
    <row r="6686" spans="1:1" x14ac:dyDescent="0.25">
      <c r="A6686"/>
    </row>
    <row r="6687" spans="1:1" x14ac:dyDescent="0.25">
      <c r="A6687"/>
    </row>
    <row r="6688" spans="1:1" x14ac:dyDescent="0.25">
      <c r="A6688"/>
    </row>
    <row r="6689" spans="1:1" x14ac:dyDescent="0.25">
      <c r="A6689"/>
    </row>
    <row r="6690" spans="1:1" x14ac:dyDescent="0.25">
      <c r="A6690"/>
    </row>
    <row r="6691" spans="1:1" x14ac:dyDescent="0.25">
      <c r="A6691"/>
    </row>
    <row r="6692" spans="1:1" x14ac:dyDescent="0.25">
      <c r="A6692"/>
    </row>
    <row r="6693" spans="1:1" x14ac:dyDescent="0.25">
      <c r="A6693"/>
    </row>
    <row r="6694" spans="1:1" x14ac:dyDescent="0.25">
      <c r="A6694"/>
    </row>
    <row r="6695" spans="1:1" x14ac:dyDescent="0.25">
      <c r="A6695"/>
    </row>
    <row r="6696" spans="1:1" x14ac:dyDescent="0.25">
      <c r="A6696"/>
    </row>
    <row r="6697" spans="1:1" x14ac:dyDescent="0.25">
      <c r="A6697"/>
    </row>
    <row r="6698" spans="1:1" x14ac:dyDescent="0.25">
      <c r="A6698"/>
    </row>
    <row r="6699" spans="1:1" x14ac:dyDescent="0.25">
      <c r="A6699"/>
    </row>
    <row r="6700" spans="1:1" x14ac:dyDescent="0.25">
      <c r="A6700"/>
    </row>
    <row r="6701" spans="1:1" x14ac:dyDescent="0.25">
      <c r="A6701"/>
    </row>
    <row r="6702" spans="1:1" x14ac:dyDescent="0.25">
      <c r="A6702"/>
    </row>
    <row r="6703" spans="1:1" x14ac:dyDescent="0.25">
      <c r="A6703"/>
    </row>
    <row r="6704" spans="1:1" x14ac:dyDescent="0.25">
      <c r="A6704"/>
    </row>
    <row r="6705" spans="1:1" x14ac:dyDescent="0.25">
      <c r="A6705"/>
    </row>
    <row r="6706" spans="1:1" x14ac:dyDescent="0.25">
      <c r="A6706"/>
    </row>
    <row r="6707" spans="1:1" x14ac:dyDescent="0.25">
      <c r="A6707"/>
    </row>
    <row r="6708" spans="1:1" x14ac:dyDescent="0.25">
      <c r="A6708"/>
    </row>
    <row r="6709" spans="1:1" x14ac:dyDescent="0.25">
      <c r="A6709"/>
    </row>
    <row r="6710" spans="1:1" x14ac:dyDescent="0.25">
      <c r="A6710"/>
    </row>
    <row r="6711" spans="1:1" x14ac:dyDescent="0.25">
      <c r="A6711"/>
    </row>
    <row r="6712" spans="1:1" x14ac:dyDescent="0.25">
      <c r="A6712"/>
    </row>
    <row r="6713" spans="1:1" x14ac:dyDescent="0.25">
      <c r="A6713"/>
    </row>
    <row r="6714" spans="1:1" x14ac:dyDescent="0.25">
      <c r="A6714"/>
    </row>
    <row r="6715" spans="1:1" x14ac:dyDescent="0.25">
      <c r="A6715"/>
    </row>
    <row r="6716" spans="1:1" x14ac:dyDescent="0.25">
      <c r="A6716"/>
    </row>
    <row r="6717" spans="1:1" x14ac:dyDescent="0.25">
      <c r="A6717"/>
    </row>
    <row r="6718" spans="1:1" x14ac:dyDescent="0.25">
      <c r="A6718"/>
    </row>
    <row r="6719" spans="1:1" x14ac:dyDescent="0.25">
      <c r="A6719"/>
    </row>
    <row r="6720" spans="1:1" x14ac:dyDescent="0.25">
      <c r="A6720"/>
    </row>
    <row r="6721" spans="1:1" x14ac:dyDescent="0.25">
      <c r="A6721"/>
    </row>
    <row r="6722" spans="1:1" x14ac:dyDescent="0.25">
      <c r="A6722"/>
    </row>
    <row r="6723" spans="1:1" x14ac:dyDescent="0.25">
      <c r="A6723"/>
    </row>
    <row r="6724" spans="1:1" x14ac:dyDescent="0.25">
      <c r="A6724"/>
    </row>
    <row r="6725" spans="1:1" x14ac:dyDescent="0.25">
      <c r="A6725"/>
    </row>
    <row r="6726" spans="1:1" x14ac:dyDescent="0.25">
      <c r="A6726"/>
    </row>
    <row r="6727" spans="1:1" x14ac:dyDescent="0.25">
      <c r="A6727"/>
    </row>
    <row r="6728" spans="1:1" x14ac:dyDescent="0.25">
      <c r="A6728"/>
    </row>
    <row r="6729" spans="1:1" x14ac:dyDescent="0.25">
      <c r="A6729"/>
    </row>
    <row r="6730" spans="1:1" x14ac:dyDescent="0.25">
      <c r="A6730"/>
    </row>
    <row r="6731" spans="1:1" x14ac:dyDescent="0.25">
      <c r="A6731"/>
    </row>
    <row r="6732" spans="1:1" x14ac:dyDescent="0.25">
      <c r="A6732"/>
    </row>
    <row r="6733" spans="1:1" x14ac:dyDescent="0.25">
      <c r="A6733"/>
    </row>
    <row r="6734" spans="1:1" x14ac:dyDescent="0.25">
      <c r="A6734"/>
    </row>
    <row r="6735" spans="1:1" x14ac:dyDescent="0.25">
      <c r="A6735"/>
    </row>
    <row r="6736" spans="1:1" x14ac:dyDescent="0.25">
      <c r="A6736"/>
    </row>
    <row r="6737" spans="1:1" x14ac:dyDescent="0.25">
      <c r="A6737"/>
    </row>
    <row r="6738" spans="1:1" x14ac:dyDescent="0.25">
      <c r="A6738"/>
    </row>
    <row r="6739" spans="1:1" x14ac:dyDescent="0.25">
      <c r="A6739"/>
    </row>
    <row r="6740" spans="1:1" x14ac:dyDescent="0.25">
      <c r="A6740"/>
    </row>
    <row r="6741" spans="1:1" x14ac:dyDescent="0.25">
      <c r="A6741"/>
    </row>
    <row r="6742" spans="1:1" x14ac:dyDescent="0.25">
      <c r="A6742"/>
    </row>
    <row r="6743" spans="1:1" x14ac:dyDescent="0.25">
      <c r="A6743"/>
    </row>
    <row r="6744" spans="1:1" x14ac:dyDescent="0.25">
      <c r="A6744"/>
    </row>
    <row r="6745" spans="1:1" x14ac:dyDescent="0.25">
      <c r="A6745"/>
    </row>
    <row r="6746" spans="1:1" x14ac:dyDescent="0.25">
      <c r="A6746"/>
    </row>
    <row r="6747" spans="1:1" x14ac:dyDescent="0.25">
      <c r="A6747"/>
    </row>
    <row r="6748" spans="1:1" x14ac:dyDescent="0.25">
      <c r="A6748"/>
    </row>
    <row r="6749" spans="1:1" x14ac:dyDescent="0.25">
      <c r="A6749"/>
    </row>
    <row r="6750" spans="1:1" x14ac:dyDescent="0.25">
      <c r="A6750"/>
    </row>
    <row r="6751" spans="1:1" x14ac:dyDescent="0.25">
      <c r="A6751"/>
    </row>
    <row r="6752" spans="1:1" x14ac:dyDescent="0.25">
      <c r="A6752"/>
    </row>
    <row r="6753" spans="1:1" x14ac:dyDescent="0.25">
      <c r="A6753"/>
    </row>
    <row r="6754" spans="1:1" x14ac:dyDescent="0.25">
      <c r="A6754"/>
    </row>
    <row r="6755" spans="1:1" x14ac:dyDescent="0.25">
      <c r="A6755"/>
    </row>
    <row r="6756" spans="1:1" x14ac:dyDescent="0.25">
      <c r="A6756"/>
    </row>
    <row r="6757" spans="1:1" x14ac:dyDescent="0.25">
      <c r="A6757"/>
    </row>
    <row r="6758" spans="1:1" x14ac:dyDescent="0.25">
      <c r="A6758"/>
    </row>
    <row r="6759" spans="1:1" x14ac:dyDescent="0.25">
      <c r="A6759"/>
    </row>
    <row r="6760" spans="1:1" x14ac:dyDescent="0.25">
      <c r="A6760"/>
    </row>
    <row r="6761" spans="1:1" x14ac:dyDescent="0.25">
      <c r="A6761"/>
    </row>
    <row r="6762" spans="1:1" x14ac:dyDescent="0.25">
      <c r="A6762"/>
    </row>
    <row r="6763" spans="1:1" x14ac:dyDescent="0.25">
      <c r="A6763"/>
    </row>
    <row r="6764" spans="1:1" x14ac:dyDescent="0.25">
      <c r="A6764"/>
    </row>
    <row r="6765" spans="1:1" x14ac:dyDescent="0.25">
      <c r="A6765"/>
    </row>
    <row r="6766" spans="1:1" x14ac:dyDescent="0.25">
      <c r="A6766"/>
    </row>
    <row r="6767" spans="1:1" x14ac:dyDescent="0.25">
      <c r="A6767"/>
    </row>
    <row r="6768" spans="1:1" x14ac:dyDescent="0.25">
      <c r="A6768"/>
    </row>
    <row r="6769" spans="1:1" x14ac:dyDescent="0.25">
      <c r="A6769"/>
    </row>
    <row r="6770" spans="1:1" x14ac:dyDescent="0.25">
      <c r="A6770"/>
    </row>
    <row r="6771" spans="1:1" x14ac:dyDescent="0.25">
      <c r="A6771"/>
    </row>
    <row r="6772" spans="1:1" x14ac:dyDescent="0.25">
      <c r="A6772"/>
    </row>
    <row r="6773" spans="1:1" x14ac:dyDescent="0.25">
      <c r="A6773"/>
    </row>
    <row r="6774" spans="1:1" x14ac:dyDescent="0.25">
      <c r="A6774"/>
    </row>
    <row r="6775" spans="1:1" x14ac:dyDescent="0.25">
      <c r="A6775"/>
    </row>
    <row r="6776" spans="1:1" x14ac:dyDescent="0.25">
      <c r="A6776"/>
    </row>
    <row r="6777" spans="1:1" x14ac:dyDescent="0.25">
      <c r="A6777"/>
    </row>
    <row r="6778" spans="1:1" x14ac:dyDescent="0.25">
      <c r="A6778"/>
    </row>
    <row r="6779" spans="1:1" x14ac:dyDescent="0.25">
      <c r="A6779"/>
    </row>
    <row r="6780" spans="1:1" x14ac:dyDescent="0.25">
      <c r="A6780"/>
    </row>
    <row r="6781" spans="1:1" x14ac:dyDescent="0.25">
      <c r="A6781"/>
    </row>
    <row r="6782" spans="1:1" x14ac:dyDescent="0.25">
      <c r="A6782"/>
    </row>
    <row r="6783" spans="1:1" x14ac:dyDescent="0.25">
      <c r="A6783"/>
    </row>
    <row r="6784" spans="1:1" x14ac:dyDescent="0.25">
      <c r="A6784"/>
    </row>
    <row r="6785" spans="1:1" x14ac:dyDescent="0.25">
      <c r="A6785"/>
    </row>
    <row r="6786" spans="1:1" x14ac:dyDescent="0.25">
      <c r="A6786"/>
    </row>
    <row r="6787" spans="1:1" x14ac:dyDescent="0.25">
      <c r="A6787"/>
    </row>
    <row r="6788" spans="1:1" x14ac:dyDescent="0.25">
      <c r="A6788"/>
    </row>
    <row r="6789" spans="1:1" x14ac:dyDescent="0.25">
      <c r="A6789"/>
    </row>
    <row r="6790" spans="1:1" x14ac:dyDescent="0.25">
      <c r="A6790"/>
    </row>
    <row r="6791" spans="1:1" x14ac:dyDescent="0.25">
      <c r="A6791"/>
    </row>
    <row r="6792" spans="1:1" x14ac:dyDescent="0.25">
      <c r="A6792"/>
    </row>
    <row r="6793" spans="1:1" x14ac:dyDescent="0.25">
      <c r="A6793"/>
    </row>
    <row r="6794" spans="1:1" x14ac:dyDescent="0.25">
      <c r="A6794"/>
    </row>
    <row r="6795" spans="1:1" x14ac:dyDescent="0.25">
      <c r="A6795"/>
    </row>
    <row r="6796" spans="1:1" x14ac:dyDescent="0.25">
      <c r="A6796"/>
    </row>
    <row r="6797" spans="1:1" x14ac:dyDescent="0.25">
      <c r="A6797"/>
    </row>
    <row r="6798" spans="1:1" x14ac:dyDescent="0.25">
      <c r="A6798"/>
    </row>
    <row r="6799" spans="1:1" x14ac:dyDescent="0.25">
      <c r="A6799"/>
    </row>
    <row r="6800" spans="1:1" x14ac:dyDescent="0.25">
      <c r="A6800"/>
    </row>
    <row r="6801" spans="1:1" x14ac:dyDescent="0.25">
      <c r="A6801"/>
    </row>
    <row r="6802" spans="1:1" x14ac:dyDescent="0.25">
      <c r="A6802"/>
    </row>
    <row r="6803" spans="1:1" x14ac:dyDescent="0.25">
      <c r="A6803"/>
    </row>
    <row r="6804" spans="1:1" x14ac:dyDescent="0.25">
      <c r="A6804"/>
    </row>
    <row r="6805" spans="1:1" x14ac:dyDescent="0.25">
      <c r="A6805"/>
    </row>
    <row r="6806" spans="1:1" x14ac:dyDescent="0.25">
      <c r="A6806"/>
    </row>
    <row r="6807" spans="1:1" x14ac:dyDescent="0.25">
      <c r="A6807"/>
    </row>
    <row r="6808" spans="1:1" x14ac:dyDescent="0.25">
      <c r="A6808"/>
    </row>
    <row r="6809" spans="1:1" x14ac:dyDescent="0.25">
      <c r="A6809"/>
    </row>
    <row r="6810" spans="1:1" x14ac:dyDescent="0.25">
      <c r="A6810"/>
    </row>
    <row r="6811" spans="1:1" x14ac:dyDescent="0.25">
      <c r="A6811"/>
    </row>
    <row r="6812" spans="1:1" x14ac:dyDescent="0.25">
      <c r="A6812"/>
    </row>
    <row r="6813" spans="1:1" x14ac:dyDescent="0.25">
      <c r="A6813"/>
    </row>
    <row r="6814" spans="1:1" x14ac:dyDescent="0.25">
      <c r="A6814"/>
    </row>
    <row r="6815" spans="1:1" x14ac:dyDescent="0.25">
      <c r="A6815"/>
    </row>
    <row r="6816" spans="1:1" x14ac:dyDescent="0.25">
      <c r="A6816"/>
    </row>
    <row r="6817" spans="1:1" x14ac:dyDescent="0.25">
      <c r="A6817"/>
    </row>
    <row r="6818" spans="1:1" x14ac:dyDescent="0.25">
      <c r="A6818"/>
    </row>
    <row r="6819" spans="1:1" x14ac:dyDescent="0.25">
      <c r="A6819"/>
    </row>
    <row r="6820" spans="1:1" x14ac:dyDescent="0.25">
      <c r="A6820"/>
    </row>
    <row r="6821" spans="1:1" x14ac:dyDescent="0.25">
      <c r="A6821"/>
    </row>
    <row r="6822" spans="1:1" x14ac:dyDescent="0.25">
      <c r="A6822"/>
    </row>
    <row r="6823" spans="1:1" x14ac:dyDescent="0.25">
      <c r="A6823"/>
    </row>
    <row r="6824" spans="1:1" x14ac:dyDescent="0.25">
      <c r="A6824"/>
    </row>
    <row r="6825" spans="1:1" x14ac:dyDescent="0.25">
      <c r="A6825"/>
    </row>
    <row r="6826" spans="1:1" x14ac:dyDescent="0.25">
      <c r="A6826"/>
    </row>
    <row r="6827" spans="1:1" x14ac:dyDescent="0.25">
      <c r="A6827"/>
    </row>
    <row r="6828" spans="1:1" x14ac:dyDescent="0.25">
      <c r="A6828"/>
    </row>
    <row r="6829" spans="1:1" x14ac:dyDescent="0.25">
      <c r="A6829"/>
    </row>
    <row r="6830" spans="1:1" x14ac:dyDescent="0.25">
      <c r="A6830"/>
    </row>
    <row r="6831" spans="1:1" x14ac:dyDescent="0.25">
      <c r="A6831"/>
    </row>
    <row r="6832" spans="1:1" x14ac:dyDescent="0.25">
      <c r="A6832"/>
    </row>
    <row r="6833" spans="1:1" x14ac:dyDescent="0.25">
      <c r="A6833"/>
    </row>
    <row r="6834" spans="1:1" x14ac:dyDescent="0.25">
      <c r="A6834"/>
    </row>
    <row r="6835" spans="1:1" x14ac:dyDescent="0.25">
      <c r="A6835"/>
    </row>
    <row r="6836" spans="1:1" x14ac:dyDescent="0.25">
      <c r="A6836"/>
    </row>
    <row r="6837" spans="1:1" x14ac:dyDescent="0.25">
      <c r="A6837"/>
    </row>
    <row r="6838" spans="1:1" x14ac:dyDescent="0.25">
      <c r="A6838"/>
    </row>
    <row r="6839" spans="1:1" x14ac:dyDescent="0.25">
      <c r="A6839"/>
    </row>
    <row r="6840" spans="1:1" x14ac:dyDescent="0.25">
      <c r="A6840"/>
    </row>
    <row r="6841" spans="1:1" x14ac:dyDescent="0.25">
      <c r="A6841"/>
    </row>
    <row r="6842" spans="1:1" x14ac:dyDescent="0.25">
      <c r="A6842"/>
    </row>
    <row r="6843" spans="1:1" x14ac:dyDescent="0.25">
      <c r="A6843"/>
    </row>
    <row r="6844" spans="1:1" x14ac:dyDescent="0.25">
      <c r="A6844"/>
    </row>
    <row r="6845" spans="1:1" x14ac:dyDescent="0.25">
      <c r="A6845"/>
    </row>
    <row r="6846" spans="1:1" x14ac:dyDescent="0.25">
      <c r="A6846"/>
    </row>
    <row r="6847" spans="1:1" x14ac:dyDescent="0.25">
      <c r="A6847"/>
    </row>
    <row r="6848" spans="1:1" x14ac:dyDescent="0.25">
      <c r="A6848"/>
    </row>
    <row r="6849" spans="1:1" x14ac:dyDescent="0.25">
      <c r="A6849"/>
    </row>
    <row r="6850" spans="1:1" x14ac:dyDescent="0.25">
      <c r="A6850"/>
    </row>
    <row r="6851" spans="1:1" x14ac:dyDescent="0.25">
      <c r="A6851"/>
    </row>
    <row r="6852" spans="1:1" x14ac:dyDescent="0.25">
      <c r="A6852"/>
    </row>
    <row r="6853" spans="1:1" x14ac:dyDescent="0.25">
      <c r="A6853"/>
    </row>
    <row r="6854" spans="1:1" x14ac:dyDescent="0.25">
      <c r="A6854"/>
    </row>
    <row r="6855" spans="1:1" x14ac:dyDescent="0.25">
      <c r="A6855"/>
    </row>
    <row r="6856" spans="1:1" x14ac:dyDescent="0.25">
      <c r="A6856"/>
    </row>
    <row r="6857" spans="1:1" x14ac:dyDescent="0.25">
      <c r="A6857"/>
    </row>
    <row r="6858" spans="1:1" x14ac:dyDescent="0.25">
      <c r="A6858"/>
    </row>
    <row r="6859" spans="1:1" x14ac:dyDescent="0.25">
      <c r="A6859"/>
    </row>
    <row r="6860" spans="1:1" x14ac:dyDescent="0.25">
      <c r="A6860"/>
    </row>
    <row r="6861" spans="1:1" x14ac:dyDescent="0.25">
      <c r="A6861"/>
    </row>
    <row r="6862" spans="1:1" x14ac:dyDescent="0.25">
      <c r="A6862"/>
    </row>
    <row r="6863" spans="1:1" x14ac:dyDescent="0.25">
      <c r="A6863"/>
    </row>
    <row r="6864" spans="1:1" x14ac:dyDescent="0.25">
      <c r="A6864"/>
    </row>
    <row r="6865" spans="1:1" x14ac:dyDescent="0.25">
      <c r="A6865"/>
    </row>
    <row r="6866" spans="1:1" x14ac:dyDescent="0.25">
      <c r="A6866"/>
    </row>
    <row r="6867" spans="1:1" x14ac:dyDescent="0.25">
      <c r="A6867"/>
    </row>
    <row r="6868" spans="1:1" x14ac:dyDescent="0.25">
      <c r="A6868"/>
    </row>
    <row r="6869" spans="1:1" x14ac:dyDescent="0.25">
      <c r="A6869"/>
    </row>
    <row r="6870" spans="1:1" x14ac:dyDescent="0.25">
      <c r="A6870"/>
    </row>
    <row r="6871" spans="1:1" x14ac:dyDescent="0.25">
      <c r="A6871"/>
    </row>
    <row r="6872" spans="1:1" x14ac:dyDescent="0.25">
      <c r="A6872"/>
    </row>
    <row r="6873" spans="1:1" x14ac:dyDescent="0.25">
      <c r="A6873"/>
    </row>
    <row r="6874" spans="1:1" x14ac:dyDescent="0.25">
      <c r="A6874"/>
    </row>
    <row r="6875" spans="1:1" x14ac:dyDescent="0.25">
      <c r="A6875"/>
    </row>
    <row r="6876" spans="1:1" x14ac:dyDescent="0.25">
      <c r="A6876"/>
    </row>
    <row r="6877" spans="1:1" x14ac:dyDescent="0.25">
      <c r="A6877"/>
    </row>
    <row r="6878" spans="1:1" x14ac:dyDescent="0.25">
      <c r="A6878"/>
    </row>
    <row r="6879" spans="1:1" x14ac:dyDescent="0.25">
      <c r="A6879"/>
    </row>
    <row r="6880" spans="1:1" x14ac:dyDescent="0.25">
      <c r="A6880"/>
    </row>
    <row r="6881" spans="1:1" x14ac:dyDescent="0.25">
      <c r="A6881"/>
    </row>
    <row r="6882" spans="1:1" x14ac:dyDescent="0.25">
      <c r="A6882"/>
    </row>
    <row r="6883" spans="1:1" x14ac:dyDescent="0.25">
      <c r="A6883"/>
    </row>
    <row r="6884" spans="1:1" x14ac:dyDescent="0.25">
      <c r="A6884"/>
    </row>
    <row r="6885" spans="1:1" x14ac:dyDescent="0.25">
      <c r="A6885"/>
    </row>
    <row r="6886" spans="1:1" x14ac:dyDescent="0.25">
      <c r="A6886"/>
    </row>
    <row r="6887" spans="1:1" x14ac:dyDescent="0.25">
      <c r="A6887"/>
    </row>
    <row r="6888" spans="1:1" x14ac:dyDescent="0.25">
      <c r="A6888"/>
    </row>
    <row r="6889" spans="1:1" x14ac:dyDescent="0.25">
      <c r="A6889"/>
    </row>
    <row r="6890" spans="1:1" x14ac:dyDescent="0.25">
      <c r="A6890"/>
    </row>
    <row r="6891" spans="1:1" x14ac:dyDescent="0.25">
      <c r="A6891"/>
    </row>
    <row r="6892" spans="1:1" x14ac:dyDescent="0.25">
      <c r="A6892"/>
    </row>
    <row r="6893" spans="1:1" x14ac:dyDescent="0.25">
      <c r="A6893"/>
    </row>
    <row r="6894" spans="1:1" x14ac:dyDescent="0.25">
      <c r="A6894"/>
    </row>
    <row r="6895" spans="1:1" x14ac:dyDescent="0.25">
      <c r="A6895"/>
    </row>
    <row r="6896" spans="1:1" x14ac:dyDescent="0.25">
      <c r="A6896"/>
    </row>
    <row r="6897" spans="1:1" x14ac:dyDescent="0.25">
      <c r="A6897"/>
    </row>
    <row r="6898" spans="1:1" x14ac:dyDescent="0.25">
      <c r="A6898"/>
    </row>
    <row r="6899" spans="1:1" x14ac:dyDescent="0.25">
      <c r="A6899"/>
    </row>
    <row r="6900" spans="1:1" x14ac:dyDescent="0.25">
      <c r="A6900"/>
    </row>
    <row r="6901" spans="1:1" x14ac:dyDescent="0.25">
      <c r="A6901"/>
    </row>
    <row r="6902" spans="1:1" x14ac:dyDescent="0.25">
      <c r="A6902"/>
    </row>
    <row r="6903" spans="1:1" x14ac:dyDescent="0.25">
      <c r="A6903"/>
    </row>
    <row r="6904" spans="1:1" x14ac:dyDescent="0.25">
      <c r="A6904"/>
    </row>
    <row r="6905" spans="1:1" x14ac:dyDescent="0.25">
      <c r="A6905"/>
    </row>
    <row r="6906" spans="1:1" x14ac:dyDescent="0.25">
      <c r="A6906"/>
    </row>
    <row r="6907" spans="1:1" x14ac:dyDescent="0.25">
      <c r="A6907"/>
    </row>
    <row r="6908" spans="1:1" x14ac:dyDescent="0.25">
      <c r="A6908"/>
    </row>
    <row r="6909" spans="1:1" x14ac:dyDescent="0.25">
      <c r="A6909"/>
    </row>
    <row r="6910" spans="1:1" x14ac:dyDescent="0.25">
      <c r="A6910"/>
    </row>
    <row r="6911" spans="1:1" x14ac:dyDescent="0.25">
      <c r="A6911"/>
    </row>
    <row r="6912" spans="1:1" x14ac:dyDescent="0.25">
      <c r="A6912"/>
    </row>
    <row r="6913" spans="1:1" x14ac:dyDescent="0.25">
      <c r="A6913"/>
    </row>
    <row r="6914" spans="1:1" x14ac:dyDescent="0.25">
      <c r="A6914"/>
    </row>
    <row r="6915" spans="1:1" x14ac:dyDescent="0.25">
      <c r="A6915"/>
    </row>
    <row r="6916" spans="1:1" x14ac:dyDescent="0.25">
      <c r="A6916"/>
    </row>
    <row r="6917" spans="1:1" x14ac:dyDescent="0.25">
      <c r="A6917"/>
    </row>
    <row r="6918" spans="1:1" x14ac:dyDescent="0.25">
      <c r="A6918"/>
    </row>
    <row r="6919" spans="1:1" x14ac:dyDescent="0.25">
      <c r="A6919"/>
    </row>
    <row r="6920" spans="1:1" x14ac:dyDescent="0.25">
      <c r="A6920"/>
    </row>
    <row r="6921" spans="1:1" x14ac:dyDescent="0.25">
      <c r="A6921"/>
    </row>
    <row r="6922" spans="1:1" x14ac:dyDescent="0.25">
      <c r="A6922"/>
    </row>
    <row r="6923" spans="1:1" x14ac:dyDescent="0.25">
      <c r="A6923"/>
    </row>
    <row r="6924" spans="1:1" x14ac:dyDescent="0.25">
      <c r="A6924"/>
    </row>
    <row r="6925" spans="1:1" x14ac:dyDescent="0.25">
      <c r="A6925"/>
    </row>
    <row r="6926" spans="1:1" x14ac:dyDescent="0.25">
      <c r="A6926"/>
    </row>
    <row r="6927" spans="1:1" x14ac:dyDescent="0.25">
      <c r="A6927"/>
    </row>
    <row r="6928" spans="1:1" x14ac:dyDescent="0.25">
      <c r="A6928"/>
    </row>
    <row r="6929" spans="1:1" x14ac:dyDescent="0.25">
      <c r="A6929"/>
    </row>
    <row r="6930" spans="1:1" x14ac:dyDescent="0.25">
      <c r="A6930"/>
    </row>
    <row r="6931" spans="1:1" x14ac:dyDescent="0.25">
      <c r="A6931"/>
    </row>
    <row r="6932" spans="1:1" x14ac:dyDescent="0.25">
      <c r="A6932"/>
    </row>
    <row r="6933" spans="1:1" x14ac:dyDescent="0.25">
      <c r="A6933"/>
    </row>
    <row r="6934" spans="1:1" x14ac:dyDescent="0.25">
      <c r="A6934"/>
    </row>
    <row r="6935" spans="1:1" x14ac:dyDescent="0.25">
      <c r="A6935"/>
    </row>
    <row r="6936" spans="1:1" x14ac:dyDescent="0.25">
      <c r="A6936"/>
    </row>
    <row r="6937" spans="1:1" x14ac:dyDescent="0.25">
      <c r="A6937"/>
    </row>
    <row r="6938" spans="1:1" x14ac:dyDescent="0.25">
      <c r="A6938"/>
    </row>
    <row r="6939" spans="1:1" x14ac:dyDescent="0.25">
      <c r="A6939"/>
    </row>
    <row r="6940" spans="1:1" x14ac:dyDescent="0.25">
      <c r="A6940"/>
    </row>
    <row r="6941" spans="1:1" x14ac:dyDescent="0.25">
      <c r="A6941"/>
    </row>
    <row r="6942" spans="1:1" x14ac:dyDescent="0.25">
      <c r="A6942"/>
    </row>
    <row r="6943" spans="1:1" x14ac:dyDescent="0.25">
      <c r="A6943"/>
    </row>
    <row r="6944" spans="1:1" x14ac:dyDescent="0.25">
      <c r="A6944"/>
    </row>
    <row r="6945" spans="1:1" x14ac:dyDescent="0.25">
      <c r="A6945"/>
    </row>
    <row r="6946" spans="1:1" x14ac:dyDescent="0.25">
      <c r="A6946"/>
    </row>
    <row r="6947" spans="1:1" x14ac:dyDescent="0.25">
      <c r="A6947"/>
    </row>
    <row r="6948" spans="1:1" x14ac:dyDescent="0.25">
      <c r="A6948"/>
    </row>
    <row r="6949" spans="1:1" x14ac:dyDescent="0.25">
      <c r="A6949"/>
    </row>
    <row r="6950" spans="1:1" x14ac:dyDescent="0.25">
      <c r="A6950"/>
    </row>
    <row r="6951" spans="1:1" x14ac:dyDescent="0.25">
      <c r="A6951"/>
    </row>
    <row r="6952" spans="1:1" x14ac:dyDescent="0.25">
      <c r="A6952"/>
    </row>
    <row r="6953" spans="1:1" x14ac:dyDescent="0.25">
      <c r="A6953"/>
    </row>
    <row r="6954" spans="1:1" x14ac:dyDescent="0.25">
      <c r="A6954"/>
    </row>
    <row r="6955" spans="1:1" x14ac:dyDescent="0.25">
      <c r="A6955"/>
    </row>
    <row r="6956" spans="1:1" x14ac:dyDescent="0.25">
      <c r="A6956"/>
    </row>
    <row r="6957" spans="1:1" x14ac:dyDescent="0.25">
      <c r="A6957"/>
    </row>
    <row r="6958" spans="1:1" x14ac:dyDescent="0.25">
      <c r="A6958"/>
    </row>
    <row r="6959" spans="1:1" x14ac:dyDescent="0.25">
      <c r="A6959"/>
    </row>
    <row r="6960" spans="1:1" x14ac:dyDescent="0.25">
      <c r="A6960"/>
    </row>
    <row r="6961" spans="1:1" x14ac:dyDescent="0.25">
      <c r="A6961"/>
    </row>
    <row r="6962" spans="1:1" x14ac:dyDescent="0.25">
      <c r="A6962"/>
    </row>
    <row r="6963" spans="1:1" x14ac:dyDescent="0.25">
      <c r="A6963"/>
    </row>
    <row r="6964" spans="1:1" x14ac:dyDescent="0.25">
      <c r="A6964"/>
    </row>
    <row r="6965" spans="1:1" x14ac:dyDescent="0.25">
      <c r="A6965"/>
    </row>
    <row r="6966" spans="1:1" x14ac:dyDescent="0.25">
      <c r="A6966"/>
    </row>
    <row r="6967" spans="1:1" x14ac:dyDescent="0.25">
      <c r="A6967"/>
    </row>
    <row r="6968" spans="1:1" x14ac:dyDescent="0.25">
      <c r="A6968"/>
    </row>
    <row r="6969" spans="1:1" x14ac:dyDescent="0.25">
      <c r="A6969"/>
    </row>
    <row r="6970" spans="1:1" x14ac:dyDescent="0.25">
      <c r="A6970"/>
    </row>
    <row r="6971" spans="1:1" x14ac:dyDescent="0.25">
      <c r="A6971"/>
    </row>
    <row r="6972" spans="1:1" x14ac:dyDescent="0.25">
      <c r="A6972"/>
    </row>
    <row r="6973" spans="1:1" x14ac:dyDescent="0.25">
      <c r="A6973"/>
    </row>
    <row r="6974" spans="1:1" x14ac:dyDescent="0.25">
      <c r="A6974"/>
    </row>
    <row r="6975" spans="1:1" x14ac:dyDescent="0.25">
      <c r="A6975"/>
    </row>
    <row r="6976" spans="1:1" x14ac:dyDescent="0.25">
      <c r="A6976"/>
    </row>
    <row r="6977" spans="1:1" x14ac:dyDescent="0.25">
      <c r="A6977"/>
    </row>
    <row r="6978" spans="1:1" x14ac:dyDescent="0.25">
      <c r="A6978"/>
    </row>
    <row r="6979" spans="1:1" x14ac:dyDescent="0.25">
      <c r="A6979"/>
    </row>
    <row r="6980" spans="1:1" x14ac:dyDescent="0.25">
      <c r="A6980"/>
    </row>
    <row r="6981" spans="1:1" x14ac:dyDescent="0.25">
      <c r="A6981"/>
    </row>
    <row r="6982" spans="1:1" x14ac:dyDescent="0.25">
      <c r="A6982"/>
    </row>
    <row r="6983" spans="1:1" x14ac:dyDescent="0.25">
      <c r="A6983"/>
    </row>
    <row r="6984" spans="1:1" x14ac:dyDescent="0.25">
      <c r="A6984"/>
    </row>
    <row r="6985" spans="1:1" x14ac:dyDescent="0.25">
      <c r="A6985"/>
    </row>
    <row r="6986" spans="1:1" x14ac:dyDescent="0.25">
      <c r="A6986"/>
    </row>
    <row r="6987" spans="1:1" x14ac:dyDescent="0.25">
      <c r="A6987"/>
    </row>
    <row r="6988" spans="1:1" x14ac:dyDescent="0.25">
      <c r="A6988"/>
    </row>
    <row r="6989" spans="1:1" x14ac:dyDescent="0.25">
      <c r="A6989"/>
    </row>
    <row r="6990" spans="1:1" x14ac:dyDescent="0.25">
      <c r="A6990"/>
    </row>
    <row r="6991" spans="1:1" x14ac:dyDescent="0.25">
      <c r="A6991"/>
    </row>
    <row r="6992" spans="1:1" x14ac:dyDescent="0.25">
      <c r="A6992"/>
    </row>
    <row r="6993" spans="1:1" x14ac:dyDescent="0.25">
      <c r="A6993"/>
    </row>
    <row r="6994" spans="1:1" x14ac:dyDescent="0.25">
      <c r="A6994"/>
    </row>
    <row r="6995" spans="1:1" x14ac:dyDescent="0.25">
      <c r="A6995"/>
    </row>
    <row r="6996" spans="1:1" x14ac:dyDescent="0.25">
      <c r="A6996"/>
    </row>
    <row r="6997" spans="1:1" x14ac:dyDescent="0.25">
      <c r="A6997"/>
    </row>
    <row r="6998" spans="1:1" x14ac:dyDescent="0.25">
      <c r="A6998"/>
    </row>
    <row r="6999" spans="1:1" x14ac:dyDescent="0.25">
      <c r="A6999"/>
    </row>
    <row r="7000" spans="1:1" x14ac:dyDescent="0.25">
      <c r="A7000"/>
    </row>
    <row r="7001" spans="1:1" x14ac:dyDescent="0.25">
      <c r="A7001"/>
    </row>
    <row r="7002" spans="1:1" x14ac:dyDescent="0.25">
      <c r="A7002"/>
    </row>
    <row r="7003" spans="1:1" x14ac:dyDescent="0.25">
      <c r="A7003"/>
    </row>
    <row r="7004" spans="1:1" x14ac:dyDescent="0.25">
      <c r="A7004"/>
    </row>
    <row r="7005" spans="1:1" x14ac:dyDescent="0.25">
      <c r="A7005"/>
    </row>
    <row r="7006" spans="1:1" x14ac:dyDescent="0.25">
      <c r="A7006"/>
    </row>
    <row r="7007" spans="1:1" x14ac:dyDescent="0.25">
      <c r="A7007"/>
    </row>
    <row r="7008" spans="1:1" x14ac:dyDescent="0.25">
      <c r="A7008"/>
    </row>
    <row r="7009" spans="1:1" x14ac:dyDescent="0.25">
      <c r="A7009"/>
    </row>
    <row r="7010" spans="1:1" x14ac:dyDescent="0.25">
      <c r="A7010"/>
    </row>
    <row r="7011" spans="1:1" x14ac:dyDescent="0.25">
      <c r="A7011"/>
    </row>
    <row r="7012" spans="1:1" x14ac:dyDescent="0.25">
      <c r="A7012"/>
    </row>
    <row r="7013" spans="1:1" x14ac:dyDescent="0.25">
      <c r="A7013"/>
    </row>
    <row r="7014" spans="1:1" x14ac:dyDescent="0.25">
      <c r="A7014"/>
    </row>
    <row r="7015" spans="1:1" x14ac:dyDescent="0.25">
      <c r="A7015"/>
    </row>
    <row r="7016" spans="1:1" x14ac:dyDescent="0.25">
      <c r="A7016"/>
    </row>
    <row r="7017" spans="1:1" x14ac:dyDescent="0.25">
      <c r="A7017"/>
    </row>
    <row r="7018" spans="1:1" x14ac:dyDescent="0.25">
      <c r="A7018"/>
    </row>
    <row r="7019" spans="1:1" x14ac:dyDescent="0.25">
      <c r="A7019"/>
    </row>
    <row r="7020" spans="1:1" x14ac:dyDescent="0.25">
      <c r="A7020"/>
    </row>
    <row r="7021" spans="1:1" x14ac:dyDescent="0.25">
      <c r="A7021"/>
    </row>
    <row r="7022" spans="1:1" x14ac:dyDescent="0.25">
      <c r="A7022"/>
    </row>
    <row r="7023" spans="1:1" x14ac:dyDescent="0.25">
      <c r="A7023"/>
    </row>
    <row r="7024" spans="1:1" x14ac:dyDescent="0.25">
      <c r="A7024"/>
    </row>
    <row r="7025" spans="1:1" x14ac:dyDescent="0.25">
      <c r="A7025"/>
    </row>
    <row r="7026" spans="1:1" x14ac:dyDescent="0.25">
      <c r="A7026"/>
    </row>
    <row r="7027" spans="1:1" x14ac:dyDescent="0.25">
      <c r="A7027"/>
    </row>
    <row r="7028" spans="1:1" x14ac:dyDescent="0.25">
      <c r="A7028"/>
    </row>
    <row r="7029" spans="1:1" x14ac:dyDescent="0.25">
      <c r="A7029"/>
    </row>
    <row r="7030" spans="1:1" x14ac:dyDescent="0.25">
      <c r="A7030"/>
    </row>
    <row r="7031" spans="1:1" x14ac:dyDescent="0.25">
      <c r="A7031"/>
    </row>
    <row r="7032" spans="1:1" x14ac:dyDescent="0.25">
      <c r="A7032"/>
    </row>
    <row r="7033" spans="1:1" x14ac:dyDescent="0.25">
      <c r="A7033"/>
    </row>
    <row r="7034" spans="1:1" x14ac:dyDescent="0.25">
      <c r="A7034"/>
    </row>
    <row r="7035" spans="1:1" x14ac:dyDescent="0.25">
      <c r="A7035"/>
    </row>
    <row r="7036" spans="1:1" x14ac:dyDescent="0.25">
      <c r="A7036"/>
    </row>
    <row r="7037" spans="1:1" x14ac:dyDescent="0.25">
      <c r="A7037"/>
    </row>
    <row r="7038" spans="1:1" x14ac:dyDescent="0.25">
      <c r="A7038"/>
    </row>
    <row r="7039" spans="1:1" x14ac:dyDescent="0.25">
      <c r="A7039"/>
    </row>
    <row r="7040" spans="1:1" x14ac:dyDescent="0.25">
      <c r="A7040"/>
    </row>
    <row r="7041" spans="1:1" x14ac:dyDescent="0.25">
      <c r="A7041"/>
    </row>
    <row r="7042" spans="1:1" x14ac:dyDescent="0.25">
      <c r="A7042"/>
    </row>
    <row r="7043" spans="1:1" x14ac:dyDescent="0.25">
      <c r="A7043"/>
    </row>
    <row r="7044" spans="1:1" x14ac:dyDescent="0.25">
      <c r="A7044"/>
    </row>
    <row r="7045" spans="1:1" x14ac:dyDescent="0.25">
      <c r="A7045"/>
    </row>
    <row r="7046" spans="1:1" x14ac:dyDescent="0.25">
      <c r="A7046"/>
    </row>
    <row r="7047" spans="1:1" x14ac:dyDescent="0.25">
      <c r="A7047"/>
    </row>
    <row r="7048" spans="1:1" x14ac:dyDescent="0.25">
      <c r="A7048"/>
    </row>
    <row r="7049" spans="1:1" x14ac:dyDescent="0.25">
      <c r="A7049"/>
    </row>
    <row r="7050" spans="1:1" x14ac:dyDescent="0.25">
      <c r="A7050"/>
    </row>
    <row r="7051" spans="1:1" x14ac:dyDescent="0.25">
      <c r="A7051"/>
    </row>
    <row r="7052" spans="1:1" x14ac:dyDescent="0.25">
      <c r="A7052"/>
    </row>
    <row r="7053" spans="1:1" x14ac:dyDescent="0.25">
      <c r="A7053"/>
    </row>
    <row r="7054" spans="1:1" x14ac:dyDescent="0.25">
      <c r="A7054"/>
    </row>
    <row r="7055" spans="1:1" x14ac:dyDescent="0.25">
      <c r="A7055"/>
    </row>
    <row r="7056" spans="1:1" x14ac:dyDescent="0.25">
      <c r="A7056"/>
    </row>
    <row r="7057" spans="1:1" x14ac:dyDescent="0.25">
      <c r="A7057"/>
    </row>
    <row r="7058" spans="1:1" x14ac:dyDescent="0.25">
      <c r="A7058"/>
    </row>
    <row r="7059" spans="1:1" x14ac:dyDescent="0.25">
      <c r="A7059"/>
    </row>
    <row r="7060" spans="1:1" x14ac:dyDescent="0.25">
      <c r="A7060"/>
    </row>
    <row r="7061" spans="1:1" x14ac:dyDescent="0.25">
      <c r="A7061"/>
    </row>
    <row r="7062" spans="1:1" x14ac:dyDescent="0.25">
      <c r="A7062"/>
    </row>
    <row r="7063" spans="1:1" x14ac:dyDescent="0.25">
      <c r="A7063"/>
    </row>
    <row r="7064" spans="1:1" x14ac:dyDescent="0.25">
      <c r="A7064"/>
    </row>
    <row r="7065" spans="1:1" x14ac:dyDescent="0.25">
      <c r="A7065"/>
    </row>
    <row r="7066" spans="1:1" x14ac:dyDescent="0.25">
      <c r="A7066"/>
    </row>
    <row r="7067" spans="1:1" x14ac:dyDescent="0.25">
      <c r="A7067"/>
    </row>
    <row r="7068" spans="1:1" x14ac:dyDescent="0.25">
      <c r="A7068"/>
    </row>
    <row r="7069" spans="1:1" x14ac:dyDescent="0.25">
      <c r="A7069"/>
    </row>
    <row r="7070" spans="1:1" x14ac:dyDescent="0.25">
      <c r="A7070"/>
    </row>
    <row r="7071" spans="1:1" x14ac:dyDescent="0.25">
      <c r="A7071"/>
    </row>
    <row r="7072" spans="1:1" x14ac:dyDescent="0.25">
      <c r="A7072"/>
    </row>
    <row r="7073" spans="1:1" x14ac:dyDescent="0.25">
      <c r="A7073"/>
    </row>
    <row r="7074" spans="1:1" x14ac:dyDescent="0.25">
      <c r="A7074"/>
    </row>
    <row r="7075" spans="1:1" x14ac:dyDescent="0.25">
      <c r="A7075"/>
    </row>
    <row r="7076" spans="1:1" x14ac:dyDescent="0.25">
      <c r="A7076"/>
    </row>
    <row r="7077" spans="1:1" x14ac:dyDescent="0.25">
      <c r="A7077"/>
    </row>
    <row r="7078" spans="1:1" x14ac:dyDescent="0.25">
      <c r="A7078"/>
    </row>
    <row r="7079" spans="1:1" x14ac:dyDescent="0.25">
      <c r="A7079"/>
    </row>
    <row r="7080" spans="1:1" x14ac:dyDescent="0.25">
      <c r="A7080"/>
    </row>
    <row r="7081" spans="1:1" x14ac:dyDescent="0.25">
      <c r="A7081"/>
    </row>
    <row r="7082" spans="1:1" x14ac:dyDescent="0.25">
      <c r="A7082"/>
    </row>
    <row r="7083" spans="1:1" x14ac:dyDescent="0.25">
      <c r="A7083"/>
    </row>
    <row r="7084" spans="1:1" x14ac:dyDescent="0.25">
      <c r="A7084"/>
    </row>
    <row r="7085" spans="1:1" x14ac:dyDescent="0.25">
      <c r="A7085"/>
    </row>
    <row r="7086" spans="1:1" x14ac:dyDescent="0.25">
      <c r="A7086"/>
    </row>
    <row r="7087" spans="1:1" x14ac:dyDescent="0.25">
      <c r="A7087"/>
    </row>
    <row r="7088" spans="1:1" x14ac:dyDescent="0.25">
      <c r="A7088"/>
    </row>
    <row r="7089" spans="1:1" x14ac:dyDescent="0.25">
      <c r="A7089"/>
    </row>
    <row r="7090" spans="1:1" x14ac:dyDescent="0.25">
      <c r="A7090"/>
    </row>
    <row r="7091" spans="1:1" x14ac:dyDescent="0.25">
      <c r="A7091"/>
    </row>
    <row r="7092" spans="1:1" x14ac:dyDescent="0.25">
      <c r="A7092"/>
    </row>
    <row r="7093" spans="1:1" x14ac:dyDescent="0.25">
      <c r="A7093"/>
    </row>
    <row r="7094" spans="1:1" x14ac:dyDescent="0.25">
      <c r="A7094"/>
    </row>
    <row r="7095" spans="1:1" x14ac:dyDescent="0.25">
      <c r="A7095"/>
    </row>
    <row r="7096" spans="1:1" x14ac:dyDescent="0.25">
      <c r="A7096"/>
    </row>
    <row r="7097" spans="1:1" x14ac:dyDescent="0.25">
      <c r="A7097"/>
    </row>
    <row r="7098" spans="1:1" x14ac:dyDescent="0.25">
      <c r="A7098"/>
    </row>
    <row r="7099" spans="1:1" x14ac:dyDescent="0.25">
      <c r="A7099"/>
    </row>
    <row r="7100" spans="1:1" x14ac:dyDescent="0.25">
      <c r="A7100"/>
    </row>
    <row r="7101" spans="1:1" x14ac:dyDescent="0.25">
      <c r="A7101"/>
    </row>
    <row r="7102" spans="1:1" x14ac:dyDescent="0.25">
      <c r="A7102"/>
    </row>
    <row r="7103" spans="1:1" x14ac:dyDescent="0.25">
      <c r="A7103"/>
    </row>
    <row r="7104" spans="1:1" x14ac:dyDescent="0.25">
      <c r="A7104"/>
    </row>
    <row r="7105" spans="1:1" x14ac:dyDescent="0.25">
      <c r="A7105"/>
    </row>
    <row r="7106" spans="1:1" x14ac:dyDescent="0.25">
      <c r="A7106"/>
    </row>
    <row r="7107" spans="1:1" x14ac:dyDescent="0.25">
      <c r="A7107"/>
    </row>
    <row r="7108" spans="1:1" x14ac:dyDescent="0.25">
      <c r="A7108"/>
    </row>
    <row r="7109" spans="1:1" x14ac:dyDescent="0.25">
      <c r="A7109"/>
    </row>
    <row r="7110" spans="1:1" x14ac:dyDescent="0.25">
      <c r="A7110"/>
    </row>
    <row r="7111" spans="1:1" x14ac:dyDescent="0.25">
      <c r="A7111"/>
    </row>
    <row r="7112" spans="1:1" x14ac:dyDescent="0.25">
      <c r="A7112"/>
    </row>
    <row r="7113" spans="1:1" x14ac:dyDescent="0.25">
      <c r="A7113"/>
    </row>
    <row r="7114" spans="1:1" x14ac:dyDescent="0.25">
      <c r="A7114"/>
    </row>
    <row r="7115" spans="1:1" x14ac:dyDescent="0.25">
      <c r="A7115"/>
    </row>
    <row r="7116" spans="1:1" x14ac:dyDescent="0.25">
      <c r="A7116"/>
    </row>
    <row r="7117" spans="1:1" x14ac:dyDescent="0.25">
      <c r="A7117"/>
    </row>
    <row r="7118" spans="1:1" x14ac:dyDescent="0.25">
      <c r="A7118"/>
    </row>
    <row r="7119" spans="1:1" x14ac:dyDescent="0.25">
      <c r="A7119"/>
    </row>
    <row r="7120" spans="1:1" x14ac:dyDescent="0.25">
      <c r="A7120"/>
    </row>
    <row r="7121" spans="1:1" x14ac:dyDescent="0.25">
      <c r="A7121"/>
    </row>
    <row r="7122" spans="1:1" x14ac:dyDescent="0.25">
      <c r="A7122"/>
    </row>
    <row r="7123" spans="1:1" x14ac:dyDescent="0.25">
      <c r="A7123"/>
    </row>
    <row r="7124" spans="1:1" x14ac:dyDescent="0.25">
      <c r="A7124"/>
    </row>
    <row r="7125" spans="1:1" x14ac:dyDescent="0.25">
      <c r="A7125"/>
    </row>
    <row r="7126" spans="1:1" x14ac:dyDescent="0.25">
      <c r="A7126"/>
    </row>
    <row r="7127" spans="1:1" x14ac:dyDescent="0.25">
      <c r="A7127"/>
    </row>
    <row r="7128" spans="1:1" x14ac:dyDescent="0.25">
      <c r="A7128"/>
    </row>
    <row r="7129" spans="1:1" x14ac:dyDescent="0.25">
      <c r="A7129"/>
    </row>
    <row r="7130" spans="1:1" x14ac:dyDescent="0.25">
      <c r="A7130"/>
    </row>
    <row r="7131" spans="1:1" x14ac:dyDescent="0.25">
      <c r="A7131"/>
    </row>
    <row r="7132" spans="1:1" x14ac:dyDescent="0.25">
      <c r="A7132"/>
    </row>
    <row r="7133" spans="1:1" x14ac:dyDescent="0.25">
      <c r="A7133"/>
    </row>
    <row r="7134" spans="1:1" x14ac:dyDescent="0.25">
      <c r="A7134"/>
    </row>
    <row r="7135" spans="1:1" x14ac:dyDescent="0.25">
      <c r="A7135"/>
    </row>
    <row r="7136" spans="1:1" x14ac:dyDescent="0.25">
      <c r="A7136"/>
    </row>
    <row r="7137" spans="1:1" x14ac:dyDescent="0.25">
      <c r="A7137"/>
    </row>
    <row r="7138" spans="1:1" x14ac:dyDescent="0.25">
      <c r="A7138"/>
    </row>
    <row r="7139" spans="1:1" x14ac:dyDescent="0.25">
      <c r="A7139"/>
    </row>
    <row r="7140" spans="1:1" x14ac:dyDescent="0.25">
      <c r="A7140"/>
    </row>
    <row r="7141" spans="1:1" x14ac:dyDescent="0.25">
      <c r="A7141"/>
    </row>
    <row r="7142" spans="1:1" x14ac:dyDescent="0.25">
      <c r="A7142"/>
    </row>
    <row r="7143" spans="1:1" x14ac:dyDescent="0.25">
      <c r="A7143"/>
    </row>
    <row r="7144" spans="1:1" x14ac:dyDescent="0.25">
      <c r="A7144"/>
    </row>
    <row r="7145" spans="1:1" x14ac:dyDescent="0.25">
      <c r="A7145"/>
    </row>
    <row r="7146" spans="1:1" x14ac:dyDescent="0.25">
      <c r="A7146"/>
    </row>
    <row r="7147" spans="1:1" x14ac:dyDescent="0.25">
      <c r="A7147"/>
    </row>
    <row r="7148" spans="1:1" x14ac:dyDescent="0.25">
      <c r="A7148"/>
    </row>
    <row r="7149" spans="1:1" x14ac:dyDescent="0.25">
      <c r="A7149"/>
    </row>
    <row r="7150" spans="1:1" x14ac:dyDescent="0.25">
      <c r="A7150"/>
    </row>
    <row r="7151" spans="1:1" x14ac:dyDescent="0.25">
      <c r="A7151"/>
    </row>
    <row r="7152" spans="1:1" x14ac:dyDescent="0.25">
      <c r="A7152"/>
    </row>
    <row r="7153" spans="1:1" x14ac:dyDescent="0.25">
      <c r="A7153"/>
    </row>
    <row r="7154" spans="1:1" x14ac:dyDescent="0.25">
      <c r="A7154"/>
    </row>
    <row r="7155" spans="1:1" x14ac:dyDescent="0.25">
      <c r="A7155"/>
    </row>
    <row r="7156" spans="1:1" x14ac:dyDescent="0.25">
      <c r="A7156"/>
    </row>
    <row r="7157" spans="1:1" x14ac:dyDescent="0.25">
      <c r="A7157"/>
    </row>
    <row r="7158" spans="1:1" x14ac:dyDescent="0.25">
      <c r="A7158"/>
    </row>
    <row r="7159" spans="1:1" x14ac:dyDescent="0.25">
      <c r="A7159"/>
    </row>
    <row r="7160" spans="1:1" x14ac:dyDescent="0.25">
      <c r="A7160"/>
    </row>
    <row r="7161" spans="1:1" x14ac:dyDescent="0.25">
      <c r="A7161"/>
    </row>
    <row r="7162" spans="1:1" x14ac:dyDescent="0.25">
      <c r="A7162"/>
    </row>
    <row r="7163" spans="1:1" x14ac:dyDescent="0.25">
      <c r="A7163"/>
    </row>
    <row r="7164" spans="1:1" x14ac:dyDescent="0.25">
      <c r="A7164"/>
    </row>
    <row r="7165" spans="1:1" x14ac:dyDescent="0.25">
      <c r="A7165"/>
    </row>
    <row r="7166" spans="1:1" x14ac:dyDescent="0.25">
      <c r="A7166"/>
    </row>
    <row r="7167" spans="1:1" x14ac:dyDescent="0.25">
      <c r="A7167"/>
    </row>
    <row r="7168" spans="1:1" x14ac:dyDescent="0.25">
      <c r="A7168"/>
    </row>
    <row r="7169" spans="1:1" x14ac:dyDescent="0.25">
      <c r="A7169"/>
    </row>
    <row r="7170" spans="1:1" x14ac:dyDescent="0.25">
      <c r="A7170"/>
    </row>
    <row r="7171" spans="1:1" x14ac:dyDescent="0.25">
      <c r="A7171"/>
    </row>
    <row r="7172" spans="1:1" x14ac:dyDescent="0.25">
      <c r="A7172"/>
    </row>
    <row r="7173" spans="1:1" x14ac:dyDescent="0.25">
      <c r="A7173"/>
    </row>
    <row r="7174" spans="1:1" x14ac:dyDescent="0.25">
      <c r="A7174"/>
    </row>
    <row r="7175" spans="1:1" x14ac:dyDescent="0.25">
      <c r="A7175"/>
    </row>
    <row r="7176" spans="1:1" x14ac:dyDescent="0.25">
      <c r="A7176"/>
    </row>
    <row r="7177" spans="1:1" x14ac:dyDescent="0.25">
      <c r="A7177"/>
    </row>
    <row r="7178" spans="1:1" x14ac:dyDescent="0.25">
      <c r="A7178"/>
    </row>
    <row r="7179" spans="1:1" x14ac:dyDescent="0.25">
      <c r="A7179"/>
    </row>
    <row r="7180" spans="1:1" x14ac:dyDescent="0.25">
      <c r="A7180"/>
    </row>
    <row r="7181" spans="1:1" x14ac:dyDescent="0.25">
      <c r="A7181"/>
    </row>
    <row r="7182" spans="1:1" x14ac:dyDescent="0.25">
      <c r="A7182"/>
    </row>
    <row r="7183" spans="1:1" x14ac:dyDescent="0.25">
      <c r="A7183"/>
    </row>
    <row r="7184" spans="1:1" x14ac:dyDescent="0.25">
      <c r="A7184"/>
    </row>
    <row r="7185" spans="1:1" x14ac:dyDescent="0.25">
      <c r="A7185"/>
    </row>
    <row r="7186" spans="1:1" x14ac:dyDescent="0.25">
      <c r="A7186"/>
    </row>
    <row r="7187" spans="1:1" x14ac:dyDescent="0.25">
      <c r="A7187"/>
    </row>
    <row r="7188" spans="1:1" x14ac:dyDescent="0.25">
      <c r="A7188"/>
    </row>
    <row r="7189" spans="1:1" x14ac:dyDescent="0.25">
      <c r="A7189"/>
    </row>
    <row r="7190" spans="1:1" x14ac:dyDescent="0.25">
      <c r="A7190"/>
    </row>
    <row r="7191" spans="1:1" x14ac:dyDescent="0.25">
      <c r="A7191"/>
    </row>
    <row r="7192" spans="1:1" x14ac:dyDescent="0.25">
      <c r="A7192"/>
    </row>
    <row r="7193" spans="1:1" x14ac:dyDescent="0.25">
      <c r="A7193"/>
    </row>
    <row r="7194" spans="1:1" x14ac:dyDescent="0.25">
      <c r="A7194"/>
    </row>
    <row r="7195" spans="1:1" x14ac:dyDescent="0.25">
      <c r="A7195"/>
    </row>
    <row r="7196" spans="1:1" x14ac:dyDescent="0.25">
      <c r="A7196"/>
    </row>
    <row r="7197" spans="1:1" x14ac:dyDescent="0.25">
      <c r="A7197"/>
    </row>
    <row r="7198" spans="1:1" x14ac:dyDescent="0.25">
      <c r="A7198"/>
    </row>
    <row r="7199" spans="1:1" x14ac:dyDescent="0.25">
      <c r="A7199"/>
    </row>
    <row r="7200" spans="1:1" x14ac:dyDescent="0.25">
      <c r="A7200"/>
    </row>
    <row r="7201" spans="1:1" x14ac:dyDescent="0.25">
      <c r="A7201"/>
    </row>
    <row r="7202" spans="1:1" x14ac:dyDescent="0.25">
      <c r="A7202"/>
    </row>
    <row r="7203" spans="1:1" x14ac:dyDescent="0.25">
      <c r="A7203"/>
    </row>
    <row r="7204" spans="1:1" x14ac:dyDescent="0.25">
      <c r="A7204"/>
    </row>
    <row r="7205" spans="1:1" x14ac:dyDescent="0.25">
      <c r="A7205"/>
    </row>
    <row r="7206" spans="1:1" x14ac:dyDescent="0.25">
      <c r="A7206"/>
    </row>
    <row r="7207" spans="1:1" x14ac:dyDescent="0.25">
      <c r="A7207"/>
    </row>
    <row r="7208" spans="1:1" x14ac:dyDescent="0.25">
      <c r="A7208"/>
    </row>
    <row r="7209" spans="1:1" x14ac:dyDescent="0.25">
      <c r="A7209"/>
    </row>
    <row r="7210" spans="1:1" x14ac:dyDescent="0.25">
      <c r="A7210"/>
    </row>
    <row r="7211" spans="1:1" x14ac:dyDescent="0.25">
      <c r="A7211"/>
    </row>
    <row r="7212" spans="1:1" x14ac:dyDescent="0.25">
      <c r="A7212"/>
    </row>
    <row r="7213" spans="1:1" x14ac:dyDescent="0.25">
      <c r="A7213"/>
    </row>
    <row r="7214" spans="1:1" x14ac:dyDescent="0.25">
      <c r="A7214"/>
    </row>
    <row r="7215" spans="1:1" x14ac:dyDescent="0.25">
      <c r="A7215"/>
    </row>
    <row r="7216" spans="1:1" x14ac:dyDescent="0.25">
      <c r="A7216"/>
    </row>
    <row r="7217" spans="1:1" x14ac:dyDescent="0.25">
      <c r="A7217"/>
    </row>
    <row r="7218" spans="1:1" x14ac:dyDescent="0.25">
      <c r="A7218"/>
    </row>
    <row r="7219" spans="1:1" x14ac:dyDescent="0.25">
      <c r="A7219"/>
    </row>
    <row r="7220" spans="1:1" x14ac:dyDescent="0.25">
      <c r="A7220"/>
    </row>
    <row r="7221" spans="1:1" x14ac:dyDescent="0.25">
      <c r="A7221"/>
    </row>
    <row r="7222" spans="1:1" x14ac:dyDescent="0.25">
      <c r="A7222"/>
    </row>
    <row r="7223" spans="1:1" x14ac:dyDescent="0.25">
      <c r="A7223"/>
    </row>
    <row r="7224" spans="1:1" x14ac:dyDescent="0.25">
      <c r="A7224"/>
    </row>
    <row r="7225" spans="1:1" x14ac:dyDescent="0.25">
      <c r="A7225"/>
    </row>
    <row r="7226" spans="1:1" x14ac:dyDescent="0.25">
      <c r="A7226"/>
    </row>
    <row r="7227" spans="1:1" x14ac:dyDescent="0.25">
      <c r="A7227"/>
    </row>
    <row r="7228" spans="1:1" x14ac:dyDescent="0.25">
      <c r="A7228"/>
    </row>
    <row r="7229" spans="1:1" x14ac:dyDescent="0.25">
      <c r="A7229"/>
    </row>
    <row r="7230" spans="1:1" x14ac:dyDescent="0.25">
      <c r="A7230"/>
    </row>
    <row r="7231" spans="1:1" x14ac:dyDescent="0.25">
      <c r="A7231"/>
    </row>
    <row r="7232" spans="1:1" x14ac:dyDescent="0.25">
      <c r="A7232"/>
    </row>
    <row r="7233" spans="1:1" x14ac:dyDescent="0.25">
      <c r="A7233"/>
    </row>
    <row r="7234" spans="1:1" x14ac:dyDescent="0.25">
      <c r="A7234"/>
    </row>
    <row r="7235" spans="1:1" x14ac:dyDescent="0.25">
      <c r="A7235"/>
    </row>
    <row r="7236" spans="1:1" x14ac:dyDescent="0.25">
      <c r="A7236"/>
    </row>
    <row r="7237" spans="1:1" x14ac:dyDescent="0.25">
      <c r="A7237"/>
    </row>
    <row r="7238" spans="1:1" x14ac:dyDescent="0.25">
      <c r="A7238"/>
    </row>
    <row r="7239" spans="1:1" x14ac:dyDescent="0.25">
      <c r="A7239"/>
    </row>
    <row r="7240" spans="1:1" x14ac:dyDescent="0.25">
      <c r="A7240"/>
    </row>
    <row r="7241" spans="1:1" x14ac:dyDescent="0.25">
      <c r="A7241"/>
    </row>
    <row r="7242" spans="1:1" x14ac:dyDescent="0.25">
      <c r="A7242"/>
    </row>
    <row r="7243" spans="1:1" x14ac:dyDescent="0.25">
      <c r="A7243"/>
    </row>
    <row r="7244" spans="1:1" x14ac:dyDescent="0.25">
      <c r="A7244"/>
    </row>
    <row r="7245" spans="1:1" x14ac:dyDescent="0.25">
      <c r="A7245"/>
    </row>
    <row r="7246" spans="1:1" x14ac:dyDescent="0.25">
      <c r="A7246"/>
    </row>
    <row r="7247" spans="1:1" x14ac:dyDescent="0.25">
      <c r="A7247"/>
    </row>
    <row r="7248" spans="1:1" x14ac:dyDescent="0.25">
      <c r="A7248"/>
    </row>
    <row r="7249" spans="1:1" x14ac:dyDescent="0.25">
      <c r="A7249"/>
    </row>
    <row r="7250" spans="1:1" x14ac:dyDescent="0.25">
      <c r="A7250"/>
    </row>
    <row r="7251" spans="1:1" x14ac:dyDescent="0.25">
      <c r="A7251"/>
    </row>
    <row r="7252" spans="1:1" x14ac:dyDescent="0.25">
      <c r="A7252"/>
    </row>
    <row r="7253" spans="1:1" x14ac:dyDescent="0.25">
      <c r="A7253"/>
    </row>
    <row r="7254" spans="1:1" x14ac:dyDescent="0.25">
      <c r="A7254"/>
    </row>
    <row r="7255" spans="1:1" x14ac:dyDescent="0.25">
      <c r="A7255"/>
    </row>
    <row r="7256" spans="1:1" x14ac:dyDescent="0.25">
      <c r="A7256"/>
    </row>
    <row r="7257" spans="1:1" x14ac:dyDescent="0.25">
      <c r="A7257"/>
    </row>
    <row r="7258" spans="1:1" x14ac:dyDescent="0.25">
      <c r="A7258"/>
    </row>
    <row r="7259" spans="1:1" x14ac:dyDescent="0.25">
      <c r="A7259"/>
    </row>
    <row r="7260" spans="1:1" x14ac:dyDescent="0.25">
      <c r="A7260"/>
    </row>
    <row r="7261" spans="1:1" x14ac:dyDescent="0.25">
      <c r="A7261"/>
    </row>
    <row r="7262" spans="1:1" x14ac:dyDescent="0.25">
      <c r="A7262"/>
    </row>
    <row r="7263" spans="1:1" x14ac:dyDescent="0.25">
      <c r="A7263"/>
    </row>
    <row r="7264" spans="1:1" x14ac:dyDescent="0.25">
      <c r="A7264"/>
    </row>
    <row r="7265" spans="1:1" x14ac:dyDescent="0.25">
      <c r="A7265"/>
    </row>
    <row r="7266" spans="1:1" x14ac:dyDescent="0.25">
      <c r="A7266"/>
    </row>
    <row r="7267" spans="1:1" x14ac:dyDescent="0.25">
      <c r="A7267"/>
    </row>
    <row r="7268" spans="1:1" x14ac:dyDescent="0.25">
      <c r="A7268"/>
    </row>
    <row r="7269" spans="1:1" x14ac:dyDescent="0.25">
      <c r="A7269"/>
    </row>
    <row r="7270" spans="1:1" x14ac:dyDescent="0.25">
      <c r="A7270"/>
    </row>
    <row r="7271" spans="1:1" x14ac:dyDescent="0.25">
      <c r="A7271"/>
    </row>
    <row r="7272" spans="1:1" x14ac:dyDescent="0.25">
      <c r="A7272"/>
    </row>
    <row r="7273" spans="1:1" x14ac:dyDescent="0.25">
      <c r="A7273"/>
    </row>
    <row r="7274" spans="1:1" x14ac:dyDescent="0.25">
      <c r="A7274"/>
    </row>
    <row r="7275" spans="1:1" x14ac:dyDescent="0.25">
      <c r="A7275"/>
    </row>
    <row r="7276" spans="1:1" x14ac:dyDescent="0.25">
      <c r="A7276"/>
    </row>
    <row r="7277" spans="1:1" x14ac:dyDescent="0.25">
      <c r="A7277"/>
    </row>
    <row r="7278" spans="1:1" x14ac:dyDescent="0.25">
      <c r="A7278"/>
    </row>
    <row r="7279" spans="1:1" x14ac:dyDescent="0.25">
      <c r="A7279"/>
    </row>
    <row r="7280" spans="1:1" x14ac:dyDescent="0.25">
      <c r="A7280"/>
    </row>
    <row r="7281" spans="1:1" x14ac:dyDescent="0.25">
      <c r="A7281"/>
    </row>
    <row r="7282" spans="1:1" x14ac:dyDescent="0.25">
      <c r="A7282"/>
    </row>
    <row r="7283" spans="1:1" x14ac:dyDescent="0.25">
      <c r="A7283"/>
    </row>
    <row r="7284" spans="1:1" x14ac:dyDescent="0.25">
      <c r="A7284"/>
    </row>
    <row r="7285" spans="1:1" x14ac:dyDescent="0.25">
      <c r="A7285"/>
    </row>
    <row r="7286" spans="1:1" x14ac:dyDescent="0.25">
      <c r="A7286"/>
    </row>
    <row r="7287" spans="1:1" x14ac:dyDescent="0.25">
      <c r="A7287"/>
    </row>
    <row r="7288" spans="1:1" x14ac:dyDescent="0.25">
      <c r="A7288"/>
    </row>
    <row r="7289" spans="1:1" x14ac:dyDescent="0.25">
      <c r="A7289"/>
    </row>
    <row r="7290" spans="1:1" x14ac:dyDescent="0.25">
      <c r="A7290"/>
    </row>
    <row r="7291" spans="1:1" x14ac:dyDescent="0.25">
      <c r="A7291"/>
    </row>
    <row r="7292" spans="1:1" x14ac:dyDescent="0.25">
      <c r="A7292"/>
    </row>
    <row r="7293" spans="1:1" x14ac:dyDescent="0.25">
      <c r="A7293"/>
    </row>
    <row r="7294" spans="1:1" x14ac:dyDescent="0.25">
      <c r="A7294"/>
    </row>
    <row r="7295" spans="1:1" x14ac:dyDescent="0.25">
      <c r="A7295"/>
    </row>
    <row r="7296" spans="1:1" x14ac:dyDescent="0.25">
      <c r="A7296"/>
    </row>
    <row r="7297" spans="1:1" x14ac:dyDescent="0.25">
      <c r="A7297"/>
    </row>
    <row r="7298" spans="1:1" x14ac:dyDescent="0.25">
      <c r="A7298"/>
    </row>
    <row r="7299" spans="1:1" x14ac:dyDescent="0.25">
      <c r="A7299"/>
    </row>
    <row r="7300" spans="1:1" x14ac:dyDescent="0.25">
      <c r="A7300"/>
    </row>
    <row r="7301" spans="1:1" x14ac:dyDescent="0.25">
      <c r="A7301"/>
    </row>
    <row r="7302" spans="1:1" x14ac:dyDescent="0.25">
      <c r="A7302"/>
    </row>
    <row r="7303" spans="1:1" x14ac:dyDescent="0.25">
      <c r="A7303"/>
    </row>
    <row r="7304" spans="1:1" x14ac:dyDescent="0.25">
      <c r="A7304"/>
    </row>
    <row r="7305" spans="1:1" x14ac:dyDescent="0.25">
      <c r="A7305"/>
    </row>
    <row r="7306" spans="1:1" x14ac:dyDescent="0.25">
      <c r="A7306"/>
    </row>
    <row r="7307" spans="1:1" x14ac:dyDescent="0.25">
      <c r="A7307"/>
    </row>
    <row r="7308" spans="1:1" x14ac:dyDescent="0.25">
      <c r="A7308"/>
    </row>
    <row r="7309" spans="1:1" x14ac:dyDescent="0.25">
      <c r="A7309"/>
    </row>
    <row r="7310" spans="1:1" x14ac:dyDescent="0.25">
      <c r="A7310"/>
    </row>
    <row r="7311" spans="1:1" x14ac:dyDescent="0.25">
      <c r="A7311"/>
    </row>
    <row r="7312" spans="1:1" x14ac:dyDescent="0.25">
      <c r="A7312"/>
    </row>
    <row r="7313" spans="1:1" x14ac:dyDescent="0.25">
      <c r="A7313"/>
    </row>
    <row r="7314" spans="1:1" x14ac:dyDescent="0.25">
      <c r="A7314"/>
    </row>
    <row r="7315" spans="1:1" x14ac:dyDescent="0.25">
      <c r="A7315"/>
    </row>
    <row r="7316" spans="1:1" x14ac:dyDescent="0.25">
      <c r="A7316"/>
    </row>
    <row r="7317" spans="1:1" x14ac:dyDescent="0.25">
      <c r="A7317"/>
    </row>
    <row r="7318" spans="1:1" x14ac:dyDescent="0.25">
      <c r="A7318"/>
    </row>
    <row r="7319" spans="1:1" x14ac:dyDescent="0.25">
      <c r="A7319"/>
    </row>
    <row r="7320" spans="1:1" x14ac:dyDescent="0.25">
      <c r="A7320"/>
    </row>
    <row r="7321" spans="1:1" x14ac:dyDescent="0.25">
      <c r="A7321"/>
    </row>
    <row r="7322" spans="1:1" x14ac:dyDescent="0.25">
      <c r="A7322"/>
    </row>
    <row r="7323" spans="1:1" x14ac:dyDescent="0.25">
      <c r="A7323"/>
    </row>
    <row r="7324" spans="1:1" x14ac:dyDescent="0.25">
      <c r="A7324"/>
    </row>
    <row r="7325" spans="1:1" x14ac:dyDescent="0.25">
      <c r="A7325"/>
    </row>
    <row r="7326" spans="1:1" x14ac:dyDescent="0.25">
      <c r="A7326"/>
    </row>
    <row r="7327" spans="1:1" x14ac:dyDescent="0.25">
      <c r="A7327"/>
    </row>
    <row r="7328" spans="1:1" x14ac:dyDescent="0.25">
      <c r="A7328"/>
    </row>
    <row r="7329" spans="1:1" x14ac:dyDescent="0.25">
      <c r="A7329"/>
    </row>
    <row r="7330" spans="1:1" x14ac:dyDescent="0.25">
      <c r="A7330"/>
    </row>
    <row r="7331" spans="1:1" x14ac:dyDescent="0.25">
      <c r="A7331"/>
    </row>
    <row r="7332" spans="1:1" x14ac:dyDescent="0.25">
      <c r="A7332"/>
    </row>
    <row r="7333" spans="1:1" x14ac:dyDescent="0.25">
      <c r="A7333"/>
    </row>
    <row r="7334" spans="1:1" x14ac:dyDescent="0.25">
      <c r="A7334"/>
    </row>
    <row r="7335" spans="1:1" x14ac:dyDescent="0.25">
      <c r="A7335"/>
    </row>
    <row r="7336" spans="1:1" x14ac:dyDescent="0.25">
      <c r="A7336"/>
    </row>
    <row r="7337" spans="1:1" x14ac:dyDescent="0.25">
      <c r="A7337"/>
    </row>
    <row r="7338" spans="1:1" x14ac:dyDescent="0.25">
      <c r="A7338"/>
    </row>
    <row r="7339" spans="1:1" x14ac:dyDescent="0.25">
      <c r="A7339"/>
    </row>
    <row r="7340" spans="1:1" x14ac:dyDescent="0.25">
      <c r="A7340"/>
    </row>
    <row r="7341" spans="1:1" x14ac:dyDescent="0.25">
      <c r="A7341"/>
    </row>
    <row r="7342" spans="1:1" x14ac:dyDescent="0.25">
      <c r="A7342"/>
    </row>
    <row r="7343" spans="1:1" x14ac:dyDescent="0.25">
      <c r="A7343"/>
    </row>
    <row r="7344" spans="1:1" x14ac:dyDescent="0.25">
      <c r="A7344"/>
    </row>
    <row r="7345" spans="1:1" x14ac:dyDescent="0.25">
      <c r="A7345"/>
    </row>
    <row r="7346" spans="1:1" x14ac:dyDescent="0.25">
      <c r="A7346"/>
    </row>
    <row r="7347" spans="1:1" x14ac:dyDescent="0.25">
      <c r="A7347"/>
    </row>
    <row r="7348" spans="1:1" x14ac:dyDescent="0.25">
      <c r="A7348"/>
    </row>
    <row r="7349" spans="1:1" x14ac:dyDescent="0.25">
      <c r="A7349"/>
    </row>
    <row r="7350" spans="1:1" x14ac:dyDescent="0.25">
      <c r="A7350"/>
    </row>
    <row r="7351" spans="1:1" x14ac:dyDescent="0.25">
      <c r="A7351"/>
    </row>
    <row r="7352" spans="1:1" x14ac:dyDescent="0.25">
      <c r="A7352"/>
    </row>
    <row r="7353" spans="1:1" x14ac:dyDescent="0.25">
      <c r="A7353"/>
    </row>
    <row r="7354" spans="1:1" x14ac:dyDescent="0.25">
      <c r="A7354"/>
    </row>
    <row r="7355" spans="1:1" x14ac:dyDescent="0.25">
      <c r="A7355"/>
    </row>
    <row r="7356" spans="1:1" x14ac:dyDescent="0.25">
      <c r="A7356"/>
    </row>
    <row r="7357" spans="1:1" x14ac:dyDescent="0.25">
      <c r="A7357"/>
    </row>
    <row r="7358" spans="1:1" x14ac:dyDescent="0.25">
      <c r="A7358"/>
    </row>
    <row r="7359" spans="1:1" x14ac:dyDescent="0.25">
      <c r="A7359"/>
    </row>
    <row r="7360" spans="1:1" x14ac:dyDescent="0.25">
      <c r="A7360"/>
    </row>
    <row r="7361" spans="1:1" x14ac:dyDescent="0.25">
      <c r="A7361"/>
    </row>
    <row r="7362" spans="1:1" x14ac:dyDescent="0.25">
      <c r="A7362"/>
    </row>
    <row r="7363" spans="1:1" x14ac:dyDescent="0.25">
      <c r="A7363"/>
    </row>
    <row r="7364" spans="1:1" x14ac:dyDescent="0.25">
      <c r="A7364"/>
    </row>
    <row r="7365" spans="1:1" x14ac:dyDescent="0.25">
      <c r="A7365"/>
    </row>
    <row r="7366" spans="1:1" x14ac:dyDescent="0.25">
      <c r="A7366"/>
    </row>
    <row r="7367" spans="1:1" x14ac:dyDescent="0.25">
      <c r="A7367"/>
    </row>
    <row r="7368" spans="1:1" x14ac:dyDescent="0.25">
      <c r="A7368"/>
    </row>
    <row r="7369" spans="1:1" x14ac:dyDescent="0.25">
      <c r="A7369"/>
    </row>
    <row r="7370" spans="1:1" x14ac:dyDescent="0.25">
      <c r="A7370"/>
    </row>
    <row r="7371" spans="1:1" x14ac:dyDescent="0.25">
      <c r="A7371"/>
    </row>
    <row r="7372" spans="1:1" x14ac:dyDescent="0.25">
      <c r="A7372"/>
    </row>
    <row r="7373" spans="1:1" x14ac:dyDescent="0.25">
      <c r="A7373"/>
    </row>
    <row r="7374" spans="1:1" x14ac:dyDescent="0.25">
      <c r="A7374"/>
    </row>
    <row r="7375" spans="1:1" x14ac:dyDescent="0.25">
      <c r="A7375"/>
    </row>
    <row r="7376" spans="1:1" x14ac:dyDescent="0.25">
      <c r="A7376"/>
    </row>
    <row r="7377" spans="1:1" x14ac:dyDescent="0.25">
      <c r="A7377"/>
    </row>
    <row r="7378" spans="1:1" x14ac:dyDescent="0.25">
      <c r="A7378"/>
    </row>
    <row r="7379" spans="1:1" x14ac:dyDescent="0.25">
      <c r="A7379"/>
    </row>
    <row r="7380" spans="1:1" x14ac:dyDescent="0.25">
      <c r="A7380"/>
    </row>
    <row r="7381" spans="1:1" x14ac:dyDescent="0.25">
      <c r="A7381"/>
    </row>
    <row r="7382" spans="1:1" x14ac:dyDescent="0.25">
      <c r="A7382"/>
    </row>
    <row r="7383" spans="1:1" x14ac:dyDescent="0.25">
      <c r="A7383"/>
    </row>
    <row r="7384" spans="1:1" x14ac:dyDescent="0.25">
      <c r="A7384"/>
    </row>
    <row r="7385" spans="1:1" x14ac:dyDescent="0.25">
      <c r="A7385"/>
    </row>
    <row r="7386" spans="1:1" x14ac:dyDescent="0.25">
      <c r="A7386"/>
    </row>
    <row r="7387" spans="1:1" x14ac:dyDescent="0.25">
      <c r="A7387"/>
    </row>
    <row r="7388" spans="1:1" x14ac:dyDescent="0.25">
      <c r="A7388"/>
    </row>
    <row r="7389" spans="1:1" x14ac:dyDescent="0.25">
      <c r="A7389"/>
    </row>
    <row r="7390" spans="1:1" x14ac:dyDescent="0.25">
      <c r="A7390"/>
    </row>
    <row r="7391" spans="1:1" x14ac:dyDescent="0.25">
      <c r="A7391"/>
    </row>
    <row r="7392" spans="1:1" x14ac:dyDescent="0.25">
      <c r="A7392"/>
    </row>
    <row r="7393" spans="1:1" x14ac:dyDescent="0.25">
      <c r="A7393"/>
    </row>
    <row r="7394" spans="1:1" x14ac:dyDescent="0.25">
      <c r="A7394"/>
    </row>
    <row r="7395" spans="1:1" x14ac:dyDescent="0.25">
      <c r="A7395"/>
    </row>
    <row r="7396" spans="1:1" x14ac:dyDescent="0.25">
      <c r="A7396"/>
    </row>
    <row r="7397" spans="1:1" x14ac:dyDescent="0.25">
      <c r="A7397"/>
    </row>
    <row r="7398" spans="1:1" x14ac:dyDescent="0.25">
      <c r="A7398"/>
    </row>
    <row r="7399" spans="1:1" x14ac:dyDescent="0.25">
      <c r="A7399"/>
    </row>
    <row r="7400" spans="1:1" x14ac:dyDescent="0.25">
      <c r="A7400"/>
    </row>
    <row r="7401" spans="1:1" x14ac:dyDescent="0.25">
      <c r="A7401"/>
    </row>
    <row r="7402" spans="1:1" x14ac:dyDescent="0.25">
      <c r="A7402"/>
    </row>
    <row r="7403" spans="1:1" x14ac:dyDescent="0.25">
      <c r="A7403"/>
    </row>
    <row r="7404" spans="1:1" x14ac:dyDescent="0.25">
      <c r="A7404"/>
    </row>
    <row r="7405" spans="1:1" x14ac:dyDescent="0.25">
      <c r="A7405"/>
    </row>
    <row r="7406" spans="1:1" x14ac:dyDescent="0.25">
      <c r="A7406"/>
    </row>
    <row r="7407" spans="1:1" x14ac:dyDescent="0.25">
      <c r="A7407"/>
    </row>
    <row r="7408" spans="1:1" x14ac:dyDescent="0.25">
      <c r="A7408"/>
    </row>
    <row r="7409" spans="1:1" x14ac:dyDescent="0.25">
      <c r="A7409"/>
    </row>
    <row r="7410" spans="1:1" x14ac:dyDescent="0.25">
      <c r="A7410"/>
    </row>
    <row r="7411" spans="1:1" x14ac:dyDescent="0.25">
      <c r="A7411"/>
    </row>
    <row r="7412" spans="1:1" x14ac:dyDescent="0.25">
      <c r="A7412"/>
    </row>
    <row r="7413" spans="1:1" x14ac:dyDescent="0.25">
      <c r="A7413"/>
    </row>
    <row r="7414" spans="1:1" x14ac:dyDescent="0.25">
      <c r="A7414"/>
    </row>
    <row r="7415" spans="1:1" x14ac:dyDescent="0.25">
      <c r="A7415"/>
    </row>
    <row r="7416" spans="1:1" x14ac:dyDescent="0.25">
      <c r="A7416"/>
    </row>
    <row r="7417" spans="1:1" x14ac:dyDescent="0.25">
      <c r="A7417"/>
    </row>
    <row r="7418" spans="1:1" x14ac:dyDescent="0.25">
      <c r="A7418"/>
    </row>
    <row r="7419" spans="1:1" x14ac:dyDescent="0.25">
      <c r="A7419"/>
    </row>
    <row r="7420" spans="1:1" x14ac:dyDescent="0.25">
      <c r="A7420"/>
    </row>
    <row r="7421" spans="1:1" x14ac:dyDescent="0.25">
      <c r="A7421"/>
    </row>
    <row r="7422" spans="1:1" x14ac:dyDescent="0.25">
      <c r="A7422"/>
    </row>
    <row r="7423" spans="1:1" x14ac:dyDescent="0.25">
      <c r="A7423"/>
    </row>
    <row r="7424" spans="1:1" x14ac:dyDescent="0.25">
      <c r="A7424"/>
    </row>
    <row r="7425" spans="1:1" x14ac:dyDescent="0.25">
      <c r="A7425"/>
    </row>
    <row r="7426" spans="1:1" x14ac:dyDescent="0.25">
      <c r="A7426"/>
    </row>
    <row r="7427" spans="1:1" x14ac:dyDescent="0.25">
      <c r="A7427"/>
    </row>
    <row r="7428" spans="1:1" x14ac:dyDescent="0.25">
      <c r="A7428"/>
    </row>
    <row r="7429" spans="1:1" x14ac:dyDescent="0.25">
      <c r="A7429"/>
    </row>
    <row r="7430" spans="1:1" x14ac:dyDescent="0.25">
      <c r="A7430"/>
    </row>
    <row r="7431" spans="1:1" x14ac:dyDescent="0.25">
      <c r="A7431"/>
    </row>
    <row r="7432" spans="1:1" x14ac:dyDescent="0.25">
      <c r="A7432"/>
    </row>
    <row r="7433" spans="1:1" x14ac:dyDescent="0.25">
      <c r="A7433"/>
    </row>
    <row r="7434" spans="1:1" x14ac:dyDescent="0.25">
      <c r="A7434"/>
    </row>
    <row r="7435" spans="1:1" x14ac:dyDescent="0.25">
      <c r="A7435"/>
    </row>
    <row r="7436" spans="1:1" x14ac:dyDescent="0.25">
      <c r="A7436"/>
    </row>
    <row r="7437" spans="1:1" x14ac:dyDescent="0.25">
      <c r="A7437"/>
    </row>
    <row r="7438" spans="1:1" x14ac:dyDescent="0.25">
      <c r="A7438"/>
    </row>
    <row r="7439" spans="1:1" x14ac:dyDescent="0.25">
      <c r="A7439"/>
    </row>
    <row r="7440" spans="1:1" x14ac:dyDescent="0.25">
      <c r="A7440"/>
    </row>
    <row r="7441" spans="1:1" x14ac:dyDescent="0.25">
      <c r="A7441"/>
    </row>
    <row r="7442" spans="1:1" x14ac:dyDescent="0.25">
      <c r="A7442"/>
    </row>
    <row r="7443" spans="1:1" x14ac:dyDescent="0.25">
      <c r="A7443"/>
    </row>
    <row r="7444" spans="1:1" x14ac:dyDescent="0.25">
      <c r="A7444"/>
    </row>
    <row r="7445" spans="1:1" x14ac:dyDescent="0.25">
      <c r="A7445"/>
    </row>
    <row r="7446" spans="1:1" x14ac:dyDescent="0.25">
      <c r="A7446"/>
    </row>
    <row r="7447" spans="1:1" x14ac:dyDescent="0.25">
      <c r="A7447"/>
    </row>
    <row r="7448" spans="1:1" x14ac:dyDescent="0.25">
      <c r="A7448"/>
    </row>
    <row r="7449" spans="1:1" x14ac:dyDescent="0.25">
      <c r="A7449"/>
    </row>
    <row r="7450" spans="1:1" x14ac:dyDescent="0.25">
      <c r="A7450"/>
    </row>
    <row r="7451" spans="1:1" x14ac:dyDescent="0.25">
      <c r="A7451"/>
    </row>
    <row r="7452" spans="1:1" x14ac:dyDescent="0.25">
      <c r="A7452"/>
    </row>
    <row r="7453" spans="1:1" x14ac:dyDescent="0.25">
      <c r="A7453"/>
    </row>
    <row r="7454" spans="1:1" x14ac:dyDescent="0.25">
      <c r="A7454"/>
    </row>
    <row r="7455" spans="1:1" x14ac:dyDescent="0.25">
      <c r="A7455"/>
    </row>
    <row r="7456" spans="1:1" x14ac:dyDescent="0.25">
      <c r="A7456"/>
    </row>
    <row r="7457" spans="1:1" x14ac:dyDescent="0.25">
      <c r="A7457"/>
    </row>
    <row r="7458" spans="1:1" x14ac:dyDescent="0.25">
      <c r="A7458"/>
    </row>
    <row r="7459" spans="1:1" x14ac:dyDescent="0.25">
      <c r="A7459"/>
    </row>
    <row r="7460" spans="1:1" x14ac:dyDescent="0.25">
      <c r="A7460"/>
    </row>
    <row r="7461" spans="1:1" x14ac:dyDescent="0.25">
      <c r="A7461"/>
    </row>
    <row r="7462" spans="1:1" x14ac:dyDescent="0.25">
      <c r="A7462"/>
    </row>
    <row r="7463" spans="1:1" x14ac:dyDescent="0.25">
      <c r="A7463"/>
    </row>
    <row r="7464" spans="1:1" x14ac:dyDescent="0.25">
      <c r="A7464"/>
    </row>
    <row r="7465" spans="1:1" x14ac:dyDescent="0.25">
      <c r="A7465"/>
    </row>
    <row r="7466" spans="1:1" x14ac:dyDescent="0.25">
      <c r="A7466"/>
    </row>
    <row r="7467" spans="1:1" x14ac:dyDescent="0.25">
      <c r="A7467"/>
    </row>
    <row r="7468" spans="1:1" x14ac:dyDescent="0.25">
      <c r="A7468"/>
    </row>
    <row r="7469" spans="1:1" x14ac:dyDescent="0.25">
      <c r="A7469"/>
    </row>
    <row r="7470" spans="1:1" x14ac:dyDescent="0.25">
      <c r="A7470"/>
    </row>
    <row r="7471" spans="1:1" x14ac:dyDescent="0.25">
      <c r="A7471"/>
    </row>
    <row r="7472" spans="1:1" x14ac:dyDescent="0.25">
      <c r="A7472"/>
    </row>
    <row r="7473" spans="1:1" x14ac:dyDescent="0.25">
      <c r="A7473"/>
    </row>
    <row r="7474" spans="1:1" x14ac:dyDescent="0.25">
      <c r="A7474"/>
    </row>
    <row r="7475" spans="1:1" x14ac:dyDescent="0.25">
      <c r="A7475"/>
    </row>
    <row r="7476" spans="1:1" x14ac:dyDescent="0.25">
      <c r="A7476"/>
    </row>
    <row r="7477" spans="1:1" x14ac:dyDescent="0.25">
      <c r="A7477"/>
    </row>
    <row r="7478" spans="1:1" x14ac:dyDescent="0.25">
      <c r="A7478"/>
    </row>
    <row r="7479" spans="1:1" x14ac:dyDescent="0.25">
      <c r="A7479"/>
    </row>
    <row r="7480" spans="1:1" x14ac:dyDescent="0.25">
      <c r="A7480"/>
    </row>
    <row r="7481" spans="1:1" x14ac:dyDescent="0.25">
      <c r="A7481"/>
    </row>
    <row r="7482" spans="1:1" x14ac:dyDescent="0.25">
      <c r="A7482"/>
    </row>
    <row r="7483" spans="1:1" x14ac:dyDescent="0.25">
      <c r="A7483"/>
    </row>
    <row r="7484" spans="1:1" x14ac:dyDescent="0.25">
      <c r="A7484"/>
    </row>
    <row r="7485" spans="1:1" x14ac:dyDescent="0.25">
      <c r="A7485"/>
    </row>
    <row r="7486" spans="1:1" x14ac:dyDescent="0.25">
      <c r="A7486"/>
    </row>
    <row r="7487" spans="1:1" x14ac:dyDescent="0.25">
      <c r="A7487"/>
    </row>
    <row r="7488" spans="1:1" x14ac:dyDescent="0.25">
      <c r="A7488"/>
    </row>
    <row r="7489" spans="1:1" x14ac:dyDescent="0.25">
      <c r="A7489"/>
    </row>
    <row r="7490" spans="1:1" x14ac:dyDescent="0.25">
      <c r="A7490"/>
    </row>
    <row r="7491" spans="1:1" x14ac:dyDescent="0.25">
      <c r="A7491"/>
    </row>
    <row r="7492" spans="1:1" x14ac:dyDescent="0.25">
      <c r="A7492"/>
    </row>
    <row r="7493" spans="1:1" x14ac:dyDescent="0.25">
      <c r="A7493"/>
    </row>
    <row r="7494" spans="1:1" x14ac:dyDescent="0.25">
      <c r="A7494"/>
    </row>
    <row r="7495" spans="1:1" x14ac:dyDescent="0.25">
      <c r="A7495"/>
    </row>
    <row r="7496" spans="1:1" x14ac:dyDescent="0.25">
      <c r="A7496"/>
    </row>
    <row r="7497" spans="1:1" x14ac:dyDescent="0.25">
      <c r="A7497"/>
    </row>
    <row r="7498" spans="1:1" x14ac:dyDescent="0.25">
      <c r="A7498"/>
    </row>
    <row r="7499" spans="1:1" x14ac:dyDescent="0.25">
      <c r="A7499"/>
    </row>
    <row r="7500" spans="1:1" x14ac:dyDescent="0.25">
      <c r="A7500"/>
    </row>
    <row r="7501" spans="1:1" x14ac:dyDescent="0.25">
      <c r="A7501"/>
    </row>
    <row r="7502" spans="1:1" x14ac:dyDescent="0.25">
      <c r="A7502"/>
    </row>
    <row r="7503" spans="1:1" x14ac:dyDescent="0.25">
      <c r="A7503"/>
    </row>
    <row r="7504" spans="1:1" x14ac:dyDescent="0.25">
      <c r="A7504"/>
    </row>
    <row r="7505" spans="1:1" x14ac:dyDescent="0.25">
      <c r="A7505"/>
    </row>
    <row r="7506" spans="1:1" x14ac:dyDescent="0.25">
      <c r="A7506"/>
    </row>
    <row r="7507" spans="1:1" x14ac:dyDescent="0.25">
      <c r="A7507"/>
    </row>
    <row r="7508" spans="1:1" x14ac:dyDescent="0.25">
      <c r="A7508"/>
    </row>
    <row r="7509" spans="1:1" x14ac:dyDescent="0.25">
      <c r="A7509"/>
    </row>
    <row r="7510" spans="1:1" x14ac:dyDescent="0.25">
      <c r="A7510"/>
    </row>
    <row r="7511" spans="1:1" x14ac:dyDescent="0.25">
      <c r="A7511"/>
    </row>
    <row r="7512" spans="1:1" x14ac:dyDescent="0.25">
      <c r="A7512"/>
    </row>
    <row r="7513" spans="1:1" x14ac:dyDescent="0.25">
      <c r="A7513"/>
    </row>
    <row r="7514" spans="1:1" x14ac:dyDescent="0.25">
      <c r="A7514"/>
    </row>
    <row r="7515" spans="1:1" x14ac:dyDescent="0.25">
      <c r="A7515"/>
    </row>
    <row r="7516" spans="1:1" x14ac:dyDescent="0.25">
      <c r="A7516"/>
    </row>
    <row r="7517" spans="1:1" x14ac:dyDescent="0.25">
      <c r="A7517"/>
    </row>
    <row r="7518" spans="1:1" x14ac:dyDescent="0.25">
      <c r="A7518"/>
    </row>
    <row r="7519" spans="1:1" x14ac:dyDescent="0.25">
      <c r="A7519"/>
    </row>
    <row r="7520" spans="1:1" x14ac:dyDescent="0.25">
      <c r="A7520"/>
    </row>
    <row r="7521" spans="1:1" x14ac:dyDescent="0.25">
      <c r="A7521"/>
    </row>
    <row r="7522" spans="1:1" x14ac:dyDescent="0.25">
      <c r="A7522"/>
    </row>
    <row r="7523" spans="1:1" x14ac:dyDescent="0.25">
      <c r="A7523"/>
    </row>
    <row r="7524" spans="1:1" x14ac:dyDescent="0.25">
      <c r="A7524"/>
    </row>
    <row r="7525" spans="1:1" x14ac:dyDescent="0.25">
      <c r="A7525"/>
    </row>
    <row r="7526" spans="1:1" x14ac:dyDescent="0.25">
      <c r="A7526"/>
    </row>
    <row r="7527" spans="1:1" x14ac:dyDescent="0.25">
      <c r="A7527"/>
    </row>
    <row r="7528" spans="1:1" x14ac:dyDescent="0.25">
      <c r="A7528"/>
    </row>
    <row r="7529" spans="1:1" x14ac:dyDescent="0.25">
      <c r="A7529"/>
    </row>
    <row r="7530" spans="1:1" x14ac:dyDescent="0.25">
      <c r="A7530"/>
    </row>
    <row r="7531" spans="1:1" x14ac:dyDescent="0.25">
      <c r="A7531"/>
    </row>
    <row r="7532" spans="1:1" x14ac:dyDescent="0.25">
      <c r="A7532"/>
    </row>
    <row r="7533" spans="1:1" x14ac:dyDescent="0.25">
      <c r="A7533"/>
    </row>
    <row r="7534" spans="1:1" x14ac:dyDescent="0.25">
      <c r="A7534"/>
    </row>
    <row r="7535" spans="1:1" x14ac:dyDescent="0.25">
      <c r="A7535"/>
    </row>
    <row r="7536" spans="1:1" x14ac:dyDescent="0.25">
      <c r="A7536"/>
    </row>
    <row r="7537" spans="1:1" x14ac:dyDescent="0.25">
      <c r="A7537"/>
    </row>
    <row r="7538" spans="1:1" x14ac:dyDescent="0.25">
      <c r="A7538"/>
    </row>
    <row r="7539" spans="1:1" x14ac:dyDescent="0.25">
      <c r="A7539"/>
    </row>
    <row r="7540" spans="1:1" x14ac:dyDescent="0.25">
      <c r="A7540"/>
    </row>
    <row r="7541" spans="1:1" x14ac:dyDescent="0.25">
      <c r="A7541"/>
    </row>
    <row r="7542" spans="1:1" x14ac:dyDescent="0.25">
      <c r="A7542"/>
    </row>
    <row r="7543" spans="1:1" x14ac:dyDescent="0.25">
      <c r="A7543"/>
    </row>
    <row r="7544" spans="1:1" x14ac:dyDescent="0.25">
      <c r="A7544"/>
    </row>
    <row r="7545" spans="1:1" x14ac:dyDescent="0.25">
      <c r="A7545"/>
    </row>
    <row r="7546" spans="1:1" x14ac:dyDescent="0.25">
      <c r="A7546"/>
    </row>
    <row r="7547" spans="1:1" x14ac:dyDescent="0.25">
      <c r="A7547"/>
    </row>
    <row r="7548" spans="1:1" x14ac:dyDescent="0.25">
      <c r="A7548"/>
    </row>
    <row r="7549" spans="1:1" x14ac:dyDescent="0.25">
      <c r="A7549"/>
    </row>
    <row r="7550" spans="1:1" x14ac:dyDescent="0.25">
      <c r="A7550"/>
    </row>
    <row r="7551" spans="1:1" x14ac:dyDescent="0.25">
      <c r="A7551"/>
    </row>
    <row r="7552" spans="1:1" x14ac:dyDescent="0.25">
      <c r="A7552"/>
    </row>
    <row r="7553" spans="1:1" x14ac:dyDescent="0.25">
      <c r="A7553"/>
    </row>
    <row r="7554" spans="1:1" x14ac:dyDescent="0.25">
      <c r="A7554"/>
    </row>
    <row r="7555" spans="1:1" x14ac:dyDescent="0.25">
      <c r="A7555"/>
    </row>
    <row r="7556" spans="1:1" x14ac:dyDescent="0.25">
      <c r="A7556"/>
    </row>
    <row r="7557" spans="1:1" x14ac:dyDescent="0.25">
      <c r="A7557"/>
    </row>
    <row r="7558" spans="1:1" x14ac:dyDescent="0.25">
      <c r="A7558"/>
    </row>
    <row r="7559" spans="1:1" x14ac:dyDescent="0.25">
      <c r="A7559"/>
    </row>
    <row r="7560" spans="1:1" x14ac:dyDescent="0.25">
      <c r="A7560"/>
    </row>
    <row r="7561" spans="1:1" x14ac:dyDescent="0.25">
      <c r="A7561"/>
    </row>
    <row r="7562" spans="1:1" x14ac:dyDescent="0.25">
      <c r="A7562"/>
    </row>
    <row r="7563" spans="1:1" x14ac:dyDescent="0.25">
      <c r="A7563"/>
    </row>
    <row r="7564" spans="1:1" x14ac:dyDescent="0.25">
      <c r="A7564"/>
    </row>
    <row r="7565" spans="1:1" x14ac:dyDescent="0.25">
      <c r="A7565"/>
    </row>
    <row r="7566" spans="1:1" x14ac:dyDescent="0.25">
      <c r="A7566"/>
    </row>
    <row r="7567" spans="1:1" x14ac:dyDescent="0.25">
      <c r="A7567"/>
    </row>
    <row r="7568" spans="1:1" x14ac:dyDescent="0.25">
      <c r="A7568"/>
    </row>
    <row r="7569" spans="1:1" x14ac:dyDescent="0.25">
      <c r="A7569"/>
    </row>
    <row r="7570" spans="1:1" x14ac:dyDescent="0.25">
      <c r="A7570"/>
    </row>
    <row r="7571" spans="1:1" x14ac:dyDescent="0.25">
      <c r="A7571"/>
    </row>
    <row r="7572" spans="1:1" x14ac:dyDescent="0.25">
      <c r="A7572"/>
    </row>
    <row r="7573" spans="1:1" x14ac:dyDescent="0.25">
      <c r="A7573"/>
    </row>
    <row r="7574" spans="1:1" x14ac:dyDescent="0.25">
      <c r="A7574"/>
    </row>
    <row r="7575" spans="1:1" x14ac:dyDescent="0.25">
      <c r="A7575"/>
    </row>
    <row r="7576" spans="1:1" x14ac:dyDescent="0.25">
      <c r="A7576"/>
    </row>
    <row r="7577" spans="1:1" x14ac:dyDescent="0.25">
      <c r="A7577"/>
    </row>
    <row r="7578" spans="1:1" x14ac:dyDescent="0.25">
      <c r="A7578"/>
    </row>
    <row r="7579" spans="1:1" x14ac:dyDescent="0.25">
      <c r="A7579"/>
    </row>
    <row r="7580" spans="1:1" x14ac:dyDescent="0.25">
      <c r="A7580"/>
    </row>
    <row r="7581" spans="1:1" x14ac:dyDescent="0.25">
      <c r="A7581"/>
    </row>
    <row r="7582" spans="1:1" x14ac:dyDescent="0.25">
      <c r="A7582"/>
    </row>
    <row r="7583" spans="1:1" x14ac:dyDescent="0.25">
      <c r="A7583"/>
    </row>
    <row r="7584" spans="1:1" x14ac:dyDescent="0.25">
      <c r="A7584"/>
    </row>
    <row r="7585" spans="1:1" x14ac:dyDescent="0.25">
      <c r="A7585"/>
    </row>
    <row r="7586" spans="1:1" x14ac:dyDescent="0.25">
      <c r="A7586"/>
    </row>
    <row r="7587" spans="1:1" x14ac:dyDescent="0.25">
      <c r="A7587"/>
    </row>
    <row r="7588" spans="1:1" x14ac:dyDescent="0.25">
      <c r="A7588"/>
    </row>
    <row r="7589" spans="1:1" x14ac:dyDescent="0.25">
      <c r="A7589"/>
    </row>
    <row r="7590" spans="1:1" x14ac:dyDescent="0.25">
      <c r="A7590"/>
    </row>
    <row r="7591" spans="1:1" x14ac:dyDescent="0.25">
      <c r="A7591"/>
    </row>
    <row r="7592" spans="1:1" x14ac:dyDescent="0.25">
      <c r="A7592"/>
    </row>
    <row r="7593" spans="1:1" x14ac:dyDescent="0.25">
      <c r="A7593"/>
    </row>
    <row r="7594" spans="1:1" x14ac:dyDescent="0.25">
      <c r="A7594"/>
    </row>
    <row r="7595" spans="1:1" x14ac:dyDescent="0.25">
      <c r="A7595"/>
    </row>
    <row r="7596" spans="1:1" x14ac:dyDescent="0.25">
      <c r="A7596"/>
    </row>
    <row r="7597" spans="1:1" x14ac:dyDescent="0.25">
      <c r="A7597"/>
    </row>
    <row r="7598" spans="1:1" x14ac:dyDescent="0.25">
      <c r="A7598"/>
    </row>
    <row r="7599" spans="1:1" x14ac:dyDescent="0.25">
      <c r="A7599"/>
    </row>
    <row r="7600" spans="1:1" x14ac:dyDescent="0.25">
      <c r="A7600"/>
    </row>
    <row r="7601" spans="1:1" x14ac:dyDescent="0.25">
      <c r="A7601"/>
    </row>
    <row r="7602" spans="1:1" x14ac:dyDescent="0.25">
      <c r="A7602"/>
    </row>
    <row r="7603" spans="1:1" x14ac:dyDescent="0.25">
      <c r="A7603"/>
    </row>
    <row r="7604" spans="1:1" x14ac:dyDescent="0.25">
      <c r="A7604"/>
    </row>
    <row r="7605" spans="1:1" x14ac:dyDescent="0.25">
      <c r="A7605"/>
    </row>
    <row r="7606" spans="1:1" x14ac:dyDescent="0.25">
      <c r="A7606"/>
    </row>
    <row r="7607" spans="1:1" x14ac:dyDescent="0.25">
      <c r="A7607"/>
    </row>
    <row r="7608" spans="1:1" x14ac:dyDescent="0.25">
      <c r="A7608"/>
    </row>
    <row r="7609" spans="1:1" x14ac:dyDescent="0.25">
      <c r="A7609"/>
    </row>
    <row r="7610" spans="1:1" x14ac:dyDescent="0.25">
      <c r="A7610"/>
    </row>
    <row r="7611" spans="1:1" x14ac:dyDescent="0.25">
      <c r="A7611"/>
    </row>
    <row r="7612" spans="1:1" x14ac:dyDescent="0.25">
      <c r="A7612"/>
    </row>
    <row r="7613" spans="1:1" x14ac:dyDescent="0.25">
      <c r="A7613"/>
    </row>
    <row r="7614" spans="1:1" x14ac:dyDescent="0.25">
      <c r="A7614"/>
    </row>
    <row r="7615" spans="1:1" x14ac:dyDescent="0.25">
      <c r="A7615"/>
    </row>
    <row r="7616" spans="1:1" x14ac:dyDescent="0.25">
      <c r="A7616"/>
    </row>
    <row r="7617" spans="1:1" x14ac:dyDescent="0.25">
      <c r="A7617"/>
    </row>
    <row r="7618" spans="1:1" x14ac:dyDescent="0.25">
      <c r="A7618"/>
    </row>
    <row r="7619" spans="1:1" x14ac:dyDescent="0.25">
      <c r="A7619"/>
    </row>
    <row r="7620" spans="1:1" x14ac:dyDescent="0.25">
      <c r="A7620"/>
    </row>
    <row r="7621" spans="1:1" x14ac:dyDescent="0.25">
      <c r="A7621"/>
    </row>
    <row r="7622" spans="1:1" x14ac:dyDescent="0.25">
      <c r="A7622"/>
    </row>
    <row r="7623" spans="1:1" x14ac:dyDescent="0.25">
      <c r="A7623"/>
    </row>
    <row r="7624" spans="1:1" x14ac:dyDescent="0.25">
      <c r="A7624"/>
    </row>
    <row r="7625" spans="1:1" x14ac:dyDescent="0.25">
      <c r="A7625"/>
    </row>
    <row r="7626" spans="1:1" x14ac:dyDescent="0.25">
      <c r="A7626"/>
    </row>
    <row r="7627" spans="1:1" x14ac:dyDescent="0.25">
      <c r="A7627"/>
    </row>
    <row r="7628" spans="1:1" x14ac:dyDescent="0.25">
      <c r="A7628"/>
    </row>
    <row r="7629" spans="1:1" x14ac:dyDescent="0.25">
      <c r="A7629"/>
    </row>
    <row r="7630" spans="1:1" x14ac:dyDescent="0.25">
      <c r="A7630"/>
    </row>
    <row r="7631" spans="1:1" x14ac:dyDescent="0.25">
      <c r="A7631"/>
    </row>
    <row r="7632" spans="1:1" x14ac:dyDescent="0.25">
      <c r="A7632"/>
    </row>
    <row r="7633" spans="1:1" x14ac:dyDescent="0.25">
      <c r="A7633"/>
    </row>
    <row r="7634" spans="1:1" x14ac:dyDescent="0.25">
      <c r="A7634"/>
    </row>
    <row r="7635" spans="1:1" x14ac:dyDescent="0.25">
      <c r="A7635"/>
    </row>
    <row r="7636" spans="1:1" x14ac:dyDescent="0.25">
      <c r="A7636"/>
    </row>
    <row r="7637" spans="1:1" x14ac:dyDescent="0.25">
      <c r="A7637"/>
    </row>
    <row r="7638" spans="1:1" x14ac:dyDescent="0.25">
      <c r="A7638"/>
    </row>
    <row r="7639" spans="1:1" x14ac:dyDescent="0.25">
      <c r="A7639"/>
    </row>
    <row r="7640" spans="1:1" x14ac:dyDescent="0.25">
      <c r="A7640"/>
    </row>
    <row r="7641" spans="1:1" x14ac:dyDescent="0.25">
      <c r="A7641"/>
    </row>
    <row r="7642" spans="1:1" x14ac:dyDescent="0.25">
      <c r="A7642"/>
    </row>
    <row r="7643" spans="1:1" x14ac:dyDescent="0.25">
      <c r="A7643"/>
    </row>
    <row r="7644" spans="1:1" x14ac:dyDescent="0.25">
      <c r="A7644"/>
    </row>
    <row r="7645" spans="1:1" x14ac:dyDescent="0.25">
      <c r="A7645"/>
    </row>
    <row r="7646" spans="1:1" x14ac:dyDescent="0.25">
      <c r="A7646"/>
    </row>
    <row r="7647" spans="1:1" x14ac:dyDescent="0.25">
      <c r="A7647"/>
    </row>
    <row r="7648" spans="1:1" x14ac:dyDescent="0.25">
      <c r="A7648"/>
    </row>
    <row r="7649" spans="1:1" x14ac:dyDescent="0.25">
      <c r="A7649"/>
    </row>
    <row r="7650" spans="1:1" x14ac:dyDescent="0.25">
      <c r="A7650"/>
    </row>
    <row r="7651" spans="1:1" x14ac:dyDescent="0.25">
      <c r="A7651"/>
    </row>
    <row r="7652" spans="1:1" x14ac:dyDescent="0.25">
      <c r="A7652"/>
    </row>
    <row r="7653" spans="1:1" x14ac:dyDescent="0.25">
      <c r="A7653"/>
    </row>
    <row r="7654" spans="1:1" x14ac:dyDescent="0.25">
      <c r="A7654"/>
    </row>
    <row r="7655" spans="1:1" x14ac:dyDescent="0.25">
      <c r="A7655"/>
    </row>
    <row r="7656" spans="1:1" x14ac:dyDescent="0.25">
      <c r="A7656"/>
    </row>
    <row r="7657" spans="1:1" x14ac:dyDescent="0.25">
      <c r="A7657"/>
    </row>
    <row r="7658" spans="1:1" x14ac:dyDescent="0.25">
      <c r="A7658"/>
    </row>
    <row r="7659" spans="1:1" x14ac:dyDescent="0.25">
      <c r="A7659"/>
    </row>
    <row r="7660" spans="1:1" x14ac:dyDescent="0.25">
      <c r="A7660"/>
    </row>
    <row r="7661" spans="1:1" x14ac:dyDescent="0.25">
      <c r="A7661"/>
    </row>
    <row r="7662" spans="1:1" x14ac:dyDescent="0.25">
      <c r="A7662"/>
    </row>
    <row r="7663" spans="1:1" x14ac:dyDescent="0.25">
      <c r="A7663"/>
    </row>
    <row r="7664" spans="1:1" x14ac:dyDescent="0.25">
      <c r="A7664"/>
    </row>
    <row r="7665" spans="1:1" x14ac:dyDescent="0.25">
      <c r="A7665"/>
    </row>
    <row r="7666" spans="1:1" x14ac:dyDescent="0.25">
      <c r="A7666"/>
    </row>
    <row r="7667" spans="1:1" x14ac:dyDescent="0.25">
      <c r="A7667"/>
    </row>
    <row r="7668" spans="1:1" x14ac:dyDescent="0.25">
      <c r="A7668"/>
    </row>
    <row r="7669" spans="1:1" x14ac:dyDescent="0.25">
      <c r="A7669"/>
    </row>
    <row r="7670" spans="1:1" x14ac:dyDescent="0.25">
      <c r="A7670"/>
    </row>
    <row r="7671" spans="1:1" x14ac:dyDescent="0.25">
      <c r="A7671"/>
    </row>
    <row r="7672" spans="1:1" x14ac:dyDescent="0.25">
      <c r="A7672"/>
    </row>
    <row r="7673" spans="1:1" x14ac:dyDescent="0.25">
      <c r="A7673"/>
    </row>
    <row r="7674" spans="1:1" x14ac:dyDescent="0.25">
      <c r="A7674"/>
    </row>
    <row r="7675" spans="1:1" x14ac:dyDescent="0.25">
      <c r="A7675"/>
    </row>
    <row r="7676" spans="1:1" x14ac:dyDescent="0.25">
      <c r="A7676"/>
    </row>
    <row r="7677" spans="1:1" x14ac:dyDescent="0.25">
      <c r="A7677"/>
    </row>
    <row r="7678" spans="1:1" x14ac:dyDescent="0.25">
      <c r="A7678"/>
    </row>
    <row r="7679" spans="1:1" x14ac:dyDescent="0.25">
      <c r="A7679"/>
    </row>
    <row r="7680" spans="1:1" x14ac:dyDescent="0.25">
      <c r="A7680"/>
    </row>
    <row r="7681" spans="1:1" x14ac:dyDescent="0.25">
      <c r="A7681"/>
    </row>
    <row r="7682" spans="1:1" x14ac:dyDescent="0.25">
      <c r="A7682"/>
    </row>
    <row r="7683" spans="1:1" x14ac:dyDescent="0.25">
      <c r="A7683"/>
    </row>
    <row r="7684" spans="1:1" x14ac:dyDescent="0.25">
      <c r="A7684"/>
    </row>
    <row r="7685" spans="1:1" x14ac:dyDescent="0.25">
      <c r="A7685"/>
    </row>
    <row r="7686" spans="1:1" x14ac:dyDescent="0.25">
      <c r="A7686"/>
    </row>
    <row r="7687" spans="1:1" x14ac:dyDescent="0.25">
      <c r="A7687"/>
    </row>
    <row r="7688" spans="1:1" x14ac:dyDescent="0.25">
      <c r="A7688"/>
    </row>
    <row r="7689" spans="1:1" x14ac:dyDescent="0.25">
      <c r="A7689"/>
    </row>
    <row r="7690" spans="1:1" x14ac:dyDescent="0.25">
      <c r="A7690"/>
    </row>
    <row r="7691" spans="1:1" x14ac:dyDescent="0.25">
      <c r="A7691"/>
    </row>
    <row r="7692" spans="1:1" x14ac:dyDescent="0.25">
      <c r="A7692"/>
    </row>
    <row r="7693" spans="1:1" x14ac:dyDescent="0.25">
      <c r="A7693"/>
    </row>
    <row r="7694" spans="1:1" x14ac:dyDescent="0.25">
      <c r="A7694"/>
    </row>
    <row r="7695" spans="1:1" x14ac:dyDescent="0.25">
      <c r="A7695"/>
    </row>
    <row r="7696" spans="1:1" x14ac:dyDescent="0.25">
      <c r="A7696"/>
    </row>
    <row r="7697" spans="1:1" x14ac:dyDescent="0.25">
      <c r="A7697"/>
    </row>
    <row r="7698" spans="1:1" x14ac:dyDescent="0.25">
      <c r="A7698"/>
    </row>
    <row r="7699" spans="1:1" x14ac:dyDescent="0.25">
      <c r="A7699"/>
    </row>
    <row r="7700" spans="1:1" x14ac:dyDescent="0.25">
      <c r="A7700"/>
    </row>
    <row r="7701" spans="1:1" x14ac:dyDescent="0.25">
      <c r="A7701"/>
    </row>
    <row r="7702" spans="1:1" x14ac:dyDescent="0.25">
      <c r="A7702"/>
    </row>
    <row r="7703" spans="1:1" x14ac:dyDescent="0.25">
      <c r="A7703"/>
    </row>
    <row r="7704" spans="1:1" x14ac:dyDescent="0.25">
      <c r="A7704"/>
    </row>
    <row r="7705" spans="1:1" x14ac:dyDescent="0.25">
      <c r="A7705"/>
    </row>
    <row r="7706" spans="1:1" x14ac:dyDescent="0.25">
      <c r="A7706"/>
    </row>
    <row r="7707" spans="1:1" x14ac:dyDescent="0.25">
      <c r="A7707"/>
    </row>
    <row r="7708" spans="1:1" x14ac:dyDescent="0.25">
      <c r="A7708"/>
    </row>
    <row r="7709" spans="1:1" x14ac:dyDescent="0.25">
      <c r="A7709"/>
    </row>
    <row r="7710" spans="1:1" x14ac:dyDescent="0.25">
      <c r="A7710"/>
    </row>
    <row r="7711" spans="1:1" x14ac:dyDescent="0.25">
      <c r="A7711"/>
    </row>
    <row r="7712" spans="1:1" x14ac:dyDescent="0.25">
      <c r="A7712"/>
    </row>
    <row r="7713" spans="1:1" x14ac:dyDescent="0.25">
      <c r="A7713"/>
    </row>
    <row r="7714" spans="1:1" x14ac:dyDescent="0.25">
      <c r="A7714"/>
    </row>
    <row r="7715" spans="1:1" x14ac:dyDescent="0.25">
      <c r="A7715"/>
    </row>
    <row r="7716" spans="1:1" x14ac:dyDescent="0.25">
      <c r="A7716"/>
    </row>
    <row r="7717" spans="1:1" x14ac:dyDescent="0.25">
      <c r="A7717"/>
    </row>
    <row r="7718" spans="1:1" x14ac:dyDescent="0.25">
      <c r="A7718"/>
    </row>
    <row r="7719" spans="1:1" x14ac:dyDescent="0.25">
      <c r="A7719"/>
    </row>
    <row r="7720" spans="1:1" x14ac:dyDescent="0.25">
      <c r="A7720"/>
    </row>
    <row r="7721" spans="1:1" x14ac:dyDescent="0.25">
      <c r="A7721"/>
    </row>
    <row r="7722" spans="1:1" x14ac:dyDescent="0.25">
      <c r="A7722"/>
    </row>
    <row r="7723" spans="1:1" x14ac:dyDescent="0.25">
      <c r="A7723"/>
    </row>
    <row r="7724" spans="1:1" x14ac:dyDescent="0.25">
      <c r="A7724"/>
    </row>
    <row r="7725" spans="1:1" x14ac:dyDescent="0.25">
      <c r="A7725"/>
    </row>
    <row r="7726" spans="1:1" x14ac:dyDescent="0.25">
      <c r="A7726"/>
    </row>
    <row r="7727" spans="1:1" x14ac:dyDescent="0.25">
      <c r="A7727"/>
    </row>
    <row r="7728" spans="1:1" x14ac:dyDescent="0.25">
      <c r="A7728"/>
    </row>
    <row r="7729" spans="1:1" x14ac:dyDescent="0.25">
      <c r="A7729"/>
    </row>
    <row r="7730" spans="1:1" x14ac:dyDescent="0.25">
      <c r="A7730"/>
    </row>
    <row r="7731" spans="1:1" x14ac:dyDescent="0.25">
      <c r="A7731"/>
    </row>
    <row r="7732" spans="1:1" x14ac:dyDescent="0.25">
      <c r="A7732"/>
    </row>
    <row r="7733" spans="1:1" x14ac:dyDescent="0.25">
      <c r="A7733"/>
    </row>
    <row r="7734" spans="1:1" x14ac:dyDescent="0.25">
      <c r="A7734"/>
    </row>
    <row r="7735" spans="1:1" x14ac:dyDescent="0.25">
      <c r="A7735"/>
    </row>
    <row r="7736" spans="1:1" x14ac:dyDescent="0.25">
      <c r="A7736"/>
    </row>
    <row r="7737" spans="1:1" x14ac:dyDescent="0.25">
      <c r="A7737"/>
    </row>
    <row r="7738" spans="1:1" x14ac:dyDescent="0.25">
      <c r="A7738"/>
    </row>
    <row r="7739" spans="1:1" x14ac:dyDescent="0.25">
      <c r="A7739"/>
    </row>
    <row r="7740" spans="1:1" x14ac:dyDescent="0.25">
      <c r="A7740"/>
    </row>
    <row r="7741" spans="1:1" x14ac:dyDescent="0.25">
      <c r="A7741"/>
    </row>
    <row r="7742" spans="1:1" x14ac:dyDescent="0.25">
      <c r="A7742"/>
    </row>
    <row r="7743" spans="1:1" x14ac:dyDescent="0.25">
      <c r="A7743"/>
    </row>
    <row r="7744" spans="1:1" x14ac:dyDescent="0.25">
      <c r="A7744"/>
    </row>
    <row r="7745" spans="1:1" x14ac:dyDescent="0.25">
      <c r="A7745"/>
    </row>
    <row r="7746" spans="1:1" x14ac:dyDescent="0.25">
      <c r="A7746"/>
    </row>
    <row r="7747" spans="1:1" x14ac:dyDescent="0.25">
      <c r="A7747"/>
    </row>
    <row r="7748" spans="1:1" x14ac:dyDescent="0.25">
      <c r="A7748"/>
    </row>
    <row r="7749" spans="1:1" x14ac:dyDescent="0.25">
      <c r="A7749"/>
    </row>
    <row r="7750" spans="1:1" x14ac:dyDescent="0.25">
      <c r="A7750"/>
    </row>
    <row r="7751" spans="1:1" x14ac:dyDescent="0.25">
      <c r="A7751"/>
    </row>
    <row r="7752" spans="1:1" x14ac:dyDescent="0.25">
      <c r="A7752"/>
    </row>
    <row r="7753" spans="1:1" x14ac:dyDescent="0.25">
      <c r="A7753"/>
    </row>
    <row r="7754" spans="1:1" x14ac:dyDescent="0.25">
      <c r="A7754"/>
    </row>
    <row r="7755" spans="1:1" x14ac:dyDescent="0.25">
      <c r="A7755"/>
    </row>
    <row r="7756" spans="1:1" x14ac:dyDescent="0.25">
      <c r="A7756"/>
    </row>
    <row r="7757" spans="1:1" x14ac:dyDescent="0.25">
      <c r="A7757"/>
    </row>
    <row r="7758" spans="1:1" x14ac:dyDescent="0.25">
      <c r="A7758"/>
    </row>
    <row r="7759" spans="1:1" x14ac:dyDescent="0.25">
      <c r="A7759"/>
    </row>
    <row r="7760" spans="1:1" x14ac:dyDescent="0.25">
      <c r="A7760"/>
    </row>
    <row r="7761" spans="1:1" x14ac:dyDescent="0.25">
      <c r="A7761"/>
    </row>
    <row r="7762" spans="1:1" x14ac:dyDescent="0.25">
      <c r="A7762"/>
    </row>
    <row r="7763" spans="1:1" x14ac:dyDescent="0.25">
      <c r="A7763"/>
    </row>
    <row r="7764" spans="1:1" x14ac:dyDescent="0.25">
      <c r="A7764"/>
    </row>
    <row r="7765" spans="1:1" x14ac:dyDescent="0.25">
      <c r="A7765"/>
    </row>
    <row r="7766" spans="1:1" x14ac:dyDescent="0.25">
      <c r="A7766"/>
    </row>
    <row r="7767" spans="1:1" x14ac:dyDescent="0.25">
      <c r="A7767"/>
    </row>
    <row r="7768" spans="1:1" x14ac:dyDescent="0.25">
      <c r="A7768"/>
    </row>
    <row r="7769" spans="1:1" x14ac:dyDescent="0.25">
      <c r="A7769"/>
    </row>
    <row r="7770" spans="1:1" x14ac:dyDescent="0.25">
      <c r="A7770"/>
    </row>
    <row r="7771" spans="1:1" x14ac:dyDescent="0.25">
      <c r="A7771"/>
    </row>
    <row r="7772" spans="1:1" x14ac:dyDescent="0.25">
      <c r="A7772"/>
    </row>
    <row r="7773" spans="1:1" x14ac:dyDescent="0.25">
      <c r="A7773"/>
    </row>
    <row r="7774" spans="1:1" x14ac:dyDescent="0.25">
      <c r="A7774"/>
    </row>
    <row r="7775" spans="1:1" x14ac:dyDescent="0.25">
      <c r="A7775"/>
    </row>
    <row r="7776" spans="1:1" x14ac:dyDescent="0.25">
      <c r="A7776"/>
    </row>
    <row r="7777" spans="1:1" x14ac:dyDescent="0.25">
      <c r="A7777"/>
    </row>
    <row r="7778" spans="1:1" x14ac:dyDescent="0.25">
      <c r="A7778"/>
    </row>
    <row r="7779" spans="1:1" x14ac:dyDescent="0.25">
      <c r="A7779"/>
    </row>
    <row r="7780" spans="1:1" x14ac:dyDescent="0.25">
      <c r="A7780"/>
    </row>
    <row r="7781" spans="1:1" x14ac:dyDescent="0.25">
      <c r="A7781"/>
    </row>
    <row r="7782" spans="1:1" x14ac:dyDescent="0.25">
      <c r="A7782"/>
    </row>
    <row r="7783" spans="1:1" x14ac:dyDescent="0.25">
      <c r="A7783"/>
    </row>
    <row r="7784" spans="1:1" x14ac:dyDescent="0.25">
      <c r="A7784"/>
    </row>
    <row r="7785" spans="1:1" x14ac:dyDescent="0.25">
      <c r="A7785"/>
    </row>
    <row r="7786" spans="1:1" x14ac:dyDescent="0.25">
      <c r="A7786"/>
    </row>
    <row r="7787" spans="1:1" x14ac:dyDescent="0.25">
      <c r="A7787"/>
    </row>
    <row r="7788" spans="1:1" x14ac:dyDescent="0.25">
      <c r="A7788"/>
    </row>
    <row r="7789" spans="1:1" x14ac:dyDescent="0.25">
      <c r="A7789"/>
    </row>
    <row r="7790" spans="1:1" x14ac:dyDescent="0.25">
      <c r="A7790"/>
    </row>
    <row r="7791" spans="1:1" x14ac:dyDescent="0.25">
      <c r="A7791"/>
    </row>
    <row r="7792" spans="1:1" x14ac:dyDescent="0.25">
      <c r="A7792"/>
    </row>
    <row r="7793" spans="1:1" x14ac:dyDescent="0.25">
      <c r="A7793"/>
    </row>
    <row r="7794" spans="1:1" x14ac:dyDescent="0.25">
      <c r="A7794"/>
    </row>
    <row r="7795" spans="1:1" x14ac:dyDescent="0.25">
      <c r="A7795"/>
    </row>
    <row r="7796" spans="1:1" x14ac:dyDescent="0.25">
      <c r="A7796"/>
    </row>
    <row r="7797" spans="1:1" x14ac:dyDescent="0.25">
      <c r="A7797"/>
    </row>
    <row r="7798" spans="1:1" x14ac:dyDescent="0.25">
      <c r="A7798"/>
    </row>
    <row r="7799" spans="1:1" x14ac:dyDescent="0.25">
      <c r="A7799"/>
    </row>
    <row r="7800" spans="1:1" x14ac:dyDescent="0.25">
      <c r="A7800"/>
    </row>
    <row r="7801" spans="1:1" x14ac:dyDescent="0.25">
      <c r="A7801"/>
    </row>
    <row r="7802" spans="1:1" x14ac:dyDescent="0.25">
      <c r="A7802"/>
    </row>
    <row r="7803" spans="1:1" x14ac:dyDescent="0.25">
      <c r="A7803"/>
    </row>
    <row r="7804" spans="1:1" x14ac:dyDescent="0.25">
      <c r="A7804"/>
    </row>
    <row r="7805" spans="1:1" x14ac:dyDescent="0.25">
      <c r="A7805"/>
    </row>
    <row r="7806" spans="1:1" x14ac:dyDescent="0.25">
      <c r="A7806"/>
    </row>
    <row r="7807" spans="1:1" x14ac:dyDescent="0.25">
      <c r="A7807"/>
    </row>
    <row r="7808" spans="1:1" x14ac:dyDescent="0.25">
      <c r="A7808"/>
    </row>
    <row r="7809" spans="1:1" x14ac:dyDescent="0.25">
      <c r="A7809"/>
    </row>
    <row r="7810" spans="1:1" x14ac:dyDescent="0.25">
      <c r="A7810"/>
    </row>
    <row r="7811" spans="1:1" x14ac:dyDescent="0.25">
      <c r="A7811"/>
    </row>
    <row r="7812" spans="1:1" x14ac:dyDescent="0.25">
      <c r="A7812"/>
    </row>
    <row r="7813" spans="1:1" x14ac:dyDescent="0.25">
      <c r="A7813"/>
    </row>
    <row r="7814" spans="1:1" x14ac:dyDescent="0.25">
      <c r="A7814"/>
    </row>
    <row r="7815" spans="1:1" x14ac:dyDescent="0.25">
      <c r="A7815"/>
    </row>
    <row r="7816" spans="1:1" x14ac:dyDescent="0.25">
      <c r="A7816"/>
    </row>
    <row r="7817" spans="1:1" x14ac:dyDescent="0.25">
      <c r="A7817"/>
    </row>
    <row r="7818" spans="1:1" x14ac:dyDescent="0.25">
      <c r="A7818"/>
    </row>
    <row r="7819" spans="1:1" x14ac:dyDescent="0.25">
      <c r="A7819"/>
    </row>
    <row r="7820" spans="1:1" x14ac:dyDescent="0.25">
      <c r="A7820"/>
    </row>
    <row r="7821" spans="1:1" x14ac:dyDescent="0.25">
      <c r="A7821"/>
    </row>
    <row r="7822" spans="1:1" x14ac:dyDescent="0.25">
      <c r="A7822"/>
    </row>
    <row r="7823" spans="1:1" x14ac:dyDescent="0.25">
      <c r="A7823"/>
    </row>
    <row r="7824" spans="1:1" x14ac:dyDescent="0.25">
      <c r="A7824"/>
    </row>
    <row r="7825" spans="1:1" x14ac:dyDescent="0.25">
      <c r="A7825"/>
    </row>
    <row r="7826" spans="1:1" x14ac:dyDescent="0.25">
      <c r="A7826"/>
    </row>
    <row r="7827" spans="1:1" x14ac:dyDescent="0.25">
      <c r="A7827"/>
    </row>
    <row r="7828" spans="1:1" x14ac:dyDescent="0.25">
      <c r="A7828"/>
    </row>
    <row r="7829" spans="1:1" x14ac:dyDescent="0.25">
      <c r="A7829"/>
    </row>
    <row r="7830" spans="1:1" x14ac:dyDescent="0.25">
      <c r="A7830"/>
    </row>
    <row r="7831" spans="1:1" x14ac:dyDescent="0.25">
      <c r="A7831"/>
    </row>
    <row r="7832" spans="1:1" x14ac:dyDescent="0.25">
      <c r="A7832"/>
    </row>
    <row r="7833" spans="1:1" x14ac:dyDescent="0.25">
      <c r="A7833"/>
    </row>
    <row r="7834" spans="1:1" x14ac:dyDescent="0.25">
      <c r="A7834"/>
    </row>
    <row r="7835" spans="1:1" x14ac:dyDescent="0.25">
      <c r="A7835"/>
    </row>
    <row r="7836" spans="1:1" x14ac:dyDescent="0.25">
      <c r="A7836"/>
    </row>
    <row r="7837" spans="1:1" x14ac:dyDescent="0.25">
      <c r="A7837"/>
    </row>
    <row r="7838" spans="1:1" x14ac:dyDescent="0.25">
      <c r="A7838"/>
    </row>
    <row r="7839" spans="1:1" x14ac:dyDescent="0.25">
      <c r="A7839"/>
    </row>
    <row r="7840" spans="1:1" x14ac:dyDescent="0.25">
      <c r="A7840"/>
    </row>
    <row r="7841" spans="1:1" x14ac:dyDescent="0.25">
      <c r="A7841"/>
    </row>
    <row r="7842" spans="1:1" x14ac:dyDescent="0.25">
      <c r="A7842"/>
    </row>
    <row r="7843" spans="1:1" x14ac:dyDescent="0.25">
      <c r="A7843"/>
    </row>
    <row r="7844" spans="1:1" x14ac:dyDescent="0.25">
      <c r="A7844"/>
    </row>
    <row r="7845" spans="1:1" x14ac:dyDescent="0.25">
      <c r="A7845"/>
    </row>
    <row r="7846" spans="1:1" x14ac:dyDescent="0.25">
      <c r="A7846"/>
    </row>
    <row r="7847" spans="1:1" x14ac:dyDescent="0.25">
      <c r="A7847"/>
    </row>
    <row r="7848" spans="1:1" x14ac:dyDescent="0.25">
      <c r="A7848"/>
    </row>
    <row r="7849" spans="1:1" x14ac:dyDescent="0.25">
      <c r="A7849"/>
    </row>
    <row r="7850" spans="1:1" x14ac:dyDescent="0.25">
      <c r="A7850"/>
    </row>
    <row r="7851" spans="1:1" x14ac:dyDescent="0.25">
      <c r="A7851"/>
    </row>
    <row r="7852" spans="1:1" x14ac:dyDescent="0.25">
      <c r="A7852"/>
    </row>
    <row r="7853" spans="1:1" x14ac:dyDescent="0.25">
      <c r="A7853"/>
    </row>
    <row r="7854" spans="1:1" x14ac:dyDescent="0.25">
      <c r="A7854"/>
    </row>
    <row r="7855" spans="1:1" x14ac:dyDescent="0.25">
      <c r="A7855"/>
    </row>
    <row r="7856" spans="1:1" x14ac:dyDescent="0.25">
      <c r="A7856"/>
    </row>
    <row r="7857" spans="1:1" x14ac:dyDescent="0.25">
      <c r="A7857"/>
    </row>
    <row r="7858" spans="1:1" x14ac:dyDescent="0.25">
      <c r="A7858"/>
    </row>
    <row r="7859" spans="1:1" x14ac:dyDescent="0.25">
      <c r="A7859"/>
    </row>
    <row r="7860" spans="1:1" x14ac:dyDescent="0.25">
      <c r="A7860"/>
    </row>
    <row r="7861" spans="1:1" x14ac:dyDescent="0.25">
      <c r="A7861"/>
    </row>
    <row r="7862" spans="1:1" x14ac:dyDescent="0.25">
      <c r="A7862"/>
    </row>
    <row r="7863" spans="1:1" x14ac:dyDescent="0.25">
      <c r="A7863"/>
    </row>
    <row r="7864" spans="1:1" x14ac:dyDescent="0.25">
      <c r="A7864"/>
    </row>
    <row r="7865" spans="1:1" x14ac:dyDescent="0.25">
      <c r="A7865"/>
    </row>
    <row r="7866" spans="1:1" x14ac:dyDescent="0.25">
      <c r="A7866"/>
    </row>
    <row r="7867" spans="1:1" x14ac:dyDescent="0.25">
      <c r="A7867"/>
    </row>
    <row r="7868" spans="1:1" x14ac:dyDescent="0.25">
      <c r="A7868"/>
    </row>
    <row r="7869" spans="1:1" x14ac:dyDescent="0.25">
      <c r="A7869"/>
    </row>
    <row r="7870" spans="1:1" x14ac:dyDescent="0.25">
      <c r="A7870"/>
    </row>
    <row r="7871" spans="1:1" x14ac:dyDescent="0.25">
      <c r="A7871"/>
    </row>
    <row r="7872" spans="1:1" x14ac:dyDescent="0.25">
      <c r="A7872"/>
    </row>
    <row r="7873" spans="1:1" x14ac:dyDescent="0.25">
      <c r="A7873"/>
    </row>
    <row r="7874" spans="1:1" x14ac:dyDescent="0.25">
      <c r="A7874"/>
    </row>
    <row r="7875" spans="1:1" x14ac:dyDescent="0.25">
      <c r="A7875"/>
    </row>
    <row r="7876" spans="1:1" x14ac:dyDescent="0.25">
      <c r="A7876"/>
    </row>
    <row r="7877" spans="1:1" x14ac:dyDescent="0.25">
      <c r="A7877"/>
    </row>
    <row r="7878" spans="1:1" x14ac:dyDescent="0.25">
      <c r="A7878"/>
    </row>
    <row r="7879" spans="1:1" x14ac:dyDescent="0.25">
      <c r="A7879"/>
    </row>
    <row r="7880" spans="1:1" x14ac:dyDescent="0.25">
      <c r="A7880"/>
    </row>
    <row r="7881" spans="1:1" x14ac:dyDescent="0.25">
      <c r="A7881"/>
    </row>
    <row r="7882" spans="1:1" x14ac:dyDescent="0.25">
      <c r="A7882"/>
    </row>
    <row r="7883" spans="1:1" x14ac:dyDescent="0.25">
      <c r="A7883"/>
    </row>
    <row r="7884" spans="1:1" x14ac:dyDescent="0.25">
      <c r="A7884"/>
    </row>
    <row r="7885" spans="1:1" x14ac:dyDescent="0.25">
      <c r="A7885"/>
    </row>
    <row r="7886" spans="1:1" x14ac:dyDescent="0.25">
      <c r="A7886"/>
    </row>
    <row r="7887" spans="1:1" x14ac:dyDescent="0.25">
      <c r="A7887"/>
    </row>
    <row r="7888" spans="1:1" x14ac:dyDescent="0.25">
      <c r="A7888"/>
    </row>
    <row r="7889" spans="1:1" x14ac:dyDescent="0.25">
      <c r="A7889"/>
    </row>
    <row r="7890" spans="1:1" x14ac:dyDescent="0.25">
      <c r="A7890"/>
    </row>
    <row r="7891" spans="1:1" x14ac:dyDescent="0.25">
      <c r="A7891"/>
    </row>
    <row r="7892" spans="1:1" x14ac:dyDescent="0.25">
      <c r="A7892"/>
    </row>
    <row r="7893" spans="1:1" x14ac:dyDescent="0.25">
      <c r="A7893"/>
    </row>
    <row r="7894" spans="1:1" x14ac:dyDescent="0.25">
      <c r="A7894"/>
    </row>
    <row r="7895" spans="1:1" x14ac:dyDescent="0.25">
      <c r="A7895"/>
    </row>
    <row r="7896" spans="1:1" x14ac:dyDescent="0.25">
      <c r="A7896"/>
    </row>
    <row r="7897" spans="1:1" x14ac:dyDescent="0.25">
      <c r="A7897"/>
    </row>
    <row r="7898" spans="1:1" x14ac:dyDescent="0.25">
      <c r="A7898"/>
    </row>
    <row r="7899" spans="1:1" x14ac:dyDescent="0.25">
      <c r="A7899"/>
    </row>
    <row r="7900" spans="1:1" x14ac:dyDescent="0.25">
      <c r="A7900"/>
    </row>
    <row r="7901" spans="1:1" x14ac:dyDescent="0.25">
      <c r="A7901"/>
    </row>
    <row r="7902" spans="1:1" x14ac:dyDescent="0.25">
      <c r="A7902"/>
    </row>
    <row r="7903" spans="1:1" x14ac:dyDescent="0.25">
      <c r="A7903"/>
    </row>
    <row r="7904" spans="1:1" x14ac:dyDescent="0.25">
      <c r="A7904"/>
    </row>
    <row r="7905" spans="1:1" x14ac:dyDescent="0.25">
      <c r="A7905"/>
    </row>
    <row r="7906" spans="1:1" x14ac:dyDescent="0.25">
      <c r="A7906"/>
    </row>
    <row r="7907" spans="1:1" x14ac:dyDescent="0.25">
      <c r="A7907"/>
    </row>
    <row r="7908" spans="1:1" x14ac:dyDescent="0.25">
      <c r="A7908"/>
    </row>
    <row r="7909" spans="1:1" x14ac:dyDescent="0.25">
      <c r="A7909"/>
    </row>
    <row r="7910" spans="1:1" x14ac:dyDescent="0.25">
      <c r="A7910"/>
    </row>
    <row r="7911" spans="1:1" x14ac:dyDescent="0.25">
      <c r="A7911"/>
    </row>
    <row r="7912" spans="1:1" x14ac:dyDescent="0.25">
      <c r="A7912"/>
    </row>
    <row r="7913" spans="1:1" x14ac:dyDescent="0.25">
      <c r="A7913"/>
    </row>
    <row r="7914" spans="1:1" x14ac:dyDescent="0.25">
      <c r="A7914"/>
    </row>
    <row r="7915" spans="1:1" x14ac:dyDescent="0.25">
      <c r="A7915"/>
    </row>
    <row r="7916" spans="1:1" x14ac:dyDescent="0.25">
      <c r="A7916"/>
    </row>
    <row r="7917" spans="1:1" x14ac:dyDescent="0.25">
      <c r="A7917"/>
    </row>
    <row r="7918" spans="1:1" x14ac:dyDescent="0.25">
      <c r="A7918"/>
    </row>
    <row r="7919" spans="1:1" x14ac:dyDescent="0.25">
      <c r="A7919"/>
    </row>
    <row r="7920" spans="1:1" x14ac:dyDescent="0.25">
      <c r="A7920"/>
    </row>
    <row r="7921" spans="1:1" x14ac:dyDescent="0.25">
      <c r="A7921"/>
    </row>
    <row r="7922" spans="1:1" x14ac:dyDescent="0.25">
      <c r="A7922"/>
    </row>
    <row r="7923" spans="1:1" x14ac:dyDescent="0.25">
      <c r="A7923"/>
    </row>
    <row r="7924" spans="1:1" x14ac:dyDescent="0.25">
      <c r="A7924"/>
    </row>
    <row r="7925" spans="1:1" x14ac:dyDescent="0.25">
      <c r="A7925"/>
    </row>
    <row r="7926" spans="1:1" x14ac:dyDescent="0.25">
      <c r="A7926"/>
    </row>
    <row r="7927" spans="1:1" x14ac:dyDescent="0.25">
      <c r="A7927"/>
    </row>
    <row r="7928" spans="1:1" x14ac:dyDescent="0.25">
      <c r="A7928"/>
    </row>
    <row r="7929" spans="1:1" x14ac:dyDescent="0.25">
      <c r="A7929"/>
    </row>
    <row r="7930" spans="1:1" x14ac:dyDescent="0.25">
      <c r="A7930"/>
    </row>
    <row r="7931" spans="1:1" x14ac:dyDescent="0.25">
      <c r="A7931"/>
    </row>
    <row r="7932" spans="1:1" x14ac:dyDescent="0.25">
      <c r="A7932"/>
    </row>
    <row r="7933" spans="1:1" x14ac:dyDescent="0.25">
      <c r="A7933"/>
    </row>
    <row r="7934" spans="1:1" x14ac:dyDescent="0.25">
      <c r="A7934"/>
    </row>
    <row r="7935" spans="1:1" x14ac:dyDescent="0.25">
      <c r="A7935"/>
    </row>
    <row r="7936" spans="1:1" x14ac:dyDescent="0.25">
      <c r="A7936"/>
    </row>
    <row r="7937" spans="1:1" x14ac:dyDescent="0.25">
      <c r="A7937"/>
    </row>
    <row r="7938" spans="1:1" x14ac:dyDescent="0.25">
      <c r="A7938"/>
    </row>
    <row r="7939" spans="1:1" x14ac:dyDescent="0.25">
      <c r="A7939"/>
    </row>
    <row r="7940" spans="1:1" x14ac:dyDescent="0.25">
      <c r="A7940"/>
    </row>
    <row r="7941" spans="1:1" x14ac:dyDescent="0.25">
      <c r="A7941"/>
    </row>
    <row r="7942" spans="1:1" x14ac:dyDescent="0.25">
      <c r="A7942"/>
    </row>
    <row r="7943" spans="1:1" x14ac:dyDescent="0.25">
      <c r="A7943"/>
    </row>
    <row r="7944" spans="1:1" x14ac:dyDescent="0.25">
      <c r="A7944"/>
    </row>
    <row r="7945" spans="1:1" x14ac:dyDescent="0.25">
      <c r="A7945"/>
    </row>
    <row r="7946" spans="1:1" x14ac:dyDescent="0.25">
      <c r="A7946"/>
    </row>
    <row r="7947" spans="1:1" x14ac:dyDescent="0.25">
      <c r="A7947"/>
    </row>
    <row r="7948" spans="1:1" x14ac:dyDescent="0.25">
      <c r="A7948"/>
    </row>
    <row r="7949" spans="1:1" x14ac:dyDescent="0.25">
      <c r="A7949"/>
    </row>
    <row r="7950" spans="1:1" x14ac:dyDescent="0.25">
      <c r="A7950"/>
    </row>
    <row r="7951" spans="1:1" x14ac:dyDescent="0.25">
      <c r="A7951"/>
    </row>
    <row r="7952" spans="1:1" x14ac:dyDescent="0.25">
      <c r="A7952"/>
    </row>
    <row r="7953" spans="1:1" x14ac:dyDescent="0.25">
      <c r="A7953"/>
    </row>
    <row r="7954" spans="1:1" x14ac:dyDescent="0.25">
      <c r="A7954"/>
    </row>
    <row r="7955" spans="1:1" x14ac:dyDescent="0.25">
      <c r="A7955"/>
    </row>
    <row r="7956" spans="1:1" x14ac:dyDescent="0.25">
      <c r="A7956"/>
    </row>
    <row r="7957" spans="1:1" x14ac:dyDescent="0.25">
      <c r="A7957"/>
    </row>
    <row r="7958" spans="1:1" x14ac:dyDescent="0.25">
      <c r="A7958"/>
    </row>
    <row r="7959" spans="1:1" x14ac:dyDescent="0.25">
      <c r="A7959"/>
    </row>
    <row r="7960" spans="1:1" x14ac:dyDescent="0.25">
      <c r="A7960"/>
    </row>
    <row r="7961" spans="1:1" x14ac:dyDescent="0.25">
      <c r="A7961"/>
    </row>
    <row r="7962" spans="1:1" x14ac:dyDescent="0.25">
      <c r="A7962"/>
    </row>
    <row r="7963" spans="1:1" x14ac:dyDescent="0.25">
      <c r="A7963"/>
    </row>
    <row r="7964" spans="1:1" x14ac:dyDescent="0.25">
      <c r="A7964"/>
    </row>
    <row r="7965" spans="1:1" x14ac:dyDescent="0.25">
      <c r="A7965"/>
    </row>
    <row r="7966" spans="1:1" x14ac:dyDescent="0.25">
      <c r="A7966"/>
    </row>
    <row r="7967" spans="1:1" x14ac:dyDescent="0.25">
      <c r="A7967"/>
    </row>
    <row r="7968" spans="1:1" x14ac:dyDescent="0.25">
      <c r="A7968"/>
    </row>
    <row r="7969" spans="1:1" x14ac:dyDescent="0.25">
      <c r="A7969"/>
    </row>
    <row r="7970" spans="1:1" x14ac:dyDescent="0.25">
      <c r="A7970"/>
    </row>
    <row r="7971" spans="1:1" x14ac:dyDescent="0.25">
      <c r="A7971"/>
    </row>
    <row r="7972" spans="1:1" x14ac:dyDescent="0.25">
      <c r="A7972"/>
    </row>
    <row r="7973" spans="1:1" x14ac:dyDescent="0.25">
      <c r="A7973"/>
    </row>
    <row r="7974" spans="1:1" x14ac:dyDescent="0.25">
      <c r="A7974"/>
    </row>
    <row r="7975" spans="1:1" x14ac:dyDescent="0.25">
      <c r="A7975"/>
    </row>
    <row r="7976" spans="1:1" x14ac:dyDescent="0.25">
      <c r="A7976"/>
    </row>
    <row r="7977" spans="1:1" x14ac:dyDescent="0.25">
      <c r="A7977"/>
    </row>
    <row r="7978" spans="1:1" x14ac:dyDescent="0.25">
      <c r="A7978"/>
    </row>
    <row r="7979" spans="1:1" x14ac:dyDescent="0.25">
      <c r="A7979"/>
    </row>
    <row r="7980" spans="1:1" x14ac:dyDescent="0.25">
      <c r="A7980"/>
    </row>
    <row r="7981" spans="1:1" x14ac:dyDescent="0.25">
      <c r="A7981"/>
    </row>
    <row r="7982" spans="1:1" x14ac:dyDescent="0.25">
      <c r="A7982"/>
    </row>
    <row r="7983" spans="1:1" x14ac:dyDescent="0.25">
      <c r="A7983"/>
    </row>
    <row r="7984" spans="1:1" x14ac:dyDescent="0.25">
      <c r="A7984"/>
    </row>
    <row r="7985" spans="1:1" x14ac:dyDescent="0.25">
      <c r="A7985"/>
    </row>
    <row r="7986" spans="1:1" x14ac:dyDescent="0.25">
      <c r="A7986"/>
    </row>
    <row r="7987" spans="1:1" x14ac:dyDescent="0.25">
      <c r="A7987"/>
    </row>
    <row r="7988" spans="1:1" x14ac:dyDescent="0.25">
      <c r="A7988"/>
    </row>
    <row r="7989" spans="1:1" x14ac:dyDescent="0.25">
      <c r="A7989"/>
    </row>
    <row r="7990" spans="1:1" x14ac:dyDescent="0.25">
      <c r="A7990"/>
    </row>
    <row r="7991" spans="1:1" x14ac:dyDescent="0.25">
      <c r="A7991"/>
    </row>
    <row r="7992" spans="1:1" x14ac:dyDescent="0.25">
      <c r="A7992"/>
    </row>
    <row r="7993" spans="1:1" x14ac:dyDescent="0.25">
      <c r="A7993"/>
    </row>
    <row r="7994" spans="1:1" x14ac:dyDescent="0.25">
      <c r="A7994"/>
    </row>
    <row r="7995" spans="1:1" x14ac:dyDescent="0.25">
      <c r="A7995"/>
    </row>
    <row r="7996" spans="1:1" x14ac:dyDescent="0.25">
      <c r="A7996"/>
    </row>
    <row r="7997" spans="1:1" x14ac:dyDescent="0.25">
      <c r="A7997"/>
    </row>
    <row r="7998" spans="1:1" x14ac:dyDescent="0.25">
      <c r="A7998"/>
    </row>
    <row r="7999" spans="1:1" x14ac:dyDescent="0.25">
      <c r="A7999"/>
    </row>
    <row r="8000" spans="1:1" x14ac:dyDescent="0.25">
      <c r="A8000"/>
    </row>
    <row r="8001" spans="1:1" x14ac:dyDescent="0.25">
      <c r="A8001"/>
    </row>
    <row r="8002" spans="1:1" x14ac:dyDescent="0.25">
      <c r="A8002"/>
    </row>
    <row r="8003" spans="1:1" x14ac:dyDescent="0.25">
      <c r="A8003"/>
    </row>
    <row r="8004" spans="1:1" x14ac:dyDescent="0.25">
      <c r="A8004"/>
    </row>
    <row r="8005" spans="1:1" x14ac:dyDescent="0.25">
      <c r="A8005"/>
    </row>
    <row r="8006" spans="1:1" x14ac:dyDescent="0.25">
      <c r="A8006"/>
    </row>
    <row r="8007" spans="1:1" x14ac:dyDescent="0.25">
      <c r="A8007"/>
    </row>
    <row r="8008" spans="1:1" x14ac:dyDescent="0.25">
      <c r="A8008"/>
    </row>
    <row r="8009" spans="1:1" x14ac:dyDescent="0.25">
      <c r="A8009"/>
    </row>
    <row r="8010" spans="1:1" x14ac:dyDescent="0.25">
      <c r="A8010"/>
    </row>
    <row r="8011" spans="1:1" x14ac:dyDescent="0.25">
      <c r="A8011"/>
    </row>
    <row r="8012" spans="1:1" x14ac:dyDescent="0.25">
      <c r="A8012"/>
    </row>
    <row r="8013" spans="1:1" x14ac:dyDescent="0.25">
      <c r="A8013"/>
    </row>
    <row r="8014" spans="1:1" x14ac:dyDescent="0.25">
      <c r="A8014"/>
    </row>
    <row r="8015" spans="1:1" x14ac:dyDescent="0.25">
      <c r="A8015"/>
    </row>
    <row r="8016" spans="1:1" x14ac:dyDescent="0.25">
      <c r="A8016"/>
    </row>
    <row r="8017" spans="1:1" x14ac:dyDescent="0.25">
      <c r="A8017"/>
    </row>
    <row r="8018" spans="1:1" x14ac:dyDescent="0.25">
      <c r="A8018"/>
    </row>
    <row r="8019" spans="1:1" x14ac:dyDescent="0.25">
      <c r="A8019"/>
    </row>
    <row r="8020" spans="1:1" x14ac:dyDescent="0.25">
      <c r="A8020"/>
    </row>
    <row r="8021" spans="1:1" x14ac:dyDescent="0.25">
      <c r="A8021"/>
    </row>
    <row r="8022" spans="1:1" x14ac:dyDescent="0.25">
      <c r="A8022"/>
    </row>
    <row r="8023" spans="1:1" x14ac:dyDescent="0.25">
      <c r="A8023"/>
    </row>
    <row r="8024" spans="1:1" x14ac:dyDescent="0.25">
      <c r="A8024"/>
    </row>
    <row r="8025" spans="1:1" x14ac:dyDescent="0.25">
      <c r="A8025"/>
    </row>
    <row r="8026" spans="1:1" x14ac:dyDescent="0.25">
      <c r="A8026"/>
    </row>
    <row r="8027" spans="1:1" x14ac:dyDescent="0.25">
      <c r="A8027"/>
    </row>
    <row r="8028" spans="1:1" x14ac:dyDescent="0.25">
      <c r="A8028"/>
    </row>
    <row r="8029" spans="1:1" x14ac:dyDescent="0.25">
      <c r="A8029"/>
    </row>
    <row r="8030" spans="1:1" x14ac:dyDescent="0.25">
      <c r="A8030"/>
    </row>
    <row r="8031" spans="1:1" x14ac:dyDescent="0.25">
      <c r="A8031"/>
    </row>
    <row r="8032" spans="1:1" x14ac:dyDescent="0.25">
      <c r="A8032"/>
    </row>
    <row r="8033" spans="1:1" x14ac:dyDescent="0.25">
      <c r="A8033"/>
    </row>
    <row r="8034" spans="1:1" x14ac:dyDescent="0.25">
      <c r="A8034"/>
    </row>
    <row r="8035" spans="1:1" x14ac:dyDescent="0.25">
      <c r="A8035"/>
    </row>
    <row r="8036" spans="1:1" x14ac:dyDescent="0.25">
      <c r="A8036"/>
    </row>
    <row r="8037" spans="1:1" x14ac:dyDescent="0.25">
      <c r="A8037"/>
    </row>
    <row r="8038" spans="1:1" x14ac:dyDescent="0.25">
      <c r="A8038"/>
    </row>
    <row r="8039" spans="1:1" x14ac:dyDescent="0.25">
      <c r="A8039"/>
    </row>
    <row r="8040" spans="1:1" x14ac:dyDescent="0.25">
      <c r="A8040"/>
    </row>
    <row r="8041" spans="1:1" x14ac:dyDescent="0.25">
      <c r="A8041"/>
    </row>
    <row r="8042" spans="1:1" x14ac:dyDescent="0.25">
      <c r="A8042"/>
    </row>
    <row r="8043" spans="1:1" x14ac:dyDescent="0.25">
      <c r="A8043"/>
    </row>
    <row r="8044" spans="1:1" x14ac:dyDescent="0.25">
      <c r="A8044"/>
    </row>
    <row r="8045" spans="1:1" x14ac:dyDescent="0.25">
      <c r="A8045"/>
    </row>
    <row r="8046" spans="1:1" x14ac:dyDescent="0.25">
      <c r="A8046"/>
    </row>
    <row r="8047" spans="1:1" x14ac:dyDescent="0.25">
      <c r="A8047"/>
    </row>
    <row r="8048" spans="1:1" x14ac:dyDescent="0.25">
      <c r="A8048"/>
    </row>
    <row r="8049" spans="1:1" x14ac:dyDescent="0.25">
      <c r="A8049"/>
    </row>
    <row r="8050" spans="1:1" x14ac:dyDescent="0.25">
      <c r="A8050"/>
    </row>
    <row r="8051" spans="1:1" x14ac:dyDescent="0.25">
      <c r="A8051"/>
    </row>
    <row r="8052" spans="1:1" x14ac:dyDescent="0.25">
      <c r="A8052"/>
    </row>
    <row r="8053" spans="1:1" x14ac:dyDescent="0.25">
      <c r="A8053"/>
    </row>
    <row r="8054" spans="1:1" x14ac:dyDescent="0.25">
      <c r="A8054"/>
    </row>
    <row r="8055" spans="1:1" x14ac:dyDescent="0.25">
      <c r="A8055"/>
    </row>
    <row r="8056" spans="1:1" x14ac:dyDescent="0.25">
      <c r="A8056"/>
    </row>
    <row r="8057" spans="1:1" x14ac:dyDescent="0.25">
      <c r="A8057"/>
    </row>
    <row r="8058" spans="1:1" x14ac:dyDescent="0.25">
      <c r="A8058"/>
    </row>
    <row r="8059" spans="1:1" x14ac:dyDescent="0.25">
      <c r="A8059"/>
    </row>
    <row r="8060" spans="1:1" x14ac:dyDescent="0.25">
      <c r="A8060"/>
    </row>
    <row r="8061" spans="1:1" x14ac:dyDescent="0.25">
      <c r="A8061"/>
    </row>
    <row r="8062" spans="1:1" x14ac:dyDescent="0.25">
      <c r="A8062"/>
    </row>
    <row r="8063" spans="1:1" x14ac:dyDescent="0.25">
      <c r="A8063"/>
    </row>
    <row r="8064" spans="1:1" x14ac:dyDescent="0.25">
      <c r="A8064"/>
    </row>
    <row r="8065" spans="1:1" x14ac:dyDescent="0.25">
      <c r="A8065"/>
    </row>
    <row r="8066" spans="1:1" x14ac:dyDescent="0.25">
      <c r="A8066"/>
    </row>
    <row r="8067" spans="1:1" x14ac:dyDescent="0.25">
      <c r="A8067"/>
    </row>
    <row r="8068" spans="1:1" x14ac:dyDescent="0.25">
      <c r="A8068"/>
    </row>
    <row r="8069" spans="1:1" x14ac:dyDescent="0.25">
      <c r="A8069"/>
    </row>
    <row r="8070" spans="1:1" x14ac:dyDescent="0.25">
      <c r="A8070"/>
    </row>
    <row r="8071" spans="1:1" x14ac:dyDescent="0.25">
      <c r="A8071"/>
    </row>
    <row r="8072" spans="1:1" x14ac:dyDescent="0.25">
      <c r="A8072"/>
    </row>
    <row r="8073" spans="1:1" x14ac:dyDescent="0.25">
      <c r="A8073"/>
    </row>
    <row r="8074" spans="1:1" x14ac:dyDescent="0.25">
      <c r="A8074"/>
    </row>
    <row r="8075" spans="1:1" x14ac:dyDescent="0.25">
      <c r="A8075"/>
    </row>
    <row r="8076" spans="1:1" x14ac:dyDescent="0.25">
      <c r="A8076"/>
    </row>
    <row r="8077" spans="1:1" x14ac:dyDescent="0.25">
      <c r="A8077"/>
    </row>
    <row r="8078" spans="1:1" x14ac:dyDescent="0.25">
      <c r="A8078"/>
    </row>
    <row r="8079" spans="1:1" x14ac:dyDescent="0.25">
      <c r="A8079"/>
    </row>
    <row r="8080" spans="1:1" x14ac:dyDescent="0.25">
      <c r="A8080"/>
    </row>
    <row r="8081" spans="1:1" x14ac:dyDescent="0.25">
      <c r="A8081"/>
    </row>
    <row r="8082" spans="1:1" x14ac:dyDescent="0.25">
      <c r="A8082"/>
    </row>
    <row r="8083" spans="1:1" x14ac:dyDescent="0.25">
      <c r="A8083"/>
    </row>
    <row r="8084" spans="1:1" x14ac:dyDescent="0.25">
      <c r="A8084"/>
    </row>
    <row r="8085" spans="1:1" x14ac:dyDescent="0.25">
      <c r="A8085"/>
    </row>
    <row r="8086" spans="1:1" x14ac:dyDescent="0.25">
      <c r="A8086"/>
    </row>
    <row r="8087" spans="1:1" x14ac:dyDescent="0.25">
      <c r="A8087"/>
    </row>
    <row r="8088" spans="1:1" x14ac:dyDescent="0.25">
      <c r="A8088"/>
    </row>
    <row r="8089" spans="1:1" x14ac:dyDescent="0.25">
      <c r="A8089"/>
    </row>
    <row r="8090" spans="1:1" x14ac:dyDescent="0.25">
      <c r="A8090"/>
    </row>
    <row r="8091" spans="1:1" x14ac:dyDescent="0.25">
      <c r="A8091"/>
    </row>
    <row r="8092" spans="1:1" x14ac:dyDescent="0.25">
      <c r="A8092"/>
    </row>
    <row r="8093" spans="1:1" x14ac:dyDescent="0.25">
      <c r="A8093"/>
    </row>
    <row r="8094" spans="1:1" x14ac:dyDescent="0.25">
      <c r="A8094"/>
    </row>
    <row r="8095" spans="1:1" x14ac:dyDescent="0.25">
      <c r="A8095"/>
    </row>
    <row r="8096" spans="1:1" x14ac:dyDescent="0.25">
      <c r="A8096"/>
    </row>
    <row r="8097" spans="1:1" x14ac:dyDescent="0.25">
      <c r="A8097"/>
    </row>
    <row r="8098" spans="1:1" x14ac:dyDescent="0.25">
      <c r="A8098"/>
    </row>
    <row r="8099" spans="1:1" x14ac:dyDescent="0.25">
      <c r="A8099"/>
    </row>
    <row r="8100" spans="1:1" x14ac:dyDescent="0.25">
      <c r="A8100"/>
    </row>
    <row r="8101" spans="1:1" x14ac:dyDescent="0.25">
      <c r="A8101"/>
    </row>
    <row r="8102" spans="1:1" x14ac:dyDescent="0.25">
      <c r="A8102"/>
    </row>
    <row r="8103" spans="1:1" x14ac:dyDescent="0.25">
      <c r="A8103"/>
    </row>
    <row r="8104" spans="1:1" x14ac:dyDescent="0.25">
      <c r="A8104"/>
    </row>
    <row r="8105" spans="1:1" x14ac:dyDescent="0.25">
      <c r="A8105"/>
    </row>
    <row r="8106" spans="1:1" x14ac:dyDescent="0.25">
      <c r="A8106"/>
    </row>
    <row r="8107" spans="1:1" x14ac:dyDescent="0.25">
      <c r="A8107"/>
    </row>
    <row r="8108" spans="1:1" x14ac:dyDescent="0.25">
      <c r="A8108"/>
    </row>
    <row r="8109" spans="1:1" x14ac:dyDescent="0.25">
      <c r="A8109"/>
    </row>
    <row r="8110" spans="1:1" x14ac:dyDescent="0.25">
      <c r="A8110"/>
    </row>
    <row r="8111" spans="1:1" x14ac:dyDescent="0.25">
      <c r="A8111"/>
    </row>
    <row r="8112" spans="1:1" x14ac:dyDescent="0.25">
      <c r="A8112"/>
    </row>
    <row r="8113" spans="1:1" x14ac:dyDescent="0.25">
      <c r="A8113"/>
    </row>
    <row r="8114" spans="1:1" x14ac:dyDescent="0.25">
      <c r="A8114"/>
    </row>
    <row r="8115" spans="1:1" x14ac:dyDescent="0.25">
      <c r="A8115"/>
    </row>
    <row r="8116" spans="1:1" x14ac:dyDescent="0.25">
      <c r="A8116"/>
    </row>
    <row r="8117" spans="1:1" x14ac:dyDescent="0.25">
      <c r="A8117"/>
    </row>
    <row r="8118" spans="1:1" x14ac:dyDescent="0.25">
      <c r="A8118"/>
    </row>
    <row r="8119" spans="1:1" x14ac:dyDescent="0.25">
      <c r="A8119"/>
    </row>
    <row r="8120" spans="1:1" x14ac:dyDescent="0.25">
      <c r="A8120"/>
    </row>
    <row r="8121" spans="1:1" x14ac:dyDescent="0.25">
      <c r="A8121"/>
    </row>
    <row r="8122" spans="1:1" x14ac:dyDescent="0.25">
      <c r="A8122"/>
    </row>
    <row r="8123" spans="1:1" x14ac:dyDescent="0.25">
      <c r="A8123"/>
    </row>
    <row r="8124" spans="1:1" x14ac:dyDescent="0.25">
      <c r="A8124"/>
    </row>
    <row r="8125" spans="1:1" x14ac:dyDescent="0.25">
      <c r="A8125"/>
    </row>
    <row r="8126" spans="1:1" x14ac:dyDescent="0.25">
      <c r="A8126"/>
    </row>
    <row r="8127" spans="1:1" x14ac:dyDescent="0.25">
      <c r="A8127"/>
    </row>
    <row r="8128" spans="1:1" x14ac:dyDescent="0.25">
      <c r="A8128"/>
    </row>
    <row r="8129" spans="1:1" x14ac:dyDescent="0.25">
      <c r="A8129"/>
    </row>
    <row r="8130" spans="1:1" x14ac:dyDescent="0.25">
      <c r="A8130"/>
    </row>
    <row r="8131" spans="1:1" x14ac:dyDescent="0.25">
      <c r="A8131"/>
    </row>
    <row r="8132" spans="1:1" x14ac:dyDescent="0.25">
      <c r="A8132"/>
    </row>
    <row r="8133" spans="1:1" x14ac:dyDescent="0.25">
      <c r="A8133"/>
    </row>
    <row r="8134" spans="1:1" x14ac:dyDescent="0.25">
      <c r="A8134"/>
    </row>
    <row r="8135" spans="1:1" x14ac:dyDescent="0.25">
      <c r="A8135"/>
    </row>
    <row r="8136" spans="1:1" x14ac:dyDescent="0.25">
      <c r="A8136"/>
    </row>
    <row r="8137" spans="1:1" x14ac:dyDescent="0.25">
      <c r="A8137"/>
    </row>
    <row r="8138" spans="1:1" x14ac:dyDescent="0.25">
      <c r="A8138"/>
    </row>
    <row r="8139" spans="1:1" x14ac:dyDescent="0.25">
      <c r="A8139"/>
    </row>
    <row r="8140" spans="1:1" x14ac:dyDescent="0.25">
      <c r="A8140"/>
    </row>
    <row r="8141" spans="1:1" x14ac:dyDescent="0.25">
      <c r="A8141"/>
    </row>
    <row r="8142" spans="1:1" x14ac:dyDescent="0.25">
      <c r="A8142"/>
    </row>
    <row r="8143" spans="1:1" x14ac:dyDescent="0.25">
      <c r="A8143"/>
    </row>
    <row r="8144" spans="1:1" x14ac:dyDescent="0.25">
      <c r="A8144"/>
    </row>
    <row r="8145" spans="1:1" x14ac:dyDescent="0.25">
      <c r="A8145"/>
    </row>
    <row r="8146" spans="1:1" x14ac:dyDescent="0.25">
      <c r="A8146"/>
    </row>
    <row r="8147" spans="1:1" x14ac:dyDescent="0.25">
      <c r="A8147"/>
    </row>
    <row r="8148" spans="1:1" x14ac:dyDescent="0.25">
      <c r="A8148"/>
    </row>
    <row r="8149" spans="1:1" x14ac:dyDescent="0.25">
      <c r="A8149"/>
    </row>
    <row r="8150" spans="1:1" x14ac:dyDescent="0.25">
      <c r="A8150"/>
    </row>
    <row r="8151" spans="1:1" x14ac:dyDescent="0.25">
      <c r="A8151"/>
    </row>
    <row r="8152" spans="1:1" x14ac:dyDescent="0.25">
      <c r="A8152"/>
    </row>
    <row r="8153" spans="1:1" x14ac:dyDescent="0.25">
      <c r="A8153"/>
    </row>
    <row r="8154" spans="1:1" x14ac:dyDescent="0.25">
      <c r="A8154"/>
    </row>
    <row r="8155" spans="1:1" x14ac:dyDescent="0.25">
      <c r="A8155"/>
    </row>
    <row r="8156" spans="1:1" x14ac:dyDescent="0.25">
      <c r="A8156"/>
    </row>
    <row r="8157" spans="1:1" x14ac:dyDescent="0.25">
      <c r="A8157"/>
    </row>
    <row r="8158" spans="1:1" x14ac:dyDescent="0.25">
      <c r="A8158"/>
    </row>
    <row r="8159" spans="1:1" x14ac:dyDescent="0.25">
      <c r="A8159"/>
    </row>
    <row r="8160" spans="1:1" x14ac:dyDescent="0.25">
      <c r="A8160"/>
    </row>
    <row r="8161" spans="1:1" x14ac:dyDescent="0.25">
      <c r="A8161"/>
    </row>
    <row r="8162" spans="1:1" x14ac:dyDescent="0.25">
      <c r="A8162"/>
    </row>
    <row r="8163" spans="1:1" x14ac:dyDescent="0.25">
      <c r="A8163"/>
    </row>
    <row r="8164" spans="1:1" x14ac:dyDescent="0.25">
      <c r="A8164"/>
    </row>
    <row r="8165" spans="1:1" x14ac:dyDescent="0.25">
      <c r="A8165"/>
    </row>
    <row r="8166" spans="1:1" x14ac:dyDescent="0.25">
      <c r="A8166"/>
    </row>
    <row r="8167" spans="1:1" x14ac:dyDescent="0.25">
      <c r="A8167"/>
    </row>
    <row r="8168" spans="1:1" x14ac:dyDescent="0.25">
      <c r="A8168"/>
    </row>
    <row r="8169" spans="1:1" x14ac:dyDescent="0.25">
      <c r="A8169"/>
    </row>
    <row r="8170" spans="1:1" x14ac:dyDescent="0.25">
      <c r="A8170"/>
    </row>
    <row r="8171" spans="1:1" x14ac:dyDescent="0.25">
      <c r="A8171"/>
    </row>
    <row r="8172" spans="1:1" x14ac:dyDescent="0.25">
      <c r="A8172"/>
    </row>
    <row r="8173" spans="1:1" x14ac:dyDescent="0.25">
      <c r="A8173"/>
    </row>
    <row r="8174" spans="1:1" x14ac:dyDescent="0.25">
      <c r="A8174"/>
    </row>
    <row r="8175" spans="1:1" x14ac:dyDescent="0.25">
      <c r="A8175"/>
    </row>
    <row r="8176" spans="1:1" x14ac:dyDescent="0.25">
      <c r="A8176"/>
    </row>
    <row r="8177" spans="1:1" x14ac:dyDescent="0.25">
      <c r="A8177"/>
    </row>
    <row r="8178" spans="1:1" x14ac:dyDescent="0.25">
      <c r="A8178"/>
    </row>
    <row r="8179" spans="1:1" x14ac:dyDescent="0.25">
      <c r="A8179"/>
    </row>
    <row r="8180" spans="1:1" x14ac:dyDescent="0.25">
      <c r="A8180"/>
    </row>
    <row r="8181" spans="1:1" x14ac:dyDescent="0.25">
      <c r="A8181"/>
    </row>
    <row r="8182" spans="1:1" x14ac:dyDescent="0.25">
      <c r="A8182"/>
    </row>
    <row r="8183" spans="1:1" x14ac:dyDescent="0.25">
      <c r="A8183"/>
    </row>
    <row r="8184" spans="1:1" x14ac:dyDescent="0.25">
      <c r="A8184"/>
    </row>
    <row r="8185" spans="1:1" x14ac:dyDescent="0.25">
      <c r="A8185"/>
    </row>
    <row r="8186" spans="1:1" x14ac:dyDescent="0.25">
      <c r="A8186"/>
    </row>
    <row r="8187" spans="1:1" x14ac:dyDescent="0.25">
      <c r="A8187"/>
    </row>
    <row r="8188" spans="1:1" x14ac:dyDescent="0.25">
      <c r="A8188"/>
    </row>
    <row r="8189" spans="1:1" x14ac:dyDescent="0.25">
      <c r="A8189"/>
    </row>
    <row r="8190" spans="1:1" x14ac:dyDescent="0.25">
      <c r="A8190"/>
    </row>
    <row r="8191" spans="1:1" x14ac:dyDescent="0.25">
      <c r="A8191"/>
    </row>
    <row r="8192" spans="1:1" x14ac:dyDescent="0.25">
      <c r="A8192"/>
    </row>
    <row r="8193" spans="1:1" x14ac:dyDescent="0.25">
      <c r="A8193"/>
    </row>
    <row r="8194" spans="1:1" x14ac:dyDescent="0.25">
      <c r="A8194"/>
    </row>
    <row r="8195" spans="1:1" x14ac:dyDescent="0.25">
      <c r="A8195"/>
    </row>
    <row r="8196" spans="1:1" x14ac:dyDescent="0.25">
      <c r="A8196"/>
    </row>
    <row r="8197" spans="1:1" x14ac:dyDescent="0.25">
      <c r="A8197"/>
    </row>
    <row r="8198" spans="1:1" x14ac:dyDescent="0.25">
      <c r="A8198"/>
    </row>
    <row r="8199" spans="1:1" x14ac:dyDescent="0.25">
      <c r="A8199"/>
    </row>
    <row r="8200" spans="1:1" x14ac:dyDescent="0.25">
      <c r="A8200"/>
    </row>
    <row r="8201" spans="1:1" x14ac:dyDescent="0.25">
      <c r="A8201"/>
    </row>
    <row r="8202" spans="1:1" x14ac:dyDescent="0.25">
      <c r="A8202"/>
    </row>
    <row r="8203" spans="1:1" x14ac:dyDescent="0.25">
      <c r="A8203"/>
    </row>
    <row r="8204" spans="1:1" x14ac:dyDescent="0.25">
      <c r="A8204"/>
    </row>
    <row r="8205" spans="1:1" x14ac:dyDescent="0.25">
      <c r="A8205"/>
    </row>
    <row r="8206" spans="1:1" x14ac:dyDescent="0.25">
      <c r="A8206"/>
    </row>
    <row r="8207" spans="1:1" x14ac:dyDescent="0.25">
      <c r="A8207"/>
    </row>
    <row r="8208" spans="1:1" x14ac:dyDescent="0.25">
      <c r="A8208"/>
    </row>
    <row r="8209" spans="1:1" x14ac:dyDescent="0.25">
      <c r="A8209"/>
    </row>
    <row r="8210" spans="1:1" x14ac:dyDescent="0.25">
      <c r="A8210"/>
    </row>
    <row r="8211" spans="1:1" x14ac:dyDescent="0.25">
      <c r="A8211"/>
    </row>
    <row r="8212" spans="1:1" x14ac:dyDescent="0.25">
      <c r="A8212"/>
    </row>
    <row r="8213" spans="1:1" x14ac:dyDescent="0.25">
      <c r="A8213"/>
    </row>
    <row r="8214" spans="1:1" x14ac:dyDescent="0.25">
      <c r="A8214"/>
    </row>
    <row r="8215" spans="1:1" x14ac:dyDescent="0.25">
      <c r="A8215"/>
    </row>
    <row r="8216" spans="1:1" x14ac:dyDescent="0.25">
      <c r="A8216"/>
    </row>
    <row r="8217" spans="1:1" x14ac:dyDescent="0.25">
      <c r="A8217"/>
    </row>
    <row r="8218" spans="1:1" x14ac:dyDescent="0.25">
      <c r="A8218"/>
    </row>
    <row r="8219" spans="1:1" x14ac:dyDescent="0.25">
      <c r="A8219"/>
    </row>
    <row r="8220" spans="1:1" x14ac:dyDescent="0.25">
      <c r="A8220"/>
    </row>
    <row r="8221" spans="1:1" x14ac:dyDescent="0.25">
      <c r="A8221"/>
    </row>
    <row r="8222" spans="1:1" x14ac:dyDescent="0.25">
      <c r="A8222"/>
    </row>
    <row r="8223" spans="1:1" x14ac:dyDescent="0.25">
      <c r="A8223"/>
    </row>
    <row r="8224" spans="1:1" x14ac:dyDescent="0.25">
      <c r="A8224"/>
    </row>
    <row r="8225" spans="1:1" x14ac:dyDescent="0.25">
      <c r="A8225"/>
    </row>
    <row r="8226" spans="1:1" x14ac:dyDescent="0.25">
      <c r="A8226"/>
    </row>
    <row r="8227" spans="1:1" x14ac:dyDescent="0.25">
      <c r="A8227"/>
    </row>
    <row r="8228" spans="1:1" x14ac:dyDescent="0.25">
      <c r="A8228"/>
    </row>
    <row r="8229" spans="1:1" x14ac:dyDescent="0.25">
      <c r="A8229"/>
    </row>
    <row r="8230" spans="1:1" x14ac:dyDescent="0.25">
      <c r="A8230"/>
    </row>
    <row r="8231" spans="1:1" x14ac:dyDescent="0.25">
      <c r="A8231"/>
    </row>
    <row r="8232" spans="1:1" x14ac:dyDescent="0.25">
      <c r="A8232"/>
    </row>
    <row r="8233" spans="1:1" x14ac:dyDescent="0.25">
      <c r="A8233"/>
    </row>
    <row r="8234" spans="1:1" x14ac:dyDescent="0.25">
      <c r="A8234"/>
    </row>
    <row r="8235" spans="1:1" x14ac:dyDescent="0.25">
      <c r="A8235"/>
    </row>
    <row r="8236" spans="1:1" x14ac:dyDescent="0.25">
      <c r="A8236"/>
    </row>
    <row r="8237" spans="1:1" x14ac:dyDescent="0.25">
      <c r="A8237"/>
    </row>
    <row r="8238" spans="1:1" x14ac:dyDescent="0.25">
      <c r="A8238"/>
    </row>
    <row r="8239" spans="1:1" x14ac:dyDescent="0.25">
      <c r="A8239"/>
    </row>
    <row r="8240" spans="1:1" x14ac:dyDescent="0.25">
      <c r="A8240"/>
    </row>
    <row r="8241" spans="1:1" x14ac:dyDescent="0.25">
      <c r="A8241"/>
    </row>
    <row r="8242" spans="1:1" x14ac:dyDescent="0.25">
      <c r="A8242"/>
    </row>
    <row r="8243" spans="1:1" x14ac:dyDescent="0.25">
      <c r="A8243"/>
    </row>
    <row r="8244" spans="1:1" x14ac:dyDescent="0.25">
      <c r="A8244"/>
    </row>
    <row r="8245" spans="1:1" x14ac:dyDescent="0.25">
      <c r="A8245"/>
    </row>
    <row r="8246" spans="1:1" x14ac:dyDescent="0.25">
      <c r="A8246"/>
    </row>
    <row r="8247" spans="1:1" x14ac:dyDescent="0.25">
      <c r="A8247"/>
    </row>
    <row r="8248" spans="1:1" x14ac:dyDescent="0.25">
      <c r="A8248"/>
    </row>
    <row r="8249" spans="1:1" x14ac:dyDescent="0.25">
      <c r="A8249"/>
    </row>
    <row r="8250" spans="1:1" x14ac:dyDescent="0.25">
      <c r="A8250"/>
    </row>
    <row r="8251" spans="1:1" x14ac:dyDescent="0.25">
      <c r="A8251"/>
    </row>
    <row r="8252" spans="1:1" x14ac:dyDescent="0.25">
      <c r="A8252"/>
    </row>
    <row r="8253" spans="1:1" x14ac:dyDescent="0.25">
      <c r="A8253"/>
    </row>
    <row r="8254" spans="1:1" x14ac:dyDescent="0.25">
      <c r="A8254"/>
    </row>
    <row r="8255" spans="1:1" x14ac:dyDescent="0.25">
      <c r="A8255"/>
    </row>
    <row r="8256" spans="1:1" x14ac:dyDescent="0.25">
      <c r="A8256"/>
    </row>
    <row r="8257" spans="1:1" x14ac:dyDescent="0.25">
      <c r="A8257"/>
    </row>
    <row r="8258" spans="1:1" x14ac:dyDescent="0.25">
      <c r="A8258"/>
    </row>
    <row r="8259" spans="1:1" x14ac:dyDescent="0.25">
      <c r="A8259"/>
    </row>
    <row r="8260" spans="1:1" x14ac:dyDescent="0.25">
      <c r="A8260"/>
    </row>
    <row r="8261" spans="1:1" x14ac:dyDescent="0.25">
      <c r="A8261"/>
    </row>
    <row r="8262" spans="1:1" x14ac:dyDescent="0.25">
      <c r="A8262"/>
    </row>
    <row r="8263" spans="1:1" x14ac:dyDescent="0.25">
      <c r="A8263"/>
    </row>
    <row r="8264" spans="1:1" x14ac:dyDescent="0.25">
      <c r="A8264"/>
    </row>
    <row r="8265" spans="1:1" x14ac:dyDescent="0.25">
      <c r="A8265"/>
    </row>
    <row r="8266" spans="1:1" x14ac:dyDescent="0.25">
      <c r="A8266"/>
    </row>
    <row r="8267" spans="1:1" x14ac:dyDescent="0.25">
      <c r="A8267"/>
    </row>
    <row r="8268" spans="1:1" x14ac:dyDescent="0.25">
      <c r="A8268"/>
    </row>
    <row r="8269" spans="1:1" x14ac:dyDescent="0.25">
      <c r="A8269"/>
    </row>
    <row r="8270" spans="1:1" x14ac:dyDescent="0.25">
      <c r="A8270"/>
    </row>
    <row r="8271" spans="1:1" x14ac:dyDescent="0.25">
      <c r="A8271"/>
    </row>
    <row r="8272" spans="1:1" x14ac:dyDescent="0.25">
      <c r="A8272"/>
    </row>
    <row r="8273" spans="1:1" x14ac:dyDescent="0.25">
      <c r="A8273"/>
    </row>
    <row r="8274" spans="1:1" x14ac:dyDescent="0.25">
      <c r="A8274"/>
    </row>
    <row r="8275" spans="1:1" x14ac:dyDescent="0.25">
      <c r="A8275"/>
    </row>
    <row r="8276" spans="1:1" x14ac:dyDescent="0.25">
      <c r="A8276"/>
    </row>
    <row r="8277" spans="1:1" x14ac:dyDescent="0.25">
      <c r="A8277"/>
    </row>
    <row r="8278" spans="1:1" x14ac:dyDescent="0.25">
      <c r="A8278"/>
    </row>
    <row r="8279" spans="1:1" x14ac:dyDescent="0.25">
      <c r="A8279"/>
    </row>
    <row r="8280" spans="1:1" x14ac:dyDescent="0.25">
      <c r="A8280"/>
    </row>
    <row r="8281" spans="1:1" x14ac:dyDescent="0.25">
      <c r="A8281"/>
    </row>
    <row r="8282" spans="1:1" x14ac:dyDescent="0.25">
      <c r="A8282"/>
    </row>
    <row r="8283" spans="1:1" x14ac:dyDescent="0.25">
      <c r="A8283"/>
    </row>
    <row r="8284" spans="1:1" x14ac:dyDescent="0.25">
      <c r="A8284"/>
    </row>
    <row r="8285" spans="1:1" x14ac:dyDescent="0.25">
      <c r="A8285"/>
    </row>
    <row r="8286" spans="1:1" x14ac:dyDescent="0.25">
      <c r="A8286"/>
    </row>
    <row r="8287" spans="1:1" x14ac:dyDescent="0.25">
      <c r="A8287"/>
    </row>
    <row r="8288" spans="1:1" x14ac:dyDescent="0.25">
      <c r="A8288"/>
    </row>
    <row r="8289" spans="1:1" x14ac:dyDescent="0.25">
      <c r="A8289"/>
    </row>
    <row r="8290" spans="1:1" x14ac:dyDescent="0.25">
      <c r="A8290"/>
    </row>
    <row r="8291" spans="1:1" x14ac:dyDescent="0.25">
      <c r="A8291"/>
    </row>
    <row r="8292" spans="1:1" x14ac:dyDescent="0.25">
      <c r="A8292"/>
    </row>
    <row r="8293" spans="1:1" x14ac:dyDescent="0.25">
      <c r="A8293"/>
    </row>
    <row r="8294" spans="1:1" x14ac:dyDescent="0.25">
      <c r="A8294"/>
    </row>
    <row r="8295" spans="1:1" x14ac:dyDescent="0.25">
      <c r="A8295"/>
    </row>
    <row r="8296" spans="1:1" x14ac:dyDescent="0.25">
      <c r="A8296"/>
    </row>
    <row r="8297" spans="1:1" x14ac:dyDescent="0.25">
      <c r="A8297"/>
    </row>
    <row r="8298" spans="1:1" x14ac:dyDescent="0.25">
      <c r="A8298"/>
    </row>
    <row r="8299" spans="1:1" x14ac:dyDescent="0.25">
      <c r="A8299"/>
    </row>
    <row r="8300" spans="1:1" x14ac:dyDescent="0.25">
      <c r="A8300"/>
    </row>
    <row r="8301" spans="1:1" x14ac:dyDescent="0.25">
      <c r="A8301"/>
    </row>
    <row r="8302" spans="1:1" x14ac:dyDescent="0.25">
      <c r="A8302"/>
    </row>
    <row r="8303" spans="1:1" x14ac:dyDescent="0.25">
      <c r="A8303"/>
    </row>
    <row r="8304" spans="1:1" x14ac:dyDescent="0.25">
      <c r="A8304"/>
    </row>
    <row r="8305" spans="1:1" x14ac:dyDescent="0.25">
      <c r="A8305"/>
    </row>
    <row r="8306" spans="1:1" x14ac:dyDescent="0.25">
      <c r="A8306"/>
    </row>
    <row r="8307" spans="1:1" x14ac:dyDescent="0.25">
      <c r="A8307"/>
    </row>
    <row r="8308" spans="1:1" x14ac:dyDescent="0.25">
      <c r="A8308"/>
    </row>
    <row r="8309" spans="1:1" x14ac:dyDescent="0.25">
      <c r="A8309"/>
    </row>
    <row r="8310" spans="1:1" x14ac:dyDescent="0.25">
      <c r="A8310"/>
    </row>
    <row r="8311" spans="1:1" x14ac:dyDescent="0.25">
      <c r="A8311"/>
    </row>
    <row r="8312" spans="1:1" x14ac:dyDescent="0.25">
      <c r="A8312"/>
    </row>
    <row r="8313" spans="1:1" x14ac:dyDescent="0.25">
      <c r="A8313"/>
    </row>
    <row r="8314" spans="1:1" x14ac:dyDescent="0.25">
      <c r="A8314"/>
    </row>
    <row r="8315" spans="1:1" x14ac:dyDescent="0.25">
      <c r="A8315"/>
    </row>
    <row r="8316" spans="1:1" x14ac:dyDescent="0.25">
      <c r="A8316"/>
    </row>
    <row r="8317" spans="1:1" x14ac:dyDescent="0.25">
      <c r="A8317"/>
    </row>
    <row r="8318" spans="1:1" x14ac:dyDescent="0.25">
      <c r="A8318"/>
    </row>
    <row r="8319" spans="1:1" x14ac:dyDescent="0.25">
      <c r="A8319"/>
    </row>
    <row r="8320" spans="1:1" x14ac:dyDescent="0.25">
      <c r="A8320"/>
    </row>
    <row r="8321" spans="1:1" x14ac:dyDescent="0.25">
      <c r="A8321"/>
    </row>
    <row r="8322" spans="1:1" x14ac:dyDescent="0.25">
      <c r="A8322"/>
    </row>
    <row r="8323" spans="1:1" x14ac:dyDescent="0.25">
      <c r="A8323"/>
    </row>
    <row r="8324" spans="1:1" x14ac:dyDescent="0.25">
      <c r="A8324"/>
    </row>
    <row r="8325" spans="1:1" x14ac:dyDescent="0.25">
      <c r="A8325"/>
    </row>
    <row r="8326" spans="1:1" x14ac:dyDescent="0.25">
      <c r="A8326"/>
    </row>
    <row r="8327" spans="1:1" x14ac:dyDescent="0.25">
      <c r="A8327"/>
    </row>
    <row r="8328" spans="1:1" x14ac:dyDescent="0.25">
      <c r="A8328"/>
    </row>
    <row r="8329" spans="1:1" x14ac:dyDescent="0.25">
      <c r="A8329"/>
    </row>
    <row r="8330" spans="1:1" x14ac:dyDescent="0.25">
      <c r="A8330"/>
    </row>
    <row r="8331" spans="1:1" x14ac:dyDescent="0.25">
      <c r="A8331"/>
    </row>
    <row r="8332" spans="1:1" x14ac:dyDescent="0.25">
      <c r="A8332"/>
    </row>
    <row r="8333" spans="1:1" x14ac:dyDescent="0.25">
      <c r="A8333"/>
    </row>
    <row r="8334" spans="1:1" x14ac:dyDescent="0.25">
      <c r="A8334"/>
    </row>
    <row r="8335" spans="1:1" x14ac:dyDescent="0.25">
      <c r="A8335"/>
    </row>
    <row r="8336" spans="1:1" x14ac:dyDescent="0.25">
      <c r="A8336"/>
    </row>
    <row r="8337" spans="1:1" x14ac:dyDescent="0.25">
      <c r="A8337"/>
    </row>
    <row r="8338" spans="1:1" x14ac:dyDescent="0.25">
      <c r="A8338"/>
    </row>
    <row r="8339" spans="1:1" x14ac:dyDescent="0.25">
      <c r="A8339"/>
    </row>
    <row r="8340" spans="1:1" x14ac:dyDescent="0.25">
      <c r="A8340"/>
    </row>
    <row r="8341" spans="1:1" x14ac:dyDescent="0.25">
      <c r="A8341"/>
    </row>
    <row r="8342" spans="1:1" x14ac:dyDescent="0.25">
      <c r="A8342"/>
    </row>
    <row r="8343" spans="1:1" x14ac:dyDescent="0.25">
      <c r="A8343"/>
    </row>
    <row r="8344" spans="1:1" x14ac:dyDescent="0.25">
      <c r="A8344"/>
    </row>
    <row r="8345" spans="1:1" x14ac:dyDescent="0.25">
      <c r="A8345"/>
    </row>
    <row r="8346" spans="1:1" x14ac:dyDescent="0.25">
      <c r="A8346"/>
    </row>
    <row r="8347" spans="1:1" x14ac:dyDescent="0.25">
      <c r="A8347"/>
    </row>
    <row r="8348" spans="1:1" x14ac:dyDescent="0.25">
      <c r="A8348"/>
    </row>
    <row r="8349" spans="1:1" x14ac:dyDescent="0.25">
      <c r="A8349"/>
    </row>
    <row r="8350" spans="1:1" x14ac:dyDescent="0.25">
      <c r="A8350"/>
    </row>
    <row r="8351" spans="1:1" x14ac:dyDescent="0.25">
      <c r="A8351"/>
    </row>
    <row r="8352" spans="1:1" x14ac:dyDescent="0.25">
      <c r="A8352"/>
    </row>
    <row r="8353" spans="1:1" x14ac:dyDescent="0.25">
      <c r="A8353"/>
    </row>
    <row r="8354" spans="1:1" x14ac:dyDescent="0.25">
      <c r="A8354"/>
    </row>
    <row r="8355" spans="1:1" x14ac:dyDescent="0.25">
      <c r="A8355"/>
    </row>
    <row r="8356" spans="1:1" x14ac:dyDescent="0.25">
      <c r="A8356"/>
    </row>
    <row r="8357" spans="1:1" x14ac:dyDescent="0.25">
      <c r="A8357"/>
    </row>
    <row r="8358" spans="1:1" x14ac:dyDescent="0.25">
      <c r="A8358"/>
    </row>
    <row r="8359" spans="1:1" x14ac:dyDescent="0.25">
      <c r="A8359"/>
    </row>
    <row r="8360" spans="1:1" x14ac:dyDescent="0.25">
      <c r="A8360"/>
    </row>
    <row r="8361" spans="1:1" x14ac:dyDescent="0.25">
      <c r="A8361"/>
    </row>
    <row r="8362" spans="1:1" x14ac:dyDescent="0.25">
      <c r="A8362"/>
    </row>
    <row r="8363" spans="1:1" x14ac:dyDescent="0.25">
      <c r="A8363"/>
    </row>
    <row r="8364" spans="1:1" x14ac:dyDescent="0.25">
      <c r="A8364"/>
    </row>
    <row r="8365" spans="1:1" x14ac:dyDescent="0.25">
      <c r="A8365"/>
    </row>
    <row r="8366" spans="1:1" x14ac:dyDescent="0.25">
      <c r="A8366"/>
    </row>
    <row r="8367" spans="1:1" x14ac:dyDescent="0.25">
      <c r="A8367"/>
    </row>
    <row r="8368" spans="1:1" x14ac:dyDescent="0.25">
      <c r="A8368"/>
    </row>
    <row r="8369" spans="1:1" x14ac:dyDescent="0.25">
      <c r="A8369"/>
    </row>
    <row r="8370" spans="1:1" x14ac:dyDescent="0.25">
      <c r="A8370"/>
    </row>
    <row r="8371" spans="1:1" x14ac:dyDescent="0.25">
      <c r="A8371"/>
    </row>
    <row r="8372" spans="1:1" x14ac:dyDescent="0.25">
      <c r="A8372"/>
    </row>
    <row r="8373" spans="1:1" x14ac:dyDescent="0.25">
      <c r="A8373"/>
    </row>
    <row r="8374" spans="1:1" x14ac:dyDescent="0.25">
      <c r="A8374"/>
    </row>
    <row r="8375" spans="1:1" x14ac:dyDescent="0.25">
      <c r="A8375"/>
    </row>
    <row r="8376" spans="1:1" x14ac:dyDescent="0.25">
      <c r="A8376"/>
    </row>
    <row r="8377" spans="1:1" x14ac:dyDescent="0.25">
      <c r="A8377"/>
    </row>
    <row r="8378" spans="1:1" x14ac:dyDescent="0.25">
      <c r="A8378"/>
    </row>
    <row r="8379" spans="1:1" x14ac:dyDescent="0.25">
      <c r="A8379"/>
    </row>
    <row r="8380" spans="1:1" x14ac:dyDescent="0.25">
      <c r="A8380"/>
    </row>
    <row r="8381" spans="1:1" x14ac:dyDescent="0.25">
      <c r="A8381"/>
    </row>
    <row r="8382" spans="1:1" x14ac:dyDescent="0.25">
      <c r="A8382"/>
    </row>
    <row r="8383" spans="1:1" x14ac:dyDescent="0.25">
      <c r="A8383"/>
    </row>
    <row r="8384" spans="1:1" x14ac:dyDescent="0.25">
      <c r="A8384"/>
    </row>
    <row r="8385" spans="1:1" x14ac:dyDescent="0.25">
      <c r="A8385"/>
    </row>
    <row r="8386" spans="1:1" x14ac:dyDescent="0.25">
      <c r="A8386"/>
    </row>
    <row r="8387" spans="1:1" x14ac:dyDescent="0.25">
      <c r="A8387"/>
    </row>
    <row r="8388" spans="1:1" x14ac:dyDescent="0.25">
      <c r="A8388"/>
    </row>
    <row r="8389" spans="1:1" x14ac:dyDescent="0.25">
      <c r="A8389"/>
    </row>
    <row r="8390" spans="1:1" x14ac:dyDescent="0.25">
      <c r="A8390"/>
    </row>
    <row r="8391" spans="1:1" x14ac:dyDescent="0.25">
      <c r="A8391"/>
    </row>
    <row r="8392" spans="1:1" x14ac:dyDescent="0.25">
      <c r="A8392"/>
    </row>
    <row r="8393" spans="1:1" x14ac:dyDescent="0.25">
      <c r="A8393"/>
    </row>
    <row r="8394" spans="1:1" x14ac:dyDescent="0.25">
      <c r="A8394"/>
    </row>
    <row r="8395" spans="1:1" x14ac:dyDescent="0.25">
      <c r="A8395"/>
    </row>
    <row r="8396" spans="1:1" x14ac:dyDescent="0.25">
      <c r="A8396"/>
    </row>
    <row r="8397" spans="1:1" x14ac:dyDescent="0.25">
      <c r="A8397"/>
    </row>
    <row r="8398" spans="1:1" x14ac:dyDescent="0.25">
      <c r="A8398"/>
    </row>
    <row r="8399" spans="1:1" x14ac:dyDescent="0.25">
      <c r="A8399"/>
    </row>
    <row r="8400" spans="1:1" x14ac:dyDescent="0.25">
      <c r="A8400"/>
    </row>
    <row r="8401" spans="1:1" x14ac:dyDescent="0.25">
      <c r="A8401"/>
    </row>
    <row r="8402" spans="1:1" x14ac:dyDescent="0.25">
      <c r="A8402"/>
    </row>
    <row r="8403" spans="1:1" x14ac:dyDescent="0.25">
      <c r="A8403"/>
    </row>
    <row r="8404" spans="1:1" x14ac:dyDescent="0.25">
      <c r="A8404"/>
    </row>
    <row r="8405" spans="1:1" x14ac:dyDescent="0.25">
      <c r="A8405"/>
    </row>
    <row r="8406" spans="1:1" x14ac:dyDescent="0.25">
      <c r="A8406"/>
    </row>
    <row r="8407" spans="1:1" x14ac:dyDescent="0.25">
      <c r="A8407"/>
    </row>
    <row r="8408" spans="1:1" x14ac:dyDescent="0.25">
      <c r="A8408"/>
    </row>
    <row r="8409" spans="1:1" x14ac:dyDescent="0.25">
      <c r="A8409"/>
    </row>
    <row r="8410" spans="1:1" x14ac:dyDescent="0.25">
      <c r="A8410"/>
    </row>
    <row r="8411" spans="1:1" x14ac:dyDescent="0.25">
      <c r="A8411"/>
    </row>
    <row r="8412" spans="1:1" x14ac:dyDescent="0.25">
      <c r="A8412"/>
    </row>
    <row r="8413" spans="1:1" x14ac:dyDescent="0.25">
      <c r="A8413"/>
    </row>
    <row r="8414" spans="1:1" x14ac:dyDescent="0.25">
      <c r="A8414"/>
    </row>
    <row r="8415" spans="1:1" x14ac:dyDescent="0.25">
      <c r="A8415"/>
    </row>
    <row r="8416" spans="1:1" x14ac:dyDescent="0.25">
      <c r="A8416"/>
    </row>
    <row r="8417" spans="1:1" x14ac:dyDescent="0.25">
      <c r="A8417"/>
    </row>
    <row r="8418" spans="1:1" x14ac:dyDescent="0.25">
      <c r="A8418"/>
    </row>
    <row r="8419" spans="1:1" x14ac:dyDescent="0.25">
      <c r="A8419"/>
    </row>
    <row r="8420" spans="1:1" x14ac:dyDescent="0.25">
      <c r="A8420"/>
    </row>
    <row r="8421" spans="1:1" x14ac:dyDescent="0.25">
      <c r="A8421"/>
    </row>
    <row r="8422" spans="1:1" x14ac:dyDescent="0.25">
      <c r="A8422"/>
    </row>
    <row r="8423" spans="1:1" x14ac:dyDescent="0.25">
      <c r="A8423"/>
    </row>
    <row r="8424" spans="1:1" x14ac:dyDescent="0.25">
      <c r="A8424"/>
    </row>
    <row r="8425" spans="1:1" x14ac:dyDescent="0.25">
      <c r="A8425"/>
    </row>
    <row r="8426" spans="1:1" x14ac:dyDescent="0.25">
      <c r="A8426"/>
    </row>
    <row r="8427" spans="1:1" x14ac:dyDescent="0.25">
      <c r="A8427"/>
    </row>
    <row r="8428" spans="1:1" x14ac:dyDescent="0.25">
      <c r="A8428"/>
    </row>
    <row r="8429" spans="1:1" x14ac:dyDescent="0.25">
      <c r="A8429"/>
    </row>
    <row r="8430" spans="1:1" x14ac:dyDescent="0.25">
      <c r="A8430"/>
    </row>
    <row r="8431" spans="1:1" x14ac:dyDescent="0.25">
      <c r="A8431"/>
    </row>
    <row r="8432" spans="1:1" x14ac:dyDescent="0.25">
      <c r="A8432"/>
    </row>
    <row r="8433" spans="1:1" x14ac:dyDescent="0.25">
      <c r="A8433"/>
    </row>
    <row r="8434" spans="1:1" x14ac:dyDescent="0.25">
      <c r="A8434"/>
    </row>
    <row r="8435" spans="1:1" x14ac:dyDescent="0.25">
      <c r="A8435"/>
    </row>
    <row r="8436" spans="1:1" x14ac:dyDescent="0.25">
      <c r="A8436"/>
    </row>
    <row r="8437" spans="1:1" x14ac:dyDescent="0.25">
      <c r="A8437"/>
    </row>
    <row r="8438" spans="1:1" x14ac:dyDescent="0.25">
      <c r="A8438"/>
    </row>
    <row r="8439" spans="1:1" x14ac:dyDescent="0.25">
      <c r="A8439"/>
    </row>
    <row r="8440" spans="1:1" x14ac:dyDescent="0.25">
      <c r="A8440"/>
    </row>
    <row r="8441" spans="1:1" x14ac:dyDescent="0.25">
      <c r="A8441"/>
    </row>
    <row r="8442" spans="1:1" x14ac:dyDescent="0.25">
      <c r="A8442"/>
    </row>
    <row r="8443" spans="1:1" x14ac:dyDescent="0.25">
      <c r="A8443"/>
    </row>
    <row r="8444" spans="1:1" x14ac:dyDescent="0.25">
      <c r="A8444"/>
    </row>
    <row r="8445" spans="1:1" x14ac:dyDescent="0.25">
      <c r="A8445"/>
    </row>
    <row r="8446" spans="1:1" x14ac:dyDescent="0.25">
      <c r="A8446"/>
    </row>
    <row r="8447" spans="1:1" x14ac:dyDescent="0.25">
      <c r="A8447"/>
    </row>
    <row r="8448" spans="1:1" x14ac:dyDescent="0.25">
      <c r="A8448"/>
    </row>
    <row r="8449" spans="1:1" x14ac:dyDescent="0.25">
      <c r="A8449"/>
    </row>
    <row r="8450" spans="1:1" x14ac:dyDescent="0.25">
      <c r="A8450"/>
    </row>
    <row r="8451" spans="1:1" x14ac:dyDescent="0.25">
      <c r="A8451"/>
    </row>
    <row r="8452" spans="1:1" x14ac:dyDescent="0.25">
      <c r="A8452"/>
    </row>
    <row r="8453" spans="1:1" x14ac:dyDescent="0.25">
      <c r="A8453"/>
    </row>
    <row r="8454" spans="1:1" x14ac:dyDescent="0.25">
      <c r="A8454"/>
    </row>
    <row r="8455" spans="1:1" x14ac:dyDescent="0.25">
      <c r="A8455"/>
    </row>
    <row r="8456" spans="1:1" x14ac:dyDescent="0.25">
      <c r="A8456"/>
    </row>
    <row r="8457" spans="1:1" x14ac:dyDescent="0.25">
      <c r="A8457"/>
    </row>
    <row r="8458" spans="1:1" x14ac:dyDescent="0.25">
      <c r="A8458"/>
    </row>
    <row r="8459" spans="1:1" x14ac:dyDescent="0.25">
      <c r="A8459"/>
    </row>
    <row r="8460" spans="1:1" x14ac:dyDescent="0.25">
      <c r="A8460"/>
    </row>
    <row r="8461" spans="1:1" x14ac:dyDescent="0.25">
      <c r="A8461"/>
    </row>
    <row r="8462" spans="1:1" x14ac:dyDescent="0.25">
      <c r="A8462"/>
    </row>
    <row r="8463" spans="1:1" x14ac:dyDescent="0.25">
      <c r="A8463"/>
    </row>
    <row r="8464" spans="1:1" x14ac:dyDescent="0.25">
      <c r="A8464"/>
    </row>
    <row r="8465" spans="1:1" x14ac:dyDescent="0.25">
      <c r="A8465"/>
    </row>
    <row r="8466" spans="1:1" x14ac:dyDescent="0.25">
      <c r="A8466"/>
    </row>
    <row r="8467" spans="1:1" x14ac:dyDescent="0.25">
      <c r="A8467"/>
    </row>
    <row r="8468" spans="1:1" x14ac:dyDescent="0.25">
      <c r="A8468"/>
    </row>
    <row r="8469" spans="1:1" x14ac:dyDescent="0.25">
      <c r="A8469"/>
    </row>
    <row r="8470" spans="1:1" x14ac:dyDescent="0.25">
      <c r="A8470"/>
    </row>
    <row r="8471" spans="1:1" x14ac:dyDescent="0.25">
      <c r="A8471"/>
    </row>
    <row r="8472" spans="1:1" x14ac:dyDescent="0.25">
      <c r="A8472"/>
    </row>
    <row r="8473" spans="1:1" x14ac:dyDescent="0.25">
      <c r="A8473"/>
    </row>
    <row r="8474" spans="1:1" x14ac:dyDescent="0.25">
      <c r="A8474"/>
    </row>
    <row r="8475" spans="1:1" x14ac:dyDescent="0.25">
      <c r="A8475"/>
    </row>
    <row r="8476" spans="1:1" x14ac:dyDescent="0.25">
      <c r="A8476"/>
    </row>
    <row r="8477" spans="1:1" x14ac:dyDescent="0.25">
      <c r="A8477"/>
    </row>
    <row r="8478" spans="1:1" x14ac:dyDescent="0.25">
      <c r="A8478"/>
    </row>
    <row r="8479" spans="1:1" x14ac:dyDescent="0.25">
      <c r="A8479"/>
    </row>
    <row r="8480" spans="1:1" x14ac:dyDescent="0.25">
      <c r="A8480"/>
    </row>
    <row r="8481" spans="1:1" x14ac:dyDescent="0.25">
      <c r="A8481"/>
    </row>
    <row r="8482" spans="1:1" x14ac:dyDescent="0.25">
      <c r="A8482"/>
    </row>
    <row r="8483" spans="1:1" x14ac:dyDescent="0.25">
      <c r="A8483"/>
    </row>
    <row r="8484" spans="1:1" x14ac:dyDescent="0.25">
      <c r="A8484"/>
    </row>
    <row r="8485" spans="1:1" x14ac:dyDescent="0.25">
      <c r="A8485"/>
    </row>
    <row r="8486" spans="1:1" x14ac:dyDescent="0.25">
      <c r="A8486"/>
    </row>
    <row r="8487" spans="1:1" x14ac:dyDescent="0.25">
      <c r="A8487"/>
    </row>
    <row r="8488" spans="1:1" x14ac:dyDescent="0.25">
      <c r="A8488"/>
    </row>
    <row r="8489" spans="1:1" x14ac:dyDescent="0.25">
      <c r="A8489"/>
    </row>
    <row r="8490" spans="1:1" x14ac:dyDescent="0.25">
      <c r="A8490"/>
    </row>
    <row r="8491" spans="1:1" x14ac:dyDescent="0.25">
      <c r="A8491"/>
    </row>
    <row r="8492" spans="1:1" x14ac:dyDescent="0.25">
      <c r="A8492"/>
    </row>
    <row r="8493" spans="1:1" x14ac:dyDescent="0.25">
      <c r="A8493"/>
    </row>
    <row r="8494" spans="1:1" x14ac:dyDescent="0.25">
      <c r="A8494"/>
    </row>
    <row r="8495" spans="1:1" x14ac:dyDescent="0.25">
      <c r="A8495"/>
    </row>
    <row r="8496" spans="1:1" x14ac:dyDescent="0.25">
      <c r="A8496"/>
    </row>
    <row r="8497" spans="1:1" x14ac:dyDescent="0.25">
      <c r="A8497"/>
    </row>
    <row r="8498" spans="1:1" x14ac:dyDescent="0.25">
      <c r="A8498"/>
    </row>
    <row r="8499" spans="1:1" x14ac:dyDescent="0.25">
      <c r="A8499"/>
    </row>
    <row r="8500" spans="1:1" x14ac:dyDescent="0.25">
      <c r="A8500"/>
    </row>
    <row r="8501" spans="1:1" x14ac:dyDescent="0.25">
      <c r="A8501"/>
    </row>
    <row r="8502" spans="1:1" x14ac:dyDescent="0.25">
      <c r="A8502"/>
    </row>
    <row r="8503" spans="1:1" x14ac:dyDescent="0.25">
      <c r="A8503"/>
    </row>
    <row r="8504" spans="1:1" x14ac:dyDescent="0.25">
      <c r="A8504"/>
    </row>
    <row r="8505" spans="1:1" x14ac:dyDescent="0.25">
      <c r="A8505"/>
    </row>
    <row r="8506" spans="1:1" x14ac:dyDescent="0.25">
      <c r="A8506"/>
    </row>
    <row r="8507" spans="1:1" x14ac:dyDescent="0.25">
      <c r="A8507"/>
    </row>
    <row r="8508" spans="1:1" x14ac:dyDescent="0.25">
      <c r="A8508"/>
    </row>
    <row r="8509" spans="1:1" x14ac:dyDescent="0.25">
      <c r="A8509"/>
    </row>
    <row r="8510" spans="1:1" x14ac:dyDescent="0.25">
      <c r="A8510"/>
    </row>
    <row r="8511" spans="1:1" x14ac:dyDescent="0.25">
      <c r="A8511"/>
    </row>
    <row r="8512" spans="1:1" x14ac:dyDescent="0.25">
      <c r="A8512"/>
    </row>
    <row r="8513" spans="1:1" x14ac:dyDescent="0.25">
      <c r="A8513"/>
    </row>
    <row r="8514" spans="1:1" x14ac:dyDescent="0.25">
      <c r="A8514"/>
    </row>
    <row r="8515" spans="1:1" x14ac:dyDescent="0.25">
      <c r="A8515"/>
    </row>
    <row r="8516" spans="1:1" x14ac:dyDescent="0.25">
      <c r="A8516"/>
    </row>
    <row r="8517" spans="1:1" x14ac:dyDescent="0.25">
      <c r="A8517"/>
    </row>
    <row r="8518" spans="1:1" x14ac:dyDescent="0.25">
      <c r="A8518"/>
    </row>
    <row r="8519" spans="1:1" x14ac:dyDescent="0.25">
      <c r="A8519"/>
    </row>
    <row r="8520" spans="1:1" x14ac:dyDescent="0.25">
      <c r="A8520"/>
    </row>
    <row r="8521" spans="1:1" x14ac:dyDescent="0.25">
      <c r="A8521"/>
    </row>
    <row r="8522" spans="1:1" x14ac:dyDescent="0.25">
      <c r="A8522"/>
    </row>
    <row r="8523" spans="1:1" x14ac:dyDescent="0.25">
      <c r="A8523"/>
    </row>
    <row r="8524" spans="1:1" x14ac:dyDescent="0.25">
      <c r="A8524"/>
    </row>
    <row r="8525" spans="1:1" x14ac:dyDescent="0.25">
      <c r="A8525"/>
    </row>
    <row r="8526" spans="1:1" x14ac:dyDescent="0.25">
      <c r="A8526"/>
    </row>
    <row r="8527" spans="1:1" x14ac:dyDescent="0.25">
      <c r="A8527"/>
    </row>
    <row r="8528" spans="1:1" x14ac:dyDescent="0.25">
      <c r="A8528"/>
    </row>
    <row r="8529" spans="1:1" x14ac:dyDescent="0.25">
      <c r="A8529"/>
    </row>
    <row r="8530" spans="1:1" x14ac:dyDescent="0.25">
      <c r="A8530"/>
    </row>
    <row r="8531" spans="1:1" x14ac:dyDescent="0.25">
      <c r="A8531"/>
    </row>
    <row r="8532" spans="1:1" x14ac:dyDescent="0.25">
      <c r="A8532"/>
    </row>
    <row r="8533" spans="1:1" x14ac:dyDescent="0.25">
      <c r="A8533"/>
    </row>
    <row r="8534" spans="1:1" x14ac:dyDescent="0.25">
      <c r="A8534"/>
    </row>
    <row r="8535" spans="1:1" x14ac:dyDescent="0.25">
      <c r="A8535"/>
    </row>
    <row r="8536" spans="1:1" x14ac:dyDescent="0.25">
      <c r="A8536"/>
    </row>
    <row r="8537" spans="1:1" x14ac:dyDescent="0.25">
      <c r="A8537"/>
    </row>
    <row r="8538" spans="1:1" x14ac:dyDescent="0.25">
      <c r="A8538"/>
    </row>
    <row r="8539" spans="1:1" x14ac:dyDescent="0.25">
      <c r="A8539"/>
    </row>
    <row r="8540" spans="1:1" x14ac:dyDescent="0.25">
      <c r="A8540"/>
    </row>
    <row r="8541" spans="1:1" x14ac:dyDescent="0.25">
      <c r="A8541"/>
    </row>
    <row r="8542" spans="1:1" x14ac:dyDescent="0.25">
      <c r="A8542"/>
    </row>
    <row r="8543" spans="1:1" x14ac:dyDescent="0.25">
      <c r="A8543"/>
    </row>
    <row r="8544" spans="1:1" x14ac:dyDescent="0.25">
      <c r="A8544"/>
    </row>
    <row r="8545" spans="1:1" x14ac:dyDescent="0.25">
      <c r="A8545"/>
    </row>
    <row r="8546" spans="1:1" x14ac:dyDescent="0.25">
      <c r="A8546"/>
    </row>
    <row r="8547" spans="1:1" x14ac:dyDescent="0.25">
      <c r="A8547"/>
    </row>
    <row r="8548" spans="1:1" x14ac:dyDescent="0.25">
      <c r="A8548"/>
    </row>
    <row r="8549" spans="1:1" x14ac:dyDescent="0.25">
      <c r="A8549"/>
    </row>
    <row r="8550" spans="1:1" x14ac:dyDescent="0.25">
      <c r="A8550"/>
    </row>
    <row r="8551" spans="1:1" x14ac:dyDescent="0.25">
      <c r="A8551"/>
    </row>
    <row r="8552" spans="1:1" x14ac:dyDescent="0.25">
      <c r="A8552"/>
    </row>
    <row r="8553" spans="1:1" x14ac:dyDescent="0.25">
      <c r="A8553"/>
    </row>
    <row r="8554" spans="1:1" x14ac:dyDescent="0.25">
      <c r="A8554"/>
    </row>
    <row r="8555" spans="1:1" x14ac:dyDescent="0.25">
      <c r="A8555"/>
    </row>
    <row r="8556" spans="1:1" x14ac:dyDescent="0.25">
      <c r="A8556"/>
    </row>
    <row r="8557" spans="1:1" x14ac:dyDescent="0.25">
      <c r="A8557"/>
    </row>
    <row r="8558" spans="1:1" x14ac:dyDescent="0.25">
      <c r="A8558"/>
    </row>
    <row r="8559" spans="1:1" x14ac:dyDescent="0.25">
      <c r="A8559"/>
    </row>
    <row r="8560" spans="1:1" x14ac:dyDescent="0.25">
      <c r="A8560"/>
    </row>
    <row r="8561" spans="1:1" x14ac:dyDescent="0.25">
      <c r="A8561"/>
    </row>
    <row r="8562" spans="1:1" x14ac:dyDescent="0.25">
      <c r="A8562"/>
    </row>
    <row r="8563" spans="1:1" x14ac:dyDescent="0.25">
      <c r="A8563"/>
    </row>
    <row r="8564" spans="1:1" x14ac:dyDescent="0.25">
      <c r="A8564"/>
    </row>
    <row r="8565" spans="1:1" x14ac:dyDescent="0.25">
      <c r="A8565"/>
    </row>
    <row r="8566" spans="1:1" x14ac:dyDescent="0.25">
      <c r="A8566"/>
    </row>
    <row r="8567" spans="1:1" x14ac:dyDescent="0.25">
      <c r="A8567"/>
    </row>
    <row r="8568" spans="1:1" x14ac:dyDescent="0.25">
      <c r="A8568"/>
    </row>
    <row r="8569" spans="1:1" x14ac:dyDescent="0.25">
      <c r="A8569"/>
    </row>
    <row r="8570" spans="1:1" x14ac:dyDescent="0.25">
      <c r="A8570"/>
    </row>
    <row r="8571" spans="1:1" x14ac:dyDescent="0.25">
      <c r="A8571"/>
    </row>
    <row r="8572" spans="1:1" x14ac:dyDescent="0.25">
      <c r="A8572"/>
    </row>
    <row r="8573" spans="1:1" x14ac:dyDescent="0.25">
      <c r="A8573"/>
    </row>
    <row r="8574" spans="1:1" x14ac:dyDescent="0.25">
      <c r="A8574"/>
    </row>
    <row r="8575" spans="1:1" x14ac:dyDescent="0.25">
      <c r="A8575"/>
    </row>
    <row r="8576" spans="1:1" x14ac:dyDescent="0.25">
      <c r="A8576"/>
    </row>
    <row r="8577" spans="1:1" x14ac:dyDescent="0.25">
      <c r="A8577"/>
    </row>
    <row r="8578" spans="1:1" x14ac:dyDescent="0.25">
      <c r="A8578"/>
    </row>
    <row r="8579" spans="1:1" x14ac:dyDescent="0.25">
      <c r="A8579"/>
    </row>
    <row r="8580" spans="1:1" x14ac:dyDescent="0.25">
      <c r="A8580"/>
    </row>
    <row r="8581" spans="1:1" x14ac:dyDescent="0.25">
      <c r="A8581"/>
    </row>
    <row r="8582" spans="1:1" x14ac:dyDescent="0.25">
      <c r="A8582"/>
    </row>
    <row r="8583" spans="1:1" x14ac:dyDescent="0.25">
      <c r="A8583"/>
    </row>
    <row r="8584" spans="1:1" x14ac:dyDescent="0.25">
      <c r="A8584"/>
    </row>
    <row r="8585" spans="1:1" x14ac:dyDescent="0.25">
      <c r="A8585"/>
    </row>
    <row r="8586" spans="1:1" x14ac:dyDescent="0.25">
      <c r="A8586"/>
    </row>
    <row r="8587" spans="1:1" x14ac:dyDescent="0.25">
      <c r="A8587"/>
    </row>
    <row r="8588" spans="1:1" x14ac:dyDescent="0.25">
      <c r="A8588"/>
    </row>
    <row r="8589" spans="1:1" x14ac:dyDescent="0.25">
      <c r="A8589"/>
    </row>
    <row r="8590" spans="1:1" x14ac:dyDescent="0.25">
      <c r="A8590"/>
    </row>
    <row r="8591" spans="1:1" x14ac:dyDescent="0.25">
      <c r="A8591"/>
    </row>
    <row r="8592" spans="1:1" x14ac:dyDescent="0.25">
      <c r="A8592"/>
    </row>
    <row r="8593" spans="1:1" x14ac:dyDescent="0.25">
      <c r="A8593"/>
    </row>
    <row r="8594" spans="1:1" x14ac:dyDescent="0.25">
      <c r="A8594"/>
    </row>
    <row r="8595" spans="1:1" x14ac:dyDescent="0.25">
      <c r="A8595"/>
    </row>
    <row r="8596" spans="1:1" x14ac:dyDescent="0.25">
      <c r="A8596"/>
    </row>
    <row r="8597" spans="1:1" x14ac:dyDescent="0.25">
      <c r="A8597"/>
    </row>
    <row r="8598" spans="1:1" x14ac:dyDescent="0.25">
      <c r="A8598"/>
    </row>
    <row r="8599" spans="1:1" x14ac:dyDescent="0.25">
      <c r="A8599"/>
    </row>
    <row r="8600" spans="1:1" x14ac:dyDescent="0.25">
      <c r="A8600"/>
    </row>
    <row r="8601" spans="1:1" x14ac:dyDescent="0.25">
      <c r="A8601"/>
    </row>
    <row r="8602" spans="1:1" x14ac:dyDescent="0.25">
      <c r="A8602"/>
    </row>
    <row r="8603" spans="1:1" x14ac:dyDescent="0.25">
      <c r="A8603"/>
    </row>
    <row r="8604" spans="1:1" x14ac:dyDescent="0.25">
      <c r="A8604"/>
    </row>
    <row r="8605" spans="1:1" x14ac:dyDescent="0.25">
      <c r="A8605"/>
    </row>
    <row r="8606" spans="1:1" x14ac:dyDescent="0.25">
      <c r="A8606"/>
    </row>
    <row r="8607" spans="1:1" x14ac:dyDescent="0.25">
      <c r="A8607"/>
    </row>
    <row r="8608" spans="1:1" x14ac:dyDescent="0.25">
      <c r="A8608"/>
    </row>
    <row r="8609" spans="1:1" x14ac:dyDescent="0.25">
      <c r="A8609"/>
    </row>
    <row r="8610" spans="1:1" x14ac:dyDescent="0.25">
      <c r="A8610"/>
    </row>
    <row r="8611" spans="1:1" x14ac:dyDescent="0.25">
      <c r="A8611"/>
    </row>
    <row r="8612" spans="1:1" x14ac:dyDescent="0.25">
      <c r="A8612"/>
    </row>
    <row r="8613" spans="1:1" x14ac:dyDescent="0.25">
      <c r="A8613"/>
    </row>
    <row r="8614" spans="1:1" x14ac:dyDescent="0.25">
      <c r="A8614"/>
    </row>
    <row r="8615" spans="1:1" x14ac:dyDescent="0.25">
      <c r="A8615"/>
    </row>
    <row r="8616" spans="1:1" x14ac:dyDescent="0.25">
      <c r="A8616"/>
    </row>
    <row r="8617" spans="1:1" x14ac:dyDescent="0.25">
      <c r="A8617"/>
    </row>
    <row r="8618" spans="1:1" x14ac:dyDescent="0.25">
      <c r="A8618"/>
    </row>
    <row r="8619" spans="1:1" x14ac:dyDescent="0.25">
      <c r="A8619"/>
    </row>
    <row r="8620" spans="1:1" x14ac:dyDescent="0.25">
      <c r="A8620"/>
    </row>
    <row r="8621" spans="1:1" x14ac:dyDescent="0.25">
      <c r="A8621"/>
    </row>
    <row r="8622" spans="1:1" x14ac:dyDescent="0.25">
      <c r="A8622"/>
    </row>
    <row r="8623" spans="1:1" x14ac:dyDescent="0.25">
      <c r="A8623"/>
    </row>
    <row r="8624" spans="1:1" x14ac:dyDescent="0.25">
      <c r="A8624"/>
    </row>
    <row r="8625" spans="1:1" x14ac:dyDescent="0.25">
      <c r="A8625"/>
    </row>
    <row r="8626" spans="1:1" x14ac:dyDescent="0.25">
      <c r="A8626"/>
    </row>
    <row r="8627" spans="1:1" x14ac:dyDescent="0.25">
      <c r="A8627"/>
    </row>
    <row r="8628" spans="1:1" x14ac:dyDescent="0.25">
      <c r="A8628"/>
    </row>
    <row r="8629" spans="1:1" x14ac:dyDescent="0.25">
      <c r="A8629"/>
    </row>
    <row r="8630" spans="1:1" x14ac:dyDescent="0.25">
      <c r="A8630"/>
    </row>
    <row r="8631" spans="1:1" x14ac:dyDescent="0.25">
      <c r="A8631"/>
    </row>
    <row r="8632" spans="1:1" x14ac:dyDescent="0.25">
      <c r="A8632"/>
    </row>
    <row r="8633" spans="1:1" x14ac:dyDescent="0.25">
      <c r="A8633"/>
    </row>
    <row r="8634" spans="1:1" x14ac:dyDescent="0.25">
      <c r="A8634"/>
    </row>
    <row r="8635" spans="1:1" x14ac:dyDescent="0.25">
      <c r="A8635"/>
    </row>
    <row r="8636" spans="1:1" x14ac:dyDescent="0.25">
      <c r="A8636"/>
    </row>
    <row r="8637" spans="1:1" x14ac:dyDescent="0.25">
      <c r="A8637"/>
    </row>
    <row r="8638" spans="1:1" x14ac:dyDescent="0.25">
      <c r="A8638"/>
    </row>
    <row r="8639" spans="1:1" x14ac:dyDescent="0.25">
      <c r="A8639"/>
    </row>
    <row r="8640" spans="1:1" x14ac:dyDescent="0.25">
      <c r="A8640"/>
    </row>
    <row r="8641" spans="1:1" x14ac:dyDescent="0.25">
      <c r="A8641"/>
    </row>
    <row r="8642" spans="1:1" x14ac:dyDescent="0.25">
      <c r="A8642"/>
    </row>
    <row r="8643" spans="1:1" x14ac:dyDescent="0.25">
      <c r="A8643"/>
    </row>
    <row r="8644" spans="1:1" x14ac:dyDescent="0.25">
      <c r="A8644"/>
    </row>
    <row r="8645" spans="1:1" x14ac:dyDescent="0.25">
      <c r="A8645"/>
    </row>
    <row r="8646" spans="1:1" x14ac:dyDescent="0.25">
      <c r="A8646"/>
    </row>
    <row r="8647" spans="1:1" x14ac:dyDescent="0.25">
      <c r="A8647"/>
    </row>
    <row r="8648" spans="1:1" x14ac:dyDescent="0.25">
      <c r="A8648"/>
    </row>
    <row r="8649" spans="1:1" x14ac:dyDescent="0.25">
      <c r="A8649"/>
    </row>
    <row r="8650" spans="1:1" x14ac:dyDescent="0.25">
      <c r="A8650"/>
    </row>
    <row r="8651" spans="1:1" x14ac:dyDescent="0.25">
      <c r="A8651"/>
    </row>
    <row r="8652" spans="1:1" x14ac:dyDescent="0.25">
      <c r="A8652"/>
    </row>
    <row r="8653" spans="1:1" x14ac:dyDescent="0.25">
      <c r="A8653"/>
    </row>
    <row r="8654" spans="1:1" x14ac:dyDescent="0.25">
      <c r="A8654"/>
    </row>
    <row r="8655" spans="1:1" x14ac:dyDescent="0.25">
      <c r="A8655"/>
    </row>
    <row r="8656" spans="1:1" x14ac:dyDescent="0.25">
      <c r="A8656"/>
    </row>
    <row r="8657" spans="1:1" x14ac:dyDescent="0.25">
      <c r="A8657"/>
    </row>
    <row r="8658" spans="1:1" x14ac:dyDescent="0.25">
      <c r="A8658"/>
    </row>
    <row r="8659" spans="1:1" x14ac:dyDescent="0.25">
      <c r="A8659"/>
    </row>
    <row r="8660" spans="1:1" x14ac:dyDescent="0.25">
      <c r="A8660"/>
    </row>
    <row r="8661" spans="1:1" x14ac:dyDescent="0.25">
      <c r="A8661"/>
    </row>
    <row r="8662" spans="1:1" x14ac:dyDescent="0.25">
      <c r="A8662"/>
    </row>
    <row r="8663" spans="1:1" x14ac:dyDescent="0.25">
      <c r="A8663"/>
    </row>
    <row r="8664" spans="1:1" x14ac:dyDescent="0.25">
      <c r="A8664"/>
    </row>
    <row r="8665" spans="1:1" x14ac:dyDescent="0.25">
      <c r="A8665"/>
    </row>
    <row r="8666" spans="1:1" x14ac:dyDescent="0.25">
      <c r="A8666"/>
    </row>
    <row r="8667" spans="1:1" x14ac:dyDescent="0.25">
      <c r="A8667"/>
    </row>
    <row r="8668" spans="1:1" x14ac:dyDescent="0.25">
      <c r="A8668"/>
    </row>
    <row r="8669" spans="1:1" x14ac:dyDescent="0.25">
      <c r="A8669"/>
    </row>
    <row r="8670" spans="1:1" x14ac:dyDescent="0.25">
      <c r="A8670"/>
    </row>
    <row r="8671" spans="1:1" x14ac:dyDescent="0.25">
      <c r="A8671"/>
    </row>
    <row r="8672" spans="1:1" x14ac:dyDescent="0.25">
      <c r="A8672"/>
    </row>
    <row r="8673" spans="1:1" x14ac:dyDescent="0.25">
      <c r="A8673"/>
    </row>
    <row r="8674" spans="1:1" x14ac:dyDescent="0.25">
      <c r="A8674"/>
    </row>
    <row r="8675" spans="1:1" x14ac:dyDescent="0.25">
      <c r="A8675"/>
    </row>
    <row r="8676" spans="1:1" x14ac:dyDescent="0.25">
      <c r="A8676"/>
    </row>
    <row r="8677" spans="1:1" x14ac:dyDescent="0.25">
      <c r="A8677"/>
    </row>
    <row r="8678" spans="1:1" x14ac:dyDescent="0.25">
      <c r="A8678"/>
    </row>
    <row r="8679" spans="1:1" x14ac:dyDescent="0.25">
      <c r="A8679"/>
    </row>
    <row r="8680" spans="1:1" x14ac:dyDescent="0.25">
      <c r="A8680"/>
    </row>
    <row r="8681" spans="1:1" x14ac:dyDescent="0.25">
      <c r="A8681"/>
    </row>
    <row r="8682" spans="1:1" x14ac:dyDescent="0.25">
      <c r="A8682"/>
    </row>
    <row r="8683" spans="1:1" x14ac:dyDescent="0.25">
      <c r="A8683"/>
    </row>
    <row r="8684" spans="1:1" x14ac:dyDescent="0.25">
      <c r="A8684"/>
    </row>
    <row r="8685" spans="1:1" x14ac:dyDescent="0.25">
      <c r="A8685"/>
    </row>
    <row r="8686" spans="1:1" x14ac:dyDescent="0.25">
      <c r="A8686"/>
    </row>
    <row r="8687" spans="1:1" x14ac:dyDescent="0.25">
      <c r="A8687"/>
    </row>
    <row r="8688" spans="1:1" x14ac:dyDescent="0.25">
      <c r="A8688"/>
    </row>
    <row r="8689" spans="1:1" x14ac:dyDescent="0.25">
      <c r="A8689"/>
    </row>
    <row r="8690" spans="1:1" x14ac:dyDescent="0.25">
      <c r="A8690"/>
    </row>
    <row r="8691" spans="1:1" x14ac:dyDescent="0.25">
      <c r="A8691"/>
    </row>
    <row r="8692" spans="1:1" x14ac:dyDescent="0.25">
      <c r="A8692"/>
    </row>
    <row r="8693" spans="1:1" x14ac:dyDescent="0.25">
      <c r="A8693"/>
    </row>
    <row r="8694" spans="1:1" x14ac:dyDescent="0.25">
      <c r="A8694"/>
    </row>
    <row r="8695" spans="1:1" x14ac:dyDescent="0.25">
      <c r="A8695"/>
    </row>
    <row r="8696" spans="1:1" x14ac:dyDescent="0.25">
      <c r="A8696"/>
    </row>
    <row r="8697" spans="1:1" x14ac:dyDescent="0.25">
      <c r="A8697"/>
    </row>
    <row r="8698" spans="1:1" x14ac:dyDescent="0.25">
      <c r="A8698"/>
    </row>
    <row r="8699" spans="1:1" x14ac:dyDescent="0.25">
      <c r="A8699"/>
    </row>
    <row r="8700" spans="1:1" x14ac:dyDescent="0.25">
      <c r="A8700"/>
    </row>
    <row r="8701" spans="1:1" x14ac:dyDescent="0.25">
      <c r="A8701"/>
    </row>
    <row r="8702" spans="1:1" x14ac:dyDescent="0.25">
      <c r="A8702"/>
    </row>
    <row r="8703" spans="1:1" x14ac:dyDescent="0.25">
      <c r="A8703"/>
    </row>
    <row r="8704" spans="1:1" x14ac:dyDescent="0.25">
      <c r="A8704"/>
    </row>
    <row r="8705" spans="1:1" x14ac:dyDescent="0.25">
      <c r="A8705"/>
    </row>
    <row r="8706" spans="1:1" x14ac:dyDescent="0.25">
      <c r="A8706"/>
    </row>
    <row r="8707" spans="1:1" x14ac:dyDescent="0.25">
      <c r="A8707"/>
    </row>
    <row r="8708" spans="1:1" x14ac:dyDescent="0.25">
      <c r="A8708"/>
    </row>
    <row r="8709" spans="1:1" x14ac:dyDescent="0.25">
      <c r="A8709"/>
    </row>
    <row r="8710" spans="1:1" x14ac:dyDescent="0.25">
      <c r="A8710"/>
    </row>
    <row r="8711" spans="1:1" x14ac:dyDescent="0.25">
      <c r="A8711"/>
    </row>
    <row r="8712" spans="1:1" x14ac:dyDescent="0.25">
      <c r="A8712"/>
    </row>
    <row r="8713" spans="1:1" x14ac:dyDescent="0.25">
      <c r="A8713"/>
    </row>
    <row r="8714" spans="1:1" x14ac:dyDescent="0.25">
      <c r="A8714"/>
    </row>
    <row r="8715" spans="1:1" x14ac:dyDescent="0.25">
      <c r="A8715"/>
    </row>
    <row r="8716" spans="1:1" x14ac:dyDescent="0.25">
      <c r="A8716"/>
    </row>
    <row r="8717" spans="1:1" x14ac:dyDescent="0.25">
      <c r="A8717"/>
    </row>
    <row r="8718" spans="1:1" x14ac:dyDescent="0.25">
      <c r="A8718"/>
    </row>
    <row r="8719" spans="1:1" x14ac:dyDescent="0.25">
      <c r="A8719"/>
    </row>
    <row r="8720" spans="1:1" x14ac:dyDescent="0.25">
      <c r="A8720"/>
    </row>
    <row r="8721" spans="1:1" x14ac:dyDescent="0.25">
      <c r="A8721"/>
    </row>
    <row r="8722" spans="1:1" x14ac:dyDescent="0.25">
      <c r="A8722"/>
    </row>
    <row r="8723" spans="1:1" x14ac:dyDescent="0.25">
      <c r="A8723"/>
    </row>
    <row r="8724" spans="1:1" x14ac:dyDescent="0.25">
      <c r="A8724"/>
    </row>
    <row r="8725" spans="1:1" x14ac:dyDescent="0.25">
      <c r="A8725"/>
    </row>
    <row r="8726" spans="1:1" x14ac:dyDescent="0.25">
      <c r="A8726"/>
    </row>
    <row r="8727" spans="1:1" x14ac:dyDescent="0.25">
      <c r="A8727"/>
    </row>
    <row r="8728" spans="1:1" x14ac:dyDescent="0.25">
      <c r="A8728"/>
    </row>
    <row r="8729" spans="1:1" x14ac:dyDescent="0.25">
      <c r="A8729"/>
    </row>
    <row r="8730" spans="1:1" x14ac:dyDescent="0.25">
      <c r="A8730"/>
    </row>
    <row r="8731" spans="1:1" x14ac:dyDescent="0.25">
      <c r="A8731"/>
    </row>
    <row r="8732" spans="1:1" x14ac:dyDescent="0.25">
      <c r="A8732"/>
    </row>
    <row r="8733" spans="1:1" x14ac:dyDescent="0.25">
      <c r="A8733"/>
    </row>
    <row r="8734" spans="1:1" x14ac:dyDescent="0.25">
      <c r="A8734"/>
    </row>
    <row r="8735" spans="1:1" x14ac:dyDescent="0.25">
      <c r="A8735"/>
    </row>
    <row r="8736" spans="1:1" x14ac:dyDescent="0.25">
      <c r="A8736"/>
    </row>
    <row r="8737" spans="1:1" x14ac:dyDescent="0.25">
      <c r="A8737"/>
    </row>
    <row r="8738" spans="1:1" x14ac:dyDescent="0.25">
      <c r="A8738"/>
    </row>
    <row r="8739" spans="1:1" x14ac:dyDescent="0.25">
      <c r="A8739"/>
    </row>
    <row r="8740" spans="1:1" x14ac:dyDescent="0.25">
      <c r="A8740"/>
    </row>
    <row r="8741" spans="1:1" x14ac:dyDescent="0.25">
      <c r="A8741"/>
    </row>
    <row r="8742" spans="1:1" x14ac:dyDescent="0.25">
      <c r="A8742"/>
    </row>
    <row r="8743" spans="1:1" x14ac:dyDescent="0.25">
      <c r="A8743"/>
    </row>
    <row r="8744" spans="1:1" x14ac:dyDescent="0.25">
      <c r="A8744"/>
    </row>
    <row r="8745" spans="1:1" x14ac:dyDescent="0.25">
      <c r="A8745"/>
    </row>
    <row r="8746" spans="1:1" x14ac:dyDescent="0.25">
      <c r="A8746"/>
    </row>
    <row r="8747" spans="1:1" x14ac:dyDescent="0.25">
      <c r="A8747"/>
    </row>
    <row r="8748" spans="1:1" x14ac:dyDescent="0.25">
      <c r="A8748"/>
    </row>
    <row r="8749" spans="1:1" x14ac:dyDescent="0.25">
      <c r="A8749"/>
    </row>
    <row r="8750" spans="1:1" x14ac:dyDescent="0.25">
      <c r="A8750"/>
    </row>
    <row r="8751" spans="1:1" x14ac:dyDescent="0.25">
      <c r="A8751"/>
    </row>
    <row r="8752" spans="1:1" x14ac:dyDescent="0.25">
      <c r="A8752"/>
    </row>
    <row r="8753" spans="1:1" x14ac:dyDescent="0.25">
      <c r="A8753"/>
    </row>
    <row r="8754" spans="1:1" x14ac:dyDescent="0.25">
      <c r="A8754"/>
    </row>
    <row r="8755" spans="1:1" x14ac:dyDescent="0.25">
      <c r="A8755"/>
    </row>
    <row r="8756" spans="1:1" x14ac:dyDescent="0.25">
      <c r="A8756"/>
    </row>
    <row r="8757" spans="1:1" x14ac:dyDescent="0.25">
      <c r="A8757"/>
    </row>
    <row r="8758" spans="1:1" x14ac:dyDescent="0.25">
      <c r="A8758"/>
    </row>
    <row r="8759" spans="1:1" x14ac:dyDescent="0.25">
      <c r="A8759"/>
    </row>
    <row r="8760" spans="1:1" x14ac:dyDescent="0.25">
      <c r="A8760"/>
    </row>
    <row r="8761" spans="1:1" x14ac:dyDescent="0.25">
      <c r="A8761"/>
    </row>
    <row r="8762" spans="1:1" x14ac:dyDescent="0.25">
      <c r="A8762"/>
    </row>
    <row r="8763" spans="1:1" x14ac:dyDescent="0.25">
      <c r="A8763"/>
    </row>
    <row r="8764" spans="1:1" x14ac:dyDescent="0.25">
      <c r="A8764"/>
    </row>
    <row r="8765" spans="1:1" x14ac:dyDescent="0.25">
      <c r="A8765"/>
    </row>
    <row r="8766" spans="1:1" x14ac:dyDescent="0.25">
      <c r="A8766"/>
    </row>
    <row r="8767" spans="1:1" x14ac:dyDescent="0.25">
      <c r="A8767"/>
    </row>
    <row r="8768" spans="1:1" x14ac:dyDescent="0.25">
      <c r="A8768"/>
    </row>
    <row r="8769" spans="1:1" x14ac:dyDescent="0.25">
      <c r="A8769"/>
    </row>
    <row r="8770" spans="1:1" x14ac:dyDescent="0.25">
      <c r="A8770"/>
    </row>
    <row r="8771" spans="1:1" x14ac:dyDescent="0.25">
      <c r="A8771"/>
    </row>
    <row r="8772" spans="1:1" x14ac:dyDescent="0.25">
      <c r="A8772"/>
    </row>
    <row r="8773" spans="1:1" x14ac:dyDescent="0.25">
      <c r="A8773"/>
    </row>
    <row r="8774" spans="1:1" x14ac:dyDescent="0.25">
      <c r="A8774"/>
    </row>
    <row r="8775" spans="1:1" x14ac:dyDescent="0.25">
      <c r="A8775"/>
    </row>
    <row r="8776" spans="1:1" x14ac:dyDescent="0.25">
      <c r="A8776"/>
    </row>
    <row r="8777" spans="1:1" x14ac:dyDescent="0.25">
      <c r="A8777"/>
    </row>
    <row r="8778" spans="1:1" x14ac:dyDescent="0.25">
      <c r="A8778"/>
    </row>
    <row r="8779" spans="1:1" x14ac:dyDescent="0.25">
      <c r="A8779"/>
    </row>
    <row r="8780" spans="1:1" x14ac:dyDescent="0.25">
      <c r="A8780"/>
    </row>
    <row r="8781" spans="1:1" x14ac:dyDescent="0.25">
      <c r="A8781"/>
    </row>
    <row r="8782" spans="1:1" x14ac:dyDescent="0.25">
      <c r="A8782"/>
    </row>
    <row r="8783" spans="1:1" x14ac:dyDescent="0.25">
      <c r="A8783"/>
    </row>
    <row r="8784" spans="1:1" x14ac:dyDescent="0.25">
      <c r="A8784"/>
    </row>
    <row r="8785" spans="1:1" x14ac:dyDescent="0.25">
      <c r="A8785"/>
    </row>
    <row r="8786" spans="1:1" x14ac:dyDescent="0.25">
      <c r="A8786"/>
    </row>
    <row r="8787" spans="1:1" x14ac:dyDescent="0.25">
      <c r="A8787"/>
    </row>
    <row r="8788" spans="1:1" x14ac:dyDescent="0.25">
      <c r="A8788"/>
    </row>
    <row r="8789" spans="1:1" x14ac:dyDescent="0.25">
      <c r="A8789"/>
    </row>
    <row r="8790" spans="1:1" x14ac:dyDescent="0.25">
      <c r="A8790"/>
    </row>
    <row r="8791" spans="1:1" x14ac:dyDescent="0.25">
      <c r="A8791"/>
    </row>
    <row r="8792" spans="1:1" x14ac:dyDescent="0.25">
      <c r="A8792"/>
    </row>
    <row r="8793" spans="1:1" x14ac:dyDescent="0.25">
      <c r="A8793"/>
    </row>
    <row r="8794" spans="1:1" x14ac:dyDescent="0.25">
      <c r="A8794"/>
    </row>
    <row r="8795" spans="1:1" x14ac:dyDescent="0.25">
      <c r="A8795"/>
    </row>
    <row r="8796" spans="1:1" x14ac:dyDescent="0.25">
      <c r="A8796"/>
    </row>
    <row r="8797" spans="1:1" x14ac:dyDescent="0.25">
      <c r="A8797"/>
    </row>
    <row r="8798" spans="1:1" x14ac:dyDescent="0.25">
      <c r="A8798"/>
    </row>
    <row r="8799" spans="1:1" x14ac:dyDescent="0.25">
      <c r="A8799"/>
    </row>
    <row r="8800" spans="1:1" x14ac:dyDescent="0.25">
      <c r="A8800"/>
    </row>
    <row r="8801" spans="1:1" x14ac:dyDescent="0.25">
      <c r="A8801"/>
    </row>
    <row r="8802" spans="1:1" x14ac:dyDescent="0.25">
      <c r="A8802"/>
    </row>
    <row r="8803" spans="1:1" x14ac:dyDescent="0.25">
      <c r="A8803"/>
    </row>
    <row r="8804" spans="1:1" x14ac:dyDescent="0.25">
      <c r="A8804"/>
    </row>
    <row r="8805" spans="1:1" x14ac:dyDescent="0.25">
      <c r="A8805"/>
    </row>
    <row r="8806" spans="1:1" x14ac:dyDescent="0.25">
      <c r="A8806"/>
    </row>
    <row r="8807" spans="1:1" x14ac:dyDescent="0.25">
      <c r="A8807"/>
    </row>
    <row r="8808" spans="1:1" x14ac:dyDescent="0.25">
      <c r="A8808"/>
    </row>
    <row r="8809" spans="1:1" x14ac:dyDescent="0.25">
      <c r="A8809"/>
    </row>
    <row r="8810" spans="1:1" x14ac:dyDescent="0.25">
      <c r="A8810"/>
    </row>
    <row r="8811" spans="1:1" x14ac:dyDescent="0.25">
      <c r="A8811"/>
    </row>
    <row r="8812" spans="1:1" x14ac:dyDescent="0.25">
      <c r="A8812"/>
    </row>
    <row r="8813" spans="1:1" x14ac:dyDescent="0.25">
      <c r="A8813"/>
    </row>
    <row r="8814" spans="1:1" x14ac:dyDescent="0.25">
      <c r="A8814"/>
    </row>
    <row r="8815" spans="1:1" x14ac:dyDescent="0.25">
      <c r="A8815"/>
    </row>
    <row r="8816" spans="1:1" x14ac:dyDescent="0.25">
      <c r="A8816"/>
    </row>
    <row r="8817" spans="1:1" x14ac:dyDescent="0.25">
      <c r="A8817"/>
    </row>
    <row r="8818" spans="1:1" x14ac:dyDescent="0.25">
      <c r="A8818"/>
    </row>
    <row r="8819" spans="1:1" x14ac:dyDescent="0.25">
      <c r="A8819"/>
    </row>
    <row r="8820" spans="1:1" x14ac:dyDescent="0.25">
      <c r="A8820"/>
    </row>
    <row r="8821" spans="1:1" x14ac:dyDescent="0.25">
      <c r="A8821"/>
    </row>
    <row r="8822" spans="1:1" x14ac:dyDescent="0.25">
      <c r="A8822"/>
    </row>
    <row r="8823" spans="1:1" x14ac:dyDescent="0.25">
      <c r="A8823"/>
    </row>
    <row r="8824" spans="1:1" x14ac:dyDescent="0.25">
      <c r="A8824"/>
    </row>
    <row r="8825" spans="1:1" x14ac:dyDescent="0.25">
      <c r="A8825"/>
    </row>
    <row r="8826" spans="1:1" x14ac:dyDescent="0.25">
      <c r="A8826"/>
    </row>
    <row r="8827" spans="1:1" x14ac:dyDescent="0.25">
      <c r="A8827"/>
    </row>
    <row r="8828" spans="1:1" x14ac:dyDescent="0.25">
      <c r="A8828"/>
    </row>
    <row r="8829" spans="1:1" x14ac:dyDescent="0.25">
      <c r="A8829"/>
    </row>
    <row r="8830" spans="1:1" x14ac:dyDescent="0.25">
      <c r="A8830"/>
    </row>
    <row r="8831" spans="1:1" x14ac:dyDescent="0.25">
      <c r="A8831"/>
    </row>
    <row r="8832" spans="1:1" x14ac:dyDescent="0.25">
      <c r="A8832"/>
    </row>
    <row r="8833" spans="1:1" x14ac:dyDescent="0.25">
      <c r="A8833"/>
    </row>
    <row r="8834" spans="1:1" x14ac:dyDescent="0.25">
      <c r="A8834"/>
    </row>
    <row r="8835" spans="1:1" x14ac:dyDescent="0.25">
      <c r="A8835"/>
    </row>
    <row r="8836" spans="1:1" x14ac:dyDescent="0.25">
      <c r="A8836"/>
    </row>
    <row r="8837" spans="1:1" x14ac:dyDescent="0.25">
      <c r="A8837"/>
    </row>
    <row r="8838" spans="1:1" x14ac:dyDescent="0.25">
      <c r="A8838"/>
    </row>
    <row r="8839" spans="1:1" x14ac:dyDescent="0.25">
      <c r="A8839"/>
    </row>
    <row r="8840" spans="1:1" x14ac:dyDescent="0.25">
      <c r="A8840"/>
    </row>
    <row r="8841" spans="1:1" x14ac:dyDescent="0.25">
      <c r="A8841"/>
    </row>
    <row r="8842" spans="1:1" x14ac:dyDescent="0.25">
      <c r="A8842"/>
    </row>
    <row r="8843" spans="1:1" x14ac:dyDescent="0.25">
      <c r="A8843"/>
    </row>
    <row r="8844" spans="1:1" x14ac:dyDescent="0.25">
      <c r="A8844"/>
    </row>
    <row r="8845" spans="1:1" x14ac:dyDescent="0.25">
      <c r="A8845"/>
    </row>
    <row r="8846" spans="1:1" x14ac:dyDescent="0.25">
      <c r="A8846"/>
    </row>
    <row r="8847" spans="1:1" x14ac:dyDescent="0.25">
      <c r="A8847"/>
    </row>
    <row r="8848" spans="1:1" x14ac:dyDescent="0.25">
      <c r="A8848"/>
    </row>
    <row r="8849" spans="1:1" x14ac:dyDescent="0.25">
      <c r="A8849"/>
    </row>
    <row r="8850" spans="1:1" x14ac:dyDescent="0.25">
      <c r="A8850"/>
    </row>
    <row r="8851" spans="1:1" x14ac:dyDescent="0.25">
      <c r="A8851"/>
    </row>
    <row r="8852" spans="1:1" x14ac:dyDescent="0.25">
      <c r="A8852"/>
    </row>
    <row r="8853" spans="1:1" x14ac:dyDescent="0.25">
      <c r="A8853"/>
    </row>
    <row r="8854" spans="1:1" x14ac:dyDescent="0.25">
      <c r="A8854"/>
    </row>
    <row r="8855" spans="1:1" x14ac:dyDescent="0.25">
      <c r="A8855"/>
    </row>
    <row r="8856" spans="1:1" x14ac:dyDescent="0.25">
      <c r="A8856"/>
    </row>
    <row r="8857" spans="1:1" x14ac:dyDescent="0.25">
      <c r="A8857"/>
    </row>
    <row r="8858" spans="1:1" x14ac:dyDescent="0.25">
      <c r="A8858"/>
    </row>
    <row r="8859" spans="1:1" x14ac:dyDescent="0.25">
      <c r="A8859"/>
    </row>
    <row r="8860" spans="1:1" x14ac:dyDescent="0.25">
      <c r="A8860"/>
    </row>
    <row r="8861" spans="1:1" x14ac:dyDescent="0.25">
      <c r="A8861"/>
    </row>
    <row r="8862" spans="1:1" x14ac:dyDescent="0.25">
      <c r="A8862"/>
    </row>
    <row r="8863" spans="1:1" x14ac:dyDescent="0.25">
      <c r="A8863"/>
    </row>
    <row r="8864" spans="1:1" x14ac:dyDescent="0.25">
      <c r="A8864"/>
    </row>
    <row r="8865" spans="1:1" x14ac:dyDescent="0.25">
      <c r="A8865"/>
    </row>
    <row r="8866" spans="1:1" x14ac:dyDescent="0.25">
      <c r="A8866"/>
    </row>
    <row r="8867" spans="1:1" x14ac:dyDescent="0.25">
      <c r="A8867"/>
    </row>
    <row r="8868" spans="1:1" x14ac:dyDescent="0.25">
      <c r="A8868"/>
    </row>
    <row r="8869" spans="1:1" x14ac:dyDescent="0.25">
      <c r="A8869"/>
    </row>
    <row r="8870" spans="1:1" x14ac:dyDescent="0.25">
      <c r="A8870"/>
    </row>
    <row r="8871" spans="1:1" x14ac:dyDescent="0.25">
      <c r="A8871"/>
    </row>
    <row r="8872" spans="1:1" x14ac:dyDescent="0.25">
      <c r="A8872"/>
    </row>
    <row r="8873" spans="1:1" x14ac:dyDescent="0.25">
      <c r="A8873"/>
    </row>
    <row r="8874" spans="1:1" x14ac:dyDescent="0.25">
      <c r="A8874"/>
    </row>
    <row r="8875" spans="1:1" x14ac:dyDescent="0.25">
      <c r="A8875"/>
    </row>
    <row r="8876" spans="1:1" x14ac:dyDescent="0.25">
      <c r="A8876"/>
    </row>
    <row r="8877" spans="1:1" x14ac:dyDescent="0.25">
      <c r="A8877"/>
    </row>
    <row r="8878" spans="1:1" x14ac:dyDescent="0.25">
      <c r="A8878"/>
    </row>
    <row r="8879" spans="1:1" x14ac:dyDescent="0.25">
      <c r="A8879"/>
    </row>
    <row r="8880" spans="1:1" x14ac:dyDescent="0.25">
      <c r="A8880"/>
    </row>
    <row r="8881" spans="1:1" x14ac:dyDescent="0.25">
      <c r="A8881"/>
    </row>
    <row r="8882" spans="1:1" x14ac:dyDescent="0.25">
      <c r="A8882"/>
    </row>
    <row r="8883" spans="1:1" x14ac:dyDescent="0.25">
      <c r="A8883"/>
    </row>
    <row r="8884" spans="1:1" x14ac:dyDescent="0.25">
      <c r="A8884"/>
    </row>
    <row r="8885" spans="1:1" x14ac:dyDescent="0.25">
      <c r="A8885"/>
    </row>
    <row r="8886" spans="1:1" x14ac:dyDescent="0.25">
      <c r="A8886"/>
    </row>
    <row r="8887" spans="1:1" x14ac:dyDescent="0.25">
      <c r="A8887"/>
    </row>
    <row r="8888" spans="1:1" x14ac:dyDescent="0.25">
      <c r="A8888"/>
    </row>
    <row r="8889" spans="1:1" x14ac:dyDescent="0.25">
      <c r="A8889"/>
    </row>
    <row r="8890" spans="1:1" x14ac:dyDescent="0.25">
      <c r="A8890"/>
    </row>
    <row r="8891" spans="1:1" x14ac:dyDescent="0.25">
      <c r="A8891"/>
    </row>
    <row r="8892" spans="1:1" x14ac:dyDescent="0.25">
      <c r="A8892"/>
    </row>
    <row r="8893" spans="1:1" x14ac:dyDescent="0.25">
      <c r="A8893"/>
    </row>
    <row r="8894" spans="1:1" x14ac:dyDescent="0.25">
      <c r="A8894"/>
    </row>
    <row r="8895" spans="1:1" x14ac:dyDescent="0.25">
      <c r="A8895"/>
    </row>
    <row r="8896" spans="1:1" x14ac:dyDescent="0.25">
      <c r="A8896"/>
    </row>
    <row r="8897" spans="1:1" x14ac:dyDescent="0.25">
      <c r="A8897"/>
    </row>
    <row r="8898" spans="1:1" x14ac:dyDescent="0.25">
      <c r="A8898"/>
    </row>
    <row r="8899" spans="1:1" x14ac:dyDescent="0.25">
      <c r="A8899"/>
    </row>
    <row r="8900" spans="1:1" x14ac:dyDescent="0.25">
      <c r="A8900"/>
    </row>
    <row r="8901" spans="1:1" x14ac:dyDescent="0.25">
      <c r="A8901"/>
    </row>
    <row r="8902" spans="1:1" x14ac:dyDescent="0.25">
      <c r="A8902"/>
    </row>
    <row r="8903" spans="1:1" x14ac:dyDescent="0.25">
      <c r="A8903"/>
    </row>
    <row r="8904" spans="1:1" x14ac:dyDescent="0.25">
      <c r="A8904"/>
    </row>
    <row r="8905" spans="1:1" x14ac:dyDescent="0.25">
      <c r="A8905"/>
    </row>
    <row r="8906" spans="1:1" x14ac:dyDescent="0.25">
      <c r="A8906"/>
    </row>
    <row r="8907" spans="1:1" x14ac:dyDescent="0.25">
      <c r="A8907"/>
    </row>
    <row r="8908" spans="1:1" x14ac:dyDescent="0.25">
      <c r="A8908"/>
    </row>
    <row r="8909" spans="1:1" x14ac:dyDescent="0.25">
      <c r="A8909"/>
    </row>
    <row r="8910" spans="1:1" x14ac:dyDescent="0.25">
      <c r="A8910"/>
    </row>
    <row r="8911" spans="1:1" x14ac:dyDescent="0.25">
      <c r="A8911"/>
    </row>
    <row r="8912" spans="1:1" x14ac:dyDescent="0.25">
      <c r="A8912"/>
    </row>
    <row r="8913" spans="1:1" x14ac:dyDescent="0.25">
      <c r="A8913"/>
    </row>
    <row r="8914" spans="1:1" x14ac:dyDescent="0.25">
      <c r="A8914"/>
    </row>
    <row r="8915" spans="1:1" x14ac:dyDescent="0.25">
      <c r="A8915"/>
    </row>
    <row r="8916" spans="1:1" x14ac:dyDescent="0.25">
      <c r="A8916"/>
    </row>
    <row r="8917" spans="1:1" x14ac:dyDescent="0.25">
      <c r="A8917"/>
    </row>
    <row r="8918" spans="1:1" x14ac:dyDescent="0.25">
      <c r="A8918"/>
    </row>
    <row r="8919" spans="1:1" x14ac:dyDescent="0.25">
      <c r="A8919"/>
    </row>
    <row r="8920" spans="1:1" x14ac:dyDescent="0.25">
      <c r="A8920"/>
    </row>
    <row r="8921" spans="1:1" x14ac:dyDescent="0.25">
      <c r="A8921"/>
    </row>
    <row r="8922" spans="1:1" x14ac:dyDescent="0.25">
      <c r="A8922"/>
    </row>
    <row r="8923" spans="1:1" x14ac:dyDescent="0.25">
      <c r="A8923"/>
    </row>
    <row r="8924" spans="1:1" x14ac:dyDescent="0.25">
      <c r="A8924"/>
    </row>
    <row r="8925" spans="1:1" x14ac:dyDescent="0.25">
      <c r="A8925"/>
    </row>
    <row r="8926" spans="1:1" x14ac:dyDescent="0.25">
      <c r="A8926"/>
    </row>
    <row r="8927" spans="1:1" x14ac:dyDescent="0.25">
      <c r="A8927"/>
    </row>
    <row r="8928" spans="1:1" x14ac:dyDescent="0.25">
      <c r="A8928"/>
    </row>
    <row r="8929" spans="1:1" x14ac:dyDescent="0.25">
      <c r="A8929"/>
    </row>
    <row r="8930" spans="1:1" x14ac:dyDescent="0.25">
      <c r="A8930"/>
    </row>
    <row r="8931" spans="1:1" x14ac:dyDescent="0.25">
      <c r="A8931"/>
    </row>
    <row r="8932" spans="1:1" x14ac:dyDescent="0.25">
      <c r="A8932"/>
    </row>
    <row r="8933" spans="1:1" x14ac:dyDescent="0.25">
      <c r="A8933"/>
    </row>
    <row r="8934" spans="1:1" x14ac:dyDescent="0.25">
      <c r="A8934"/>
    </row>
    <row r="8935" spans="1:1" x14ac:dyDescent="0.25">
      <c r="A8935"/>
    </row>
    <row r="8936" spans="1:1" x14ac:dyDescent="0.25">
      <c r="A8936"/>
    </row>
    <row r="8937" spans="1:1" x14ac:dyDescent="0.25">
      <c r="A8937"/>
    </row>
    <row r="8938" spans="1:1" x14ac:dyDescent="0.25">
      <c r="A8938"/>
    </row>
    <row r="8939" spans="1:1" x14ac:dyDescent="0.25">
      <c r="A8939"/>
    </row>
    <row r="8940" spans="1:1" x14ac:dyDescent="0.25">
      <c r="A8940"/>
    </row>
    <row r="8941" spans="1:1" x14ac:dyDescent="0.25">
      <c r="A8941"/>
    </row>
    <row r="8942" spans="1:1" x14ac:dyDescent="0.25">
      <c r="A8942"/>
    </row>
    <row r="8943" spans="1:1" x14ac:dyDescent="0.25">
      <c r="A8943"/>
    </row>
    <row r="8944" spans="1:1" x14ac:dyDescent="0.25">
      <c r="A8944"/>
    </row>
    <row r="8945" spans="1:1" x14ac:dyDescent="0.25">
      <c r="A8945"/>
    </row>
    <row r="8946" spans="1:1" x14ac:dyDescent="0.25">
      <c r="A8946"/>
    </row>
    <row r="8947" spans="1:1" x14ac:dyDescent="0.25">
      <c r="A8947"/>
    </row>
    <row r="8948" spans="1:1" x14ac:dyDescent="0.25">
      <c r="A8948"/>
    </row>
    <row r="8949" spans="1:1" x14ac:dyDescent="0.25">
      <c r="A8949"/>
    </row>
    <row r="8950" spans="1:1" x14ac:dyDescent="0.25">
      <c r="A8950"/>
    </row>
    <row r="8951" spans="1:1" x14ac:dyDescent="0.25">
      <c r="A8951"/>
    </row>
    <row r="8952" spans="1:1" x14ac:dyDescent="0.25">
      <c r="A8952"/>
    </row>
    <row r="8953" spans="1:1" x14ac:dyDescent="0.25">
      <c r="A8953"/>
    </row>
    <row r="8954" spans="1:1" x14ac:dyDescent="0.25">
      <c r="A8954"/>
    </row>
    <row r="8955" spans="1:1" x14ac:dyDescent="0.25">
      <c r="A8955"/>
    </row>
    <row r="8956" spans="1:1" x14ac:dyDescent="0.25">
      <c r="A8956"/>
    </row>
    <row r="8957" spans="1:1" x14ac:dyDescent="0.25">
      <c r="A8957"/>
    </row>
    <row r="8958" spans="1:1" x14ac:dyDescent="0.25">
      <c r="A8958"/>
    </row>
    <row r="8959" spans="1:1" x14ac:dyDescent="0.25">
      <c r="A8959"/>
    </row>
    <row r="8960" spans="1:1" x14ac:dyDescent="0.25">
      <c r="A8960"/>
    </row>
    <row r="8961" spans="1:1" x14ac:dyDescent="0.25">
      <c r="A8961"/>
    </row>
    <row r="8962" spans="1:1" x14ac:dyDescent="0.25">
      <c r="A8962"/>
    </row>
    <row r="8963" spans="1:1" x14ac:dyDescent="0.25">
      <c r="A8963"/>
    </row>
    <row r="8964" spans="1:1" x14ac:dyDescent="0.25">
      <c r="A8964"/>
    </row>
    <row r="8965" spans="1:1" x14ac:dyDescent="0.25">
      <c r="A8965"/>
    </row>
    <row r="8966" spans="1:1" x14ac:dyDescent="0.25">
      <c r="A8966"/>
    </row>
    <row r="8967" spans="1:1" x14ac:dyDescent="0.25">
      <c r="A8967"/>
    </row>
    <row r="8968" spans="1:1" x14ac:dyDescent="0.25">
      <c r="A8968"/>
    </row>
    <row r="8969" spans="1:1" x14ac:dyDescent="0.25">
      <c r="A8969"/>
    </row>
    <row r="8970" spans="1:1" x14ac:dyDescent="0.25">
      <c r="A8970"/>
    </row>
    <row r="8971" spans="1:1" x14ac:dyDescent="0.25">
      <c r="A8971"/>
    </row>
    <row r="8972" spans="1:1" x14ac:dyDescent="0.25">
      <c r="A8972"/>
    </row>
    <row r="8973" spans="1:1" x14ac:dyDescent="0.25">
      <c r="A8973"/>
    </row>
    <row r="8974" spans="1:1" x14ac:dyDescent="0.25">
      <c r="A8974"/>
    </row>
    <row r="8975" spans="1:1" x14ac:dyDescent="0.25">
      <c r="A8975"/>
    </row>
    <row r="8976" spans="1:1" x14ac:dyDescent="0.25">
      <c r="A8976"/>
    </row>
    <row r="8977" spans="1:1" x14ac:dyDescent="0.25">
      <c r="A8977"/>
    </row>
    <row r="8978" spans="1:1" x14ac:dyDescent="0.25">
      <c r="A8978"/>
    </row>
    <row r="8979" spans="1:1" x14ac:dyDescent="0.25">
      <c r="A8979"/>
    </row>
    <row r="8980" spans="1:1" x14ac:dyDescent="0.25">
      <c r="A8980"/>
    </row>
    <row r="8981" spans="1:1" x14ac:dyDescent="0.25">
      <c r="A8981"/>
    </row>
    <row r="8982" spans="1:1" x14ac:dyDescent="0.25">
      <c r="A8982"/>
    </row>
    <row r="8983" spans="1:1" x14ac:dyDescent="0.25">
      <c r="A8983"/>
    </row>
    <row r="8984" spans="1:1" x14ac:dyDescent="0.25">
      <c r="A8984"/>
    </row>
    <row r="8985" spans="1:1" x14ac:dyDescent="0.25">
      <c r="A8985"/>
    </row>
    <row r="8986" spans="1:1" x14ac:dyDescent="0.25">
      <c r="A8986"/>
    </row>
    <row r="8987" spans="1:1" x14ac:dyDescent="0.25">
      <c r="A8987"/>
    </row>
    <row r="8988" spans="1:1" x14ac:dyDescent="0.25">
      <c r="A8988"/>
    </row>
    <row r="8989" spans="1:1" x14ac:dyDescent="0.25">
      <c r="A8989"/>
    </row>
    <row r="8990" spans="1:1" x14ac:dyDescent="0.25">
      <c r="A8990"/>
    </row>
    <row r="8991" spans="1:1" x14ac:dyDescent="0.25">
      <c r="A8991"/>
    </row>
    <row r="8992" spans="1:1" x14ac:dyDescent="0.25">
      <c r="A8992"/>
    </row>
    <row r="8993" spans="1:1" x14ac:dyDescent="0.25">
      <c r="A8993"/>
    </row>
    <row r="8994" spans="1:1" x14ac:dyDescent="0.25">
      <c r="A8994"/>
    </row>
    <row r="8995" spans="1:1" x14ac:dyDescent="0.25">
      <c r="A8995"/>
    </row>
    <row r="8996" spans="1:1" x14ac:dyDescent="0.25">
      <c r="A8996"/>
    </row>
    <row r="8997" spans="1:1" x14ac:dyDescent="0.25">
      <c r="A8997"/>
    </row>
    <row r="8998" spans="1:1" x14ac:dyDescent="0.25">
      <c r="A8998"/>
    </row>
    <row r="8999" spans="1:1" x14ac:dyDescent="0.25">
      <c r="A8999"/>
    </row>
    <row r="9000" spans="1:1" x14ac:dyDescent="0.25">
      <c r="A9000"/>
    </row>
    <row r="9001" spans="1:1" x14ac:dyDescent="0.25">
      <c r="A9001"/>
    </row>
    <row r="9002" spans="1:1" x14ac:dyDescent="0.25">
      <c r="A9002"/>
    </row>
    <row r="9003" spans="1:1" x14ac:dyDescent="0.25">
      <c r="A9003"/>
    </row>
    <row r="9004" spans="1:1" x14ac:dyDescent="0.25">
      <c r="A9004"/>
    </row>
    <row r="9005" spans="1:1" x14ac:dyDescent="0.25">
      <c r="A9005"/>
    </row>
    <row r="9006" spans="1:1" x14ac:dyDescent="0.25">
      <c r="A9006"/>
    </row>
    <row r="9007" spans="1:1" x14ac:dyDescent="0.25">
      <c r="A9007"/>
    </row>
    <row r="9008" spans="1:1" x14ac:dyDescent="0.25">
      <c r="A9008"/>
    </row>
    <row r="9009" spans="1:1" x14ac:dyDescent="0.25">
      <c r="A9009"/>
    </row>
    <row r="9010" spans="1:1" x14ac:dyDescent="0.25">
      <c r="A9010"/>
    </row>
    <row r="9011" spans="1:1" x14ac:dyDescent="0.25">
      <c r="A9011"/>
    </row>
    <row r="9012" spans="1:1" x14ac:dyDescent="0.25">
      <c r="A9012"/>
    </row>
    <row r="9013" spans="1:1" x14ac:dyDescent="0.25">
      <c r="A9013"/>
    </row>
    <row r="9014" spans="1:1" x14ac:dyDescent="0.25">
      <c r="A9014"/>
    </row>
    <row r="9015" spans="1:1" x14ac:dyDescent="0.25">
      <c r="A9015"/>
    </row>
    <row r="9016" spans="1:1" x14ac:dyDescent="0.25">
      <c r="A9016"/>
    </row>
    <row r="9017" spans="1:1" x14ac:dyDescent="0.25">
      <c r="A9017"/>
    </row>
    <row r="9018" spans="1:1" x14ac:dyDescent="0.25">
      <c r="A9018"/>
    </row>
    <row r="9019" spans="1:1" x14ac:dyDescent="0.25">
      <c r="A9019"/>
    </row>
    <row r="9020" spans="1:1" x14ac:dyDescent="0.25">
      <c r="A9020"/>
    </row>
    <row r="9021" spans="1:1" x14ac:dyDescent="0.25">
      <c r="A9021"/>
    </row>
    <row r="9022" spans="1:1" x14ac:dyDescent="0.25">
      <c r="A9022"/>
    </row>
    <row r="9023" spans="1:1" x14ac:dyDescent="0.25">
      <c r="A9023"/>
    </row>
    <row r="9024" spans="1:1" x14ac:dyDescent="0.25">
      <c r="A9024"/>
    </row>
    <row r="9025" spans="1:1" x14ac:dyDescent="0.25">
      <c r="A9025"/>
    </row>
    <row r="9026" spans="1:1" x14ac:dyDescent="0.25">
      <c r="A9026"/>
    </row>
    <row r="9027" spans="1:1" x14ac:dyDescent="0.25">
      <c r="A9027"/>
    </row>
    <row r="9028" spans="1:1" x14ac:dyDescent="0.25">
      <c r="A9028"/>
    </row>
    <row r="9029" spans="1:1" x14ac:dyDescent="0.25">
      <c r="A9029"/>
    </row>
    <row r="9030" spans="1:1" x14ac:dyDescent="0.25">
      <c r="A9030"/>
    </row>
    <row r="9031" spans="1:1" x14ac:dyDescent="0.25">
      <c r="A9031"/>
    </row>
    <row r="9032" spans="1:1" x14ac:dyDescent="0.25">
      <c r="A9032"/>
    </row>
    <row r="9033" spans="1:1" x14ac:dyDescent="0.25">
      <c r="A9033"/>
    </row>
    <row r="9034" spans="1:1" x14ac:dyDescent="0.25">
      <c r="A9034"/>
    </row>
    <row r="9035" spans="1:1" x14ac:dyDescent="0.25">
      <c r="A9035"/>
    </row>
    <row r="9036" spans="1:1" x14ac:dyDescent="0.25">
      <c r="A9036"/>
    </row>
    <row r="9037" spans="1:1" x14ac:dyDescent="0.25">
      <c r="A9037"/>
    </row>
    <row r="9038" spans="1:1" x14ac:dyDescent="0.25">
      <c r="A9038"/>
    </row>
    <row r="9039" spans="1:1" x14ac:dyDescent="0.25">
      <c r="A9039"/>
    </row>
    <row r="9040" spans="1:1" x14ac:dyDescent="0.25">
      <c r="A9040"/>
    </row>
    <row r="9041" spans="1:1" x14ac:dyDescent="0.25">
      <c r="A9041"/>
    </row>
    <row r="9042" spans="1:1" x14ac:dyDescent="0.25">
      <c r="A9042"/>
    </row>
    <row r="9043" spans="1:1" x14ac:dyDescent="0.25">
      <c r="A9043"/>
    </row>
    <row r="9044" spans="1:1" x14ac:dyDescent="0.25">
      <c r="A9044"/>
    </row>
    <row r="9045" spans="1:1" x14ac:dyDescent="0.25">
      <c r="A9045"/>
    </row>
    <row r="9046" spans="1:1" x14ac:dyDescent="0.25">
      <c r="A9046"/>
    </row>
    <row r="9047" spans="1:1" x14ac:dyDescent="0.25">
      <c r="A9047"/>
    </row>
    <row r="9048" spans="1:1" x14ac:dyDescent="0.25">
      <c r="A9048"/>
    </row>
    <row r="9049" spans="1:1" x14ac:dyDescent="0.25">
      <c r="A9049"/>
    </row>
    <row r="9050" spans="1:1" x14ac:dyDescent="0.25">
      <c r="A9050"/>
    </row>
    <row r="9051" spans="1:1" x14ac:dyDescent="0.25">
      <c r="A9051"/>
    </row>
    <row r="9052" spans="1:1" x14ac:dyDescent="0.25">
      <c r="A9052"/>
    </row>
    <row r="9053" spans="1:1" x14ac:dyDescent="0.25">
      <c r="A9053"/>
    </row>
    <row r="9054" spans="1:1" x14ac:dyDescent="0.25">
      <c r="A9054"/>
    </row>
    <row r="9055" spans="1:1" x14ac:dyDescent="0.25">
      <c r="A9055"/>
    </row>
    <row r="9056" spans="1:1" x14ac:dyDescent="0.25">
      <c r="A9056"/>
    </row>
    <row r="9057" spans="1:1" x14ac:dyDescent="0.25">
      <c r="A9057"/>
    </row>
    <row r="9058" spans="1:1" x14ac:dyDescent="0.25">
      <c r="A9058"/>
    </row>
    <row r="9059" spans="1:1" x14ac:dyDescent="0.25">
      <c r="A9059"/>
    </row>
    <row r="9060" spans="1:1" x14ac:dyDescent="0.25">
      <c r="A9060"/>
    </row>
    <row r="9061" spans="1:1" x14ac:dyDescent="0.25">
      <c r="A9061"/>
    </row>
    <row r="9062" spans="1:1" x14ac:dyDescent="0.25">
      <c r="A9062"/>
    </row>
    <row r="9063" spans="1:1" x14ac:dyDescent="0.25">
      <c r="A9063"/>
    </row>
    <row r="9064" spans="1:1" x14ac:dyDescent="0.25">
      <c r="A9064"/>
    </row>
    <row r="9065" spans="1:1" x14ac:dyDescent="0.25">
      <c r="A9065"/>
    </row>
    <row r="9066" spans="1:1" x14ac:dyDescent="0.25">
      <c r="A9066"/>
    </row>
    <row r="9067" spans="1:1" x14ac:dyDescent="0.25">
      <c r="A9067"/>
    </row>
    <row r="9068" spans="1:1" x14ac:dyDescent="0.25">
      <c r="A9068"/>
    </row>
    <row r="9069" spans="1:1" x14ac:dyDescent="0.25">
      <c r="A9069"/>
    </row>
    <row r="9070" spans="1:1" x14ac:dyDescent="0.25">
      <c r="A9070"/>
    </row>
    <row r="9071" spans="1:1" x14ac:dyDescent="0.25">
      <c r="A9071"/>
    </row>
    <row r="9072" spans="1:1" x14ac:dyDescent="0.25">
      <c r="A9072"/>
    </row>
    <row r="9073" spans="1:1" x14ac:dyDescent="0.25">
      <c r="A9073"/>
    </row>
    <row r="9074" spans="1:1" x14ac:dyDescent="0.25">
      <c r="A9074"/>
    </row>
    <row r="9075" spans="1:1" x14ac:dyDescent="0.25">
      <c r="A9075"/>
    </row>
    <row r="9076" spans="1:1" x14ac:dyDescent="0.25">
      <c r="A9076"/>
    </row>
    <row r="9077" spans="1:1" x14ac:dyDescent="0.25">
      <c r="A9077"/>
    </row>
    <row r="9078" spans="1:1" x14ac:dyDescent="0.25">
      <c r="A9078"/>
    </row>
    <row r="9079" spans="1:1" x14ac:dyDescent="0.25">
      <c r="A9079"/>
    </row>
    <row r="9080" spans="1:1" x14ac:dyDescent="0.25">
      <c r="A9080"/>
    </row>
    <row r="9081" spans="1:1" x14ac:dyDescent="0.25">
      <c r="A9081"/>
    </row>
    <row r="9082" spans="1:1" x14ac:dyDescent="0.25">
      <c r="A9082"/>
    </row>
    <row r="9083" spans="1:1" x14ac:dyDescent="0.25">
      <c r="A9083"/>
    </row>
    <row r="9084" spans="1:1" x14ac:dyDescent="0.25">
      <c r="A9084"/>
    </row>
    <row r="9085" spans="1:1" x14ac:dyDescent="0.25">
      <c r="A9085"/>
    </row>
    <row r="9086" spans="1:1" x14ac:dyDescent="0.25">
      <c r="A9086"/>
    </row>
    <row r="9087" spans="1:1" x14ac:dyDescent="0.25">
      <c r="A9087"/>
    </row>
    <row r="9088" spans="1:1" x14ac:dyDescent="0.25">
      <c r="A9088"/>
    </row>
    <row r="9089" spans="1:1" x14ac:dyDescent="0.25">
      <c r="A9089"/>
    </row>
    <row r="9090" spans="1:1" x14ac:dyDescent="0.25">
      <c r="A9090"/>
    </row>
    <row r="9091" spans="1:1" x14ac:dyDescent="0.25">
      <c r="A9091"/>
    </row>
    <row r="9092" spans="1:1" x14ac:dyDescent="0.25">
      <c r="A9092"/>
    </row>
    <row r="9093" spans="1:1" x14ac:dyDescent="0.25">
      <c r="A9093"/>
    </row>
    <row r="9094" spans="1:1" x14ac:dyDescent="0.25">
      <c r="A9094"/>
    </row>
    <row r="9095" spans="1:1" x14ac:dyDescent="0.25">
      <c r="A9095"/>
    </row>
    <row r="9096" spans="1:1" x14ac:dyDescent="0.25">
      <c r="A9096"/>
    </row>
    <row r="9097" spans="1:1" x14ac:dyDescent="0.25">
      <c r="A9097"/>
    </row>
    <row r="9098" spans="1:1" x14ac:dyDescent="0.25">
      <c r="A9098"/>
    </row>
    <row r="9099" spans="1:1" x14ac:dyDescent="0.25">
      <c r="A9099"/>
    </row>
    <row r="9100" spans="1:1" x14ac:dyDescent="0.25">
      <c r="A9100"/>
    </row>
    <row r="9101" spans="1:1" x14ac:dyDescent="0.25">
      <c r="A9101"/>
    </row>
    <row r="9102" spans="1:1" x14ac:dyDescent="0.25">
      <c r="A9102"/>
    </row>
    <row r="9103" spans="1:1" x14ac:dyDescent="0.25">
      <c r="A9103"/>
    </row>
    <row r="9104" spans="1:1" x14ac:dyDescent="0.25">
      <c r="A9104"/>
    </row>
    <row r="9105" spans="1:1" x14ac:dyDescent="0.25">
      <c r="A9105"/>
    </row>
    <row r="9106" spans="1:1" x14ac:dyDescent="0.25">
      <c r="A9106"/>
    </row>
    <row r="9107" spans="1:1" x14ac:dyDescent="0.25">
      <c r="A9107"/>
    </row>
    <row r="9108" spans="1:1" x14ac:dyDescent="0.25">
      <c r="A9108"/>
    </row>
    <row r="9109" spans="1:1" x14ac:dyDescent="0.25">
      <c r="A9109"/>
    </row>
    <row r="9110" spans="1:1" x14ac:dyDescent="0.25">
      <c r="A9110"/>
    </row>
    <row r="9111" spans="1:1" x14ac:dyDescent="0.25">
      <c r="A9111"/>
    </row>
    <row r="9112" spans="1:1" x14ac:dyDescent="0.25">
      <c r="A9112"/>
    </row>
    <row r="9113" spans="1:1" x14ac:dyDescent="0.25">
      <c r="A9113"/>
    </row>
    <row r="9114" spans="1:1" x14ac:dyDescent="0.25">
      <c r="A9114"/>
    </row>
    <row r="9115" spans="1:1" x14ac:dyDescent="0.25">
      <c r="A9115"/>
    </row>
    <row r="9116" spans="1:1" x14ac:dyDescent="0.25">
      <c r="A9116"/>
    </row>
    <row r="9117" spans="1:1" x14ac:dyDescent="0.25">
      <c r="A9117"/>
    </row>
    <row r="9118" spans="1:1" x14ac:dyDescent="0.25">
      <c r="A9118"/>
    </row>
    <row r="9119" spans="1:1" x14ac:dyDescent="0.25">
      <c r="A9119"/>
    </row>
    <row r="9120" spans="1:1" x14ac:dyDescent="0.25">
      <c r="A9120"/>
    </row>
    <row r="9121" spans="1:1" x14ac:dyDescent="0.25">
      <c r="A9121"/>
    </row>
    <row r="9122" spans="1:1" x14ac:dyDescent="0.25">
      <c r="A9122"/>
    </row>
    <row r="9123" spans="1:1" x14ac:dyDescent="0.25">
      <c r="A9123"/>
    </row>
    <row r="9124" spans="1:1" x14ac:dyDescent="0.25">
      <c r="A9124"/>
    </row>
    <row r="9125" spans="1:1" x14ac:dyDescent="0.25">
      <c r="A9125"/>
    </row>
    <row r="9126" spans="1:1" x14ac:dyDescent="0.25">
      <c r="A9126"/>
    </row>
    <row r="9127" spans="1:1" x14ac:dyDescent="0.25">
      <c r="A9127"/>
    </row>
    <row r="9128" spans="1:1" x14ac:dyDescent="0.25">
      <c r="A9128"/>
    </row>
    <row r="9129" spans="1:1" x14ac:dyDescent="0.25">
      <c r="A9129"/>
    </row>
    <row r="9130" spans="1:1" x14ac:dyDescent="0.25">
      <c r="A9130"/>
    </row>
    <row r="9131" spans="1:1" x14ac:dyDescent="0.25">
      <c r="A9131"/>
    </row>
    <row r="9132" spans="1:1" x14ac:dyDescent="0.25">
      <c r="A9132"/>
    </row>
    <row r="9133" spans="1:1" x14ac:dyDescent="0.25">
      <c r="A9133"/>
    </row>
    <row r="9134" spans="1:1" x14ac:dyDescent="0.25">
      <c r="A9134"/>
    </row>
    <row r="9135" spans="1:1" x14ac:dyDescent="0.25">
      <c r="A9135"/>
    </row>
    <row r="9136" spans="1:1" x14ac:dyDescent="0.25">
      <c r="A9136"/>
    </row>
    <row r="9137" spans="1:1" x14ac:dyDescent="0.25">
      <c r="A9137"/>
    </row>
    <row r="9138" spans="1:1" x14ac:dyDescent="0.25">
      <c r="A9138"/>
    </row>
    <row r="9139" spans="1:1" x14ac:dyDescent="0.25">
      <c r="A9139"/>
    </row>
    <row r="9140" spans="1:1" x14ac:dyDescent="0.25">
      <c r="A9140"/>
    </row>
    <row r="9141" spans="1:1" x14ac:dyDescent="0.25">
      <c r="A9141"/>
    </row>
    <row r="9142" spans="1:1" x14ac:dyDescent="0.25">
      <c r="A9142"/>
    </row>
    <row r="9143" spans="1:1" x14ac:dyDescent="0.25">
      <c r="A9143"/>
    </row>
    <row r="9144" spans="1:1" x14ac:dyDescent="0.25">
      <c r="A9144"/>
    </row>
    <row r="9145" spans="1:1" x14ac:dyDescent="0.25">
      <c r="A9145"/>
    </row>
    <row r="9146" spans="1:1" x14ac:dyDescent="0.25">
      <c r="A9146"/>
    </row>
    <row r="9147" spans="1:1" x14ac:dyDescent="0.25">
      <c r="A9147"/>
    </row>
    <row r="9148" spans="1:1" x14ac:dyDescent="0.25">
      <c r="A9148"/>
    </row>
    <row r="9149" spans="1:1" x14ac:dyDescent="0.25">
      <c r="A9149"/>
    </row>
    <row r="9150" spans="1:1" x14ac:dyDescent="0.25">
      <c r="A9150"/>
    </row>
    <row r="9151" spans="1:1" x14ac:dyDescent="0.25">
      <c r="A9151"/>
    </row>
    <row r="9152" spans="1:1" x14ac:dyDescent="0.25">
      <c r="A9152"/>
    </row>
    <row r="9153" spans="1:1" x14ac:dyDescent="0.25">
      <c r="A9153"/>
    </row>
    <row r="9154" spans="1:1" x14ac:dyDescent="0.25">
      <c r="A9154"/>
    </row>
    <row r="9155" spans="1:1" x14ac:dyDescent="0.25">
      <c r="A9155"/>
    </row>
    <row r="9156" spans="1:1" x14ac:dyDescent="0.25">
      <c r="A9156"/>
    </row>
    <row r="9157" spans="1:1" x14ac:dyDescent="0.25">
      <c r="A9157"/>
    </row>
    <row r="9158" spans="1:1" x14ac:dyDescent="0.25">
      <c r="A9158"/>
    </row>
    <row r="9159" spans="1:1" x14ac:dyDescent="0.25">
      <c r="A9159"/>
    </row>
    <row r="9160" spans="1:1" x14ac:dyDescent="0.25">
      <c r="A9160"/>
    </row>
    <row r="9161" spans="1:1" x14ac:dyDescent="0.25">
      <c r="A9161"/>
    </row>
    <row r="9162" spans="1:1" x14ac:dyDescent="0.25">
      <c r="A9162"/>
    </row>
    <row r="9163" spans="1:1" x14ac:dyDescent="0.25">
      <c r="A9163"/>
    </row>
    <row r="9164" spans="1:1" x14ac:dyDescent="0.25">
      <c r="A9164"/>
    </row>
    <row r="9165" spans="1:1" x14ac:dyDescent="0.25">
      <c r="A9165"/>
    </row>
    <row r="9166" spans="1:1" x14ac:dyDescent="0.25">
      <c r="A9166"/>
    </row>
    <row r="9167" spans="1:1" x14ac:dyDescent="0.25">
      <c r="A9167"/>
    </row>
    <row r="9168" spans="1:1" x14ac:dyDescent="0.25">
      <c r="A9168"/>
    </row>
    <row r="9169" spans="1:1" x14ac:dyDescent="0.25">
      <c r="A9169"/>
    </row>
    <row r="9170" spans="1:1" x14ac:dyDescent="0.25">
      <c r="A9170"/>
    </row>
    <row r="9171" spans="1:1" x14ac:dyDescent="0.25">
      <c r="A9171"/>
    </row>
    <row r="9172" spans="1:1" x14ac:dyDescent="0.25">
      <c r="A9172"/>
    </row>
    <row r="9173" spans="1:1" x14ac:dyDescent="0.25">
      <c r="A9173"/>
    </row>
    <row r="9174" spans="1:1" x14ac:dyDescent="0.25">
      <c r="A9174"/>
    </row>
    <row r="9175" spans="1:1" x14ac:dyDescent="0.25">
      <c r="A9175"/>
    </row>
    <row r="9176" spans="1:1" x14ac:dyDescent="0.25">
      <c r="A9176"/>
    </row>
    <row r="9177" spans="1:1" x14ac:dyDescent="0.25">
      <c r="A9177"/>
    </row>
    <row r="9178" spans="1:1" x14ac:dyDescent="0.25">
      <c r="A9178"/>
    </row>
    <row r="9179" spans="1:1" x14ac:dyDescent="0.25">
      <c r="A9179"/>
    </row>
    <row r="9180" spans="1:1" x14ac:dyDescent="0.25">
      <c r="A9180"/>
    </row>
    <row r="9181" spans="1:1" x14ac:dyDescent="0.25">
      <c r="A9181"/>
    </row>
    <row r="9182" spans="1:1" x14ac:dyDescent="0.25">
      <c r="A9182"/>
    </row>
    <row r="9183" spans="1:1" x14ac:dyDescent="0.25">
      <c r="A9183"/>
    </row>
    <row r="9184" spans="1:1" x14ac:dyDescent="0.25">
      <c r="A9184"/>
    </row>
    <row r="9185" spans="1:1" x14ac:dyDescent="0.25">
      <c r="A9185"/>
    </row>
    <row r="9186" spans="1:1" x14ac:dyDescent="0.25">
      <c r="A9186"/>
    </row>
    <row r="9187" spans="1:1" x14ac:dyDescent="0.25">
      <c r="A9187"/>
    </row>
    <row r="9188" spans="1:1" x14ac:dyDescent="0.25">
      <c r="A9188"/>
    </row>
    <row r="9189" spans="1:1" x14ac:dyDescent="0.25">
      <c r="A9189"/>
    </row>
    <row r="9190" spans="1:1" x14ac:dyDescent="0.25">
      <c r="A9190"/>
    </row>
    <row r="9191" spans="1:1" x14ac:dyDescent="0.25">
      <c r="A9191"/>
    </row>
    <row r="9192" spans="1:1" x14ac:dyDescent="0.25">
      <c r="A9192"/>
    </row>
    <row r="9193" spans="1:1" x14ac:dyDescent="0.25">
      <c r="A9193"/>
    </row>
    <row r="9194" spans="1:1" x14ac:dyDescent="0.25">
      <c r="A9194"/>
    </row>
    <row r="9195" spans="1:1" x14ac:dyDescent="0.25">
      <c r="A9195"/>
    </row>
    <row r="9196" spans="1:1" x14ac:dyDescent="0.25">
      <c r="A9196"/>
    </row>
    <row r="9197" spans="1:1" x14ac:dyDescent="0.25">
      <c r="A9197"/>
    </row>
    <row r="9198" spans="1:1" x14ac:dyDescent="0.25">
      <c r="A9198"/>
    </row>
    <row r="9199" spans="1:1" x14ac:dyDescent="0.25">
      <c r="A9199"/>
    </row>
    <row r="9200" spans="1:1" x14ac:dyDescent="0.25">
      <c r="A9200"/>
    </row>
    <row r="9201" spans="1:1" x14ac:dyDescent="0.25">
      <c r="A9201"/>
    </row>
    <row r="9202" spans="1:1" x14ac:dyDescent="0.25">
      <c r="A9202"/>
    </row>
    <row r="9203" spans="1:1" x14ac:dyDescent="0.25">
      <c r="A9203"/>
    </row>
    <row r="9204" spans="1:1" x14ac:dyDescent="0.25">
      <c r="A9204"/>
    </row>
    <row r="9205" spans="1:1" x14ac:dyDescent="0.25">
      <c r="A9205"/>
    </row>
    <row r="9206" spans="1:1" x14ac:dyDescent="0.25">
      <c r="A9206"/>
    </row>
    <row r="9207" spans="1:1" x14ac:dyDescent="0.25">
      <c r="A9207"/>
    </row>
    <row r="9208" spans="1:1" x14ac:dyDescent="0.25">
      <c r="A9208"/>
    </row>
    <row r="9209" spans="1:1" x14ac:dyDescent="0.25">
      <c r="A9209"/>
    </row>
    <row r="9210" spans="1:1" x14ac:dyDescent="0.25">
      <c r="A9210"/>
    </row>
    <row r="9211" spans="1:1" x14ac:dyDescent="0.25">
      <c r="A9211"/>
    </row>
    <row r="9212" spans="1:1" x14ac:dyDescent="0.25">
      <c r="A9212"/>
    </row>
    <row r="9213" spans="1:1" x14ac:dyDescent="0.25">
      <c r="A9213"/>
    </row>
    <row r="9214" spans="1:1" x14ac:dyDescent="0.25">
      <c r="A9214"/>
    </row>
    <row r="9215" spans="1:1" x14ac:dyDescent="0.25">
      <c r="A9215"/>
    </row>
    <row r="9216" spans="1:1" x14ac:dyDescent="0.25">
      <c r="A9216"/>
    </row>
    <row r="9217" spans="1:1" x14ac:dyDescent="0.25">
      <c r="A9217"/>
    </row>
    <row r="9218" spans="1:1" x14ac:dyDescent="0.25">
      <c r="A9218"/>
    </row>
    <row r="9219" spans="1:1" x14ac:dyDescent="0.25">
      <c r="A9219"/>
    </row>
    <row r="9220" spans="1:1" x14ac:dyDescent="0.25">
      <c r="A9220"/>
    </row>
    <row r="9221" spans="1:1" x14ac:dyDescent="0.25">
      <c r="A9221"/>
    </row>
    <row r="9222" spans="1:1" x14ac:dyDescent="0.25">
      <c r="A9222"/>
    </row>
    <row r="9223" spans="1:1" x14ac:dyDescent="0.25">
      <c r="A9223"/>
    </row>
    <row r="9224" spans="1:1" x14ac:dyDescent="0.25">
      <c r="A9224"/>
    </row>
    <row r="9225" spans="1:1" x14ac:dyDescent="0.25">
      <c r="A9225"/>
    </row>
    <row r="9226" spans="1:1" x14ac:dyDescent="0.25">
      <c r="A9226"/>
    </row>
    <row r="9227" spans="1:1" x14ac:dyDescent="0.25">
      <c r="A9227"/>
    </row>
    <row r="9228" spans="1:1" x14ac:dyDescent="0.25">
      <c r="A9228"/>
    </row>
    <row r="9229" spans="1:1" x14ac:dyDescent="0.25">
      <c r="A9229"/>
    </row>
    <row r="9230" spans="1:1" x14ac:dyDescent="0.25">
      <c r="A9230"/>
    </row>
    <row r="9231" spans="1:1" x14ac:dyDescent="0.25">
      <c r="A9231"/>
    </row>
    <row r="9232" spans="1:1" x14ac:dyDescent="0.25">
      <c r="A9232"/>
    </row>
    <row r="9233" spans="1:1" x14ac:dyDescent="0.25">
      <c r="A9233"/>
    </row>
    <row r="9234" spans="1:1" x14ac:dyDescent="0.25">
      <c r="A9234"/>
    </row>
    <row r="9235" spans="1:1" x14ac:dyDescent="0.25">
      <c r="A9235"/>
    </row>
    <row r="9236" spans="1:1" x14ac:dyDescent="0.25">
      <c r="A9236"/>
    </row>
    <row r="9237" spans="1:1" x14ac:dyDescent="0.25">
      <c r="A9237"/>
    </row>
    <row r="9238" spans="1:1" x14ac:dyDescent="0.25">
      <c r="A9238"/>
    </row>
    <row r="9239" spans="1:1" x14ac:dyDescent="0.25">
      <c r="A9239"/>
    </row>
    <row r="9240" spans="1:1" x14ac:dyDescent="0.25">
      <c r="A9240"/>
    </row>
    <row r="9241" spans="1:1" x14ac:dyDescent="0.25">
      <c r="A9241"/>
    </row>
    <row r="9242" spans="1:1" x14ac:dyDescent="0.25">
      <c r="A9242"/>
    </row>
    <row r="9243" spans="1:1" x14ac:dyDescent="0.25">
      <c r="A9243"/>
    </row>
    <row r="9244" spans="1:1" x14ac:dyDescent="0.25">
      <c r="A9244"/>
    </row>
    <row r="9245" spans="1:1" x14ac:dyDescent="0.25">
      <c r="A9245"/>
    </row>
    <row r="9246" spans="1:1" x14ac:dyDescent="0.25">
      <c r="A9246"/>
    </row>
    <row r="9247" spans="1:1" x14ac:dyDescent="0.25">
      <c r="A9247"/>
    </row>
    <row r="9248" spans="1:1" x14ac:dyDescent="0.25">
      <c r="A9248"/>
    </row>
    <row r="9249" spans="1:1" x14ac:dyDescent="0.25">
      <c r="A9249"/>
    </row>
    <row r="9250" spans="1:1" x14ac:dyDescent="0.25">
      <c r="A9250"/>
    </row>
    <row r="9251" spans="1:1" x14ac:dyDescent="0.25">
      <c r="A9251"/>
    </row>
    <row r="9252" spans="1:1" x14ac:dyDescent="0.25">
      <c r="A9252"/>
    </row>
    <row r="9253" spans="1:1" x14ac:dyDescent="0.25">
      <c r="A9253"/>
    </row>
    <row r="9254" spans="1:1" x14ac:dyDescent="0.25">
      <c r="A9254"/>
    </row>
    <row r="9255" spans="1:1" x14ac:dyDescent="0.25">
      <c r="A9255"/>
    </row>
    <row r="9256" spans="1:1" x14ac:dyDescent="0.25">
      <c r="A9256"/>
    </row>
    <row r="9257" spans="1:1" x14ac:dyDescent="0.25">
      <c r="A9257"/>
    </row>
    <row r="9258" spans="1:1" x14ac:dyDescent="0.25">
      <c r="A9258"/>
    </row>
    <row r="9259" spans="1:1" x14ac:dyDescent="0.25">
      <c r="A9259"/>
    </row>
    <row r="9260" spans="1:1" x14ac:dyDescent="0.25">
      <c r="A9260"/>
    </row>
    <row r="9261" spans="1:1" x14ac:dyDescent="0.25">
      <c r="A9261"/>
    </row>
    <row r="9262" spans="1:1" x14ac:dyDescent="0.25">
      <c r="A9262"/>
    </row>
    <row r="9263" spans="1:1" x14ac:dyDescent="0.25">
      <c r="A9263"/>
    </row>
    <row r="9264" spans="1:1" x14ac:dyDescent="0.25">
      <c r="A9264"/>
    </row>
    <row r="9265" spans="1:1" x14ac:dyDescent="0.25">
      <c r="A9265"/>
    </row>
    <row r="9266" spans="1:1" x14ac:dyDescent="0.25">
      <c r="A9266"/>
    </row>
    <row r="9267" spans="1:1" x14ac:dyDescent="0.25">
      <c r="A9267"/>
    </row>
    <row r="9268" spans="1:1" x14ac:dyDescent="0.25">
      <c r="A9268"/>
    </row>
    <row r="9269" spans="1:1" x14ac:dyDescent="0.25">
      <c r="A9269"/>
    </row>
    <row r="9270" spans="1:1" x14ac:dyDescent="0.25">
      <c r="A9270"/>
    </row>
    <row r="9271" spans="1:1" x14ac:dyDescent="0.25">
      <c r="A9271"/>
    </row>
    <row r="9272" spans="1:1" x14ac:dyDescent="0.25">
      <c r="A9272"/>
    </row>
    <row r="9273" spans="1:1" x14ac:dyDescent="0.25">
      <c r="A9273"/>
    </row>
    <row r="9274" spans="1:1" x14ac:dyDescent="0.25">
      <c r="A9274"/>
    </row>
    <row r="9275" spans="1:1" x14ac:dyDescent="0.25">
      <c r="A9275"/>
    </row>
    <row r="9276" spans="1:1" x14ac:dyDescent="0.25">
      <c r="A9276"/>
    </row>
    <row r="9277" spans="1:1" x14ac:dyDescent="0.25">
      <c r="A9277"/>
    </row>
    <row r="9278" spans="1:1" x14ac:dyDescent="0.25">
      <c r="A9278"/>
    </row>
    <row r="9279" spans="1:1" x14ac:dyDescent="0.25">
      <c r="A9279"/>
    </row>
    <row r="9280" spans="1:1" x14ac:dyDescent="0.25">
      <c r="A9280"/>
    </row>
    <row r="9281" spans="1:1" x14ac:dyDescent="0.25">
      <c r="A9281"/>
    </row>
    <row r="9282" spans="1:1" x14ac:dyDescent="0.25">
      <c r="A9282"/>
    </row>
    <row r="9283" spans="1:1" x14ac:dyDescent="0.25">
      <c r="A9283"/>
    </row>
    <row r="9284" spans="1:1" x14ac:dyDescent="0.25">
      <c r="A9284"/>
    </row>
    <row r="9285" spans="1:1" x14ac:dyDescent="0.25">
      <c r="A9285"/>
    </row>
    <row r="9286" spans="1:1" x14ac:dyDescent="0.25">
      <c r="A9286"/>
    </row>
    <row r="9287" spans="1:1" x14ac:dyDescent="0.25">
      <c r="A9287"/>
    </row>
    <row r="9288" spans="1:1" x14ac:dyDescent="0.25">
      <c r="A9288"/>
    </row>
    <row r="9289" spans="1:1" x14ac:dyDescent="0.25">
      <c r="A9289"/>
    </row>
    <row r="9290" spans="1:1" x14ac:dyDescent="0.25">
      <c r="A9290"/>
    </row>
    <row r="9291" spans="1:1" x14ac:dyDescent="0.25">
      <c r="A9291"/>
    </row>
    <row r="9292" spans="1:1" x14ac:dyDescent="0.25">
      <c r="A9292"/>
    </row>
    <row r="9293" spans="1:1" x14ac:dyDescent="0.25">
      <c r="A9293"/>
    </row>
    <row r="9294" spans="1:1" x14ac:dyDescent="0.25">
      <c r="A9294"/>
    </row>
    <row r="9295" spans="1:1" x14ac:dyDescent="0.25">
      <c r="A9295"/>
    </row>
    <row r="9296" spans="1:1" x14ac:dyDescent="0.25">
      <c r="A9296"/>
    </row>
    <row r="9297" spans="1:1" x14ac:dyDescent="0.25">
      <c r="A9297"/>
    </row>
    <row r="9298" spans="1:1" x14ac:dyDescent="0.25">
      <c r="A9298"/>
    </row>
    <row r="9299" spans="1:1" x14ac:dyDescent="0.25">
      <c r="A9299"/>
    </row>
    <row r="9300" spans="1:1" x14ac:dyDescent="0.25">
      <c r="A9300"/>
    </row>
    <row r="9301" spans="1:1" x14ac:dyDescent="0.25">
      <c r="A9301"/>
    </row>
    <row r="9302" spans="1:1" x14ac:dyDescent="0.25">
      <c r="A9302"/>
    </row>
    <row r="9303" spans="1:1" x14ac:dyDescent="0.25">
      <c r="A9303"/>
    </row>
    <row r="9304" spans="1:1" x14ac:dyDescent="0.25">
      <c r="A9304"/>
    </row>
    <row r="9305" spans="1:1" x14ac:dyDescent="0.25">
      <c r="A9305"/>
    </row>
    <row r="9306" spans="1:1" x14ac:dyDescent="0.25">
      <c r="A9306"/>
    </row>
    <row r="9307" spans="1:1" x14ac:dyDescent="0.25">
      <c r="A9307"/>
    </row>
    <row r="9308" spans="1:1" x14ac:dyDescent="0.25">
      <c r="A9308"/>
    </row>
    <row r="9309" spans="1:1" x14ac:dyDescent="0.25">
      <c r="A9309"/>
    </row>
    <row r="9310" spans="1:1" x14ac:dyDescent="0.25">
      <c r="A9310"/>
    </row>
    <row r="9311" spans="1:1" x14ac:dyDescent="0.25">
      <c r="A9311"/>
    </row>
    <row r="9312" spans="1:1" x14ac:dyDescent="0.25">
      <c r="A9312"/>
    </row>
    <row r="9313" spans="1:1" x14ac:dyDescent="0.25">
      <c r="A9313"/>
    </row>
    <row r="9314" spans="1:1" x14ac:dyDescent="0.25">
      <c r="A9314"/>
    </row>
    <row r="9315" spans="1:1" x14ac:dyDescent="0.25">
      <c r="A9315"/>
    </row>
    <row r="9316" spans="1:1" x14ac:dyDescent="0.25">
      <c r="A9316"/>
    </row>
    <row r="9317" spans="1:1" x14ac:dyDescent="0.25">
      <c r="A9317"/>
    </row>
    <row r="9318" spans="1:1" x14ac:dyDescent="0.25">
      <c r="A9318"/>
    </row>
    <row r="9319" spans="1:1" x14ac:dyDescent="0.25">
      <c r="A9319"/>
    </row>
    <row r="9320" spans="1:1" x14ac:dyDescent="0.25">
      <c r="A9320"/>
    </row>
    <row r="9321" spans="1:1" x14ac:dyDescent="0.25">
      <c r="A9321"/>
    </row>
    <row r="9322" spans="1:1" x14ac:dyDescent="0.25">
      <c r="A9322"/>
    </row>
    <row r="9323" spans="1:1" x14ac:dyDescent="0.25">
      <c r="A9323"/>
    </row>
    <row r="9324" spans="1:1" x14ac:dyDescent="0.25">
      <c r="A9324"/>
    </row>
    <row r="9325" spans="1:1" x14ac:dyDescent="0.25">
      <c r="A9325"/>
    </row>
    <row r="9326" spans="1:1" x14ac:dyDescent="0.25">
      <c r="A9326"/>
    </row>
    <row r="9327" spans="1:1" x14ac:dyDescent="0.25">
      <c r="A9327"/>
    </row>
    <row r="9328" spans="1:1" x14ac:dyDescent="0.25">
      <c r="A9328"/>
    </row>
    <row r="9329" spans="1:1" x14ac:dyDescent="0.25">
      <c r="A9329"/>
    </row>
    <row r="9330" spans="1:1" x14ac:dyDescent="0.25">
      <c r="A9330"/>
    </row>
    <row r="9331" spans="1:1" x14ac:dyDescent="0.25">
      <c r="A9331"/>
    </row>
    <row r="9332" spans="1:1" x14ac:dyDescent="0.25">
      <c r="A9332"/>
    </row>
    <row r="9333" spans="1:1" x14ac:dyDescent="0.25">
      <c r="A9333"/>
    </row>
    <row r="9334" spans="1:1" x14ac:dyDescent="0.25">
      <c r="A9334"/>
    </row>
    <row r="9335" spans="1:1" x14ac:dyDescent="0.25">
      <c r="A9335"/>
    </row>
    <row r="9336" spans="1:1" x14ac:dyDescent="0.25">
      <c r="A9336"/>
    </row>
    <row r="9337" spans="1:1" x14ac:dyDescent="0.25">
      <c r="A9337"/>
    </row>
    <row r="9338" spans="1:1" x14ac:dyDescent="0.25">
      <c r="A9338"/>
    </row>
    <row r="9339" spans="1:1" x14ac:dyDescent="0.25">
      <c r="A9339"/>
    </row>
    <row r="9340" spans="1:1" x14ac:dyDescent="0.25">
      <c r="A9340"/>
    </row>
    <row r="9341" spans="1:1" x14ac:dyDescent="0.25">
      <c r="A9341"/>
    </row>
    <row r="9342" spans="1:1" x14ac:dyDescent="0.25">
      <c r="A9342"/>
    </row>
    <row r="9343" spans="1:1" x14ac:dyDescent="0.25">
      <c r="A9343"/>
    </row>
    <row r="9344" spans="1:1" x14ac:dyDescent="0.25">
      <c r="A9344"/>
    </row>
    <row r="9345" spans="1:1" x14ac:dyDescent="0.25">
      <c r="A9345"/>
    </row>
    <row r="9346" spans="1:1" x14ac:dyDescent="0.25">
      <c r="A9346"/>
    </row>
    <row r="9347" spans="1:1" x14ac:dyDescent="0.25">
      <c r="A9347"/>
    </row>
    <row r="9348" spans="1:1" x14ac:dyDescent="0.25">
      <c r="A9348"/>
    </row>
    <row r="9349" spans="1:1" x14ac:dyDescent="0.25">
      <c r="A9349"/>
    </row>
    <row r="9350" spans="1:1" x14ac:dyDescent="0.25">
      <c r="A9350"/>
    </row>
    <row r="9351" spans="1:1" x14ac:dyDescent="0.25">
      <c r="A9351"/>
    </row>
    <row r="9352" spans="1:1" x14ac:dyDescent="0.25">
      <c r="A9352"/>
    </row>
    <row r="9353" spans="1:1" x14ac:dyDescent="0.25">
      <c r="A9353"/>
    </row>
    <row r="9354" spans="1:1" x14ac:dyDescent="0.25">
      <c r="A9354"/>
    </row>
    <row r="9355" spans="1:1" x14ac:dyDescent="0.25">
      <c r="A9355"/>
    </row>
    <row r="9356" spans="1:1" x14ac:dyDescent="0.25">
      <c r="A9356"/>
    </row>
    <row r="9357" spans="1:1" x14ac:dyDescent="0.25">
      <c r="A9357"/>
    </row>
    <row r="9358" spans="1:1" x14ac:dyDescent="0.25">
      <c r="A9358"/>
    </row>
    <row r="9359" spans="1:1" x14ac:dyDescent="0.25">
      <c r="A9359"/>
    </row>
    <row r="9360" spans="1:1" x14ac:dyDescent="0.25">
      <c r="A9360"/>
    </row>
    <row r="9361" spans="1:1" x14ac:dyDescent="0.25">
      <c r="A9361"/>
    </row>
    <row r="9362" spans="1:1" x14ac:dyDescent="0.25">
      <c r="A9362"/>
    </row>
    <row r="9363" spans="1:1" x14ac:dyDescent="0.25">
      <c r="A9363"/>
    </row>
    <row r="9364" spans="1:1" x14ac:dyDescent="0.25">
      <c r="A9364"/>
    </row>
    <row r="9365" spans="1:1" x14ac:dyDescent="0.25">
      <c r="A9365"/>
    </row>
    <row r="9366" spans="1:1" x14ac:dyDescent="0.25">
      <c r="A9366"/>
    </row>
    <row r="9367" spans="1:1" x14ac:dyDescent="0.25">
      <c r="A9367"/>
    </row>
    <row r="9368" spans="1:1" x14ac:dyDescent="0.25">
      <c r="A9368"/>
    </row>
    <row r="9369" spans="1:1" x14ac:dyDescent="0.25">
      <c r="A9369"/>
    </row>
    <row r="9370" spans="1:1" x14ac:dyDescent="0.25">
      <c r="A9370"/>
    </row>
    <row r="9371" spans="1:1" x14ac:dyDescent="0.25">
      <c r="A9371"/>
    </row>
    <row r="9372" spans="1:1" x14ac:dyDescent="0.25">
      <c r="A9372"/>
    </row>
    <row r="9373" spans="1:1" x14ac:dyDescent="0.25">
      <c r="A9373"/>
    </row>
    <row r="9374" spans="1:1" x14ac:dyDescent="0.25">
      <c r="A9374"/>
    </row>
    <row r="9375" spans="1:1" x14ac:dyDescent="0.25">
      <c r="A9375"/>
    </row>
    <row r="9376" spans="1:1" x14ac:dyDescent="0.25">
      <c r="A9376"/>
    </row>
    <row r="9377" spans="1:1" x14ac:dyDescent="0.25">
      <c r="A9377"/>
    </row>
    <row r="9378" spans="1:1" x14ac:dyDescent="0.25">
      <c r="A9378"/>
    </row>
    <row r="9379" spans="1:1" x14ac:dyDescent="0.25">
      <c r="A9379"/>
    </row>
    <row r="9380" spans="1:1" x14ac:dyDescent="0.25">
      <c r="A9380"/>
    </row>
    <row r="9381" spans="1:1" x14ac:dyDescent="0.25">
      <c r="A9381"/>
    </row>
    <row r="9382" spans="1:1" x14ac:dyDescent="0.25">
      <c r="A9382"/>
    </row>
    <row r="9383" spans="1:1" x14ac:dyDescent="0.25">
      <c r="A9383"/>
    </row>
    <row r="9384" spans="1:1" x14ac:dyDescent="0.25">
      <c r="A9384"/>
    </row>
    <row r="9385" spans="1:1" x14ac:dyDescent="0.25">
      <c r="A9385"/>
    </row>
    <row r="9386" spans="1:1" x14ac:dyDescent="0.25">
      <c r="A9386"/>
    </row>
    <row r="9387" spans="1:1" x14ac:dyDescent="0.25">
      <c r="A9387"/>
    </row>
    <row r="9388" spans="1:1" x14ac:dyDescent="0.25">
      <c r="A9388"/>
    </row>
    <row r="9389" spans="1:1" x14ac:dyDescent="0.25">
      <c r="A9389"/>
    </row>
    <row r="9390" spans="1:1" x14ac:dyDescent="0.25">
      <c r="A9390"/>
    </row>
    <row r="9391" spans="1:1" x14ac:dyDescent="0.25">
      <c r="A9391"/>
    </row>
    <row r="9392" spans="1:1" x14ac:dyDescent="0.25">
      <c r="A9392"/>
    </row>
    <row r="9393" spans="1:1" x14ac:dyDescent="0.25">
      <c r="A9393"/>
    </row>
    <row r="9394" spans="1:1" x14ac:dyDescent="0.25">
      <c r="A9394"/>
    </row>
    <row r="9395" spans="1:1" x14ac:dyDescent="0.25">
      <c r="A9395"/>
    </row>
    <row r="9396" spans="1:1" x14ac:dyDescent="0.25">
      <c r="A9396"/>
    </row>
    <row r="9397" spans="1:1" x14ac:dyDescent="0.25">
      <c r="A9397"/>
    </row>
    <row r="9398" spans="1:1" x14ac:dyDescent="0.25">
      <c r="A9398"/>
    </row>
    <row r="9399" spans="1:1" x14ac:dyDescent="0.25">
      <c r="A9399"/>
    </row>
    <row r="9400" spans="1:1" x14ac:dyDescent="0.25">
      <c r="A9400"/>
    </row>
    <row r="9401" spans="1:1" x14ac:dyDescent="0.25">
      <c r="A9401"/>
    </row>
    <row r="9402" spans="1:1" x14ac:dyDescent="0.25">
      <c r="A9402"/>
    </row>
    <row r="9403" spans="1:1" x14ac:dyDescent="0.25">
      <c r="A9403"/>
    </row>
    <row r="9404" spans="1:1" x14ac:dyDescent="0.25">
      <c r="A9404"/>
    </row>
    <row r="9405" spans="1:1" x14ac:dyDescent="0.25">
      <c r="A9405"/>
    </row>
    <row r="9406" spans="1:1" x14ac:dyDescent="0.25">
      <c r="A9406"/>
    </row>
    <row r="9407" spans="1:1" x14ac:dyDescent="0.25">
      <c r="A9407"/>
    </row>
    <row r="9408" spans="1:1" x14ac:dyDescent="0.25">
      <c r="A9408"/>
    </row>
    <row r="9409" spans="1:1" x14ac:dyDescent="0.25">
      <c r="A9409"/>
    </row>
    <row r="9410" spans="1:1" x14ac:dyDescent="0.25">
      <c r="A9410"/>
    </row>
    <row r="9411" spans="1:1" x14ac:dyDescent="0.25">
      <c r="A9411"/>
    </row>
    <row r="9412" spans="1:1" x14ac:dyDescent="0.25">
      <c r="A9412"/>
    </row>
    <row r="9413" spans="1:1" x14ac:dyDescent="0.25">
      <c r="A9413"/>
    </row>
    <row r="9414" spans="1:1" x14ac:dyDescent="0.25">
      <c r="A9414"/>
    </row>
    <row r="9415" spans="1:1" x14ac:dyDescent="0.25">
      <c r="A9415"/>
    </row>
    <row r="9416" spans="1:1" x14ac:dyDescent="0.25">
      <c r="A9416"/>
    </row>
    <row r="9417" spans="1:1" x14ac:dyDescent="0.25">
      <c r="A9417"/>
    </row>
    <row r="9418" spans="1:1" x14ac:dyDescent="0.25">
      <c r="A9418"/>
    </row>
    <row r="9419" spans="1:1" x14ac:dyDescent="0.25">
      <c r="A9419"/>
    </row>
    <row r="9420" spans="1:1" x14ac:dyDescent="0.25">
      <c r="A9420"/>
    </row>
    <row r="9421" spans="1:1" x14ac:dyDescent="0.25">
      <c r="A9421"/>
    </row>
    <row r="9422" spans="1:1" x14ac:dyDescent="0.25">
      <c r="A9422"/>
    </row>
    <row r="9423" spans="1:1" x14ac:dyDescent="0.25">
      <c r="A9423"/>
    </row>
    <row r="9424" spans="1:1" x14ac:dyDescent="0.25">
      <c r="A9424"/>
    </row>
    <row r="9425" spans="1:1" x14ac:dyDescent="0.25">
      <c r="A9425"/>
    </row>
    <row r="9426" spans="1:1" x14ac:dyDescent="0.25">
      <c r="A9426"/>
    </row>
    <row r="9427" spans="1:1" x14ac:dyDescent="0.25">
      <c r="A9427"/>
    </row>
    <row r="9428" spans="1:1" x14ac:dyDescent="0.25">
      <c r="A9428"/>
    </row>
    <row r="9429" spans="1:1" x14ac:dyDescent="0.25">
      <c r="A9429"/>
    </row>
    <row r="9430" spans="1:1" x14ac:dyDescent="0.25">
      <c r="A9430"/>
    </row>
    <row r="9431" spans="1:1" x14ac:dyDescent="0.25">
      <c r="A9431"/>
    </row>
    <row r="9432" spans="1:1" x14ac:dyDescent="0.25">
      <c r="A9432"/>
    </row>
    <row r="9433" spans="1:1" x14ac:dyDescent="0.25">
      <c r="A9433"/>
    </row>
    <row r="9434" spans="1:1" x14ac:dyDescent="0.25">
      <c r="A9434"/>
    </row>
    <row r="9435" spans="1:1" x14ac:dyDescent="0.25">
      <c r="A9435"/>
    </row>
    <row r="9436" spans="1:1" x14ac:dyDescent="0.25">
      <c r="A9436"/>
    </row>
    <row r="9437" spans="1:1" x14ac:dyDescent="0.25">
      <c r="A9437"/>
    </row>
    <row r="9438" spans="1:1" x14ac:dyDescent="0.25">
      <c r="A9438"/>
    </row>
    <row r="9439" spans="1:1" x14ac:dyDescent="0.25">
      <c r="A9439"/>
    </row>
    <row r="9440" spans="1:1" x14ac:dyDescent="0.25">
      <c r="A9440"/>
    </row>
    <row r="9441" spans="1:1" x14ac:dyDescent="0.25">
      <c r="A9441"/>
    </row>
    <row r="9442" spans="1:1" x14ac:dyDescent="0.25">
      <c r="A9442"/>
    </row>
    <row r="9443" spans="1:1" x14ac:dyDescent="0.25">
      <c r="A9443"/>
    </row>
    <row r="9444" spans="1:1" x14ac:dyDescent="0.25">
      <c r="A9444"/>
    </row>
    <row r="9445" spans="1:1" x14ac:dyDescent="0.25">
      <c r="A9445"/>
    </row>
    <row r="9446" spans="1:1" x14ac:dyDescent="0.25">
      <c r="A9446"/>
    </row>
    <row r="9447" spans="1:1" x14ac:dyDescent="0.25">
      <c r="A9447"/>
    </row>
    <row r="9448" spans="1:1" x14ac:dyDescent="0.25">
      <c r="A9448"/>
    </row>
    <row r="9449" spans="1:1" x14ac:dyDescent="0.25">
      <c r="A9449"/>
    </row>
    <row r="9450" spans="1:1" x14ac:dyDescent="0.25">
      <c r="A9450"/>
    </row>
    <row r="9451" spans="1:1" x14ac:dyDescent="0.25">
      <c r="A9451"/>
    </row>
    <row r="9452" spans="1:1" x14ac:dyDescent="0.25">
      <c r="A9452"/>
    </row>
    <row r="9453" spans="1:1" x14ac:dyDescent="0.25">
      <c r="A9453"/>
    </row>
    <row r="9454" spans="1:1" x14ac:dyDescent="0.25">
      <c r="A9454"/>
    </row>
    <row r="9455" spans="1:1" x14ac:dyDescent="0.25">
      <c r="A9455"/>
    </row>
    <row r="9456" spans="1:1" x14ac:dyDescent="0.25">
      <c r="A9456"/>
    </row>
    <row r="9457" spans="1:1" x14ac:dyDescent="0.25">
      <c r="A9457"/>
    </row>
    <row r="9458" spans="1:1" x14ac:dyDescent="0.25">
      <c r="A9458"/>
    </row>
    <row r="9459" spans="1:1" x14ac:dyDescent="0.25">
      <c r="A9459"/>
    </row>
    <row r="9460" spans="1:1" x14ac:dyDescent="0.25">
      <c r="A9460"/>
    </row>
    <row r="9461" spans="1:1" x14ac:dyDescent="0.25">
      <c r="A9461"/>
    </row>
    <row r="9462" spans="1:1" x14ac:dyDescent="0.25">
      <c r="A9462"/>
    </row>
    <row r="9463" spans="1:1" x14ac:dyDescent="0.25">
      <c r="A9463"/>
    </row>
    <row r="9464" spans="1:1" x14ac:dyDescent="0.25">
      <c r="A9464"/>
    </row>
    <row r="9465" spans="1:1" x14ac:dyDescent="0.25">
      <c r="A9465"/>
    </row>
    <row r="9466" spans="1:1" x14ac:dyDescent="0.25">
      <c r="A9466"/>
    </row>
    <row r="9467" spans="1:1" x14ac:dyDescent="0.25">
      <c r="A9467"/>
    </row>
    <row r="9468" spans="1:1" x14ac:dyDescent="0.25">
      <c r="A9468"/>
    </row>
    <row r="9469" spans="1:1" x14ac:dyDescent="0.25">
      <c r="A9469"/>
    </row>
    <row r="9470" spans="1:1" x14ac:dyDescent="0.25">
      <c r="A9470"/>
    </row>
    <row r="9471" spans="1:1" x14ac:dyDescent="0.25">
      <c r="A9471"/>
    </row>
    <row r="9472" spans="1:1" x14ac:dyDescent="0.25">
      <c r="A9472"/>
    </row>
    <row r="9473" spans="1:1" x14ac:dyDescent="0.25">
      <c r="A9473"/>
    </row>
    <row r="9474" spans="1:1" x14ac:dyDescent="0.25">
      <c r="A9474"/>
    </row>
    <row r="9475" spans="1:1" x14ac:dyDescent="0.25">
      <c r="A9475"/>
    </row>
    <row r="9476" spans="1:1" x14ac:dyDescent="0.25">
      <c r="A9476"/>
    </row>
    <row r="9477" spans="1:1" x14ac:dyDescent="0.25">
      <c r="A9477"/>
    </row>
    <row r="9478" spans="1:1" x14ac:dyDescent="0.25">
      <c r="A9478"/>
    </row>
    <row r="9479" spans="1:1" x14ac:dyDescent="0.25">
      <c r="A9479"/>
    </row>
    <row r="9480" spans="1:1" x14ac:dyDescent="0.25">
      <c r="A9480"/>
    </row>
    <row r="9481" spans="1:1" x14ac:dyDescent="0.25">
      <c r="A9481"/>
    </row>
    <row r="9482" spans="1:1" x14ac:dyDescent="0.25">
      <c r="A9482"/>
    </row>
    <row r="9483" spans="1:1" x14ac:dyDescent="0.25">
      <c r="A9483"/>
    </row>
    <row r="9484" spans="1:1" x14ac:dyDescent="0.25">
      <c r="A9484"/>
    </row>
    <row r="9485" spans="1:1" x14ac:dyDescent="0.25">
      <c r="A9485"/>
    </row>
    <row r="9486" spans="1:1" x14ac:dyDescent="0.25">
      <c r="A9486"/>
    </row>
    <row r="9487" spans="1:1" x14ac:dyDescent="0.25">
      <c r="A9487"/>
    </row>
    <row r="9488" spans="1:1" x14ac:dyDescent="0.25">
      <c r="A9488"/>
    </row>
    <row r="9489" spans="1:1" x14ac:dyDescent="0.25">
      <c r="A9489"/>
    </row>
    <row r="9490" spans="1:1" x14ac:dyDescent="0.25">
      <c r="A9490"/>
    </row>
    <row r="9491" spans="1:1" x14ac:dyDescent="0.25">
      <c r="A9491"/>
    </row>
    <row r="9492" spans="1:1" x14ac:dyDescent="0.25">
      <c r="A9492"/>
    </row>
    <row r="9493" spans="1:1" x14ac:dyDescent="0.25">
      <c r="A9493"/>
    </row>
    <row r="9494" spans="1:1" x14ac:dyDescent="0.25">
      <c r="A9494"/>
    </row>
    <row r="9495" spans="1:1" x14ac:dyDescent="0.25">
      <c r="A9495"/>
    </row>
    <row r="9496" spans="1:1" x14ac:dyDescent="0.25">
      <c r="A9496"/>
    </row>
    <row r="9497" spans="1:1" x14ac:dyDescent="0.25">
      <c r="A9497"/>
    </row>
    <row r="9498" spans="1:1" x14ac:dyDescent="0.25">
      <c r="A9498"/>
    </row>
    <row r="9499" spans="1:1" x14ac:dyDescent="0.25">
      <c r="A9499"/>
    </row>
    <row r="9500" spans="1:1" x14ac:dyDescent="0.25">
      <c r="A9500"/>
    </row>
    <row r="9501" spans="1:1" x14ac:dyDescent="0.25">
      <c r="A9501"/>
    </row>
    <row r="9502" spans="1:1" x14ac:dyDescent="0.25">
      <c r="A9502"/>
    </row>
    <row r="9503" spans="1:1" x14ac:dyDescent="0.25">
      <c r="A9503"/>
    </row>
    <row r="9504" spans="1:1" x14ac:dyDescent="0.25">
      <c r="A9504"/>
    </row>
    <row r="9505" spans="1:1" x14ac:dyDescent="0.25">
      <c r="A9505"/>
    </row>
    <row r="9506" spans="1:1" x14ac:dyDescent="0.25">
      <c r="A9506"/>
    </row>
    <row r="9507" spans="1:1" x14ac:dyDescent="0.25">
      <c r="A9507"/>
    </row>
    <row r="9508" spans="1:1" x14ac:dyDescent="0.25">
      <c r="A9508"/>
    </row>
    <row r="9509" spans="1:1" x14ac:dyDescent="0.25">
      <c r="A9509"/>
    </row>
    <row r="9510" spans="1:1" x14ac:dyDescent="0.25">
      <c r="A9510"/>
    </row>
    <row r="9511" spans="1:1" x14ac:dyDescent="0.25">
      <c r="A9511"/>
    </row>
    <row r="9512" spans="1:1" x14ac:dyDescent="0.25">
      <c r="A9512"/>
    </row>
    <row r="9513" spans="1:1" x14ac:dyDescent="0.25">
      <c r="A9513"/>
    </row>
    <row r="9514" spans="1:1" x14ac:dyDescent="0.25">
      <c r="A9514"/>
    </row>
    <row r="9515" spans="1:1" x14ac:dyDescent="0.25">
      <c r="A9515"/>
    </row>
    <row r="9516" spans="1:1" x14ac:dyDescent="0.25">
      <c r="A9516"/>
    </row>
    <row r="9517" spans="1:1" x14ac:dyDescent="0.25">
      <c r="A9517"/>
    </row>
    <row r="9518" spans="1:1" x14ac:dyDescent="0.25">
      <c r="A9518"/>
    </row>
    <row r="9519" spans="1:1" x14ac:dyDescent="0.25">
      <c r="A9519"/>
    </row>
    <row r="9520" spans="1:1" x14ac:dyDescent="0.25">
      <c r="A9520"/>
    </row>
    <row r="9521" spans="1:1" x14ac:dyDescent="0.25">
      <c r="A9521"/>
    </row>
    <row r="9522" spans="1:1" x14ac:dyDescent="0.25">
      <c r="A9522"/>
    </row>
    <row r="9523" spans="1:1" x14ac:dyDescent="0.25">
      <c r="A9523"/>
    </row>
    <row r="9524" spans="1:1" x14ac:dyDescent="0.25">
      <c r="A9524"/>
    </row>
    <row r="9525" spans="1:1" x14ac:dyDescent="0.25">
      <c r="A9525"/>
    </row>
    <row r="9526" spans="1:1" x14ac:dyDescent="0.25">
      <c r="A9526"/>
    </row>
    <row r="9527" spans="1:1" x14ac:dyDescent="0.25">
      <c r="A9527"/>
    </row>
    <row r="9528" spans="1:1" x14ac:dyDescent="0.25">
      <c r="A9528"/>
    </row>
    <row r="9529" spans="1:1" x14ac:dyDescent="0.25">
      <c r="A9529"/>
    </row>
    <row r="9530" spans="1:1" x14ac:dyDescent="0.25">
      <c r="A9530"/>
    </row>
    <row r="9531" spans="1:1" x14ac:dyDescent="0.25">
      <c r="A9531"/>
    </row>
    <row r="9532" spans="1:1" x14ac:dyDescent="0.25">
      <c r="A9532"/>
    </row>
    <row r="9533" spans="1:1" x14ac:dyDescent="0.25">
      <c r="A9533"/>
    </row>
    <row r="9534" spans="1:1" x14ac:dyDescent="0.25">
      <c r="A9534"/>
    </row>
    <row r="9535" spans="1:1" x14ac:dyDescent="0.25">
      <c r="A9535"/>
    </row>
    <row r="9536" spans="1:1" x14ac:dyDescent="0.25">
      <c r="A9536"/>
    </row>
    <row r="9537" spans="1:1" x14ac:dyDescent="0.25">
      <c r="A9537"/>
    </row>
    <row r="9538" spans="1:1" x14ac:dyDescent="0.25">
      <c r="A9538"/>
    </row>
    <row r="9539" spans="1:1" x14ac:dyDescent="0.25">
      <c r="A9539"/>
    </row>
    <row r="9540" spans="1:1" x14ac:dyDescent="0.25">
      <c r="A9540"/>
    </row>
    <row r="9541" spans="1:1" x14ac:dyDescent="0.25">
      <c r="A9541"/>
    </row>
    <row r="9542" spans="1:1" x14ac:dyDescent="0.25">
      <c r="A9542"/>
    </row>
    <row r="9543" spans="1:1" x14ac:dyDescent="0.25">
      <c r="A9543"/>
    </row>
    <row r="9544" spans="1:1" x14ac:dyDescent="0.25">
      <c r="A9544"/>
    </row>
    <row r="9545" spans="1:1" x14ac:dyDescent="0.25">
      <c r="A9545"/>
    </row>
    <row r="9546" spans="1:1" x14ac:dyDescent="0.25">
      <c r="A9546"/>
    </row>
    <row r="9547" spans="1:1" x14ac:dyDescent="0.25">
      <c r="A9547"/>
    </row>
    <row r="9548" spans="1:1" x14ac:dyDescent="0.25">
      <c r="A9548"/>
    </row>
    <row r="9549" spans="1:1" x14ac:dyDescent="0.25">
      <c r="A9549"/>
    </row>
    <row r="9550" spans="1:1" x14ac:dyDescent="0.25">
      <c r="A9550"/>
    </row>
    <row r="9551" spans="1:1" x14ac:dyDescent="0.25">
      <c r="A9551"/>
    </row>
    <row r="9552" spans="1:1" x14ac:dyDescent="0.25">
      <c r="A9552"/>
    </row>
    <row r="9553" spans="1:1" x14ac:dyDescent="0.25">
      <c r="A9553"/>
    </row>
    <row r="9554" spans="1:1" x14ac:dyDescent="0.25">
      <c r="A9554"/>
    </row>
    <row r="9555" spans="1:1" x14ac:dyDescent="0.25">
      <c r="A9555"/>
    </row>
    <row r="9556" spans="1:1" x14ac:dyDescent="0.25">
      <c r="A9556"/>
    </row>
    <row r="9557" spans="1:1" x14ac:dyDescent="0.25">
      <c r="A9557"/>
    </row>
    <row r="9558" spans="1:1" x14ac:dyDescent="0.25">
      <c r="A9558"/>
    </row>
    <row r="9559" spans="1:1" x14ac:dyDescent="0.25">
      <c r="A9559"/>
    </row>
    <row r="9560" spans="1:1" x14ac:dyDescent="0.25">
      <c r="A9560"/>
    </row>
    <row r="9561" spans="1:1" x14ac:dyDescent="0.25">
      <c r="A9561"/>
    </row>
    <row r="9562" spans="1:1" x14ac:dyDescent="0.25">
      <c r="A9562"/>
    </row>
    <row r="9563" spans="1:1" x14ac:dyDescent="0.25">
      <c r="A9563"/>
    </row>
    <row r="9564" spans="1:1" x14ac:dyDescent="0.25">
      <c r="A9564"/>
    </row>
    <row r="9565" spans="1:1" x14ac:dyDescent="0.25">
      <c r="A9565"/>
    </row>
    <row r="9566" spans="1:1" x14ac:dyDescent="0.25">
      <c r="A9566"/>
    </row>
    <row r="9567" spans="1:1" x14ac:dyDescent="0.25">
      <c r="A9567"/>
    </row>
    <row r="9568" spans="1:1" x14ac:dyDescent="0.25">
      <c r="A9568"/>
    </row>
    <row r="9569" spans="1:1" x14ac:dyDescent="0.25">
      <c r="A9569"/>
    </row>
    <row r="9570" spans="1:1" x14ac:dyDescent="0.25">
      <c r="A9570"/>
    </row>
    <row r="9571" spans="1:1" x14ac:dyDescent="0.25">
      <c r="A9571"/>
    </row>
    <row r="9572" spans="1:1" x14ac:dyDescent="0.25">
      <c r="A9572"/>
    </row>
    <row r="9573" spans="1:1" x14ac:dyDescent="0.25">
      <c r="A9573"/>
    </row>
    <row r="9574" spans="1:1" x14ac:dyDescent="0.25">
      <c r="A9574"/>
    </row>
    <row r="9575" spans="1:1" x14ac:dyDescent="0.25">
      <c r="A9575"/>
    </row>
    <row r="9576" spans="1:1" x14ac:dyDescent="0.25">
      <c r="A9576"/>
    </row>
    <row r="9577" spans="1:1" x14ac:dyDescent="0.25">
      <c r="A9577"/>
    </row>
    <row r="9578" spans="1:1" x14ac:dyDescent="0.25">
      <c r="A9578"/>
    </row>
    <row r="9579" spans="1:1" x14ac:dyDescent="0.25">
      <c r="A9579"/>
    </row>
    <row r="9580" spans="1:1" x14ac:dyDescent="0.25">
      <c r="A9580"/>
    </row>
    <row r="9581" spans="1:1" x14ac:dyDescent="0.25">
      <c r="A9581"/>
    </row>
    <row r="9582" spans="1:1" x14ac:dyDescent="0.25">
      <c r="A9582"/>
    </row>
    <row r="9583" spans="1:1" x14ac:dyDescent="0.25">
      <c r="A9583"/>
    </row>
    <row r="9584" spans="1:1" x14ac:dyDescent="0.25">
      <c r="A9584"/>
    </row>
    <row r="9585" spans="1:1" x14ac:dyDescent="0.25">
      <c r="A9585"/>
    </row>
    <row r="9586" spans="1:1" x14ac:dyDescent="0.25">
      <c r="A9586"/>
    </row>
    <row r="9587" spans="1:1" x14ac:dyDescent="0.25">
      <c r="A9587"/>
    </row>
    <row r="9588" spans="1:1" x14ac:dyDescent="0.25">
      <c r="A9588"/>
    </row>
    <row r="9589" spans="1:1" x14ac:dyDescent="0.25">
      <c r="A9589"/>
    </row>
    <row r="9590" spans="1:1" x14ac:dyDescent="0.25">
      <c r="A9590"/>
    </row>
    <row r="9591" spans="1:1" x14ac:dyDescent="0.25">
      <c r="A9591"/>
    </row>
    <row r="9592" spans="1:1" x14ac:dyDescent="0.25">
      <c r="A9592"/>
    </row>
    <row r="9593" spans="1:1" x14ac:dyDescent="0.25">
      <c r="A9593"/>
    </row>
    <row r="9594" spans="1:1" x14ac:dyDescent="0.25">
      <c r="A9594"/>
    </row>
    <row r="9595" spans="1:1" x14ac:dyDescent="0.25">
      <c r="A9595"/>
    </row>
    <row r="9596" spans="1:1" x14ac:dyDescent="0.25">
      <c r="A9596"/>
    </row>
    <row r="9597" spans="1:1" x14ac:dyDescent="0.25">
      <c r="A9597"/>
    </row>
    <row r="9598" spans="1:1" x14ac:dyDescent="0.25">
      <c r="A9598"/>
    </row>
    <row r="9599" spans="1:1" x14ac:dyDescent="0.25">
      <c r="A9599"/>
    </row>
    <row r="9600" spans="1:1" x14ac:dyDescent="0.25">
      <c r="A9600"/>
    </row>
    <row r="9601" spans="1:1" x14ac:dyDescent="0.25">
      <c r="A9601"/>
    </row>
    <row r="9602" spans="1:1" x14ac:dyDescent="0.25">
      <c r="A9602"/>
    </row>
    <row r="9603" spans="1:1" x14ac:dyDescent="0.25">
      <c r="A9603"/>
    </row>
    <row r="9604" spans="1:1" x14ac:dyDescent="0.25">
      <c r="A9604"/>
    </row>
    <row r="9605" spans="1:1" x14ac:dyDescent="0.25">
      <c r="A9605"/>
    </row>
    <row r="9606" spans="1:1" x14ac:dyDescent="0.25">
      <c r="A9606"/>
    </row>
    <row r="9607" spans="1:1" x14ac:dyDescent="0.25">
      <c r="A9607"/>
    </row>
    <row r="9608" spans="1:1" x14ac:dyDescent="0.25">
      <c r="A9608"/>
    </row>
    <row r="9609" spans="1:1" x14ac:dyDescent="0.25">
      <c r="A9609"/>
    </row>
    <row r="9610" spans="1:1" x14ac:dyDescent="0.25">
      <c r="A9610"/>
    </row>
    <row r="9611" spans="1:1" x14ac:dyDescent="0.25">
      <c r="A9611"/>
    </row>
    <row r="9612" spans="1:1" x14ac:dyDescent="0.25">
      <c r="A9612"/>
    </row>
    <row r="9613" spans="1:1" x14ac:dyDescent="0.25">
      <c r="A9613"/>
    </row>
    <row r="9614" spans="1:1" x14ac:dyDescent="0.25">
      <c r="A9614"/>
    </row>
    <row r="9615" spans="1:1" x14ac:dyDescent="0.25">
      <c r="A9615"/>
    </row>
    <row r="9616" spans="1:1" x14ac:dyDescent="0.25">
      <c r="A9616"/>
    </row>
    <row r="9617" spans="1:1" x14ac:dyDescent="0.25">
      <c r="A9617"/>
    </row>
    <row r="9618" spans="1:1" x14ac:dyDescent="0.25">
      <c r="A9618"/>
    </row>
    <row r="9619" spans="1:1" x14ac:dyDescent="0.25">
      <c r="A9619"/>
    </row>
    <row r="9620" spans="1:1" x14ac:dyDescent="0.25">
      <c r="A9620"/>
    </row>
    <row r="9621" spans="1:1" x14ac:dyDescent="0.25">
      <c r="A9621"/>
    </row>
    <row r="9622" spans="1:1" x14ac:dyDescent="0.25">
      <c r="A9622"/>
    </row>
    <row r="9623" spans="1:1" x14ac:dyDescent="0.25">
      <c r="A9623"/>
    </row>
    <row r="9624" spans="1:1" x14ac:dyDescent="0.25">
      <c r="A9624"/>
    </row>
    <row r="9625" spans="1:1" x14ac:dyDescent="0.25">
      <c r="A9625"/>
    </row>
    <row r="9626" spans="1:1" x14ac:dyDescent="0.25">
      <c r="A9626"/>
    </row>
    <row r="9627" spans="1:1" x14ac:dyDescent="0.25">
      <c r="A9627"/>
    </row>
    <row r="9628" spans="1:1" x14ac:dyDescent="0.25">
      <c r="A9628"/>
    </row>
    <row r="9629" spans="1:1" x14ac:dyDescent="0.25">
      <c r="A9629"/>
    </row>
    <row r="9630" spans="1:1" x14ac:dyDescent="0.25">
      <c r="A9630"/>
    </row>
    <row r="9631" spans="1:1" x14ac:dyDescent="0.25">
      <c r="A9631"/>
    </row>
    <row r="9632" spans="1:1" x14ac:dyDescent="0.25">
      <c r="A9632"/>
    </row>
    <row r="9633" spans="1:1" x14ac:dyDescent="0.25">
      <c r="A9633"/>
    </row>
    <row r="9634" spans="1:1" x14ac:dyDescent="0.25">
      <c r="A9634"/>
    </row>
    <row r="9635" spans="1:1" x14ac:dyDescent="0.25">
      <c r="A9635"/>
    </row>
    <row r="9636" spans="1:1" x14ac:dyDescent="0.25">
      <c r="A9636"/>
    </row>
    <row r="9637" spans="1:1" x14ac:dyDescent="0.25">
      <c r="A9637"/>
    </row>
    <row r="9638" spans="1:1" x14ac:dyDescent="0.25">
      <c r="A9638"/>
    </row>
    <row r="9639" spans="1:1" x14ac:dyDescent="0.25">
      <c r="A9639"/>
    </row>
    <row r="9640" spans="1:1" x14ac:dyDescent="0.25">
      <c r="A9640"/>
    </row>
    <row r="9641" spans="1:1" x14ac:dyDescent="0.25">
      <c r="A9641"/>
    </row>
    <row r="9642" spans="1:1" x14ac:dyDescent="0.25">
      <c r="A9642"/>
    </row>
    <row r="9643" spans="1:1" x14ac:dyDescent="0.25">
      <c r="A9643"/>
    </row>
    <row r="9644" spans="1:1" x14ac:dyDescent="0.25">
      <c r="A9644"/>
    </row>
    <row r="9645" spans="1:1" x14ac:dyDescent="0.25">
      <c r="A9645"/>
    </row>
    <row r="9646" spans="1:1" x14ac:dyDescent="0.25">
      <c r="A9646"/>
    </row>
    <row r="9647" spans="1:1" x14ac:dyDescent="0.25">
      <c r="A9647"/>
    </row>
    <row r="9648" spans="1:1" x14ac:dyDescent="0.25">
      <c r="A9648"/>
    </row>
    <row r="9649" spans="1:1" x14ac:dyDescent="0.25">
      <c r="A9649"/>
    </row>
    <row r="9650" spans="1:1" x14ac:dyDescent="0.25">
      <c r="A9650"/>
    </row>
    <row r="9651" spans="1:1" x14ac:dyDescent="0.25">
      <c r="A9651"/>
    </row>
    <row r="9652" spans="1:1" x14ac:dyDescent="0.25">
      <c r="A9652"/>
    </row>
    <row r="9653" spans="1:1" x14ac:dyDescent="0.25">
      <c r="A9653"/>
    </row>
    <row r="9654" spans="1:1" x14ac:dyDescent="0.25">
      <c r="A9654"/>
    </row>
    <row r="9655" spans="1:1" x14ac:dyDescent="0.25">
      <c r="A9655"/>
    </row>
    <row r="9656" spans="1:1" x14ac:dyDescent="0.25">
      <c r="A9656"/>
    </row>
    <row r="9657" spans="1:1" x14ac:dyDescent="0.25">
      <c r="A9657"/>
    </row>
    <row r="9658" spans="1:1" x14ac:dyDescent="0.25">
      <c r="A9658"/>
    </row>
    <row r="9659" spans="1:1" x14ac:dyDescent="0.25">
      <c r="A9659"/>
    </row>
    <row r="9660" spans="1:1" x14ac:dyDescent="0.25">
      <c r="A9660"/>
    </row>
    <row r="9661" spans="1:1" x14ac:dyDescent="0.25">
      <c r="A9661"/>
    </row>
    <row r="9662" spans="1:1" x14ac:dyDescent="0.25">
      <c r="A9662"/>
    </row>
    <row r="9663" spans="1:1" x14ac:dyDescent="0.25">
      <c r="A9663"/>
    </row>
    <row r="9664" spans="1:1" x14ac:dyDescent="0.25">
      <c r="A9664"/>
    </row>
    <row r="9665" spans="1:1" x14ac:dyDescent="0.25">
      <c r="A9665"/>
    </row>
    <row r="9666" spans="1:1" x14ac:dyDescent="0.25">
      <c r="A9666"/>
    </row>
    <row r="9667" spans="1:1" x14ac:dyDescent="0.25">
      <c r="A9667"/>
    </row>
    <row r="9668" spans="1:1" x14ac:dyDescent="0.25">
      <c r="A9668"/>
    </row>
    <row r="9669" spans="1:1" x14ac:dyDescent="0.25">
      <c r="A9669"/>
    </row>
    <row r="9670" spans="1:1" x14ac:dyDescent="0.25">
      <c r="A9670"/>
    </row>
    <row r="9671" spans="1:1" x14ac:dyDescent="0.25">
      <c r="A9671"/>
    </row>
    <row r="9672" spans="1:1" x14ac:dyDescent="0.25">
      <c r="A9672"/>
    </row>
    <row r="9673" spans="1:1" x14ac:dyDescent="0.25">
      <c r="A9673"/>
    </row>
    <row r="9674" spans="1:1" x14ac:dyDescent="0.25">
      <c r="A9674"/>
    </row>
    <row r="9675" spans="1:1" x14ac:dyDescent="0.25">
      <c r="A9675"/>
    </row>
    <row r="9676" spans="1:1" x14ac:dyDescent="0.25">
      <c r="A9676"/>
    </row>
    <row r="9677" spans="1:1" x14ac:dyDescent="0.25">
      <c r="A9677"/>
    </row>
    <row r="9678" spans="1:1" x14ac:dyDescent="0.25">
      <c r="A9678"/>
    </row>
    <row r="9679" spans="1:1" x14ac:dyDescent="0.25">
      <c r="A9679"/>
    </row>
    <row r="9680" spans="1:1" x14ac:dyDescent="0.25">
      <c r="A9680"/>
    </row>
    <row r="9681" spans="1:1" x14ac:dyDescent="0.25">
      <c r="A9681"/>
    </row>
    <row r="9682" spans="1:1" x14ac:dyDescent="0.25">
      <c r="A9682"/>
    </row>
    <row r="9683" spans="1:1" x14ac:dyDescent="0.25">
      <c r="A9683"/>
    </row>
    <row r="9684" spans="1:1" x14ac:dyDescent="0.25">
      <c r="A9684"/>
    </row>
    <row r="9685" spans="1:1" x14ac:dyDescent="0.25">
      <c r="A9685"/>
    </row>
    <row r="9686" spans="1:1" x14ac:dyDescent="0.25">
      <c r="A9686"/>
    </row>
    <row r="9687" spans="1:1" x14ac:dyDescent="0.25">
      <c r="A9687"/>
    </row>
    <row r="9688" spans="1:1" x14ac:dyDescent="0.25">
      <c r="A9688"/>
    </row>
    <row r="9689" spans="1:1" x14ac:dyDescent="0.25">
      <c r="A9689"/>
    </row>
    <row r="9690" spans="1:1" x14ac:dyDescent="0.25">
      <c r="A9690"/>
    </row>
    <row r="9691" spans="1:1" x14ac:dyDescent="0.25">
      <c r="A9691"/>
    </row>
    <row r="9692" spans="1:1" x14ac:dyDescent="0.25">
      <c r="A9692"/>
    </row>
    <row r="9693" spans="1:1" x14ac:dyDescent="0.25">
      <c r="A9693"/>
    </row>
    <row r="9694" spans="1:1" x14ac:dyDescent="0.25">
      <c r="A9694"/>
    </row>
    <row r="9695" spans="1:1" x14ac:dyDescent="0.25">
      <c r="A9695"/>
    </row>
    <row r="9696" spans="1:1" x14ac:dyDescent="0.25">
      <c r="A9696"/>
    </row>
    <row r="9697" spans="1:1" x14ac:dyDescent="0.25">
      <c r="A9697"/>
    </row>
    <row r="9698" spans="1:1" x14ac:dyDescent="0.25">
      <c r="A9698"/>
    </row>
    <row r="9699" spans="1:1" x14ac:dyDescent="0.25">
      <c r="A9699"/>
    </row>
    <row r="9700" spans="1:1" x14ac:dyDescent="0.25">
      <c r="A9700"/>
    </row>
    <row r="9701" spans="1:1" x14ac:dyDescent="0.25">
      <c r="A9701"/>
    </row>
    <row r="9702" spans="1:1" x14ac:dyDescent="0.25">
      <c r="A9702"/>
    </row>
    <row r="9703" spans="1:1" x14ac:dyDescent="0.25">
      <c r="A9703"/>
    </row>
    <row r="9704" spans="1:1" x14ac:dyDescent="0.25">
      <c r="A9704"/>
    </row>
    <row r="9705" spans="1:1" x14ac:dyDescent="0.25">
      <c r="A9705"/>
    </row>
    <row r="9706" spans="1:1" x14ac:dyDescent="0.25">
      <c r="A9706"/>
    </row>
    <row r="9707" spans="1:1" x14ac:dyDescent="0.25">
      <c r="A9707"/>
    </row>
    <row r="9708" spans="1:1" x14ac:dyDescent="0.25">
      <c r="A9708"/>
    </row>
    <row r="9709" spans="1:1" x14ac:dyDescent="0.25">
      <c r="A9709"/>
    </row>
    <row r="9710" spans="1:1" x14ac:dyDescent="0.25">
      <c r="A9710"/>
    </row>
    <row r="9711" spans="1:1" x14ac:dyDescent="0.25">
      <c r="A9711"/>
    </row>
    <row r="9712" spans="1:1" x14ac:dyDescent="0.25">
      <c r="A9712"/>
    </row>
    <row r="9713" spans="1:1" x14ac:dyDescent="0.25">
      <c r="A9713"/>
    </row>
    <row r="9714" spans="1:1" x14ac:dyDescent="0.25">
      <c r="A9714"/>
    </row>
    <row r="9715" spans="1:1" x14ac:dyDescent="0.25">
      <c r="A9715"/>
    </row>
    <row r="9716" spans="1:1" x14ac:dyDescent="0.25">
      <c r="A9716"/>
    </row>
    <row r="9717" spans="1:1" x14ac:dyDescent="0.25">
      <c r="A9717"/>
    </row>
    <row r="9718" spans="1:1" x14ac:dyDescent="0.25">
      <c r="A9718"/>
    </row>
    <row r="9719" spans="1:1" x14ac:dyDescent="0.25">
      <c r="A9719"/>
    </row>
    <row r="9720" spans="1:1" x14ac:dyDescent="0.25">
      <c r="A9720"/>
    </row>
    <row r="9721" spans="1:1" x14ac:dyDescent="0.25">
      <c r="A9721"/>
    </row>
    <row r="9722" spans="1:1" x14ac:dyDescent="0.25">
      <c r="A9722"/>
    </row>
    <row r="9723" spans="1:1" x14ac:dyDescent="0.25">
      <c r="A9723"/>
    </row>
    <row r="9724" spans="1:1" x14ac:dyDescent="0.25">
      <c r="A9724"/>
    </row>
    <row r="9725" spans="1:1" x14ac:dyDescent="0.25">
      <c r="A9725"/>
    </row>
    <row r="9726" spans="1:1" x14ac:dyDescent="0.25">
      <c r="A9726"/>
    </row>
    <row r="9727" spans="1:1" x14ac:dyDescent="0.25">
      <c r="A9727"/>
    </row>
    <row r="9728" spans="1:1" x14ac:dyDescent="0.25">
      <c r="A9728"/>
    </row>
    <row r="9729" spans="1:1" x14ac:dyDescent="0.25">
      <c r="A9729"/>
    </row>
    <row r="9730" spans="1:1" x14ac:dyDescent="0.25">
      <c r="A9730"/>
    </row>
    <row r="9731" spans="1:1" x14ac:dyDescent="0.25">
      <c r="A9731"/>
    </row>
    <row r="9732" spans="1:1" x14ac:dyDescent="0.25">
      <c r="A9732"/>
    </row>
    <row r="9733" spans="1:1" x14ac:dyDescent="0.25">
      <c r="A9733"/>
    </row>
    <row r="9734" spans="1:1" x14ac:dyDescent="0.25">
      <c r="A9734"/>
    </row>
    <row r="9735" spans="1:1" x14ac:dyDescent="0.25">
      <c r="A9735"/>
    </row>
    <row r="9736" spans="1:1" x14ac:dyDescent="0.25">
      <c r="A9736"/>
    </row>
    <row r="9737" spans="1:1" x14ac:dyDescent="0.25">
      <c r="A9737"/>
    </row>
    <row r="9738" spans="1:1" x14ac:dyDescent="0.25">
      <c r="A9738"/>
    </row>
    <row r="9739" spans="1:1" x14ac:dyDescent="0.25">
      <c r="A9739"/>
    </row>
    <row r="9740" spans="1:1" x14ac:dyDescent="0.25">
      <c r="A9740"/>
    </row>
    <row r="9741" spans="1:1" x14ac:dyDescent="0.25">
      <c r="A9741"/>
    </row>
    <row r="9742" spans="1:1" x14ac:dyDescent="0.25">
      <c r="A9742"/>
    </row>
    <row r="9743" spans="1:1" x14ac:dyDescent="0.25">
      <c r="A9743"/>
    </row>
    <row r="9744" spans="1:1" x14ac:dyDescent="0.25">
      <c r="A9744"/>
    </row>
    <row r="9745" spans="1:1" x14ac:dyDescent="0.25">
      <c r="A9745"/>
    </row>
    <row r="9746" spans="1:1" x14ac:dyDescent="0.25">
      <c r="A9746"/>
    </row>
    <row r="9747" spans="1:1" x14ac:dyDescent="0.25">
      <c r="A9747"/>
    </row>
    <row r="9748" spans="1:1" x14ac:dyDescent="0.25">
      <c r="A9748"/>
    </row>
    <row r="9749" spans="1:1" x14ac:dyDescent="0.25">
      <c r="A9749"/>
    </row>
    <row r="9750" spans="1:1" x14ac:dyDescent="0.25">
      <c r="A9750"/>
    </row>
    <row r="9751" spans="1:1" x14ac:dyDescent="0.25">
      <c r="A9751"/>
    </row>
    <row r="9752" spans="1:1" x14ac:dyDescent="0.25">
      <c r="A9752"/>
    </row>
    <row r="9753" spans="1:1" x14ac:dyDescent="0.25">
      <c r="A9753"/>
    </row>
    <row r="9754" spans="1:1" x14ac:dyDescent="0.25">
      <c r="A9754"/>
    </row>
    <row r="9755" spans="1:1" x14ac:dyDescent="0.25">
      <c r="A9755"/>
    </row>
    <row r="9756" spans="1:1" x14ac:dyDescent="0.25">
      <c r="A9756"/>
    </row>
    <row r="9757" spans="1:1" x14ac:dyDescent="0.25">
      <c r="A9757"/>
    </row>
    <row r="9758" spans="1:1" x14ac:dyDescent="0.25">
      <c r="A9758"/>
    </row>
    <row r="9759" spans="1:1" x14ac:dyDescent="0.25">
      <c r="A9759"/>
    </row>
    <row r="9760" spans="1:1" x14ac:dyDescent="0.25">
      <c r="A9760"/>
    </row>
    <row r="9761" spans="1:1" x14ac:dyDescent="0.25">
      <c r="A9761"/>
    </row>
    <row r="9762" spans="1:1" x14ac:dyDescent="0.25">
      <c r="A9762"/>
    </row>
    <row r="9763" spans="1:1" x14ac:dyDescent="0.25">
      <c r="A9763"/>
    </row>
    <row r="9764" spans="1:1" x14ac:dyDescent="0.25">
      <c r="A9764"/>
    </row>
    <row r="9765" spans="1:1" x14ac:dyDescent="0.25">
      <c r="A9765"/>
    </row>
    <row r="9766" spans="1:1" x14ac:dyDescent="0.25">
      <c r="A9766"/>
    </row>
    <row r="9767" spans="1:1" x14ac:dyDescent="0.25">
      <c r="A9767"/>
    </row>
    <row r="9768" spans="1:1" x14ac:dyDescent="0.25">
      <c r="A9768"/>
    </row>
    <row r="9769" spans="1:1" x14ac:dyDescent="0.25">
      <c r="A9769"/>
    </row>
    <row r="9770" spans="1:1" x14ac:dyDescent="0.25">
      <c r="A9770"/>
    </row>
    <row r="9771" spans="1:1" x14ac:dyDescent="0.25">
      <c r="A9771"/>
    </row>
    <row r="9772" spans="1:1" x14ac:dyDescent="0.25">
      <c r="A9772"/>
    </row>
    <row r="9773" spans="1:1" x14ac:dyDescent="0.25">
      <c r="A9773"/>
    </row>
    <row r="9774" spans="1:1" x14ac:dyDescent="0.25">
      <c r="A9774"/>
    </row>
    <row r="9775" spans="1:1" x14ac:dyDescent="0.25">
      <c r="A9775"/>
    </row>
    <row r="9776" spans="1:1" x14ac:dyDescent="0.25">
      <c r="A9776"/>
    </row>
    <row r="9777" spans="1:1" x14ac:dyDescent="0.25">
      <c r="A9777"/>
    </row>
    <row r="9778" spans="1:1" x14ac:dyDescent="0.25">
      <c r="A9778"/>
    </row>
    <row r="9779" spans="1:1" x14ac:dyDescent="0.25">
      <c r="A9779"/>
    </row>
    <row r="9780" spans="1:1" x14ac:dyDescent="0.25">
      <c r="A9780"/>
    </row>
    <row r="9781" spans="1:1" x14ac:dyDescent="0.25">
      <c r="A9781"/>
    </row>
    <row r="9782" spans="1:1" x14ac:dyDescent="0.25">
      <c r="A9782"/>
    </row>
    <row r="9783" spans="1:1" x14ac:dyDescent="0.25">
      <c r="A9783"/>
    </row>
    <row r="9784" spans="1:1" x14ac:dyDescent="0.25">
      <c r="A9784"/>
    </row>
    <row r="9785" spans="1:1" x14ac:dyDescent="0.25">
      <c r="A9785"/>
    </row>
    <row r="9786" spans="1:1" x14ac:dyDescent="0.25">
      <c r="A9786"/>
    </row>
    <row r="9787" spans="1:1" x14ac:dyDescent="0.25">
      <c r="A9787"/>
    </row>
    <row r="9788" spans="1:1" x14ac:dyDescent="0.25">
      <c r="A9788"/>
    </row>
    <row r="9789" spans="1:1" x14ac:dyDescent="0.25">
      <c r="A9789"/>
    </row>
    <row r="9790" spans="1:1" x14ac:dyDescent="0.25">
      <c r="A9790"/>
    </row>
    <row r="9791" spans="1:1" x14ac:dyDescent="0.25">
      <c r="A9791"/>
    </row>
    <row r="9792" spans="1:1" x14ac:dyDescent="0.25">
      <c r="A9792"/>
    </row>
    <row r="9793" spans="1:1" x14ac:dyDescent="0.25">
      <c r="A9793"/>
    </row>
    <row r="9794" spans="1:1" x14ac:dyDescent="0.25">
      <c r="A9794"/>
    </row>
    <row r="9795" spans="1:1" x14ac:dyDescent="0.25">
      <c r="A9795"/>
    </row>
    <row r="9796" spans="1:1" x14ac:dyDescent="0.25">
      <c r="A9796"/>
    </row>
    <row r="9797" spans="1:1" x14ac:dyDescent="0.25">
      <c r="A9797"/>
    </row>
    <row r="9798" spans="1:1" x14ac:dyDescent="0.25">
      <c r="A9798"/>
    </row>
    <row r="9799" spans="1:1" x14ac:dyDescent="0.25">
      <c r="A9799"/>
    </row>
    <row r="9800" spans="1:1" x14ac:dyDescent="0.25">
      <c r="A9800"/>
    </row>
    <row r="9801" spans="1:1" x14ac:dyDescent="0.25">
      <c r="A9801"/>
    </row>
    <row r="9802" spans="1:1" x14ac:dyDescent="0.25">
      <c r="A9802"/>
    </row>
    <row r="9803" spans="1:1" x14ac:dyDescent="0.25">
      <c r="A9803"/>
    </row>
    <row r="9804" spans="1:1" x14ac:dyDescent="0.25">
      <c r="A9804"/>
    </row>
    <row r="9805" spans="1:1" x14ac:dyDescent="0.25">
      <c r="A9805"/>
    </row>
    <row r="9806" spans="1:1" x14ac:dyDescent="0.25">
      <c r="A9806"/>
    </row>
    <row r="9807" spans="1:1" x14ac:dyDescent="0.25">
      <c r="A9807"/>
    </row>
    <row r="9808" spans="1:1" x14ac:dyDescent="0.25">
      <c r="A9808"/>
    </row>
    <row r="9809" spans="1:1" x14ac:dyDescent="0.25">
      <c r="A9809"/>
    </row>
    <row r="9810" spans="1:1" x14ac:dyDescent="0.25">
      <c r="A9810"/>
    </row>
    <row r="9811" spans="1:1" x14ac:dyDescent="0.25">
      <c r="A9811"/>
    </row>
    <row r="9812" spans="1:1" x14ac:dyDescent="0.25">
      <c r="A9812"/>
    </row>
    <row r="9813" spans="1:1" x14ac:dyDescent="0.25">
      <c r="A9813"/>
    </row>
    <row r="9814" spans="1:1" x14ac:dyDescent="0.25">
      <c r="A9814"/>
    </row>
    <row r="9815" spans="1:1" x14ac:dyDescent="0.25">
      <c r="A9815"/>
    </row>
    <row r="9816" spans="1:1" x14ac:dyDescent="0.25">
      <c r="A9816"/>
    </row>
    <row r="9817" spans="1:1" x14ac:dyDescent="0.25">
      <c r="A9817"/>
    </row>
    <row r="9818" spans="1:1" x14ac:dyDescent="0.25">
      <c r="A9818"/>
    </row>
    <row r="9819" spans="1:1" x14ac:dyDescent="0.25">
      <c r="A9819"/>
    </row>
    <row r="9820" spans="1:1" x14ac:dyDescent="0.25">
      <c r="A9820"/>
    </row>
    <row r="9821" spans="1:1" x14ac:dyDescent="0.25">
      <c r="A9821"/>
    </row>
    <row r="9822" spans="1:1" x14ac:dyDescent="0.25">
      <c r="A9822"/>
    </row>
    <row r="9823" spans="1:1" x14ac:dyDescent="0.25">
      <c r="A9823"/>
    </row>
    <row r="9824" spans="1:1" x14ac:dyDescent="0.25">
      <c r="A9824"/>
    </row>
    <row r="9825" spans="1:1" x14ac:dyDescent="0.25">
      <c r="A9825"/>
    </row>
    <row r="9826" spans="1:1" x14ac:dyDescent="0.25">
      <c r="A9826"/>
    </row>
    <row r="9827" spans="1:1" x14ac:dyDescent="0.25">
      <c r="A9827"/>
    </row>
    <row r="9828" spans="1:1" x14ac:dyDescent="0.25">
      <c r="A9828"/>
    </row>
    <row r="9829" spans="1:1" x14ac:dyDescent="0.25">
      <c r="A9829"/>
    </row>
    <row r="9830" spans="1:1" x14ac:dyDescent="0.25">
      <c r="A9830"/>
    </row>
    <row r="9831" spans="1:1" x14ac:dyDescent="0.25">
      <c r="A9831"/>
    </row>
    <row r="9832" spans="1:1" x14ac:dyDescent="0.25">
      <c r="A9832"/>
    </row>
    <row r="9833" spans="1:1" x14ac:dyDescent="0.25">
      <c r="A9833"/>
    </row>
    <row r="9834" spans="1:1" x14ac:dyDescent="0.25">
      <c r="A9834"/>
    </row>
    <row r="9835" spans="1:1" x14ac:dyDescent="0.25">
      <c r="A9835"/>
    </row>
    <row r="9836" spans="1:1" x14ac:dyDescent="0.25">
      <c r="A9836"/>
    </row>
    <row r="9837" spans="1:1" x14ac:dyDescent="0.25">
      <c r="A9837"/>
    </row>
    <row r="9838" spans="1:1" x14ac:dyDescent="0.25">
      <c r="A9838"/>
    </row>
    <row r="9839" spans="1:1" x14ac:dyDescent="0.25">
      <c r="A9839"/>
    </row>
    <row r="9840" spans="1:1" x14ac:dyDescent="0.25">
      <c r="A9840"/>
    </row>
    <row r="9841" spans="1:1" x14ac:dyDescent="0.25">
      <c r="A9841"/>
    </row>
    <row r="9842" spans="1:1" x14ac:dyDescent="0.25">
      <c r="A9842"/>
    </row>
    <row r="9843" spans="1:1" x14ac:dyDescent="0.25">
      <c r="A9843"/>
    </row>
    <row r="9844" spans="1:1" x14ac:dyDescent="0.25">
      <c r="A9844"/>
    </row>
    <row r="9845" spans="1:1" x14ac:dyDescent="0.25">
      <c r="A9845"/>
    </row>
    <row r="9846" spans="1:1" x14ac:dyDescent="0.25">
      <c r="A9846"/>
    </row>
    <row r="9847" spans="1:1" x14ac:dyDescent="0.25">
      <c r="A9847"/>
    </row>
    <row r="9848" spans="1:1" x14ac:dyDescent="0.25">
      <c r="A9848"/>
    </row>
    <row r="9849" spans="1:1" x14ac:dyDescent="0.25">
      <c r="A9849"/>
    </row>
    <row r="9850" spans="1:1" x14ac:dyDescent="0.25">
      <c r="A9850"/>
    </row>
    <row r="9851" spans="1:1" x14ac:dyDescent="0.25">
      <c r="A9851"/>
    </row>
    <row r="9852" spans="1:1" x14ac:dyDescent="0.25">
      <c r="A9852"/>
    </row>
    <row r="9853" spans="1:1" x14ac:dyDescent="0.25">
      <c r="A9853"/>
    </row>
    <row r="9854" spans="1:1" x14ac:dyDescent="0.25">
      <c r="A9854"/>
    </row>
    <row r="9855" spans="1:1" x14ac:dyDescent="0.25">
      <c r="A9855"/>
    </row>
    <row r="9856" spans="1:1" x14ac:dyDescent="0.25">
      <c r="A9856"/>
    </row>
    <row r="9857" spans="1:1" x14ac:dyDescent="0.25">
      <c r="A9857"/>
    </row>
    <row r="9858" spans="1:1" x14ac:dyDescent="0.25">
      <c r="A9858"/>
    </row>
    <row r="9859" spans="1:1" x14ac:dyDescent="0.25">
      <c r="A9859"/>
    </row>
    <row r="9860" spans="1:1" x14ac:dyDescent="0.25">
      <c r="A9860"/>
    </row>
    <row r="9861" spans="1:1" x14ac:dyDescent="0.25">
      <c r="A9861"/>
    </row>
    <row r="9862" spans="1:1" x14ac:dyDescent="0.25">
      <c r="A9862"/>
    </row>
    <row r="9863" spans="1:1" x14ac:dyDescent="0.25">
      <c r="A9863"/>
    </row>
    <row r="9864" spans="1:1" x14ac:dyDescent="0.25">
      <c r="A9864"/>
    </row>
    <row r="9865" spans="1:1" x14ac:dyDescent="0.25">
      <c r="A9865"/>
    </row>
    <row r="9866" spans="1:1" x14ac:dyDescent="0.25">
      <c r="A9866"/>
    </row>
    <row r="9867" spans="1:1" x14ac:dyDescent="0.25">
      <c r="A9867"/>
    </row>
    <row r="9868" spans="1:1" x14ac:dyDescent="0.25">
      <c r="A9868"/>
    </row>
    <row r="9869" spans="1:1" x14ac:dyDescent="0.25">
      <c r="A9869"/>
    </row>
    <row r="9870" spans="1:1" x14ac:dyDescent="0.25">
      <c r="A9870"/>
    </row>
    <row r="9871" spans="1:1" x14ac:dyDescent="0.25">
      <c r="A9871"/>
    </row>
    <row r="9872" spans="1:1" x14ac:dyDescent="0.25">
      <c r="A9872"/>
    </row>
    <row r="9873" spans="1:1" x14ac:dyDescent="0.25">
      <c r="A9873"/>
    </row>
    <row r="9874" spans="1:1" x14ac:dyDescent="0.25">
      <c r="A9874"/>
    </row>
    <row r="9875" spans="1:1" x14ac:dyDescent="0.25">
      <c r="A9875"/>
    </row>
    <row r="9876" spans="1:1" x14ac:dyDescent="0.25">
      <c r="A9876"/>
    </row>
    <row r="9877" spans="1:1" x14ac:dyDescent="0.25">
      <c r="A9877"/>
    </row>
    <row r="9878" spans="1:1" x14ac:dyDescent="0.25">
      <c r="A9878"/>
    </row>
    <row r="9879" spans="1:1" x14ac:dyDescent="0.25">
      <c r="A9879"/>
    </row>
    <row r="9880" spans="1:1" x14ac:dyDescent="0.25">
      <c r="A9880"/>
    </row>
    <row r="9881" spans="1:1" x14ac:dyDescent="0.25">
      <c r="A9881"/>
    </row>
    <row r="9882" spans="1:1" x14ac:dyDescent="0.25">
      <c r="A9882"/>
    </row>
    <row r="9883" spans="1:1" x14ac:dyDescent="0.25">
      <c r="A9883"/>
    </row>
    <row r="9884" spans="1:1" x14ac:dyDescent="0.25">
      <c r="A9884"/>
    </row>
    <row r="9885" spans="1:1" x14ac:dyDescent="0.25">
      <c r="A9885"/>
    </row>
    <row r="9886" spans="1:1" x14ac:dyDescent="0.25">
      <c r="A9886"/>
    </row>
    <row r="9887" spans="1:1" x14ac:dyDescent="0.25">
      <c r="A9887"/>
    </row>
    <row r="9888" spans="1:1" x14ac:dyDescent="0.25">
      <c r="A9888"/>
    </row>
    <row r="9889" spans="1:1" x14ac:dyDescent="0.25">
      <c r="A9889"/>
    </row>
    <row r="9890" spans="1:1" x14ac:dyDescent="0.25">
      <c r="A9890"/>
    </row>
    <row r="9891" spans="1:1" x14ac:dyDescent="0.25">
      <c r="A9891"/>
    </row>
    <row r="9892" spans="1:1" x14ac:dyDescent="0.25">
      <c r="A9892"/>
    </row>
    <row r="9893" spans="1:1" x14ac:dyDescent="0.25">
      <c r="A9893"/>
    </row>
    <row r="9894" spans="1:1" x14ac:dyDescent="0.25">
      <c r="A9894"/>
    </row>
    <row r="9895" spans="1:1" x14ac:dyDescent="0.25">
      <c r="A9895"/>
    </row>
    <row r="9896" spans="1:1" x14ac:dyDescent="0.25">
      <c r="A9896"/>
    </row>
    <row r="9897" spans="1:1" x14ac:dyDescent="0.25">
      <c r="A9897"/>
    </row>
    <row r="9898" spans="1:1" x14ac:dyDescent="0.25">
      <c r="A9898"/>
    </row>
    <row r="9899" spans="1:1" x14ac:dyDescent="0.25">
      <c r="A9899"/>
    </row>
    <row r="9900" spans="1:1" x14ac:dyDescent="0.25">
      <c r="A9900"/>
    </row>
    <row r="9901" spans="1:1" x14ac:dyDescent="0.25">
      <c r="A9901"/>
    </row>
    <row r="9902" spans="1:1" x14ac:dyDescent="0.25">
      <c r="A9902"/>
    </row>
    <row r="9903" spans="1:1" x14ac:dyDescent="0.25">
      <c r="A9903"/>
    </row>
    <row r="9904" spans="1:1" x14ac:dyDescent="0.25">
      <c r="A9904"/>
    </row>
    <row r="9905" spans="1:1" x14ac:dyDescent="0.25">
      <c r="A9905"/>
    </row>
    <row r="9906" spans="1:1" x14ac:dyDescent="0.25">
      <c r="A9906"/>
    </row>
    <row r="9907" spans="1:1" x14ac:dyDescent="0.25">
      <c r="A9907"/>
    </row>
    <row r="9908" spans="1:1" x14ac:dyDescent="0.25">
      <c r="A9908"/>
    </row>
    <row r="9909" spans="1:1" x14ac:dyDescent="0.25">
      <c r="A9909"/>
    </row>
    <row r="9910" spans="1:1" x14ac:dyDescent="0.25">
      <c r="A9910"/>
    </row>
    <row r="9911" spans="1:1" x14ac:dyDescent="0.25">
      <c r="A9911"/>
    </row>
    <row r="9912" spans="1:1" x14ac:dyDescent="0.25">
      <c r="A9912"/>
    </row>
    <row r="9913" spans="1:1" x14ac:dyDescent="0.25">
      <c r="A9913"/>
    </row>
    <row r="9914" spans="1:1" x14ac:dyDescent="0.25">
      <c r="A9914"/>
    </row>
    <row r="9915" spans="1:1" x14ac:dyDescent="0.25">
      <c r="A9915"/>
    </row>
    <row r="9916" spans="1:1" x14ac:dyDescent="0.25">
      <c r="A9916"/>
    </row>
    <row r="9917" spans="1:1" x14ac:dyDescent="0.25">
      <c r="A9917"/>
    </row>
    <row r="9918" spans="1:1" x14ac:dyDescent="0.25">
      <c r="A9918"/>
    </row>
    <row r="9919" spans="1:1" x14ac:dyDescent="0.25">
      <c r="A9919"/>
    </row>
    <row r="9920" spans="1:1" x14ac:dyDescent="0.25">
      <c r="A9920"/>
    </row>
    <row r="9921" spans="1:1" x14ac:dyDescent="0.25">
      <c r="A9921"/>
    </row>
    <row r="9922" spans="1:1" x14ac:dyDescent="0.25">
      <c r="A9922"/>
    </row>
    <row r="9923" spans="1:1" x14ac:dyDescent="0.25">
      <c r="A9923"/>
    </row>
    <row r="9924" spans="1:1" x14ac:dyDescent="0.25">
      <c r="A9924"/>
    </row>
    <row r="9925" spans="1:1" x14ac:dyDescent="0.25">
      <c r="A9925"/>
    </row>
    <row r="9926" spans="1:1" x14ac:dyDescent="0.25">
      <c r="A9926"/>
    </row>
    <row r="9927" spans="1:1" x14ac:dyDescent="0.25">
      <c r="A9927"/>
    </row>
    <row r="9928" spans="1:1" x14ac:dyDescent="0.25">
      <c r="A9928"/>
    </row>
    <row r="9929" spans="1:1" x14ac:dyDescent="0.25">
      <c r="A9929"/>
    </row>
    <row r="9930" spans="1:1" x14ac:dyDescent="0.25">
      <c r="A9930"/>
    </row>
    <row r="9931" spans="1:1" x14ac:dyDescent="0.25">
      <c r="A9931"/>
    </row>
    <row r="9932" spans="1:1" x14ac:dyDescent="0.25">
      <c r="A9932"/>
    </row>
    <row r="9933" spans="1:1" x14ac:dyDescent="0.25">
      <c r="A9933"/>
    </row>
    <row r="9934" spans="1:1" x14ac:dyDescent="0.25">
      <c r="A9934"/>
    </row>
    <row r="9935" spans="1:1" x14ac:dyDescent="0.25">
      <c r="A9935"/>
    </row>
    <row r="9936" spans="1:1" x14ac:dyDescent="0.25">
      <c r="A9936"/>
    </row>
    <row r="9937" spans="1:1" x14ac:dyDescent="0.25">
      <c r="A9937"/>
    </row>
    <row r="9938" spans="1:1" x14ac:dyDescent="0.25">
      <c r="A9938"/>
    </row>
    <row r="9939" spans="1:1" x14ac:dyDescent="0.25">
      <c r="A9939"/>
    </row>
    <row r="9940" spans="1:1" x14ac:dyDescent="0.25">
      <c r="A9940"/>
    </row>
    <row r="9941" spans="1:1" x14ac:dyDescent="0.25">
      <c r="A9941"/>
    </row>
    <row r="9942" spans="1:1" x14ac:dyDescent="0.25">
      <c r="A9942"/>
    </row>
    <row r="9943" spans="1:1" x14ac:dyDescent="0.25">
      <c r="A9943"/>
    </row>
    <row r="9944" spans="1:1" x14ac:dyDescent="0.25">
      <c r="A9944"/>
    </row>
    <row r="9945" spans="1:1" x14ac:dyDescent="0.25">
      <c r="A9945"/>
    </row>
    <row r="9946" spans="1:1" x14ac:dyDescent="0.25">
      <c r="A9946"/>
    </row>
    <row r="9947" spans="1:1" x14ac:dyDescent="0.25">
      <c r="A9947"/>
    </row>
    <row r="9948" spans="1:1" x14ac:dyDescent="0.25">
      <c r="A9948"/>
    </row>
    <row r="9949" spans="1:1" x14ac:dyDescent="0.25">
      <c r="A9949"/>
    </row>
    <row r="9950" spans="1:1" x14ac:dyDescent="0.25">
      <c r="A9950"/>
    </row>
    <row r="9951" spans="1:1" x14ac:dyDescent="0.25">
      <c r="A9951"/>
    </row>
    <row r="9952" spans="1:1" x14ac:dyDescent="0.25">
      <c r="A9952"/>
    </row>
    <row r="9953" spans="1:1" x14ac:dyDescent="0.25">
      <c r="A9953"/>
    </row>
    <row r="9954" spans="1:1" x14ac:dyDescent="0.25">
      <c r="A9954"/>
    </row>
    <row r="9955" spans="1:1" x14ac:dyDescent="0.25">
      <c r="A9955"/>
    </row>
    <row r="9956" spans="1:1" x14ac:dyDescent="0.25">
      <c r="A9956"/>
    </row>
    <row r="9957" spans="1:1" x14ac:dyDescent="0.25">
      <c r="A9957"/>
    </row>
    <row r="9958" spans="1:1" x14ac:dyDescent="0.25">
      <c r="A9958"/>
    </row>
    <row r="9959" spans="1:1" x14ac:dyDescent="0.25">
      <c r="A9959"/>
    </row>
    <row r="9960" spans="1:1" x14ac:dyDescent="0.25">
      <c r="A9960"/>
    </row>
    <row r="9961" spans="1:1" x14ac:dyDescent="0.25">
      <c r="A9961"/>
    </row>
    <row r="9962" spans="1:1" x14ac:dyDescent="0.25">
      <c r="A9962"/>
    </row>
    <row r="9963" spans="1:1" x14ac:dyDescent="0.25">
      <c r="A9963"/>
    </row>
    <row r="9964" spans="1:1" x14ac:dyDescent="0.25">
      <c r="A9964"/>
    </row>
    <row r="9965" spans="1:1" x14ac:dyDescent="0.25">
      <c r="A9965"/>
    </row>
    <row r="9966" spans="1:1" x14ac:dyDescent="0.25">
      <c r="A9966"/>
    </row>
    <row r="9967" spans="1:1" x14ac:dyDescent="0.25">
      <c r="A9967"/>
    </row>
    <row r="9968" spans="1:1" x14ac:dyDescent="0.25">
      <c r="A9968"/>
    </row>
    <row r="9969" spans="1:1" x14ac:dyDescent="0.25">
      <c r="A9969"/>
    </row>
    <row r="9970" spans="1:1" x14ac:dyDescent="0.25">
      <c r="A9970"/>
    </row>
    <row r="9971" spans="1:1" x14ac:dyDescent="0.25">
      <c r="A9971"/>
    </row>
    <row r="9972" spans="1:1" x14ac:dyDescent="0.25">
      <c r="A9972"/>
    </row>
    <row r="9973" spans="1:1" x14ac:dyDescent="0.25">
      <c r="A9973"/>
    </row>
    <row r="9974" spans="1:1" x14ac:dyDescent="0.25">
      <c r="A9974"/>
    </row>
    <row r="9975" spans="1:1" x14ac:dyDescent="0.25">
      <c r="A9975"/>
    </row>
    <row r="9976" spans="1:1" x14ac:dyDescent="0.25">
      <c r="A9976"/>
    </row>
    <row r="9977" spans="1:1" x14ac:dyDescent="0.25">
      <c r="A9977"/>
    </row>
    <row r="9978" spans="1:1" x14ac:dyDescent="0.25">
      <c r="A9978"/>
    </row>
    <row r="9979" spans="1:1" x14ac:dyDescent="0.25">
      <c r="A9979"/>
    </row>
    <row r="9980" spans="1:1" x14ac:dyDescent="0.25">
      <c r="A9980"/>
    </row>
    <row r="9981" spans="1:1" x14ac:dyDescent="0.25">
      <c r="A9981"/>
    </row>
    <row r="9982" spans="1:1" x14ac:dyDescent="0.25">
      <c r="A9982"/>
    </row>
    <row r="9983" spans="1:1" x14ac:dyDescent="0.25">
      <c r="A9983"/>
    </row>
    <row r="9984" spans="1:1" x14ac:dyDescent="0.25">
      <c r="A9984"/>
    </row>
    <row r="9985" spans="1:1" x14ac:dyDescent="0.25">
      <c r="A9985"/>
    </row>
    <row r="9986" spans="1:1" x14ac:dyDescent="0.25">
      <c r="A9986"/>
    </row>
    <row r="9987" spans="1:1" x14ac:dyDescent="0.25">
      <c r="A9987"/>
    </row>
    <row r="9988" spans="1:1" x14ac:dyDescent="0.25">
      <c r="A9988"/>
    </row>
    <row r="9989" spans="1:1" x14ac:dyDescent="0.25">
      <c r="A9989"/>
    </row>
    <row r="9990" spans="1:1" x14ac:dyDescent="0.25">
      <c r="A9990"/>
    </row>
    <row r="9991" spans="1:1" x14ac:dyDescent="0.25">
      <c r="A9991"/>
    </row>
    <row r="9992" spans="1:1" x14ac:dyDescent="0.25">
      <c r="A9992"/>
    </row>
    <row r="9993" spans="1:1" x14ac:dyDescent="0.25">
      <c r="A9993"/>
    </row>
    <row r="9994" spans="1:1" x14ac:dyDescent="0.25">
      <c r="A9994"/>
    </row>
    <row r="9995" spans="1:1" x14ac:dyDescent="0.25">
      <c r="A9995"/>
    </row>
    <row r="9996" spans="1:1" x14ac:dyDescent="0.25">
      <c r="A9996"/>
    </row>
    <row r="9997" spans="1:1" x14ac:dyDescent="0.25">
      <c r="A9997"/>
    </row>
    <row r="9998" spans="1:1" x14ac:dyDescent="0.25">
      <c r="A9998"/>
    </row>
    <row r="9999" spans="1:1" x14ac:dyDescent="0.25">
      <c r="A9999"/>
    </row>
    <row r="10000" spans="1:1" x14ac:dyDescent="0.25">
      <c r="A10000"/>
    </row>
    <row r="10001" spans="1:1" x14ac:dyDescent="0.25">
      <c r="A10001"/>
    </row>
    <row r="10002" spans="1:1" x14ac:dyDescent="0.25">
      <c r="A10002"/>
    </row>
    <row r="10003" spans="1:1" x14ac:dyDescent="0.25">
      <c r="A10003"/>
    </row>
    <row r="10004" spans="1:1" x14ac:dyDescent="0.25">
      <c r="A10004"/>
    </row>
    <row r="10005" spans="1:1" x14ac:dyDescent="0.25">
      <c r="A10005"/>
    </row>
    <row r="10006" spans="1:1" x14ac:dyDescent="0.25">
      <c r="A10006"/>
    </row>
    <row r="10007" spans="1:1" x14ac:dyDescent="0.25">
      <c r="A10007"/>
    </row>
    <row r="10008" spans="1:1" x14ac:dyDescent="0.25">
      <c r="A10008"/>
    </row>
    <row r="10009" spans="1:1" x14ac:dyDescent="0.25">
      <c r="A10009"/>
    </row>
    <row r="10010" spans="1:1" x14ac:dyDescent="0.25">
      <c r="A10010"/>
    </row>
    <row r="10011" spans="1:1" x14ac:dyDescent="0.25">
      <c r="A10011"/>
    </row>
    <row r="10012" spans="1:1" x14ac:dyDescent="0.25">
      <c r="A10012"/>
    </row>
    <row r="10013" spans="1:1" x14ac:dyDescent="0.25">
      <c r="A10013"/>
    </row>
    <row r="10014" spans="1:1" x14ac:dyDescent="0.25">
      <c r="A10014"/>
    </row>
    <row r="10015" spans="1:1" x14ac:dyDescent="0.25">
      <c r="A10015"/>
    </row>
    <row r="10016" spans="1:1" x14ac:dyDescent="0.25">
      <c r="A10016"/>
    </row>
    <row r="10017" spans="1:1" x14ac:dyDescent="0.25">
      <c r="A10017"/>
    </row>
    <row r="10018" spans="1:1" x14ac:dyDescent="0.25">
      <c r="A10018"/>
    </row>
    <row r="10019" spans="1:1" x14ac:dyDescent="0.25">
      <c r="A10019"/>
    </row>
    <row r="10020" spans="1:1" x14ac:dyDescent="0.25">
      <c r="A10020"/>
    </row>
    <row r="10021" spans="1:1" x14ac:dyDescent="0.25">
      <c r="A10021"/>
    </row>
    <row r="10022" spans="1:1" x14ac:dyDescent="0.25">
      <c r="A10022"/>
    </row>
    <row r="10023" spans="1:1" x14ac:dyDescent="0.25">
      <c r="A10023"/>
    </row>
    <row r="10024" spans="1:1" x14ac:dyDescent="0.25">
      <c r="A10024"/>
    </row>
    <row r="10025" spans="1:1" x14ac:dyDescent="0.25">
      <c r="A10025"/>
    </row>
    <row r="10026" spans="1:1" x14ac:dyDescent="0.25">
      <c r="A10026"/>
    </row>
    <row r="10027" spans="1:1" x14ac:dyDescent="0.25">
      <c r="A10027"/>
    </row>
    <row r="10028" spans="1:1" x14ac:dyDescent="0.25">
      <c r="A10028"/>
    </row>
    <row r="10029" spans="1:1" x14ac:dyDescent="0.25">
      <c r="A10029"/>
    </row>
    <row r="10030" spans="1:1" x14ac:dyDescent="0.25">
      <c r="A10030"/>
    </row>
    <row r="10031" spans="1:1" x14ac:dyDescent="0.25">
      <c r="A10031"/>
    </row>
    <row r="10032" spans="1:1" x14ac:dyDescent="0.25">
      <c r="A10032"/>
    </row>
    <row r="10033" spans="1:1" x14ac:dyDescent="0.25">
      <c r="A10033"/>
    </row>
    <row r="10034" spans="1:1" x14ac:dyDescent="0.25">
      <c r="A10034"/>
    </row>
    <row r="10035" spans="1:1" x14ac:dyDescent="0.25">
      <c r="A10035"/>
    </row>
    <row r="10036" spans="1:1" x14ac:dyDescent="0.25">
      <c r="A10036"/>
    </row>
    <row r="10037" spans="1:1" x14ac:dyDescent="0.25">
      <c r="A10037"/>
    </row>
    <row r="10038" spans="1:1" x14ac:dyDescent="0.25">
      <c r="A10038"/>
    </row>
    <row r="10039" spans="1:1" x14ac:dyDescent="0.25">
      <c r="A10039"/>
    </row>
    <row r="10040" spans="1:1" x14ac:dyDescent="0.25">
      <c r="A10040"/>
    </row>
    <row r="10041" spans="1:1" x14ac:dyDescent="0.25">
      <c r="A10041"/>
    </row>
    <row r="10042" spans="1:1" x14ac:dyDescent="0.25">
      <c r="A10042"/>
    </row>
    <row r="10043" spans="1:1" x14ac:dyDescent="0.25">
      <c r="A10043"/>
    </row>
    <row r="10044" spans="1:1" x14ac:dyDescent="0.25">
      <c r="A10044"/>
    </row>
    <row r="10045" spans="1:1" x14ac:dyDescent="0.25">
      <c r="A10045"/>
    </row>
    <row r="10046" spans="1:1" x14ac:dyDescent="0.25">
      <c r="A10046"/>
    </row>
    <row r="10047" spans="1:1" x14ac:dyDescent="0.25">
      <c r="A10047"/>
    </row>
    <row r="10048" spans="1:1" x14ac:dyDescent="0.25">
      <c r="A10048"/>
    </row>
    <row r="10049" spans="1:1" x14ac:dyDescent="0.25">
      <c r="A10049"/>
    </row>
    <row r="10050" spans="1:1" x14ac:dyDescent="0.25">
      <c r="A10050"/>
    </row>
    <row r="10051" spans="1:1" x14ac:dyDescent="0.25">
      <c r="A10051"/>
    </row>
    <row r="10052" spans="1:1" x14ac:dyDescent="0.25">
      <c r="A10052"/>
    </row>
    <row r="10053" spans="1:1" x14ac:dyDescent="0.25">
      <c r="A10053"/>
    </row>
    <row r="10054" spans="1:1" x14ac:dyDescent="0.25">
      <c r="A10054"/>
    </row>
    <row r="10055" spans="1:1" x14ac:dyDescent="0.25">
      <c r="A10055"/>
    </row>
    <row r="10056" spans="1:1" x14ac:dyDescent="0.25">
      <c r="A10056"/>
    </row>
    <row r="10057" spans="1:1" x14ac:dyDescent="0.25">
      <c r="A10057"/>
    </row>
    <row r="10058" spans="1:1" x14ac:dyDescent="0.25">
      <c r="A10058"/>
    </row>
    <row r="10059" spans="1:1" x14ac:dyDescent="0.25">
      <c r="A10059"/>
    </row>
    <row r="10060" spans="1:1" x14ac:dyDescent="0.25">
      <c r="A10060"/>
    </row>
    <row r="10061" spans="1:1" x14ac:dyDescent="0.25">
      <c r="A10061"/>
    </row>
    <row r="10062" spans="1:1" x14ac:dyDescent="0.25">
      <c r="A10062"/>
    </row>
    <row r="10063" spans="1:1" x14ac:dyDescent="0.25">
      <c r="A10063"/>
    </row>
    <row r="10064" spans="1:1" x14ac:dyDescent="0.25">
      <c r="A10064"/>
    </row>
    <row r="10065" spans="1:1" x14ac:dyDescent="0.25">
      <c r="A10065"/>
    </row>
    <row r="10066" spans="1:1" x14ac:dyDescent="0.25">
      <c r="A10066"/>
    </row>
    <row r="10067" spans="1:1" x14ac:dyDescent="0.25">
      <c r="A10067"/>
    </row>
    <row r="10068" spans="1:1" x14ac:dyDescent="0.25">
      <c r="A10068"/>
    </row>
    <row r="10069" spans="1:1" x14ac:dyDescent="0.25">
      <c r="A10069"/>
    </row>
    <row r="10070" spans="1:1" x14ac:dyDescent="0.25">
      <c r="A10070"/>
    </row>
    <row r="10071" spans="1:1" x14ac:dyDescent="0.25">
      <c r="A10071"/>
    </row>
    <row r="10072" spans="1:1" x14ac:dyDescent="0.25">
      <c r="A10072"/>
    </row>
    <row r="10073" spans="1:1" x14ac:dyDescent="0.25">
      <c r="A10073"/>
    </row>
    <row r="10074" spans="1:1" x14ac:dyDescent="0.25">
      <c r="A10074"/>
    </row>
    <row r="10075" spans="1:1" x14ac:dyDescent="0.25">
      <c r="A10075"/>
    </row>
    <row r="10076" spans="1:1" x14ac:dyDescent="0.25">
      <c r="A10076"/>
    </row>
    <row r="10077" spans="1:1" x14ac:dyDescent="0.25">
      <c r="A10077"/>
    </row>
    <row r="10078" spans="1:1" x14ac:dyDescent="0.25">
      <c r="A10078"/>
    </row>
    <row r="10079" spans="1:1" x14ac:dyDescent="0.25">
      <c r="A10079"/>
    </row>
    <row r="10080" spans="1:1" x14ac:dyDescent="0.25">
      <c r="A10080"/>
    </row>
    <row r="10081" spans="1:1" x14ac:dyDescent="0.25">
      <c r="A10081"/>
    </row>
    <row r="10082" spans="1:1" x14ac:dyDescent="0.25">
      <c r="A10082"/>
    </row>
    <row r="10083" spans="1:1" x14ac:dyDescent="0.25">
      <c r="A10083"/>
    </row>
    <row r="10084" spans="1:1" x14ac:dyDescent="0.25">
      <c r="A10084"/>
    </row>
    <row r="10085" spans="1:1" x14ac:dyDescent="0.25">
      <c r="A10085"/>
    </row>
    <row r="10086" spans="1:1" x14ac:dyDescent="0.25">
      <c r="A10086"/>
    </row>
    <row r="10087" spans="1:1" x14ac:dyDescent="0.25">
      <c r="A10087"/>
    </row>
    <row r="10088" spans="1:1" x14ac:dyDescent="0.25">
      <c r="A10088"/>
    </row>
    <row r="10089" spans="1:1" x14ac:dyDescent="0.25">
      <c r="A10089"/>
    </row>
    <row r="10090" spans="1:1" x14ac:dyDescent="0.25">
      <c r="A10090"/>
    </row>
    <row r="10091" spans="1:1" x14ac:dyDescent="0.25">
      <c r="A10091"/>
    </row>
    <row r="10092" spans="1:1" x14ac:dyDescent="0.25">
      <c r="A10092"/>
    </row>
    <row r="10093" spans="1:1" x14ac:dyDescent="0.25">
      <c r="A10093"/>
    </row>
    <row r="10094" spans="1:1" x14ac:dyDescent="0.25">
      <c r="A10094"/>
    </row>
    <row r="10095" spans="1:1" x14ac:dyDescent="0.25">
      <c r="A10095"/>
    </row>
    <row r="10096" spans="1:1" x14ac:dyDescent="0.25">
      <c r="A10096"/>
    </row>
    <row r="10097" spans="1:1" x14ac:dyDescent="0.25">
      <c r="A10097"/>
    </row>
    <row r="10098" spans="1:1" x14ac:dyDescent="0.25">
      <c r="A10098"/>
    </row>
    <row r="10099" spans="1:1" x14ac:dyDescent="0.25">
      <c r="A10099"/>
    </row>
    <row r="10100" spans="1:1" x14ac:dyDescent="0.25">
      <c r="A10100"/>
    </row>
    <row r="10101" spans="1:1" x14ac:dyDescent="0.25">
      <c r="A10101"/>
    </row>
    <row r="10102" spans="1:1" x14ac:dyDescent="0.25">
      <c r="A10102"/>
    </row>
    <row r="10103" spans="1:1" x14ac:dyDescent="0.25">
      <c r="A10103"/>
    </row>
    <row r="10104" spans="1:1" x14ac:dyDescent="0.25">
      <c r="A10104"/>
    </row>
    <row r="10105" spans="1:1" x14ac:dyDescent="0.25">
      <c r="A10105"/>
    </row>
    <row r="10106" spans="1:1" x14ac:dyDescent="0.25">
      <c r="A10106"/>
    </row>
    <row r="10107" spans="1:1" x14ac:dyDescent="0.25">
      <c r="A10107"/>
    </row>
    <row r="10108" spans="1:1" x14ac:dyDescent="0.25">
      <c r="A10108"/>
    </row>
    <row r="10109" spans="1:1" x14ac:dyDescent="0.25">
      <c r="A10109"/>
    </row>
    <row r="10110" spans="1:1" x14ac:dyDescent="0.25">
      <c r="A10110"/>
    </row>
    <row r="10111" spans="1:1" x14ac:dyDescent="0.25">
      <c r="A10111"/>
    </row>
    <row r="10112" spans="1:1" x14ac:dyDescent="0.25">
      <c r="A10112"/>
    </row>
    <row r="10113" spans="1:1" x14ac:dyDescent="0.25">
      <c r="A10113"/>
    </row>
    <row r="10114" spans="1:1" x14ac:dyDescent="0.25">
      <c r="A10114"/>
    </row>
    <row r="10115" spans="1:1" x14ac:dyDescent="0.25">
      <c r="A10115"/>
    </row>
    <row r="10116" spans="1:1" x14ac:dyDescent="0.25">
      <c r="A10116"/>
    </row>
    <row r="10117" spans="1:1" x14ac:dyDescent="0.25">
      <c r="A10117"/>
    </row>
    <row r="10118" spans="1:1" x14ac:dyDescent="0.25">
      <c r="A10118"/>
    </row>
    <row r="10119" spans="1:1" x14ac:dyDescent="0.25">
      <c r="A10119"/>
    </row>
    <row r="10120" spans="1:1" x14ac:dyDescent="0.25">
      <c r="A10120"/>
    </row>
    <row r="10121" spans="1:1" x14ac:dyDescent="0.25">
      <c r="A10121"/>
    </row>
    <row r="10122" spans="1:1" x14ac:dyDescent="0.25">
      <c r="A10122"/>
    </row>
    <row r="10123" spans="1:1" x14ac:dyDescent="0.25">
      <c r="A10123"/>
    </row>
    <row r="10124" spans="1:1" x14ac:dyDescent="0.25">
      <c r="A10124"/>
    </row>
    <row r="10125" spans="1:1" x14ac:dyDescent="0.25">
      <c r="A10125"/>
    </row>
    <row r="10126" spans="1:1" x14ac:dyDescent="0.25">
      <c r="A10126"/>
    </row>
    <row r="10127" spans="1:1" x14ac:dyDescent="0.25">
      <c r="A10127"/>
    </row>
    <row r="10128" spans="1:1" x14ac:dyDescent="0.25">
      <c r="A10128"/>
    </row>
    <row r="10129" spans="1:1" x14ac:dyDescent="0.25">
      <c r="A10129"/>
    </row>
    <row r="10130" spans="1:1" x14ac:dyDescent="0.25">
      <c r="A10130"/>
    </row>
    <row r="10131" spans="1:1" x14ac:dyDescent="0.25">
      <c r="A10131"/>
    </row>
    <row r="10132" spans="1:1" x14ac:dyDescent="0.25">
      <c r="A10132"/>
    </row>
    <row r="10133" spans="1:1" x14ac:dyDescent="0.25">
      <c r="A10133"/>
    </row>
    <row r="10134" spans="1:1" x14ac:dyDescent="0.25">
      <c r="A10134"/>
    </row>
    <row r="10135" spans="1:1" x14ac:dyDescent="0.25">
      <c r="A10135"/>
    </row>
    <row r="10136" spans="1:1" x14ac:dyDescent="0.25">
      <c r="A10136"/>
    </row>
    <row r="10137" spans="1:1" x14ac:dyDescent="0.25">
      <c r="A10137"/>
    </row>
    <row r="10138" spans="1:1" x14ac:dyDescent="0.25">
      <c r="A10138"/>
    </row>
    <row r="10139" spans="1:1" x14ac:dyDescent="0.25">
      <c r="A10139"/>
    </row>
    <row r="10140" spans="1:1" x14ac:dyDescent="0.25">
      <c r="A10140"/>
    </row>
    <row r="10141" spans="1:1" x14ac:dyDescent="0.25">
      <c r="A10141"/>
    </row>
    <row r="10142" spans="1:1" x14ac:dyDescent="0.25">
      <c r="A10142"/>
    </row>
    <row r="10143" spans="1:1" x14ac:dyDescent="0.25">
      <c r="A10143"/>
    </row>
    <row r="10144" spans="1:1" x14ac:dyDescent="0.25">
      <c r="A10144"/>
    </row>
    <row r="10145" spans="1:1" x14ac:dyDescent="0.25">
      <c r="A10145"/>
    </row>
    <row r="10146" spans="1:1" x14ac:dyDescent="0.25">
      <c r="A10146"/>
    </row>
    <row r="10147" spans="1:1" x14ac:dyDescent="0.25">
      <c r="A10147"/>
    </row>
    <row r="10148" spans="1:1" x14ac:dyDescent="0.25">
      <c r="A10148"/>
    </row>
    <row r="10149" spans="1:1" x14ac:dyDescent="0.25">
      <c r="A10149"/>
    </row>
    <row r="10150" spans="1:1" x14ac:dyDescent="0.25">
      <c r="A10150"/>
    </row>
    <row r="10151" spans="1:1" x14ac:dyDescent="0.25">
      <c r="A10151"/>
    </row>
    <row r="10152" spans="1:1" x14ac:dyDescent="0.25">
      <c r="A10152"/>
    </row>
    <row r="10153" spans="1:1" x14ac:dyDescent="0.25">
      <c r="A10153"/>
    </row>
    <row r="10154" spans="1:1" x14ac:dyDescent="0.25">
      <c r="A10154"/>
    </row>
    <row r="10155" spans="1:1" x14ac:dyDescent="0.25">
      <c r="A10155"/>
    </row>
    <row r="10156" spans="1:1" x14ac:dyDescent="0.25">
      <c r="A10156"/>
    </row>
    <row r="10157" spans="1:1" x14ac:dyDescent="0.25">
      <c r="A10157"/>
    </row>
    <row r="10158" spans="1:1" x14ac:dyDescent="0.25">
      <c r="A10158"/>
    </row>
    <row r="10159" spans="1:1" x14ac:dyDescent="0.25">
      <c r="A10159"/>
    </row>
    <row r="10160" spans="1:1" x14ac:dyDescent="0.25">
      <c r="A10160"/>
    </row>
    <row r="10161" spans="1:1" x14ac:dyDescent="0.25">
      <c r="A10161"/>
    </row>
    <row r="10162" spans="1:1" x14ac:dyDescent="0.25">
      <c r="A10162"/>
    </row>
    <row r="10163" spans="1:1" x14ac:dyDescent="0.25">
      <c r="A10163"/>
    </row>
    <row r="10164" spans="1:1" x14ac:dyDescent="0.25">
      <c r="A10164"/>
    </row>
    <row r="10165" spans="1:1" x14ac:dyDescent="0.25">
      <c r="A10165"/>
    </row>
    <row r="10166" spans="1:1" x14ac:dyDescent="0.25">
      <c r="A10166"/>
    </row>
    <row r="10167" spans="1:1" x14ac:dyDescent="0.25">
      <c r="A10167"/>
    </row>
    <row r="10168" spans="1:1" x14ac:dyDescent="0.25">
      <c r="A10168"/>
    </row>
    <row r="10169" spans="1:1" x14ac:dyDescent="0.25">
      <c r="A10169"/>
    </row>
    <row r="10170" spans="1:1" x14ac:dyDescent="0.25">
      <c r="A10170"/>
    </row>
    <row r="10171" spans="1:1" x14ac:dyDescent="0.25">
      <c r="A10171"/>
    </row>
    <row r="10172" spans="1:1" x14ac:dyDescent="0.25">
      <c r="A10172"/>
    </row>
    <row r="10173" spans="1:1" x14ac:dyDescent="0.25">
      <c r="A10173"/>
    </row>
    <row r="10174" spans="1:1" x14ac:dyDescent="0.25">
      <c r="A10174"/>
    </row>
    <row r="10175" spans="1:1" x14ac:dyDescent="0.25">
      <c r="A10175"/>
    </row>
    <row r="10176" spans="1:1" x14ac:dyDescent="0.25">
      <c r="A10176"/>
    </row>
    <row r="10177" spans="1:1" x14ac:dyDescent="0.25">
      <c r="A10177"/>
    </row>
    <row r="10178" spans="1:1" x14ac:dyDescent="0.25">
      <c r="A10178"/>
    </row>
    <row r="10179" spans="1:1" x14ac:dyDescent="0.25">
      <c r="A10179"/>
    </row>
    <row r="10180" spans="1:1" x14ac:dyDescent="0.25">
      <c r="A10180"/>
    </row>
    <row r="10181" spans="1:1" x14ac:dyDescent="0.25">
      <c r="A10181"/>
    </row>
    <row r="10182" spans="1:1" x14ac:dyDescent="0.25">
      <c r="A10182"/>
    </row>
    <row r="10183" spans="1:1" x14ac:dyDescent="0.25">
      <c r="A10183"/>
    </row>
    <row r="10184" spans="1:1" x14ac:dyDescent="0.25">
      <c r="A10184"/>
    </row>
    <row r="10185" spans="1:1" x14ac:dyDescent="0.25">
      <c r="A10185"/>
    </row>
    <row r="10186" spans="1:1" x14ac:dyDescent="0.25">
      <c r="A10186"/>
    </row>
    <row r="10187" spans="1:1" x14ac:dyDescent="0.25">
      <c r="A10187"/>
    </row>
    <row r="10188" spans="1:1" x14ac:dyDescent="0.25">
      <c r="A10188"/>
    </row>
    <row r="10189" spans="1:1" x14ac:dyDescent="0.25">
      <c r="A10189"/>
    </row>
    <row r="10190" spans="1:1" x14ac:dyDescent="0.25">
      <c r="A10190"/>
    </row>
    <row r="10191" spans="1:1" x14ac:dyDescent="0.25">
      <c r="A10191"/>
    </row>
    <row r="10192" spans="1:1" x14ac:dyDescent="0.25">
      <c r="A10192"/>
    </row>
    <row r="10193" spans="1:1" x14ac:dyDescent="0.25">
      <c r="A10193"/>
    </row>
    <row r="10194" spans="1:1" x14ac:dyDescent="0.25">
      <c r="A10194"/>
    </row>
    <row r="10195" spans="1:1" x14ac:dyDescent="0.25">
      <c r="A10195"/>
    </row>
    <row r="10196" spans="1:1" x14ac:dyDescent="0.25">
      <c r="A10196"/>
    </row>
    <row r="10197" spans="1:1" x14ac:dyDescent="0.25">
      <c r="A10197"/>
    </row>
    <row r="10198" spans="1:1" x14ac:dyDescent="0.25">
      <c r="A10198"/>
    </row>
    <row r="10199" spans="1:1" x14ac:dyDescent="0.25">
      <c r="A10199"/>
    </row>
    <row r="10200" spans="1:1" x14ac:dyDescent="0.25">
      <c r="A10200"/>
    </row>
    <row r="10201" spans="1:1" x14ac:dyDescent="0.25">
      <c r="A10201"/>
    </row>
    <row r="10202" spans="1:1" x14ac:dyDescent="0.25">
      <c r="A10202"/>
    </row>
    <row r="10203" spans="1:1" x14ac:dyDescent="0.25">
      <c r="A10203"/>
    </row>
    <row r="10204" spans="1:1" x14ac:dyDescent="0.25">
      <c r="A10204"/>
    </row>
    <row r="10205" spans="1:1" x14ac:dyDescent="0.25">
      <c r="A10205"/>
    </row>
    <row r="10206" spans="1:1" x14ac:dyDescent="0.25">
      <c r="A10206"/>
    </row>
    <row r="10207" spans="1:1" x14ac:dyDescent="0.25">
      <c r="A10207"/>
    </row>
    <row r="10208" spans="1:1" x14ac:dyDescent="0.25">
      <c r="A10208"/>
    </row>
    <row r="10209" spans="1:1" x14ac:dyDescent="0.25">
      <c r="A10209"/>
    </row>
    <row r="10210" spans="1:1" x14ac:dyDescent="0.25">
      <c r="A10210"/>
    </row>
    <row r="10211" spans="1:1" x14ac:dyDescent="0.25">
      <c r="A10211"/>
    </row>
    <row r="10212" spans="1:1" x14ac:dyDescent="0.25">
      <c r="A10212"/>
    </row>
    <row r="10213" spans="1:1" x14ac:dyDescent="0.25">
      <c r="A10213"/>
    </row>
    <row r="10214" spans="1:1" x14ac:dyDescent="0.25">
      <c r="A10214"/>
    </row>
    <row r="10215" spans="1:1" x14ac:dyDescent="0.25">
      <c r="A10215"/>
    </row>
    <row r="10216" spans="1:1" x14ac:dyDescent="0.25">
      <c r="A10216"/>
    </row>
    <row r="10217" spans="1:1" x14ac:dyDescent="0.25">
      <c r="A10217"/>
    </row>
    <row r="10218" spans="1:1" x14ac:dyDescent="0.25">
      <c r="A10218"/>
    </row>
    <row r="10219" spans="1:1" x14ac:dyDescent="0.25">
      <c r="A10219"/>
    </row>
    <row r="10220" spans="1:1" x14ac:dyDescent="0.25">
      <c r="A10220"/>
    </row>
    <row r="10221" spans="1:1" x14ac:dyDescent="0.25">
      <c r="A10221"/>
    </row>
    <row r="10222" spans="1:1" x14ac:dyDescent="0.25">
      <c r="A10222"/>
    </row>
    <row r="10223" spans="1:1" x14ac:dyDescent="0.25">
      <c r="A10223"/>
    </row>
    <row r="10224" spans="1:1" x14ac:dyDescent="0.25">
      <c r="A10224"/>
    </row>
    <row r="10225" spans="1:1" x14ac:dyDescent="0.25">
      <c r="A10225"/>
    </row>
    <row r="10226" spans="1:1" x14ac:dyDescent="0.25">
      <c r="A10226"/>
    </row>
    <row r="10227" spans="1:1" x14ac:dyDescent="0.25">
      <c r="A10227"/>
    </row>
    <row r="10228" spans="1:1" x14ac:dyDescent="0.25">
      <c r="A10228"/>
    </row>
    <row r="10229" spans="1:1" x14ac:dyDescent="0.25">
      <c r="A10229"/>
    </row>
    <row r="10230" spans="1:1" x14ac:dyDescent="0.25">
      <c r="A10230"/>
    </row>
    <row r="10231" spans="1:1" x14ac:dyDescent="0.25">
      <c r="A10231"/>
    </row>
    <row r="10232" spans="1:1" x14ac:dyDescent="0.25">
      <c r="A10232"/>
    </row>
    <row r="10233" spans="1:1" x14ac:dyDescent="0.25">
      <c r="A10233"/>
    </row>
    <row r="10234" spans="1:1" x14ac:dyDescent="0.25">
      <c r="A10234"/>
    </row>
    <row r="10235" spans="1:1" x14ac:dyDescent="0.25">
      <c r="A10235"/>
    </row>
    <row r="10236" spans="1:1" x14ac:dyDescent="0.25">
      <c r="A10236"/>
    </row>
    <row r="10237" spans="1:1" x14ac:dyDescent="0.25">
      <c r="A10237"/>
    </row>
    <row r="10238" spans="1:1" x14ac:dyDescent="0.25">
      <c r="A10238"/>
    </row>
    <row r="10239" spans="1:1" x14ac:dyDescent="0.25">
      <c r="A10239"/>
    </row>
    <row r="10240" spans="1:1" x14ac:dyDescent="0.25">
      <c r="A10240"/>
    </row>
    <row r="10241" spans="1:1" x14ac:dyDescent="0.25">
      <c r="A10241"/>
    </row>
    <row r="10242" spans="1:1" x14ac:dyDescent="0.25">
      <c r="A10242"/>
    </row>
    <row r="10243" spans="1:1" x14ac:dyDescent="0.25">
      <c r="A10243"/>
    </row>
    <row r="10244" spans="1:1" x14ac:dyDescent="0.25">
      <c r="A10244"/>
    </row>
    <row r="10245" spans="1:1" x14ac:dyDescent="0.25">
      <c r="A10245"/>
    </row>
    <row r="10246" spans="1:1" x14ac:dyDescent="0.25">
      <c r="A10246"/>
    </row>
    <row r="10247" spans="1:1" x14ac:dyDescent="0.25">
      <c r="A10247"/>
    </row>
    <row r="10248" spans="1:1" x14ac:dyDescent="0.25">
      <c r="A10248"/>
    </row>
    <row r="10249" spans="1:1" x14ac:dyDescent="0.25">
      <c r="A10249"/>
    </row>
    <row r="10250" spans="1:1" x14ac:dyDescent="0.25">
      <c r="A10250"/>
    </row>
    <row r="10251" spans="1:1" x14ac:dyDescent="0.25">
      <c r="A10251"/>
    </row>
    <row r="10252" spans="1:1" x14ac:dyDescent="0.25">
      <c r="A10252"/>
    </row>
    <row r="10253" spans="1:1" x14ac:dyDescent="0.25">
      <c r="A10253"/>
    </row>
    <row r="10254" spans="1:1" x14ac:dyDescent="0.25">
      <c r="A10254"/>
    </row>
    <row r="10255" spans="1:1" x14ac:dyDescent="0.25">
      <c r="A10255"/>
    </row>
    <row r="10256" spans="1:1" x14ac:dyDescent="0.25">
      <c r="A10256"/>
    </row>
    <row r="10257" spans="1:1" x14ac:dyDescent="0.25">
      <c r="A10257"/>
    </row>
    <row r="10258" spans="1:1" x14ac:dyDescent="0.25">
      <c r="A10258"/>
    </row>
    <row r="10259" spans="1:1" x14ac:dyDescent="0.25">
      <c r="A10259"/>
    </row>
    <row r="10260" spans="1:1" x14ac:dyDescent="0.25">
      <c r="A10260"/>
    </row>
    <row r="10261" spans="1:1" x14ac:dyDescent="0.25">
      <c r="A10261"/>
    </row>
    <row r="10262" spans="1:1" x14ac:dyDescent="0.25">
      <c r="A10262"/>
    </row>
    <row r="10263" spans="1:1" x14ac:dyDescent="0.25">
      <c r="A10263"/>
    </row>
    <row r="10264" spans="1:1" x14ac:dyDescent="0.25">
      <c r="A10264"/>
    </row>
    <row r="10265" spans="1:1" x14ac:dyDescent="0.25">
      <c r="A10265"/>
    </row>
    <row r="10266" spans="1:1" x14ac:dyDescent="0.25">
      <c r="A10266"/>
    </row>
    <row r="10267" spans="1:1" x14ac:dyDescent="0.25">
      <c r="A10267"/>
    </row>
    <row r="10268" spans="1:1" x14ac:dyDescent="0.25">
      <c r="A10268"/>
    </row>
    <row r="10269" spans="1:1" x14ac:dyDescent="0.25">
      <c r="A10269"/>
    </row>
    <row r="10270" spans="1:1" x14ac:dyDescent="0.25">
      <c r="A10270"/>
    </row>
    <row r="10271" spans="1:1" x14ac:dyDescent="0.25">
      <c r="A10271"/>
    </row>
    <row r="10272" spans="1:1" x14ac:dyDescent="0.25">
      <c r="A10272"/>
    </row>
    <row r="10273" spans="1:1" x14ac:dyDescent="0.25">
      <c r="A10273"/>
    </row>
    <row r="10274" spans="1:1" x14ac:dyDescent="0.25">
      <c r="A10274"/>
    </row>
    <row r="10275" spans="1:1" x14ac:dyDescent="0.25">
      <c r="A10275"/>
    </row>
    <row r="10276" spans="1:1" x14ac:dyDescent="0.25">
      <c r="A10276"/>
    </row>
    <row r="10277" spans="1:1" x14ac:dyDescent="0.25">
      <c r="A10277"/>
    </row>
    <row r="10278" spans="1:1" x14ac:dyDescent="0.25">
      <c r="A10278"/>
    </row>
    <row r="10279" spans="1:1" x14ac:dyDescent="0.25">
      <c r="A10279"/>
    </row>
    <row r="10280" spans="1:1" x14ac:dyDescent="0.25">
      <c r="A10280"/>
    </row>
    <row r="10281" spans="1:1" x14ac:dyDescent="0.25">
      <c r="A10281"/>
    </row>
    <row r="10282" spans="1:1" x14ac:dyDescent="0.25">
      <c r="A10282"/>
    </row>
    <row r="10283" spans="1:1" x14ac:dyDescent="0.25">
      <c r="A10283"/>
    </row>
    <row r="10284" spans="1:1" x14ac:dyDescent="0.25">
      <c r="A10284"/>
    </row>
    <row r="10285" spans="1:1" x14ac:dyDescent="0.25">
      <c r="A10285"/>
    </row>
    <row r="10286" spans="1:1" x14ac:dyDescent="0.25">
      <c r="A10286"/>
    </row>
    <row r="10287" spans="1:1" x14ac:dyDescent="0.25">
      <c r="A10287"/>
    </row>
    <row r="10288" spans="1:1" x14ac:dyDescent="0.25">
      <c r="A10288"/>
    </row>
    <row r="10289" spans="1:1" x14ac:dyDescent="0.25">
      <c r="A10289"/>
    </row>
    <row r="10290" spans="1:1" x14ac:dyDescent="0.25">
      <c r="A10290"/>
    </row>
    <row r="10291" spans="1:1" x14ac:dyDescent="0.25">
      <c r="A10291"/>
    </row>
    <row r="10292" spans="1:1" x14ac:dyDescent="0.25">
      <c r="A10292"/>
    </row>
    <row r="10293" spans="1:1" x14ac:dyDescent="0.25">
      <c r="A10293"/>
    </row>
    <row r="10294" spans="1:1" x14ac:dyDescent="0.25">
      <c r="A10294"/>
    </row>
    <row r="10295" spans="1:1" x14ac:dyDescent="0.25">
      <c r="A10295"/>
    </row>
    <row r="10296" spans="1:1" x14ac:dyDescent="0.25">
      <c r="A10296"/>
    </row>
    <row r="10297" spans="1:1" x14ac:dyDescent="0.25">
      <c r="A10297"/>
    </row>
    <row r="10298" spans="1:1" x14ac:dyDescent="0.25">
      <c r="A10298"/>
    </row>
    <row r="10299" spans="1:1" x14ac:dyDescent="0.25">
      <c r="A10299"/>
    </row>
    <row r="10300" spans="1:1" x14ac:dyDescent="0.25">
      <c r="A10300"/>
    </row>
    <row r="10301" spans="1:1" x14ac:dyDescent="0.25">
      <c r="A10301"/>
    </row>
    <row r="10302" spans="1:1" x14ac:dyDescent="0.25">
      <c r="A10302"/>
    </row>
    <row r="10303" spans="1:1" x14ac:dyDescent="0.25">
      <c r="A10303"/>
    </row>
    <row r="10304" spans="1:1" x14ac:dyDescent="0.25">
      <c r="A10304"/>
    </row>
    <row r="10305" spans="1:1" x14ac:dyDescent="0.25">
      <c r="A10305"/>
    </row>
    <row r="10306" spans="1:1" x14ac:dyDescent="0.25">
      <c r="A10306"/>
    </row>
    <row r="10307" spans="1:1" x14ac:dyDescent="0.25">
      <c r="A10307"/>
    </row>
    <row r="10308" spans="1:1" x14ac:dyDescent="0.25">
      <c r="A10308"/>
    </row>
    <row r="10309" spans="1:1" x14ac:dyDescent="0.25">
      <c r="A10309"/>
    </row>
    <row r="10310" spans="1:1" x14ac:dyDescent="0.25">
      <c r="A10310"/>
    </row>
    <row r="10311" spans="1:1" x14ac:dyDescent="0.25">
      <c r="A10311"/>
    </row>
    <row r="10312" spans="1:1" x14ac:dyDescent="0.25">
      <c r="A10312"/>
    </row>
    <row r="10313" spans="1:1" x14ac:dyDescent="0.25">
      <c r="A10313"/>
    </row>
    <row r="10314" spans="1:1" x14ac:dyDescent="0.25">
      <c r="A10314"/>
    </row>
    <row r="10315" spans="1:1" x14ac:dyDescent="0.25">
      <c r="A10315"/>
    </row>
    <row r="10316" spans="1:1" x14ac:dyDescent="0.25">
      <c r="A10316"/>
    </row>
    <row r="10317" spans="1:1" x14ac:dyDescent="0.25">
      <c r="A10317"/>
    </row>
    <row r="10318" spans="1:1" x14ac:dyDescent="0.25">
      <c r="A10318"/>
    </row>
    <row r="10319" spans="1:1" x14ac:dyDescent="0.25">
      <c r="A10319"/>
    </row>
    <row r="10320" spans="1:1" x14ac:dyDescent="0.25">
      <c r="A10320"/>
    </row>
    <row r="10321" spans="1:1" x14ac:dyDescent="0.25">
      <c r="A10321"/>
    </row>
    <row r="10322" spans="1:1" x14ac:dyDescent="0.25">
      <c r="A10322"/>
    </row>
    <row r="10323" spans="1:1" x14ac:dyDescent="0.25">
      <c r="A10323"/>
    </row>
    <row r="10324" spans="1:1" x14ac:dyDescent="0.25">
      <c r="A10324"/>
    </row>
    <row r="10325" spans="1:1" x14ac:dyDescent="0.25">
      <c r="A10325"/>
    </row>
    <row r="10326" spans="1:1" x14ac:dyDescent="0.25">
      <c r="A10326"/>
    </row>
    <row r="10327" spans="1:1" x14ac:dyDescent="0.25">
      <c r="A10327"/>
    </row>
    <row r="10328" spans="1:1" x14ac:dyDescent="0.25">
      <c r="A10328"/>
    </row>
    <row r="10329" spans="1:1" x14ac:dyDescent="0.25">
      <c r="A10329"/>
    </row>
    <row r="10330" spans="1:1" x14ac:dyDescent="0.25">
      <c r="A10330"/>
    </row>
    <row r="10331" spans="1:1" x14ac:dyDescent="0.25">
      <c r="A10331"/>
    </row>
    <row r="10332" spans="1:1" x14ac:dyDescent="0.25">
      <c r="A10332"/>
    </row>
    <row r="10333" spans="1:1" x14ac:dyDescent="0.25">
      <c r="A10333"/>
    </row>
    <row r="10334" spans="1:1" x14ac:dyDescent="0.25">
      <c r="A10334"/>
    </row>
    <row r="10335" spans="1:1" x14ac:dyDescent="0.25">
      <c r="A10335"/>
    </row>
    <row r="10336" spans="1:1" x14ac:dyDescent="0.25">
      <c r="A10336"/>
    </row>
    <row r="10337" spans="1:1" x14ac:dyDescent="0.25">
      <c r="A10337"/>
    </row>
    <row r="10338" spans="1:1" x14ac:dyDescent="0.25">
      <c r="A10338"/>
    </row>
    <row r="10339" spans="1:1" x14ac:dyDescent="0.25">
      <c r="A10339"/>
    </row>
    <row r="10340" spans="1:1" x14ac:dyDescent="0.25">
      <c r="A10340"/>
    </row>
    <row r="10341" spans="1:1" x14ac:dyDescent="0.25">
      <c r="A10341"/>
    </row>
    <row r="10342" spans="1:1" x14ac:dyDescent="0.25">
      <c r="A10342"/>
    </row>
    <row r="10343" spans="1:1" x14ac:dyDescent="0.25">
      <c r="A10343"/>
    </row>
    <row r="10344" spans="1:1" x14ac:dyDescent="0.25">
      <c r="A10344"/>
    </row>
    <row r="10345" spans="1:1" x14ac:dyDescent="0.25">
      <c r="A10345"/>
    </row>
    <row r="10346" spans="1:1" x14ac:dyDescent="0.25">
      <c r="A10346"/>
    </row>
    <row r="10347" spans="1:1" x14ac:dyDescent="0.25">
      <c r="A10347"/>
    </row>
    <row r="10348" spans="1:1" x14ac:dyDescent="0.25">
      <c r="A10348"/>
    </row>
    <row r="10349" spans="1:1" x14ac:dyDescent="0.25">
      <c r="A10349"/>
    </row>
    <row r="10350" spans="1:1" x14ac:dyDescent="0.25">
      <c r="A10350"/>
    </row>
    <row r="10351" spans="1:1" x14ac:dyDescent="0.25">
      <c r="A10351"/>
    </row>
    <row r="10352" spans="1:1" x14ac:dyDescent="0.25">
      <c r="A10352"/>
    </row>
    <row r="10353" spans="1:1" x14ac:dyDescent="0.25">
      <c r="A10353"/>
    </row>
    <row r="10354" spans="1:1" x14ac:dyDescent="0.25">
      <c r="A10354"/>
    </row>
    <row r="10355" spans="1:1" x14ac:dyDescent="0.25">
      <c r="A10355"/>
    </row>
    <row r="10356" spans="1:1" x14ac:dyDescent="0.25">
      <c r="A10356"/>
    </row>
    <row r="10357" spans="1:1" x14ac:dyDescent="0.25">
      <c r="A10357"/>
    </row>
    <row r="10358" spans="1:1" x14ac:dyDescent="0.25">
      <c r="A10358"/>
    </row>
    <row r="10359" spans="1:1" x14ac:dyDescent="0.25">
      <c r="A10359"/>
    </row>
    <row r="10360" spans="1:1" x14ac:dyDescent="0.25">
      <c r="A10360"/>
    </row>
    <row r="10361" spans="1:1" x14ac:dyDescent="0.25">
      <c r="A10361"/>
    </row>
    <row r="10362" spans="1:1" x14ac:dyDescent="0.25">
      <c r="A10362"/>
    </row>
    <row r="10363" spans="1:1" x14ac:dyDescent="0.25">
      <c r="A10363"/>
    </row>
    <row r="10364" spans="1:1" x14ac:dyDescent="0.25">
      <c r="A10364"/>
    </row>
    <row r="10365" spans="1:1" x14ac:dyDescent="0.25">
      <c r="A10365"/>
    </row>
    <row r="10366" spans="1:1" x14ac:dyDescent="0.25">
      <c r="A10366"/>
    </row>
    <row r="10367" spans="1:1" x14ac:dyDescent="0.25">
      <c r="A10367"/>
    </row>
    <row r="10368" spans="1:1" x14ac:dyDescent="0.25">
      <c r="A10368"/>
    </row>
    <row r="10369" spans="1:1" x14ac:dyDescent="0.25">
      <c r="A10369"/>
    </row>
    <row r="10370" spans="1:1" x14ac:dyDescent="0.25">
      <c r="A10370"/>
    </row>
    <row r="10371" spans="1:1" x14ac:dyDescent="0.25">
      <c r="A10371"/>
    </row>
    <row r="10372" spans="1:1" x14ac:dyDescent="0.25">
      <c r="A10372"/>
    </row>
    <row r="10373" spans="1:1" x14ac:dyDescent="0.25">
      <c r="A10373"/>
    </row>
    <row r="10374" spans="1:1" x14ac:dyDescent="0.25">
      <c r="A10374"/>
    </row>
    <row r="10375" spans="1:1" x14ac:dyDescent="0.25">
      <c r="A10375"/>
    </row>
    <row r="10376" spans="1:1" x14ac:dyDescent="0.25">
      <c r="A10376"/>
    </row>
    <row r="10377" spans="1:1" x14ac:dyDescent="0.25">
      <c r="A10377"/>
    </row>
    <row r="10378" spans="1:1" x14ac:dyDescent="0.25">
      <c r="A10378"/>
    </row>
    <row r="10379" spans="1:1" x14ac:dyDescent="0.25">
      <c r="A10379"/>
    </row>
    <row r="10380" spans="1:1" x14ac:dyDescent="0.25">
      <c r="A10380"/>
    </row>
    <row r="10381" spans="1:1" x14ac:dyDescent="0.25">
      <c r="A10381"/>
    </row>
    <row r="10382" spans="1:1" x14ac:dyDescent="0.25">
      <c r="A10382"/>
    </row>
    <row r="10383" spans="1:1" x14ac:dyDescent="0.25">
      <c r="A10383"/>
    </row>
    <row r="10384" spans="1:1" x14ac:dyDescent="0.25">
      <c r="A10384"/>
    </row>
    <row r="10385" spans="1:1" x14ac:dyDescent="0.25">
      <c r="A10385"/>
    </row>
    <row r="10386" spans="1:1" x14ac:dyDescent="0.25">
      <c r="A10386"/>
    </row>
    <row r="10387" spans="1:1" x14ac:dyDescent="0.25">
      <c r="A10387"/>
    </row>
    <row r="10388" spans="1:1" x14ac:dyDescent="0.25">
      <c r="A10388"/>
    </row>
    <row r="10389" spans="1:1" x14ac:dyDescent="0.25">
      <c r="A10389"/>
    </row>
    <row r="10390" spans="1:1" x14ac:dyDescent="0.25">
      <c r="A10390"/>
    </row>
    <row r="10391" spans="1:1" x14ac:dyDescent="0.25">
      <c r="A10391"/>
    </row>
    <row r="10392" spans="1:1" x14ac:dyDescent="0.25">
      <c r="A10392"/>
    </row>
    <row r="10393" spans="1:1" x14ac:dyDescent="0.25">
      <c r="A10393"/>
    </row>
    <row r="10394" spans="1:1" x14ac:dyDescent="0.25">
      <c r="A10394"/>
    </row>
    <row r="10395" spans="1:1" x14ac:dyDescent="0.25">
      <c r="A10395"/>
    </row>
    <row r="10396" spans="1:1" x14ac:dyDescent="0.25">
      <c r="A10396"/>
    </row>
    <row r="10397" spans="1:1" x14ac:dyDescent="0.25">
      <c r="A10397"/>
    </row>
    <row r="10398" spans="1:1" x14ac:dyDescent="0.25">
      <c r="A10398"/>
    </row>
    <row r="10399" spans="1:1" x14ac:dyDescent="0.25">
      <c r="A10399"/>
    </row>
    <row r="10400" spans="1:1" x14ac:dyDescent="0.25">
      <c r="A10400"/>
    </row>
    <row r="10401" spans="1:1" x14ac:dyDescent="0.25">
      <c r="A10401"/>
    </row>
    <row r="10402" spans="1:1" x14ac:dyDescent="0.25">
      <c r="A10402"/>
    </row>
    <row r="10403" spans="1:1" x14ac:dyDescent="0.25">
      <c r="A10403"/>
    </row>
    <row r="10404" spans="1:1" x14ac:dyDescent="0.25">
      <c r="A10404"/>
    </row>
    <row r="10405" spans="1:1" x14ac:dyDescent="0.25">
      <c r="A10405"/>
    </row>
    <row r="10406" spans="1:1" x14ac:dyDescent="0.25">
      <c r="A10406"/>
    </row>
    <row r="10407" spans="1:1" x14ac:dyDescent="0.25">
      <c r="A10407"/>
    </row>
    <row r="10408" spans="1:1" x14ac:dyDescent="0.25">
      <c r="A10408"/>
    </row>
    <row r="10409" spans="1:1" x14ac:dyDescent="0.25">
      <c r="A10409"/>
    </row>
    <row r="10410" spans="1:1" x14ac:dyDescent="0.25">
      <c r="A10410"/>
    </row>
    <row r="10411" spans="1:1" x14ac:dyDescent="0.25">
      <c r="A10411"/>
    </row>
    <row r="10412" spans="1:1" x14ac:dyDescent="0.25">
      <c r="A10412"/>
    </row>
    <row r="10413" spans="1:1" x14ac:dyDescent="0.25">
      <c r="A10413"/>
    </row>
    <row r="10414" spans="1:1" x14ac:dyDescent="0.25">
      <c r="A10414"/>
    </row>
    <row r="10415" spans="1:1" x14ac:dyDescent="0.25">
      <c r="A10415"/>
    </row>
    <row r="10416" spans="1:1" x14ac:dyDescent="0.25">
      <c r="A10416"/>
    </row>
    <row r="10417" spans="1:1" x14ac:dyDescent="0.25">
      <c r="A10417"/>
    </row>
    <row r="10418" spans="1:1" x14ac:dyDescent="0.25">
      <c r="A10418"/>
    </row>
    <row r="10419" spans="1:1" x14ac:dyDescent="0.25">
      <c r="A10419"/>
    </row>
    <row r="10420" spans="1:1" x14ac:dyDescent="0.25">
      <c r="A10420"/>
    </row>
    <row r="10421" spans="1:1" x14ac:dyDescent="0.25">
      <c r="A10421"/>
    </row>
    <row r="10422" spans="1:1" x14ac:dyDescent="0.25">
      <c r="A10422"/>
    </row>
    <row r="10423" spans="1:1" x14ac:dyDescent="0.25">
      <c r="A10423"/>
    </row>
    <row r="10424" spans="1:1" x14ac:dyDescent="0.25">
      <c r="A10424"/>
    </row>
    <row r="10425" spans="1:1" x14ac:dyDescent="0.25">
      <c r="A10425"/>
    </row>
    <row r="10426" spans="1:1" x14ac:dyDescent="0.25">
      <c r="A10426"/>
    </row>
    <row r="10427" spans="1:1" x14ac:dyDescent="0.25">
      <c r="A10427"/>
    </row>
    <row r="10428" spans="1:1" x14ac:dyDescent="0.25">
      <c r="A10428"/>
    </row>
    <row r="10429" spans="1:1" x14ac:dyDescent="0.25">
      <c r="A10429"/>
    </row>
    <row r="10430" spans="1:1" x14ac:dyDescent="0.25">
      <c r="A10430"/>
    </row>
    <row r="10431" spans="1:1" x14ac:dyDescent="0.25">
      <c r="A10431"/>
    </row>
    <row r="10432" spans="1:1" x14ac:dyDescent="0.25">
      <c r="A10432"/>
    </row>
    <row r="10433" spans="1:1" x14ac:dyDescent="0.25">
      <c r="A10433"/>
    </row>
    <row r="10434" spans="1:1" x14ac:dyDescent="0.25">
      <c r="A10434"/>
    </row>
    <row r="10435" spans="1:1" x14ac:dyDescent="0.25">
      <c r="A10435"/>
    </row>
    <row r="10436" spans="1:1" x14ac:dyDescent="0.25">
      <c r="A10436"/>
    </row>
    <row r="10437" spans="1:1" x14ac:dyDescent="0.25">
      <c r="A10437"/>
    </row>
    <row r="10438" spans="1:1" x14ac:dyDescent="0.25">
      <c r="A10438"/>
    </row>
    <row r="10439" spans="1:1" x14ac:dyDescent="0.25">
      <c r="A10439"/>
    </row>
    <row r="10440" spans="1:1" x14ac:dyDescent="0.25">
      <c r="A10440"/>
    </row>
    <row r="10441" spans="1:1" x14ac:dyDescent="0.25">
      <c r="A10441"/>
    </row>
    <row r="10442" spans="1:1" x14ac:dyDescent="0.25">
      <c r="A10442"/>
    </row>
    <row r="10443" spans="1:1" x14ac:dyDescent="0.25">
      <c r="A10443"/>
    </row>
    <row r="10444" spans="1:1" x14ac:dyDescent="0.25">
      <c r="A10444"/>
    </row>
    <row r="10445" spans="1:1" x14ac:dyDescent="0.25">
      <c r="A10445"/>
    </row>
    <row r="10446" spans="1:1" x14ac:dyDescent="0.25">
      <c r="A10446"/>
    </row>
    <row r="10447" spans="1:1" x14ac:dyDescent="0.25">
      <c r="A10447"/>
    </row>
    <row r="10448" spans="1:1" x14ac:dyDescent="0.25">
      <c r="A10448"/>
    </row>
    <row r="10449" spans="1:1" x14ac:dyDescent="0.25">
      <c r="A10449"/>
    </row>
    <row r="10450" spans="1:1" x14ac:dyDescent="0.25">
      <c r="A10450"/>
    </row>
    <row r="10451" spans="1:1" x14ac:dyDescent="0.25">
      <c r="A10451"/>
    </row>
    <row r="10452" spans="1:1" x14ac:dyDescent="0.25">
      <c r="A10452"/>
    </row>
    <row r="10453" spans="1:1" x14ac:dyDescent="0.25">
      <c r="A10453"/>
    </row>
    <row r="10454" spans="1:1" x14ac:dyDescent="0.25">
      <c r="A10454"/>
    </row>
    <row r="10455" spans="1:1" x14ac:dyDescent="0.25">
      <c r="A10455"/>
    </row>
    <row r="10456" spans="1:1" x14ac:dyDescent="0.25">
      <c r="A10456"/>
    </row>
    <row r="10457" spans="1:1" x14ac:dyDescent="0.25">
      <c r="A10457"/>
    </row>
    <row r="10458" spans="1:1" x14ac:dyDescent="0.25">
      <c r="A10458"/>
    </row>
    <row r="10459" spans="1:1" x14ac:dyDescent="0.25">
      <c r="A10459"/>
    </row>
    <row r="10460" spans="1:1" x14ac:dyDescent="0.25">
      <c r="A10460"/>
    </row>
    <row r="10461" spans="1:1" x14ac:dyDescent="0.25">
      <c r="A10461"/>
    </row>
    <row r="10462" spans="1:1" x14ac:dyDescent="0.25">
      <c r="A10462"/>
    </row>
    <row r="10463" spans="1:1" x14ac:dyDescent="0.25">
      <c r="A10463"/>
    </row>
    <row r="10464" spans="1:1" x14ac:dyDescent="0.25">
      <c r="A10464"/>
    </row>
    <row r="10465" spans="1:1" x14ac:dyDescent="0.25">
      <c r="A10465"/>
    </row>
    <row r="10466" spans="1:1" x14ac:dyDescent="0.25">
      <c r="A10466"/>
    </row>
    <row r="10467" spans="1:1" x14ac:dyDescent="0.25">
      <c r="A10467"/>
    </row>
    <row r="10468" spans="1:1" x14ac:dyDescent="0.25">
      <c r="A10468"/>
    </row>
    <row r="10469" spans="1:1" x14ac:dyDescent="0.25">
      <c r="A10469"/>
    </row>
    <row r="10470" spans="1:1" x14ac:dyDescent="0.25">
      <c r="A10470"/>
    </row>
    <row r="10471" spans="1:1" x14ac:dyDescent="0.25">
      <c r="A10471"/>
    </row>
    <row r="10472" spans="1:1" x14ac:dyDescent="0.25">
      <c r="A10472"/>
    </row>
    <row r="10473" spans="1:1" x14ac:dyDescent="0.25">
      <c r="A10473"/>
    </row>
    <row r="10474" spans="1:1" x14ac:dyDescent="0.25">
      <c r="A10474"/>
    </row>
    <row r="10475" spans="1:1" x14ac:dyDescent="0.25">
      <c r="A10475"/>
    </row>
    <row r="10476" spans="1:1" x14ac:dyDescent="0.25">
      <c r="A10476"/>
    </row>
    <row r="10477" spans="1:1" x14ac:dyDescent="0.25">
      <c r="A10477"/>
    </row>
    <row r="10478" spans="1:1" x14ac:dyDescent="0.25">
      <c r="A10478"/>
    </row>
    <row r="10479" spans="1:1" x14ac:dyDescent="0.25">
      <c r="A10479"/>
    </row>
    <row r="10480" spans="1:1" x14ac:dyDescent="0.25">
      <c r="A10480"/>
    </row>
    <row r="10481" spans="1:1" x14ac:dyDescent="0.25">
      <c r="A10481"/>
    </row>
    <row r="10482" spans="1:1" x14ac:dyDescent="0.25">
      <c r="A10482"/>
    </row>
    <row r="10483" spans="1:1" x14ac:dyDescent="0.25">
      <c r="A10483"/>
    </row>
    <row r="10484" spans="1:1" x14ac:dyDescent="0.25">
      <c r="A10484"/>
    </row>
    <row r="10485" spans="1:1" x14ac:dyDescent="0.25">
      <c r="A10485"/>
    </row>
    <row r="10486" spans="1:1" x14ac:dyDescent="0.25">
      <c r="A10486"/>
    </row>
    <row r="10487" spans="1:1" x14ac:dyDescent="0.25">
      <c r="A10487"/>
    </row>
    <row r="10488" spans="1:1" x14ac:dyDescent="0.25">
      <c r="A10488"/>
    </row>
    <row r="10489" spans="1:1" x14ac:dyDescent="0.25">
      <c r="A10489"/>
    </row>
    <row r="10490" spans="1:1" x14ac:dyDescent="0.25">
      <c r="A10490"/>
    </row>
    <row r="10491" spans="1:1" x14ac:dyDescent="0.25">
      <c r="A10491"/>
    </row>
    <row r="10492" spans="1:1" x14ac:dyDescent="0.25">
      <c r="A10492"/>
    </row>
    <row r="10493" spans="1:1" x14ac:dyDescent="0.25">
      <c r="A10493"/>
    </row>
    <row r="10494" spans="1:1" x14ac:dyDescent="0.25">
      <c r="A10494"/>
    </row>
    <row r="10495" spans="1:1" x14ac:dyDescent="0.25">
      <c r="A10495"/>
    </row>
    <row r="10496" spans="1:1" x14ac:dyDescent="0.25">
      <c r="A10496"/>
    </row>
    <row r="10497" spans="1:1" x14ac:dyDescent="0.25">
      <c r="A10497"/>
    </row>
    <row r="10498" spans="1:1" x14ac:dyDescent="0.25">
      <c r="A10498"/>
    </row>
    <row r="10499" spans="1:1" x14ac:dyDescent="0.25">
      <c r="A10499"/>
    </row>
    <row r="10500" spans="1:1" x14ac:dyDescent="0.25">
      <c r="A10500"/>
    </row>
    <row r="10501" spans="1:1" x14ac:dyDescent="0.25">
      <c r="A10501"/>
    </row>
    <row r="10502" spans="1:1" x14ac:dyDescent="0.25">
      <c r="A10502"/>
    </row>
    <row r="10503" spans="1:1" x14ac:dyDescent="0.25">
      <c r="A10503"/>
    </row>
    <row r="10504" spans="1:1" x14ac:dyDescent="0.25">
      <c r="A10504"/>
    </row>
    <row r="10505" spans="1:1" x14ac:dyDescent="0.25">
      <c r="A10505"/>
    </row>
    <row r="10506" spans="1:1" x14ac:dyDescent="0.25">
      <c r="A10506"/>
    </row>
    <row r="10507" spans="1:1" x14ac:dyDescent="0.25">
      <c r="A10507"/>
    </row>
    <row r="10508" spans="1:1" x14ac:dyDescent="0.25">
      <c r="A10508"/>
    </row>
    <row r="10509" spans="1:1" x14ac:dyDescent="0.25">
      <c r="A10509"/>
    </row>
    <row r="10510" spans="1:1" x14ac:dyDescent="0.25">
      <c r="A10510"/>
    </row>
    <row r="10511" spans="1:1" x14ac:dyDescent="0.25">
      <c r="A10511"/>
    </row>
    <row r="10512" spans="1:1" x14ac:dyDescent="0.25">
      <c r="A10512"/>
    </row>
    <row r="10513" spans="1:1" x14ac:dyDescent="0.25">
      <c r="A10513"/>
    </row>
    <row r="10514" spans="1:1" x14ac:dyDescent="0.25">
      <c r="A10514"/>
    </row>
    <row r="10515" spans="1:1" x14ac:dyDescent="0.25">
      <c r="A10515"/>
    </row>
    <row r="10516" spans="1:1" x14ac:dyDescent="0.25">
      <c r="A10516"/>
    </row>
    <row r="10517" spans="1:1" x14ac:dyDescent="0.25">
      <c r="A10517"/>
    </row>
    <row r="10518" spans="1:1" x14ac:dyDescent="0.25">
      <c r="A10518"/>
    </row>
    <row r="10519" spans="1:1" x14ac:dyDescent="0.25">
      <c r="A10519"/>
    </row>
    <row r="10520" spans="1:1" x14ac:dyDescent="0.25">
      <c r="A10520"/>
    </row>
    <row r="10521" spans="1:1" x14ac:dyDescent="0.25">
      <c r="A10521"/>
    </row>
    <row r="10522" spans="1:1" x14ac:dyDescent="0.25">
      <c r="A10522"/>
    </row>
    <row r="10523" spans="1:1" x14ac:dyDescent="0.25">
      <c r="A10523"/>
    </row>
    <row r="10524" spans="1:1" x14ac:dyDescent="0.25">
      <c r="A10524"/>
    </row>
    <row r="10525" spans="1:1" x14ac:dyDescent="0.25">
      <c r="A10525"/>
    </row>
    <row r="10526" spans="1:1" x14ac:dyDescent="0.25">
      <c r="A10526"/>
    </row>
    <row r="10527" spans="1:1" x14ac:dyDescent="0.25">
      <c r="A10527"/>
    </row>
    <row r="10528" spans="1:1" x14ac:dyDescent="0.25">
      <c r="A10528"/>
    </row>
    <row r="10529" spans="1:1" x14ac:dyDescent="0.25">
      <c r="A10529"/>
    </row>
    <row r="10530" spans="1:1" x14ac:dyDescent="0.25">
      <c r="A10530"/>
    </row>
    <row r="10531" spans="1:1" x14ac:dyDescent="0.25">
      <c r="A10531"/>
    </row>
    <row r="10532" spans="1:1" x14ac:dyDescent="0.25">
      <c r="A10532"/>
    </row>
    <row r="10533" spans="1:1" x14ac:dyDescent="0.25">
      <c r="A10533"/>
    </row>
    <row r="10534" spans="1:1" x14ac:dyDescent="0.25">
      <c r="A10534"/>
    </row>
    <row r="10535" spans="1:1" x14ac:dyDescent="0.25">
      <c r="A10535"/>
    </row>
    <row r="10536" spans="1:1" x14ac:dyDescent="0.25">
      <c r="A10536"/>
    </row>
    <row r="10537" spans="1:1" x14ac:dyDescent="0.25">
      <c r="A10537"/>
    </row>
    <row r="10538" spans="1:1" x14ac:dyDescent="0.25">
      <c r="A10538"/>
    </row>
    <row r="10539" spans="1:1" x14ac:dyDescent="0.25">
      <c r="A10539"/>
    </row>
    <row r="10540" spans="1:1" x14ac:dyDescent="0.25">
      <c r="A10540"/>
    </row>
    <row r="10541" spans="1:1" x14ac:dyDescent="0.25">
      <c r="A10541"/>
    </row>
    <row r="10542" spans="1:1" x14ac:dyDescent="0.25">
      <c r="A10542"/>
    </row>
    <row r="10543" spans="1:1" x14ac:dyDescent="0.25">
      <c r="A10543"/>
    </row>
    <row r="10544" spans="1:1" x14ac:dyDescent="0.25">
      <c r="A10544"/>
    </row>
    <row r="10545" spans="1:1" x14ac:dyDescent="0.25">
      <c r="A10545"/>
    </row>
    <row r="10546" spans="1:1" x14ac:dyDescent="0.25">
      <c r="A10546"/>
    </row>
    <row r="10547" spans="1:1" x14ac:dyDescent="0.25">
      <c r="A10547"/>
    </row>
    <row r="10548" spans="1:1" x14ac:dyDescent="0.25">
      <c r="A10548"/>
    </row>
    <row r="10549" spans="1:1" x14ac:dyDescent="0.25">
      <c r="A10549"/>
    </row>
    <row r="10550" spans="1:1" x14ac:dyDescent="0.25">
      <c r="A10550"/>
    </row>
    <row r="10551" spans="1:1" x14ac:dyDescent="0.25">
      <c r="A10551"/>
    </row>
    <row r="10552" spans="1:1" x14ac:dyDescent="0.25">
      <c r="A10552"/>
    </row>
    <row r="10553" spans="1:1" x14ac:dyDescent="0.25">
      <c r="A10553"/>
    </row>
    <row r="10554" spans="1:1" x14ac:dyDescent="0.25">
      <c r="A10554"/>
    </row>
    <row r="10555" spans="1:1" x14ac:dyDescent="0.25">
      <c r="A10555"/>
    </row>
    <row r="10556" spans="1:1" x14ac:dyDescent="0.25">
      <c r="A10556"/>
    </row>
    <row r="10557" spans="1:1" x14ac:dyDescent="0.25">
      <c r="A10557"/>
    </row>
    <row r="10558" spans="1:1" x14ac:dyDescent="0.25">
      <c r="A10558"/>
    </row>
    <row r="10559" spans="1:1" x14ac:dyDescent="0.25">
      <c r="A10559"/>
    </row>
    <row r="10560" spans="1:1" x14ac:dyDescent="0.25">
      <c r="A10560"/>
    </row>
    <row r="10561" spans="1:1" x14ac:dyDescent="0.25">
      <c r="A10561"/>
    </row>
    <row r="10562" spans="1:1" x14ac:dyDescent="0.25">
      <c r="A10562"/>
    </row>
    <row r="10563" spans="1:1" x14ac:dyDescent="0.25">
      <c r="A10563"/>
    </row>
    <row r="10564" spans="1:1" x14ac:dyDescent="0.25">
      <c r="A10564"/>
    </row>
    <row r="10565" spans="1:1" x14ac:dyDescent="0.25">
      <c r="A10565"/>
    </row>
    <row r="10566" spans="1:1" x14ac:dyDescent="0.25">
      <c r="A10566"/>
    </row>
    <row r="10567" spans="1:1" x14ac:dyDescent="0.25">
      <c r="A10567"/>
    </row>
    <row r="10568" spans="1:1" x14ac:dyDescent="0.25">
      <c r="A10568"/>
    </row>
    <row r="10569" spans="1:1" x14ac:dyDescent="0.25">
      <c r="A10569"/>
    </row>
    <row r="10570" spans="1:1" x14ac:dyDescent="0.25">
      <c r="A10570"/>
    </row>
    <row r="10571" spans="1:1" x14ac:dyDescent="0.25">
      <c r="A10571"/>
    </row>
    <row r="10572" spans="1:1" x14ac:dyDescent="0.25">
      <c r="A10572"/>
    </row>
    <row r="10573" spans="1:1" x14ac:dyDescent="0.25">
      <c r="A10573"/>
    </row>
    <row r="10574" spans="1:1" x14ac:dyDescent="0.25">
      <c r="A10574"/>
    </row>
    <row r="10575" spans="1:1" x14ac:dyDescent="0.25">
      <c r="A10575"/>
    </row>
    <row r="10576" spans="1:1" x14ac:dyDescent="0.25">
      <c r="A10576"/>
    </row>
    <row r="10577" spans="1:1" x14ac:dyDescent="0.25">
      <c r="A10577"/>
    </row>
    <row r="10578" spans="1:1" x14ac:dyDescent="0.25">
      <c r="A10578"/>
    </row>
    <row r="10579" spans="1:1" x14ac:dyDescent="0.25">
      <c r="A10579"/>
    </row>
    <row r="10580" spans="1:1" x14ac:dyDescent="0.25">
      <c r="A10580"/>
    </row>
    <row r="10581" spans="1:1" x14ac:dyDescent="0.25">
      <c r="A10581"/>
    </row>
    <row r="10582" spans="1:1" x14ac:dyDescent="0.25">
      <c r="A10582"/>
    </row>
    <row r="10583" spans="1:1" x14ac:dyDescent="0.25">
      <c r="A10583"/>
    </row>
    <row r="10584" spans="1:1" x14ac:dyDescent="0.25">
      <c r="A10584"/>
    </row>
    <row r="10585" spans="1:1" x14ac:dyDescent="0.25">
      <c r="A10585"/>
    </row>
    <row r="10586" spans="1:1" x14ac:dyDescent="0.25">
      <c r="A10586"/>
    </row>
    <row r="10587" spans="1:1" x14ac:dyDescent="0.25">
      <c r="A10587"/>
    </row>
    <row r="10588" spans="1:1" x14ac:dyDescent="0.25">
      <c r="A10588"/>
    </row>
    <row r="10589" spans="1:1" x14ac:dyDescent="0.25">
      <c r="A10589"/>
    </row>
    <row r="10590" spans="1:1" x14ac:dyDescent="0.25">
      <c r="A10590"/>
    </row>
    <row r="10591" spans="1:1" x14ac:dyDescent="0.25">
      <c r="A10591"/>
    </row>
    <row r="10592" spans="1:1" x14ac:dyDescent="0.25">
      <c r="A10592"/>
    </row>
    <row r="10593" spans="1:1" x14ac:dyDescent="0.25">
      <c r="A10593"/>
    </row>
    <row r="10594" spans="1:1" x14ac:dyDescent="0.25">
      <c r="A10594"/>
    </row>
    <row r="10595" spans="1:1" x14ac:dyDescent="0.25">
      <c r="A10595"/>
    </row>
    <row r="10596" spans="1:1" x14ac:dyDescent="0.25">
      <c r="A10596"/>
    </row>
    <row r="10597" spans="1:1" x14ac:dyDescent="0.25">
      <c r="A10597"/>
    </row>
    <row r="10598" spans="1:1" x14ac:dyDescent="0.25">
      <c r="A10598"/>
    </row>
    <row r="10599" spans="1:1" x14ac:dyDescent="0.25">
      <c r="A10599"/>
    </row>
    <row r="10600" spans="1:1" x14ac:dyDescent="0.25">
      <c r="A10600"/>
    </row>
    <row r="10601" spans="1:1" x14ac:dyDescent="0.25">
      <c r="A10601"/>
    </row>
    <row r="10602" spans="1:1" x14ac:dyDescent="0.25">
      <c r="A10602"/>
    </row>
    <row r="10603" spans="1:1" x14ac:dyDescent="0.25">
      <c r="A10603"/>
    </row>
    <row r="10604" spans="1:1" x14ac:dyDescent="0.25">
      <c r="A10604"/>
    </row>
    <row r="10605" spans="1:1" x14ac:dyDescent="0.25">
      <c r="A10605"/>
    </row>
    <row r="10606" spans="1:1" x14ac:dyDescent="0.25">
      <c r="A10606"/>
    </row>
    <row r="10607" spans="1:1" x14ac:dyDescent="0.25">
      <c r="A10607"/>
    </row>
    <row r="10608" spans="1:1" x14ac:dyDescent="0.25">
      <c r="A10608"/>
    </row>
    <row r="10609" spans="1:1" x14ac:dyDescent="0.25">
      <c r="A10609"/>
    </row>
    <row r="10610" spans="1:1" x14ac:dyDescent="0.25">
      <c r="A10610"/>
    </row>
    <row r="10611" spans="1:1" x14ac:dyDescent="0.25">
      <c r="A10611"/>
    </row>
    <row r="10612" spans="1:1" x14ac:dyDescent="0.25">
      <c r="A10612"/>
    </row>
    <row r="10613" spans="1:1" x14ac:dyDescent="0.25">
      <c r="A10613"/>
    </row>
    <row r="10614" spans="1:1" x14ac:dyDescent="0.25">
      <c r="A10614"/>
    </row>
    <row r="10615" spans="1:1" x14ac:dyDescent="0.25">
      <c r="A10615"/>
    </row>
    <row r="10616" spans="1:1" x14ac:dyDescent="0.25">
      <c r="A10616"/>
    </row>
    <row r="10617" spans="1:1" x14ac:dyDescent="0.25">
      <c r="A10617"/>
    </row>
    <row r="10618" spans="1:1" x14ac:dyDescent="0.25">
      <c r="A10618"/>
    </row>
    <row r="10619" spans="1:1" x14ac:dyDescent="0.25">
      <c r="A10619"/>
    </row>
    <row r="10620" spans="1:1" x14ac:dyDescent="0.25">
      <c r="A10620"/>
    </row>
    <row r="10621" spans="1:1" x14ac:dyDescent="0.25">
      <c r="A10621"/>
    </row>
    <row r="10622" spans="1:1" x14ac:dyDescent="0.25">
      <c r="A10622"/>
    </row>
    <row r="10623" spans="1:1" x14ac:dyDescent="0.25">
      <c r="A10623"/>
    </row>
    <row r="10624" spans="1:1" x14ac:dyDescent="0.25">
      <c r="A10624"/>
    </row>
    <row r="10625" spans="1:1" x14ac:dyDescent="0.25">
      <c r="A10625"/>
    </row>
    <row r="10626" spans="1:1" x14ac:dyDescent="0.25">
      <c r="A10626"/>
    </row>
    <row r="10627" spans="1:1" x14ac:dyDescent="0.25">
      <c r="A10627"/>
    </row>
    <row r="10628" spans="1:1" x14ac:dyDescent="0.25">
      <c r="A10628"/>
    </row>
    <row r="10629" spans="1:1" x14ac:dyDescent="0.25">
      <c r="A10629"/>
    </row>
    <row r="10630" spans="1:1" x14ac:dyDescent="0.25">
      <c r="A10630"/>
    </row>
    <row r="10631" spans="1:1" x14ac:dyDescent="0.25">
      <c r="A10631"/>
    </row>
    <row r="10632" spans="1:1" x14ac:dyDescent="0.25">
      <c r="A10632"/>
    </row>
    <row r="10633" spans="1:1" x14ac:dyDescent="0.25">
      <c r="A10633"/>
    </row>
    <row r="10634" spans="1:1" x14ac:dyDescent="0.25">
      <c r="A10634"/>
    </row>
    <row r="10635" spans="1:1" x14ac:dyDescent="0.25">
      <c r="A10635"/>
    </row>
    <row r="10636" spans="1:1" x14ac:dyDescent="0.25">
      <c r="A10636"/>
    </row>
    <row r="10637" spans="1:1" x14ac:dyDescent="0.25">
      <c r="A10637"/>
    </row>
    <row r="10638" spans="1:1" x14ac:dyDescent="0.25">
      <c r="A10638"/>
    </row>
    <row r="10639" spans="1:1" x14ac:dyDescent="0.25">
      <c r="A10639"/>
    </row>
    <row r="10640" spans="1:1" x14ac:dyDescent="0.25">
      <c r="A10640"/>
    </row>
    <row r="10641" spans="1:1" x14ac:dyDescent="0.25">
      <c r="A10641"/>
    </row>
    <row r="10642" spans="1:1" x14ac:dyDescent="0.25">
      <c r="A10642"/>
    </row>
    <row r="10643" spans="1:1" x14ac:dyDescent="0.25">
      <c r="A10643"/>
    </row>
    <row r="10644" spans="1:1" x14ac:dyDescent="0.25">
      <c r="A10644"/>
    </row>
    <row r="10645" spans="1:1" x14ac:dyDescent="0.25">
      <c r="A10645"/>
    </row>
    <row r="10646" spans="1:1" x14ac:dyDescent="0.25">
      <c r="A10646"/>
    </row>
    <row r="10647" spans="1:1" x14ac:dyDescent="0.25">
      <c r="A10647"/>
    </row>
    <row r="10648" spans="1:1" x14ac:dyDescent="0.25">
      <c r="A10648"/>
    </row>
    <row r="10649" spans="1:1" x14ac:dyDescent="0.25">
      <c r="A10649"/>
    </row>
    <row r="10650" spans="1:1" x14ac:dyDescent="0.25">
      <c r="A10650"/>
    </row>
    <row r="10651" spans="1:1" x14ac:dyDescent="0.25">
      <c r="A10651"/>
    </row>
    <row r="10652" spans="1:1" x14ac:dyDescent="0.25">
      <c r="A10652"/>
    </row>
    <row r="10653" spans="1:1" x14ac:dyDescent="0.25">
      <c r="A10653"/>
    </row>
    <row r="10654" spans="1:1" x14ac:dyDescent="0.25">
      <c r="A10654"/>
    </row>
    <row r="10655" spans="1:1" x14ac:dyDescent="0.25">
      <c r="A10655"/>
    </row>
    <row r="10656" spans="1:1" x14ac:dyDescent="0.25">
      <c r="A10656"/>
    </row>
    <row r="10657" spans="1:1" x14ac:dyDescent="0.25">
      <c r="A10657"/>
    </row>
    <row r="10658" spans="1:1" x14ac:dyDescent="0.25">
      <c r="A10658"/>
    </row>
    <row r="10659" spans="1:1" x14ac:dyDescent="0.25">
      <c r="A10659"/>
    </row>
    <row r="10660" spans="1:1" x14ac:dyDescent="0.25">
      <c r="A10660"/>
    </row>
    <row r="10661" spans="1:1" x14ac:dyDescent="0.25">
      <c r="A10661"/>
    </row>
    <row r="10662" spans="1:1" x14ac:dyDescent="0.25">
      <c r="A10662"/>
    </row>
    <row r="10663" spans="1:1" x14ac:dyDescent="0.25">
      <c r="A10663"/>
    </row>
    <row r="10664" spans="1:1" x14ac:dyDescent="0.25">
      <c r="A10664"/>
    </row>
    <row r="10665" spans="1:1" x14ac:dyDescent="0.25">
      <c r="A10665"/>
    </row>
    <row r="10666" spans="1:1" x14ac:dyDescent="0.25">
      <c r="A10666"/>
    </row>
    <row r="10667" spans="1:1" x14ac:dyDescent="0.25">
      <c r="A10667"/>
    </row>
    <row r="10668" spans="1:1" x14ac:dyDescent="0.25">
      <c r="A10668"/>
    </row>
    <row r="10669" spans="1:1" x14ac:dyDescent="0.25">
      <c r="A10669"/>
    </row>
    <row r="10670" spans="1:1" x14ac:dyDescent="0.25">
      <c r="A10670"/>
    </row>
    <row r="10671" spans="1:1" x14ac:dyDescent="0.25">
      <c r="A10671"/>
    </row>
    <row r="10672" spans="1:1" x14ac:dyDescent="0.25">
      <c r="A10672"/>
    </row>
    <row r="10673" spans="1:1" x14ac:dyDescent="0.25">
      <c r="A10673"/>
    </row>
    <row r="10674" spans="1:1" x14ac:dyDescent="0.25">
      <c r="A10674"/>
    </row>
    <row r="10675" spans="1:1" x14ac:dyDescent="0.25">
      <c r="A10675"/>
    </row>
    <row r="10676" spans="1:1" x14ac:dyDescent="0.25">
      <c r="A10676"/>
    </row>
    <row r="10677" spans="1:1" x14ac:dyDescent="0.25">
      <c r="A10677"/>
    </row>
    <row r="10678" spans="1:1" x14ac:dyDescent="0.25">
      <c r="A10678"/>
    </row>
    <row r="10679" spans="1:1" x14ac:dyDescent="0.25">
      <c r="A10679"/>
    </row>
    <row r="10680" spans="1:1" x14ac:dyDescent="0.25">
      <c r="A10680"/>
    </row>
    <row r="10681" spans="1:1" x14ac:dyDescent="0.25">
      <c r="A10681"/>
    </row>
    <row r="10682" spans="1:1" x14ac:dyDescent="0.25">
      <c r="A10682"/>
    </row>
    <row r="10683" spans="1:1" x14ac:dyDescent="0.25">
      <c r="A10683"/>
    </row>
    <row r="10684" spans="1:1" x14ac:dyDescent="0.25">
      <c r="A10684"/>
    </row>
    <row r="10685" spans="1:1" x14ac:dyDescent="0.25">
      <c r="A10685"/>
    </row>
    <row r="10686" spans="1:1" x14ac:dyDescent="0.25">
      <c r="A10686"/>
    </row>
    <row r="10687" spans="1:1" x14ac:dyDescent="0.25">
      <c r="A10687"/>
    </row>
    <row r="10688" spans="1:1" x14ac:dyDescent="0.25">
      <c r="A10688"/>
    </row>
    <row r="10689" spans="1:1" x14ac:dyDescent="0.25">
      <c r="A10689"/>
    </row>
    <row r="10690" spans="1:1" x14ac:dyDescent="0.25">
      <c r="A10690"/>
    </row>
    <row r="10691" spans="1:1" x14ac:dyDescent="0.25">
      <c r="A10691"/>
    </row>
    <row r="10692" spans="1:1" x14ac:dyDescent="0.25">
      <c r="A10692"/>
    </row>
    <row r="10693" spans="1:1" x14ac:dyDescent="0.25">
      <c r="A10693"/>
    </row>
    <row r="10694" spans="1:1" x14ac:dyDescent="0.25">
      <c r="A10694"/>
    </row>
    <row r="10695" spans="1:1" x14ac:dyDescent="0.25">
      <c r="A10695"/>
    </row>
    <row r="10696" spans="1:1" x14ac:dyDescent="0.25">
      <c r="A10696"/>
    </row>
    <row r="10697" spans="1:1" x14ac:dyDescent="0.25">
      <c r="A10697"/>
    </row>
    <row r="10698" spans="1:1" x14ac:dyDescent="0.25">
      <c r="A10698"/>
    </row>
    <row r="10699" spans="1:1" x14ac:dyDescent="0.25">
      <c r="A10699"/>
    </row>
    <row r="10700" spans="1:1" x14ac:dyDescent="0.25">
      <c r="A10700"/>
    </row>
    <row r="10701" spans="1:1" x14ac:dyDescent="0.25">
      <c r="A10701"/>
    </row>
    <row r="10702" spans="1:1" x14ac:dyDescent="0.25">
      <c r="A10702"/>
    </row>
    <row r="10703" spans="1:1" x14ac:dyDescent="0.25">
      <c r="A10703"/>
    </row>
    <row r="10704" spans="1:1" x14ac:dyDescent="0.25">
      <c r="A10704"/>
    </row>
    <row r="10705" spans="1:1" x14ac:dyDescent="0.25">
      <c r="A10705"/>
    </row>
    <row r="10706" spans="1:1" x14ac:dyDescent="0.25">
      <c r="A10706"/>
    </row>
    <row r="10707" spans="1:1" x14ac:dyDescent="0.25">
      <c r="A10707"/>
    </row>
    <row r="10708" spans="1:1" x14ac:dyDescent="0.25">
      <c r="A10708"/>
    </row>
    <row r="10709" spans="1:1" x14ac:dyDescent="0.25">
      <c r="A10709"/>
    </row>
    <row r="10710" spans="1:1" x14ac:dyDescent="0.25">
      <c r="A10710"/>
    </row>
    <row r="10711" spans="1:1" x14ac:dyDescent="0.25">
      <c r="A10711"/>
    </row>
    <row r="10712" spans="1:1" x14ac:dyDescent="0.25">
      <c r="A10712"/>
    </row>
    <row r="10713" spans="1:1" x14ac:dyDescent="0.25">
      <c r="A10713"/>
    </row>
    <row r="10714" spans="1:1" x14ac:dyDescent="0.25">
      <c r="A10714"/>
    </row>
    <row r="10715" spans="1:1" x14ac:dyDescent="0.25">
      <c r="A10715"/>
    </row>
    <row r="10716" spans="1:1" x14ac:dyDescent="0.25">
      <c r="A10716"/>
    </row>
    <row r="10717" spans="1:1" x14ac:dyDescent="0.25">
      <c r="A10717"/>
    </row>
    <row r="10718" spans="1:1" x14ac:dyDescent="0.25">
      <c r="A10718"/>
    </row>
    <row r="10719" spans="1:1" x14ac:dyDescent="0.25">
      <c r="A10719"/>
    </row>
    <row r="10720" spans="1:1" x14ac:dyDescent="0.25">
      <c r="A10720"/>
    </row>
    <row r="10721" spans="1:1" x14ac:dyDescent="0.25">
      <c r="A10721"/>
    </row>
    <row r="10722" spans="1:1" x14ac:dyDescent="0.25">
      <c r="A10722"/>
    </row>
    <row r="10723" spans="1:1" x14ac:dyDescent="0.25">
      <c r="A10723"/>
    </row>
    <row r="10724" spans="1:1" x14ac:dyDescent="0.25">
      <c r="A10724"/>
    </row>
    <row r="10725" spans="1:1" x14ac:dyDescent="0.25">
      <c r="A10725"/>
    </row>
    <row r="10726" spans="1:1" x14ac:dyDescent="0.25">
      <c r="A10726"/>
    </row>
    <row r="10727" spans="1:1" x14ac:dyDescent="0.25">
      <c r="A10727"/>
    </row>
    <row r="10728" spans="1:1" x14ac:dyDescent="0.25">
      <c r="A10728"/>
    </row>
    <row r="10729" spans="1:1" x14ac:dyDescent="0.25">
      <c r="A10729"/>
    </row>
    <row r="10730" spans="1:1" x14ac:dyDescent="0.25">
      <c r="A10730"/>
    </row>
    <row r="10731" spans="1:1" x14ac:dyDescent="0.25">
      <c r="A10731"/>
    </row>
    <row r="10732" spans="1:1" x14ac:dyDescent="0.25">
      <c r="A10732"/>
    </row>
    <row r="10733" spans="1:1" x14ac:dyDescent="0.25">
      <c r="A10733"/>
    </row>
    <row r="10734" spans="1:1" x14ac:dyDescent="0.25">
      <c r="A10734"/>
    </row>
    <row r="10735" spans="1:1" x14ac:dyDescent="0.25">
      <c r="A10735"/>
    </row>
    <row r="10736" spans="1:1" x14ac:dyDescent="0.25">
      <c r="A10736"/>
    </row>
    <row r="10737" spans="1:1" x14ac:dyDescent="0.25">
      <c r="A10737"/>
    </row>
    <row r="10738" spans="1:1" x14ac:dyDescent="0.25">
      <c r="A10738"/>
    </row>
    <row r="10739" spans="1:1" x14ac:dyDescent="0.25">
      <c r="A10739"/>
    </row>
    <row r="10740" spans="1:1" x14ac:dyDescent="0.25">
      <c r="A10740"/>
    </row>
    <row r="10741" spans="1:1" x14ac:dyDescent="0.25">
      <c r="A10741"/>
    </row>
    <row r="10742" spans="1:1" x14ac:dyDescent="0.25">
      <c r="A10742"/>
    </row>
    <row r="10743" spans="1:1" x14ac:dyDescent="0.25">
      <c r="A10743"/>
    </row>
    <row r="10744" spans="1:1" x14ac:dyDescent="0.25">
      <c r="A10744"/>
    </row>
    <row r="10745" spans="1:1" x14ac:dyDescent="0.25">
      <c r="A10745"/>
    </row>
    <row r="10746" spans="1:1" x14ac:dyDescent="0.25">
      <c r="A10746"/>
    </row>
    <row r="10747" spans="1:1" x14ac:dyDescent="0.25">
      <c r="A10747"/>
    </row>
    <row r="10748" spans="1:1" x14ac:dyDescent="0.25">
      <c r="A10748"/>
    </row>
    <row r="10749" spans="1:1" x14ac:dyDescent="0.25">
      <c r="A10749"/>
    </row>
    <row r="10750" spans="1:1" x14ac:dyDescent="0.25">
      <c r="A10750"/>
    </row>
    <row r="10751" spans="1:1" x14ac:dyDescent="0.25">
      <c r="A10751"/>
    </row>
    <row r="10752" spans="1:1" x14ac:dyDescent="0.25">
      <c r="A10752"/>
    </row>
    <row r="10753" spans="1:1" x14ac:dyDescent="0.25">
      <c r="A10753"/>
    </row>
    <row r="10754" spans="1:1" x14ac:dyDescent="0.25">
      <c r="A10754"/>
    </row>
    <row r="10755" spans="1:1" x14ac:dyDescent="0.25">
      <c r="A10755"/>
    </row>
    <row r="10756" spans="1:1" x14ac:dyDescent="0.25">
      <c r="A10756"/>
    </row>
    <row r="10757" spans="1:1" x14ac:dyDescent="0.25">
      <c r="A10757"/>
    </row>
    <row r="10758" spans="1:1" x14ac:dyDescent="0.25">
      <c r="A10758"/>
    </row>
    <row r="10759" spans="1:1" x14ac:dyDescent="0.25">
      <c r="A10759"/>
    </row>
    <row r="10760" spans="1:1" x14ac:dyDescent="0.25">
      <c r="A10760"/>
    </row>
    <row r="10761" spans="1:1" x14ac:dyDescent="0.25">
      <c r="A10761"/>
    </row>
    <row r="10762" spans="1:1" x14ac:dyDescent="0.25">
      <c r="A10762"/>
    </row>
    <row r="10763" spans="1:1" x14ac:dyDescent="0.25">
      <c r="A10763"/>
    </row>
    <row r="10764" spans="1:1" x14ac:dyDescent="0.25">
      <c r="A10764"/>
    </row>
    <row r="10765" spans="1:1" x14ac:dyDescent="0.25">
      <c r="A10765"/>
    </row>
    <row r="10766" spans="1:1" x14ac:dyDescent="0.25">
      <c r="A10766"/>
    </row>
    <row r="10767" spans="1:1" x14ac:dyDescent="0.25">
      <c r="A10767"/>
    </row>
    <row r="10768" spans="1:1" x14ac:dyDescent="0.25">
      <c r="A10768"/>
    </row>
    <row r="10769" spans="1:1" x14ac:dyDescent="0.25">
      <c r="A10769"/>
    </row>
    <row r="10770" spans="1:1" x14ac:dyDescent="0.25">
      <c r="A10770"/>
    </row>
    <row r="10771" spans="1:1" x14ac:dyDescent="0.25">
      <c r="A10771"/>
    </row>
    <row r="10772" spans="1:1" x14ac:dyDescent="0.25">
      <c r="A10772"/>
    </row>
    <row r="10773" spans="1:1" x14ac:dyDescent="0.25">
      <c r="A10773"/>
    </row>
    <row r="10774" spans="1:1" x14ac:dyDescent="0.25">
      <c r="A10774"/>
    </row>
    <row r="10775" spans="1:1" x14ac:dyDescent="0.25">
      <c r="A10775"/>
    </row>
    <row r="10776" spans="1:1" x14ac:dyDescent="0.25">
      <c r="A10776"/>
    </row>
    <row r="10777" spans="1:1" x14ac:dyDescent="0.25">
      <c r="A10777"/>
    </row>
    <row r="10778" spans="1:1" x14ac:dyDescent="0.25">
      <c r="A10778"/>
    </row>
    <row r="10779" spans="1:1" x14ac:dyDescent="0.25">
      <c r="A10779"/>
    </row>
    <row r="10780" spans="1:1" x14ac:dyDescent="0.25">
      <c r="A10780"/>
    </row>
    <row r="10781" spans="1:1" x14ac:dyDescent="0.25">
      <c r="A10781"/>
    </row>
    <row r="10782" spans="1:1" x14ac:dyDescent="0.25">
      <c r="A10782"/>
    </row>
    <row r="10783" spans="1:1" x14ac:dyDescent="0.25">
      <c r="A10783"/>
    </row>
    <row r="10784" spans="1:1" x14ac:dyDescent="0.25">
      <c r="A10784"/>
    </row>
    <row r="10785" spans="1:1" x14ac:dyDescent="0.25">
      <c r="A10785"/>
    </row>
    <row r="10786" spans="1:1" x14ac:dyDescent="0.25">
      <c r="A10786"/>
    </row>
    <row r="10787" spans="1:1" x14ac:dyDescent="0.25">
      <c r="A10787"/>
    </row>
    <row r="10788" spans="1:1" x14ac:dyDescent="0.25">
      <c r="A10788"/>
    </row>
    <row r="10789" spans="1:1" x14ac:dyDescent="0.25">
      <c r="A10789"/>
    </row>
    <row r="10790" spans="1:1" x14ac:dyDescent="0.25">
      <c r="A10790"/>
    </row>
    <row r="10791" spans="1:1" x14ac:dyDescent="0.25">
      <c r="A10791"/>
    </row>
    <row r="10792" spans="1:1" x14ac:dyDescent="0.25">
      <c r="A10792"/>
    </row>
    <row r="10793" spans="1:1" x14ac:dyDescent="0.25">
      <c r="A10793"/>
    </row>
    <row r="10794" spans="1:1" x14ac:dyDescent="0.25">
      <c r="A10794"/>
    </row>
    <row r="10795" spans="1:1" x14ac:dyDescent="0.25">
      <c r="A10795"/>
    </row>
    <row r="10796" spans="1:1" x14ac:dyDescent="0.25">
      <c r="A10796"/>
    </row>
    <row r="10797" spans="1:1" x14ac:dyDescent="0.25">
      <c r="A10797"/>
    </row>
    <row r="10798" spans="1:1" x14ac:dyDescent="0.25">
      <c r="A10798"/>
    </row>
    <row r="10799" spans="1:1" x14ac:dyDescent="0.25">
      <c r="A10799"/>
    </row>
    <row r="10800" spans="1:1" x14ac:dyDescent="0.25">
      <c r="A10800"/>
    </row>
    <row r="10801" spans="1:1" x14ac:dyDescent="0.25">
      <c r="A10801"/>
    </row>
    <row r="10802" spans="1:1" x14ac:dyDescent="0.25">
      <c r="A10802"/>
    </row>
    <row r="10803" spans="1:1" x14ac:dyDescent="0.25">
      <c r="A10803"/>
    </row>
    <row r="10804" spans="1:1" x14ac:dyDescent="0.25">
      <c r="A10804"/>
    </row>
    <row r="10805" spans="1:1" x14ac:dyDescent="0.25">
      <c r="A10805"/>
    </row>
    <row r="10806" spans="1:1" x14ac:dyDescent="0.25">
      <c r="A10806"/>
    </row>
    <row r="10807" spans="1:1" x14ac:dyDescent="0.25">
      <c r="A10807"/>
    </row>
    <row r="10808" spans="1:1" x14ac:dyDescent="0.25">
      <c r="A10808"/>
    </row>
    <row r="10809" spans="1:1" x14ac:dyDescent="0.25">
      <c r="A10809"/>
    </row>
    <row r="10810" spans="1:1" x14ac:dyDescent="0.25">
      <c r="A10810"/>
    </row>
    <row r="10811" spans="1:1" x14ac:dyDescent="0.25">
      <c r="A10811"/>
    </row>
    <row r="10812" spans="1:1" x14ac:dyDescent="0.25">
      <c r="A10812"/>
    </row>
    <row r="10813" spans="1:1" x14ac:dyDescent="0.25">
      <c r="A10813"/>
    </row>
    <row r="10814" spans="1:1" x14ac:dyDescent="0.25">
      <c r="A10814"/>
    </row>
    <row r="10815" spans="1:1" x14ac:dyDescent="0.25">
      <c r="A10815"/>
    </row>
    <row r="10816" spans="1:1" x14ac:dyDescent="0.25">
      <c r="A10816"/>
    </row>
    <row r="10817" spans="1:1" x14ac:dyDescent="0.25">
      <c r="A10817"/>
    </row>
    <row r="10818" spans="1:1" x14ac:dyDescent="0.25">
      <c r="A10818"/>
    </row>
    <row r="10819" spans="1:1" x14ac:dyDescent="0.25">
      <c r="A10819"/>
    </row>
    <row r="10820" spans="1:1" x14ac:dyDescent="0.25">
      <c r="A10820"/>
    </row>
    <row r="10821" spans="1:1" x14ac:dyDescent="0.25">
      <c r="A10821"/>
    </row>
    <row r="10822" spans="1:1" x14ac:dyDescent="0.25">
      <c r="A10822"/>
    </row>
    <row r="10823" spans="1:1" x14ac:dyDescent="0.25">
      <c r="A10823"/>
    </row>
    <row r="10824" spans="1:1" x14ac:dyDescent="0.25">
      <c r="A10824"/>
    </row>
    <row r="10825" spans="1:1" x14ac:dyDescent="0.25">
      <c r="A10825"/>
    </row>
    <row r="10826" spans="1:1" x14ac:dyDescent="0.25">
      <c r="A10826"/>
    </row>
    <row r="10827" spans="1:1" x14ac:dyDescent="0.25">
      <c r="A10827"/>
    </row>
    <row r="10828" spans="1:1" x14ac:dyDescent="0.25">
      <c r="A10828"/>
    </row>
    <row r="10829" spans="1:1" x14ac:dyDescent="0.25">
      <c r="A10829"/>
    </row>
    <row r="10830" spans="1:1" x14ac:dyDescent="0.25">
      <c r="A10830"/>
    </row>
    <row r="10831" spans="1:1" x14ac:dyDescent="0.25">
      <c r="A10831"/>
    </row>
    <row r="10832" spans="1:1" x14ac:dyDescent="0.25">
      <c r="A10832"/>
    </row>
    <row r="10833" spans="1:1" x14ac:dyDescent="0.25">
      <c r="A10833"/>
    </row>
    <row r="10834" spans="1:1" x14ac:dyDescent="0.25">
      <c r="A10834"/>
    </row>
    <row r="10835" spans="1:1" x14ac:dyDescent="0.25">
      <c r="A10835"/>
    </row>
    <row r="10836" spans="1:1" x14ac:dyDescent="0.25">
      <c r="A10836"/>
    </row>
    <row r="10837" spans="1:1" x14ac:dyDescent="0.25">
      <c r="A10837"/>
    </row>
    <row r="10838" spans="1:1" x14ac:dyDescent="0.25">
      <c r="A10838"/>
    </row>
    <row r="10839" spans="1:1" x14ac:dyDescent="0.25">
      <c r="A10839"/>
    </row>
    <row r="10840" spans="1:1" x14ac:dyDescent="0.25">
      <c r="A10840"/>
    </row>
    <row r="10841" spans="1:1" x14ac:dyDescent="0.25">
      <c r="A10841"/>
    </row>
    <row r="10842" spans="1:1" x14ac:dyDescent="0.25">
      <c r="A10842"/>
    </row>
    <row r="10843" spans="1:1" x14ac:dyDescent="0.25">
      <c r="A10843"/>
    </row>
    <row r="10844" spans="1:1" x14ac:dyDescent="0.25">
      <c r="A10844"/>
    </row>
    <row r="10845" spans="1:1" x14ac:dyDescent="0.25">
      <c r="A10845"/>
    </row>
    <row r="10846" spans="1:1" x14ac:dyDescent="0.25">
      <c r="A10846"/>
    </row>
    <row r="10847" spans="1:1" x14ac:dyDescent="0.25">
      <c r="A10847"/>
    </row>
    <row r="10848" spans="1:1" x14ac:dyDescent="0.25">
      <c r="A10848"/>
    </row>
    <row r="10849" spans="1:1" x14ac:dyDescent="0.25">
      <c r="A10849"/>
    </row>
    <row r="10850" spans="1:1" x14ac:dyDescent="0.25">
      <c r="A10850"/>
    </row>
    <row r="10851" spans="1:1" x14ac:dyDescent="0.25">
      <c r="A10851"/>
    </row>
    <row r="10852" spans="1:1" x14ac:dyDescent="0.25">
      <c r="A10852"/>
    </row>
    <row r="10853" spans="1:1" x14ac:dyDescent="0.25">
      <c r="A10853"/>
    </row>
    <row r="10854" spans="1:1" x14ac:dyDescent="0.25">
      <c r="A10854"/>
    </row>
    <row r="10855" spans="1:1" x14ac:dyDescent="0.25">
      <c r="A10855"/>
    </row>
    <row r="10856" spans="1:1" x14ac:dyDescent="0.25">
      <c r="A10856"/>
    </row>
    <row r="10857" spans="1:1" x14ac:dyDescent="0.25">
      <c r="A10857"/>
    </row>
    <row r="10858" spans="1:1" x14ac:dyDescent="0.25">
      <c r="A10858"/>
    </row>
    <row r="10859" spans="1:1" x14ac:dyDescent="0.25">
      <c r="A10859"/>
    </row>
    <row r="10860" spans="1:1" x14ac:dyDescent="0.25">
      <c r="A10860"/>
    </row>
    <row r="10861" spans="1:1" x14ac:dyDescent="0.25">
      <c r="A10861"/>
    </row>
    <row r="10862" spans="1:1" x14ac:dyDescent="0.25">
      <c r="A10862"/>
    </row>
    <row r="10863" spans="1:1" x14ac:dyDescent="0.25">
      <c r="A10863"/>
    </row>
    <row r="10864" spans="1:1" x14ac:dyDescent="0.25">
      <c r="A10864"/>
    </row>
    <row r="10865" spans="1:1" x14ac:dyDescent="0.25">
      <c r="A10865"/>
    </row>
    <row r="10866" spans="1:1" x14ac:dyDescent="0.25">
      <c r="A10866"/>
    </row>
    <row r="10867" spans="1:1" x14ac:dyDescent="0.25">
      <c r="A10867"/>
    </row>
    <row r="10868" spans="1:1" x14ac:dyDescent="0.25">
      <c r="A10868"/>
    </row>
    <row r="10869" spans="1:1" x14ac:dyDescent="0.25">
      <c r="A10869"/>
    </row>
    <row r="10870" spans="1:1" x14ac:dyDescent="0.25">
      <c r="A10870"/>
    </row>
    <row r="10871" spans="1:1" x14ac:dyDescent="0.25">
      <c r="A10871"/>
    </row>
    <row r="10872" spans="1:1" x14ac:dyDescent="0.25">
      <c r="A10872"/>
    </row>
    <row r="10873" spans="1:1" x14ac:dyDescent="0.25">
      <c r="A10873"/>
    </row>
    <row r="10874" spans="1:1" x14ac:dyDescent="0.25">
      <c r="A10874"/>
    </row>
    <row r="10875" spans="1:1" x14ac:dyDescent="0.25">
      <c r="A10875"/>
    </row>
    <row r="10876" spans="1:1" x14ac:dyDescent="0.25">
      <c r="A10876"/>
    </row>
    <row r="10877" spans="1:1" x14ac:dyDescent="0.25">
      <c r="A10877"/>
    </row>
    <row r="10878" spans="1:1" x14ac:dyDescent="0.25">
      <c r="A10878"/>
    </row>
    <row r="10879" spans="1:1" x14ac:dyDescent="0.25">
      <c r="A10879"/>
    </row>
    <row r="10880" spans="1:1" x14ac:dyDescent="0.25">
      <c r="A10880"/>
    </row>
    <row r="10881" spans="1:1" x14ac:dyDescent="0.25">
      <c r="A10881"/>
    </row>
    <row r="10882" spans="1:1" x14ac:dyDescent="0.25">
      <c r="A10882"/>
    </row>
    <row r="10883" spans="1:1" x14ac:dyDescent="0.25">
      <c r="A10883"/>
    </row>
    <row r="10884" spans="1:1" x14ac:dyDescent="0.25">
      <c r="A10884"/>
    </row>
    <row r="10885" spans="1:1" x14ac:dyDescent="0.25">
      <c r="A10885"/>
    </row>
    <row r="10886" spans="1:1" x14ac:dyDescent="0.25">
      <c r="A10886"/>
    </row>
    <row r="10887" spans="1:1" x14ac:dyDescent="0.25">
      <c r="A10887"/>
    </row>
    <row r="10888" spans="1:1" x14ac:dyDescent="0.25">
      <c r="A10888"/>
    </row>
    <row r="10889" spans="1:1" x14ac:dyDescent="0.25">
      <c r="A10889"/>
    </row>
    <row r="10890" spans="1:1" x14ac:dyDescent="0.25">
      <c r="A10890"/>
    </row>
    <row r="10891" spans="1:1" x14ac:dyDescent="0.25">
      <c r="A10891"/>
    </row>
    <row r="10892" spans="1:1" x14ac:dyDescent="0.25">
      <c r="A10892"/>
    </row>
    <row r="10893" spans="1:1" x14ac:dyDescent="0.25">
      <c r="A10893"/>
    </row>
    <row r="10894" spans="1:1" x14ac:dyDescent="0.25">
      <c r="A10894"/>
    </row>
    <row r="10895" spans="1:1" x14ac:dyDescent="0.25">
      <c r="A10895"/>
    </row>
    <row r="10896" spans="1:1" x14ac:dyDescent="0.25">
      <c r="A10896"/>
    </row>
    <row r="10897" spans="1:1" x14ac:dyDescent="0.25">
      <c r="A10897"/>
    </row>
    <row r="10898" spans="1:1" x14ac:dyDescent="0.25">
      <c r="A10898"/>
    </row>
    <row r="10899" spans="1:1" x14ac:dyDescent="0.25">
      <c r="A10899"/>
    </row>
    <row r="10900" spans="1:1" x14ac:dyDescent="0.25">
      <c r="A10900"/>
    </row>
    <row r="10901" spans="1:1" x14ac:dyDescent="0.25">
      <c r="A10901"/>
    </row>
    <row r="10902" spans="1:1" x14ac:dyDescent="0.25">
      <c r="A10902"/>
    </row>
    <row r="10903" spans="1:1" x14ac:dyDescent="0.25">
      <c r="A10903"/>
    </row>
    <row r="10904" spans="1:1" x14ac:dyDescent="0.25">
      <c r="A10904"/>
    </row>
    <row r="10905" spans="1:1" x14ac:dyDescent="0.25">
      <c r="A10905"/>
    </row>
    <row r="10906" spans="1:1" x14ac:dyDescent="0.25">
      <c r="A10906"/>
    </row>
    <row r="10907" spans="1:1" x14ac:dyDescent="0.25">
      <c r="A10907"/>
    </row>
    <row r="10908" spans="1:1" x14ac:dyDescent="0.25">
      <c r="A10908"/>
    </row>
    <row r="10909" spans="1:1" x14ac:dyDescent="0.25">
      <c r="A10909"/>
    </row>
    <row r="10910" spans="1:1" x14ac:dyDescent="0.25">
      <c r="A10910"/>
    </row>
    <row r="10911" spans="1:1" x14ac:dyDescent="0.25">
      <c r="A10911"/>
    </row>
    <row r="10912" spans="1:1" x14ac:dyDescent="0.25">
      <c r="A10912"/>
    </row>
    <row r="10913" spans="1:1" x14ac:dyDescent="0.25">
      <c r="A10913"/>
    </row>
    <row r="10914" spans="1:1" x14ac:dyDescent="0.25">
      <c r="A10914"/>
    </row>
    <row r="10915" spans="1:1" x14ac:dyDescent="0.25">
      <c r="A10915"/>
    </row>
    <row r="10916" spans="1:1" x14ac:dyDescent="0.25">
      <c r="A10916"/>
    </row>
    <row r="10917" spans="1:1" x14ac:dyDescent="0.25">
      <c r="A10917"/>
    </row>
    <row r="10918" spans="1:1" x14ac:dyDescent="0.25">
      <c r="A10918"/>
    </row>
    <row r="10919" spans="1:1" x14ac:dyDescent="0.25">
      <c r="A10919"/>
    </row>
    <row r="10920" spans="1:1" x14ac:dyDescent="0.25">
      <c r="A10920"/>
    </row>
    <row r="10921" spans="1:1" x14ac:dyDescent="0.25">
      <c r="A10921"/>
    </row>
    <row r="10922" spans="1:1" x14ac:dyDescent="0.25">
      <c r="A10922"/>
    </row>
    <row r="10923" spans="1:1" x14ac:dyDescent="0.25">
      <c r="A10923"/>
    </row>
    <row r="10924" spans="1:1" x14ac:dyDescent="0.25">
      <c r="A10924"/>
    </row>
    <row r="10925" spans="1:1" x14ac:dyDescent="0.25">
      <c r="A10925"/>
    </row>
    <row r="10926" spans="1:1" x14ac:dyDescent="0.25">
      <c r="A10926"/>
    </row>
    <row r="10927" spans="1:1" x14ac:dyDescent="0.25">
      <c r="A10927"/>
    </row>
    <row r="10928" spans="1:1" x14ac:dyDescent="0.25">
      <c r="A10928"/>
    </row>
    <row r="10929" spans="1:1" x14ac:dyDescent="0.25">
      <c r="A10929"/>
    </row>
    <row r="10930" spans="1:1" x14ac:dyDescent="0.25">
      <c r="A10930"/>
    </row>
    <row r="10931" spans="1:1" x14ac:dyDescent="0.25">
      <c r="A10931"/>
    </row>
    <row r="10932" spans="1:1" x14ac:dyDescent="0.25">
      <c r="A10932"/>
    </row>
    <row r="10933" spans="1:1" x14ac:dyDescent="0.25">
      <c r="A10933"/>
    </row>
    <row r="10934" spans="1:1" x14ac:dyDescent="0.25">
      <c r="A10934"/>
    </row>
    <row r="10935" spans="1:1" x14ac:dyDescent="0.25">
      <c r="A10935"/>
    </row>
    <row r="10936" spans="1:1" x14ac:dyDescent="0.25">
      <c r="A10936"/>
    </row>
    <row r="10937" spans="1:1" x14ac:dyDescent="0.25">
      <c r="A10937"/>
    </row>
    <row r="10938" spans="1:1" x14ac:dyDescent="0.25">
      <c r="A10938"/>
    </row>
    <row r="10939" spans="1:1" x14ac:dyDescent="0.25">
      <c r="A10939"/>
    </row>
    <row r="10940" spans="1:1" x14ac:dyDescent="0.25">
      <c r="A10940"/>
    </row>
    <row r="10941" spans="1:1" x14ac:dyDescent="0.25">
      <c r="A10941"/>
    </row>
    <row r="10942" spans="1:1" x14ac:dyDescent="0.25">
      <c r="A10942"/>
    </row>
    <row r="10943" spans="1:1" x14ac:dyDescent="0.25">
      <c r="A10943"/>
    </row>
    <row r="10944" spans="1:1" x14ac:dyDescent="0.25">
      <c r="A10944"/>
    </row>
    <row r="10945" spans="1:1" x14ac:dyDescent="0.25">
      <c r="A10945"/>
    </row>
    <row r="10946" spans="1:1" x14ac:dyDescent="0.25">
      <c r="A10946"/>
    </row>
    <row r="10947" spans="1:1" x14ac:dyDescent="0.25">
      <c r="A10947"/>
    </row>
    <row r="10948" spans="1:1" x14ac:dyDescent="0.25">
      <c r="A10948"/>
    </row>
    <row r="10949" spans="1:1" x14ac:dyDescent="0.25">
      <c r="A10949"/>
    </row>
    <row r="10950" spans="1:1" x14ac:dyDescent="0.25">
      <c r="A10950"/>
    </row>
    <row r="10951" spans="1:1" x14ac:dyDescent="0.25">
      <c r="A10951"/>
    </row>
    <row r="10952" spans="1:1" x14ac:dyDescent="0.25">
      <c r="A10952"/>
    </row>
    <row r="10953" spans="1:1" x14ac:dyDescent="0.25">
      <c r="A10953"/>
    </row>
    <row r="10954" spans="1:1" x14ac:dyDescent="0.25">
      <c r="A10954"/>
    </row>
    <row r="10955" spans="1:1" x14ac:dyDescent="0.25">
      <c r="A10955"/>
    </row>
    <row r="10956" spans="1:1" x14ac:dyDescent="0.25">
      <c r="A10956"/>
    </row>
    <row r="10957" spans="1:1" x14ac:dyDescent="0.25">
      <c r="A10957"/>
    </row>
    <row r="10958" spans="1:1" x14ac:dyDescent="0.25">
      <c r="A10958"/>
    </row>
    <row r="10959" spans="1:1" x14ac:dyDescent="0.25">
      <c r="A10959"/>
    </row>
    <row r="10960" spans="1:1" x14ac:dyDescent="0.25">
      <c r="A10960"/>
    </row>
    <row r="10961" spans="1:1" x14ac:dyDescent="0.25">
      <c r="A10961"/>
    </row>
    <row r="10962" spans="1:1" x14ac:dyDescent="0.25">
      <c r="A10962"/>
    </row>
    <row r="10963" spans="1:1" x14ac:dyDescent="0.25">
      <c r="A10963"/>
    </row>
    <row r="10964" spans="1:1" x14ac:dyDescent="0.25">
      <c r="A10964"/>
    </row>
    <row r="10965" spans="1:1" x14ac:dyDescent="0.25">
      <c r="A10965"/>
    </row>
    <row r="10966" spans="1:1" x14ac:dyDescent="0.25">
      <c r="A10966"/>
    </row>
    <row r="10967" spans="1:1" x14ac:dyDescent="0.25">
      <c r="A10967"/>
    </row>
    <row r="10968" spans="1:1" x14ac:dyDescent="0.25">
      <c r="A10968"/>
    </row>
    <row r="10969" spans="1:1" x14ac:dyDescent="0.25">
      <c r="A10969"/>
    </row>
    <row r="10970" spans="1:1" x14ac:dyDescent="0.25">
      <c r="A10970"/>
    </row>
    <row r="10971" spans="1:1" x14ac:dyDescent="0.25">
      <c r="A10971"/>
    </row>
    <row r="10972" spans="1:1" x14ac:dyDescent="0.25">
      <c r="A10972"/>
    </row>
    <row r="10973" spans="1:1" x14ac:dyDescent="0.25">
      <c r="A10973"/>
    </row>
    <row r="10974" spans="1:1" x14ac:dyDescent="0.25">
      <c r="A10974"/>
    </row>
    <row r="10975" spans="1:1" x14ac:dyDescent="0.25">
      <c r="A10975"/>
    </row>
    <row r="10976" spans="1:1" x14ac:dyDescent="0.25">
      <c r="A10976"/>
    </row>
    <row r="10977" spans="1:1" x14ac:dyDescent="0.25">
      <c r="A10977"/>
    </row>
    <row r="10978" spans="1:1" x14ac:dyDescent="0.25">
      <c r="A10978"/>
    </row>
    <row r="10979" spans="1:1" x14ac:dyDescent="0.25">
      <c r="A10979"/>
    </row>
    <row r="10980" spans="1:1" x14ac:dyDescent="0.25">
      <c r="A10980"/>
    </row>
    <row r="10981" spans="1:1" x14ac:dyDescent="0.25">
      <c r="A10981"/>
    </row>
    <row r="10982" spans="1:1" x14ac:dyDescent="0.25">
      <c r="A10982"/>
    </row>
    <row r="10983" spans="1:1" x14ac:dyDescent="0.25">
      <c r="A10983"/>
    </row>
    <row r="10984" spans="1:1" x14ac:dyDescent="0.25">
      <c r="A10984"/>
    </row>
    <row r="10985" spans="1:1" x14ac:dyDescent="0.25">
      <c r="A10985"/>
    </row>
    <row r="10986" spans="1:1" x14ac:dyDescent="0.25">
      <c r="A10986"/>
    </row>
    <row r="10987" spans="1:1" x14ac:dyDescent="0.25">
      <c r="A10987"/>
    </row>
    <row r="10988" spans="1:1" x14ac:dyDescent="0.25">
      <c r="A10988"/>
    </row>
    <row r="10989" spans="1:1" x14ac:dyDescent="0.25">
      <c r="A10989"/>
    </row>
    <row r="10990" spans="1:1" x14ac:dyDescent="0.25">
      <c r="A10990"/>
    </row>
    <row r="10991" spans="1:1" x14ac:dyDescent="0.25">
      <c r="A10991"/>
    </row>
    <row r="10992" spans="1:1" x14ac:dyDescent="0.25">
      <c r="A10992"/>
    </row>
    <row r="10993" spans="1:1" x14ac:dyDescent="0.25">
      <c r="A10993"/>
    </row>
    <row r="10994" spans="1:1" x14ac:dyDescent="0.25">
      <c r="A10994"/>
    </row>
    <row r="10995" spans="1:1" x14ac:dyDescent="0.25">
      <c r="A10995"/>
    </row>
    <row r="10996" spans="1:1" x14ac:dyDescent="0.25">
      <c r="A10996"/>
    </row>
    <row r="10997" spans="1:1" x14ac:dyDescent="0.25">
      <c r="A10997"/>
    </row>
    <row r="10998" spans="1:1" x14ac:dyDescent="0.25">
      <c r="A10998"/>
    </row>
    <row r="10999" spans="1:1" x14ac:dyDescent="0.25">
      <c r="A10999"/>
    </row>
    <row r="11000" spans="1:1" x14ac:dyDescent="0.25">
      <c r="A11000"/>
    </row>
    <row r="11001" spans="1:1" x14ac:dyDescent="0.25">
      <c r="A11001"/>
    </row>
    <row r="11002" spans="1:1" x14ac:dyDescent="0.25">
      <c r="A11002"/>
    </row>
    <row r="11003" spans="1:1" x14ac:dyDescent="0.25">
      <c r="A11003"/>
    </row>
    <row r="11004" spans="1:1" x14ac:dyDescent="0.25">
      <c r="A11004"/>
    </row>
    <row r="11005" spans="1:1" x14ac:dyDescent="0.25">
      <c r="A11005"/>
    </row>
    <row r="11006" spans="1:1" x14ac:dyDescent="0.25">
      <c r="A11006"/>
    </row>
    <row r="11007" spans="1:1" x14ac:dyDescent="0.25">
      <c r="A11007"/>
    </row>
    <row r="11008" spans="1:1" x14ac:dyDescent="0.25">
      <c r="A11008"/>
    </row>
    <row r="11009" spans="1:1" x14ac:dyDescent="0.25">
      <c r="A11009"/>
    </row>
    <row r="11010" spans="1:1" x14ac:dyDescent="0.25">
      <c r="A11010"/>
    </row>
    <row r="11011" spans="1:1" x14ac:dyDescent="0.25">
      <c r="A11011"/>
    </row>
    <row r="11012" spans="1:1" x14ac:dyDescent="0.25">
      <c r="A11012"/>
    </row>
    <row r="11013" spans="1:1" x14ac:dyDescent="0.25">
      <c r="A11013"/>
    </row>
    <row r="11014" spans="1:1" x14ac:dyDescent="0.25">
      <c r="A11014"/>
    </row>
    <row r="11015" spans="1:1" x14ac:dyDescent="0.25">
      <c r="A11015"/>
    </row>
    <row r="11016" spans="1:1" x14ac:dyDescent="0.25">
      <c r="A11016"/>
    </row>
    <row r="11017" spans="1:1" x14ac:dyDescent="0.25">
      <c r="A11017"/>
    </row>
    <row r="11018" spans="1:1" x14ac:dyDescent="0.25">
      <c r="A11018"/>
    </row>
    <row r="11019" spans="1:1" x14ac:dyDescent="0.25">
      <c r="A11019"/>
    </row>
    <row r="11020" spans="1:1" x14ac:dyDescent="0.25">
      <c r="A11020"/>
    </row>
    <row r="11021" spans="1:1" x14ac:dyDescent="0.25">
      <c r="A11021"/>
    </row>
    <row r="11022" spans="1:1" x14ac:dyDescent="0.25">
      <c r="A11022"/>
    </row>
    <row r="11023" spans="1:1" x14ac:dyDescent="0.25">
      <c r="A11023"/>
    </row>
    <row r="11024" spans="1:1" x14ac:dyDescent="0.25">
      <c r="A11024"/>
    </row>
    <row r="11025" spans="1:1" x14ac:dyDescent="0.25">
      <c r="A11025"/>
    </row>
    <row r="11026" spans="1:1" x14ac:dyDescent="0.25">
      <c r="A11026"/>
    </row>
    <row r="11027" spans="1:1" x14ac:dyDescent="0.25">
      <c r="A11027"/>
    </row>
    <row r="11028" spans="1:1" x14ac:dyDescent="0.25">
      <c r="A11028"/>
    </row>
    <row r="11029" spans="1:1" x14ac:dyDescent="0.25">
      <c r="A11029"/>
    </row>
    <row r="11030" spans="1:1" x14ac:dyDescent="0.25">
      <c r="A11030"/>
    </row>
    <row r="11031" spans="1:1" x14ac:dyDescent="0.25">
      <c r="A11031"/>
    </row>
    <row r="11032" spans="1:1" x14ac:dyDescent="0.25">
      <c r="A11032"/>
    </row>
    <row r="11033" spans="1:1" x14ac:dyDescent="0.25">
      <c r="A11033"/>
    </row>
    <row r="11034" spans="1:1" x14ac:dyDescent="0.25">
      <c r="A11034"/>
    </row>
    <row r="11035" spans="1:1" x14ac:dyDescent="0.25">
      <c r="A11035"/>
    </row>
    <row r="11036" spans="1:1" x14ac:dyDescent="0.25">
      <c r="A11036"/>
    </row>
    <row r="11037" spans="1:1" x14ac:dyDescent="0.25">
      <c r="A11037"/>
    </row>
    <row r="11038" spans="1:1" x14ac:dyDescent="0.25">
      <c r="A11038"/>
    </row>
    <row r="11039" spans="1:1" x14ac:dyDescent="0.25">
      <c r="A11039"/>
    </row>
    <row r="11040" spans="1:1" x14ac:dyDescent="0.25">
      <c r="A11040"/>
    </row>
    <row r="11041" spans="1:1" x14ac:dyDescent="0.25">
      <c r="A11041"/>
    </row>
    <row r="11042" spans="1:1" x14ac:dyDescent="0.25">
      <c r="A11042"/>
    </row>
    <row r="11043" spans="1:1" x14ac:dyDescent="0.25">
      <c r="A11043"/>
    </row>
    <row r="11044" spans="1:1" x14ac:dyDescent="0.25">
      <c r="A11044"/>
    </row>
    <row r="11045" spans="1:1" x14ac:dyDescent="0.25">
      <c r="A11045"/>
    </row>
    <row r="11046" spans="1:1" x14ac:dyDescent="0.25">
      <c r="A11046"/>
    </row>
    <row r="11047" spans="1:1" x14ac:dyDescent="0.25">
      <c r="A11047"/>
    </row>
    <row r="11048" spans="1:1" x14ac:dyDescent="0.25">
      <c r="A11048"/>
    </row>
    <row r="11049" spans="1:1" x14ac:dyDescent="0.25">
      <c r="A11049"/>
    </row>
    <row r="11050" spans="1:1" x14ac:dyDescent="0.25">
      <c r="A11050"/>
    </row>
    <row r="11051" spans="1:1" x14ac:dyDescent="0.25">
      <c r="A11051"/>
    </row>
    <row r="11052" spans="1:1" x14ac:dyDescent="0.25">
      <c r="A11052"/>
    </row>
    <row r="11053" spans="1:1" x14ac:dyDescent="0.25">
      <c r="A11053"/>
    </row>
    <row r="11054" spans="1:1" x14ac:dyDescent="0.25">
      <c r="A11054"/>
    </row>
    <row r="11055" spans="1:1" x14ac:dyDescent="0.25">
      <c r="A11055"/>
    </row>
    <row r="11056" spans="1:1" x14ac:dyDescent="0.25">
      <c r="A11056"/>
    </row>
    <row r="11057" spans="1:1" x14ac:dyDescent="0.25">
      <c r="A11057"/>
    </row>
    <row r="11058" spans="1:1" x14ac:dyDescent="0.25">
      <c r="A11058"/>
    </row>
    <row r="11059" spans="1:1" x14ac:dyDescent="0.25">
      <c r="A11059"/>
    </row>
    <row r="11060" spans="1:1" x14ac:dyDescent="0.25">
      <c r="A11060"/>
    </row>
    <row r="11061" spans="1:1" x14ac:dyDescent="0.25">
      <c r="A11061"/>
    </row>
    <row r="11062" spans="1:1" x14ac:dyDescent="0.25">
      <c r="A11062"/>
    </row>
    <row r="11063" spans="1:1" x14ac:dyDescent="0.25">
      <c r="A11063"/>
    </row>
    <row r="11064" spans="1:1" x14ac:dyDescent="0.25">
      <c r="A11064"/>
    </row>
    <row r="11065" spans="1:1" x14ac:dyDescent="0.25">
      <c r="A11065"/>
    </row>
    <row r="11066" spans="1:1" x14ac:dyDescent="0.25">
      <c r="A11066"/>
    </row>
    <row r="11067" spans="1:1" x14ac:dyDescent="0.25">
      <c r="A11067"/>
    </row>
    <row r="11068" spans="1:1" x14ac:dyDescent="0.25">
      <c r="A11068"/>
    </row>
    <row r="11069" spans="1:1" x14ac:dyDescent="0.25">
      <c r="A11069"/>
    </row>
    <row r="11070" spans="1:1" x14ac:dyDescent="0.25">
      <c r="A11070"/>
    </row>
    <row r="11071" spans="1:1" x14ac:dyDescent="0.25">
      <c r="A11071"/>
    </row>
    <row r="11072" spans="1:1" x14ac:dyDescent="0.25">
      <c r="A11072"/>
    </row>
    <row r="11073" spans="1:1" x14ac:dyDescent="0.25">
      <c r="A11073"/>
    </row>
    <row r="11074" spans="1:1" x14ac:dyDescent="0.25">
      <c r="A11074"/>
    </row>
    <row r="11075" spans="1:1" x14ac:dyDescent="0.25">
      <c r="A11075"/>
    </row>
    <row r="11076" spans="1:1" x14ac:dyDescent="0.25">
      <c r="A11076"/>
    </row>
    <row r="11077" spans="1:1" x14ac:dyDescent="0.25">
      <c r="A11077"/>
    </row>
    <row r="11078" spans="1:1" x14ac:dyDescent="0.25">
      <c r="A11078"/>
    </row>
    <row r="11079" spans="1:1" x14ac:dyDescent="0.25">
      <c r="A11079"/>
    </row>
    <row r="11080" spans="1:1" x14ac:dyDescent="0.25">
      <c r="A11080"/>
    </row>
    <row r="11081" spans="1:1" x14ac:dyDescent="0.25">
      <c r="A11081"/>
    </row>
    <row r="11082" spans="1:1" x14ac:dyDescent="0.25">
      <c r="A11082"/>
    </row>
    <row r="11083" spans="1:1" x14ac:dyDescent="0.25">
      <c r="A11083"/>
    </row>
    <row r="11084" spans="1:1" x14ac:dyDescent="0.25">
      <c r="A11084"/>
    </row>
    <row r="11085" spans="1:1" x14ac:dyDescent="0.25">
      <c r="A11085"/>
    </row>
    <row r="11086" spans="1:1" x14ac:dyDescent="0.25">
      <c r="A11086"/>
    </row>
    <row r="11087" spans="1:1" x14ac:dyDescent="0.25">
      <c r="A11087"/>
    </row>
    <row r="11088" spans="1:1" x14ac:dyDescent="0.25">
      <c r="A11088"/>
    </row>
    <row r="11089" spans="1:1" x14ac:dyDescent="0.25">
      <c r="A11089"/>
    </row>
    <row r="11090" spans="1:1" x14ac:dyDescent="0.25">
      <c r="A11090"/>
    </row>
    <row r="11091" spans="1:1" x14ac:dyDescent="0.25">
      <c r="A11091"/>
    </row>
    <row r="11092" spans="1:1" x14ac:dyDescent="0.25">
      <c r="A11092"/>
    </row>
    <row r="11093" spans="1:1" x14ac:dyDescent="0.25">
      <c r="A11093"/>
    </row>
    <row r="11094" spans="1:1" x14ac:dyDescent="0.25">
      <c r="A11094"/>
    </row>
    <row r="11095" spans="1:1" x14ac:dyDescent="0.25">
      <c r="A11095"/>
    </row>
    <row r="11096" spans="1:1" x14ac:dyDescent="0.25">
      <c r="A11096"/>
    </row>
    <row r="11097" spans="1:1" x14ac:dyDescent="0.25">
      <c r="A11097"/>
    </row>
    <row r="11098" spans="1:1" x14ac:dyDescent="0.25">
      <c r="A11098"/>
    </row>
    <row r="11099" spans="1:1" x14ac:dyDescent="0.25">
      <c r="A11099"/>
    </row>
    <row r="11100" spans="1:1" x14ac:dyDescent="0.25">
      <c r="A11100"/>
    </row>
    <row r="11101" spans="1:1" x14ac:dyDescent="0.25">
      <c r="A11101"/>
    </row>
    <row r="11102" spans="1:1" x14ac:dyDescent="0.25">
      <c r="A11102"/>
    </row>
    <row r="11103" spans="1:1" x14ac:dyDescent="0.25">
      <c r="A11103"/>
    </row>
    <row r="11104" spans="1:1" x14ac:dyDescent="0.25">
      <c r="A11104"/>
    </row>
    <row r="11105" spans="1:1" x14ac:dyDescent="0.25">
      <c r="A11105"/>
    </row>
    <row r="11106" spans="1:1" x14ac:dyDescent="0.25">
      <c r="A11106"/>
    </row>
    <row r="11107" spans="1:1" x14ac:dyDescent="0.25">
      <c r="A11107"/>
    </row>
    <row r="11108" spans="1:1" x14ac:dyDescent="0.25">
      <c r="A11108"/>
    </row>
    <row r="11109" spans="1:1" x14ac:dyDescent="0.25">
      <c r="A11109"/>
    </row>
    <row r="11110" spans="1:1" x14ac:dyDescent="0.25">
      <c r="A11110"/>
    </row>
    <row r="11111" spans="1:1" x14ac:dyDescent="0.25">
      <c r="A11111"/>
    </row>
    <row r="11112" spans="1:1" x14ac:dyDescent="0.25">
      <c r="A11112"/>
    </row>
    <row r="11113" spans="1:1" x14ac:dyDescent="0.25">
      <c r="A11113"/>
    </row>
    <row r="11114" spans="1:1" x14ac:dyDescent="0.25">
      <c r="A11114"/>
    </row>
    <row r="11115" spans="1:1" x14ac:dyDescent="0.25">
      <c r="A11115"/>
    </row>
    <row r="11116" spans="1:1" x14ac:dyDescent="0.25">
      <c r="A11116"/>
    </row>
    <row r="11117" spans="1:1" x14ac:dyDescent="0.25">
      <c r="A11117"/>
    </row>
    <row r="11118" spans="1:1" x14ac:dyDescent="0.25">
      <c r="A11118"/>
    </row>
    <row r="11119" spans="1:1" x14ac:dyDescent="0.25">
      <c r="A11119"/>
    </row>
    <row r="11120" spans="1:1" x14ac:dyDescent="0.25">
      <c r="A11120"/>
    </row>
    <row r="11121" spans="1:1" x14ac:dyDescent="0.25">
      <c r="A11121"/>
    </row>
    <row r="11122" spans="1:1" x14ac:dyDescent="0.25">
      <c r="A11122"/>
    </row>
    <row r="11123" spans="1:1" x14ac:dyDescent="0.25">
      <c r="A11123"/>
    </row>
    <row r="11124" spans="1:1" x14ac:dyDescent="0.25">
      <c r="A11124"/>
    </row>
    <row r="11125" spans="1:1" x14ac:dyDescent="0.25">
      <c r="A11125"/>
    </row>
    <row r="11126" spans="1:1" x14ac:dyDescent="0.25">
      <c r="A11126"/>
    </row>
    <row r="11127" spans="1:1" x14ac:dyDescent="0.25">
      <c r="A11127"/>
    </row>
    <row r="11128" spans="1:1" x14ac:dyDescent="0.25">
      <c r="A11128"/>
    </row>
    <row r="11129" spans="1:1" x14ac:dyDescent="0.25">
      <c r="A11129"/>
    </row>
    <row r="11130" spans="1:1" x14ac:dyDescent="0.25">
      <c r="A11130"/>
    </row>
    <row r="11131" spans="1:1" x14ac:dyDescent="0.25">
      <c r="A11131"/>
    </row>
    <row r="11132" spans="1:1" x14ac:dyDescent="0.25">
      <c r="A11132"/>
    </row>
    <row r="11133" spans="1:1" x14ac:dyDescent="0.25">
      <c r="A11133"/>
    </row>
    <row r="11134" spans="1:1" x14ac:dyDescent="0.25">
      <c r="A11134"/>
    </row>
    <row r="11135" spans="1:1" x14ac:dyDescent="0.25">
      <c r="A11135"/>
    </row>
    <row r="11136" spans="1:1" x14ac:dyDescent="0.25">
      <c r="A11136"/>
    </row>
    <row r="11137" spans="1:1" x14ac:dyDescent="0.25">
      <c r="A11137"/>
    </row>
    <row r="11138" spans="1:1" x14ac:dyDescent="0.25">
      <c r="A11138"/>
    </row>
    <row r="11139" spans="1:1" x14ac:dyDescent="0.25">
      <c r="A11139"/>
    </row>
    <row r="11140" spans="1:1" x14ac:dyDescent="0.25">
      <c r="A11140"/>
    </row>
    <row r="11141" spans="1:1" x14ac:dyDescent="0.25">
      <c r="A11141"/>
    </row>
    <row r="11142" spans="1:1" x14ac:dyDescent="0.25">
      <c r="A11142"/>
    </row>
    <row r="11143" spans="1:1" x14ac:dyDescent="0.25">
      <c r="A11143"/>
    </row>
    <row r="11144" spans="1:1" x14ac:dyDescent="0.25">
      <c r="A11144"/>
    </row>
    <row r="11145" spans="1:1" x14ac:dyDescent="0.25">
      <c r="A11145"/>
    </row>
    <row r="11146" spans="1:1" x14ac:dyDescent="0.25">
      <c r="A11146"/>
    </row>
    <row r="11147" spans="1:1" x14ac:dyDescent="0.25">
      <c r="A11147"/>
    </row>
    <row r="11148" spans="1:1" x14ac:dyDescent="0.25">
      <c r="A11148"/>
    </row>
    <row r="11149" spans="1:1" x14ac:dyDescent="0.25">
      <c r="A11149"/>
    </row>
    <row r="11150" spans="1:1" x14ac:dyDescent="0.25">
      <c r="A11150"/>
    </row>
    <row r="11151" spans="1:1" x14ac:dyDescent="0.25">
      <c r="A11151"/>
    </row>
    <row r="11152" spans="1:1" x14ac:dyDescent="0.25">
      <c r="A11152"/>
    </row>
    <row r="11153" spans="1:1" x14ac:dyDescent="0.25">
      <c r="A11153"/>
    </row>
    <row r="11154" spans="1:1" x14ac:dyDescent="0.25">
      <c r="A11154"/>
    </row>
    <row r="11155" spans="1:1" x14ac:dyDescent="0.25">
      <c r="A11155"/>
    </row>
    <row r="11156" spans="1:1" x14ac:dyDescent="0.25">
      <c r="A11156"/>
    </row>
    <row r="11157" spans="1:1" x14ac:dyDescent="0.25">
      <c r="A11157"/>
    </row>
    <row r="11158" spans="1:1" x14ac:dyDescent="0.25">
      <c r="A11158"/>
    </row>
    <row r="11159" spans="1:1" x14ac:dyDescent="0.25">
      <c r="A11159"/>
    </row>
    <row r="11160" spans="1:1" x14ac:dyDescent="0.25">
      <c r="A11160"/>
    </row>
    <row r="11161" spans="1:1" x14ac:dyDescent="0.25">
      <c r="A11161"/>
    </row>
    <row r="11162" spans="1:1" x14ac:dyDescent="0.25">
      <c r="A11162"/>
    </row>
    <row r="11163" spans="1:1" x14ac:dyDescent="0.25">
      <c r="A11163"/>
    </row>
    <row r="11164" spans="1:1" x14ac:dyDescent="0.25">
      <c r="A11164"/>
    </row>
    <row r="11165" spans="1:1" x14ac:dyDescent="0.25">
      <c r="A11165"/>
    </row>
    <row r="11166" spans="1:1" x14ac:dyDescent="0.25">
      <c r="A11166"/>
    </row>
    <row r="11167" spans="1:1" x14ac:dyDescent="0.25">
      <c r="A11167"/>
    </row>
    <row r="11168" spans="1:1" x14ac:dyDescent="0.25">
      <c r="A11168"/>
    </row>
    <row r="11169" spans="1:1" x14ac:dyDescent="0.25">
      <c r="A11169"/>
    </row>
    <row r="11170" spans="1:1" x14ac:dyDescent="0.25">
      <c r="A11170"/>
    </row>
    <row r="11171" spans="1:1" x14ac:dyDescent="0.25">
      <c r="A11171"/>
    </row>
    <row r="11172" spans="1:1" x14ac:dyDescent="0.25">
      <c r="A11172"/>
    </row>
    <row r="11173" spans="1:1" x14ac:dyDescent="0.25">
      <c r="A11173"/>
    </row>
    <row r="11174" spans="1:1" x14ac:dyDescent="0.25">
      <c r="A11174"/>
    </row>
    <row r="11175" spans="1:1" x14ac:dyDescent="0.25">
      <c r="A11175"/>
    </row>
    <row r="11176" spans="1:1" x14ac:dyDescent="0.25">
      <c r="A11176"/>
    </row>
    <row r="11177" spans="1:1" x14ac:dyDescent="0.25">
      <c r="A11177"/>
    </row>
    <row r="11178" spans="1:1" x14ac:dyDescent="0.25">
      <c r="A11178"/>
    </row>
    <row r="11179" spans="1:1" x14ac:dyDescent="0.25">
      <c r="A11179"/>
    </row>
    <row r="11180" spans="1:1" x14ac:dyDescent="0.25">
      <c r="A11180"/>
    </row>
    <row r="11181" spans="1:1" x14ac:dyDescent="0.25">
      <c r="A11181"/>
    </row>
    <row r="11182" spans="1:1" x14ac:dyDescent="0.25">
      <c r="A11182"/>
    </row>
    <row r="11183" spans="1:1" x14ac:dyDescent="0.25">
      <c r="A11183"/>
    </row>
    <row r="11184" spans="1:1" x14ac:dyDescent="0.25">
      <c r="A11184"/>
    </row>
    <row r="11185" spans="1:1" x14ac:dyDescent="0.25">
      <c r="A11185"/>
    </row>
    <row r="11186" spans="1:1" x14ac:dyDescent="0.25">
      <c r="A11186"/>
    </row>
    <row r="11187" spans="1:1" x14ac:dyDescent="0.25">
      <c r="A11187"/>
    </row>
    <row r="11188" spans="1:1" x14ac:dyDescent="0.25">
      <c r="A11188"/>
    </row>
    <row r="11189" spans="1:1" x14ac:dyDescent="0.25">
      <c r="A11189"/>
    </row>
    <row r="11190" spans="1:1" x14ac:dyDescent="0.25">
      <c r="A11190"/>
    </row>
    <row r="11191" spans="1:1" x14ac:dyDescent="0.25">
      <c r="A11191"/>
    </row>
    <row r="11192" spans="1:1" x14ac:dyDescent="0.25">
      <c r="A11192"/>
    </row>
    <row r="11193" spans="1:1" x14ac:dyDescent="0.25">
      <c r="A11193"/>
    </row>
    <row r="11194" spans="1:1" x14ac:dyDescent="0.25">
      <c r="A11194"/>
    </row>
    <row r="11195" spans="1:1" x14ac:dyDescent="0.25">
      <c r="A11195"/>
    </row>
    <row r="11196" spans="1:1" x14ac:dyDescent="0.25">
      <c r="A11196"/>
    </row>
    <row r="11197" spans="1:1" x14ac:dyDescent="0.25">
      <c r="A11197"/>
    </row>
    <row r="11198" spans="1:1" x14ac:dyDescent="0.25">
      <c r="A11198"/>
    </row>
    <row r="11199" spans="1:1" x14ac:dyDescent="0.25">
      <c r="A11199"/>
    </row>
    <row r="11200" spans="1:1" x14ac:dyDescent="0.25">
      <c r="A11200"/>
    </row>
    <row r="11201" spans="1:1" x14ac:dyDescent="0.25">
      <c r="A11201"/>
    </row>
    <row r="11202" spans="1:1" x14ac:dyDescent="0.25">
      <c r="A11202"/>
    </row>
    <row r="11203" spans="1:1" x14ac:dyDescent="0.25">
      <c r="A11203"/>
    </row>
    <row r="11204" spans="1:1" x14ac:dyDescent="0.25">
      <c r="A11204"/>
    </row>
    <row r="11205" spans="1:1" x14ac:dyDescent="0.25">
      <c r="A11205"/>
    </row>
    <row r="11206" spans="1:1" x14ac:dyDescent="0.25">
      <c r="A11206"/>
    </row>
    <row r="11207" spans="1:1" x14ac:dyDescent="0.25">
      <c r="A11207"/>
    </row>
    <row r="11208" spans="1:1" x14ac:dyDescent="0.25">
      <c r="A11208"/>
    </row>
    <row r="11209" spans="1:1" x14ac:dyDescent="0.25">
      <c r="A11209"/>
    </row>
    <row r="11210" spans="1:1" x14ac:dyDescent="0.25">
      <c r="A11210"/>
    </row>
    <row r="11211" spans="1:1" x14ac:dyDescent="0.25">
      <c r="A11211"/>
    </row>
    <row r="11212" spans="1:1" x14ac:dyDescent="0.25">
      <c r="A11212"/>
    </row>
    <row r="11213" spans="1:1" x14ac:dyDescent="0.25">
      <c r="A11213"/>
    </row>
    <row r="11214" spans="1:1" x14ac:dyDescent="0.25">
      <c r="A11214"/>
    </row>
    <row r="11215" spans="1:1" x14ac:dyDescent="0.25">
      <c r="A11215"/>
    </row>
    <row r="11216" spans="1:1" x14ac:dyDescent="0.25">
      <c r="A11216"/>
    </row>
    <row r="11217" spans="1:1" x14ac:dyDescent="0.25">
      <c r="A11217"/>
    </row>
    <row r="11218" spans="1:1" x14ac:dyDescent="0.25">
      <c r="A11218"/>
    </row>
    <row r="11219" spans="1:1" x14ac:dyDescent="0.25">
      <c r="A11219"/>
    </row>
    <row r="11220" spans="1:1" x14ac:dyDescent="0.25">
      <c r="A11220"/>
    </row>
    <row r="11221" spans="1:1" x14ac:dyDescent="0.25">
      <c r="A11221"/>
    </row>
    <row r="11222" spans="1:1" x14ac:dyDescent="0.25">
      <c r="A11222"/>
    </row>
    <row r="11223" spans="1:1" x14ac:dyDescent="0.25">
      <c r="A11223"/>
    </row>
    <row r="11224" spans="1:1" x14ac:dyDescent="0.25">
      <c r="A11224"/>
    </row>
    <row r="11225" spans="1:1" x14ac:dyDescent="0.25">
      <c r="A11225"/>
    </row>
    <row r="11226" spans="1:1" x14ac:dyDescent="0.25">
      <c r="A11226"/>
    </row>
    <row r="11227" spans="1:1" x14ac:dyDescent="0.25">
      <c r="A11227"/>
    </row>
    <row r="11228" spans="1:1" x14ac:dyDescent="0.25">
      <c r="A11228"/>
    </row>
    <row r="11229" spans="1:1" x14ac:dyDescent="0.25">
      <c r="A11229"/>
    </row>
    <row r="11230" spans="1:1" x14ac:dyDescent="0.25">
      <c r="A11230"/>
    </row>
    <row r="11231" spans="1:1" x14ac:dyDescent="0.25">
      <c r="A11231"/>
    </row>
    <row r="11232" spans="1:1" x14ac:dyDescent="0.25">
      <c r="A11232"/>
    </row>
    <row r="11233" spans="1:1" x14ac:dyDescent="0.25">
      <c r="A11233"/>
    </row>
    <row r="11234" spans="1:1" x14ac:dyDescent="0.25">
      <c r="A11234"/>
    </row>
    <row r="11235" spans="1:1" x14ac:dyDescent="0.25">
      <c r="A11235"/>
    </row>
    <row r="11236" spans="1:1" x14ac:dyDescent="0.25">
      <c r="A11236"/>
    </row>
    <row r="11237" spans="1:1" x14ac:dyDescent="0.25">
      <c r="A11237"/>
    </row>
    <row r="11238" spans="1:1" x14ac:dyDescent="0.25">
      <c r="A11238"/>
    </row>
    <row r="11239" spans="1:1" x14ac:dyDescent="0.25">
      <c r="A11239"/>
    </row>
    <row r="11240" spans="1:1" x14ac:dyDescent="0.25">
      <c r="A11240"/>
    </row>
    <row r="11241" spans="1:1" x14ac:dyDescent="0.25">
      <c r="A11241"/>
    </row>
    <row r="11242" spans="1:1" x14ac:dyDescent="0.25">
      <c r="A11242"/>
    </row>
    <row r="11243" spans="1:1" x14ac:dyDescent="0.25">
      <c r="A11243"/>
    </row>
    <row r="11244" spans="1:1" x14ac:dyDescent="0.25">
      <c r="A11244"/>
    </row>
    <row r="11245" spans="1:1" x14ac:dyDescent="0.25">
      <c r="A11245"/>
    </row>
    <row r="11246" spans="1:1" x14ac:dyDescent="0.25">
      <c r="A11246"/>
    </row>
    <row r="11247" spans="1:1" x14ac:dyDescent="0.25">
      <c r="A11247"/>
    </row>
    <row r="11248" spans="1:1" x14ac:dyDescent="0.25">
      <c r="A11248"/>
    </row>
    <row r="11249" spans="1:1" x14ac:dyDescent="0.25">
      <c r="A11249"/>
    </row>
    <row r="11250" spans="1:1" x14ac:dyDescent="0.25">
      <c r="A11250"/>
    </row>
    <row r="11251" spans="1:1" x14ac:dyDescent="0.25">
      <c r="A11251"/>
    </row>
    <row r="11252" spans="1:1" x14ac:dyDescent="0.25">
      <c r="A11252"/>
    </row>
    <row r="11253" spans="1:1" x14ac:dyDescent="0.25">
      <c r="A11253"/>
    </row>
    <row r="11254" spans="1:1" x14ac:dyDescent="0.25">
      <c r="A11254"/>
    </row>
    <row r="11255" spans="1:1" x14ac:dyDescent="0.25">
      <c r="A11255"/>
    </row>
    <row r="11256" spans="1:1" x14ac:dyDescent="0.25">
      <c r="A11256"/>
    </row>
    <row r="11257" spans="1:1" x14ac:dyDescent="0.25">
      <c r="A11257"/>
    </row>
    <row r="11258" spans="1:1" x14ac:dyDescent="0.25">
      <c r="A11258"/>
    </row>
    <row r="11259" spans="1:1" x14ac:dyDescent="0.25">
      <c r="A11259"/>
    </row>
    <row r="11260" spans="1:1" x14ac:dyDescent="0.25">
      <c r="A11260"/>
    </row>
    <row r="11261" spans="1:1" x14ac:dyDescent="0.25">
      <c r="A11261"/>
    </row>
    <row r="11262" spans="1:1" x14ac:dyDescent="0.25">
      <c r="A11262"/>
    </row>
    <row r="11263" spans="1:1" x14ac:dyDescent="0.25">
      <c r="A11263"/>
    </row>
    <row r="11264" spans="1:1" x14ac:dyDescent="0.25">
      <c r="A11264"/>
    </row>
    <row r="11265" spans="1:1" x14ac:dyDescent="0.25">
      <c r="A11265"/>
    </row>
    <row r="11266" spans="1:1" x14ac:dyDescent="0.25">
      <c r="A11266"/>
    </row>
    <row r="11267" spans="1:1" x14ac:dyDescent="0.25">
      <c r="A11267"/>
    </row>
    <row r="11268" spans="1:1" x14ac:dyDescent="0.25">
      <c r="A11268"/>
    </row>
    <row r="11269" spans="1:1" x14ac:dyDescent="0.25">
      <c r="A11269"/>
    </row>
    <row r="11270" spans="1:1" x14ac:dyDescent="0.25">
      <c r="A11270"/>
    </row>
    <row r="11271" spans="1:1" x14ac:dyDescent="0.25">
      <c r="A11271"/>
    </row>
    <row r="11272" spans="1:1" x14ac:dyDescent="0.25">
      <c r="A11272"/>
    </row>
    <row r="11273" spans="1:1" x14ac:dyDescent="0.25">
      <c r="A11273"/>
    </row>
    <row r="11274" spans="1:1" x14ac:dyDescent="0.25">
      <c r="A11274"/>
    </row>
    <row r="11275" spans="1:1" x14ac:dyDescent="0.25">
      <c r="A11275"/>
    </row>
    <row r="11276" spans="1:1" x14ac:dyDescent="0.25">
      <c r="A11276"/>
    </row>
    <row r="11277" spans="1:1" x14ac:dyDescent="0.25">
      <c r="A11277"/>
    </row>
    <row r="11278" spans="1:1" x14ac:dyDescent="0.25">
      <c r="A11278"/>
    </row>
    <row r="11279" spans="1:1" x14ac:dyDescent="0.25">
      <c r="A11279"/>
    </row>
    <row r="11280" spans="1:1" x14ac:dyDescent="0.25">
      <c r="A11280"/>
    </row>
    <row r="11281" spans="1:1" x14ac:dyDescent="0.25">
      <c r="A11281"/>
    </row>
    <row r="11282" spans="1:1" x14ac:dyDescent="0.25">
      <c r="A11282"/>
    </row>
    <row r="11283" spans="1:1" x14ac:dyDescent="0.25">
      <c r="A11283"/>
    </row>
    <row r="11284" spans="1:1" x14ac:dyDescent="0.25">
      <c r="A11284"/>
    </row>
    <row r="11285" spans="1:1" x14ac:dyDescent="0.25">
      <c r="A11285"/>
    </row>
    <row r="11286" spans="1:1" x14ac:dyDescent="0.25">
      <c r="A11286"/>
    </row>
    <row r="11287" spans="1:1" x14ac:dyDescent="0.25">
      <c r="A11287"/>
    </row>
    <row r="11288" spans="1:1" x14ac:dyDescent="0.25">
      <c r="A11288"/>
    </row>
    <row r="11289" spans="1:1" x14ac:dyDescent="0.25">
      <c r="A11289"/>
    </row>
    <row r="11290" spans="1:1" x14ac:dyDescent="0.25">
      <c r="A11290"/>
    </row>
    <row r="11291" spans="1:1" x14ac:dyDescent="0.25">
      <c r="A11291"/>
    </row>
    <row r="11292" spans="1:1" x14ac:dyDescent="0.25">
      <c r="A11292"/>
    </row>
    <row r="11293" spans="1:1" x14ac:dyDescent="0.25">
      <c r="A11293"/>
    </row>
    <row r="11294" spans="1:1" x14ac:dyDescent="0.25">
      <c r="A11294"/>
    </row>
    <row r="11295" spans="1:1" x14ac:dyDescent="0.25">
      <c r="A11295"/>
    </row>
    <row r="11296" spans="1:1" x14ac:dyDescent="0.25">
      <c r="A11296"/>
    </row>
    <row r="11297" spans="1:1" x14ac:dyDescent="0.25">
      <c r="A11297"/>
    </row>
    <row r="11298" spans="1:1" x14ac:dyDescent="0.25">
      <c r="A11298"/>
    </row>
    <row r="11299" spans="1:1" x14ac:dyDescent="0.25">
      <c r="A11299"/>
    </row>
    <row r="11300" spans="1:1" x14ac:dyDescent="0.25">
      <c r="A11300"/>
    </row>
    <row r="11301" spans="1:1" x14ac:dyDescent="0.25">
      <c r="A11301"/>
    </row>
    <row r="11302" spans="1:1" x14ac:dyDescent="0.25">
      <c r="A11302"/>
    </row>
    <row r="11303" spans="1:1" x14ac:dyDescent="0.25">
      <c r="A11303"/>
    </row>
    <row r="11304" spans="1:1" x14ac:dyDescent="0.25">
      <c r="A11304"/>
    </row>
    <row r="11305" spans="1:1" x14ac:dyDescent="0.25">
      <c r="A11305"/>
    </row>
    <row r="11306" spans="1:1" x14ac:dyDescent="0.25">
      <c r="A11306"/>
    </row>
    <row r="11307" spans="1:1" x14ac:dyDescent="0.25">
      <c r="A11307"/>
    </row>
    <row r="11308" spans="1:1" x14ac:dyDescent="0.25">
      <c r="A11308"/>
    </row>
    <row r="11309" spans="1:1" x14ac:dyDescent="0.25">
      <c r="A11309"/>
    </row>
    <row r="11310" spans="1:1" x14ac:dyDescent="0.25">
      <c r="A11310"/>
    </row>
    <row r="11311" spans="1:1" x14ac:dyDescent="0.25">
      <c r="A11311"/>
    </row>
    <row r="11312" spans="1:1" x14ac:dyDescent="0.25">
      <c r="A11312"/>
    </row>
    <row r="11313" spans="1:1" x14ac:dyDescent="0.25">
      <c r="A11313"/>
    </row>
    <row r="11314" spans="1:1" x14ac:dyDescent="0.25">
      <c r="A11314"/>
    </row>
    <row r="11315" spans="1:1" x14ac:dyDescent="0.25">
      <c r="A11315"/>
    </row>
    <row r="11316" spans="1:1" x14ac:dyDescent="0.25">
      <c r="A11316"/>
    </row>
    <row r="11317" spans="1:1" x14ac:dyDescent="0.25">
      <c r="A11317"/>
    </row>
    <row r="11318" spans="1:1" x14ac:dyDescent="0.25">
      <c r="A11318"/>
    </row>
    <row r="11319" spans="1:1" x14ac:dyDescent="0.25">
      <c r="A11319"/>
    </row>
    <row r="11320" spans="1:1" x14ac:dyDescent="0.25">
      <c r="A11320"/>
    </row>
    <row r="11321" spans="1:1" x14ac:dyDescent="0.25">
      <c r="A11321"/>
    </row>
    <row r="11322" spans="1:1" x14ac:dyDescent="0.25">
      <c r="A11322"/>
    </row>
    <row r="11323" spans="1:1" x14ac:dyDescent="0.25">
      <c r="A11323"/>
    </row>
    <row r="11324" spans="1:1" x14ac:dyDescent="0.25">
      <c r="A11324"/>
    </row>
    <row r="11325" spans="1:1" x14ac:dyDescent="0.25">
      <c r="A11325"/>
    </row>
    <row r="11326" spans="1:1" x14ac:dyDescent="0.25">
      <c r="A11326"/>
    </row>
    <row r="11327" spans="1:1" x14ac:dyDescent="0.25">
      <c r="A11327"/>
    </row>
    <row r="11328" spans="1:1" x14ac:dyDescent="0.25">
      <c r="A11328"/>
    </row>
    <row r="11329" spans="1:1" x14ac:dyDescent="0.25">
      <c r="A11329"/>
    </row>
    <row r="11330" spans="1:1" x14ac:dyDescent="0.25">
      <c r="A11330"/>
    </row>
    <row r="11331" spans="1:1" x14ac:dyDescent="0.25">
      <c r="A11331"/>
    </row>
    <row r="11332" spans="1:1" x14ac:dyDescent="0.25">
      <c r="A11332"/>
    </row>
    <row r="11333" spans="1:1" x14ac:dyDescent="0.25">
      <c r="A11333"/>
    </row>
    <row r="11334" spans="1:1" x14ac:dyDescent="0.25">
      <c r="A11334"/>
    </row>
    <row r="11335" spans="1:1" x14ac:dyDescent="0.25">
      <c r="A11335"/>
    </row>
    <row r="11336" spans="1:1" x14ac:dyDescent="0.25">
      <c r="A11336"/>
    </row>
    <row r="11337" spans="1:1" x14ac:dyDescent="0.25">
      <c r="A11337"/>
    </row>
    <row r="11338" spans="1:1" x14ac:dyDescent="0.25">
      <c r="A11338"/>
    </row>
    <row r="11339" spans="1:1" x14ac:dyDescent="0.25">
      <c r="A11339"/>
    </row>
    <row r="11340" spans="1:1" x14ac:dyDescent="0.25">
      <c r="A11340"/>
    </row>
    <row r="11341" spans="1:1" x14ac:dyDescent="0.25">
      <c r="A11341"/>
    </row>
    <row r="11342" spans="1:1" x14ac:dyDescent="0.25">
      <c r="A11342"/>
    </row>
    <row r="11343" spans="1:1" x14ac:dyDescent="0.25">
      <c r="A11343"/>
    </row>
    <row r="11344" spans="1:1" x14ac:dyDescent="0.25">
      <c r="A11344"/>
    </row>
    <row r="11345" spans="1:1" x14ac:dyDescent="0.25">
      <c r="A11345"/>
    </row>
    <row r="11346" spans="1:1" x14ac:dyDescent="0.25">
      <c r="A11346"/>
    </row>
    <row r="11347" spans="1:1" x14ac:dyDescent="0.25">
      <c r="A11347"/>
    </row>
    <row r="11348" spans="1:1" x14ac:dyDescent="0.25">
      <c r="A11348"/>
    </row>
    <row r="11349" spans="1:1" x14ac:dyDescent="0.25">
      <c r="A11349"/>
    </row>
    <row r="11350" spans="1:1" x14ac:dyDescent="0.25">
      <c r="A11350"/>
    </row>
    <row r="11351" spans="1:1" x14ac:dyDescent="0.25">
      <c r="A11351"/>
    </row>
    <row r="11352" spans="1:1" x14ac:dyDescent="0.25">
      <c r="A11352"/>
    </row>
    <row r="11353" spans="1:1" x14ac:dyDescent="0.25">
      <c r="A11353"/>
    </row>
    <row r="11354" spans="1:1" x14ac:dyDescent="0.25">
      <c r="A11354"/>
    </row>
    <row r="11355" spans="1:1" x14ac:dyDescent="0.25">
      <c r="A11355"/>
    </row>
    <row r="11356" spans="1:1" x14ac:dyDescent="0.25">
      <c r="A11356"/>
    </row>
    <row r="11357" spans="1:1" x14ac:dyDescent="0.25">
      <c r="A11357"/>
    </row>
    <row r="11358" spans="1:1" x14ac:dyDescent="0.25">
      <c r="A11358"/>
    </row>
    <row r="11359" spans="1:1" x14ac:dyDescent="0.25">
      <c r="A11359"/>
    </row>
    <row r="11360" spans="1:1" x14ac:dyDescent="0.25">
      <c r="A11360"/>
    </row>
    <row r="11361" spans="1:1" x14ac:dyDescent="0.25">
      <c r="A11361"/>
    </row>
    <row r="11362" spans="1:1" x14ac:dyDescent="0.25">
      <c r="A11362"/>
    </row>
    <row r="11363" spans="1:1" x14ac:dyDescent="0.25">
      <c r="A11363"/>
    </row>
    <row r="11364" spans="1:1" x14ac:dyDescent="0.25">
      <c r="A11364"/>
    </row>
    <row r="11365" spans="1:1" x14ac:dyDescent="0.25">
      <c r="A11365"/>
    </row>
    <row r="11366" spans="1:1" x14ac:dyDescent="0.25">
      <c r="A11366"/>
    </row>
    <row r="11367" spans="1:1" x14ac:dyDescent="0.25">
      <c r="A11367"/>
    </row>
    <row r="11368" spans="1:1" x14ac:dyDescent="0.25">
      <c r="A11368"/>
    </row>
    <row r="11369" spans="1:1" x14ac:dyDescent="0.25">
      <c r="A11369"/>
    </row>
    <row r="11370" spans="1:1" x14ac:dyDescent="0.25">
      <c r="A11370"/>
    </row>
    <row r="11371" spans="1:1" x14ac:dyDescent="0.25">
      <c r="A11371"/>
    </row>
    <row r="11372" spans="1:1" x14ac:dyDescent="0.25">
      <c r="A11372"/>
    </row>
    <row r="11373" spans="1:1" x14ac:dyDescent="0.25">
      <c r="A11373"/>
    </row>
    <row r="11374" spans="1:1" x14ac:dyDescent="0.25">
      <c r="A11374"/>
    </row>
    <row r="11375" spans="1:1" x14ac:dyDescent="0.25">
      <c r="A11375"/>
    </row>
    <row r="11376" spans="1:1" x14ac:dyDescent="0.25">
      <c r="A11376"/>
    </row>
    <row r="11377" spans="1:1" x14ac:dyDescent="0.25">
      <c r="A11377"/>
    </row>
    <row r="11378" spans="1:1" x14ac:dyDescent="0.25">
      <c r="A11378"/>
    </row>
    <row r="11379" spans="1:1" x14ac:dyDescent="0.25">
      <c r="A11379"/>
    </row>
    <row r="11380" spans="1:1" x14ac:dyDescent="0.25">
      <c r="A11380"/>
    </row>
    <row r="11381" spans="1:1" x14ac:dyDescent="0.25">
      <c r="A11381"/>
    </row>
    <row r="11382" spans="1:1" x14ac:dyDescent="0.25">
      <c r="A11382"/>
    </row>
    <row r="11383" spans="1:1" x14ac:dyDescent="0.25">
      <c r="A11383"/>
    </row>
    <row r="11384" spans="1:1" x14ac:dyDescent="0.25">
      <c r="A11384"/>
    </row>
    <row r="11385" spans="1:1" x14ac:dyDescent="0.25">
      <c r="A11385"/>
    </row>
    <row r="11386" spans="1:1" x14ac:dyDescent="0.25">
      <c r="A11386"/>
    </row>
    <row r="11387" spans="1:1" x14ac:dyDescent="0.25">
      <c r="A11387"/>
    </row>
    <row r="11388" spans="1:1" x14ac:dyDescent="0.25">
      <c r="A11388"/>
    </row>
    <row r="11389" spans="1:1" x14ac:dyDescent="0.25">
      <c r="A11389"/>
    </row>
    <row r="11390" spans="1:1" x14ac:dyDescent="0.25">
      <c r="A11390"/>
    </row>
    <row r="11391" spans="1:1" x14ac:dyDescent="0.25">
      <c r="A11391"/>
    </row>
    <row r="11392" spans="1:1" x14ac:dyDescent="0.25">
      <c r="A11392"/>
    </row>
    <row r="11393" spans="1:1" x14ac:dyDescent="0.25">
      <c r="A11393"/>
    </row>
    <row r="11394" spans="1:1" x14ac:dyDescent="0.25">
      <c r="A11394"/>
    </row>
    <row r="11395" spans="1:1" x14ac:dyDescent="0.25">
      <c r="A11395"/>
    </row>
    <row r="11396" spans="1:1" x14ac:dyDescent="0.25">
      <c r="A11396"/>
    </row>
    <row r="11397" spans="1:1" x14ac:dyDescent="0.25">
      <c r="A11397"/>
    </row>
    <row r="11398" spans="1:1" x14ac:dyDescent="0.25">
      <c r="A11398"/>
    </row>
    <row r="11399" spans="1:1" x14ac:dyDescent="0.25">
      <c r="A11399"/>
    </row>
    <row r="11400" spans="1:1" x14ac:dyDescent="0.25">
      <c r="A11400"/>
    </row>
    <row r="11401" spans="1:1" x14ac:dyDescent="0.25">
      <c r="A11401"/>
    </row>
    <row r="11402" spans="1:1" x14ac:dyDescent="0.25">
      <c r="A11402"/>
    </row>
    <row r="11403" spans="1:1" x14ac:dyDescent="0.25">
      <c r="A11403"/>
    </row>
    <row r="11404" spans="1:1" x14ac:dyDescent="0.25">
      <c r="A11404"/>
    </row>
    <row r="11405" spans="1:1" x14ac:dyDescent="0.25">
      <c r="A11405"/>
    </row>
    <row r="11406" spans="1:1" x14ac:dyDescent="0.25">
      <c r="A11406"/>
    </row>
    <row r="11407" spans="1:1" x14ac:dyDescent="0.25">
      <c r="A11407"/>
    </row>
    <row r="11408" spans="1:1" x14ac:dyDescent="0.25">
      <c r="A11408"/>
    </row>
    <row r="11409" spans="1:1" x14ac:dyDescent="0.25">
      <c r="A11409"/>
    </row>
    <row r="11410" spans="1:1" x14ac:dyDescent="0.25">
      <c r="A11410"/>
    </row>
    <row r="11411" spans="1:1" x14ac:dyDescent="0.25">
      <c r="A11411"/>
    </row>
    <row r="11412" spans="1:1" x14ac:dyDescent="0.25">
      <c r="A11412"/>
    </row>
    <row r="11413" spans="1:1" x14ac:dyDescent="0.25">
      <c r="A11413"/>
    </row>
    <row r="11414" spans="1:1" x14ac:dyDescent="0.25">
      <c r="A11414"/>
    </row>
    <row r="11415" spans="1:1" x14ac:dyDescent="0.25">
      <c r="A11415"/>
    </row>
    <row r="11416" spans="1:1" x14ac:dyDescent="0.25">
      <c r="A11416"/>
    </row>
    <row r="11417" spans="1:1" x14ac:dyDescent="0.25">
      <c r="A11417"/>
    </row>
    <row r="11418" spans="1:1" x14ac:dyDescent="0.25">
      <c r="A11418"/>
    </row>
    <row r="11419" spans="1:1" x14ac:dyDescent="0.25">
      <c r="A11419"/>
    </row>
    <row r="11420" spans="1:1" x14ac:dyDescent="0.25">
      <c r="A11420"/>
    </row>
    <row r="11421" spans="1:1" x14ac:dyDescent="0.25">
      <c r="A11421"/>
    </row>
    <row r="11422" spans="1:1" x14ac:dyDescent="0.25">
      <c r="A11422"/>
    </row>
    <row r="11423" spans="1:1" x14ac:dyDescent="0.25">
      <c r="A11423"/>
    </row>
    <row r="11424" spans="1:1" x14ac:dyDescent="0.25">
      <c r="A11424"/>
    </row>
    <row r="11425" spans="1:1" x14ac:dyDescent="0.25">
      <c r="A11425"/>
    </row>
    <row r="11426" spans="1:1" x14ac:dyDescent="0.25">
      <c r="A11426"/>
    </row>
    <row r="11427" spans="1:1" x14ac:dyDescent="0.25">
      <c r="A11427"/>
    </row>
    <row r="11428" spans="1:1" x14ac:dyDescent="0.25">
      <c r="A11428"/>
    </row>
    <row r="11429" spans="1:1" x14ac:dyDescent="0.25">
      <c r="A11429"/>
    </row>
    <row r="11430" spans="1:1" x14ac:dyDescent="0.25">
      <c r="A11430"/>
    </row>
    <row r="11431" spans="1:1" x14ac:dyDescent="0.25">
      <c r="A11431"/>
    </row>
    <row r="11432" spans="1:1" x14ac:dyDescent="0.25">
      <c r="A11432"/>
    </row>
    <row r="11433" spans="1:1" x14ac:dyDescent="0.25">
      <c r="A11433"/>
    </row>
    <row r="11434" spans="1:1" x14ac:dyDescent="0.25">
      <c r="A11434"/>
    </row>
    <row r="11435" spans="1:1" x14ac:dyDescent="0.25">
      <c r="A11435"/>
    </row>
    <row r="11436" spans="1:1" x14ac:dyDescent="0.25">
      <c r="A11436"/>
    </row>
    <row r="11437" spans="1:1" x14ac:dyDescent="0.25">
      <c r="A11437"/>
    </row>
    <row r="11438" spans="1:1" x14ac:dyDescent="0.25">
      <c r="A11438"/>
    </row>
    <row r="11439" spans="1:1" x14ac:dyDescent="0.25">
      <c r="A11439"/>
    </row>
    <row r="11440" spans="1:1" x14ac:dyDescent="0.25">
      <c r="A11440"/>
    </row>
    <row r="11441" spans="1:1" x14ac:dyDescent="0.25">
      <c r="A11441"/>
    </row>
    <row r="11442" spans="1:1" x14ac:dyDescent="0.25">
      <c r="A11442"/>
    </row>
    <row r="11443" spans="1:1" x14ac:dyDescent="0.25">
      <c r="A11443"/>
    </row>
    <row r="11444" spans="1:1" x14ac:dyDescent="0.25">
      <c r="A11444"/>
    </row>
    <row r="11445" spans="1:1" x14ac:dyDescent="0.25">
      <c r="A11445"/>
    </row>
    <row r="11446" spans="1:1" x14ac:dyDescent="0.25">
      <c r="A11446"/>
    </row>
    <row r="11447" spans="1:1" x14ac:dyDescent="0.25">
      <c r="A11447"/>
    </row>
    <row r="11448" spans="1:1" x14ac:dyDescent="0.25">
      <c r="A11448"/>
    </row>
    <row r="11449" spans="1:1" x14ac:dyDescent="0.25">
      <c r="A11449"/>
    </row>
    <row r="11450" spans="1:1" x14ac:dyDescent="0.25">
      <c r="A11450"/>
    </row>
    <row r="11451" spans="1:1" x14ac:dyDescent="0.25">
      <c r="A11451"/>
    </row>
    <row r="11452" spans="1:1" x14ac:dyDescent="0.25">
      <c r="A11452"/>
    </row>
    <row r="11453" spans="1:1" x14ac:dyDescent="0.25">
      <c r="A11453"/>
    </row>
    <row r="11454" spans="1:1" x14ac:dyDescent="0.25">
      <c r="A11454"/>
    </row>
    <row r="11455" spans="1:1" x14ac:dyDescent="0.25">
      <c r="A11455"/>
    </row>
    <row r="11456" spans="1:1" x14ac:dyDescent="0.25">
      <c r="A11456"/>
    </row>
    <row r="11457" spans="1:1" x14ac:dyDescent="0.25">
      <c r="A11457"/>
    </row>
    <row r="11458" spans="1:1" x14ac:dyDescent="0.25">
      <c r="A11458"/>
    </row>
    <row r="11459" spans="1:1" x14ac:dyDescent="0.25">
      <c r="A11459"/>
    </row>
    <row r="11460" spans="1:1" x14ac:dyDescent="0.25">
      <c r="A11460"/>
    </row>
    <row r="11461" spans="1:1" x14ac:dyDescent="0.25">
      <c r="A11461"/>
    </row>
    <row r="11462" spans="1:1" x14ac:dyDescent="0.25">
      <c r="A11462"/>
    </row>
    <row r="11463" spans="1:1" x14ac:dyDescent="0.25">
      <c r="A11463"/>
    </row>
    <row r="11464" spans="1:1" x14ac:dyDescent="0.25">
      <c r="A11464"/>
    </row>
    <row r="11465" spans="1:1" x14ac:dyDescent="0.25">
      <c r="A11465"/>
    </row>
    <row r="11466" spans="1:1" x14ac:dyDescent="0.25">
      <c r="A11466"/>
    </row>
    <row r="11467" spans="1:1" x14ac:dyDescent="0.25">
      <c r="A11467"/>
    </row>
    <row r="11468" spans="1:1" x14ac:dyDescent="0.25">
      <c r="A11468"/>
    </row>
    <row r="11469" spans="1:1" x14ac:dyDescent="0.25">
      <c r="A11469"/>
    </row>
    <row r="11470" spans="1:1" x14ac:dyDescent="0.25">
      <c r="A11470"/>
    </row>
    <row r="11471" spans="1:1" x14ac:dyDescent="0.25">
      <c r="A11471"/>
    </row>
    <row r="11472" spans="1:1" x14ac:dyDescent="0.25">
      <c r="A11472"/>
    </row>
    <row r="11473" spans="1:1" x14ac:dyDescent="0.25">
      <c r="A11473"/>
    </row>
    <row r="11474" spans="1:1" x14ac:dyDescent="0.25">
      <c r="A11474"/>
    </row>
    <row r="11475" spans="1:1" x14ac:dyDescent="0.25">
      <c r="A11475"/>
    </row>
    <row r="11476" spans="1:1" x14ac:dyDescent="0.25">
      <c r="A11476"/>
    </row>
    <row r="11477" spans="1:1" x14ac:dyDescent="0.25">
      <c r="A11477"/>
    </row>
    <row r="11478" spans="1:1" x14ac:dyDescent="0.25">
      <c r="A11478"/>
    </row>
    <row r="11479" spans="1:1" x14ac:dyDescent="0.25">
      <c r="A11479"/>
    </row>
    <row r="11480" spans="1:1" x14ac:dyDescent="0.25">
      <c r="A11480"/>
    </row>
    <row r="11481" spans="1:1" x14ac:dyDescent="0.25">
      <c r="A11481"/>
    </row>
    <row r="11482" spans="1:1" x14ac:dyDescent="0.25">
      <c r="A11482"/>
    </row>
    <row r="11483" spans="1:1" x14ac:dyDescent="0.25">
      <c r="A11483"/>
    </row>
    <row r="11484" spans="1:1" x14ac:dyDescent="0.25">
      <c r="A11484"/>
    </row>
    <row r="11485" spans="1:1" x14ac:dyDescent="0.25">
      <c r="A11485"/>
    </row>
    <row r="11486" spans="1:1" x14ac:dyDescent="0.25">
      <c r="A11486"/>
    </row>
    <row r="11487" spans="1:1" x14ac:dyDescent="0.25">
      <c r="A11487"/>
    </row>
    <row r="11488" spans="1:1" x14ac:dyDescent="0.25">
      <c r="A11488"/>
    </row>
    <row r="11489" spans="1:1" x14ac:dyDescent="0.25">
      <c r="A11489"/>
    </row>
    <row r="11490" spans="1:1" x14ac:dyDescent="0.25">
      <c r="A11490"/>
    </row>
    <row r="11491" spans="1:1" x14ac:dyDescent="0.25">
      <c r="A11491"/>
    </row>
    <row r="11492" spans="1:1" x14ac:dyDescent="0.25">
      <c r="A11492"/>
    </row>
    <row r="11493" spans="1:1" x14ac:dyDescent="0.25">
      <c r="A11493"/>
    </row>
    <row r="11494" spans="1:1" x14ac:dyDescent="0.25">
      <c r="A11494"/>
    </row>
    <row r="11495" spans="1:1" x14ac:dyDescent="0.25">
      <c r="A11495"/>
    </row>
    <row r="11496" spans="1:1" x14ac:dyDescent="0.25">
      <c r="A11496"/>
    </row>
    <row r="11497" spans="1:1" x14ac:dyDescent="0.25">
      <c r="A11497"/>
    </row>
    <row r="11498" spans="1:1" x14ac:dyDescent="0.25">
      <c r="A11498"/>
    </row>
    <row r="11499" spans="1:1" x14ac:dyDescent="0.25">
      <c r="A11499"/>
    </row>
    <row r="11500" spans="1:1" x14ac:dyDescent="0.25">
      <c r="A11500"/>
    </row>
    <row r="11501" spans="1:1" x14ac:dyDescent="0.25">
      <c r="A11501"/>
    </row>
    <row r="11502" spans="1:1" x14ac:dyDescent="0.25">
      <c r="A11502"/>
    </row>
    <row r="11503" spans="1:1" x14ac:dyDescent="0.25">
      <c r="A11503"/>
    </row>
    <row r="11504" spans="1:1" x14ac:dyDescent="0.25">
      <c r="A11504"/>
    </row>
    <row r="11505" spans="1:1" x14ac:dyDescent="0.25">
      <c r="A11505"/>
    </row>
    <row r="11506" spans="1:1" x14ac:dyDescent="0.25">
      <c r="A11506"/>
    </row>
    <row r="11507" spans="1:1" x14ac:dyDescent="0.25">
      <c r="A11507"/>
    </row>
    <row r="11508" spans="1:1" x14ac:dyDescent="0.25">
      <c r="A11508"/>
    </row>
    <row r="11509" spans="1:1" x14ac:dyDescent="0.25">
      <c r="A11509"/>
    </row>
    <row r="11510" spans="1:1" x14ac:dyDescent="0.25">
      <c r="A11510"/>
    </row>
    <row r="11511" spans="1:1" x14ac:dyDescent="0.25">
      <c r="A11511"/>
    </row>
    <row r="11512" spans="1:1" x14ac:dyDescent="0.25">
      <c r="A11512"/>
    </row>
    <row r="11513" spans="1:1" x14ac:dyDescent="0.25">
      <c r="A11513"/>
    </row>
    <row r="11514" spans="1:1" x14ac:dyDescent="0.25">
      <c r="A11514"/>
    </row>
    <row r="11515" spans="1:1" x14ac:dyDescent="0.25">
      <c r="A11515"/>
    </row>
    <row r="11516" spans="1:1" x14ac:dyDescent="0.25">
      <c r="A11516"/>
    </row>
    <row r="11517" spans="1:1" x14ac:dyDescent="0.25">
      <c r="A11517"/>
    </row>
    <row r="11518" spans="1:1" x14ac:dyDescent="0.25">
      <c r="A11518"/>
    </row>
    <row r="11519" spans="1:1" x14ac:dyDescent="0.25">
      <c r="A11519"/>
    </row>
    <row r="11520" spans="1:1" x14ac:dyDescent="0.25">
      <c r="A11520"/>
    </row>
    <row r="11521" spans="1:1" x14ac:dyDescent="0.25">
      <c r="A11521"/>
    </row>
    <row r="11522" spans="1:1" x14ac:dyDescent="0.25">
      <c r="A11522"/>
    </row>
    <row r="11523" spans="1:1" x14ac:dyDescent="0.25">
      <c r="A11523"/>
    </row>
    <row r="11524" spans="1:1" x14ac:dyDescent="0.25">
      <c r="A11524"/>
    </row>
    <row r="11525" spans="1:1" x14ac:dyDescent="0.25">
      <c r="A11525"/>
    </row>
    <row r="11526" spans="1:1" x14ac:dyDescent="0.25">
      <c r="A11526"/>
    </row>
    <row r="11527" spans="1:1" x14ac:dyDescent="0.25">
      <c r="A11527"/>
    </row>
    <row r="11528" spans="1:1" x14ac:dyDescent="0.25">
      <c r="A11528"/>
    </row>
    <row r="11529" spans="1:1" x14ac:dyDescent="0.25">
      <c r="A11529"/>
    </row>
    <row r="11530" spans="1:1" x14ac:dyDescent="0.25">
      <c r="A11530"/>
    </row>
    <row r="11531" spans="1:1" x14ac:dyDescent="0.25">
      <c r="A11531"/>
    </row>
    <row r="11532" spans="1:1" x14ac:dyDescent="0.25">
      <c r="A11532"/>
    </row>
    <row r="11533" spans="1:1" x14ac:dyDescent="0.25">
      <c r="A11533"/>
    </row>
    <row r="11534" spans="1:1" x14ac:dyDescent="0.25">
      <c r="A11534"/>
    </row>
    <row r="11535" spans="1:1" x14ac:dyDescent="0.25">
      <c r="A11535"/>
    </row>
    <row r="11536" spans="1:1" x14ac:dyDescent="0.25">
      <c r="A11536"/>
    </row>
    <row r="11537" spans="1:1" x14ac:dyDescent="0.25">
      <c r="A11537"/>
    </row>
    <row r="11538" spans="1:1" x14ac:dyDescent="0.25">
      <c r="A11538"/>
    </row>
    <row r="11539" spans="1:1" x14ac:dyDescent="0.25">
      <c r="A11539"/>
    </row>
    <row r="11540" spans="1:1" x14ac:dyDescent="0.25">
      <c r="A11540"/>
    </row>
    <row r="11541" spans="1:1" x14ac:dyDescent="0.25">
      <c r="A11541"/>
    </row>
    <row r="11542" spans="1:1" x14ac:dyDescent="0.25">
      <c r="A11542"/>
    </row>
    <row r="11543" spans="1:1" x14ac:dyDescent="0.25">
      <c r="A11543"/>
    </row>
    <row r="11544" spans="1:1" x14ac:dyDescent="0.25">
      <c r="A11544"/>
    </row>
    <row r="11545" spans="1:1" x14ac:dyDescent="0.25">
      <c r="A11545"/>
    </row>
    <row r="11546" spans="1:1" x14ac:dyDescent="0.25">
      <c r="A11546"/>
    </row>
    <row r="11547" spans="1:1" x14ac:dyDescent="0.25">
      <c r="A11547"/>
    </row>
    <row r="11548" spans="1:1" x14ac:dyDescent="0.25">
      <c r="A11548"/>
    </row>
    <row r="11549" spans="1:1" x14ac:dyDescent="0.25">
      <c r="A11549"/>
    </row>
    <row r="11550" spans="1:1" x14ac:dyDescent="0.25">
      <c r="A11550"/>
    </row>
    <row r="11551" spans="1:1" x14ac:dyDescent="0.25">
      <c r="A11551"/>
    </row>
    <row r="11552" spans="1:1" x14ac:dyDescent="0.25">
      <c r="A11552"/>
    </row>
    <row r="11553" spans="1:1" x14ac:dyDescent="0.25">
      <c r="A11553"/>
    </row>
    <row r="11554" spans="1:1" x14ac:dyDescent="0.25">
      <c r="A11554"/>
    </row>
    <row r="11555" spans="1:1" x14ac:dyDescent="0.25">
      <c r="A11555"/>
    </row>
    <row r="11556" spans="1:1" x14ac:dyDescent="0.25">
      <c r="A11556"/>
    </row>
    <row r="11557" spans="1:1" x14ac:dyDescent="0.25">
      <c r="A11557"/>
    </row>
    <row r="11558" spans="1:1" x14ac:dyDescent="0.25">
      <c r="A11558"/>
    </row>
    <row r="11559" spans="1:1" x14ac:dyDescent="0.25">
      <c r="A11559"/>
    </row>
    <row r="11560" spans="1:1" x14ac:dyDescent="0.25">
      <c r="A11560"/>
    </row>
    <row r="11561" spans="1:1" x14ac:dyDescent="0.25">
      <c r="A11561"/>
    </row>
    <row r="11562" spans="1:1" x14ac:dyDescent="0.25">
      <c r="A11562"/>
    </row>
    <row r="11563" spans="1:1" x14ac:dyDescent="0.25">
      <c r="A11563"/>
    </row>
    <row r="11564" spans="1:1" x14ac:dyDescent="0.25">
      <c r="A11564"/>
    </row>
    <row r="11565" spans="1:1" x14ac:dyDescent="0.25">
      <c r="A11565"/>
    </row>
    <row r="11566" spans="1:1" x14ac:dyDescent="0.25">
      <c r="A11566"/>
    </row>
    <row r="11567" spans="1:1" x14ac:dyDescent="0.25">
      <c r="A11567"/>
    </row>
    <row r="11568" spans="1:1" x14ac:dyDescent="0.25">
      <c r="A11568"/>
    </row>
    <row r="11569" spans="1:1" x14ac:dyDescent="0.25">
      <c r="A11569"/>
    </row>
    <row r="11570" spans="1:1" x14ac:dyDescent="0.25">
      <c r="A11570"/>
    </row>
    <row r="11571" spans="1:1" x14ac:dyDescent="0.25">
      <c r="A11571"/>
    </row>
    <row r="11572" spans="1:1" x14ac:dyDescent="0.25">
      <c r="A11572"/>
    </row>
    <row r="11573" spans="1:1" x14ac:dyDescent="0.25">
      <c r="A11573"/>
    </row>
    <row r="11574" spans="1:1" x14ac:dyDescent="0.25">
      <c r="A11574"/>
    </row>
    <row r="11575" spans="1:1" x14ac:dyDescent="0.25">
      <c r="A11575"/>
    </row>
    <row r="11576" spans="1:1" x14ac:dyDescent="0.25">
      <c r="A11576"/>
    </row>
    <row r="11577" spans="1:1" x14ac:dyDescent="0.25">
      <c r="A11577"/>
    </row>
    <row r="11578" spans="1:1" x14ac:dyDescent="0.25">
      <c r="A11578"/>
    </row>
    <row r="11579" spans="1:1" x14ac:dyDescent="0.25">
      <c r="A11579"/>
    </row>
    <row r="11580" spans="1:1" x14ac:dyDescent="0.25">
      <c r="A11580"/>
    </row>
    <row r="11581" spans="1:1" x14ac:dyDescent="0.25">
      <c r="A11581"/>
    </row>
    <row r="11582" spans="1:1" x14ac:dyDescent="0.25">
      <c r="A11582"/>
    </row>
    <row r="11583" spans="1:1" x14ac:dyDescent="0.25">
      <c r="A11583"/>
    </row>
    <row r="11584" spans="1:1" x14ac:dyDescent="0.25">
      <c r="A11584"/>
    </row>
    <row r="11585" spans="1:1" x14ac:dyDescent="0.25">
      <c r="A11585"/>
    </row>
    <row r="11586" spans="1:1" x14ac:dyDescent="0.25">
      <c r="A11586"/>
    </row>
    <row r="11587" spans="1:1" x14ac:dyDescent="0.25">
      <c r="A11587"/>
    </row>
    <row r="11588" spans="1:1" x14ac:dyDescent="0.25">
      <c r="A11588"/>
    </row>
    <row r="11589" spans="1:1" x14ac:dyDescent="0.25">
      <c r="A11589"/>
    </row>
    <row r="11590" spans="1:1" x14ac:dyDescent="0.25">
      <c r="A11590"/>
    </row>
    <row r="11591" spans="1:1" x14ac:dyDescent="0.25">
      <c r="A11591"/>
    </row>
    <row r="11592" spans="1:1" x14ac:dyDescent="0.25">
      <c r="A11592"/>
    </row>
    <row r="11593" spans="1:1" x14ac:dyDescent="0.25">
      <c r="A11593"/>
    </row>
    <row r="11594" spans="1:1" x14ac:dyDescent="0.25">
      <c r="A11594"/>
    </row>
    <row r="11595" spans="1:1" x14ac:dyDescent="0.25">
      <c r="A11595"/>
    </row>
    <row r="11596" spans="1:1" x14ac:dyDescent="0.25">
      <c r="A11596"/>
    </row>
    <row r="11597" spans="1:1" x14ac:dyDescent="0.25">
      <c r="A11597"/>
    </row>
    <row r="11598" spans="1:1" x14ac:dyDescent="0.25">
      <c r="A11598"/>
    </row>
    <row r="11599" spans="1:1" x14ac:dyDescent="0.25">
      <c r="A11599"/>
    </row>
    <row r="11600" spans="1:1" x14ac:dyDescent="0.25">
      <c r="A11600"/>
    </row>
    <row r="11601" spans="1:1" x14ac:dyDescent="0.25">
      <c r="A11601"/>
    </row>
    <row r="11602" spans="1:1" x14ac:dyDescent="0.25">
      <c r="A11602"/>
    </row>
    <row r="11603" spans="1:1" x14ac:dyDescent="0.25">
      <c r="A11603"/>
    </row>
    <row r="11604" spans="1:1" x14ac:dyDescent="0.25">
      <c r="A11604"/>
    </row>
    <row r="11605" spans="1:1" x14ac:dyDescent="0.25">
      <c r="A11605"/>
    </row>
    <row r="11606" spans="1:1" x14ac:dyDescent="0.25">
      <c r="A11606"/>
    </row>
    <row r="11607" spans="1:1" x14ac:dyDescent="0.25">
      <c r="A11607"/>
    </row>
    <row r="11608" spans="1:1" x14ac:dyDescent="0.25">
      <c r="A11608"/>
    </row>
    <row r="11609" spans="1:1" x14ac:dyDescent="0.25">
      <c r="A11609"/>
    </row>
    <row r="11610" spans="1:1" x14ac:dyDescent="0.25">
      <c r="A11610"/>
    </row>
    <row r="11611" spans="1:1" x14ac:dyDescent="0.25">
      <c r="A11611"/>
    </row>
    <row r="11612" spans="1:1" x14ac:dyDescent="0.25">
      <c r="A11612"/>
    </row>
    <row r="11613" spans="1:1" x14ac:dyDescent="0.25">
      <c r="A11613"/>
    </row>
    <row r="11614" spans="1:1" x14ac:dyDescent="0.25">
      <c r="A11614"/>
    </row>
    <row r="11615" spans="1:1" x14ac:dyDescent="0.25">
      <c r="A11615"/>
    </row>
    <row r="11616" spans="1:1" x14ac:dyDescent="0.25">
      <c r="A11616"/>
    </row>
    <row r="11617" spans="1:1" x14ac:dyDescent="0.25">
      <c r="A11617"/>
    </row>
    <row r="11618" spans="1:1" x14ac:dyDescent="0.25">
      <c r="A11618"/>
    </row>
    <row r="11619" spans="1:1" x14ac:dyDescent="0.25">
      <c r="A11619"/>
    </row>
    <row r="11620" spans="1:1" x14ac:dyDescent="0.25">
      <c r="A11620"/>
    </row>
    <row r="11621" spans="1:1" x14ac:dyDescent="0.25">
      <c r="A11621"/>
    </row>
    <row r="11622" spans="1:1" x14ac:dyDescent="0.25">
      <c r="A11622"/>
    </row>
    <row r="11623" spans="1:1" x14ac:dyDescent="0.25">
      <c r="A11623"/>
    </row>
    <row r="11624" spans="1:1" x14ac:dyDescent="0.25">
      <c r="A11624"/>
    </row>
    <row r="11625" spans="1:1" x14ac:dyDescent="0.25">
      <c r="A11625"/>
    </row>
    <row r="11626" spans="1:1" x14ac:dyDescent="0.25">
      <c r="A11626"/>
    </row>
    <row r="11627" spans="1:1" x14ac:dyDescent="0.25">
      <c r="A11627"/>
    </row>
    <row r="11628" spans="1:1" x14ac:dyDescent="0.25">
      <c r="A11628"/>
    </row>
    <row r="11629" spans="1:1" x14ac:dyDescent="0.25">
      <c r="A11629"/>
    </row>
    <row r="11630" spans="1:1" x14ac:dyDescent="0.25">
      <c r="A11630"/>
    </row>
    <row r="11631" spans="1:1" x14ac:dyDescent="0.25">
      <c r="A11631"/>
    </row>
    <row r="11632" spans="1:1" x14ac:dyDescent="0.25">
      <c r="A11632"/>
    </row>
    <row r="11633" spans="1:1" x14ac:dyDescent="0.25">
      <c r="A11633"/>
    </row>
    <row r="11634" spans="1:1" x14ac:dyDescent="0.25">
      <c r="A11634"/>
    </row>
    <row r="11635" spans="1:1" x14ac:dyDescent="0.25">
      <c r="A11635"/>
    </row>
    <row r="11636" spans="1:1" x14ac:dyDescent="0.25">
      <c r="A11636"/>
    </row>
    <row r="11637" spans="1:1" x14ac:dyDescent="0.25">
      <c r="A11637"/>
    </row>
    <row r="11638" spans="1:1" x14ac:dyDescent="0.25">
      <c r="A11638"/>
    </row>
    <row r="11639" spans="1:1" x14ac:dyDescent="0.25">
      <c r="A11639"/>
    </row>
    <row r="11640" spans="1:1" x14ac:dyDescent="0.25">
      <c r="A11640"/>
    </row>
    <row r="11641" spans="1:1" x14ac:dyDescent="0.25">
      <c r="A11641"/>
    </row>
    <row r="11642" spans="1:1" x14ac:dyDescent="0.25">
      <c r="A11642"/>
    </row>
    <row r="11643" spans="1:1" x14ac:dyDescent="0.25">
      <c r="A11643"/>
    </row>
    <row r="11644" spans="1:1" x14ac:dyDescent="0.25">
      <c r="A11644"/>
    </row>
    <row r="11645" spans="1:1" x14ac:dyDescent="0.25">
      <c r="A11645"/>
    </row>
    <row r="11646" spans="1:1" x14ac:dyDescent="0.25">
      <c r="A11646"/>
    </row>
    <row r="11647" spans="1:1" x14ac:dyDescent="0.25">
      <c r="A11647"/>
    </row>
    <row r="11648" spans="1:1" x14ac:dyDescent="0.25">
      <c r="A11648"/>
    </row>
    <row r="11649" spans="1:1" x14ac:dyDescent="0.25">
      <c r="A11649"/>
    </row>
    <row r="11650" spans="1:1" x14ac:dyDescent="0.25">
      <c r="A11650"/>
    </row>
    <row r="11651" spans="1:1" x14ac:dyDescent="0.25">
      <c r="A11651"/>
    </row>
    <row r="11652" spans="1:1" x14ac:dyDescent="0.25">
      <c r="A11652"/>
    </row>
    <row r="11653" spans="1:1" x14ac:dyDescent="0.25">
      <c r="A11653"/>
    </row>
    <row r="11654" spans="1:1" x14ac:dyDescent="0.25">
      <c r="A11654"/>
    </row>
    <row r="11655" spans="1:1" x14ac:dyDescent="0.25">
      <c r="A11655"/>
    </row>
    <row r="11656" spans="1:1" x14ac:dyDescent="0.25">
      <c r="A11656"/>
    </row>
    <row r="11657" spans="1:1" x14ac:dyDescent="0.25">
      <c r="A11657"/>
    </row>
    <row r="11658" spans="1:1" x14ac:dyDescent="0.25">
      <c r="A11658"/>
    </row>
    <row r="11659" spans="1:1" x14ac:dyDescent="0.25">
      <c r="A11659"/>
    </row>
    <row r="11660" spans="1:1" x14ac:dyDescent="0.25">
      <c r="A11660"/>
    </row>
    <row r="11661" spans="1:1" x14ac:dyDescent="0.25">
      <c r="A11661"/>
    </row>
    <row r="11662" spans="1:1" x14ac:dyDescent="0.25">
      <c r="A11662"/>
    </row>
    <row r="11663" spans="1:1" x14ac:dyDescent="0.25">
      <c r="A11663"/>
    </row>
    <row r="11664" spans="1:1" x14ac:dyDescent="0.25">
      <c r="A11664"/>
    </row>
    <row r="11665" spans="1:1" x14ac:dyDescent="0.25">
      <c r="A11665"/>
    </row>
    <row r="11666" spans="1:1" x14ac:dyDescent="0.25">
      <c r="A11666"/>
    </row>
    <row r="11667" spans="1:1" x14ac:dyDescent="0.25">
      <c r="A11667"/>
    </row>
    <row r="11668" spans="1:1" x14ac:dyDescent="0.25">
      <c r="A11668"/>
    </row>
    <row r="11669" spans="1:1" x14ac:dyDescent="0.25">
      <c r="A11669"/>
    </row>
    <row r="11670" spans="1:1" x14ac:dyDescent="0.25">
      <c r="A11670"/>
    </row>
    <row r="11671" spans="1:1" x14ac:dyDescent="0.25">
      <c r="A11671"/>
    </row>
    <row r="11672" spans="1:1" x14ac:dyDescent="0.25">
      <c r="A11672"/>
    </row>
    <row r="11673" spans="1:1" x14ac:dyDescent="0.25">
      <c r="A11673"/>
    </row>
    <row r="11674" spans="1:1" x14ac:dyDescent="0.25">
      <c r="A11674"/>
    </row>
    <row r="11675" spans="1:1" x14ac:dyDescent="0.25">
      <c r="A11675"/>
    </row>
    <row r="11676" spans="1:1" x14ac:dyDescent="0.25">
      <c r="A11676"/>
    </row>
    <row r="11677" spans="1:1" x14ac:dyDescent="0.25">
      <c r="A11677"/>
    </row>
    <row r="11678" spans="1:1" x14ac:dyDescent="0.25">
      <c r="A11678"/>
    </row>
    <row r="11679" spans="1:1" x14ac:dyDescent="0.25">
      <c r="A11679"/>
    </row>
    <row r="11680" spans="1:1" x14ac:dyDescent="0.25">
      <c r="A11680"/>
    </row>
    <row r="11681" spans="1:1" x14ac:dyDescent="0.25">
      <c r="A11681"/>
    </row>
    <row r="11682" spans="1:1" x14ac:dyDescent="0.25">
      <c r="A11682"/>
    </row>
    <row r="11683" spans="1:1" x14ac:dyDescent="0.25">
      <c r="A11683"/>
    </row>
    <row r="11684" spans="1:1" x14ac:dyDescent="0.25">
      <c r="A11684"/>
    </row>
    <row r="11685" spans="1:1" x14ac:dyDescent="0.25">
      <c r="A11685"/>
    </row>
    <row r="11686" spans="1:1" x14ac:dyDescent="0.25">
      <c r="A11686"/>
    </row>
    <row r="11687" spans="1:1" x14ac:dyDescent="0.25">
      <c r="A11687"/>
    </row>
    <row r="11688" spans="1:1" x14ac:dyDescent="0.25">
      <c r="A11688"/>
    </row>
    <row r="11689" spans="1:1" x14ac:dyDescent="0.25">
      <c r="A11689"/>
    </row>
    <row r="11690" spans="1:1" x14ac:dyDescent="0.25">
      <c r="A11690"/>
    </row>
    <row r="11691" spans="1:1" x14ac:dyDescent="0.25">
      <c r="A11691"/>
    </row>
    <row r="11692" spans="1:1" x14ac:dyDescent="0.25">
      <c r="A11692"/>
    </row>
    <row r="11693" spans="1:1" x14ac:dyDescent="0.25">
      <c r="A11693"/>
    </row>
    <row r="11694" spans="1:1" x14ac:dyDescent="0.25">
      <c r="A11694"/>
    </row>
    <row r="11695" spans="1:1" x14ac:dyDescent="0.25">
      <c r="A11695"/>
    </row>
    <row r="11696" spans="1:1" x14ac:dyDescent="0.25">
      <c r="A11696"/>
    </row>
    <row r="11697" spans="1:1" x14ac:dyDescent="0.25">
      <c r="A11697"/>
    </row>
    <row r="11698" spans="1:1" x14ac:dyDescent="0.25">
      <c r="A11698"/>
    </row>
    <row r="11699" spans="1:1" x14ac:dyDescent="0.25">
      <c r="A11699"/>
    </row>
    <row r="11700" spans="1:1" x14ac:dyDescent="0.25">
      <c r="A11700"/>
    </row>
    <row r="11701" spans="1:1" x14ac:dyDescent="0.25">
      <c r="A11701"/>
    </row>
    <row r="11702" spans="1:1" x14ac:dyDescent="0.25">
      <c r="A11702"/>
    </row>
    <row r="11703" spans="1:1" x14ac:dyDescent="0.25">
      <c r="A11703"/>
    </row>
    <row r="11704" spans="1:1" x14ac:dyDescent="0.25">
      <c r="A11704"/>
    </row>
    <row r="11705" spans="1:1" x14ac:dyDescent="0.25">
      <c r="A11705"/>
    </row>
    <row r="11706" spans="1:1" x14ac:dyDescent="0.25">
      <c r="A11706"/>
    </row>
    <row r="11707" spans="1:1" x14ac:dyDescent="0.25">
      <c r="A11707"/>
    </row>
    <row r="11708" spans="1:1" x14ac:dyDescent="0.25">
      <c r="A11708"/>
    </row>
    <row r="11709" spans="1:1" x14ac:dyDescent="0.25">
      <c r="A11709"/>
    </row>
    <row r="11710" spans="1:1" x14ac:dyDescent="0.25">
      <c r="A11710"/>
    </row>
    <row r="11711" spans="1:1" x14ac:dyDescent="0.25">
      <c r="A11711"/>
    </row>
    <row r="11712" spans="1:1" x14ac:dyDescent="0.25">
      <c r="A11712"/>
    </row>
    <row r="11713" spans="1:1" x14ac:dyDescent="0.25">
      <c r="A11713"/>
    </row>
    <row r="11714" spans="1:1" x14ac:dyDescent="0.25">
      <c r="A11714"/>
    </row>
    <row r="11715" spans="1:1" x14ac:dyDescent="0.25">
      <c r="A11715"/>
    </row>
    <row r="11716" spans="1:1" x14ac:dyDescent="0.25">
      <c r="A11716"/>
    </row>
    <row r="11717" spans="1:1" x14ac:dyDescent="0.25">
      <c r="A11717"/>
    </row>
    <row r="11718" spans="1:1" x14ac:dyDescent="0.25">
      <c r="A11718"/>
    </row>
    <row r="11719" spans="1:1" x14ac:dyDescent="0.25">
      <c r="A11719"/>
    </row>
    <row r="11720" spans="1:1" x14ac:dyDescent="0.25">
      <c r="A11720"/>
    </row>
    <row r="11721" spans="1:1" x14ac:dyDescent="0.25">
      <c r="A11721"/>
    </row>
    <row r="11722" spans="1:1" x14ac:dyDescent="0.25">
      <c r="A11722"/>
    </row>
    <row r="11723" spans="1:1" x14ac:dyDescent="0.25">
      <c r="A11723"/>
    </row>
    <row r="11724" spans="1:1" x14ac:dyDescent="0.25">
      <c r="A11724"/>
    </row>
    <row r="11725" spans="1:1" x14ac:dyDescent="0.25">
      <c r="A11725"/>
    </row>
    <row r="11726" spans="1:1" x14ac:dyDescent="0.25">
      <c r="A11726"/>
    </row>
    <row r="11727" spans="1:1" x14ac:dyDescent="0.25">
      <c r="A11727"/>
    </row>
    <row r="11728" spans="1:1" x14ac:dyDescent="0.25">
      <c r="A11728"/>
    </row>
    <row r="11729" spans="1:1" x14ac:dyDescent="0.25">
      <c r="A11729"/>
    </row>
    <row r="11730" spans="1:1" x14ac:dyDescent="0.25">
      <c r="A11730"/>
    </row>
    <row r="11731" spans="1:1" x14ac:dyDescent="0.25">
      <c r="A11731"/>
    </row>
    <row r="11732" spans="1:1" x14ac:dyDescent="0.25">
      <c r="A11732"/>
    </row>
    <row r="11733" spans="1:1" x14ac:dyDescent="0.25">
      <c r="A11733"/>
    </row>
    <row r="11734" spans="1:1" x14ac:dyDescent="0.25">
      <c r="A11734"/>
    </row>
    <row r="11735" spans="1:1" x14ac:dyDescent="0.25">
      <c r="A11735"/>
    </row>
    <row r="11736" spans="1:1" x14ac:dyDescent="0.25">
      <c r="A11736"/>
    </row>
    <row r="11737" spans="1:1" x14ac:dyDescent="0.25">
      <c r="A11737"/>
    </row>
    <row r="11738" spans="1:1" x14ac:dyDescent="0.25">
      <c r="A11738"/>
    </row>
    <row r="11739" spans="1:1" x14ac:dyDescent="0.25">
      <c r="A11739"/>
    </row>
    <row r="11740" spans="1:1" x14ac:dyDescent="0.25">
      <c r="A11740"/>
    </row>
    <row r="11741" spans="1:1" x14ac:dyDescent="0.25">
      <c r="A11741"/>
    </row>
    <row r="11742" spans="1:1" x14ac:dyDescent="0.25">
      <c r="A11742"/>
    </row>
    <row r="11743" spans="1:1" x14ac:dyDescent="0.25">
      <c r="A11743"/>
    </row>
    <row r="11744" spans="1:1" x14ac:dyDescent="0.25">
      <c r="A11744"/>
    </row>
    <row r="11745" spans="1:1" x14ac:dyDescent="0.25">
      <c r="A11745"/>
    </row>
    <row r="11746" spans="1:1" x14ac:dyDescent="0.25">
      <c r="A11746"/>
    </row>
    <row r="11747" spans="1:1" x14ac:dyDescent="0.25">
      <c r="A11747"/>
    </row>
    <row r="11748" spans="1:1" x14ac:dyDescent="0.25">
      <c r="A11748"/>
    </row>
    <row r="11749" spans="1:1" x14ac:dyDescent="0.25">
      <c r="A11749"/>
    </row>
    <row r="11750" spans="1:1" x14ac:dyDescent="0.25">
      <c r="A11750"/>
    </row>
    <row r="11751" spans="1:1" x14ac:dyDescent="0.25">
      <c r="A11751"/>
    </row>
    <row r="11752" spans="1:1" x14ac:dyDescent="0.25">
      <c r="A11752"/>
    </row>
    <row r="11753" spans="1:1" x14ac:dyDescent="0.25">
      <c r="A11753"/>
    </row>
    <row r="11754" spans="1:1" x14ac:dyDescent="0.25">
      <c r="A11754"/>
    </row>
    <row r="11755" spans="1:1" x14ac:dyDescent="0.25">
      <c r="A11755"/>
    </row>
    <row r="11756" spans="1:1" x14ac:dyDescent="0.25">
      <c r="A11756"/>
    </row>
    <row r="11757" spans="1:1" x14ac:dyDescent="0.25">
      <c r="A11757"/>
    </row>
    <row r="11758" spans="1:1" x14ac:dyDescent="0.25">
      <c r="A11758"/>
    </row>
    <row r="11759" spans="1:1" x14ac:dyDescent="0.25">
      <c r="A11759"/>
    </row>
    <row r="11760" spans="1:1" x14ac:dyDescent="0.25">
      <c r="A11760"/>
    </row>
    <row r="11761" spans="1:1" x14ac:dyDescent="0.25">
      <c r="A11761"/>
    </row>
    <row r="11762" spans="1:1" x14ac:dyDescent="0.25">
      <c r="A11762"/>
    </row>
    <row r="11763" spans="1:1" x14ac:dyDescent="0.25">
      <c r="A11763"/>
    </row>
    <row r="11764" spans="1:1" x14ac:dyDescent="0.25">
      <c r="A11764"/>
    </row>
    <row r="11765" spans="1:1" x14ac:dyDescent="0.25">
      <c r="A11765"/>
    </row>
    <row r="11766" spans="1:1" x14ac:dyDescent="0.25">
      <c r="A11766"/>
    </row>
    <row r="11767" spans="1:1" x14ac:dyDescent="0.25">
      <c r="A11767"/>
    </row>
    <row r="11768" spans="1:1" x14ac:dyDescent="0.25">
      <c r="A11768"/>
    </row>
    <row r="11769" spans="1:1" x14ac:dyDescent="0.25">
      <c r="A11769"/>
    </row>
    <row r="11770" spans="1:1" x14ac:dyDescent="0.25">
      <c r="A11770"/>
    </row>
    <row r="11771" spans="1:1" x14ac:dyDescent="0.25">
      <c r="A11771"/>
    </row>
    <row r="11772" spans="1:1" x14ac:dyDescent="0.25">
      <c r="A11772"/>
    </row>
    <row r="11773" spans="1:1" x14ac:dyDescent="0.25">
      <c r="A11773"/>
    </row>
    <row r="11774" spans="1:1" x14ac:dyDescent="0.25">
      <c r="A11774"/>
    </row>
    <row r="11775" spans="1:1" x14ac:dyDescent="0.25">
      <c r="A11775"/>
    </row>
    <row r="11776" spans="1:1" x14ac:dyDescent="0.25">
      <c r="A11776"/>
    </row>
    <row r="11777" spans="1:1" x14ac:dyDescent="0.25">
      <c r="A11777"/>
    </row>
    <row r="11778" spans="1:1" x14ac:dyDescent="0.25">
      <c r="A11778"/>
    </row>
    <row r="11779" spans="1:1" x14ac:dyDescent="0.25">
      <c r="A11779"/>
    </row>
    <row r="11780" spans="1:1" x14ac:dyDescent="0.25">
      <c r="A11780"/>
    </row>
    <row r="11781" spans="1:1" x14ac:dyDescent="0.25">
      <c r="A11781"/>
    </row>
    <row r="11782" spans="1:1" x14ac:dyDescent="0.25">
      <c r="A11782"/>
    </row>
    <row r="11783" spans="1:1" x14ac:dyDescent="0.25">
      <c r="A11783"/>
    </row>
    <row r="11784" spans="1:1" x14ac:dyDescent="0.25">
      <c r="A11784"/>
    </row>
    <row r="11785" spans="1:1" x14ac:dyDescent="0.25">
      <c r="A11785"/>
    </row>
    <row r="11786" spans="1:1" x14ac:dyDescent="0.25">
      <c r="A11786"/>
    </row>
    <row r="11787" spans="1:1" x14ac:dyDescent="0.25">
      <c r="A11787"/>
    </row>
    <row r="11788" spans="1:1" x14ac:dyDescent="0.25">
      <c r="A11788"/>
    </row>
    <row r="11789" spans="1:1" x14ac:dyDescent="0.25">
      <c r="A11789"/>
    </row>
    <row r="11790" spans="1:1" x14ac:dyDescent="0.25">
      <c r="A11790"/>
    </row>
    <row r="11791" spans="1:1" x14ac:dyDescent="0.25">
      <c r="A11791"/>
    </row>
    <row r="11792" spans="1:1" x14ac:dyDescent="0.25">
      <c r="A11792"/>
    </row>
    <row r="11793" spans="1:1" x14ac:dyDescent="0.25">
      <c r="A11793"/>
    </row>
    <row r="11794" spans="1:1" x14ac:dyDescent="0.25">
      <c r="A11794"/>
    </row>
    <row r="11795" spans="1:1" x14ac:dyDescent="0.25">
      <c r="A11795"/>
    </row>
    <row r="11796" spans="1:1" x14ac:dyDescent="0.25">
      <c r="A11796"/>
    </row>
    <row r="11797" spans="1:1" x14ac:dyDescent="0.25">
      <c r="A11797"/>
    </row>
    <row r="11798" spans="1:1" x14ac:dyDescent="0.25">
      <c r="A11798"/>
    </row>
    <row r="11799" spans="1:1" x14ac:dyDescent="0.25">
      <c r="A11799"/>
    </row>
    <row r="11800" spans="1:1" x14ac:dyDescent="0.25">
      <c r="A11800"/>
    </row>
    <row r="11801" spans="1:1" x14ac:dyDescent="0.25">
      <c r="A11801"/>
    </row>
    <row r="11802" spans="1:1" x14ac:dyDescent="0.25">
      <c r="A11802"/>
    </row>
    <row r="11803" spans="1:1" x14ac:dyDescent="0.25">
      <c r="A11803"/>
    </row>
    <row r="11804" spans="1:1" x14ac:dyDescent="0.25">
      <c r="A11804"/>
    </row>
    <row r="11805" spans="1:1" x14ac:dyDescent="0.25">
      <c r="A11805"/>
    </row>
    <row r="11806" spans="1:1" x14ac:dyDescent="0.25">
      <c r="A11806"/>
    </row>
    <row r="11807" spans="1:1" x14ac:dyDescent="0.25">
      <c r="A11807"/>
    </row>
    <row r="11808" spans="1:1" x14ac:dyDescent="0.25">
      <c r="A11808"/>
    </row>
    <row r="11809" spans="1:1" x14ac:dyDescent="0.25">
      <c r="A11809"/>
    </row>
    <row r="11810" spans="1:1" x14ac:dyDescent="0.25">
      <c r="A11810"/>
    </row>
    <row r="11811" spans="1:1" x14ac:dyDescent="0.25">
      <c r="A11811"/>
    </row>
    <row r="11812" spans="1:1" x14ac:dyDescent="0.25">
      <c r="A11812"/>
    </row>
    <row r="11813" spans="1:1" x14ac:dyDescent="0.25">
      <c r="A11813"/>
    </row>
    <row r="11814" spans="1:1" x14ac:dyDescent="0.25">
      <c r="A11814"/>
    </row>
    <row r="11815" spans="1:1" x14ac:dyDescent="0.25">
      <c r="A11815"/>
    </row>
    <row r="11816" spans="1:1" x14ac:dyDescent="0.25">
      <c r="A11816"/>
    </row>
    <row r="11817" spans="1:1" x14ac:dyDescent="0.25">
      <c r="A11817"/>
    </row>
    <row r="11818" spans="1:1" x14ac:dyDescent="0.25">
      <c r="A11818"/>
    </row>
    <row r="11819" spans="1:1" x14ac:dyDescent="0.25">
      <c r="A11819"/>
    </row>
    <row r="11820" spans="1:1" x14ac:dyDescent="0.25">
      <c r="A11820"/>
    </row>
    <row r="11821" spans="1:1" x14ac:dyDescent="0.25">
      <c r="A11821"/>
    </row>
    <row r="11822" spans="1:1" x14ac:dyDescent="0.25">
      <c r="A11822"/>
    </row>
    <row r="11823" spans="1:1" x14ac:dyDescent="0.25">
      <c r="A11823"/>
    </row>
    <row r="11824" spans="1:1" x14ac:dyDescent="0.25">
      <c r="A11824"/>
    </row>
    <row r="11825" spans="1:1" x14ac:dyDescent="0.25">
      <c r="A11825"/>
    </row>
    <row r="11826" spans="1:1" x14ac:dyDescent="0.25">
      <c r="A11826"/>
    </row>
    <row r="11827" spans="1:1" x14ac:dyDescent="0.25">
      <c r="A11827"/>
    </row>
    <row r="11828" spans="1:1" x14ac:dyDescent="0.25">
      <c r="A11828"/>
    </row>
    <row r="11829" spans="1:1" x14ac:dyDescent="0.25">
      <c r="A11829"/>
    </row>
    <row r="11830" spans="1:1" x14ac:dyDescent="0.25">
      <c r="A11830"/>
    </row>
    <row r="11831" spans="1:1" x14ac:dyDescent="0.25">
      <c r="A11831"/>
    </row>
    <row r="11832" spans="1:1" x14ac:dyDescent="0.25">
      <c r="A11832"/>
    </row>
    <row r="11833" spans="1:1" x14ac:dyDescent="0.25">
      <c r="A11833"/>
    </row>
    <row r="11834" spans="1:1" x14ac:dyDescent="0.25">
      <c r="A11834"/>
    </row>
    <row r="11835" spans="1:1" x14ac:dyDescent="0.25">
      <c r="A11835"/>
    </row>
    <row r="11836" spans="1:1" x14ac:dyDescent="0.25">
      <c r="A11836"/>
    </row>
    <row r="11837" spans="1:1" x14ac:dyDescent="0.25">
      <c r="A11837"/>
    </row>
    <row r="11838" spans="1:1" x14ac:dyDescent="0.25">
      <c r="A11838"/>
    </row>
    <row r="11839" spans="1:1" x14ac:dyDescent="0.25">
      <c r="A11839"/>
    </row>
    <row r="11840" spans="1:1" x14ac:dyDescent="0.25">
      <c r="A11840"/>
    </row>
    <row r="11841" spans="1:1" x14ac:dyDescent="0.25">
      <c r="A11841"/>
    </row>
    <row r="11842" spans="1:1" x14ac:dyDescent="0.25">
      <c r="A11842"/>
    </row>
    <row r="11843" spans="1:1" x14ac:dyDescent="0.25">
      <c r="A11843"/>
    </row>
    <row r="11844" spans="1:1" x14ac:dyDescent="0.25">
      <c r="A11844"/>
    </row>
    <row r="11845" spans="1:1" x14ac:dyDescent="0.25">
      <c r="A11845"/>
    </row>
    <row r="11846" spans="1:1" x14ac:dyDescent="0.25">
      <c r="A11846"/>
    </row>
    <row r="11847" spans="1:1" x14ac:dyDescent="0.25">
      <c r="A11847"/>
    </row>
    <row r="11848" spans="1:1" x14ac:dyDescent="0.25">
      <c r="A11848"/>
    </row>
    <row r="11849" spans="1:1" x14ac:dyDescent="0.25">
      <c r="A11849"/>
    </row>
    <row r="11850" spans="1:1" x14ac:dyDescent="0.25">
      <c r="A11850"/>
    </row>
    <row r="11851" spans="1:1" x14ac:dyDescent="0.25">
      <c r="A11851"/>
    </row>
    <row r="11852" spans="1:1" x14ac:dyDescent="0.25">
      <c r="A11852"/>
    </row>
    <row r="11853" spans="1:1" x14ac:dyDescent="0.25">
      <c r="A11853"/>
    </row>
    <row r="11854" spans="1:1" x14ac:dyDescent="0.25">
      <c r="A11854"/>
    </row>
    <row r="11855" spans="1:1" x14ac:dyDescent="0.25">
      <c r="A11855"/>
    </row>
    <row r="11856" spans="1:1" x14ac:dyDescent="0.25">
      <c r="A11856"/>
    </row>
    <row r="11857" spans="1:1" x14ac:dyDescent="0.25">
      <c r="A11857"/>
    </row>
    <row r="11858" spans="1:1" x14ac:dyDescent="0.25">
      <c r="A11858"/>
    </row>
    <row r="11859" spans="1:1" x14ac:dyDescent="0.25">
      <c r="A11859"/>
    </row>
    <row r="11860" spans="1:1" x14ac:dyDescent="0.25">
      <c r="A11860"/>
    </row>
    <row r="11861" spans="1:1" x14ac:dyDescent="0.25">
      <c r="A11861"/>
    </row>
    <row r="11862" spans="1:1" x14ac:dyDescent="0.25">
      <c r="A11862"/>
    </row>
    <row r="11863" spans="1:1" x14ac:dyDescent="0.25">
      <c r="A11863"/>
    </row>
    <row r="11864" spans="1:1" x14ac:dyDescent="0.25">
      <c r="A11864"/>
    </row>
    <row r="11865" spans="1:1" x14ac:dyDescent="0.25">
      <c r="A11865"/>
    </row>
    <row r="11866" spans="1:1" x14ac:dyDescent="0.25">
      <c r="A11866"/>
    </row>
    <row r="11867" spans="1:1" x14ac:dyDescent="0.25">
      <c r="A11867"/>
    </row>
    <row r="11868" spans="1:1" x14ac:dyDescent="0.25">
      <c r="A11868"/>
    </row>
    <row r="11869" spans="1:1" x14ac:dyDescent="0.25">
      <c r="A11869"/>
    </row>
    <row r="11870" spans="1:1" x14ac:dyDescent="0.25">
      <c r="A11870"/>
    </row>
    <row r="11871" spans="1:1" x14ac:dyDescent="0.25">
      <c r="A11871"/>
    </row>
    <row r="11872" spans="1:1" x14ac:dyDescent="0.25">
      <c r="A11872"/>
    </row>
    <row r="11873" spans="1:1" x14ac:dyDescent="0.25">
      <c r="A11873"/>
    </row>
    <row r="11874" spans="1:1" x14ac:dyDescent="0.25">
      <c r="A11874"/>
    </row>
    <row r="11875" spans="1:1" x14ac:dyDescent="0.25">
      <c r="A11875"/>
    </row>
    <row r="11876" spans="1:1" x14ac:dyDescent="0.25">
      <c r="A11876"/>
    </row>
    <row r="11877" spans="1:1" x14ac:dyDescent="0.25">
      <c r="A11877"/>
    </row>
    <row r="11878" spans="1:1" x14ac:dyDescent="0.25">
      <c r="A11878"/>
    </row>
    <row r="11879" spans="1:1" x14ac:dyDescent="0.25">
      <c r="A11879"/>
    </row>
    <row r="11880" spans="1:1" x14ac:dyDescent="0.25">
      <c r="A11880"/>
    </row>
    <row r="11881" spans="1:1" x14ac:dyDescent="0.25">
      <c r="A11881"/>
    </row>
    <row r="11882" spans="1:1" x14ac:dyDescent="0.25">
      <c r="A11882"/>
    </row>
    <row r="11883" spans="1:1" x14ac:dyDescent="0.25">
      <c r="A11883"/>
    </row>
    <row r="11884" spans="1:1" x14ac:dyDescent="0.25">
      <c r="A11884"/>
    </row>
    <row r="11885" spans="1:1" x14ac:dyDescent="0.25">
      <c r="A11885"/>
    </row>
    <row r="11886" spans="1:1" x14ac:dyDescent="0.25">
      <c r="A11886"/>
    </row>
    <row r="11887" spans="1:1" x14ac:dyDescent="0.25">
      <c r="A11887"/>
    </row>
    <row r="11888" spans="1:1" x14ac:dyDescent="0.25">
      <c r="A11888"/>
    </row>
    <row r="11889" spans="1:1" x14ac:dyDescent="0.25">
      <c r="A11889"/>
    </row>
    <row r="11890" spans="1:1" x14ac:dyDescent="0.25">
      <c r="A11890"/>
    </row>
    <row r="11891" spans="1:1" x14ac:dyDescent="0.25">
      <c r="A11891"/>
    </row>
    <row r="11892" spans="1:1" x14ac:dyDescent="0.25">
      <c r="A11892"/>
    </row>
    <row r="11893" spans="1:1" x14ac:dyDescent="0.25">
      <c r="A11893"/>
    </row>
    <row r="11894" spans="1:1" x14ac:dyDescent="0.25">
      <c r="A11894"/>
    </row>
    <row r="11895" spans="1:1" x14ac:dyDescent="0.25">
      <c r="A11895"/>
    </row>
    <row r="11896" spans="1:1" x14ac:dyDescent="0.25">
      <c r="A11896"/>
    </row>
    <row r="11897" spans="1:1" x14ac:dyDescent="0.25">
      <c r="A11897"/>
    </row>
    <row r="11898" spans="1:1" x14ac:dyDescent="0.25">
      <c r="A11898"/>
    </row>
    <row r="11899" spans="1:1" x14ac:dyDescent="0.25">
      <c r="A11899"/>
    </row>
    <row r="11900" spans="1:1" x14ac:dyDescent="0.25">
      <c r="A11900"/>
    </row>
    <row r="11901" spans="1:1" x14ac:dyDescent="0.25">
      <c r="A11901"/>
    </row>
    <row r="11902" spans="1:1" x14ac:dyDescent="0.25">
      <c r="A11902"/>
    </row>
    <row r="11903" spans="1:1" x14ac:dyDescent="0.25">
      <c r="A11903"/>
    </row>
    <row r="11904" spans="1:1" x14ac:dyDescent="0.25">
      <c r="A11904"/>
    </row>
    <row r="11905" spans="1:1" x14ac:dyDescent="0.25">
      <c r="A11905"/>
    </row>
    <row r="11906" spans="1:1" x14ac:dyDescent="0.25">
      <c r="A11906"/>
    </row>
    <row r="11907" spans="1:1" x14ac:dyDescent="0.25">
      <c r="A11907"/>
    </row>
    <row r="11908" spans="1:1" x14ac:dyDescent="0.25">
      <c r="A11908"/>
    </row>
    <row r="11909" spans="1:1" x14ac:dyDescent="0.25">
      <c r="A11909"/>
    </row>
    <row r="11910" spans="1:1" x14ac:dyDescent="0.25">
      <c r="A11910"/>
    </row>
    <row r="11911" spans="1:1" x14ac:dyDescent="0.25">
      <c r="A11911"/>
    </row>
    <row r="11912" spans="1:1" x14ac:dyDescent="0.25">
      <c r="A11912"/>
    </row>
    <row r="11913" spans="1:1" x14ac:dyDescent="0.25">
      <c r="A11913"/>
    </row>
    <row r="11914" spans="1:1" x14ac:dyDescent="0.25">
      <c r="A11914"/>
    </row>
    <row r="11915" spans="1:1" x14ac:dyDescent="0.25">
      <c r="A11915"/>
    </row>
    <row r="11916" spans="1:1" x14ac:dyDescent="0.25">
      <c r="A11916"/>
    </row>
    <row r="11917" spans="1:1" x14ac:dyDescent="0.25">
      <c r="A11917"/>
    </row>
    <row r="11918" spans="1:1" x14ac:dyDescent="0.25">
      <c r="A11918"/>
    </row>
    <row r="11919" spans="1:1" x14ac:dyDescent="0.25">
      <c r="A11919"/>
    </row>
    <row r="11920" spans="1:1" x14ac:dyDescent="0.25">
      <c r="A11920"/>
    </row>
    <row r="11921" spans="1:1" x14ac:dyDescent="0.25">
      <c r="A11921"/>
    </row>
    <row r="11922" spans="1:1" x14ac:dyDescent="0.25">
      <c r="A11922"/>
    </row>
    <row r="11923" spans="1:1" x14ac:dyDescent="0.25">
      <c r="A11923"/>
    </row>
    <row r="11924" spans="1:1" x14ac:dyDescent="0.25">
      <c r="A11924"/>
    </row>
    <row r="11925" spans="1:1" x14ac:dyDescent="0.25">
      <c r="A11925"/>
    </row>
    <row r="11926" spans="1:1" x14ac:dyDescent="0.25">
      <c r="A11926"/>
    </row>
    <row r="11927" spans="1:1" x14ac:dyDescent="0.25">
      <c r="A11927"/>
    </row>
    <row r="11928" spans="1:1" x14ac:dyDescent="0.25">
      <c r="A11928"/>
    </row>
    <row r="11929" spans="1:1" x14ac:dyDescent="0.25">
      <c r="A11929"/>
    </row>
    <row r="11930" spans="1:1" x14ac:dyDescent="0.25">
      <c r="A11930"/>
    </row>
    <row r="11931" spans="1:1" x14ac:dyDescent="0.25">
      <c r="A11931"/>
    </row>
    <row r="11932" spans="1:1" x14ac:dyDescent="0.25">
      <c r="A11932"/>
    </row>
    <row r="11933" spans="1:1" x14ac:dyDescent="0.25">
      <c r="A11933"/>
    </row>
    <row r="11934" spans="1:1" x14ac:dyDescent="0.25">
      <c r="A11934"/>
    </row>
    <row r="11935" spans="1:1" x14ac:dyDescent="0.25">
      <c r="A11935"/>
    </row>
    <row r="11936" spans="1:1" x14ac:dyDescent="0.25">
      <c r="A11936"/>
    </row>
    <row r="11937" spans="1:1" x14ac:dyDescent="0.25">
      <c r="A11937"/>
    </row>
    <row r="11938" spans="1:1" x14ac:dyDescent="0.25">
      <c r="A11938"/>
    </row>
    <row r="11939" spans="1:1" x14ac:dyDescent="0.25">
      <c r="A11939"/>
    </row>
    <row r="11940" spans="1:1" x14ac:dyDescent="0.25">
      <c r="A11940"/>
    </row>
    <row r="11941" spans="1:1" x14ac:dyDescent="0.25">
      <c r="A11941"/>
    </row>
    <row r="11942" spans="1:1" x14ac:dyDescent="0.25">
      <c r="A11942"/>
    </row>
    <row r="11943" spans="1:1" x14ac:dyDescent="0.25">
      <c r="A11943"/>
    </row>
    <row r="11944" spans="1:1" x14ac:dyDescent="0.25">
      <c r="A11944"/>
    </row>
    <row r="11945" spans="1:1" x14ac:dyDescent="0.25">
      <c r="A11945"/>
    </row>
    <row r="11946" spans="1:1" x14ac:dyDescent="0.25">
      <c r="A11946"/>
    </row>
    <row r="11947" spans="1:1" x14ac:dyDescent="0.25">
      <c r="A11947"/>
    </row>
    <row r="11948" spans="1:1" x14ac:dyDescent="0.25">
      <c r="A11948"/>
    </row>
    <row r="11949" spans="1:1" x14ac:dyDescent="0.25">
      <c r="A11949"/>
    </row>
    <row r="11950" spans="1:1" x14ac:dyDescent="0.25">
      <c r="A11950"/>
    </row>
    <row r="11951" spans="1:1" x14ac:dyDescent="0.25">
      <c r="A11951"/>
    </row>
    <row r="11952" spans="1:1" x14ac:dyDescent="0.25">
      <c r="A11952"/>
    </row>
    <row r="11953" spans="1:1" x14ac:dyDescent="0.25">
      <c r="A11953"/>
    </row>
    <row r="11954" spans="1:1" x14ac:dyDescent="0.25">
      <c r="A11954"/>
    </row>
    <row r="11955" spans="1:1" x14ac:dyDescent="0.25">
      <c r="A11955"/>
    </row>
    <row r="11956" spans="1:1" x14ac:dyDescent="0.25">
      <c r="A11956"/>
    </row>
    <row r="11957" spans="1:1" x14ac:dyDescent="0.25">
      <c r="A11957"/>
    </row>
    <row r="11958" spans="1:1" x14ac:dyDescent="0.25">
      <c r="A11958"/>
    </row>
    <row r="11959" spans="1:1" x14ac:dyDescent="0.25">
      <c r="A11959"/>
    </row>
    <row r="11960" spans="1:1" x14ac:dyDescent="0.25">
      <c r="A11960"/>
    </row>
    <row r="11961" spans="1:1" x14ac:dyDescent="0.25">
      <c r="A11961"/>
    </row>
    <row r="11962" spans="1:1" x14ac:dyDescent="0.25">
      <c r="A11962"/>
    </row>
    <row r="11963" spans="1:1" x14ac:dyDescent="0.25">
      <c r="A11963"/>
    </row>
    <row r="11964" spans="1:1" x14ac:dyDescent="0.25">
      <c r="A11964"/>
    </row>
    <row r="11965" spans="1:1" x14ac:dyDescent="0.25">
      <c r="A11965"/>
    </row>
    <row r="11966" spans="1:1" x14ac:dyDescent="0.25">
      <c r="A11966"/>
    </row>
    <row r="11967" spans="1:1" x14ac:dyDescent="0.25">
      <c r="A11967"/>
    </row>
    <row r="11968" spans="1:1" x14ac:dyDescent="0.25">
      <c r="A11968"/>
    </row>
    <row r="11969" spans="1:1" x14ac:dyDescent="0.25">
      <c r="A11969"/>
    </row>
    <row r="11970" spans="1:1" x14ac:dyDescent="0.25">
      <c r="A11970"/>
    </row>
    <row r="11971" spans="1:1" x14ac:dyDescent="0.25">
      <c r="A11971"/>
    </row>
    <row r="11972" spans="1:1" x14ac:dyDescent="0.25">
      <c r="A11972"/>
    </row>
    <row r="11973" spans="1:1" x14ac:dyDescent="0.25">
      <c r="A11973"/>
    </row>
    <row r="11974" spans="1:1" x14ac:dyDescent="0.25">
      <c r="A11974"/>
    </row>
    <row r="11975" spans="1:1" x14ac:dyDescent="0.25">
      <c r="A11975"/>
    </row>
    <row r="11976" spans="1:1" x14ac:dyDescent="0.25">
      <c r="A11976"/>
    </row>
    <row r="11977" spans="1:1" x14ac:dyDescent="0.25">
      <c r="A11977"/>
    </row>
    <row r="11978" spans="1:1" x14ac:dyDescent="0.25">
      <c r="A11978"/>
    </row>
    <row r="11979" spans="1:1" x14ac:dyDescent="0.25">
      <c r="A11979"/>
    </row>
    <row r="11980" spans="1:1" x14ac:dyDescent="0.25">
      <c r="A11980"/>
    </row>
    <row r="11981" spans="1:1" x14ac:dyDescent="0.25">
      <c r="A11981"/>
    </row>
    <row r="11982" spans="1:1" x14ac:dyDescent="0.25">
      <c r="A11982"/>
    </row>
    <row r="11983" spans="1:1" x14ac:dyDescent="0.25">
      <c r="A11983"/>
    </row>
    <row r="11984" spans="1:1" x14ac:dyDescent="0.25">
      <c r="A11984"/>
    </row>
    <row r="11985" spans="1:1" x14ac:dyDescent="0.25">
      <c r="A11985"/>
    </row>
    <row r="11986" spans="1:1" x14ac:dyDescent="0.25">
      <c r="A11986"/>
    </row>
    <row r="11987" spans="1:1" x14ac:dyDescent="0.25">
      <c r="A11987"/>
    </row>
    <row r="11988" spans="1:1" x14ac:dyDescent="0.25">
      <c r="A11988"/>
    </row>
    <row r="11989" spans="1:1" x14ac:dyDescent="0.25">
      <c r="A11989"/>
    </row>
    <row r="11990" spans="1:1" x14ac:dyDescent="0.25">
      <c r="A11990"/>
    </row>
    <row r="11991" spans="1:1" x14ac:dyDescent="0.25">
      <c r="A11991"/>
    </row>
    <row r="11992" spans="1:1" x14ac:dyDescent="0.25">
      <c r="A11992"/>
    </row>
    <row r="11993" spans="1:1" x14ac:dyDescent="0.25">
      <c r="A11993"/>
    </row>
    <row r="11994" spans="1:1" x14ac:dyDescent="0.25">
      <c r="A11994"/>
    </row>
    <row r="11995" spans="1:1" x14ac:dyDescent="0.25">
      <c r="A11995"/>
    </row>
    <row r="11996" spans="1:1" x14ac:dyDescent="0.25">
      <c r="A11996"/>
    </row>
    <row r="11997" spans="1:1" x14ac:dyDescent="0.25">
      <c r="A11997"/>
    </row>
    <row r="11998" spans="1:1" x14ac:dyDescent="0.25">
      <c r="A11998"/>
    </row>
    <row r="11999" spans="1:1" x14ac:dyDescent="0.25">
      <c r="A11999"/>
    </row>
    <row r="12000" spans="1:1" x14ac:dyDescent="0.25">
      <c r="A12000"/>
    </row>
    <row r="12001" spans="1:1" x14ac:dyDescent="0.25">
      <c r="A12001"/>
    </row>
    <row r="12002" spans="1:1" x14ac:dyDescent="0.25">
      <c r="A12002"/>
    </row>
    <row r="12003" spans="1:1" x14ac:dyDescent="0.25">
      <c r="A12003"/>
    </row>
    <row r="12004" spans="1:1" x14ac:dyDescent="0.25">
      <c r="A12004"/>
    </row>
    <row r="12005" spans="1:1" x14ac:dyDescent="0.25">
      <c r="A12005"/>
    </row>
    <row r="12006" spans="1:1" x14ac:dyDescent="0.25">
      <c r="A12006"/>
    </row>
    <row r="12007" spans="1:1" x14ac:dyDescent="0.25">
      <c r="A12007"/>
    </row>
    <row r="12008" spans="1:1" x14ac:dyDescent="0.25">
      <c r="A12008"/>
    </row>
    <row r="12009" spans="1:1" x14ac:dyDescent="0.25">
      <c r="A12009"/>
    </row>
    <row r="12010" spans="1:1" x14ac:dyDescent="0.25">
      <c r="A12010"/>
    </row>
    <row r="12011" spans="1:1" x14ac:dyDescent="0.25">
      <c r="A12011"/>
    </row>
    <row r="12012" spans="1:1" x14ac:dyDescent="0.25">
      <c r="A12012"/>
    </row>
    <row r="12013" spans="1:1" x14ac:dyDescent="0.25">
      <c r="A12013"/>
    </row>
    <row r="12014" spans="1:1" x14ac:dyDescent="0.25">
      <c r="A12014"/>
    </row>
    <row r="12015" spans="1:1" x14ac:dyDescent="0.25">
      <c r="A12015"/>
    </row>
    <row r="12016" spans="1:1" x14ac:dyDescent="0.25">
      <c r="A12016"/>
    </row>
    <row r="12017" spans="1:1" x14ac:dyDescent="0.25">
      <c r="A12017"/>
    </row>
    <row r="12018" spans="1:1" x14ac:dyDescent="0.25">
      <c r="A12018"/>
    </row>
    <row r="12019" spans="1:1" x14ac:dyDescent="0.25">
      <c r="A12019"/>
    </row>
    <row r="12020" spans="1:1" x14ac:dyDescent="0.25">
      <c r="A12020"/>
    </row>
    <row r="12021" spans="1:1" x14ac:dyDescent="0.25">
      <c r="A12021"/>
    </row>
    <row r="12022" spans="1:1" x14ac:dyDescent="0.25">
      <c r="A12022"/>
    </row>
    <row r="12023" spans="1:1" x14ac:dyDescent="0.25">
      <c r="A12023"/>
    </row>
    <row r="12024" spans="1:1" x14ac:dyDescent="0.25">
      <c r="A12024"/>
    </row>
    <row r="12025" spans="1:1" x14ac:dyDescent="0.25">
      <c r="A12025"/>
    </row>
    <row r="12026" spans="1:1" x14ac:dyDescent="0.25">
      <c r="A12026"/>
    </row>
    <row r="12027" spans="1:1" x14ac:dyDescent="0.25">
      <c r="A12027"/>
    </row>
    <row r="12028" spans="1:1" x14ac:dyDescent="0.25">
      <c r="A12028"/>
    </row>
    <row r="12029" spans="1:1" x14ac:dyDescent="0.25">
      <c r="A12029"/>
    </row>
    <row r="12030" spans="1:1" x14ac:dyDescent="0.25">
      <c r="A12030"/>
    </row>
    <row r="12031" spans="1:1" x14ac:dyDescent="0.25">
      <c r="A12031"/>
    </row>
    <row r="12032" spans="1:1" x14ac:dyDescent="0.25">
      <c r="A12032"/>
    </row>
    <row r="12033" spans="1:1" x14ac:dyDescent="0.25">
      <c r="A12033"/>
    </row>
    <row r="12034" spans="1:1" x14ac:dyDescent="0.25">
      <c r="A12034"/>
    </row>
    <row r="12035" spans="1:1" x14ac:dyDescent="0.25">
      <c r="A12035"/>
    </row>
    <row r="12036" spans="1:1" x14ac:dyDescent="0.25">
      <c r="A12036"/>
    </row>
    <row r="12037" spans="1:1" x14ac:dyDescent="0.25">
      <c r="A12037"/>
    </row>
    <row r="12038" spans="1:1" x14ac:dyDescent="0.25">
      <c r="A12038"/>
    </row>
    <row r="12039" spans="1:1" x14ac:dyDescent="0.25">
      <c r="A12039"/>
    </row>
    <row r="12040" spans="1:1" x14ac:dyDescent="0.25">
      <c r="A12040"/>
    </row>
    <row r="12041" spans="1:1" x14ac:dyDescent="0.25">
      <c r="A12041"/>
    </row>
    <row r="12042" spans="1:1" x14ac:dyDescent="0.25">
      <c r="A12042"/>
    </row>
    <row r="12043" spans="1:1" x14ac:dyDescent="0.25">
      <c r="A12043"/>
    </row>
    <row r="12044" spans="1:1" x14ac:dyDescent="0.25">
      <c r="A12044"/>
    </row>
    <row r="12045" spans="1:1" x14ac:dyDescent="0.25">
      <c r="A12045"/>
    </row>
    <row r="12046" spans="1:1" x14ac:dyDescent="0.25">
      <c r="A12046"/>
    </row>
    <row r="12047" spans="1:1" x14ac:dyDescent="0.25">
      <c r="A12047"/>
    </row>
    <row r="12048" spans="1:1" x14ac:dyDescent="0.25">
      <c r="A12048"/>
    </row>
    <row r="12049" spans="1:1" x14ac:dyDescent="0.25">
      <c r="A12049"/>
    </row>
    <row r="12050" spans="1:1" x14ac:dyDescent="0.25">
      <c r="A12050"/>
    </row>
    <row r="12051" spans="1:1" x14ac:dyDescent="0.25">
      <c r="A12051"/>
    </row>
    <row r="12052" spans="1:1" x14ac:dyDescent="0.25">
      <c r="A12052"/>
    </row>
    <row r="12053" spans="1:1" x14ac:dyDescent="0.25">
      <c r="A12053"/>
    </row>
    <row r="12054" spans="1:1" x14ac:dyDescent="0.25">
      <c r="A12054"/>
    </row>
    <row r="12055" spans="1:1" x14ac:dyDescent="0.25">
      <c r="A12055"/>
    </row>
    <row r="12056" spans="1:1" x14ac:dyDescent="0.25">
      <c r="A12056"/>
    </row>
    <row r="12057" spans="1:1" x14ac:dyDescent="0.25">
      <c r="A12057"/>
    </row>
    <row r="12058" spans="1:1" x14ac:dyDescent="0.25">
      <c r="A12058"/>
    </row>
    <row r="12059" spans="1:1" x14ac:dyDescent="0.25">
      <c r="A12059"/>
    </row>
    <row r="12060" spans="1:1" x14ac:dyDescent="0.25">
      <c r="A12060"/>
    </row>
    <row r="12061" spans="1:1" x14ac:dyDescent="0.25">
      <c r="A12061"/>
    </row>
    <row r="12062" spans="1:1" x14ac:dyDescent="0.25">
      <c r="A12062"/>
    </row>
    <row r="12063" spans="1:1" x14ac:dyDescent="0.25">
      <c r="A12063"/>
    </row>
    <row r="12064" spans="1:1" x14ac:dyDescent="0.25">
      <c r="A12064"/>
    </row>
    <row r="12065" spans="1:1" x14ac:dyDescent="0.25">
      <c r="A12065"/>
    </row>
    <row r="12066" spans="1:1" x14ac:dyDescent="0.25">
      <c r="A12066"/>
    </row>
    <row r="12067" spans="1:1" x14ac:dyDescent="0.25">
      <c r="A12067"/>
    </row>
    <row r="12068" spans="1:1" x14ac:dyDescent="0.25">
      <c r="A12068"/>
    </row>
    <row r="12069" spans="1:1" x14ac:dyDescent="0.25">
      <c r="A12069"/>
    </row>
    <row r="12070" spans="1:1" x14ac:dyDescent="0.25">
      <c r="A12070"/>
    </row>
    <row r="12071" spans="1:1" x14ac:dyDescent="0.25">
      <c r="A12071"/>
    </row>
    <row r="12072" spans="1:1" x14ac:dyDescent="0.25">
      <c r="A12072"/>
    </row>
    <row r="12073" spans="1:1" x14ac:dyDescent="0.25">
      <c r="A12073"/>
    </row>
    <row r="12074" spans="1:1" x14ac:dyDescent="0.25">
      <c r="A12074"/>
    </row>
    <row r="12075" spans="1:1" x14ac:dyDescent="0.25">
      <c r="A12075"/>
    </row>
    <row r="12076" spans="1:1" x14ac:dyDescent="0.25">
      <c r="A12076"/>
    </row>
    <row r="12077" spans="1:1" x14ac:dyDescent="0.25">
      <c r="A12077"/>
    </row>
    <row r="12078" spans="1:1" x14ac:dyDescent="0.25">
      <c r="A12078"/>
    </row>
    <row r="12079" spans="1:1" x14ac:dyDescent="0.25">
      <c r="A12079"/>
    </row>
    <row r="12080" spans="1:1" x14ac:dyDescent="0.25">
      <c r="A12080"/>
    </row>
    <row r="12081" spans="1:1" x14ac:dyDescent="0.25">
      <c r="A12081"/>
    </row>
    <row r="12082" spans="1:1" x14ac:dyDescent="0.25">
      <c r="A12082"/>
    </row>
    <row r="12083" spans="1:1" x14ac:dyDescent="0.25">
      <c r="A12083"/>
    </row>
    <row r="12084" spans="1:1" x14ac:dyDescent="0.25">
      <c r="A12084"/>
    </row>
    <row r="12085" spans="1:1" x14ac:dyDescent="0.25">
      <c r="A12085"/>
    </row>
    <row r="12086" spans="1:1" x14ac:dyDescent="0.25">
      <c r="A12086"/>
    </row>
    <row r="12087" spans="1:1" x14ac:dyDescent="0.25">
      <c r="A12087"/>
    </row>
    <row r="12088" spans="1:1" x14ac:dyDescent="0.25">
      <c r="A12088"/>
    </row>
    <row r="12089" spans="1:1" x14ac:dyDescent="0.25">
      <c r="A12089"/>
    </row>
    <row r="12090" spans="1:1" x14ac:dyDescent="0.25">
      <c r="A12090"/>
    </row>
    <row r="12091" spans="1:1" x14ac:dyDescent="0.25">
      <c r="A12091"/>
    </row>
    <row r="12092" spans="1:1" x14ac:dyDescent="0.25">
      <c r="A12092"/>
    </row>
    <row r="12093" spans="1:1" x14ac:dyDescent="0.25">
      <c r="A12093"/>
    </row>
    <row r="12094" spans="1:1" x14ac:dyDescent="0.25">
      <c r="A12094"/>
    </row>
    <row r="12095" spans="1:1" x14ac:dyDescent="0.25">
      <c r="A12095"/>
    </row>
    <row r="12096" spans="1:1" x14ac:dyDescent="0.25">
      <c r="A12096"/>
    </row>
    <row r="12097" spans="1:1" x14ac:dyDescent="0.25">
      <c r="A12097"/>
    </row>
    <row r="12098" spans="1:1" x14ac:dyDescent="0.25">
      <c r="A12098"/>
    </row>
    <row r="12099" spans="1:1" x14ac:dyDescent="0.25">
      <c r="A12099"/>
    </row>
    <row r="12100" spans="1:1" x14ac:dyDescent="0.25">
      <c r="A12100"/>
    </row>
    <row r="12101" spans="1:1" x14ac:dyDescent="0.25">
      <c r="A12101"/>
    </row>
    <row r="12102" spans="1:1" x14ac:dyDescent="0.25">
      <c r="A12102"/>
    </row>
    <row r="12103" spans="1:1" x14ac:dyDescent="0.25">
      <c r="A12103"/>
    </row>
    <row r="12104" spans="1:1" x14ac:dyDescent="0.25">
      <c r="A12104"/>
    </row>
    <row r="12105" spans="1:1" x14ac:dyDescent="0.25">
      <c r="A12105"/>
    </row>
    <row r="12106" spans="1:1" x14ac:dyDescent="0.25">
      <c r="A12106"/>
    </row>
    <row r="12107" spans="1:1" x14ac:dyDescent="0.25">
      <c r="A12107"/>
    </row>
    <row r="12108" spans="1:1" x14ac:dyDescent="0.25">
      <c r="A12108"/>
    </row>
    <row r="12109" spans="1:1" x14ac:dyDescent="0.25">
      <c r="A12109"/>
    </row>
    <row r="12110" spans="1:1" x14ac:dyDescent="0.25">
      <c r="A12110"/>
    </row>
    <row r="12111" spans="1:1" x14ac:dyDescent="0.25">
      <c r="A12111"/>
    </row>
    <row r="12112" spans="1:1" x14ac:dyDescent="0.25">
      <c r="A12112"/>
    </row>
    <row r="12113" spans="1:1" x14ac:dyDescent="0.25">
      <c r="A12113"/>
    </row>
    <row r="12114" spans="1:1" x14ac:dyDescent="0.25">
      <c r="A12114"/>
    </row>
    <row r="12115" spans="1:1" x14ac:dyDescent="0.25">
      <c r="A12115"/>
    </row>
    <row r="12116" spans="1:1" x14ac:dyDescent="0.25">
      <c r="A12116"/>
    </row>
    <row r="12117" spans="1:1" x14ac:dyDescent="0.25">
      <c r="A12117"/>
    </row>
    <row r="12118" spans="1:1" x14ac:dyDescent="0.25">
      <c r="A12118"/>
    </row>
    <row r="12119" spans="1:1" x14ac:dyDescent="0.25">
      <c r="A12119"/>
    </row>
    <row r="12120" spans="1:1" x14ac:dyDescent="0.25">
      <c r="A12120"/>
    </row>
    <row r="12121" spans="1:1" x14ac:dyDescent="0.25">
      <c r="A12121"/>
    </row>
    <row r="12122" spans="1:1" x14ac:dyDescent="0.25">
      <c r="A12122"/>
    </row>
    <row r="12123" spans="1:1" x14ac:dyDescent="0.25">
      <c r="A12123"/>
    </row>
    <row r="12124" spans="1:1" x14ac:dyDescent="0.25">
      <c r="A12124"/>
    </row>
    <row r="12125" spans="1:1" x14ac:dyDescent="0.25">
      <c r="A12125"/>
    </row>
    <row r="12126" spans="1:1" x14ac:dyDescent="0.25">
      <c r="A12126"/>
    </row>
    <row r="12127" spans="1:1" x14ac:dyDescent="0.25">
      <c r="A12127"/>
    </row>
    <row r="12128" spans="1:1" x14ac:dyDescent="0.25">
      <c r="A12128"/>
    </row>
    <row r="12129" spans="1:1" x14ac:dyDescent="0.25">
      <c r="A12129"/>
    </row>
    <row r="12130" spans="1:1" x14ac:dyDescent="0.25">
      <c r="A12130"/>
    </row>
    <row r="12131" spans="1:1" x14ac:dyDescent="0.25">
      <c r="A12131"/>
    </row>
    <row r="12132" spans="1:1" x14ac:dyDescent="0.25">
      <c r="A12132"/>
    </row>
    <row r="12133" spans="1:1" x14ac:dyDescent="0.25">
      <c r="A12133"/>
    </row>
    <row r="12134" spans="1:1" x14ac:dyDescent="0.25">
      <c r="A12134"/>
    </row>
    <row r="12135" spans="1:1" x14ac:dyDescent="0.25">
      <c r="A12135"/>
    </row>
    <row r="12136" spans="1:1" x14ac:dyDescent="0.25">
      <c r="A12136"/>
    </row>
    <row r="12137" spans="1:1" x14ac:dyDescent="0.25">
      <c r="A12137"/>
    </row>
    <row r="12138" spans="1:1" x14ac:dyDescent="0.25">
      <c r="A12138"/>
    </row>
    <row r="12139" spans="1:1" x14ac:dyDescent="0.25">
      <c r="A12139"/>
    </row>
    <row r="12140" spans="1:1" x14ac:dyDescent="0.25">
      <c r="A12140"/>
    </row>
    <row r="12141" spans="1:1" x14ac:dyDescent="0.25">
      <c r="A12141"/>
    </row>
    <row r="12142" spans="1:1" x14ac:dyDescent="0.25">
      <c r="A12142"/>
    </row>
    <row r="12143" spans="1:1" x14ac:dyDescent="0.25">
      <c r="A12143"/>
    </row>
    <row r="12144" spans="1:1" x14ac:dyDescent="0.25">
      <c r="A12144"/>
    </row>
    <row r="12145" spans="1:1" x14ac:dyDescent="0.25">
      <c r="A12145"/>
    </row>
    <row r="12146" spans="1:1" x14ac:dyDescent="0.25">
      <c r="A12146"/>
    </row>
    <row r="12147" spans="1:1" x14ac:dyDescent="0.25">
      <c r="A12147"/>
    </row>
    <row r="12148" spans="1:1" x14ac:dyDescent="0.25">
      <c r="A12148"/>
    </row>
    <row r="12149" spans="1:1" x14ac:dyDescent="0.25">
      <c r="A12149"/>
    </row>
    <row r="12150" spans="1:1" x14ac:dyDescent="0.25">
      <c r="A12150"/>
    </row>
    <row r="12151" spans="1:1" x14ac:dyDescent="0.25">
      <c r="A12151"/>
    </row>
    <row r="12152" spans="1:1" x14ac:dyDescent="0.25">
      <c r="A12152"/>
    </row>
    <row r="12153" spans="1:1" x14ac:dyDescent="0.25">
      <c r="A12153"/>
    </row>
    <row r="12154" spans="1:1" x14ac:dyDescent="0.25">
      <c r="A12154"/>
    </row>
    <row r="12155" spans="1:1" x14ac:dyDescent="0.25">
      <c r="A12155"/>
    </row>
    <row r="12156" spans="1:1" x14ac:dyDescent="0.25">
      <c r="A12156"/>
    </row>
    <row r="12157" spans="1:1" x14ac:dyDescent="0.25">
      <c r="A12157"/>
    </row>
    <row r="12158" spans="1:1" x14ac:dyDescent="0.25">
      <c r="A12158"/>
    </row>
    <row r="12159" spans="1:1" x14ac:dyDescent="0.25">
      <c r="A12159"/>
    </row>
    <row r="12160" spans="1:1" x14ac:dyDescent="0.25">
      <c r="A12160"/>
    </row>
    <row r="12161" spans="1:1" x14ac:dyDescent="0.25">
      <c r="A12161"/>
    </row>
    <row r="12162" spans="1:1" x14ac:dyDescent="0.25">
      <c r="A12162"/>
    </row>
    <row r="12163" spans="1:1" x14ac:dyDescent="0.25">
      <c r="A12163"/>
    </row>
    <row r="12164" spans="1:1" x14ac:dyDescent="0.25">
      <c r="A12164"/>
    </row>
    <row r="12165" spans="1:1" x14ac:dyDescent="0.25">
      <c r="A12165"/>
    </row>
    <row r="12166" spans="1:1" x14ac:dyDescent="0.25">
      <c r="A12166"/>
    </row>
    <row r="12167" spans="1:1" x14ac:dyDescent="0.25">
      <c r="A12167"/>
    </row>
    <row r="12168" spans="1:1" x14ac:dyDescent="0.25">
      <c r="A12168"/>
    </row>
    <row r="12169" spans="1:1" x14ac:dyDescent="0.25">
      <c r="A12169"/>
    </row>
    <row r="12170" spans="1:1" x14ac:dyDescent="0.25">
      <c r="A12170"/>
    </row>
    <row r="12171" spans="1:1" x14ac:dyDescent="0.25">
      <c r="A12171"/>
    </row>
    <row r="12172" spans="1:1" x14ac:dyDescent="0.25">
      <c r="A12172"/>
    </row>
    <row r="12173" spans="1:1" x14ac:dyDescent="0.25">
      <c r="A12173"/>
    </row>
    <row r="12174" spans="1:1" x14ac:dyDescent="0.25">
      <c r="A12174"/>
    </row>
    <row r="12175" spans="1:1" x14ac:dyDescent="0.25">
      <c r="A12175"/>
    </row>
    <row r="12176" spans="1:1" x14ac:dyDescent="0.25">
      <c r="A12176"/>
    </row>
    <row r="12177" spans="1:1" x14ac:dyDescent="0.25">
      <c r="A12177"/>
    </row>
    <row r="12178" spans="1:1" x14ac:dyDescent="0.25">
      <c r="A12178"/>
    </row>
    <row r="12179" spans="1:1" x14ac:dyDescent="0.25">
      <c r="A12179"/>
    </row>
    <row r="12180" spans="1:1" x14ac:dyDescent="0.25">
      <c r="A12180"/>
    </row>
    <row r="12181" spans="1:1" x14ac:dyDescent="0.25">
      <c r="A12181"/>
    </row>
    <row r="12182" spans="1:1" x14ac:dyDescent="0.25">
      <c r="A12182"/>
    </row>
    <row r="12183" spans="1:1" x14ac:dyDescent="0.25">
      <c r="A12183"/>
    </row>
    <row r="12184" spans="1:1" x14ac:dyDescent="0.25">
      <c r="A12184"/>
    </row>
    <row r="12185" spans="1:1" x14ac:dyDescent="0.25">
      <c r="A12185"/>
    </row>
    <row r="12186" spans="1:1" x14ac:dyDescent="0.25">
      <c r="A12186"/>
    </row>
    <row r="12187" spans="1:1" x14ac:dyDescent="0.25">
      <c r="A12187"/>
    </row>
    <row r="12188" spans="1:1" x14ac:dyDescent="0.25">
      <c r="A12188"/>
    </row>
    <row r="12189" spans="1:1" x14ac:dyDescent="0.25">
      <c r="A12189"/>
    </row>
    <row r="12190" spans="1:1" x14ac:dyDescent="0.25">
      <c r="A12190"/>
    </row>
    <row r="12191" spans="1:1" x14ac:dyDescent="0.25">
      <c r="A12191"/>
    </row>
    <row r="12192" spans="1:1" x14ac:dyDescent="0.25">
      <c r="A12192"/>
    </row>
    <row r="12193" spans="1:1" x14ac:dyDescent="0.25">
      <c r="A12193"/>
    </row>
    <row r="12194" spans="1:1" x14ac:dyDescent="0.25">
      <c r="A12194"/>
    </row>
    <row r="12195" spans="1:1" x14ac:dyDescent="0.25">
      <c r="A12195"/>
    </row>
    <row r="12196" spans="1:1" x14ac:dyDescent="0.25">
      <c r="A12196"/>
    </row>
    <row r="12197" spans="1:1" x14ac:dyDescent="0.25">
      <c r="A12197"/>
    </row>
    <row r="12198" spans="1:1" x14ac:dyDescent="0.25">
      <c r="A12198"/>
    </row>
    <row r="12199" spans="1:1" x14ac:dyDescent="0.25">
      <c r="A12199"/>
    </row>
    <row r="12200" spans="1:1" x14ac:dyDescent="0.25">
      <c r="A12200"/>
    </row>
    <row r="12201" spans="1:1" x14ac:dyDescent="0.25">
      <c r="A12201"/>
    </row>
    <row r="12202" spans="1:1" x14ac:dyDescent="0.25">
      <c r="A12202"/>
    </row>
    <row r="12203" spans="1:1" x14ac:dyDescent="0.25">
      <c r="A12203"/>
    </row>
    <row r="12204" spans="1:1" x14ac:dyDescent="0.25">
      <c r="A12204"/>
    </row>
    <row r="12205" spans="1:1" x14ac:dyDescent="0.25">
      <c r="A12205"/>
    </row>
    <row r="12206" spans="1:1" x14ac:dyDescent="0.25">
      <c r="A12206"/>
    </row>
    <row r="12207" spans="1:1" x14ac:dyDescent="0.25">
      <c r="A12207"/>
    </row>
    <row r="12208" spans="1:1" x14ac:dyDescent="0.25">
      <c r="A12208"/>
    </row>
    <row r="12209" spans="1:1" x14ac:dyDescent="0.25">
      <c r="A12209"/>
    </row>
    <row r="12210" spans="1:1" x14ac:dyDescent="0.25">
      <c r="A12210"/>
    </row>
    <row r="12211" spans="1:1" x14ac:dyDescent="0.25">
      <c r="A12211"/>
    </row>
    <row r="12212" spans="1:1" x14ac:dyDescent="0.25">
      <c r="A12212"/>
    </row>
    <row r="12213" spans="1:1" x14ac:dyDescent="0.25">
      <c r="A12213"/>
    </row>
    <row r="12214" spans="1:1" x14ac:dyDescent="0.25">
      <c r="A12214"/>
    </row>
    <row r="12215" spans="1:1" x14ac:dyDescent="0.25">
      <c r="A12215"/>
    </row>
    <row r="12216" spans="1:1" x14ac:dyDescent="0.25">
      <c r="A12216"/>
    </row>
    <row r="12217" spans="1:1" x14ac:dyDescent="0.25">
      <c r="A12217"/>
    </row>
    <row r="12218" spans="1:1" x14ac:dyDescent="0.25">
      <c r="A12218"/>
    </row>
    <row r="12219" spans="1:1" x14ac:dyDescent="0.25">
      <c r="A12219"/>
    </row>
    <row r="12220" spans="1:1" x14ac:dyDescent="0.25">
      <c r="A12220"/>
    </row>
    <row r="12221" spans="1:1" x14ac:dyDescent="0.25">
      <c r="A12221"/>
    </row>
    <row r="12222" spans="1:1" x14ac:dyDescent="0.25">
      <c r="A12222"/>
    </row>
    <row r="12223" spans="1:1" x14ac:dyDescent="0.25">
      <c r="A12223"/>
    </row>
    <row r="12224" spans="1:1" x14ac:dyDescent="0.25">
      <c r="A12224"/>
    </row>
    <row r="12225" spans="1:1" x14ac:dyDescent="0.25">
      <c r="A12225"/>
    </row>
    <row r="12226" spans="1:1" x14ac:dyDescent="0.25">
      <c r="A12226"/>
    </row>
    <row r="12227" spans="1:1" x14ac:dyDescent="0.25">
      <c r="A12227"/>
    </row>
    <row r="12228" spans="1:1" x14ac:dyDescent="0.25">
      <c r="A12228"/>
    </row>
    <row r="12229" spans="1:1" x14ac:dyDescent="0.25">
      <c r="A12229"/>
    </row>
    <row r="12230" spans="1:1" x14ac:dyDescent="0.25">
      <c r="A12230"/>
    </row>
    <row r="12231" spans="1:1" x14ac:dyDescent="0.25">
      <c r="A12231"/>
    </row>
    <row r="12232" spans="1:1" x14ac:dyDescent="0.25">
      <c r="A12232"/>
    </row>
    <row r="12233" spans="1:1" x14ac:dyDescent="0.25">
      <c r="A12233"/>
    </row>
    <row r="12234" spans="1:1" x14ac:dyDescent="0.25">
      <c r="A12234"/>
    </row>
    <row r="12235" spans="1:1" x14ac:dyDescent="0.25">
      <c r="A12235"/>
    </row>
    <row r="12236" spans="1:1" x14ac:dyDescent="0.25">
      <c r="A12236"/>
    </row>
    <row r="12237" spans="1:1" x14ac:dyDescent="0.25">
      <c r="A12237"/>
    </row>
    <row r="12238" spans="1:1" x14ac:dyDescent="0.25">
      <c r="A12238"/>
    </row>
    <row r="12239" spans="1:1" x14ac:dyDescent="0.25">
      <c r="A12239"/>
    </row>
    <row r="12240" spans="1:1" x14ac:dyDescent="0.25">
      <c r="A12240"/>
    </row>
    <row r="12241" spans="1:1" x14ac:dyDescent="0.25">
      <c r="A12241"/>
    </row>
    <row r="12242" spans="1:1" x14ac:dyDescent="0.25">
      <c r="A12242"/>
    </row>
    <row r="12243" spans="1:1" x14ac:dyDescent="0.25">
      <c r="A12243"/>
    </row>
    <row r="12244" spans="1:1" x14ac:dyDescent="0.25">
      <c r="A12244"/>
    </row>
    <row r="12245" spans="1:1" x14ac:dyDescent="0.25">
      <c r="A12245"/>
    </row>
    <row r="12246" spans="1:1" x14ac:dyDescent="0.25">
      <c r="A12246"/>
    </row>
    <row r="12247" spans="1:1" x14ac:dyDescent="0.25">
      <c r="A12247"/>
    </row>
    <row r="12248" spans="1:1" x14ac:dyDescent="0.25">
      <c r="A12248"/>
    </row>
    <row r="12249" spans="1:1" x14ac:dyDescent="0.25">
      <c r="A12249"/>
    </row>
    <row r="12250" spans="1:1" x14ac:dyDescent="0.25">
      <c r="A12250"/>
    </row>
    <row r="12251" spans="1:1" x14ac:dyDescent="0.25">
      <c r="A12251"/>
    </row>
    <row r="12252" spans="1:1" x14ac:dyDescent="0.25">
      <c r="A12252"/>
    </row>
    <row r="12253" spans="1:1" x14ac:dyDescent="0.25">
      <c r="A12253"/>
    </row>
    <row r="12254" spans="1:1" x14ac:dyDescent="0.25">
      <c r="A12254"/>
    </row>
    <row r="12255" spans="1:1" x14ac:dyDescent="0.25">
      <c r="A12255"/>
    </row>
    <row r="12256" spans="1:1" x14ac:dyDescent="0.25">
      <c r="A12256"/>
    </row>
    <row r="12257" spans="1:1" x14ac:dyDescent="0.25">
      <c r="A12257"/>
    </row>
    <row r="12258" spans="1:1" x14ac:dyDescent="0.25">
      <c r="A12258"/>
    </row>
    <row r="12259" spans="1:1" x14ac:dyDescent="0.25">
      <c r="A12259"/>
    </row>
    <row r="12260" spans="1:1" x14ac:dyDescent="0.25">
      <c r="A12260"/>
    </row>
    <row r="12261" spans="1:1" x14ac:dyDescent="0.25">
      <c r="A12261"/>
    </row>
    <row r="12262" spans="1:1" x14ac:dyDescent="0.25">
      <c r="A12262"/>
    </row>
    <row r="12263" spans="1:1" x14ac:dyDescent="0.25">
      <c r="A12263"/>
    </row>
    <row r="12264" spans="1:1" x14ac:dyDescent="0.25">
      <c r="A12264"/>
    </row>
    <row r="12265" spans="1:1" x14ac:dyDescent="0.25">
      <c r="A12265"/>
    </row>
    <row r="12266" spans="1:1" x14ac:dyDescent="0.25">
      <c r="A12266"/>
    </row>
    <row r="12267" spans="1:1" x14ac:dyDescent="0.25">
      <c r="A12267"/>
    </row>
    <row r="12268" spans="1:1" x14ac:dyDescent="0.25">
      <c r="A12268"/>
    </row>
    <row r="12269" spans="1:1" x14ac:dyDescent="0.25">
      <c r="A12269"/>
    </row>
    <row r="12270" spans="1:1" x14ac:dyDescent="0.25">
      <c r="A12270"/>
    </row>
    <row r="12271" spans="1:1" x14ac:dyDescent="0.25">
      <c r="A12271"/>
    </row>
    <row r="12272" spans="1:1" x14ac:dyDescent="0.25">
      <c r="A12272"/>
    </row>
    <row r="12273" spans="1:1" x14ac:dyDescent="0.25">
      <c r="A12273"/>
    </row>
    <row r="12274" spans="1:1" x14ac:dyDescent="0.25">
      <c r="A12274"/>
    </row>
    <row r="12275" spans="1:1" x14ac:dyDescent="0.25">
      <c r="A12275"/>
    </row>
    <row r="12276" spans="1:1" x14ac:dyDescent="0.25">
      <c r="A12276"/>
    </row>
    <row r="12277" spans="1:1" x14ac:dyDescent="0.25">
      <c r="A12277"/>
    </row>
    <row r="12278" spans="1:1" x14ac:dyDescent="0.25">
      <c r="A12278"/>
    </row>
    <row r="12279" spans="1:1" x14ac:dyDescent="0.25">
      <c r="A12279"/>
    </row>
    <row r="12280" spans="1:1" x14ac:dyDescent="0.25">
      <c r="A12280"/>
    </row>
    <row r="12281" spans="1:1" x14ac:dyDescent="0.25">
      <c r="A12281"/>
    </row>
    <row r="12282" spans="1:1" x14ac:dyDescent="0.25">
      <c r="A12282"/>
    </row>
    <row r="12283" spans="1:1" x14ac:dyDescent="0.25">
      <c r="A12283"/>
    </row>
    <row r="12284" spans="1:1" x14ac:dyDescent="0.25">
      <c r="A12284"/>
    </row>
    <row r="12285" spans="1:1" x14ac:dyDescent="0.25">
      <c r="A12285"/>
    </row>
    <row r="12286" spans="1:1" x14ac:dyDescent="0.25">
      <c r="A12286"/>
    </row>
    <row r="12287" spans="1:1" x14ac:dyDescent="0.25">
      <c r="A12287"/>
    </row>
    <row r="12288" spans="1:1" x14ac:dyDescent="0.25">
      <c r="A12288"/>
    </row>
    <row r="12289" spans="1:1" x14ac:dyDescent="0.25">
      <c r="A12289"/>
    </row>
    <row r="12290" spans="1:1" x14ac:dyDescent="0.25">
      <c r="A12290"/>
    </row>
    <row r="12291" spans="1:1" x14ac:dyDescent="0.25">
      <c r="A12291"/>
    </row>
    <row r="12292" spans="1:1" x14ac:dyDescent="0.25">
      <c r="A12292"/>
    </row>
    <row r="12293" spans="1:1" x14ac:dyDescent="0.25">
      <c r="A12293"/>
    </row>
    <row r="12294" spans="1:1" x14ac:dyDescent="0.25">
      <c r="A12294"/>
    </row>
    <row r="12295" spans="1:1" x14ac:dyDescent="0.25">
      <c r="A12295"/>
    </row>
    <row r="12296" spans="1:1" x14ac:dyDescent="0.25">
      <c r="A12296"/>
    </row>
    <row r="12297" spans="1:1" x14ac:dyDescent="0.25">
      <c r="A12297"/>
    </row>
    <row r="12298" spans="1:1" x14ac:dyDescent="0.25">
      <c r="A12298"/>
    </row>
    <row r="12299" spans="1:1" x14ac:dyDescent="0.25">
      <c r="A12299"/>
    </row>
    <row r="12300" spans="1:1" x14ac:dyDescent="0.25">
      <c r="A12300"/>
    </row>
    <row r="12301" spans="1:1" x14ac:dyDescent="0.25">
      <c r="A12301"/>
    </row>
    <row r="12302" spans="1:1" x14ac:dyDescent="0.25">
      <c r="A12302"/>
    </row>
    <row r="12303" spans="1:1" x14ac:dyDescent="0.25">
      <c r="A12303"/>
    </row>
    <row r="12304" spans="1:1" x14ac:dyDescent="0.25">
      <c r="A12304"/>
    </row>
    <row r="12305" spans="1:1" x14ac:dyDescent="0.25">
      <c r="A12305"/>
    </row>
    <row r="12306" spans="1:1" x14ac:dyDescent="0.25">
      <c r="A12306"/>
    </row>
    <row r="12307" spans="1:1" x14ac:dyDescent="0.25">
      <c r="A12307"/>
    </row>
    <row r="12308" spans="1:1" x14ac:dyDescent="0.25">
      <c r="A12308"/>
    </row>
    <row r="12309" spans="1:1" x14ac:dyDescent="0.25">
      <c r="A12309"/>
    </row>
    <row r="12310" spans="1:1" x14ac:dyDescent="0.25">
      <c r="A12310"/>
    </row>
    <row r="12311" spans="1:1" x14ac:dyDescent="0.25">
      <c r="A12311"/>
    </row>
    <row r="12312" spans="1:1" x14ac:dyDescent="0.25">
      <c r="A12312"/>
    </row>
    <row r="12313" spans="1:1" x14ac:dyDescent="0.25">
      <c r="A12313"/>
    </row>
    <row r="12314" spans="1:1" x14ac:dyDescent="0.25">
      <c r="A12314"/>
    </row>
    <row r="12315" spans="1:1" x14ac:dyDescent="0.25">
      <c r="A12315"/>
    </row>
    <row r="12316" spans="1:1" x14ac:dyDescent="0.25">
      <c r="A12316"/>
    </row>
    <row r="12317" spans="1:1" x14ac:dyDescent="0.25">
      <c r="A12317"/>
    </row>
    <row r="12318" spans="1:1" x14ac:dyDescent="0.25">
      <c r="A12318"/>
    </row>
    <row r="12319" spans="1:1" x14ac:dyDescent="0.25">
      <c r="A12319"/>
    </row>
    <row r="12320" spans="1:1" x14ac:dyDescent="0.25">
      <c r="A12320"/>
    </row>
    <row r="12321" spans="1:1" x14ac:dyDescent="0.25">
      <c r="A12321"/>
    </row>
    <row r="12322" spans="1:1" x14ac:dyDescent="0.25">
      <c r="A12322"/>
    </row>
    <row r="12323" spans="1:1" x14ac:dyDescent="0.25">
      <c r="A12323"/>
    </row>
    <row r="12324" spans="1:1" x14ac:dyDescent="0.25">
      <c r="A12324"/>
    </row>
    <row r="12325" spans="1:1" x14ac:dyDescent="0.25">
      <c r="A12325"/>
    </row>
    <row r="12326" spans="1:1" x14ac:dyDescent="0.25">
      <c r="A12326"/>
    </row>
    <row r="12327" spans="1:1" x14ac:dyDescent="0.25">
      <c r="A12327"/>
    </row>
    <row r="12328" spans="1:1" x14ac:dyDescent="0.25">
      <c r="A12328"/>
    </row>
    <row r="12329" spans="1:1" x14ac:dyDescent="0.25">
      <c r="A12329"/>
    </row>
    <row r="12330" spans="1:1" x14ac:dyDescent="0.25">
      <c r="A12330"/>
    </row>
    <row r="12331" spans="1:1" x14ac:dyDescent="0.25">
      <c r="A12331"/>
    </row>
    <row r="12332" spans="1:1" x14ac:dyDescent="0.25">
      <c r="A12332"/>
    </row>
    <row r="12333" spans="1:1" x14ac:dyDescent="0.25">
      <c r="A12333"/>
    </row>
    <row r="12334" spans="1:1" x14ac:dyDescent="0.25">
      <c r="A12334"/>
    </row>
    <row r="12335" spans="1:1" x14ac:dyDescent="0.25">
      <c r="A12335"/>
    </row>
    <row r="12336" spans="1:1" x14ac:dyDescent="0.25">
      <c r="A12336"/>
    </row>
    <row r="12337" spans="1:1" x14ac:dyDescent="0.25">
      <c r="A12337"/>
    </row>
    <row r="12338" spans="1:1" x14ac:dyDescent="0.25">
      <c r="A12338"/>
    </row>
    <row r="12339" spans="1:1" x14ac:dyDescent="0.25">
      <c r="A12339"/>
    </row>
    <row r="12340" spans="1:1" x14ac:dyDescent="0.25">
      <c r="A12340"/>
    </row>
    <row r="12341" spans="1:1" x14ac:dyDescent="0.25">
      <c r="A12341"/>
    </row>
    <row r="12342" spans="1:1" x14ac:dyDescent="0.25">
      <c r="A12342"/>
    </row>
    <row r="12343" spans="1:1" x14ac:dyDescent="0.25">
      <c r="A12343"/>
    </row>
    <row r="12344" spans="1:1" x14ac:dyDescent="0.25">
      <c r="A12344"/>
    </row>
    <row r="12345" spans="1:1" x14ac:dyDescent="0.25">
      <c r="A12345"/>
    </row>
    <row r="12346" spans="1:1" x14ac:dyDescent="0.25">
      <c r="A12346"/>
    </row>
    <row r="12347" spans="1:1" x14ac:dyDescent="0.25">
      <c r="A12347"/>
    </row>
    <row r="12348" spans="1:1" x14ac:dyDescent="0.25">
      <c r="A12348"/>
    </row>
    <row r="12349" spans="1:1" x14ac:dyDescent="0.25">
      <c r="A12349"/>
    </row>
    <row r="12350" spans="1:1" x14ac:dyDescent="0.25">
      <c r="A12350"/>
    </row>
    <row r="12351" spans="1:1" x14ac:dyDescent="0.25">
      <c r="A12351"/>
    </row>
    <row r="12352" spans="1:1" x14ac:dyDescent="0.25">
      <c r="A12352"/>
    </row>
    <row r="12353" spans="1:1" x14ac:dyDescent="0.25">
      <c r="A12353"/>
    </row>
    <row r="12354" spans="1:1" x14ac:dyDescent="0.25">
      <c r="A12354"/>
    </row>
    <row r="12355" spans="1:1" x14ac:dyDescent="0.25">
      <c r="A12355"/>
    </row>
    <row r="12356" spans="1:1" x14ac:dyDescent="0.25">
      <c r="A12356"/>
    </row>
    <row r="12357" spans="1:1" x14ac:dyDescent="0.25">
      <c r="A12357"/>
    </row>
    <row r="12358" spans="1:1" x14ac:dyDescent="0.25">
      <c r="A12358"/>
    </row>
    <row r="12359" spans="1:1" x14ac:dyDescent="0.25">
      <c r="A12359"/>
    </row>
    <row r="12360" spans="1:1" x14ac:dyDescent="0.25">
      <c r="A12360"/>
    </row>
    <row r="12361" spans="1:1" x14ac:dyDescent="0.25">
      <c r="A12361"/>
    </row>
    <row r="12362" spans="1:1" x14ac:dyDescent="0.25">
      <c r="A12362"/>
    </row>
    <row r="12363" spans="1:1" x14ac:dyDescent="0.25">
      <c r="A12363"/>
    </row>
    <row r="12364" spans="1:1" x14ac:dyDescent="0.25">
      <c r="A12364"/>
    </row>
    <row r="12365" spans="1:1" x14ac:dyDescent="0.25">
      <c r="A12365"/>
    </row>
    <row r="12366" spans="1:1" x14ac:dyDescent="0.25">
      <c r="A12366"/>
    </row>
    <row r="12367" spans="1:1" x14ac:dyDescent="0.25">
      <c r="A12367"/>
    </row>
    <row r="12368" spans="1:1" x14ac:dyDescent="0.25">
      <c r="A12368"/>
    </row>
    <row r="12369" spans="1:1" x14ac:dyDescent="0.25">
      <c r="A12369"/>
    </row>
    <row r="12370" spans="1:1" x14ac:dyDescent="0.25">
      <c r="A12370"/>
    </row>
    <row r="12371" spans="1:1" x14ac:dyDescent="0.25">
      <c r="A12371"/>
    </row>
    <row r="12372" spans="1:1" x14ac:dyDescent="0.25">
      <c r="A12372"/>
    </row>
    <row r="12373" spans="1:1" x14ac:dyDescent="0.25">
      <c r="A12373"/>
    </row>
    <row r="12374" spans="1:1" x14ac:dyDescent="0.25">
      <c r="A12374"/>
    </row>
    <row r="12375" spans="1:1" x14ac:dyDescent="0.25">
      <c r="A12375"/>
    </row>
    <row r="12376" spans="1:1" x14ac:dyDescent="0.25">
      <c r="A12376"/>
    </row>
    <row r="12377" spans="1:1" x14ac:dyDescent="0.25">
      <c r="A12377"/>
    </row>
    <row r="12378" spans="1:1" x14ac:dyDescent="0.25">
      <c r="A12378"/>
    </row>
    <row r="12379" spans="1:1" x14ac:dyDescent="0.25">
      <c r="A12379"/>
    </row>
    <row r="12380" spans="1:1" x14ac:dyDescent="0.25">
      <c r="A12380"/>
    </row>
    <row r="12381" spans="1:1" x14ac:dyDescent="0.25">
      <c r="A12381"/>
    </row>
    <row r="12382" spans="1:1" x14ac:dyDescent="0.25">
      <c r="A12382"/>
    </row>
    <row r="12383" spans="1:1" x14ac:dyDescent="0.25">
      <c r="A12383"/>
    </row>
    <row r="12384" spans="1:1" x14ac:dyDescent="0.25">
      <c r="A12384"/>
    </row>
    <row r="12385" spans="1:1" x14ac:dyDescent="0.25">
      <c r="A12385"/>
    </row>
    <row r="12386" spans="1:1" x14ac:dyDescent="0.25">
      <c r="A12386"/>
    </row>
    <row r="12387" spans="1:1" x14ac:dyDescent="0.25">
      <c r="A12387"/>
    </row>
    <row r="12388" spans="1:1" x14ac:dyDescent="0.25">
      <c r="A12388"/>
    </row>
    <row r="12389" spans="1:1" x14ac:dyDescent="0.25">
      <c r="A12389"/>
    </row>
    <row r="12390" spans="1:1" x14ac:dyDescent="0.25">
      <c r="A12390"/>
    </row>
    <row r="12391" spans="1:1" x14ac:dyDescent="0.25">
      <c r="A12391"/>
    </row>
    <row r="12392" spans="1:1" x14ac:dyDescent="0.25">
      <c r="A12392"/>
    </row>
    <row r="12393" spans="1:1" x14ac:dyDescent="0.25">
      <c r="A12393"/>
    </row>
    <row r="12394" spans="1:1" x14ac:dyDescent="0.25">
      <c r="A12394"/>
    </row>
    <row r="12395" spans="1:1" x14ac:dyDescent="0.25">
      <c r="A12395"/>
    </row>
    <row r="12396" spans="1:1" x14ac:dyDescent="0.25">
      <c r="A12396"/>
    </row>
    <row r="12397" spans="1:1" x14ac:dyDescent="0.25">
      <c r="A12397"/>
    </row>
    <row r="12398" spans="1:1" x14ac:dyDescent="0.25">
      <c r="A12398"/>
    </row>
    <row r="12399" spans="1:1" x14ac:dyDescent="0.25">
      <c r="A12399"/>
    </row>
    <row r="12400" spans="1:1" x14ac:dyDescent="0.25">
      <c r="A12400"/>
    </row>
    <row r="12401" spans="1:1" x14ac:dyDescent="0.25">
      <c r="A12401"/>
    </row>
    <row r="12402" spans="1:1" x14ac:dyDescent="0.25">
      <c r="A12402"/>
    </row>
    <row r="12403" spans="1:1" x14ac:dyDescent="0.25">
      <c r="A12403"/>
    </row>
    <row r="12404" spans="1:1" x14ac:dyDescent="0.25">
      <c r="A12404"/>
    </row>
    <row r="12405" spans="1:1" x14ac:dyDescent="0.25">
      <c r="A12405"/>
    </row>
    <row r="12406" spans="1:1" x14ac:dyDescent="0.25">
      <c r="A12406"/>
    </row>
    <row r="12407" spans="1:1" x14ac:dyDescent="0.25">
      <c r="A12407"/>
    </row>
    <row r="12408" spans="1:1" x14ac:dyDescent="0.25">
      <c r="A12408"/>
    </row>
    <row r="12409" spans="1:1" x14ac:dyDescent="0.25">
      <c r="A12409"/>
    </row>
    <row r="12410" spans="1:1" x14ac:dyDescent="0.25">
      <c r="A12410"/>
    </row>
    <row r="12411" spans="1:1" x14ac:dyDescent="0.25">
      <c r="A12411"/>
    </row>
    <row r="12412" spans="1:1" x14ac:dyDescent="0.25">
      <c r="A12412"/>
    </row>
    <row r="12413" spans="1:1" x14ac:dyDescent="0.25">
      <c r="A12413"/>
    </row>
    <row r="12414" spans="1:1" x14ac:dyDescent="0.25">
      <c r="A12414"/>
    </row>
    <row r="12415" spans="1:1" x14ac:dyDescent="0.25">
      <c r="A12415"/>
    </row>
    <row r="12416" spans="1:1" x14ac:dyDescent="0.25">
      <c r="A12416"/>
    </row>
    <row r="12417" spans="1:1" x14ac:dyDescent="0.25">
      <c r="A12417"/>
    </row>
    <row r="12418" spans="1:1" x14ac:dyDescent="0.25">
      <c r="A12418"/>
    </row>
    <row r="12419" spans="1:1" x14ac:dyDescent="0.25">
      <c r="A12419"/>
    </row>
    <row r="12420" spans="1:1" x14ac:dyDescent="0.25">
      <c r="A12420"/>
    </row>
    <row r="12421" spans="1:1" x14ac:dyDescent="0.25">
      <c r="A12421"/>
    </row>
    <row r="12422" spans="1:1" x14ac:dyDescent="0.25">
      <c r="A12422"/>
    </row>
    <row r="12423" spans="1:1" x14ac:dyDescent="0.25">
      <c r="A12423"/>
    </row>
    <row r="12424" spans="1:1" x14ac:dyDescent="0.25">
      <c r="A12424"/>
    </row>
    <row r="12425" spans="1:1" x14ac:dyDescent="0.25">
      <c r="A12425"/>
    </row>
    <row r="12426" spans="1:1" x14ac:dyDescent="0.25">
      <c r="A12426"/>
    </row>
    <row r="12427" spans="1:1" x14ac:dyDescent="0.25">
      <c r="A12427"/>
    </row>
    <row r="12428" spans="1:1" x14ac:dyDescent="0.25">
      <c r="A12428"/>
    </row>
    <row r="12429" spans="1:1" x14ac:dyDescent="0.25">
      <c r="A12429"/>
    </row>
    <row r="12430" spans="1:1" x14ac:dyDescent="0.25">
      <c r="A12430"/>
    </row>
    <row r="12431" spans="1:1" x14ac:dyDescent="0.25">
      <c r="A12431"/>
    </row>
    <row r="12432" spans="1:1" x14ac:dyDescent="0.25">
      <c r="A12432"/>
    </row>
    <row r="12433" spans="1:1" x14ac:dyDescent="0.25">
      <c r="A12433"/>
    </row>
    <row r="12434" spans="1:1" x14ac:dyDescent="0.25">
      <c r="A12434"/>
    </row>
    <row r="12435" spans="1:1" x14ac:dyDescent="0.25">
      <c r="A12435"/>
    </row>
    <row r="12436" spans="1:1" x14ac:dyDescent="0.25">
      <c r="A12436"/>
    </row>
    <row r="12437" spans="1:1" x14ac:dyDescent="0.25">
      <c r="A12437"/>
    </row>
    <row r="12438" spans="1:1" x14ac:dyDescent="0.25">
      <c r="A12438"/>
    </row>
    <row r="12439" spans="1:1" x14ac:dyDescent="0.25">
      <c r="A12439"/>
    </row>
    <row r="12440" spans="1:1" x14ac:dyDescent="0.25">
      <c r="A12440"/>
    </row>
    <row r="12441" spans="1:1" x14ac:dyDescent="0.25">
      <c r="A12441"/>
    </row>
    <row r="12442" spans="1:1" x14ac:dyDescent="0.25">
      <c r="A12442"/>
    </row>
    <row r="12443" spans="1:1" x14ac:dyDescent="0.25">
      <c r="A12443"/>
    </row>
    <row r="12444" spans="1:1" x14ac:dyDescent="0.25">
      <c r="A12444"/>
    </row>
    <row r="12445" spans="1:1" x14ac:dyDescent="0.25">
      <c r="A12445"/>
    </row>
    <row r="12446" spans="1:1" x14ac:dyDescent="0.25">
      <c r="A12446"/>
    </row>
    <row r="12447" spans="1:1" x14ac:dyDescent="0.25">
      <c r="A12447"/>
    </row>
    <row r="12448" spans="1:1" x14ac:dyDescent="0.25">
      <c r="A12448"/>
    </row>
    <row r="12449" spans="1:1" x14ac:dyDescent="0.25">
      <c r="A12449"/>
    </row>
    <row r="12450" spans="1:1" x14ac:dyDescent="0.25">
      <c r="A12450"/>
    </row>
    <row r="12451" spans="1:1" x14ac:dyDescent="0.25">
      <c r="A12451"/>
    </row>
    <row r="12452" spans="1:1" x14ac:dyDescent="0.25">
      <c r="A12452"/>
    </row>
    <row r="12453" spans="1:1" x14ac:dyDescent="0.25">
      <c r="A12453"/>
    </row>
    <row r="12454" spans="1:1" x14ac:dyDescent="0.25">
      <c r="A12454"/>
    </row>
    <row r="12455" spans="1:1" x14ac:dyDescent="0.25">
      <c r="A12455"/>
    </row>
    <row r="12456" spans="1:1" x14ac:dyDescent="0.25">
      <c r="A12456"/>
    </row>
    <row r="12457" spans="1:1" x14ac:dyDescent="0.25">
      <c r="A12457"/>
    </row>
    <row r="12458" spans="1:1" x14ac:dyDescent="0.25">
      <c r="A12458"/>
    </row>
    <row r="12459" spans="1:1" x14ac:dyDescent="0.25">
      <c r="A12459"/>
    </row>
    <row r="12460" spans="1:1" x14ac:dyDescent="0.25">
      <c r="A12460"/>
    </row>
    <row r="12461" spans="1:1" x14ac:dyDescent="0.25">
      <c r="A12461"/>
    </row>
    <row r="12462" spans="1:1" x14ac:dyDescent="0.25">
      <c r="A12462"/>
    </row>
    <row r="12463" spans="1:1" x14ac:dyDescent="0.25">
      <c r="A12463"/>
    </row>
    <row r="12464" spans="1:1" x14ac:dyDescent="0.25">
      <c r="A12464"/>
    </row>
    <row r="12465" spans="1:1" x14ac:dyDescent="0.25">
      <c r="A12465"/>
    </row>
    <row r="12466" spans="1:1" x14ac:dyDescent="0.25">
      <c r="A12466"/>
    </row>
    <row r="12467" spans="1:1" x14ac:dyDescent="0.25">
      <c r="A12467"/>
    </row>
    <row r="12468" spans="1:1" x14ac:dyDescent="0.25">
      <c r="A12468"/>
    </row>
    <row r="12469" spans="1:1" x14ac:dyDescent="0.25">
      <c r="A12469"/>
    </row>
    <row r="12470" spans="1:1" x14ac:dyDescent="0.25">
      <c r="A12470"/>
    </row>
    <row r="12471" spans="1:1" x14ac:dyDescent="0.25">
      <c r="A12471"/>
    </row>
    <row r="12472" spans="1:1" x14ac:dyDescent="0.25">
      <c r="A12472"/>
    </row>
    <row r="12473" spans="1:1" x14ac:dyDescent="0.25">
      <c r="A12473"/>
    </row>
    <row r="12474" spans="1:1" x14ac:dyDescent="0.25">
      <c r="A12474"/>
    </row>
    <row r="12475" spans="1:1" x14ac:dyDescent="0.25">
      <c r="A12475"/>
    </row>
    <row r="12476" spans="1:1" x14ac:dyDescent="0.25">
      <c r="A12476"/>
    </row>
    <row r="12477" spans="1:1" x14ac:dyDescent="0.25">
      <c r="A12477"/>
    </row>
    <row r="12478" spans="1:1" x14ac:dyDescent="0.25">
      <c r="A12478"/>
    </row>
    <row r="12479" spans="1:1" x14ac:dyDescent="0.25">
      <c r="A12479"/>
    </row>
    <row r="12480" spans="1:1" x14ac:dyDescent="0.25">
      <c r="A12480"/>
    </row>
    <row r="12481" spans="1:1" x14ac:dyDescent="0.25">
      <c r="A12481"/>
    </row>
    <row r="12482" spans="1:1" x14ac:dyDescent="0.25">
      <c r="A12482"/>
    </row>
    <row r="12483" spans="1:1" x14ac:dyDescent="0.25">
      <c r="A12483"/>
    </row>
    <row r="12484" spans="1:1" x14ac:dyDescent="0.25">
      <c r="A12484"/>
    </row>
    <row r="12485" spans="1:1" x14ac:dyDescent="0.25">
      <c r="A12485"/>
    </row>
    <row r="12486" spans="1:1" x14ac:dyDescent="0.25">
      <c r="A12486"/>
    </row>
    <row r="12487" spans="1:1" x14ac:dyDescent="0.25">
      <c r="A12487"/>
    </row>
    <row r="12488" spans="1:1" x14ac:dyDescent="0.25">
      <c r="A12488"/>
    </row>
    <row r="12489" spans="1:1" x14ac:dyDescent="0.25">
      <c r="A12489"/>
    </row>
    <row r="12490" spans="1:1" x14ac:dyDescent="0.25">
      <c r="A12490"/>
    </row>
    <row r="12491" spans="1:1" x14ac:dyDescent="0.25">
      <c r="A12491"/>
    </row>
    <row r="12492" spans="1:1" x14ac:dyDescent="0.25">
      <c r="A12492"/>
    </row>
    <row r="12493" spans="1:1" x14ac:dyDescent="0.25">
      <c r="A12493"/>
    </row>
    <row r="12494" spans="1:1" x14ac:dyDescent="0.25">
      <c r="A12494"/>
    </row>
    <row r="12495" spans="1:1" x14ac:dyDescent="0.25">
      <c r="A12495"/>
    </row>
    <row r="12496" spans="1:1" x14ac:dyDescent="0.25">
      <c r="A12496"/>
    </row>
    <row r="12497" spans="1:1" x14ac:dyDescent="0.25">
      <c r="A12497"/>
    </row>
    <row r="12498" spans="1:1" x14ac:dyDescent="0.25">
      <c r="A12498"/>
    </row>
    <row r="12499" spans="1:1" x14ac:dyDescent="0.25">
      <c r="A12499"/>
    </row>
    <row r="12500" spans="1:1" x14ac:dyDescent="0.25">
      <c r="A12500"/>
    </row>
    <row r="12501" spans="1:1" x14ac:dyDescent="0.25">
      <c r="A12501"/>
    </row>
    <row r="12502" spans="1:1" x14ac:dyDescent="0.25">
      <c r="A12502"/>
    </row>
    <row r="12503" spans="1:1" x14ac:dyDescent="0.25">
      <c r="A12503"/>
    </row>
    <row r="12504" spans="1:1" x14ac:dyDescent="0.25">
      <c r="A12504"/>
    </row>
    <row r="12505" spans="1:1" x14ac:dyDescent="0.25">
      <c r="A12505"/>
    </row>
    <row r="12506" spans="1:1" x14ac:dyDescent="0.25">
      <c r="A12506"/>
    </row>
    <row r="12507" spans="1:1" x14ac:dyDescent="0.25">
      <c r="A12507"/>
    </row>
    <row r="12508" spans="1:1" x14ac:dyDescent="0.25">
      <c r="A12508"/>
    </row>
    <row r="12509" spans="1:1" x14ac:dyDescent="0.25">
      <c r="A12509"/>
    </row>
    <row r="12510" spans="1:1" x14ac:dyDescent="0.25">
      <c r="A12510"/>
    </row>
    <row r="12511" spans="1:1" x14ac:dyDescent="0.25">
      <c r="A12511"/>
    </row>
    <row r="12512" spans="1:1" x14ac:dyDescent="0.25">
      <c r="A12512"/>
    </row>
    <row r="12513" spans="1:1" x14ac:dyDescent="0.25">
      <c r="A12513"/>
    </row>
    <row r="12514" spans="1:1" x14ac:dyDescent="0.25">
      <c r="A12514"/>
    </row>
    <row r="12515" spans="1:1" x14ac:dyDescent="0.25">
      <c r="A12515"/>
    </row>
    <row r="12516" spans="1:1" x14ac:dyDescent="0.25">
      <c r="A12516"/>
    </row>
    <row r="12517" spans="1:1" x14ac:dyDescent="0.25">
      <c r="A12517"/>
    </row>
    <row r="12518" spans="1:1" x14ac:dyDescent="0.25">
      <c r="A12518"/>
    </row>
    <row r="12519" spans="1:1" x14ac:dyDescent="0.25">
      <c r="A12519"/>
    </row>
    <row r="12520" spans="1:1" x14ac:dyDescent="0.25">
      <c r="A12520"/>
    </row>
    <row r="12521" spans="1:1" x14ac:dyDescent="0.25">
      <c r="A12521"/>
    </row>
    <row r="12522" spans="1:1" x14ac:dyDescent="0.25">
      <c r="A12522"/>
    </row>
    <row r="12523" spans="1:1" x14ac:dyDescent="0.25">
      <c r="A12523"/>
    </row>
    <row r="12524" spans="1:1" x14ac:dyDescent="0.25">
      <c r="A12524"/>
    </row>
    <row r="12525" spans="1:1" x14ac:dyDescent="0.25">
      <c r="A12525"/>
    </row>
    <row r="12526" spans="1:1" x14ac:dyDescent="0.25">
      <c r="A12526"/>
    </row>
    <row r="12527" spans="1:1" x14ac:dyDescent="0.25">
      <c r="A12527"/>
    </row>
    <row r="12528" spans="1:1" x14ac:dyDescent="0.25">
      <c r="A12528"/>
    </row>
    <row r="12529" spans="1:1" x14ac:dyDescent="0.25">
      <c r="A12529"/>
    </row>
    <row r="12530" spans="1:1" x14ac:dyDescent="0.25">
      <c r="A12530"/>
    </row>
    <row r="12531" spans="1:1" x14ac:dyDescent="0.25">
      <c r="A12531"/>
    </row>
    <row r="12532" spans="1:1" x14ac:dyDescent="0.25">
      <c r="A12532"/>
    </row>
    <row r="12533" spans="1:1" x14ac:dyDescent="0.25">
      <c r="A12533"/>
    </row>
    <row r="12534" spans="1:1" x14ac:dyDescent="0.25">
      <c r="A12534"/>
    </row>
    <row r="12535" spans="1:1" x14ac:dyDescent="0.25">
      <c r="A12535"/>
    </row>
    <row r="12536" spans="1:1" x14ac:dyDescent="0.25">
      <c r="A12536"/>
    </row>
    <row r="12537" spans="1:1" x14ac:dyDescent="0.25">
      <c r="A12537"/>
    </row>
    <row r="12538" spans="1:1" x14ac:dyDescent="0.25">
      <c r="A12538"/>
    </row>
    <row r="12539" spans="1:1" x14ac:dyDescent="0.25">
      <c r="A12539"/>
    </row>
    <row r="12540" spans="1:1" x14ac:dyDescent="0.25">
      <c r="A12540"/>
    </row>
    <row r="12541" spans="1:1" x14ac:dyDescent="0.25">
      <c r="A12541"/>
    </row>
    <row r="12542" spans="1:1" x14ac:dyDescent="0.25">
      <c r="A12542"/>
    </row>
    <row r="12543" spans="1:1" x14ac:dyDescent="0.25">
      <c r="A12543"/>
    </row>
    <row r="12544" spans="1:1" x14ac:dyDescent="0.25">
      <c r="A12544"/>
    </row>
    <row r="12545" spans="1:1" x14ac:dyDescent="0.25">
      <c r="A12545"/>
    </row>
    <row r="12546" spans="1:1" x14ac:dyDescent="0.25">
      <c r="A12546"/>
    </row>
    <row r="12547" spans="1:1" x14ac:dyDescent="0.25">
      <c r="A12547"/>
    </row>
    <row r="12548" spans="1:1" x14ac:dyDescent="0.25">
      <c r="A12548"/>
    </row>
    <row r="12549" spans="1:1" x14ac:dyDescent="0.25">
      <c r="A12549"/>
    </row>
    <row r="12550" spans="1:1" x14ac:dyDescent="0.25">
      <c r="A12550"/>
    </row>
    <row r="12551" spans="1:1" x14ac:dyDescent="0.25">
      <c r="A12551"/>
    </row>
    <row r="12552" spans="1:1" x14ac:dyDescent="0.25">
      <c r="A12552"/>
    </row>
    <row r="12553" spans="1:1" x14ac:dyDescent="0.25">
      <c r="A12553"/>
    </row>
    <row r="12554" spans="1:1" x14ac:dyDescent="0.25">
      <c r="A12554"/>
    </row>
    <row r="12555" spans="1:1" x14ac:dyDescent="0.25">
      <c r="A12555"/>
    </row>
    <row r="12556" spans="1:1" x14ac:dyDescent="0.25">
      <c r="A12556"/>
    </row>
    <row r="12557" spans="1:1" x14ac:dyDescent="0.25">
      <c r="A12557"/>
    </row>
    <row r="12558" spans="1:1" x14ac:dyDescent="0.25">
      <c r="A12558"/>
    </row>
    <row r="12559" spans="1:1" x14ac:dyDescent="0.25">
      <c r="A12559"/>
    </row>
    <row r="12560" spans="1:1" x14ac:dyDescent="0.25">
      <c r="A12560"/>
    </row>
    <row r="12561" spans="1:1" x14ac:dyDescent="0.25">
      <c r="A12561"/>
    </row>
    <row r="12562" spans="1:1" x14ac:dyDescent="0.25">
      <c r="A12562"/>
    </row>
    <row r="12563" spans="1:1" x14ac:dyDescent="0.25">
      <c r="A12563"/>
    </row>
    <row r="12564" spans="1:1" x14ac:dyDescent="0.25">
      <c r="A12564"/>
    </row>
    <row r="12565" spans="1:1" x14ac:dyDescent="0.25">
      <c r="A12565"/>
    </row>
    <row r="12566" spans="1:1" x14ac:dyDescent="0.25">
      <c r="A12566"/>
    </row>
    <row r="12567" spans="1:1" x14ac:dyDescent="0.25">
      <c r="A12567"/>
    </row>
    <row r="12568" spans="1:1" x14ac:dyDescent="0.25">
      <c r="A12568"/>
    </row>
    <row r="12569" spans="1:1" x14ac:dyDescent="0.25">
      <c r="A12569"/>
    </row>
    <row r="12570" spans="1:1" x14ac:dyDescent="0.25">
      <c r="A12570"/>
    </row>
    <row r="12571" spans="1:1" x14ac:dyDescent="0.25">
      <c r="A12571"/>
    </row>
    <row r="12572" spans="1:1" x14ac:dyDescent="0.25">
      <c r="A12572"/>
    </row>
    <row r="12573" spans="1:1" x14ac:dyDescent="0.25">
      <c r="A12573"/>
    </row>
    <row r="12574" spans="1:1" x14ac:dyDescent="0.25">
      <c r="A12574"/>
    </row>
    <row r="12575" spans="1:1" x14ac:dyDescent="0.25">
      <c r="A12575"/>
    </row>
    <row r="12576" spans="1:1" x14ac:dyDescent="0.25">
      <c r="A12576"/>
    </row>
    <row r="12577" spans="1:1" x14ac:dyDescent="0.25">
      <c r="A12577"/>
    </row>
    <row r="12578" spans="1:1" x14ac:dyDescent="0.25">
      <c r="A12578"/>
    </row>
    <row r="12579" spans="1:1" x14ac:dyDescent="0.25">
      <c r="A12579"/>
    </row>
    <row r="12580" spans="1:1" x14ac:dyDescent="0.25">
      <c r="A12580"/>
    </row>
    <row r="12581" spans="1:1" x14ac:dyDescent="0.25">
      <c r="A12581"/>
    </row>
    <row r="12582" spans="1:1" x14ac:dyDescent="0.25">
      <c r="A12582"/>
    </row>
    <row r="12583" spans="1:1" x14ac:dyDescent="0.25">
      <c r="A12583"/>
    </row>
    <row r="12584" spans="1:1" x14ac:dyDescent="0.25">
      <c r="A12584"/>
    </row>
    <row r="12585" spans="1:1" x14ac:dyDescent="0.25">
      <c r="A12585"/>
    </row>
    <row r="12586" spans="1:1" x14ac:dyDescent="0.25">
      <c r="A12586"/>
    </row>
    <row r="12587" spans="1:1" x14ac:dyDescent="0.25">
      <c r="A12587"/>
    </row>
    <row r="12588" spans="1:1" x14ac:dyDescent="0.25">
      <c r="A12588"/>
    </row>
    <row r="12589" spans="1:1" x14ac:dyDescent="0.25">
      <c r="A12589"/>
    </row>
    <row r="12590" spans="1:1" x14ac:dyDescent="0.25">
      <c r="A12590"/>
    </row>
    <row r="12591" spans="1:1" x14ac:dyDescent="0.25">
      <c r="A12591"/>
    </row>
    <row r="12592" spans="1:1" x14ac:dyDescent="0.25">
      <c r="A12592"/>
    </row>
    <row r="12593" spans="1:1" x14ac:dyDescent="0.25">
      <c r="A12593"/>
    </row>
    <row r="12594" spans="1:1" x14ac:dyDescent="0.25">
      <c r="A12594"/>
    </row>
    <row r="12595" spans="1:1" x14ac:dyDescent="0.25">
      <c r="A12595"/>
    </row>
    <row r="12596" spans="1:1" x14ac:dyDescent="0.25">
      <c r="A12596"/>
    </row>
    <row r="12597" spans="1:1" x14ac:dyDescent="0.25">
      <c r="A12597"/>
    </row>
    <row r="12598" spans="1:1" x14ac:dyDescent="0.25">
      <c r="A12598"/>
    </row>
    <row r="12599" spans="1:1" x14ac:dyDescent="0.25">
      <c r="A12599"/>
    </row>
    <row r="12600" spans="1:1" x14ac:dyDescent="0.25">
      <c r="A12600"/>
    </row>
    <row r="12601" spans="1:1" x14ac:dyDescent="0.25">
      <c r="A12601"/>
    </row>
    <row r="12602" spans="1:1" x14ac:dyDescent="0.25">
      <c r="A12602"/>
    </row>
    <row r="12603" spans="1:1" x14ac:dyDescent="0.25">
      <c r="A12603"/>
    </row>
    <row r="12604" spans="1:1" x14ac:dyDescent="0.25">
      <c r="A12604"/>
    </row>
    <row r="12605" spans="1:1" x14ac:dyDescent="0.25">
      <c r="A12605"/>
    </row>
    <row r="12606" spans="1:1" x14ac:dyDescent="0.25">
      <c r="A12606"/>
    </row>
    <row r="12607" spans="1:1" x14ac:dyDescent="0.25">
      <c r="A12607"/>
    </row>
    <row r="12608" spans="1:1" x14ac:dyDescent="0.25">
      <c r="A12608"/>
    </row>
    <row r="12609" spans="1:1" x14ac:dyDescent="0.25">
      <c r="A12609"/>
    </row>
    <row r="12610" spans="1:1" x14ac:dyDescent="0.25">
      <c r="A12610"/>
    </row>
    <row r="12611" spans="1:1" x14ac:dyDescent="0.25">
      <c r="A12611"/>
    </row>
    <row r="12612" spans="1:1" x14ac:dyDescent="0.25">
      <c r="A12612"/>
    </row>
    <row r="12613" spans="1:1" x14ac:dyDescent="0.25">
      <c r="A12613"/>
    </row>
    <row r="12614" spans="1:1" x14ac:dyDescent="0.25">
      <c r="A12614"/>
    </row>
    <row r="12615" spans="1:1" x14ac:dyDescent="0.25">
      <c r="A12615"/>
    </row>
    <row r="12616" spans="1:1" x14ac:dyDescent="0.25">
      <c r="A12616"/>
    </row>
    <row r="12617" spans="1:1" x14ac:dyDescent="0.25">
      <c r="A12617"/>
    </row>
    <row r="12618" spans="1:1" x14ac:dyDescent="0.25">
      <c r="A12618"/>
    </row>
    <row r="12619" spans="1:1" x14ac:dyDescent="0.25">
      <c r="A12619"/>
    </row>
    <row r="12620" spans="1:1" x14ac:dyDescent="0.25">
      <c r="A12620"/>
    </row>
    <row r="12621" spans="1:1" x14ac:dyDescent="0.25">
      <c r="A12621"/>
    </row>
    <row r="12622" spans="1:1" x14ac:dyDescent="0.25">
      <c r="A12622"/>
    </row>
    <row r="12623" spans="1:1" x14ac:dyDescent="0.25">
      <c r="A12623"/>
    </row>
    <row r="12624" spans="1:1" x14ac:dyDescent="0.25">
      <c r="A12624"/>
    </row>
    <row r="12625" spans="1:1" x14ac:dyDescent="0.25">
      <c r="A12625"/>
    </row>
    <row r="12626" spans="1:1" x14ac:dyDescent="0.25">
      <c r="A12626"/>
    </row>
    <row r="12627" spans="1:1" x14ac:dyDescent="0.25">
      <c r="A12627"/>
    </row>
    <row r="12628" spans="1:1" x14ac:dyDescent="0.25">
      <c r="A12628"/>
    </row>
    <row r="12629" spans="1:1" x14ac:dyDescent="0.25">
      <c r="A12629"/>
    </row>
    <row r="12630" spans="1:1" x14ac:dyDescent="0.25">
      <c r="A12630"/>
    </row>
    <row r="12631" spans="1:1" x14ac:dyDescent="0.25">
      <c r="A12631"/>
    </row>
    <row r="12632" spans="1:1" x14ac:dyDescent="0.25">
      <c r="A12632"/>
    </row>
    <row r="12633" spans="1:1" x14ac:dyDescent="0.25">
      <c r="A12633"/>
    </row>
    <row r="12634" spans="1:1" x14ac:dyDescent="0.25">
      <c r="A12634"/>
    </row>
    <row r="12635" spans="1:1" x14ac:dyDescent="0.25">
      <c r="A12635"/>
    </row>
    <row r="12636" spans="1:1" x14ac:dyDescent="0.25">
      <c r="A12636"/>
    </row>
    <row r="12637" spans="1:1" x14ac:dyDescent="0.25">
      <c r="A12637"/>
    </row>
    <row r="12638" spans="1:1" x14ac:dyDescent="0.25">
      <c r="A12638"/>
    </row>
    <row r="12639" spans="1:1" x14ac:dyDescent="0.25">
      <c r="A12639"/>
    </row>
    <row r="12640" spans="1:1" x14ac:dyDescent="0.25">
      <c r="A12640"/>
    </row>
    <row r="12641" spans="1:1" x14ac:dyDescent="0.25">
      <c r="A12641"/>
    </row>
    <row r="12642" spans="1:1" x14ac:dyDescent="0.25">
      <c r="A12642"/>
    </row>
    <row r="12643" spans="1:1" x14ac:dyDescent="0.25">
      <c r="A12643"/>
    </row>
    <row r="12644" spans="1:1" x14ac:dyDescent="0.25">
      <c r="A12644"/>
    </row>
    <row r="12645" spans="1:1" x14ac:dyDescent="0.25">
      <c r="A12645"/>
    </row>
    <row r="12646" spans="1:1" x14ac:dyDescent="0.25">
      <c r="A12646"/>
    </row>
    <row r="12647" spans="1:1" x14ac:dyDescent="0.25">
      <c r="A12647"/>
    </row>
    <row r="12648" spans="1:1" x14ac:dyDescent="0.25">
      <c r="A12648"/>
    </row>
    <row r="12649" spans="1:1" x14ac:dyDescent="0.25">
      <c r="A12649"/>
    </row>
    <row r="12650" spans="1:1" x14ac:dyDescent="0.25">
      <c r="A12650"/>
    </row>
    <row r="12651" spans="1:1" x14ac:dyDescent="0.25">
      <c r="A12651"/>
    </row>
    <row r="12652" spans="1:1" x14ac:dyDescent="0.25">
      <c r="A12652"/>
    </row>
    <row r="12653" spans="1:1" x14ac:dyDescent="0.25">
      <c r="A12653"/>
    </row>
    <row r="12654" spans="1:1" x14ac:dyDescent="0.25">
      <c r="A12654"/>
    </row>
    <row r="12655" spans="1:1" x14ac:dyDescent="0.25">
      <c r="A12655"/>
    </row>
    <row r="12656" spans="1:1" x14ac:dyDescent="0.25">
      <c r="A12656"/>
    </row>
    <row r="12657" spans="1:1" x14ac:dyDescent="0.25">
      <c r="A12657"/>
    </row>
    <row r="12658" spans="1:1" x14ac:dyDescent="0.25">
      <c r="A12658"/>
    </row>
    <row r="12659" spans="1:1" x14ac:dyDescent="0.25">
      <c r="A12659"/>
    </row>
    <row r="12660" spans="1:1" x14ac:dyDescent="0.25">
      <c r="A12660"/>
    </row>
    <row r="12661" spans="1:1" x14ac:dyDescent="0.25">
      <c r="A12661"/>
    </row>
    <row r="12662" spans="1:1" x14ac:dyDescent="0.25">
      <c r="A12662"/>
    </row>
    <row r="12663" spans="1:1" x14ac:dyDescent="0.25">
      <c r="A12663"/>
    </row>
    <row r="12664" spans="1:1" x14ac:dyDescent="0.25">
      <c r="A12664"/>
    </row>
    <row r="12665" spans="1:1" x14ac:dyDescent="0.25">
      <c r="A12665"/>
    </row>
    <row r="12666" spans="1:1" x14ac:dyDescent="0.25">
      <c r="A12666"/>
    </row>
    <row r="12667" spans="1:1" x14ac:dyDescent="0.25">
      <c r="A12667"/>
    </row>
    <row r="12668" spans="1:1" x14ac:dyDescent="0.25">
      <c r="A12668"/>
    </row>
    <row r="12669" spans="1:1" x14ac:dyDescent="0.25">
      <c r="A12669"/>
    </row>
    <row r="12670" spans="1:1" x14ac:dyDescent="0.25">
      <c r="A12670"/>
    </row>
    <row r="12671" spans="1:1" x14ac:dyDescent="0.25">
      <c r="A12671"/>
    </row>
    <row r="12672" spans="1:1" x14ac:dyDescent="0.25">
      <c r="A12672"/>
    </row>
    <row r="12673" spans="1:1" x14ac:dyDescent="0.25">
      <c r="A12673"/>
    </row>
    <row r="12674" spans="1:1" x14ac:dyDescent="0.25">
      <c r="A12674"/>
    </row>
    <row r="12675" spans="1:1" x14ac:dyDescent="0.25">
      <c r="A12675"/>
    </row>
    <row r="12676" spans="1:1" x14ac:dyDescent="0.25">
      <c r="A12676"/>
    </row>
    <row r="12677" spans="1:1" x14ac:dyDescent="0.25">
      <c r="A12677"/>
    </row>
    <row r="12678" spans="1:1" x14ac:dyDescent="0.25">
      <c r="A12678"/>
    </row>
    <row r="12679" spans="1:1" x14ac:dyDescent="0.25">
      <c r="A12679"/>
    </row>
    <row r="12680" spans="1:1" x14ac:dyDescent="0.25">
      <c r="A12680"/>
    </row>
    <row r="12681" spans="1:1" x14ac:dyDescent="0.25">
      <c r="A12681"/>
    </row>
    <row r="12682" spans="1:1" x14ac:dyDescent="0.25">
      <c r="A12682"/>
    </row>
    <row r="12683" spans="1:1" x14ac:dyDescent="0.25">
      <c r="A12683"/>
    </row>
    <row r="12684" spans="1:1" x14ac:dyDescent="0.25">
      <c r="A12684"/>
    </row>
    <row r="12685" spans="1:1" x14ac:dyDescent="0.25">
      <c r="A12685"/>
    </row>
    <row r="12686" spans="1:1" x14ac:dyDescent="0.25">
      <c r="A12686"/>
    </row>
    <row r="12687" spans="1:1" x14ac:dyDescent="0.25">
      <c r="A12687"/>
    </row>
    <row r="12688" spans="1:1" x14ac:dyDescent="0.25">
      <c r="A12688"/>
    </row>
    <row r="12689" spans="1:1" x14ac:dyDescent="0.25">
      <c r="A12689"/>
    </row>
    <row r="12690" spans="1:1" x14ac:dyDescent="0.25">
      <c r="A12690"/>
    </row>
    <row r="12691" spans="1:1" x14ac:dyDescent="0.25">
      <c r="A12691"/>
    </row>
    <row r="12692" spans="1:1" x14ac:dyDescent="0.25">
      <c r="A12692"/>
    </row>
    <row r="12693" spans="1:1" x14ac:dyDescent="0.25">
      <c r="A12693"/>
    </row>
    <row r="12694" spans="1:1" x14ac:dyDescent="0.25">
      <c r="A12694"/>
    </row>
    <row r="12695" spans="1:1" x14ac:dyDescent="0.25">
      <c r="A12695"/>
    </row>
    <row r="12696" spans="1:1" x14ac:dyDescent="0.25">
      <c r="A12696"/>
    </row>
    <row r="12697" spans="1:1" x14ac:dyDescent="0.25">
      <c r="A12697"/>
    </row>
    <row r="12698" spans="1:1" x14ac:dyDescent="0.25">
      <c r="A12698"/>
    </row>
    <row r="12699" spans="1:1" x14ac:dyDescent="0.25">
      <c r="A12699"/>
    </row>
    <row r="12700" spans="1:1" x14ac:dyDescent="0.25">
      <c r="A12700"/>
    </row>
    <row r="12701" spans="1:1" x14ac:dyDescent="0.25">
      <c r="A12701"/>
    </row>
    <row r="12702" spans="1:1" x14ac:dyDescent="0.25">
      <c r="A12702"/>
    </row>
    <row r="12703" spans="1:1" x14ac:dyDescent="0.25">
      <c r="A12703"/>
    </row>
    <row r="12704" spans="1:1" x14ac:dyDescent="0.25">
      <c r="A12704"/>
    </row>
    <row r="12705" spans="1:1" x14ac:dyDescent="0.25">
      <c r="A12705"/>
    </row>
    <row r="12706" spans="1:1" x14ac:dyDescent="0.25">
      <c r="A12706"/>
    </row>
    <row r="12707" spans="1:1" x14ac:dyDescent="0.25">
      <c r="A12707"/>
    </row>
    <row r="12708" spans="1:1" x14ac:dyDescent="0.25">
      <c r="A12708"/>
    </row>
    <row r="12709" spans="1:1" x14ac:dyDescent="0.25">
      <c r="A12709"/>
    </row>
    <row r="12710" spans="1:1" x14ac:dyDescent="0.25">
      <c r="A12710"/>
    </row>
    <row r="12711" spans="1:1" x14ac:dyDescent="0.25">
      <c r="A12711"/>
    </row>
    <row r="12712" spans="1:1" x14ac:dyDescent="0.25">
      <c r="A12712"/>
    </row>
    <row r="12713" spans="1:1" x14ac:dyDescent="0.25">
      <c r="A12713"/>
    </row>
    <row r="12714" spans="1:1" x14ac:dyDescent="0.25">
      <c r="A12714"/>
    </row>
    <row r="12715" spans="1:1" x14ac:dyDescent="0.25">
      <c r="A12715"/>
    </row>
    <row r="12716" spans="1:1" x14ac:dyDescent="0.25">
      <c r="A12716"/>
    </row>
    <row r="12717" spans="1:1" x14ac:dyDescent="0.25">
      <c r="A12717"/>
    </row>
    <row r="12718" spans="1:1" x14ac:dyDescent="0.25">
      <c r="A12718"/>
    </row>
    <row r="12719" spans="1:1" x14ac:dyDescent="0.25">
      <c r="A12719"/>
    </row>
    <row r="12720" spans="1:1" x14ac:dyDescent="0.25">
      <c r="A12720"/>
    </row>
    <row r="12721" spans="1:1" x14ac:dyDescent="0.25">
      <c r="A12721"/>
    </row>
    <row r="12722" spans="1:1" x14ac:dyDescent="0.25">
      <c r="A12722"/>
    </row>
    <row r="12723" spans="1:1" x14ac:dyDescent="0.25">
      <c r="A12723"/>
    </row>
    <row r="12724" spans="1:1" x14ac:dyDescent="0.25">
      <c r="A12724"/>
    </row>
    <row r="12725" spans="1:1" x14ac:dyDescent="0.25">
      <c r="A12725"/>
    </row>
    <row r="12726" spans="1:1" x14ac:dyDescent="0.25">
      <c r="A12726"/>
    </row>
    <row r="12727" spans="1:1" x14ac:dyDescent="0.25">
      <c r="A12727"/>
    </row>
    <row r="12728" spans="1:1" x14ac:dyDescent="0.25">
      <c r="A12728"/>
    </row>
    <row r="12729" spans="1:1" x14ac:dyDescent="0.25">
      <c r="A12729"/>
    </row>
    <row r="12730" spans="1:1" x14ac:dyDescent="0.25">
      <c r="A12730"/>
    </row>
    <row r="12731" spans="1:1" x14ac:dyDescent="0.25">
      <c r="A12731"/>
    </row>
    <row r="12732" spans="1:1" x14ac:dyDescent="0.25">
      <c r="A12732"/>
    </row>
    <row r="12733" spans="1:1" x14ac:dyDescent="0.25">
      <c r="A12733"/>
    </row>
    <row r="12734" spans="1:1" x14ac:dyDescent="0.25">
      <c r="A12734"/>
    </row>
    <row r="12735" spans="1:1" x14ac:dyDescent="0.25">
      <c r="A12735"/>
    </row>
    <row r="12736" spans="1:1" x14ac:dyDescent="0.25">
      <c r="A12736"/>
    </row>
    <row r="12737" spans="1:1" x14ac:dyDescent="0.25">
      <c r="A12737"/>
    </row>
    <row r="12738" spans="1:1" x14ac:dyDescent="0.25">
      <c r="A12738"/>
    </row>
    <row r="12739" spans="1:1" x14ac:dyDescent="0.25">
      <c r="A12739"/>
    </row>
    <row r="12740" spans="1:1" x14ac:dyDescent="0.25">
      <c r="A12740"/>
    </row>
    <row r="12741" spans="1:1" x14ac:dyDescent="0.25">
      <c r="A12741"/>
    </row>
    <row r="12742" spans="1:1" x14ac:dyDescent="0.25">
      <c r="A12742"/>
    </row>
    <row r="12743" spans="1:1" x14ac:dyDescent="0.25">
      <c r="A12743"/>
    </row>
    <row r="12744" spans="1:1" x14ac:dyDescent="0.25">
      <c r="A12744"/>
    </row>
    <row r="12745" spans="1:1" x14ac:dyDescent="0.25">
      <c r="A12745"/>
    </row>
    <row r="12746" spans="1:1" x14ac:dyDescent="0.25">
      <c r="A12746"/>
    </row>
    <row r="12747" spans="1:1" x14ac:dyDescent="0.25">
      <c r="A12747"/>
    </row>
    <row r="12748" spans="1:1" x14ac:dyDescent="0.25">
      <c r="A12748"/>
    </row>
    <row r="12749" spans="1:1" x14ac:dyDescent="0.25">
      <c r="A12749"/>
    </row>
    <row r="12750" spans="1:1" x14ac:dyDescent="0.25">
      <c r="A12750"/>
    </row>
    <row r="12751" spans="1:1" x14ac:dyDescent="0.25">
      <c r="A12751"/>
    </row>
    <row r="12752" spans="1:1" x14ac:dyDescent="0.25">
      <c r="A12752"/>
    </row>
    <row r="12753" spans="1:1" x14ac:dyDescent="0.25">
      <c r="A12753"/>
    </row>
    <row r="12754" spans="1:1" x14ac:dyDescent="0.25">
      <c r="A12754"/>
    </row>
    <row r="12755" spans="1:1" x14ac:dyDescent="0.25">
      <c r="A12755"/>
    </row>
    <row r="12756" spans="1:1" x14ac:dyDescent="0.25">
      <c r="A12756"/>
    </row>
    <row r="12757" spans="1:1" x14ac:dyDescent="0.25">
      <c r="A12757"/>
    </row>
    <row r="12758" spans="1:1" x14ac:dyDescent="0.25">
      <c r="A12758"/>
    </row>
    <row r="12759" spans="1:1" x14ac:dyDescent="0.25">
      <c r="A12759"/>
    </row>
    <row r="12760" spans="1:1" x14ac:dyDescent="0.25">
      <c r="A12760"/>
    </row>
    <row r="12761" spans="1:1" x14ac:dyDescent="0.25">
      <c r="A12761"/>
    </row>
    <row r="12762" spans="1:1" x14ac:dyDescent="0.25">
      <c r="A12762"/>
    </row>
    <row r="12763" spans="1:1" x14ac:dyDescent="0.25">
      <c r="A12763"/>
    </row>
    <row r="12764" spans="1:1" x14ac:dyDescent="0.25">
      <c r="A12764"/>
    </row>
    <row r="12765" spans="1:1" x14ac:dyDescent="0.25">
      <c r="A12765"/>
    </row>
    <row r="12766" spans="1:1" x14ac:dyDescent="0.25">
      <c r="A12766"/>
    </row>
    <row r="12767" spans="1:1" x14ac:dyDescent="0.25">
      <c r="A12767"/>
    </row>
    <row r="12768" spans="1:1" x14ac:dyDescent="0.25">
      <c r="A12768"/>
    </row>
    <row r="12769" spans="1:1" x14ac:dyDescent="0.25">
      <c r="A12769"/>
    </row>
    <row r="12770" spans="1:1" x14ac:dyDescent="0.25">
      <c r="A12770"/>
    </row>
    <row r="12771" spans="1:1" x14ac:dyDescent="0.25">
      <c r="A12771"/>
    </row>
    <row r="12772" spans="1:1" x14ac:dyDescent="0.25">
      <c r="A12772"/>
    </row>
    <row r="12773" spans="1:1" x14ac:dyDescent="0.25">
      <c r="A12773"/>
    </row>
    <row r="12774" spans="1:1" x14ac:dyDescent="0.25">
      <c r="A12774"/>
    </row>
    <row r="12775" spans="1:1" x14ac:dyDescent="0.25">
      <c r="A12775"/>
    </row>
    <row r="12776" spans="1:1" x14ac:dyDescent="0.25">
      <c r="A12776"/>
    </row>
    <row r="12777" spans="1:1" x14ac:dyDescent="0.25">
      <c r="A12777"/>
    </row>
    <row r="12778" spans="1:1" x14ac:dyDescent="0.25">
      <c r="A12778"/>
    </row>
    <row r="12779" spans="1:1" x14ac:dyDescent="0.25">
      <c r="A12779"/>
    </row>
    <row r="12780" spans="1:1" x14ac:dyDescent="0.25">
      <c r="A12780"/>
    </row>
    <row r="12781" spans="1:1" x14ac:dyDescent="0.25">
      <c r="A12781"/>
    </row>
    <row r="12782" spans="1:1" x14ac:dyDescent="0.25">
      <c r="A12782"/>
    </row>
    <row r="12783" spans="1:1" x14ac:dyDescent="0.25">
      <c r="A12783"/>
    </row>
    <row r="12784" spans="1:1" x14ac:dyDescent="0.25">
      <c r="A12784"/>
    </row>
    <row r="12785" spans="1:1" x14ac:dyDescent="0.25">
      <c r="A12785"/>
    </row>
    <row r="12786" spans="1:1" x14ac:dyDescent="0.25">
      <c r="A12786"/>
    </row>
    <row r="12787" spans="1:1" x14ac:dyDescent="0.25">
      <c r="A12787"/>
    </row>
    <row r="12788" spans="1:1" x14ac:dyDescent="0.25">
      <c r="A12788"/>
    </row>
    <row r="12789" spans="1:1" x14ac:dyDescent="0.25">
      <c r="A12789"/>
    </row>
    <row r="12790" spans="1:1" x14ac:dyDescent="0.25">
      <c r="A12790"/>
    </row>
    <row r="12791" spans="1:1" x14ac:dyDescent="0.25">
      <c r="A12791"/>
    </row>
    <row r="12792" spans="1:1" x14ac:dyDescent="0.25">
      <c r="A12792"/>
    </row>
    <row r="12793" spans="1:1" x14ac:dyDescent="0.25">
      <c r="A12793"/>
    </row>
    <row r="12794" spans="1:1" x14ac:dyDescent="0.25">
      <c r="A12794"/>
    </row>
    <row r="12795" spans="1:1" x14ac:dyDescent="0.25">
      <c r="A12795"/>
    </row>
    <row r="12796" spans="1:1" x14ac:dyDescent="0.25">
      <c r="A12796"/>
    </row>
    <row r="12797" spans="1:1" x14ac:dyDescent="0.25">
      <c r="A12797"/>
    </row>
    <row r="12798" spans="1:1" x14ac:dyDescent="0.25">
      <c r="A12798"/>
    </row>
    <row r="12799" spans="1:1" x14ac:dyDescent="0.25">
      <c r="A12799"/>
    </row>
    <row r="12800" spans="1:1" x14ac:dyDescent="0.25">
      <c r="A12800"/>
    </row>
    <row r="12801" spans="1:1" x14ac:dyDescent="0.25">
      <c r="A12801"/>
    </row>
    <row r="12802" spans="1:1" x14ac:dyDescent="0.25">
      <c r="A12802"/>
    </row>
    <row r="12803" spans="1:1" x14ac:dyDescent="0.25">
      <c r="A12803"/>
    </row>
    <row r="12804" spans="1:1" x14ac:dyDescent="0.25">
      <c r="A12804"/>
    </row>
    <row r="12805" spans="1:1" x14ac:dyDescent="0.25">
      <c r="A12805"/>
    </row>
    <row r="12806" spans="1:1" x14ac:dyDescent="0.25">
      <c r="A12806"/>
    </row>
    <row r="12807" spans="1:1" x14ac:dyDescent="0.25">
      <c r="A12807"/>
    </row>
    <row r="12808" spans="1:1" x14ac:dyDescent="0.25">
      <c r="A12808"/>
    </row>
    <row r="12809" spans="1:1" x14ac:dyDescent="0.25">
      <c r="A12809"/>
    </row>
    <row r="12810" spans="1:1" x14ac:dyDescent="0.25">
      <c r="A12810"/>
    </row>
    <row r="12811" spans="1:1" x14ac:dyDescent="0.25">
      <c r="A12811"/>
    </row>
    <row r="12812" spans="1:1" x14ac:dyDescent="0.25">
      <c r="A12812"/>
    </row>
    <row r="12813" spans="1:1" x14ac:dyDescent="0.25">
      <c r="A12813"/>
    </row>
    <row r="12814" spans="1:1" x14ac:dyDescent="0.25">
      <c r="A12814"/>
    </row>
    <row r="12815" spans="1:1" x14ac:dyDescent="0.25">
      <c r="A12815"/>
    </row>
    <row r="12816" spans="1:1" x14ac:dyDescent="0.25">
      <c r="A12816"/>
    </row>
    <row r="12817" spans="1:1" x14ac:dyDescent="0.25">
      <c r="A12817"/>
    </row>
    <row r="12818" spans="1:1" x14ac:dyDescent="0.25">
      <c r="A12818"/>
    </row>
    <row r="12819" spans="1:1" x14ac:dyDescent="0.25">
      <c r="A12819"/>
    </row>
    <row r="12820" spans="1:1" x14ac:dyDescent="0.25">
      <c r="A12820"/>
    </row>
    <row r="12821" spans="1:1" x14ac:dyDescent="0.25">
      <c r="A12821"/>
    </row>
    <row r="12822" spans="1:1" x14ac:dyDescent="0.25">
      <c r="A12822"/>
    </row>
    <row r="12823" spans="1:1" x14ac:dyDescent="0.25">
      <c r="A12823"/>
    </row>
    <row r="12824" spans="1:1" x14ac:dyDescent="0.25">
      <c r="A12824"/>
    </row>
    <row r="12825" spans="1:1" x14ac:dyDescent="0.25">
      <c r="A12825"/>
    </row>
    <row r="12826" spans="1:1" x14ac:dyDescent="0.25">
      <c r="A12826"/>
    </row>
    <row r="12827" spans="1:1" x14ac:dyDescent="0.25">
      <c r="A12827"/>
    </row>
    <row r="12828" spans="1:1" x14ac:dyDescent="0.25">
      <c r="A12828"/>
    </row>
    <row r="12829" spans="1:1" x14ac:dyDescent="0.25">
      <c r="A12829"/>
    </row>
    <row r="12830" spans="1:1" x14ac:dyDescent="0.25">
      <c r="A12830"/>
    </row>
    <row r="12831" spans="1:1" x14ac:dyDescent="0.25">
      <c r="A12831"/>
    </row>
    <row r="12832" spans="1:1" x14ac:dyDescent="0.25">
      <c r="A12832"/>
    </row>
    <row r="12833" spans="1:1" x14ac:dyDescent="0.25">
      <c r="A12833"/>
    </row>
    <row r="12834" spans="1:1" x14ac:dyDescent="0.25">
      <c r="A12834"/>
    </row>
    <row r="12835" spans="1:1" x14ac:dyDescent="0.25">
      <c r="A12835"/>
    </row>
    <row r="12836" spans="1:1" x14ac:dyDescent="0.25">
      <c r="A12836"/>
    </row>
    <row r="12837" spans="1:1" x14ac:dyDescent="0.25">
      <c r="A12837"/>
    </row>
    <row r="12838" spans="1:1" x14ac:dyDescent="0.25">
      <c r="A12838"/>
    </row>
    <row r="12839" spans="1:1" x14ac:dyDescent="0.25">
      <c r="A12839"/>
    </row>
    <row r="12840" spans="1:1" x14ac:dyDescent="0.25">
      <c r="A12840"/>
    </row>
    <row r="12841" spans="1:1" x14ac:dyDescent="0.25">
      <c r="A12841"/>
    </row>
    <row r="12842" spans="1:1" x14ac:dyDescent="0.25">
      <c r="A12842"/>
    </row>
    <row r="12843" spans="1:1" x14ac:dyDescent="0.25">
      <c r="A12843"/>
    </row>
    <row r="12844" spans="1:1" x14ac:dyDescent="0.25">
      <c r="A12844"/>
    </row>
    <row r="12845" spans="1:1" x14ac:dyDescent="0.25">
      <c r="A12845"/>
    </row>
    <row r="12846" spans="1:1" x14ac:dyDescent="0.25">
      <c r="A12846"/>
    </row>
    <row r="12847" spans="1:1" x14ac:dyDescent="0.25">
      <c r="A12847"/>
    </row>
    <row r="12848" spans="1:1" x14ac:dyDescent="0.25">
      <c r="A12848"/>
    </row>
    <row r="12849" spans="1:1" x14ac:dyDescent="0.25">
      <c r="A12849"/>
    </row>
    <row r="12850" spans="1:1" x14ac:dyDescent="0.25">
      <c r="A12850"/>
    </row>
    <row r="12851" spans="1:1" x14ac:dyDescent="0.25">
      <c r="A12851"/>
    </row>
    <row r="12852" spans="1:1" x14ac:dyDescent="0.25">
      <c r="A12852"/>
    </row>
    <row r="12853" spans="1:1" x14ac:dyDescent="0.25">
      <c r="A12853"/>
    </row>
    <row r="12854" spans="1:1" x14ac:dyDescent="0.25">
      <c r="A12854"/>
    </row>
    <row r="12855" spans="1:1" x14ac:dyDescent="0.25">
      <c r="A12855"/>
    </row>
    <row r="12856" spans="1:1" x14ac:dyDescent="0.25">
      <c r="A12856"/>
    </row>
    <row r="12857" spans="1:1" x14ac:dyDescent="0.25">
      <c r="A12857"/>
    </row>
    <row r="12858" spans="1:1" x14ac:dyDescent="0.25">
      <c r="A12858"/>
    </row>
    <row r="12859" spans="1:1" x14ac:dyDescent="0.25">
      <c r="A12859"/>
    </row>
    <row r="12860" spans="1:1" x14ac:dyDescent="0.25">
      <c r="A12860"/>
    </row>
    <row r="12861" spans="1:1" x14ac:dyDescent="0.25">
      <c r="A12861"/>
    </row>
    <row r="12862" spans="1:1" x14ac:dyDescent="0.25">
      <c r="A12862"/>
    </row>
    <row r="12863" spans="1:1" x14ac:dyDescent="0.25">
      <c r="A12863"/>
    </row>
    <row r="12864" spans="1:1" x14ac:dyDescent="0.25">
      <c r="A12864"/>
    </row>
    <row r="12865" spans="1:1" x14ac:dyDescent="0.25">
      <c r="A12865"/>
    </row>
    <row r="12866" spans="1:1" x14ac:dyDescent="0.25">
      <c r="A12866"/>
    </row>
    <row r="12867" spans="1:1" x14ac:dyDescent="0.25">
      <c r="A12867"/>
    </row>
    <row r="12868" spans="1:1" x14ac:dyDescent="0.25">
      <c r="A12868"/>
    </row>
    <row r="12869" spans="1:1" x14ac:dyDescent="0.25">
      <c r="A12869"/>
    </row>
    <row r="12870" spans="1:1" x14ac:dyDescent="0.25">
      <c r="A12870"/>
    </row>
    <row r="12871" spans="1:1" x14ac:dyDescent="0.25">
      <c r="A12871"/>
    </row>
    <row r="12872" spans="1:1" x14ac:dyDescent="0.25">
      <c r="A12872"/>
    </row>
    <row r="12873" spans="1:1" x14ac:dyDescent="0.25">
      <c r="A12873"/>
    </row>
    <row r="12874" spans="1:1" x14ac:dyDescent="0.25">
      <c r="A12874"/>
    </row>
    <row r="12875" spans="1:1" x14ac:dyDescent="0.25">
      <c r="A12875"/>
    </row>
    <row r="12876" spans="1:1" x14ac:dyDescent="0.25">
      <c r="A12876"/>
    </row>
    <row r="12877" spans="1:1" x14ac:dyDescent="0.25">
      <c r="A12877"/>
    </row>
    <row r="12878" spans="1:1" x14ac:dyDescent="0.25">
      <c r="A12878"/>
    </row>
    <row r="12879" spans="1:1" x14ac:dyDescent="0.25">
      <c r="A12879"/>
    </row>
    <row r="12880" spans="1:1" x14ac:dyDescent="0.25">
      <c r="A12880"/>
    </row>
    <row r="12881" spans="1:1" x14ac:dyDescent="0.25">
      <c r="A12881"/>
    </row>
    <row r="12882" spans="1:1" x14ac:dyDescent="0.25">
      <c r="A12882"/>
    </row>
    <row r="12883" spans="1:1" x14ac:dyDescent="0.25">
      <c r="A12883"/>
    </row>
    <row r="12884" spans="1:1" x14ac:dyDescent="0.25">
      <c r="A12884"/>
    </row>
    <row r="12885" spans="1:1" x14ac:dyDescent="0.25">
      <c r="A12885"/>
    </row>
    <row r="12886" spans="1:1" x14ac:dyDescent="0.25">
      <c r="A12886"/>
    </row>
    <row r="12887" spans="1:1" x14ac:dyDescent="0.25">
      <c r="A12887"/>
    </row>
    <row r="12888" spans="1:1" x14ac:dyDescent="0.25">
      <c r="A12888"/>
    </row>
    <row r="12889" spans="1:1" x14ac:dyDescent="0.25">
      <c r="A12889"/>
    </row>
    <row r="12890" spans="1:1" x14ac:dyDescent="0.25">
      <c r="A12890"/>
    </row>
    <row r="12891" spans="1:1" x14ac:dyDescent="0.25">
      <c r="A12891"/>
    </row>
    <row r="12892" spans="1:1" x14ac:dyDescent="0.25">
      <c r="A12892"/>
    </row>
    <row r="12893" spans="1:1" x14ac:dyDescent="0.25">
      <c r="A12893"/>
    </row>
    <row r="12894" spans="1:1" x14ac:dyDescent="0.25">
      <c r="A12894"/>
    </row>
    <row r="12895" spans="1:1" x14ac:dyDescent="0.25">
      <c r="A12895"/>
    </row>
    <row r="12896" spans="1:1" x14ac:dyDescent="0.25">
      <c r="A12896"/>
    </row>
    <row r="12897" spans="1:1" x14ac:dyDescent="0.25">
      <c r="A12897"/>
    </row>
    <row r="12898" spans="1:1" x14ac:dyDescent="0.25">
      <c r="A12898"/>
    </row>
    <row r="12899" spans="1:1" x14ac:dyDescent="0.25">
      <c r="A12899"/>
    </row>
    <row r="12900" spans="1:1" x14ac:dyDescent="0.25">
      <c r="A12900"/>
    </row>
    <row r="12901" spans="1:1" x14ac:dyDescent="0.25">
      <c r="A12901"/>
    </row>
    <row r="12902" spans="1:1" x14ac:dyDescent="0.25">
      <c r="A12902"/>
    </row>
    <row r="12903" spans="1:1" x14ac:dyDescent="0.25">
      <c r="A12903"/>
    </row>
    <row r="12904" spans="1:1" x14ac:dyDescent="0.25">
      <c r="A12904"/>
    </row>
    <row r="12905" spans="1:1" x14ac:dyDescent="0.25">
      <c r="A12905"/>
    </row>
    <row r="12906" spans="1:1" x14ac:dyDescent="0.25">
      <c r="A12906"/>
    </row>
    <row r="12907" spans="1:1" x14ac:dyDescent="0.25">
      <c r="A12907"/>
    </row>
    <row r="12908" spans="1:1" x14ac:dyDescent="0.25">
      <c r="A12908"/>
    </row>
    <row r="12909" spans="1:1" x14ac:dyDescent="0.25">
      <c r="A12909"/>
    </row>
    <row r="12910" spans="1:1" x14ac:dyDescent="0.25">
      <c r="A12910"/>
    </row>
    <row r="12911" spans="1:1" x14ac:dyDescent="0.25">
      <c r="A12911"/>
    </row>
    <row r="12912" spans="1:1" x14ac:dyDescent="0.25">
      <c r="A12912"/>
    </row>
    <row r="12913" spans="1:1" x14ac:dyDescent="0.25">
      <c r="A12913"/>
    </row>
    <row r="12914" spans="1:1" x14ac:dyDescent="0.25">
      <c r="A12914"/>
    </row>
    <row r="12915" spans="1:1" x14ac:dyDescent="0.25">
      <c r="A12915"/>
    </row>
    <row r="12916" spans="1:1" x14ac:dyDescent="0.25">
      <c r="A12916"/>
    </row>
    <row r="12917" spans="1:1" x14ac:dyDescent="0.25">
      <c r="A12917"/>
    </row>
    <row r="12918" spans="1:1" x14ac:dyDescent="0.25">
      <c r="A12918"/>
    </row>
    <row r="12919" spans="1:1" x14ac:dyDescent="0.25">
      <c r="A12919"/>
    </row>
    <row r="12920" spans="1:1" x14ac:dyDescent="0.25">
      <c r="A12920"/>
    </row>
    <row r="12921" spans="1:1" x14ac:dyDescent="0.25">
      <c r="A12921"/>
    </row>
    <row r="12922" spans="1:1" x14ac:dyDescent="0.25">
      <c r="A12922"/>
    </row>
    <row r="12923" spans="1:1" x14ac:dyDescent="0.25">
      <c r="A12923"/>
    </row>
    <row r="12924" spans="1:1" x14ac:dyDescent="0.25">
      <c r="A12924"/>
    </row>
    <row r="12925" spans="1:1" x14ac:dyDescent="0.25">
      <c r="A12925"/>
    </row>
    <row r="12926" spans="1:1" x14ac:dyDescent="0.25">
      <c r="A12926"/>
    </row>
    <row r="12927" spans="1:1" x14ac:dyDescent="0.25">
      <c r="A12927"/>
    </row>
    <row r="12928" spans="1:1" x14ac:dyDescent="0.25">
      <c r="A12928"/>
    </row>
    <row r="12929" spans="1:1" x14ac:dyDescent="0.25">
      <c r="A12929"/>
    </row>
    <row r="12930" spans="1:1" x14ac:dyDescent="0.25">
      <c r="A12930"/>
    </row>
    <row r="12931" spans="1:1" x14ac:dyDescent="0.25">
      <c r="A12931"/>
    </row>
    <row r="12932" spans="1:1" x14ac:dyDescent="0.25">
      <c r="A12932"/>
    </row>
    <row r="12933" spans="1:1" x14ac:dyDescent="0.25">
      <c r="A12933"/>
    </row>
    <row r="12934" spans="1:1" x14ac:dyDescent="0.25">
      <c r="A12934"/>
    </row>
    <row r="12935" spans="1:1" x14ac:dyDescent="0.25">
      <c r="A12935"/>
    </row>
    <row r="12936" spans="1:1" x14ac:dyDescent="0.25">
      <c r="A12936"/>
    </row>
    <row r="12937" spans="1:1" x14ac:dyDescent="0.25">
      <c r="A12937"/>
    </row>
    <row r="12938" spans="1:1" x14ac:dyDescent="0.25">
      <c r="A12938"/>
    </row>
    <row r="12939" spans="1:1" x14ac:dyDescent="0.25">
      <c r="A12939"/>
    </row>
    <row r="12940" spans="1:1" x14ac:dyDescent="0.25">
      <c r="A12940"/>
    </row>
    <row r="12941" spans="1:1" x14ac:dyDescent="0.25">
      <c r="A12941"/>
    </row>
    <row r="12942" spans="1:1" x14ac:dyDescent="0.25">
      <c r="A12942"/>
    </row>
    <row r="12943" spans="1:1" x14ac:dyDescent="0.25">
      <c r="A12943"/>
    </row>
    <row r="12944" spans="1:1" x14ac:dyDescent="0.25">
      <c r="A12944"/>
    </row>
    <row r="12945" spans="1:1" x14ac:dyDescent="0.25">
      <c r="A12945"/>
    </row>
    <row r="12946" spans="1:1" x14ac:dyDescent="0.25">
      <c r="A12946"/>
    </row>
    <row r="12947" spans="1:1" x14ac:dyDescent="0.25">
      <c r="A12947"/>
    </row>
    <row r="12948" spans="1:1" x14ac:dyDescent="0.25">
      <c r="A12948"/>
    </row>
    <row r="12949" spans="1:1" x14ac:dyDescent="0.25">
      <c r="A12949"/>
    </row>
    <row r="12950" spans="1:1" x14ac:dyDescent="0.25">
      <c r="A12950"/>
    </row>
    <row r="12951" spans="1:1" x14ac:dyDescent="0.25">
      <c r="A12951"/>
    </row>
    <row r="12952" spans="1:1" x14ac:dyDescent="0.25">
      <c r="A12952"/>
    </row>
    <row r="12953" spans="1:1" x14ac:dyDescent="0.25">
      <c r="A12953"/>
    </row>
    <row r="12954" spans="1:1" x14ac:dyDescent="0.25">
      <c r="A12954"/>
    </row>
    <row r="12955" spans="1:1" x14ac:dyDescent="0.25">
      <c r="A12955"/>
    </row>
    <row r="12956" spans="1:1" x14ac:dyDescent="0.25">
      <c r="A12956"/>
    </row>
    <row r="12957" spans="1:1" x14ac:dyDescent="0.25">
      <c r="A12957"/>
    </row>
    <row r="12958" spans="1:1" x14ac:dyDescent="0.25">
      <c r="A12958"/>
    </row>
    <row r="12959" spans="1:1" x14ac:dyDescent="0.25">
      <c r="A12959"/>
    </row>
    <row r="12960" spans="1:1" x14ac:dyDescent="0.25">
      <c r="A12960"/>
    </row>
    <row r="12961" spans="1:1" x14ac:dyDescent="0.25">
      <c r="A12961"/>
    </row>
    <row r="12962" spans="1:1" x14ac:dyDescent="0.25">
      <c r="A12962"/>
    </row>
    <row r="12963" spans="1:1" x14ac:dyDescent="0.25">
      <c r="A12963"/>
    </row>
    <row r="12964" spans="1:1" x14ac:dyDescent="0.25">
      <c r="A12964"/>
    </row>
    <row r="12965" spans="1:1" x14ac:dyDescent="0.25">
      <c r="A12965"/>
    </row>
    <row r="12966" spans="1:1" x14ac:dyDescent="0.25">
      <c r="A12966"/>
    </row>
    <row r="12967" spans="1:1" x14ac:dyDescent="0.25">
      <c r="A12967"/>
    </row>
    <row r="12968" spans="1:1" x14ac:dyDescent="0.25">
      <c r="A12968"/>
    </row>
    <row r="12969" spans="1:1" x14ac:dyDescent="0.25">
      <c r="A12969"/>
    </row>
    <row r="12970" spans="1:1" x14ac:dyDescent="0.25">
      <c r="A12970"/>
    </row>
    <row r="12971" spans="1:1" x14ac:dyDescent="0.25">
      <c r="A12971"/>
    </row>
    <row r="12972" spans="1:1" x14ac:dyDescent="0.25">
      <c r="A12972"/>
    </row>
    <row r="12973" spans="1:1" x14ac:dyDescent="0.25">
      <c r="A12973"/>
    </row>
    <row r="12974" spans="1:1" x14ac:dyDescent="0.25">
      <c r="A12974"/>
    </row>
    <row r="12975" spans="1:1" x14ac:dyDescent="0.25">
      <c r="A12975"/>
    </row>
    <row r="12976" spans="1:1" x14ac:dyDescent="0.25">
      <c r="A12976"/>
    </row>
    <row r="12977" spans="1:1" x14ac:dyDescent="0.25">
      <c r="A12977"/>
    </row>
    <row r="12978" spans="1:1" x14ac:dyDescent="0.25">
      <c r="A12978"/>
    </row>
    <row r="12979" spans="1:1" x14ac:dyDescent="0.25">
      <c r="A12979"/>
    </row>
    <row r="12980" spans="1:1" x14ac:dyDescent="0.25">
      <c r="A12980"/>
    </row>
    <row r="12981" spans="1:1" x14ac:dyDescent="0.25">
      <c r="A12981"/>
    </row>
    <row r="12982" spans="1:1" x14ac:dyDescent="0.25">
      <c r="A12982"/>
    </row>
    <row r="12983" spans="1:1" x14ac:dyDescent="0.25">
      <c r="A12983"/>
    </row>
    <row r="12984" spans="1:1" x14ac:dyDescent="0.25">
      <c r="A12984"/>
    </row>
    <row r="12985" spans="1:1" x14ac:dyDescent="0.25">
      <c r="A12985"/>
    </row>
    <row r="12986" spans="1:1" x14ac:dyDescent="0.25">
      <c r="A12986"/>
    </row>
    <row r="12987" spans="1:1" x14ac:dyDescent="0.25">
      <c r="A12987"/>
    </row>
    <row r="12988" spans="1:1" x14ac:dyDescent="0.25">
      <c r="A12988"/>
    </row>
    <row r="12989" spans="1:1" x14ac:dyDescent="0.25">
      <c r="A12989"/>
    </row>
    <row r="12990" spans="1:1" x14ac:dyDescent="0.25">
      <c r="A12990"/>
    </row>
    <row r="12991" spans="1:1" x14ac:dyDescent="0.25">
      <c r="A12991"/>
    </row>
    <row r="12992" spans="1:1" x14ac:dyDescent="0.25">
      <c r="A12992"/>
    </row>
    <row r="12993" spans="1:1" x14ac:dyDescent="0.25">
      <c r="A12993"/>
    </row>
    <row r="12994" spans="1:1" x14ac:dyDescent="0.25">
      <c r="A12994"/>
    </row>
    <row r="12995" spans="1:1" x14ac:dyDescent="0.25">
      <c r="A12995"/>
    </row>
    <row r="12996" spans="1:1" x14ac:dyDescent="0.25">
      <c r="A12996"/>
    </row>
    <row r="12997" spans="1:1" x14ac:dyDescent="0.25">
      <c r="A12997"/>
    </row>
    <row r="12998" spans="1:1" x14ac:dyDescent="0.25">
      <c r="A12998"/>
    </row>
    <row r="12999" spans="1:1" x14ac:dyDescent="0.25">
      <c r="A12999"/>
    </row>
    <row r="13000" spans="1:1" x14ac:dyDescent="0.25">
      <c r="A13000"/>
    </row>
    <row r="13001" spans="1:1" x14ac:dyDescent="0.25">
      <c r="A13001"/>
    </row>
    <row r="13002" spans="1:1" x14ac:dyDescent="0.25">
      <c r="A13002"/>
    </row>
    <row r="13003" spans="1:1" x14ac:dyDescent="0.25">
      <c r="A13003"/>
    </row>
    <row r="13004" spans="1:1" x14ac:dyDescent="0.25">
      <c r="A13004"/>
    </row>
    <row r="13005" spans="1:1" x14ac:dyDescent="0.25">
      <c r="A13005"/>
    </row>
    <row r="13006" spans="1:1" x14ac:dyDescent="0.25">
      <c r="A13006"/>
    </row>
    <row r="13007" spans="1:1" x14ac:dyDescent="0.25">
      <c r="A13007"/>
    </row>
    <row r="13008" spans="1:1" x14ac:dyDescent="0.25">
      <c r="A13008"/>
    </row>
    <row r="13009" spans="1:1" x14ac:dyDescent="0.25">
      <c r="A13009"/>
    </row>
    <row r="13010" spans="1:1" x14ac:dyDescent="0.25">
      <c r="A13010"/>
    </row>
    <row r="13011" spans="1:1" x14ac:dyDescent="0.25">
      <c r="A13011"/>
    </row>
    <row r="13012" spans="1:1" x14ac:dyDescent="0.25">
      <c r="A13012"/>
    </row>
    <row r="13013" spans="1:1" x14ac:dyDescent="0.25">
      <c r="A13013"/>
    </row>
    <row r="13014" spans="1:1" x14ac:dyDescent="0.25">
      <c r="A13014"/>
    </row>
    <row r="13015" spans="1:1" x14ac:dyDescent="0.25">
      <c r="A13015"/>
    </row>
    <row r="13016" spans="1:1" x14ac:dyDescent="0.25">
      <c r="A13016"/>
    </row>
    <row r="13017" spans="1:1" x14ac:dyDescent="0.25">
      <c r="A13017"/>
    </row>
    <row r="13018" spans="1:1" x14ac:dyDescent="0.25">
      <c r="A13018"/>
    </row>
    <row r="13019" spans="1:1" x14ac:dyDescent="0.25">
      <c r="A13019"/>
    </row>
    <row r="13020" spans="1:1" x14ac:dyDescent="0.25">
      <c r="A13020"/>
    </row>
    <row r="13021" spans="1:1" x14ac:dyDescent="0.25">
      <c r="A13021"/>
    </row>
    <row r="13022" spans="1:1" x14ac:dyDescent="0.25">
      <c r="A13022"/>
    </row>
    <row r="13023" spans="1:1" x14ac:dyDescent="0.25">
      <c r="A13023"/>
    </row>
    <row r="13024" spans="1:1" x14ac:dyDescent="0.25">
      <c r="A13024"/>
    </row>
    <row r="13025" spans="1:1" x14ac:dyDescent="0.25">
      <c r="A13025"/>
    </row>
    <row r="13026" spans="1:1" x14ac:dyDescent="0.25">
      <c r="A13026"/>
    </row>
    <row r="13027" spans="1:1" x14ac:dyDescent="0.25">
      <c r="A13027"/>
    </row>
    <row r="13028" spans="1:1" x14ac:dyDescent="0.25">
      <c r="A13028"/>
    </row>
    <row r="13029" spans="1:1" x14ac:dyDescent="0.25">
      <c r="A13029"/>
    </row>
    <row r="13030" spans="1:1" x14ac:dyDescent="0.25">
      <c r="A13030"/>
    </row>
    <row r="13031" spans="1:1" x14ac:dyDescent="0.25">
      <c r="A13031"/>
    </row>
    <row r="13032" spans="1:1" x14ac:dyDescent="0.25">
      <c r="A13032"/>
    </row>
    <row r="13033" spans="1:1" x14ac:dyDescent="0.25">
      <c r="A13033"/>
    </row>
    <row r="13034" spans="1:1" x14ac:dyDescent="0.25">
      <c r="A13034"/>
    </row>
    <row r="13035" spans="1:1" x14ac:dyDescent="0.25">
      <c r="A13035"/>
    </row>
    <row r="13036" spans="1:1" x14ac:dyDescent="0.25">
      <c r="A13036"/>
    </row>
    <row r="13037" spans="1:1" x14ac:dyDescent="0.25">
      <c r="A13037"/>
    </row>
    <row r="13038" spans="1:1" x14ac:dyDescent="0.25">
      <c r="A13038"/>
    </row>
    <row r="13039" spans="1:1" x14ac:dyDescent="0.25">
      <c r="A13039"/>
    </row>
    <row r="13040" spans="1:1" x14ac:dyDescent="0.25">
      <c r="A13040"/>
    </row>
    <row r="13041" spans="1:1" x14ac:dyDescent="0.25">
      <c r="A13041"/>
    </row>
    <row r="13042" spans="1:1" x14ac:dyDescent="0.25">
      <c r="A13042"/>
    </row>
    <row r="13043" spans="1:1" x14ac:dyDescent="0.25">
      <c r="A13043"/>
    </row>
    <row r="13044" spans="1:1" x14ac:dyDescent="0.25">
      <c r="A13044"/>
    </row>
    <row r="13045" spans="1:1" x14ac:dyDescent="0.25">
      <c r="A13045"/>
    </row>
    <row r="13046" spans="1:1" x14ac:dyDescent="0.25">
      <c r="A13046"/>
    </row>
    <row r="13047" spans="1:1" x14ac:dyDescent="0.25">
      <c r="A13047"/>
    </row>
    <row r="13048" spans="1:1" x14ac:dyDescent="0.25">
      <c r="A13048"/>
    </row>
    <row r="13049" spans="1:1" x14ac:dyDescent="0.25">
      <c r="A13049"/>
    </row>
    <row r="13050" spans="1:1" x14ac:dyDescent="0.25">
      <c r="A13050"/>
    </row>
    <row r="13051" spans="1:1" x14ac:dyDescent="0.25">
      <c r="A13051"/>
    </row>
    <row r="13052" spans="1:1" x14ac:dyDescent="0.25">
      <c r="A13052"/>
    </row>
    <row r="13053" spans="1:1" x14ac:dyDescent="0.25">
      <c r="A13053"/>
    </row>
    <row r="13054" spans="1:1" x14ac:dyDescent="0.25">
      <c r="A13054"/>
    </row>
    <row r="13055" spans="1:1" x14ac:dyDescent="0.25">
      <c r="A13055"/>
    </row>
    <row r="13056" spans="1:1" x14ac:dyDescent="0.25">
      <c r="A13056"/>
    </row>
    <row r="13057" spans="1:1" x14ac:dyDescent="0.25">
      <c r="A13057"/>
    </row>
    <row r="13058" spans="1:1" x14ac:dyDescent="0.25">
      <c r="A13058"/>
    </row>
    <row r="13059" spans="1:1" x14ac:dyDescent="0.25">
      <c r="A13059"/>
    </row>
    <row r="13060" spans="1:1" x14ac:dyDescent="0.25">
      <c r="A13060"/>
    </row>
    <row r="13061" spans="1:1" x14ac:dyDescent="0.25">
      <c r="A13061"/>
    </row>
    <row r="13062" spans="1:1" x14ac:dyDescent="0.25">
      <c r="A13062"/>
    </row>
    <row r="13063" spans="1:1" x14ac:dyDescent="0.25">
      <c r="A13063"/>
    </row>
    <row r="13064" spans="1:1" x14ac:dyDescent="0.25">
      <c r="A13064"/>
    </row>
    <row r="13065" spans="1:1" x14ac:dyDescent="0.25">
      <c r="A13065"/>
    </row>
    <row r="13066" spans="1:1" x14ac:dyDescent="0.25">
      <c r="A13066"/>
    </row>
    <row r="13067" spans="1:1" x14ac:dyDescent="0.25">
      <c r="A13067"/>
    </row>
    <row r="13068" spans="1:1" x14ac:dyDescent="0.25">
      <c r="A13068"/>
    </row>
    <row r="13069" spans="1:1" x14ac:dyDescent="0.25">
      <c r="A13069"/>
    </row>
    <row r="13070" spans="1:1" x14ac:dyDescent="0.25">
      <c r="A13070"/>
    </row>
    <row r="13071" spans="1:1" x14ac:dyDescent="0.25">
      <c r="A13071"/>
    </row>
    <row r="13072" spans="1:1" x14ac:dyDescent="0.25">
      <c r="A13072"/>
    </row>
    <row r="13073" spans="1:1" x14ac:dyDescent="0.25">
      <c r="A13073"/>
    </row>
    <row r="13074" spans="1:1" x14ac:dyDescent="0.25">
      <c r="A13074"/>
    </row>
    <row r="13075" spans="1:1" x14ac:dyDescent="0.25">
      <c r="A13075"/>
    </row>
    <row r="13076" spans="1:1" x14ac:dyDescent="0.25">
      <c r="A13076"/>
    </row>
    <row r="13077" spans="1:1" x14ac:dyDescent="0.25">
      <c r="A13077"/>
    </row>
    <row r="13078" spans="1:1" x14ac:dyDescent="0.25">
      <c r="A13078"/>
    </row>
    <row r="13079" spans="1:1" x14ac:dyDescent="0.25">
      <c r="A13079"/>
    </row>
    <row r="13080" spans="1:1" x14ac:dyDescent="0.25">
      <c r="A13080"/>
    </row>
    <row r="13081" spans="1:1" x14ac:dyDescent="0.25">
      <c r="A13081"/>
    </row>
    <row r="13082" spans="1:1" x14ac:dyDescent="0.25">
      <c r="A13082"/>
    </row>
    <row r="13083" spans="1:1" x14ac:dyDescent="0.25">
      <c r="A13083"/>
    </row>
    <row r="13084" spans="1:1" x14ac:dyDescent="0.25">
      <c r="A13084"/>
    </row>
    <row r="13085" spans="1:1" x14ac:dyDescent="0.25">
      <c r="A13085"/>
    </row>
    <row r="13086" spans="1:1" x14ac:dyDescent="0.25">
      <c r="A13086"/>
    </row>
    <row r="13087" spans="1:1" x14ac:dyDescent="0.25">
      <c r="A13087"/>
    </row>
    <row r="13088" spans="1:1" x14ac:dyDescent="0.25">
      <c r="A13088"/>
    </row>
    <row r="13089" spans="1:1" x14ac:dyDescent="0.25">
      <c r="A13089"/>
    </row>
    <row r="13090" spans="1:1" x14ac:dyDescent="0.25">
      <c r="A13090"/>
    </row>
    <row r="13091" spans="1:1" x14ac:dyDescent="0.25">
      <c r="A13091"/>
    </row>
    <row r="13092" spans="1:1" x14ac:dyDescent="0.25">
      <c r="A13092"/>
    </row>
    <row r="13093" spans="1:1" x14ac:dyDescent="0.25">
      <c r="A13093"/>
    </row>
    <row r="13094" spans="1:1" x14ac:dyDescent="0.25">
      <c r="A13094"/>
    </row>
    <row r="13095" spans="1:1" x14ac:dyDescent="0.25">
      <c r="A13095"/>
    </row>
    <row r="13096" spans="1:1" x14ac:dyDescent="0.25">
      <c r="A13096"/>
    </row>
    <row r="13097" spans="1:1" x14ac:dyDescent="0.25">
      <c r="A13097"/>
    </row>
    <row r="13098" spans="1:1" x14ac:dyDescent="0.25">
      <c r="A13098"/>
    </row>
    <row r="13099" spans="1:1" x14ac:dyDescent="0.25">
      <c r="A13099"/>
    </row>
    <row r="13100" spans="1:1" x14ac:dyDescent="0.25">
      <c r="A13100"/>
    </row>
    <row r="13101" spans="1:1" x14ac:dyDescent="0.25">
      <c r="A13101"/>
    </row>
    <row r="13102" spans="1:1" x14ac:dyDescent="0.25">
      <c r="A13102"/>
    </row>
    <row r="13103" spans="1:1" x14ac:dyDescent="0.25">
      <c r="A13103"/>
    </row>
    <row r="13104" spans="1:1" x14ac:dyDescent="0.25">
      <c r="A13104"/>
    </row>
    <row r="13105" spans="1:1" x14ac:dyDescent="0.25">
      <c r="A13105"/>
    </row>
    <row r="13106" spans="1:1" x14ac:dyDescent="0.25">
      <c r="A13106"/>
    </row>
    <row r="13107" spans="1:1" x14ac:dyDescent="0.25">
      <c r="A13107"/>
    </row>
    <row r="13108" spans="1:1" x14ac:dyDescent="0.25">
      <c r="A13108"/>
    </row>
    <row r="13109" spans="1:1" x14ac:dyDescent="0.25">
      <c r="A13109"/>
    </row>
    <row r="13110" spans="1:1" x14ac:dyDescent="0.25">
      <c r="A13110"/>
    </row>
    <row r="13111" spans="1:1" x14ac:dyDescent="0.25">
      <c r="A13111"/>
    </row>
    <row r="13112" spans="1:1" x14ac:dyDescent="0.25">
      <c r="A13112"/>
    </row>
    <row r="13113" spans="1:1" x14ac:dyDescent="0.25">
      <c r="A13113"/>
    </row>
    <row r="13114" spans="1:1" x14ac:dyDescent="0.25">
      <c r="A13114"/>
    </row>
    <row r="13115" spans="1:1" x14ac:dyDescent="0.25">
      <c r="A13115"/>
    </row>
    <row r="13116" spans="1:1" x14ac:dyDescent="0.25">
      <c r="A13116"/>
    </row>
    <row r="13117" spans="1:1" x14ac:dyDescent="0.25">
      <c r="A13117"/>
    </row>
    <row r="13118" spans="1:1" x14ac:dyDescent="0.25">
      <c r="A13118"/>
    </row>
    <row r="13119" spans="1:1" x14ac:dyDescent="0.25">
      <c r="A13119"/>
    </row>
    <row r="13120" spans="1:1" x14ac:dyDescent="0.25">
      <c r="A13120"/>
    </row>
    <row r="13121" spans="1:1" x14ac:dyDescent="0.25">
      <c r="A13121"/>
    </row>
    <row r="13122" spans="1:1" x14ac:dyDescent="0.25">
      <c r="A13122"/>
    </row>
    <row r="13123" spans="1:1" x14ac:dyDescent="0.25">
      <c r="A13123"/>
    </row>
    <row r="13124" spans="1:1" x14ac:dyDescent="0.25">
      <c r="A13124"/>
    </row>
    <row r="13125" spans="1:1" x14ac:dyDescent="0.25">
      <c r="A13125"/>
    </row>
    <row r="13126" spans="1:1" x14ac:dyDescent="0.25">
      <c r="A13126"/>
    </row>
    <row r="13127" spans="1:1" x14ac:dyDescent="0.25">
      <c r="A13127"/>
    </row>
    <row r="13128" spans="1:1" x14ac:dyDescent="0.25">
      <c r="A13128"/>
    </row>
    <row r="13129" spans="1:1" x14ac:dyDescent="0.25">
      <c r="A13129"/>
    </row>
    <row r="13130" spans="1:1" x14ac:dyDescent="0.25">
      <c r="A13130"/>
    </row>
    <row r="13131" spans="1:1" x14ac:dyDescent="0.25">
      <c r="A13131"/>
    </row>
    <row r="13132" spans="1:1" x14ac:dyDescent="0.25">
      <c r="A13132"/>
    </row>
    <row r="13133" spans="1:1" x14ac:dyDescent="0.25">
      <c r="A13133"/>
    </row>
    <row r="13134" spans="1:1" x14ac:dyDescent="0.25">
      <c r="A13134"/>
    </row>
    <row r="13135" spans="1:1" x14ac:dyDescent="0.25">
      <c r="A13135"/>
    </row>
    <row r="13136" spans="1:1" x14ac:dyDescent="0.25">
      <c r="A13136"/>
    </row>
    <row r="13137" spans="1:1" x14ac:dyDescent="0.25">
      <c r="A13137"/>
    </row>
    <row r="13138" spans="1:1" x14ac:dyDescent="0.25">
      <c r="A13138"/>
    </row>
    <row r="13139" spans="1:1" x14ac:dyDescent="0.25">
      <c r="A13139"/>
    </row>
    <row r="13140" spans="1:1" x14ac:dyDescent="0.25">
      <c r="A13140"/>
    </row>
    <row r="13141" spans="1:1" x14ac:dyDescent="0.25">
      <c r="A13141"/>
    </row>
    <row r="13142" spans="1:1" x14ac:dyDescent="0.25">
      <c r="A13142"/>
    </row>
    <row r="13143" spans="1:1" x14ac:dyDescent="0.25">
      <c r="A13143"/>
    </row>
    <row r="13144" spans="1:1" x14ac:dyDescent="0.25">
      <c r="A13144"/>
    </row>
    <row r="13145" spans="1:1" x14ac:dyDescent="0.25">
      <c r="A13145"/>
    </row>
    <row r="13146" spans="1:1" x14ac:dyDescent="0.25">
      <c r="A13146"/>
    </row>
    <row r="13147" spans="1:1" x14ac:dyDescent="0.25">
      <c r="A13147"/>
    </row>
    <row r="13148" spans="1:1" x14ac:dyDescent="0.25">
      <c r="A13148"/>
    </row>
    <row r="13149" spans="1:1" x14ac:dyDescent="0.25">
      <c r="A13149"/>
    </row>
    <row r="13150" spans="1:1" x14ac:dyDescent="0.25">
      <c r="A13150"/>
    </row>
    <row r="13151" spans="1:1" x14ac:dyDescent="0.25">
      <c r="A13151"/>
    </row>
    <row r="13152" spans="1:1" x14ac:dyDescent="0.25">
      <c r="A13152"/>
    </row>
    <row r="13153" spans="1:1" x14ac:dyDescent="0.25">
      <c r="A13153"/>
    </row>
    <row r="13154" spans="1:1" x14ac:dyDescent="0.25">
      <c r="A13154"/>
    </row>
    <row r="13155" spans="1:1" x14ac:dyDescent="0.25">
      <c r="A13155"/>
    </row>
    <row r="13156" spans="1:1" x14ac:dyDescent="0.25">
      <c r="A13156"/>
    </row>
    <row r="13157" spans="1:1" x14ac:dyDescent="0.25">
      <c r="A13157"/>
    </row>
    <row r="13158" spans="1:1" x14ac:dyDescent="0.25">
      <c r="A13158"/>
    </row>
    <row r="13159" spans="1:1" x14ac:dyDescent="0.25">
      <c r="A13159"/>
    </row>
    <row r="13160" spans="1:1" x14ac:dyDescent="0.25">
      <c r="A13160"/>
    </row>
    <row r="13161" spans="1:1" x14ac:dyDescent="0.25">
      <c r="A13161"/>
    </row>
    <row r="13162" spans="1:1" x14ac:dyDescent="0.25">
      <c r="A13162"/>
    </row>
    <row r="13163" spans="1:1" x14ac:dyDescent="0.25">
      <c r="A13163"/>
    </row>
    <row r="13164" spans="1:1" x14ac:dyDescent="0.25">
      <c r="A13164"/>
    </row>
    <row r="13165" spans="1:1" x14ac:dyDescent="0.25">
      <c r="A13165"/>
    </row>
    <row r="13166" spans="1:1" x14ac:dyDescent="0.25">
      <c r="A13166"/>
    </row>
    <row r="13167" spans="1:1" x14ac:dyDescent="0.25">
      <c r="A13167"/>
    </row>
    <row r="13168" spans="1:1" x14ac:dyDescent="0.25">
      <c r="A13168"/>
    </row>
    <row r="13169" spans="1:1" x14ac:dyDescent="0.25">
      <c r="A13169"/>
    </row>
    <row r="13170" spans="1:1" x14ac:dyDescent="0.25">
      <c r="A13170"/>
    </row>
    <row r="13171" spans="1:1" x14ac:dyDescent="0.25">
      <c r="A13171"/>
    </row>
    <row r="13172" spans="1:1" x14ac:dyDescent="0.25">
      <c r="A13172"/>
    </row>
    <row r="13173" spans="1:1" x14ac:dyDescent="0.25">
      <c r="A13173"/>
    </row>
    <row r="13174" spans="1:1" x14ac:dyDescent="0.25">
      <c r="A13174"/>
    </row>
    <row r="13175" spans="1:1" x14ac:dyDescent="0.25">
      <c r="A13175"/>
    </row>
    <row r="13176" spans="1:1" x14ac:dyDescent="0.25">
      <c r="A13176"/>
    </row>
    <row r="13177" spans="1:1" x14ac:dyDescent="0.25">
      <c r="A13177"/>
    </row>
    <row r="13178" spans="1:1" x14ac:dyDescent="0.25">
      <c r="A13178"/>
    </row>
    <row r="13179" spans="1:1" x14ac:dyDescent="0.25">
      <c r="A13179"/>
    </row>
    <row r="13180" spans="1:1" x14ac:dyDescent="0.25">
      <c r="A13180"/>
    </row>
    <row r="13181" spans="1:1" x14ac:dyDescent="0.25">
      <c r="A13181"/>
    </row>
    <row r="13182" spans="1:1" x14ac:dyDescent="0.25">
      <c r="A13182"/>
    </row>
    <row r="13183" spans="1:1" x14ac:dyDescent="0.25">
      <c r="A13183"/>
    </row>
    <row r="13184" spans="1:1" x14ac:dyDescent="0.25">
      <c r="A13184"/>
    </row>
    <row r="13185" spans="1:1" x14ac:dyDescent="0.25">
      <c r="A13185"/>
    </row>
    <row r="13186" spans="1:1" x14ac:dyDescent="0.25">
      <c r="A13186"/>
    </row>
    <row r="13187" spans="1:1" x14ac:dyDescent="0.25">
      <c r="A13187"/>
    </row>
    <row r="13188" spans="1:1" x14ac:dyDescent="0.25">
      <c r="A13188"/>
    </row>
    <row r="13189" spans="1:1" x14ac:dyDescent="0.25">
      <c r="A13189"/>
    </row>
    <row r="13190" spans="1:1" x14ac:dyDescent="0.25">
      <c r="A13190"/>
    </row>
    <row r="13191" spans="1:1" x14ac:dyDescent="0.25">
      <c r="A13191"/>
    </row>
    <row r="13192" spans="1:1" x14ac:dyDescent="0.25">
      <c r="A13192"/>
    </row>
    <row r="13193" spans="1:1" x14ac:dyDescent="0.25">
      <c r="A13193"/>
    </row>
    <row r="13194" spans="1:1" x14ac:dyDescent="0.25">
      <c r="A13194"/>
    </row>
    <row r="13195" spans="1:1" x14ac:dyDescent="0.25">
      <c r="A13195"/>
    </row>
    <row r="13196" spans="1:1" x14ac:dyDescent="0.25">
      <c r="A13196"/>
    </row>
    <row r="13197" spans="1:1" x14ac:dyDescent="0.25">
      <c r="A13197"/>
    </row>
    <row r="13198" spans="1:1" x14ac:dyDescent="0.25">
      <c r="A13198"/>
    </row>
    <row r="13199" spans="1:1" x14ac:dyDescent="0.25">
      <c r="A13199"/>
    </row>
    <row r="13200" spans="1:1" x14ac:dyDescent="0.25">
      <c r="A13200"/>
    </row>
    <row r="13201" spans="1:1" x14ac:dyDescent="0.25">
      <c r="A13201"/>
    </row>
    <row r="13202" spans="1:1" x14ac:dyDescent="0.25">
      <c r="A13202"/>
    </row>
    <row r="13203" spans="1:1" x14ac:dyDescent="0.25">
      <c r="A13203"/>
    </row>
    <row r="13204" spans="1:1" x14ac:dyDescent="0.25">
      <c r="A13204"/>
    </row>
    <row r="13205" spans="1:1" x14ac:dyDescent="0.25">
      <c r="A13205"/>
    </row>
    <row r="13206" spans="1:1" x14ac:dyDescent="0.25">
      <c r="A13206"/>
    </row>
    <row r="13207" spans="1:1" x14ac:dyDescent="0.25">
      <c r="A13207"/>
    </row>
    <row r="13208" spans="1:1" x14ac:dyDescent="0.25">
      <c r="A13208"/>
    </row>
    <row r="13209" spans="1:1" x14ac:dyDescent="0.25">
      <c r="A13209"/>
    </row>
    <row r="13210" spans="1:1" x14ac:dyDescent="0.25">
      <c r="A13210"/>
    </row>
    <row r="13211" spans="1:1" x14ac:dyDescent="0.25">
      <c r="A13211"/>
    </row>
    <row r="13212" spans="1:1" x14ac:dyDescent="0.25">
      <c r="A13212"/>
    </row>
    <row r="13213" spans="1:1" x14ac:dyDescent="0.25">
      <c r="A13213"/>
    </row>
    <row r="13214" spans="1:1" x14ac:dyDescent="0.25">
      <c r="A13214"/>
    </row>
    <row r="13215" spans="1:1" x14ac:dyDescent="0.25">
      <c r="A13215"/>
    </row>
    <row r="13216" spans="1:1" x14ac:dyDescent="0.25">
      <c r="A13216"/>
    </row>
    <row r="13217" spans="1:1" x14ac:dyDescent="0.25">
      <c r="A13217"/>
    </row>
    <row r="13218" spans="1:1" x14ac:dyDescent="0.25">
      <c r="A13218"/>
    </row>
    <row r="13219" spans="1:1" x14ac:dyDescent="0.25">
      <c r="A13219"/>
    </row>
    <row r="13220" spans="1:1" x14ac:dyDescent="0.25">
      <c r="A13220"/>
    </row>
    <row r="13221" spans="1:1" x14ac:dyDescent="0.25">
      <c r="A13221"/>
    </row>
    <row r="13222" spans="1:1" x14ac:dyDescent="0.25">
      <c r="A13222"/>
    </row>
    <row r="13223" spans="1:1" x14ac:dyDescent="0.25">
      <c r="A13223"/>
    </row>
    <row r="13224" spans="1:1" x14ac:dyDescent="0.25">
      <c r="A13224"/>
    </row>
    <row r="13225" spans="1:1" x14ac:dyDescent="0.25">
      <c r="A13225"/>
    </row>
    <row r="13226" spans="1:1" x14ac:dyDescent="0.25">
      <c r="A13226"/>
    </row>
    <row r="13227" spans="1:1" x14ac:dyDescent="0.25">
      <c r="A13227"/>
    </row>
    <row r="13228" spans="1:1" x14ac:dyDescent="0.25">
      <c r="A13228"/>
    </row>
    <row r="13229" spans="1:1" x14ac:dyDescent="0.25">
      <c r="A13229"/>
    </row>
    <row r="13230" spans="1:1" x14ac:dyDescent="0.25">
      <c r="A13230"/>
    </row>
    <row r="13231" spans="1:1" x14ac:dyDescent="0.25">
      <c r="A13231"/>
    </row>
    <row r="13232" spans="1:1" x14ac:dyDescent="0.25">
      <c r="A13232"/>
    </row>
    <row r="13233" spans="1:1" x14ac:dyDescent="0.25">
      <c r="A13233"/>
    </row>
    <row r="13234" spans="1:1" x14ac:dyDescent="0.25">
      <c r="A13234"/>
    </row>
    <row r="13235" spans="1:1" x14ac:dyDescent="0.25">
      <c r="A13235"/>
    </row>
    <row r="13236" spans="1:1" x14ac:dyDescent="0.25">
      <c r="A13236"/>
    </row>
    <row r="13237" spans="1:1" x14ac:dyDescent="0.25">
      <c r="A13237"/>
    </row>
    <row r="13238" spans="1:1" x14ac:dyDescent="0.25">
      <c r="A13238"/>
    </row>
    <row r="13239" spans="1:1" x14ac:dyDescent="0.25">
      <c r="A13239"/>
    </row>
    <row r="13240" spans="1:1" x14ac:dyDescent="0.25">
      <c r="A13240"/>
    </row>
    <row r="13241" spans="1:1" x14ac:dyDescent="0.25">
      <c r="A13241"/>
    </row>
    <row r="13242" spans="1:1" x14ac:dyDescent="0.25">
      <c r="A13242"/>
    </row>
    <row r="13243" spans="1:1" x14ac:dyDescent="0.25">
      <c r="A13243"/>
    </row>
    <row r="13244" spans="1:1" x14ac:dyDescent="0.25">
      <c r="A13244"/>
    </row>
    <row r="13245" spans="1:1" x14ac:dyDescent="0.25">
      <c r="A13245"/>
    </row>
    <row r="13246" spans="1:1" x14ac:dyDescent="0.25">
      <c r="A13246"/>
    </row>
    <row r="13247" spans="1:1" x14ac:dyDescent="0.25">
      <c r="A13247"/>
    </row>
    <row r="13248" spans="1:1" x14ac:dyDescent="0.25">
      <c r="A13248"/>
    </row>
    <row r="13249" spans="1:1" x14ac:dyDescent="0.25">
      <c r="A13249"/>
    </row>
    <row r="13250" spans="1:1" x14ac:dyDescent="0.25">
      <c r="A13250"/>
    </row>
    <row r="13251" spans="1:1" x14ac:dyDescent="0.25">
      <c r="A13251"/>
    </row>
    <row r="13252" spans="1:1" x14ac:dyDescent="0.25">
      <c r="A13252"/>
    </row>
    <row r="13253" spans="1:1" x14ac:dyDescent="0.25">
      <c r="A13253"/>
    </row>
    <row r="13254" spans="1:1" x14ac:dyDescent="0.25">
      <c r="A13254"/>
    </row>
    <row r="13255" spans="1:1" x14ac:dyDescent="0.25">
      <c r="A13255"/>
    </row>
    <row r="13256" spans="1:1" x14ac:dyDescent="0.25">
      <c r="A13256"/>
    </row>
    <row r="13257" spans="1:1" x14ac:dyDescent="0.25">
      <c r="A13257"/>
    </row>
    <row r="13258" spans="1:1" x14ac:dyDescent="0.25">
      <c r="A13258"/>
    </row>
    <row r="13259" spans="1:1" x14ac:dyDescent="0.25">
      <c r="A13259"/>
    </row>
    <row r="13260" spans="1:1" x14ac:dyDescent="0.25">
      <c r="A13260"/>
    </row>
    <row r="13261" spans="1:1" x14ac:dyDescent="0.25">
      <c r="A13261"/>
    </row>
    <row r="13262" spans="1:1" x14ac:dyDescent="0.25">
      <c r="A13262"/>
    </row>
    <row r="13263" spans="1:1" x14ac:dyDescent="0.25">
      <c r="A13263"/>
    </row>
    <row r="13264" spans="1:1" x14ac:dyDescent="0.25">
      <c r="A13264"/>
    </row>
    <row r="13265" spans="1:1" x14ac:dyDescent="0.25">
      <c r="A13265"/>
    </row>
    <row r="13266" spans="1:1" x14ac:dyDescent="0.25">
      <c r="A13266"/>
    </row>
    <row r="13267" spans="1:1" x14ac:dyDescent="0.25">
      <c r="A13267"/>
    </row>
    <row r="13268" spans="1:1" x14ac:dyDescent="0.25">
      <c r="A13268"/>
    </row>
    <row r="13269" spans="1:1" x14ac:dyDescent="0.25">
      <c r="A13269"/>
    </row>
    <row r="13270" spans="1:1" x14ac:dyDescent="0.25">
      <c r="A13270"/>
    </row>
    <row r="13271" spans="1:1" x14ac:dyDescent="0.25">
      <c r="A13271"/>
    </row>
    <row r="13272" spans="1:1" x14ac:dyDescent="0.25">
      <c r="A13272"/>
    </row>
    <row r="13273" spans="1:1" x14ac:dyDescent="0.25">
      <c r="A13273"/>
    </row>
    <row r="13274" spans="1:1" x14ac:dyDescent="0.25">
      <c r="A13274"/>
    </row>
    <row r="13275" spans="1:1" x14ac:dyDescent="0.25">
      <c r="A13275"/>
    </row>
    <row r="13276" spans="1:1" x14ac:dyDescent="0.25">
      <c r="A13276"/>
    </row>
    <row r="13277" spans="1:1" x14ac:dyDescent="0.25">
      <c r="A13277"/>
    </row>
    <row r="13278" spans="1:1" x14ac:dyDescent="0.25">
      <c r="A13278"/>
    </row>
    <row r="13279" spans="1:1" x14ac:dyDescent="0.25">
      <c r="A13279"/>
    </row>
    <row r="13280" spans="1:1" x14ac:dyDescent="0.25">
      <c r="A13280"/>
    </row>
    <row r="13281" spans="1:1" x14ac:dyDescent="0.25">
      <c r="A13281"/>
    </row>
    <row r="13282" spans="1:1" x14ac:dyDescent="0.25">
      <c r="A13282"/>
    </row>
    <row r="13283" spans="1:1" x14ac:dyDescent="0.25">
      <c r="A13283"/>
    </row>
    <row r="13284" spans="1:1" x14ac:dyDescent="0.25">
      <c r="A13284"/>
    </row>
    <row r="13285" spans="1:1" x14ac:dyDescent="0.25">
      <c r="A13285"/>
    </row>
    <row r="13286" spans="1:1" x14ac:dyDescent="0.25">
      <c r="A13286"/>
    </row>
    <row r="13287" spans="1:1" x14ac:dyDescent="0.25">
      <c r="A13287"/>
    </row>
    <row r="13288" spans="1:1" x14ac:dyDescent="0.25">
      <c r="A13288"/>
    </row>
    <row r="13289" spans="1:1" x14ac:dyDescent="0.25">
      <c r="A13289"/>
    </row>
    <row r="13290" spans="1:1" x14ac:dyDescent="0.25">
      <c r="A13290"/>
    </row>
    <row r="13291" spans="1:1" x14ac:dyDescent="0.25">
      <c r="A13291"/>
    </row>
    <row r="13292" spans="1:1" x14ac:dyDescent="0.25">
      <c r="A13292"/>
    </row>
    <row r="13293" spans="1:1" x14ac:dyDescent="0.25">
      <c r="A13293"/>
    </row>
    <row r="13294" spans="1:1" x14ac:dyDescent="0.25">
      <c r="A13294"/>
    </row>
    <row r="13295" spans="1:1" x14ac:dyDescent="0.25">
      <c r="A13295"/>
    </row>
    <row r="13296" spans="1:1" x14ac:dyDescent="0.25">
      <c r="A13296"/>
    </row>
    <row r="13297" spans="1:1" x14ac:dyDescent="0.25">
      <c r="A13297"/>
    </row>
    <row r="13298" spans="1:1" x14ac:dyDescent="0.25">
      <c r="A13298"/>
    </row>
    <row r="13299" spans="1:1" x14ac:dyDescent="0.25">
      <c r="A13299"/>
    </row>
    <row r="13300" spans="1:1" x14ac:dyDescent="0.25">
      <c r="A13300"/>
    </row>
    <row r="13301" spans="1:1" x14ac:dyDescent="0.25">
      <c r="A13301"/>
    </row>
    <row r="13302" spans="1:1" x14ac:dyDescent="0.25">
      <c r="A13302"/>
    </row>
    <row r="13303" spans="1:1" x14ac:dyDescent="0.25">
      <c r="A13303"/>
    </row>
    <row r="13304" spans="1:1" x14ac:dyDescent="0.25">
      <c r="A13304"/>
    </row>
    <row r="13305" spans="1:1" x14ac:dyDescent="0.25">
      <c r="A13305"/>
    </row>
    <row r="13306" spans="1:1" x14ac:dyDescent="0.25">
      <c r="A13306"/>
    </row>
    <row r="13307" spans="1:1" x14ac:dyDescent="0.25">
      <c r="A13307"/>
    </row>
    <row r="13308" spans="1:1" x14ac:dyDescent="0.25">
      <c r="A13308"/>
    </row>
    <row r="13309" spans="1:1" x14ac:dyDescent="0.25">
      <c r="A13309"/>
    </row>
    <row r="13310" spans="1:1" x14ac:dyDescent="0.25">
      <c r="A13310"/>
    </row>
    <row r="13311" spans="1:1" x14ac:dyDescent="0.25">
      <c r="A13311"/>
    </row>
    <row r="13312" spans="1:1" x14ac:dyDescent="0.25">
      <c r="A13312"/>
    </row>
    <row r="13313" spans="1:1" x14ac:dyDescent="0.25">
      <c r="A13313"/>
    </row>
    <row r="13314" spans="1:1" x14ac:dyDescent="0.25">
      <c r="A13314"/>
    </row>
    <row r="13315" spans="1:1" x14ac:dyDescent="0.25">
      <c r="A13315"/>
    </row>
    <row r="13316" spans="1:1" x14ac:dyDescent="0.25">
      <c r="A13316"/>
    </row>
    <row r="13317" spans="1:1" x14ac:dyDescent="0.25">
      <c r="A13317"/>
    </row>
    <row r="13318" spans="1:1" x14ac:dyDescent="0.25">
      <c r="A13318"/>
    </row>
    <row r="13319" spans="1:1" x14ac:dyDescent="0.25">
      <c r="A13319"/>
    </row>
    <row r="13320" spans="1:1" x14ac:dyDescent="0.25">
      <c r="A13320"/>
    </row>
    <row r="13321" spans="1:1" x14ac:dyDescent="0.25">
      <c r="A13321"/>
    </row>
    <row r="13322" spans="1:1" x14ac:dyDescent="0.25">
      <c r="A13322"/>
    </row>
    <row r="13323" spans="1:1" x14ac:dyDescent="0.25">
      <c r="A13323"/>
    </row>
    <row r="13324" spans="1:1" x14ac:dyDescent="0.25">
      <c r="A13324"/>
    </row>
    <row r="13325" spans="1:1" x14ac:dyDescent="0.25">
      <c r="A13325"/>
    </row>
    <row r="13326" spans="1:1" x14ac:dyDescent="0.25">
      <c r="A13326"/>
    </row>
    <row r="13327" spans="1:1" x14ac:dyDescent="0.25">
      <c r="A13327"/>
    </row>
    <row r="13328" spans="1:1" x14ac:dyDescent="0.25">
      <c r="A13328"/>
    </row>
    <row r="13329" spans="1:1" x14ac:dyDescent="0.25">
      <c r="A13329"/>
    </row>
    <row r="13330" spans="1:1" x14ac:dyDescent="0.25">
      <c r="A13330"/>
    </row>
    <row r="13331" spans="1:1" x14ac:dyDescent="0.25">
      <c r="A13331"/>
    </row>
    <row r="13332" spans="1:1" x14ac:dyDescent="0.25">
      <c r="A13332"/>
    </row>
    <row r="13333" spans="1:1" x14ac:dyDescent="0.25">
      <c r="A13333"/>
    </row>
    <row r="13334" spans="1:1" x14ac:dyDescent="0.25">
      <c r="A13334"/>
    </row>
    <row r="13335" spans="1:1" x14ac:dyDescent="0.25">
      <c r="A13335"/>
    </row>
    <row r="13336" spans="1:1" x14ac:dyDescent="0.25">
      <c r="A13336"/>
    </row>
    <row r="13337" spans="1:1" x14ac:dyDescent="0.25">
      <c r="A13337"/>
    </row>
    <row r="13338" spans="1:1" x14ac:dyDescent="0.25">
      <c r="A13338"/>
    </row>
    <row r="13339" spans="1:1" x14ac:dyDescent="0.25">
      <c r="A13339"/>
    </row>
    <row r="13340" spans="1:1" x14ac:dyDescent="0.25">
      <c r="A13340"/>
    </row>
    <row r="13341" spans="1:1" x14ac:dyDescent="0.25">
      <c r="A13341"/>
    </row>
    <row r="13342" spans="1:1" x14ac:dyDescent="0.25">
      <c r="A13342"/>
    </row>
    <row r="13343" spans="1:1" x14ac:dyDescent="0.25">
      <c r="A13343"/>
    </row>
    <row r="13344" spans="1:1" x14ac:dyDescent="0.25">
      <c r="A13344"/>
    </row>
    <row r="13345" spans="1:1" x14ac:dyDescent="0.25">
      <c r="A13345"/>
    </row>
    <row r="13346" spans="1:1" x14ac:dyDescent="0.25">
      <c r="A13346"/>
    </row>
    <row r="13347" spans="1:1" x14ac:dyDescent="0.25">
      <c r="A13347"/>
    </row>
    <row r="13348" spans="1:1" x14ac:dyDescent="0.25">
      <c r="A13348"/>
    </row>
    <row r="13349" spans="1:1" x14ac:dyDescent="0.25">
      <c r="A13349"/>
    </row>
    <row r="13350" spans="1:1" x14ac:dyDescent="0.25">
      <c r="A13350"/>
    </row>
    <row r="13351" spans="1:1" x14ac:dyDescent="0.25">
      <c r="A13351"/>
    </row>
    <row r="13352" spans="1:1" x14ac:dyDescent="0.25">
      <c r="A13352"/>
    </row>
    <row r="13353" spans="1:1" x14ac:dyDescent="0.25">
      <c r="A13353"/>
    </row>
    <row r="13354" spans="1:1" x14ac:dyDescent="0.25">
      <c r="A13354"/>
    </row>
    <row r="13355" spans="1:1" x14ac:dyDescent="0.25">
      <c r="A13355"/>
    </row>
    <row r="13356" spans="1:1" x14ac:dyDescent="0.25">
      <c r="A13356"/>
    </row>
    <row r="13357" spans="1:1" x14ac:dyDescent="0.25">
      <c r="A13357"/>
    </row>
    <row r="13358" spans="1:1" x14ac:dyDescent="0.25">
      <c r="A13358"/>
    </row>
    <row r="13359" spans="1:1" x14ac:dyDescent="0.25">
      <c r="A13359"/>
    </row>
    <row r="13360" spans="1:1" x14ac:dyDescent="0.25">
      <c r="A13360"/>
    </row>
    <row r="13361" spans="1:1" x14ac:dyDescent="0.25">
      <c r="A13361"/>
    </row>
    <row r="13362" spans="1:1" x14ac:dyDescent="0.25">
      <c r="A13362"/>
    </row>
    <row r="13363" spans="1:1" x14ac:dyDescent="0.25">
      <c r="A13363"/>
    </row>
    <row r="13364" spans="1:1" x14ac:dyDescent="0.25">
      <c r="A13364"/>
    </row>
    <row r="13365" spans="1:1" x14ac:dyDescent="0.25">
      <c r="A13365"/>
    </row>
    <row r="13366" spans="1:1" x14ac:dyDescent="0.25">
      <c r="A13366"/>
    </row>
    <row r="13367" spans="1:1" x14ac:dyDescent="0.25">
      <c r="A13367"/>
    </row>
    <row r="13368" spans="1:1" x14ac:dyDescent="0.25">
      <c r="A13368"/>
    </row>
    <row r="13369" spans="1:1" x14ac:dyDescent="0.25">
      <c r="A13369"/>
    </row>
    <row r="13370" spans="1:1" x14ac:dyDescent="0.25">
      <c r="A13370"/>
    </row>
    <row r="13371" spans="1:1" x14ac:dyDescent="0.25">
      <c r="A13371"/>
    </row>
    <row r="13372" spans="1:1" x14ac:dyDescent="0.25">
      <c r="A13372"/>
    </row>
    <row r="13373" spans="1:1" x14ac:dyDescent="0.25">
      <c r="A13373"/>
    </row>
    <row r="13374" spans="1:1" x14ac:dyDescent="0.25">
      <c r="A13374"/>
    </row>
    <row r="13375" spans="1:1" x14ac:dyDescent="0.25">
      <c r="A13375"/>
    </row>
    <row r="13376" spans="1:1" x14ac:dyDescent="0.25">
      <c r="A13376"/>
    </row>
    <row r="13377" spans="1:1" x14ac:dyDescent="0.25">
      <c r="A13377"/>
    </row>
    <row r="13378" spans="1:1" x14ac:dyDescent="0.25">
      <c r="A13378"/>
    </row>
    <row r="13379" spans="1:1" x14ac:dyDescent="0.25">
      <c r="A13379"/>
    </row>
    <row r="13380" spans="1:1" x14ac:dyDescent="0.25">
      <c r="A13380"/>
    </row>
    <row r="13381" spans="1:1" x14ac:dyDescent="0.25">
      <c r="A13381"/>
    </row>
    <row r="13382" spans="1:1" x14ac:dyDescent="0.25">
      <c r="A13382"/>
    </row>
    <row r="13383" spans="1:1" x14ac:dyDescent="0.25">
      <c r="A13383"/>
    </row>
    <row r="13384" spans="1:1" x14ac:dyDescent="0.25">
      <c r="A13384"/>
    </row>
    <row r="13385" spans="1:1" x14ac:dyDescent="0.25">
      <c r="A13385"/>
    </row>
    <row r="13386" spans="1:1" x14ac:dyDescent="0.25">
      <c r="A13386"/>
    </row>
    <row r="13387" spans="1:1" x14ac:dyDescent="0.25">
      <c r="A13387"/>
    </row>
    <row r="13388" spans="1:1" x14ac:dyDescent="0.25">
      <c r="A13388"/>
    </row>
    <row r="13389" spans="1:1" x14ac:dyDescent="0.25">
      <c r="A13389"/>
    </row>
    <row r="13390" spans="1:1" x14ac:dyDescent="0.25">
      <c r="A13390"/>
    </row>
    <row r="13391" spans="1:1" x14ac:dyDescent="0.25">
      <c r="A13391"/>
    </row>
    <row r="13392" spans="1:1" x14ac:dyDescent="0.25">
      <c r="A13392"/>
    </row>
    <row r="13393" spans="1:1" x14ac:dyDescent="0.25">
      <c r="A13393"/>
    </row>
    <row r="13394" spans="1:1" x14ac:dyDescent="0.25">
      <c r="A13394"/>
    </row>
    <row r="13395" spans="1:1" x14ac:dyDescent="0.25">
      <c r="A13395"/>
    </row>
    <row r="13396" spans="1:1" x14ac:dyDescent="0.25">
      <c r="A13396"/>
    </row>
    <row r="13397" spans="1:1" x14ac:dyDescent="0.25">
      <c r="A13397"/>
    </row>
    <row r="13398" spans="1:1" x14ac:dyDescent="0.25">
      <c r="A13398"/>
    </row>
    <row r="13399" spans="1:1" x14ac:dyDescent="0.25">
      <c r="A13399"/>
    </row>
    <row r="13400" spans="1:1" x14ac:dyDescent="0.25">
      <c r="A13400"/>
    </row>
    <row r="13401" spans="1:1" x14ac:dyDescent="0.25">
      <c r="A13401"/>
    </row>
    <row r="13402" spans="1:1" x14ac:dyDescent="0.25">
      <c r="A13402"/>
    </row>
    <row r="13403" spans="1:1" x14ac:dyDescent="0.25">
      <c r="A13403"/>
    </row>
    <row r="13404" spans="1:1" x14ac:dyDescent="0.25">
      <c r="A13404"/>
    </row>
    <row r="13405" spans="1:1" x14ac:dyDescent="0.25">
      <c r="A13405"/>
    </row>
    <row r="13406" spans="1:1" x14ac:dyDescent="0.25">
      <c r="A13406"/>
    </row>
    <row r="13407" spans="1:1" x14ac:dyDescent="0.25">
      <c r="A13407"/>
    </row>
    <row r="13408" spans="1:1" x14ac:dyDescent="0.25">
      <c r="A13408"/>
    </row>
    <row r="13409" spans="1:1" x14ac:dyDescent="0.25">
      <c r="A13409"/>
    </row>
    <row r="13410" spans="1:1" x14ac:dyDescent="0.25">
      <c r="A13410"/>
    </row>
    <row r="13411" spans="1:1" x14ac:dyDescent="0.25">
      <c r="A13411"/>
    </row>
    <row r="13412" spans="1:1" x14ac:dyDescent="0.25">
      <c r="A13412"/>
    </row>
    <row r="13413" spans="1:1" x14ac:dyDescent="0.25">
      <c r="A13413"/>
    </row>
    <row r="13414" spans="1:1" x14ac:dyDescent="0.25">
      <c r="A13414"/>
    </row>
    <row r="13415" spans="1:1" x14ac:dyDescent="0.25">
      <c r="A13415"/>
    </row>
    <row r="13416" spans="1:1" x14ac:dyDescent="0.25">
      <c r="A13416"/>
    </row>
    <row r="13417" spans="1:1" x14ac:dyDescent="0.25">
      <c r="A13417"/>
    </row>
    <row r="13418" spans="1:1" x14ac:dyDescent="0.25">
      <c r="A13418"/>
    </row>
    <row r="13419" spans="1:1" x14ac:dyDescent="0.25">
      <c r="A13419"/>
    </row>
    <row r="13420" spans="1:1" x14ac:dyDescent="0.25">
      <c r="A13420"/>
    </row>
    <row r="13421" spans="1:1" x14ac:dyDescent="0.25">
      <c r="A13421"/>
    </row>
    <row r="13422" spans="1:1" x14ac:dyDescent="0.25">
      <c r="A13422"/>
    </row>
    <row r="13423" spans="1:1" x14ac:dyDescent="0.25">
      <c r="A13423"/>
    </row>
    <row r="13424" spans="1:1" x14ac:dyDescent="0.25">
      <c r="A13424"/>
    </row>
    <row r="13425" spans="1:1" x14ac:dyDescent="0.25">
      <c r="A13425"/>
    </row>
    <row r="13426" spans="1:1" x14ac:dyDescent="0.25">
      <c r="A13426"/>
    </row>
    <row r="13427" spans="1:1" x14ac:dyDescent="0.25">
      <c r="A13427"/>
    </row>
    <row r="13428" spans="1:1" x14ac:dyDescent="0.25">
      <c r="A13428"/>
    </row>
    <row r="13429" spans="1:1" x14ac:dyDescent="0.25">
      <c r="A13429"/>
    </row>
    <row r="13430" spans="1:1" x14ac:dyDescent="0.25">
      <c r="A13430"/>
    </row>
    <row r="13431" spans="1:1" x14ac:dyDescent="0.25">
      <c r="A13431"/>
    </row>
    <row r="13432" spans="1:1" x14ac:dyDescent="0.25">
      <c r="A13432"/>
    </row>
    <row r="13433" spans="1:1" x14ac:dyDescent="0.25">
      <c r="A13433"/>
    </row>
    <row r="13434" spans="1:1" x14ac:dyDescent="0.25">
      <c r="A13434"/>
    </row>
    <row r="13435" spans="1:1" x14ac:dyDescent="0.25">
      <c r="A13435"/>
    </row>
    <row r="13436" spans="1:1" x14ac:dyDescent="0.25">
      <c r="A13436"/>
    </row>
    <row r="13437" spans="1:1" x14ac:dyDescent="0.25">
      <c r="A13437"/>
    </row>
    <row r="13438" spans="1:1" x14ac:dyDescent="0.25">
      <c r="A13438"/>
    </row>
    <row r="13439" spans="1:1" x14ac:dyDescent="0.25">
      <c r="A13439"/>
    </row>
    <row r="13440" spans="1:1" x14ac:dyDescent="0.25">
      <c r="A13440"/>
    </row>
    <row r="13441" spans="1:1" x14ac:dyDescent="0.25">
      <c r="A13441"/>
    </row>
    <row r="13442" spans="1:1" x14ac:dyDescent="0.25">
      <c r="A13442"/>
    </row>
    <row r="13443" spans="1:1" x14ac:dyDescent="0.25">
      <c r="A13443"/>
    </row>
    <row r="13444" spans="1:1" x14ac:dyDescent="0.25">
      <c r="A13444"/>
    </row>
    <row r="13445" spans="1:1" x14ac:dyDescent="0.25">
      <c r="A13445"/>
    </row>
    <row r="13446" spans="1:1" x14ac:dyDescent="0.25">
      <c r="A13446"/>
    </row>
    <row r="13447" spans="1:1" x14ac:dyDescent="0.25">
      <c r="A13447"/>
    </row>
    <row r="13448" spans="1:1" x14ac:dyDescent="0.25">
      <c r="A13448"/>
    </row>
    <row r="13449" spans="1:1" x14ac:dyDescent="0.25">
      <c r="A13449"/>
    </row>
    <row r="13450" spans="1:1" x14ac:dyDescent="0.25">
      <c r="A13450"/>
    </row>
    <row r="13451" spans="1:1" x14ac:dyDescent="0.25">
      <c r="A13451"/>
    </row>
    <row r="13452" spans="1:1" x14ac:dyDescent="0.25">
      <c r="A13452"/>
    </row>
    <row r="13453" spans="1:1" x14ac:dyDescent="0.25">
      <c r="A13453"/>
    </row>
    <row r="13454" spans="1:1" x14ac:dyDescent="0.25">
      <c r="A13454"/>
    </row>
    <row r="13455" spans="1:1" x14ac:dyDescent="0.25">
      <c r="A13455"/>
    </row>
    <row r="13456" spans="1:1" x14ac:dyDescent="0.25">
      <c r="A13456"/>
    </row>
    <row r="13457" spans="1:1" x14ac:dyDescent="0.25">
      <c r="A13457"/>
    </row>
    <row r="13458" spans="1:1" x14ac:dyDescent="0.25">
      <c r="A13458"/>
    </row>
    <row r="13459" spans="1:1" x14ac:dyDescent="0.25">
      <c r="A13459"/>
    </row>
    <row r="13460" spans="1:1" x14ac:dyDescent="0.25">
      <c r="A13460"/>
    </row>
    <row r="13461" spans="1:1" x14ac:dyDescent="0.25">
      <c r="A13461"/>
    </row>
    <row r="13462" spans="1:1" x14ac:dyDescent="0.25">
      <c r="A13462"/>
    </row>
    <row r="13463" spans="1:1" x14ac:dyDescent="0.25">
      <c r="A13463"/>
    </row>
    <row r="13464" spans="1:1" x14ac:dyDescent="0.25">
      <c r="A13464"/>
    </row>
    <row r="13465" spans="1:1" x14ac:dyDescent="0.25">
      <c r="A13465"/>
    </row>
    <row r="13466" spans="1:1" x14ac:dyDescent="0.25">
      <c r="A13466"/>
    </row>
    <row r="13467" spans="1:1" x14ac:dyDescent="0.25">
      <c r="A13467"/>
    </row>
    <row r="13468" spans="1:1" x14ac:dyDescent="0.25">
      <c r="A13468"/>
    </row>
    <row r="13469" spans="1:1" x14ac:dyDescent="0.25">
      <c r="A13469"/>
    </row>
    <row r="13470" spans="1:1" x14ac:dyDescent="0.25">
      <c r="A13470"/>
    </row>
    <row r="13471" spans="1:1" x14ac:dyDescent="0.25">
      <c r="A13471"/>
    </row>
    <row r="13472" spans="1:1" x14ac:dyDescent="0.25">
      <c r="A13472"/>
    </row>
    <row r="13473" spans="1:1" x14ac:dyDescent="0.25">
      <c r="A13473"/>
    </row>
    <row r="13474" spans="1:1" x14ac:dyDescent="0.25">
      <c r="A13474"/>
    </row>
    <row r="13475" spans="1:1" x14ac:dyDescent="0.25">
      <c r="A13475"/>
    </row>
    <row r="13476" spans="1:1" x14ac:dyDescent="0.25">
      <c r="A13476"/>
    </row>
    <row r="13477" spans="1:1" x14ac:dyDescent="0.25">
      <c r="A13477"/>
    </row>
    <row r="13478" spans="1:1" x14ac:dyDescent="0.25">
      <c r="A13478"/>
    </row>
    <row r="13479" spans="1:1" x14ac:dyDescent="0.25">
      <c r="A13479"/>
    </row>
    <row r="13480" spans="1:1" x14ac:dyDescent="0.25">
      <c r="A13480"/>
    </row>
    <row r="13481" spans="1:1" x14ac:dyDescent="0.25">
      <c r="A13481"/>
    </row>
    <row r="13482" spans="1:1" x14ac:dyDescent="0.25">
      <c r="A13482"/>
    </row>
    <row r="13483" spans="1:1" x14ac:dyDescent="0.25">
      <c r="A13483"/>
    </row>
    <row r="13484" spans="1:1" x14ac:dyDescent="0.25">
      <c r="A13484"/>
    </row>
    <row r="13485" spans="1:1" x14ac:dyDescent="0.25">
      <c r="A13485"/>
    </row>
    <row r="13486" spans="1:1" x14ac:dyDescent="0.25">
      <c r="A13486"/>
    </row>
    <row r="13487" spans="1:1" x14ac:dyDescent="0.25">
      <c r="A13487"/>
    </row>
    <row r="13488" spans="1:1" x14ac:dyDescent="0.25">
      <c r="A13488"/>
    </row>
    <row r="13489" spans="1:1" x14ac:dyDescent="0.25">
      <c r="A13489"/>
    </row>
    <row r="13490" spans="1:1" x14ac:dyDescent="0.25">
      <c r="A13490"/>
    </row>
    <row r="13491" spans="1:1" x14ac:dyDescent="0.25">
      <c r="A13491"/>
    </row>
    <row r="13492" spans="1:1" x14ac:dyDescent="0.25">
      <c r="A13492"/>
    </row>
    <row r="13493" spans="1:1" x14ac:dyDescent="0.25">
      <c r="A13493"/>
    </row>
    <row r="13494" spans="1:1" x14ac:dyDescent="0.25">
      <c r="A13494"/>
    </row>
    <row r="13495" spans="1:1" x14ac:dyDescent="0.25">
      <c r="A13495"/>
    </row>
    <row r="13496" spans="1:1" x14ac:dyDescent="0.25">
      <c r="A13496"/>
    </row>
    <row r="13497" spans="1:1" x14ac:dyDescent="0.25">
      <c r="A13497"/>
    </row>
    <row r="13498" spans="1:1" x14ac:dyDescent="0.25">
      <c r="A13498"/>
    </row>
    <row r="13499" spans="1:1" x14ac:dyDescent="0.25">
      <c r="A13499"/>
    </row>
    <row r="13500" spans="1:1" x14ac:dyDescent="0.25">
      <c r="A13500"/>
    </row>
    <row r="13501" spans="1:1" x14ac:dyDescent="0.25">
      <c r="A13501"/>
    </row>
    <row r="13502" spans="1:1" x14ac:dyDescent="0.25">
      <c r="A13502"/>
    </row>
    <row r="13503" spans="1:1" x14ac:dyDescent="0.25">
      <c r="A13503"/>
    </row>
    <row r="13504" spans="1:1" x14ac:dyDescent="0.25">
      <c r="A13504"/>
    </row>
    <row r="13505" spans="1:1" x14ac:dyDescent="0.25">
      <c r="A13505"/>
    </row>
    <row r="13506" spans="1:1" x14ac:dyDescent="0.25">
      <c r="A13506"/>
    </row>
    <row r="13507" spans="1:1" x14ac:dyDescent="0.25">
      <c r="A13507"/>
    </row>
    <row r="13508" spans="1:1" x14ac:dyDescent="0.25">
      <c r="A13508"/>
    </row>
    <row r="13509" spans="1:1" x14ac:dyDescent="0.25">
      <c r="A13509"/>
    </row>
    <row r="13510" spans="1:1" x14ac:dyDescent="0.25">
      <c r="A13510"/>
    </row>
    <row r="13511" spans="1:1" x14ac:dyDescent="0.25">
      <c r="A13511"/>
    </row>
    <row r="13512" spans="1:1" x14ac:dyDescent="0.25">
      <c r="A13512"/>
    </row>
    <row r="13513" spans="1:1" x14ac:dyDescent="0.25">
      <c r="A13513"/>
    </row>
    <row r="13514" spans="1:1" x14ac:dyDescent="0.25">
      <c r="A13514"/>
    </row>
    <row r="13515" spans="1:1" x14ac:dyDescent="0.25">
      <c r="A13515"/>
    </row>
    <row r="13516" spans="1:1" x14ac:dyDescent="0.25">
      <c r="A13516"/>
    </row>
    <row r="13517" spans="1:1" x14ac:dyDescent="0.25">
      <c r="A13517"/>
    </row>
    <row r="13518" spans="1:1" x14ac:dyDescent="0.25">
      <c r="A13518"/>
    </row>
    <row r="13519" spans="1:1" x14ac:dyDescent="0.25">
      <c r="A13519"/>
    </row>
    <row r="13520" spans="1:1" x14ac:dyDescent="0.25">
      <c r="A13520"/>
    </row>
    <row r="13521" spans="1:1" x14ac:dyDescent="0.25">
      <c r="A13521"/>
    </row>
    <row r="13522" spans="1:1" x14ac:dyDescent="0.25">
      <c r="A13522"/>
    </row>
    <row r="13523" spans="1:1" x14ac:dyDescent="0.25">
      <c r="A13523"/>
    </row>
    <row r="13524" spans="1:1" x14ac:dyDescent="0.25">
      <c r="A13524"/>
    </row>
    <row r="13525" spans="1:1" x14ac:dyDescent="0.25">
      <c r="A13525"/>
    </row>
    <row r="13526" spans="1:1" x14ac:dyDescent="0.25">
      <c r="A13526"/>
    </row>
    <row r="13527" spans="1:1" x14ac:dyDescent="0.25">
      <c r="A13527"/>
    </row>
    <row r="13528" spans="1:1" x14ac:dyDescent="0.25">
      <c r="A13528"/>
    </row>
    <row r="13529" spans="1:1" x14ac:dyDescent="0.25">
      <c r="A13529"/>
    </row>
    <row r="13530" spans="1:1" x14ac:dyDescent="0.25">
      <c r="A13530"/>
    </row>
    <row r="13531" spans="1:1" x14ac:dyDescent="0.25">
      <c r="A13531"/>
    </row>
    <row r="13532" spans="1:1" x14ac:dyDescent="0.25">
      <c r="A13532"/>
    </row>
    <row r="13533" spans="1:1" x14ac:dyDescent="0.25">
      <c r="A13533"/>
    </row>
    <row r="13534" spans="1:1" x14ac:dyDescent="0.25">
      <c r="A13534"/>
    </row>
    <row r="13535" spans="1:1" x14ac:dyDescent="0.25">
      <c r="A13535"/>
    </row>
    <row r="13536" spans="1:1" x14ac:dyDescent="0.25">
      <c r="A13536"/>
    </row>
    <row r="13537" spans="1:1" x14ac:dyDescent="0.25">
      <c r="A13537"/>
    </row>
    <row r="13538" spans="1:1" x14ac:dyDescent="0.25">
      <c r="A13538"/>
    </row>
    <row r="13539" spans="1:1" x14ac:dyDescent="0.25">
      <c r="A13539"/>
    </row>
    <row r="13540" spans="1:1" x14ac:dyDescent="0.25">
      <c r="A13540"/>
    </row>
    <row r="13541" spans="1:1" x14ac:dyDescent="0.25">
      <c r="A13541"/>
    </row>
    <row r="13542" spans="1:1" x14ac:dyDescent="0.25">
      <c r="A13542"/>
    </row>
    <row r="13543" spans="1:1" x14ac:dyDescent="0.25">
      <c r="A13543"/>
    </row>
    <row r="13544" spans="1:1" x14ac:dyDescent="0.25">
      <c r="A13544"/>
    </row>
    <row r="13545" spans="1:1" x14ac:dyDescent="0.25">
      <c r="A13545"/>
    </row>
    <row r="13546" spans="1:1" x14ac:dyDescent="0.25">
      <c r="A13546"/>
    </row>
    <row r="13547" spans="1:1" x14ac:dyDescent="0.25">
      <c r="A13547"/>
    </row>
    <row r="13548" spans="1:1" x14ac:dyDescent="0.25">
      <c r="A13548"/>
    </row>
    <row r="13549" spans="1:1" x14ac:dyDescent="0.25">
      <c r="A13549"/>
    </row>
    <row r="13550" spans="1:1" x14ac:dyDescent="0.25">
      <c r="A13550"/>
    </row>
    <row r="13551" spans="1:1" x14ac:dyDescent="0.25">
      <c r="A13551"/>
    </row>
    <row r="13552" spans="1:1" x14ac:dyDescent="0.25">
      <c r="A13552"/>
    </row>
    <row r="13553" spans="1:1" x14ac:dyDescent="0.25">
      <c r="A13553"/>
    </row>
    <row r="13554" spans="1:1" x14ac:dyDescent="0.25">
      <c r="A13554"/>
    </row>
    <row r="13555" spans="1:1" x14ac:dyDescent="0.25">
      <c r="A13555"/>
    </row>
    <row r="13556" spans="1:1" x14ac:dyDescent="0.25">
      <c r="A13556"/>
    </row>
    <row r="13557" spans="1:1" x14ac:dyDescent="0.25">
      <c r="A13557"/>
    </row>
    <row r="13558" spans="1:1" x14ac:dyDescent="0.25">
      <c r="A13558"/>
    </row>
    <row r="13559" spans="1:1" x14ac:dyDescent="0.25">
      <c r="A13559"/>
    </row>
    <row r="13560" spans="1:1" x14ac:dyDescent="0.25">
      <c r="A13560"/>
    </row>
    <row r="13561" spans="1:1" x14ac:dyDescent="0.25">
      <c r="A13561"/>
    </row>
    <row r="13562" spans="1:1" x14ac:dyDescent="0.25">
      <c r="A13562"/>
    </row>
    <row r="13563" spans="1:1" x14ac:dyDescent="0.25">
      <c r="A13563"/>
    </row>
    <row r="13564" spans="1:1" x14ac:dyDescent="0.25">
      <c r="A13564"/>
    </row>
    <row r="13565" spans="1:1" x14ac:dyDescent="0.25">
      <c r="A13565"/>
    </row>
    <row r="13566" spans="1:1" x14ac:dyDescent="0.25">
      <c r="A13566"/>
    </row>
    <row r="13567" spans="1:1" x14ac:dyDescent="0.25">
      <c r="A13567"/>
    </row>
    <row r="13568" spans="1:1" x14ac:dyDescent="0.25">
      <c r="A13568"/>
    </row>
    <row r="13569" spans="1:1" x14ac:dyDescent="0.25">
      <c r="A13569"/>
    </row>
    <row r="13570" spans="1:1" x14ac:dyDescent="0.25">
      <c r="A13570"/>
    </row>
    <row r="13571" spans="1:1" x14ac:dyDescent="0.25">
      <c r="A13571"/>
    </row>
    <row r="13572" spans="1:1" x14ac:dyDescent="0.25">
      <c r="A13572"/>
    </row>
    <row r="13573" spans="1:1" x14ac:dyDescent="0.25">
      <c r="A13573"/>
    </row>
    <row r="13574" spans="1:1" x14ac:dyDescent="0.25">
      <c r="A13574"/>
    </row>
    <row r="13575" spans="1:1" x14ac:dyDescent="0.25">
      <c r="A13575"/>
    </row>
    <row r="13576" spans="1:1" x14ac:dyDescent="0.25">
      <c r="A13576"/>
    </row>
    <row r="13577" spans="1:1" x14ac:dyDescent="0.25">
      <c r="A13577"/>
    </row>
    <row r="13578" spans="1:1" x14ac:dyDescent="0.25">
      <c r="A13578"/>
    </row>
    <row r="13579" spans="1:1" x14ac:dyDescent="0.25">
      <c r="A13579"/>
    </row>
    <row r="13580" spans="1:1" x14ac:dyDescent="0.25">
      <c r="A13580"/>
    </row>
    <row r="13581" spans="1:1" x14ac:dyDescent="0.25">
      <c r="A13581"/>
    </row>
    <row r="13582" spans="1:1" x14ac:dyDescent="0.25">
      <c r="A13582"/>
    </row>
    <row r="13583" spans="1:1" x14ac:dyDescent="0.25">
      <c r="A13583"/>
    </row>
    <row r="13584" spans="1:1" x14ac:dyDescent="0.25">
      <c r="A13584"/>
    </row>
    <row r="13585" spans="1:1" x14ac:dyDescent="0.25">
      <c r="A13585"/>
    </row>
    <row r="13586" spans="1:1" x14ac:dyDescent="0.25">
      <c r="A13586"/>
    </row>
    <row r="13587" spans="1:1" x14ac:dyDescent="0.25">
      <c r="A13587"/>
    </row>
    <row r="13588" spans="1:1" x14ac:dyDescent="0.25">
      <c r="A13588"/>
    </row>
    <row r="13589" spans="1:1" x14ac:dyDescent="0.25">
      <c r="A13589"/>
    </row>
    <row r="13590" spans="1:1" x14ac:dyDescent="0.25">
      <c r="A13590"/>
    </row>
    <row r="13591" spans="1:1" x14ac:dyDescent="0.25">
      <c r="A13591"/>
    </row>
    <row r="13592" spans="1:1" x14ac:dyDescent="0.25">
      <c r="A13592"/>
    </row>
    <row r="13593" spans="1:1" x14ac:dyDescent="0.25">
      <c r="A13593"/>
    </row>
    <row r="13594" spans="1:1" x14ac:dyDescent="0.25">
      <c r="A13594"/>
    </row>
    <row r="13595" spans="1:1" x14ac:dyDescent="0.25">
      <c r="A13595"/>
    </row>
    <row r="13596" spans="1:1" x14ac:dyDescent="0.25">
      <c r="A13596"/>
    </row>
    <row r="13597" spans="1:1" x14ac:dyDescent="0.25">
      <c r="A13597"/>
    </row>
    <row r="13598" spans="1:1" x14ac:dyDescent="0.25">
      <c r="A13598"/>
    </row>
    <row r="13599" spans="1:1" x14ac:dyDescent="0.25">
      <c r="A13599"/>
    </row>
    <row r="13600" spans="1:1" x14ac:dyDescent="0.25">
      <c r="A13600"/>
    </row>
    <row r="13601" spans="1:1" x14ac:dyDescent="0.25">
      <c r="A13601"/>
    </row>
    <row r="13602" spans="1:1" x14ac:dyDescent="0.25">
      <c r="A13602"/>
    </row>
    <row r="13603" spans="1:1" x14ac:dyDescent="0.25">
      <c r="A13603"/>
    </row>
    <row r="13604" spans="1:1" x14ac:dyDescent="0.25">
      <c r="A13604"/>
    </row>
    <row r="13605" spans="1:1" x14ac:dyDescent="0.25">
      <c r="A13605"/>
    </row>
    <row r="13606" spans="1:1" x14ac:dyDescent="0.25">
      <c r="A13606"/>
    </row>
    <row r="13607" spans="1:1" x14ac:dyDescent="0.25">
      <c r="A13607"/>
    </row>
    <row r="13608" spans="1:1" x14ac:dyDescent="0.25">
      <c r="A13608"/>
    </row>
    <row r="13609" spans="1:1" x14ac:dyDescent="0.25">
      <c r="A13609"/>
    </row>
    <row r="13610" spans="1:1" x14ac:dyDescent="0.25">
      <c r="A13610"/>
    </row>
    <row r="13611" spans="1:1" x14ac:dyDescent="0.25">
      <c r="A13611"/>
    </row>
    <row r="13612" spans="1:1" x14ac:dyDescent="0.25">
      <c r="A13612"/>
    </row>
    <row r="13613" spans="1:1" x14ac:dyDescent="0.25">
      <c r="A13613"/>
    </row>
    <row r="13614" spans="1:1" x14ac:dyDescent="0.25">
      <c r="A13614"/>
    </row>
    <row r="13615" spans="1:1" x14ac:dyDescent="0.25">
      <c r="A13615"/>
    </row>
    <row r="13616" spans="1:1" x14ac:dyDescent="0.25">
      <c r="A13616"/>
    </row>
    <row r="13617" spans="1:1" x14ac:dyDescent="0.25">
      <c r="A13617"/>
    </row>
    <row r="13618" spans="1:1" x14ac:dyDescent="0.25">
      <c r="A13618"/>
    </row>
    <row r="13619" spans="1:1" x14ac:dyDescent="0.25">
      <c r="A13619"/>
    </row>
    <row r="13620" spans="1:1" x14ac:dyDescent="0.25">
      <c r="A13620"/>
    </row>
    <row r="13621" spans="1:1" x14ac:dyDescent="0.25">
      <c r="A13621"/>
    </row>
    <row r="13622" spans="1:1" x14ac:dyDescent="0.25">
      <c r="A13622"/>
    </row>
    <row r="13623" spans="1:1" x14ac:dyDescent="0.25">
      <c r="A13623"/>
    </row>
    <row r="13624" spans="1:1" x14ac:dyDescent="0.25">
      <c r="A13624"/>
    </row>
    <row r="13625" spans="1:1" x14ac:dyDescent="0.25">
      <c r="A13625"/>
    </row>
    <row r="13626" spans="1:1" x14ac:dyDescent="0.25">
      <c r="A13626"/>
    </row>
    <row r="13627" spans="1:1" x14ac:dyDescent="0.25">
      <c r="A13627"/>
    </row>
    <row r="13628" spans="1:1" x14ac:dyDescent="0.25">
      <c r="A13628"/>
    </row>
    <row r="13629" spans="1:1" x14ac:dyDescent="0.25">
      <c r="A13629"/>
    </row>
    <row r="13630" spans="1:1" x14ac:dyDescent="0.25">
      <c r="A13630"/>
    </row>
    <row r="13631" spans="1:1" x14ac:dyDescent="0.25">
      <c r="A13631"/>
    </row>
    <row r="13632" spans="1:1" x14ac:dyDescent="0.25">
      <c r="A13632"/>
    </row>
    <row r="13633" spans="1:1" x14ac:dyDescent="0.25">
      <c r="A13633"/>
    </row>
    <row r="13634" spans="1:1" x14ac:dyDescent="0.25">
      <c r="A13634"/>
    </row>
    <row r="13635" spans="1:1" x14ac:dyDescent="0.25">
      <c r="A13635"/>
    </row>
    <row r="13636" spans="1:1" x14ac:dyDescent="0.25">
      <c r="A13636"/>
    </row>
    <row r="13637" spans="1:1" x14ac:dyDescent="0.25">
      <c r="A13637"/>
    </row>
    <row r="13638" spans="1:1" x14ac:dyDescent="0.25">
      <c r="A13638"/>
    </row>
    <row r="13639" spans="1:1" x14ac:dyDescent="0.25">
      <c r="A13639"/>
    </row>
    <row r="13640" spans="1:1" x14ac:dyDescent="0.25">
      <c r="A13640"/>
    </row>
    <row r="13641" spans="1:1" x14ac:dyDescent="0.25">
      <c r="A13641"/>
    </row>
    <row r="13642" spans="1:1" x14ac:dyDescent="0.25">
      <c r="A13642"/>
    </row>
    <row r="13643" spans="1:1" x14ac:dyDescent="0.25">
      <c r="A13643"/>
    </row>
    <row r="13644" spans="1:1" x14ac:dyDescent="0.25">
      <c r="A13644"/>
    </row>
    <row r="13645" spans="1:1" x14ac:dyDescent="0.25">
      <c r="A13645"/>
    </row>
    <row r="13646" spans="1:1" x14ac:dyDescent="0.25">
      <c r="A13646"/>
    </row>
    <row r="13647" spans="1:1" x14ac:dyDescent="0.25">
      <c r="A13647"/>
    </row>
    <row r="13648" spans="1:1" x14ac:dyDescent="0.25">
      <c r="A13648"/>
    </row>
    <row r="13649" spans="1:1" x14ac:dyDescent="0.25">
      <c r="A13649"/>
    </row>
    <row r="13650" spans="1:1" x14ac:dyDescent="0.25">
      <c r="A13650"/>
    </row>
    <row r="13651" spans="1:1" x14ac:dyDescent="0.25">
      <c r="A13651"/>
    </row>
    <row r="13652" spans="1:1" x14ac:dyDescent="0.25">
      <c r="A13652"/>
    </row>
    <row r="13653" spans="1:1" x14ac:dyDescent="0.25">
      <c r="A13653"/>
    </row>
    <row r="13654" spans="1:1" x14ac:dyDescent="0.25">
      <c r="A13654"/>
    </row>
    <row r="13655" spans="1:1" x14ac:dyDescent="0.25">
      <c r="A13655"/>
    </row>
    <row r="13656" spans="1:1" x14ac:dyDescent="0.25">
      <c r="A13656"/>
    </row>
    <row r="13657" spans="1:1" x14ac:dyDescent="0.25">
      <c r="A13657"/>
    </row>
    <row r="13658" spans="1:1" x14ac:dyDescent="0.25">
      <c r="A13658"/>
    </row>
    <row r="13659" spans="1:1" x14ac:dyDescent="0.25">
      <c r="A13659"/>
    </row>
    <row r="13660" spans="1:1" x14ac:dyDescent="0.25">
      <c r="A13660"/>
    </row>
    <row r="13661" spans="1:1" x14ac:dyDescent="0.25">
      <c r="A13661"/>
    </row>
    <row r="13662" spans="1:1" x14ac:dyDescent="0.25">
      <c r="A13662"/>
    </row>
    <row r="13663" spans="1:1" x14ac:dyDescent="0.25">
      <c r="A13663"/>
    </row>
    <row r="13664" spans="1:1" x14ac:dyDescent="0.25">
      <c r="A13664"/>
    </row>
    <row r="13665" spans="1:1" x14ac:dyDescent="0.25">
      <c r="A13665"/>
    </row>
    <row r="13666" spans="1:1" x14ac:dyDescent="0.25">
      <c r="A13666"/>
    </row>
    <row r="13667" spans="1:1" x14ac:dyDescent="0.25">
      <c r="A13667"/>
    </row>
    <row r="13668" spans="1:1" x14ac:dyDescent="0.25">
      <c r="A13668"/>
    </row>
    <row r="13669" spans="1:1" x14ac:dyDescent="0.25">
      <c r="A13669"/>
    </row>
    <row r="13670" spans="1:1" x14ac:dyDescent="0.25">
      <c r="A13670"/>
    </row>
    <row r="13671" spans="1:1" x14ac:dyDescent="0.25">
      <c r="A13671"/>
    </row>
    <row r="13672" spans="1:1" x14ac:dyDescent="0.25">
      <c r="A13672"/>
    </row>
    <row r="13673" spans="1:1" x14ac:dyDescent="0.25">
      <c r="A13673"/>
    </row>
    <row r="13674" spans="1:1" x14ac:dyDescent="0.25">
      <c r="A13674"/>
    </row>
    <row r="13675" spans="1:1" x14ac:dyDescent="0.25">
      <c r="A13675"/>
    </row>
    <row r="13676" spans="1:1" x14ac:dyDescent="0.25">
      <c r="A13676"/>
    </row>
    <row r="13677" spans="1:1" x14ac:dyDescent="0.25">
      <c r="A13677"/>
    </row>
    <row r="13678" spans="1:1" x14ac:dyDescent="0.25">
      <c r="A13678"/>
    </row>
    <row r="13679" spans="1:1" x14ac:dyDescent="0.25">
      <c r="A13679"/>
    </row>
    <row r="13680" spans="1:1" x14ac:dyDescent="0.25">
      <c r="A13680"/>
    </row>
    <row r="13681" spans="1:1" x14ac:dyDescent="0.25">
      <c r="A13681"/>
    </row>
    <row r="13682" spans="1:1" x14ac:dyDescent="0.25">
      <c r="A13682"/>
    </row>
    <row r="13683" spans="1:1" x14ac:dyDescent="0.25">
      <c r="A13683"/>
    </row>
    <row r="13684" spans="1:1" x14ac:dyDescent="0.25">
      <c r="A13684"/>
    </row>
    <row r="13685" spans="1:1" x14ac:dyDescent="0.25">
      <c r="A13685"/>
    </row>
    <row r="13686" spans="1:1" x14ac:dyDescent="0.25">
      <c r="A13686"/>
    </row>
    <row r="13687" spans="1:1" x14ac:dyDescent="0.25">
      <c r="A13687"/>
    </row>
    <row r="13688" spans="1:1" x14ac:dyDescent="0.25">
      <c r="A13688"/>
    </row>
    <row r="13689" spans="1:1" x14ac:dyDescent="0.25">
      <c r="A13689"/>
    </row>
    <row r="13690" spans="1:1" x14ac:dyDescent="0.25">
      <c r="A13690"/>
    </row>
    <row r="13691" spans="1:1" x14ac:dyDescent="0.25">
      <c r="A13691"/>
    </row>
    <row r="13692" spans="1:1" x14ac:dyDescent="0.25">
      <c r="A13692"/>
    </row>
    <row r="13693" spans="1:1" x14ac:dyDescent="0.25">
      <c r="A13693"/>
    </row>
    <row r="13694" spans="1:1" x14ac:dyDescent="0.25">
      <c r="A13694"/>
    </row>
    <row r="13695" spans="1:1" x14ac:dyDescent="0.25">
      <c r="A13695"/>
    </row>
    <row r="13696" spans="1:1" x14ac:dyDescent="0.25">
      <c r="A13696"/>
    </row>
    <row r="13697" spans="1:1" x14ac:dyDescent="0.25">
      <c r="A13697"/>
    </row>
    <row r="13698" spans="1:1" x14ac:dyDescent="0.25">
      <c r="A13698"/>
    </row>
    <row r="13699" spans="1:1" x14ac:dyDescent="0.25">
      <c r="A13699"/>
    </row>
    <row r="13700" spans="1:1" x14ac:dyDescent="0.25">
      <c r="A13700"/>
    </row>
    <row r="13701" spans="1:1" x14ac:dyDescent="0.25">
      <c r="A13701"/>
    </row>
    <row r="13702" spans="1:1" x14ac:dyDescent="0.25">
      <c r="A13702"/>
    </row>
    <row r="13703" spans="1:1" x14ac:dyDescent="0.25">
      <c r="A13703"/>
    </row>
    <row r="13704" spans="1:1" x14ac:dyDescent="0.25">
      <c r="A13704"/>
    </row>
    <row r="13705" spans="1:1" x14ac:dyDescent="0.25">
      <c r="A13705"/>
    </row>
    <row r="13706" spans="1:1" x14ac:dyDescent="0.25">
      <c r="A13706"/>
    </row>
    <row r="13707" spans="1:1" x14ac:dyDescent="0.25">
      <c r="A13707"/>
    </row>
    <row r="13708" spans="1:1" x14ac:dyDescent="0.25">
      <c r="A13708"/>
    </row>
    <row r="13709" spans="1:1" x14ac:dyDescent="0.25">
      <c r="A13709"/>
    </row>
    <row r="13710" spans="1:1" x14ac:dyDescent="0.25">
      <c r="A13710"/>
    </row>
    <row r="13711" spans="1:1" x14ac:dyDescent="0.25">
      <c r="A13711"/>
    </row>
    <row r="13712" spans="1:1" x14ac:dyDescent="0.25">
      <c r="A13712"/>
    </row>
    <row r="13713" spans="1:1" x14ac:dyDescent="0.25">
      <c r="A13713"/>
    </row>
    <row r="13714" spans="1:1" x14ac:dyDescent="0.25">
      <c r="A13714"/>
    </row>
    <row r="13715" spans="1:1" x14ac:dyDescent="0.25">
      <c r="A13715"/>
    </row>
    <row r="13716" spans="1:1" x14ac:dyDescent="0.25">
      <c r="A13716"/>
    </row>
    <row r="13717" spans="1:1" x14ac:dyDescent="0.25">
      <c r="A13717"/>
    </row>
    <row r="13718" spans="1:1" x14ac:dyDescent="0.25">
      <c r="A13718"/>
    </row>
    <row r="13719" spans="1:1" x14ac:dyDescent="0.25">
      <c r="A13719"/>
    </row>
    <row r="13720" spans="1:1" x14ac:dyDescent="0.25">
      <c r="A13720"/>
    </row>
    <row r="13721" spans="1:1" x14ac:dyDescent="0.25">
      <c r="A13721"/>
    </row>
    <row r="13722" spans="1:1" x14ac:dyDescent="0.25">
      <c r="A13722"/>
    </row>
    <row r="13723" spans="1:1" x14ac:dyDescent="0.25">
      <c r="A13723"/>
    </row>
    <row r="13724" spans="1:1" x14ac:dyDescent="0.25">
      <c r="A13724"/>
    </row>
    <row r="13725" spans="1:1" x14ac:dyDescent="0.25">
      <c r="A13725"/>
    </row>
    <row r="13726" spans="1:1" x14ac:dyDescent="0.25">
      <c r="A13726"/>
    </row>
    <row r="13727" spans="1:1" x14ac:dyDescent="0.25">
      <c r="A13727"/>
    </row>
    <row r="13728" spans="1:1" x14ac:dyDescent="0.25">
      <c r="A13728"/>
    </row>
    <row r="13729" spans="1:1" x14ac:dyDescent="0.25">
      <c r="A13729"/>
    </row>
    <row r="13730" spans="1:1" x14ac:dyDescent="0.25">
      <c r="A13730"/>
    </row>
    <row r="13731" spans="1:1" x14ac:dyDescent="0.25">
      <c r="A13731"/>
    </row>
    <row r="13732" spans="1:1" x14ac:dyDescent="0.25">
      <c r="A13732"/>
    </row>
    <row r="13733" spans="1:1" x14ac:dyDescent="0.25">
      <c r="A13733"/>
    </row>
    <row r="13734" spans="1:1" x14ac:dyDescent="0.25">
      <c r="A13734"/>
    </row>
    <row r="13735" spans="1:1" x14ac:dyDescent="0.25">
      <c r="A13735"/>
    </row>
    <row r="13736" spans="1:1" x14ac:dyDescent="0.25">
      <c r="A13736"/>
    </row>
    <row r="13737" spans="1:1" x14ac:dyDescent="0.25">
      <c r="A13737"/>
    </row>
    <row r="13738" spans="1:1" x14ac:dyDescent="0.25">
      <c r="A13738"/>
    </row>
    <row r="13739" spans="1:1" x14ac:dyDescent="0.25">
      <c r="A13739"/>
    </row>
    <row r="13740" spans="1:1" x14ac:dyDescent="0.25">
      <c r="A13740"/>
    </row>
    <row r="13741" spans="1:1" x14ac:dyDescent="0.25">
      <c r="A13741"/>
    </row>
    <row r="13742" spans="1:1" x14ac:dyDescent="0.25">
      <c r="A13742"/>
    </row>
    <row r="13743" spans="1:1" x14ac:dyDescent="0.25">
      <c r="A13743"/>
    </row>
    <row r="13744" spans="1:1" x14ac:dyDescent="0.25">
      <c r="A13744"/>
    </row>
    <row r="13745" spans="1:1" x14ac:dyDescent="0.25">
      <c r="A13745"/>
    </row>
    <row r="13746" spans="1:1" x14ac:dyDescent="0.25">
      <c r="A13746"/>
    </row>
    <row r="13747" spans="1:1" x14ac:dyDescent="0.25">
      <c r="A13747"/>
    </row>
    <row r="13748" spans="1:1" x14ac:dyDescent="0.25">
      <c r="A13748"/>
    </row>
    <row r="13749" spans="1:1" x14ac:dyDescent="0.25">
      <c r="A13749"/>
    </row>
    <row r="13750" spans="1:1" x14ac:dyDescent="0.25">
      <c r="A13750"/>
    </row>
    <row r="13751" spans="1:1" x14ac:dyDescent="0.25">
      <c r="A13751"/>
    </row>
    <row r="13752" spans="1:1" x14ac:dyDescent="0.25">
      <c r="A13752"/>
    </row>
    <row r="13753" spans="1:1" x14ac:dyDescent="0.25">
      <c r="A13753"/>
    </row>
    <row r="13754" spans="1:1" x14ac:dyDescent="0.25">
      <c r="A13754"/>
    </row>
    <row r="13755" spans="1:1" x14ac:dyDescent="0.25">
      <c r="A13755"/>
    </row>
    <row r="13756" spans="1:1" x14ac:dyDescent="0.25">
      <c r="A13756"/>
    </row>
    <row r="13757" spans="1:1" x14ac:dyDescent="0.25">
      <c r="A13757"/>
    </row>
    <row r="13758" spans="1:1" x14ac:dyDescent="0.25">
      <c r="A13758"/>
    </row>
    <row r="13759" spans="1:1" x14ac:dyDescent="0.25">
      <c r="A13759"/>
    </row>
    <row r="13760" spans="1:1" x14ac:dyDescent="0.25">
      <c r="A13760"/>
    </row>
    <row r="13761" spans="1:1" x14ac:dyDescent="0.25">
      <c r="A13761"/>
    </row>
    <row r="13762" spans="1:1" x14ac:dyDescent="0.25">
      <c r="A13762"/>
    </row>
    <row r="13763" spans="1:1" x14ac:dyDescent="0.25">
      <c r="A13763"/>
    </row>
    <row r="13764" spans="1:1" x14ac:dyDescent="0.25">
      <c r="A13764"/>
    </row>
    <row r="13765" spans="1:1" x14ac:dyDescent="0.25">
      <c r="A13765"/>
    </row>
    <row r="13766" spans="1:1" x14ac:dyDescent="0.25">
      <c r="A13766"/>
    </row>
    <row r="13767" spans="1:1" x14ac:dyDescent="0.25">
      <c r="A13767"/>
    </row>
    <row r="13768" spans="1:1" x14ac:dyDescent="0.25">
      <c r="A13768"/>
    </row>
    <row r="13769" spans="1:1" x14ac:dyDescent="0.25">
      <c r="A13769"/>
    </row>
    <row r="13770" spans="1:1" x14ac:dyDescent="0.25">
      <c r="A13770"/>
    </row>
    <row r="13771" spans="1:1" x14ac:dyDescent="0.25">
      <c r="A13771"/>
    </row>
    <row r="13772" spans="1:1" x14ac:dyDescent="0.25">
      <c r="A13772"/>
    </row>
    <row r="13773" spans="1:1" x14ac:dyDescent="0.25">
      <c r="A13773"/>
    </row>
    <row r="13774" spans="1:1" x14ac:dyDescent="0.25">
      <c r="A13774"/>
    </row>
    <row r="13775" spans="1:1" x14ac:dyDescent="0.25">
      <c r="A13775"/>
    </row>
    <row r="13776" spans="1:1" x14ac:dyDescent="0.25">
      <c r="A13776"/>
    </row>
    <row r="13777" spans="1:1" x14ac:dyDescent="0.25">
      <c r="A13777"/>
    </row>
    <row r="13778" spans="1:1" x14ac:dyDescent="0.25">
      <c r="A13778"/>
    </row>
    <row r="13779" spans="1:1" x14ac:dyDescent="0.25">
      <c r="A13779"/>
    </row>
    <row r="13780" spans="1:1" x14ac:dyDescent="0.25">
      <c r="A13780"/>
    </row>
    <row r="13781" spans="1:1" x14ac:dyDescent="0.25">
      <c r="A13781"/>
    </row>
    <row r="13782" spans="1:1" x14ac:dyDescent="0.25">
      <c r="A13782"/>
    </row>
    <row r="13783" spans="1:1" x14ac:dyDescent="0.25">
      <c r="A13783"/>
    </row>
    <row r="13784" spans="1:1" x14ac:dyDescent="0.25">
      <c r="A13784"/>
    </row>
    <row r="13785" spans="1:1" x14ac:dyDescent="0.25">
      <c r="A13785"/>
    </row>
    <row r="13786" spans="1:1" x14ac:dyDescent="0.25">
      <c r="A13786"/>
    </row>
    <row r="13787" spans="1:1" x14ac:dyDescent="0.25">
      <c r="A13787"/>
    </row>
    <row r="13788" spans="1:1" x14ac:dyDescent="0.25">
      <c r="A13788"/>
    </row>
    <row r="13789" spans="1:1" x14ac:dyDescent="0.25">
      <c r="A13789"/>
    </row>
    <row r="13790" spans="1:1" x14ac:dyDescent="0.25">
      <c r="A13790"/>
    </row>
    <row r="13791" spans="1:1" x14ac:dyDescent="0.25">
      <c r="A13791"/>
    </row>
    <row r="13792" spans="1:1" x14ac:dyDescent="0.25">
      <c r="A13792"/>
    </row>
    <row r="13793" spans="1:1" x14ac:dyDescent="0.25">
      <c r="A13793"/>
    </row>
    <row r="13794" spans="1:1" x14ac:dyDescent="0.25">
      <c r="A13794"/>
    </row>
    <row r="13795" spans="1:1" x14ac:dyDescent="0.25">
      <c r="A13795"/>
    </row>
    <row r="13796" spans="1:1" x14ac:dyDescent="0.25">
      <c r="A13796"/>
    </row>
    <row r="13797" spans="1:1" x14ac:dyDescent="0.25">
      <c r="A13797"/>
    </row>
    <row r="13798" spans="1:1" x14ac:dyDescent="0.25">
      <c r="A13798"/>
    </row>
    <row r="13799" spans="1:1" x14ac:dyDescent="0.25">
      <c r="A13799"/>
    </row>
    <row r="13800" spans="1:1" x14ac:dyDescent="0.25">
      <c r="A13800"/>
    </row>
    <row r="13801" spans="1:1" x14ac:dyDescent="0.25">
      <c r="A13801"/>
    </row>
    <row r="13802" spans="1:1" x14ac:dyDescent="0.25">
      <c r="A13802"/>
    </row>
    <row r="13803" spans="1:1" x14ac:dyDescent="0.25">
      <c r="A13803"/>
    </row>
    <row r="13804" spans="1:1" x14ac:dyDescent="0.25">
      <c r="A13804"/>
    </row>
    <row r="13805" spans="1:1" x14ac:dyDescent="0.25">
      <c r="A13805"/>
    </row>
    <row r="13806" spans="1:1" x14ac:dyDescent="0.25">
      <c r="A13806"/>
    </row>
    <row r="13807" spans="1:1" x14ac:dyDescent="0.25">
      <c r="A13807"/>
    </row>
    <row r="13808" spans="1:1" x14ac:dyDescent="0.25">
      <c r="A13808"/>
    </row>
    <row r="13809" spans="1:1" x14ac:dyDescent="0.25">
      <c r="A13809"/>
    </row>
    <row r="13810" spans="1:1" x14ac:dyDescent="0.25">
      <c r="A13810"/>
    </row>
    <row r="13811" spans="1:1" x14ac:dyDescent="0.25">
      <c r="A13811"/>
    </row>
    <row r="13812" spans="1:1" x14ac:dyDescent="0.25">
      <c r="A13812"/>
    </row>
    <row r="13813" spans="1:1" x14ac:dyDescent="0.25">
      <c r="A13813"/>
    </row>
    <row r="13814" spans="1:1" x14ac:dyDescent="0.25">
      <c r="A13814"/>
    </row>
    <row r="13815" spans="1:1" x14ac:dyDescent="0.25">
      <c r="A13815"/>
    </row>
    <row r="13816" spans="1:1" x14ac:dyDescent="0.25">
      <c r="A13816"/>
    </row>
    <row r="13817" spans="1:1" x14ac:dyDescent="0.25">
      <c r="A13817"/>
    </row>
    <row r="13818" spans="1:1" x14ac:dyDescent="0.25">
      <c r="A13818"/>
    </row>
    <row r="13819" spans="1:1" x14ac:dyDescent="0.25">
      <c r="A13819"/>
    </row>
    <row r="13820" spans="1:1" x14ac:dyDescent="0.25">
      <c r="A13820"/>
    </row>
    <row r="13821" spans="1:1" x14ac:dyDescent="0.25">
      <c r="A13821"/>
    </row>
    <row r="13822" spans="1:1" x14ac:dyDescent="0.25">
      <c r="A13822"/>
    </row>
    <row r="13823" spans="1:1" x14ac:dyDescent="0.25">
      <c r="A13823"/>
    </row>
    <row r="13824" spans="1:1" x14ac:dyDescent="0.25">
      <c r="A13824"/>
    </row>
    <row r="13825" spans="1:1" x14ac:dyDescent="0.25">
      <c r="A13825"/>
    </row>
    <row r="13826" spans="1:1" x14ac:dyDescent="0.25">
      <c r="A13826"/>
    </row>
    <row r="13827" spans="1:1" x14ac:dyDescent="0.25">
      <c r="A13827"/>
    </row>
    <row r="13828" spans="1:1" x14ac:dyDescent="0.25">
      <c r="A13828"/>
    </row>
    <row r="13829" spans="1:1" x14ac:dyDescent="0.25">
      <c r="A13829"/>
    </row>
    <row r="13830" spans="1:1" x14ac:dyDescent="0.25">
      <c r="A13830"/>
    </row>
    <row r="13831" spans="1:1" x14ac:dyDescent="0.25">
      <c r="A13831"/>
    </row>
    <row r="13832" spans="1:1" x14ac:dyDescent="0.25">
      <c r="A13832"/>
    </row>
    <row r="13833" spans="1:1" x14ac:dyDescent="0.25">
      <c r="A13833"/>
    </row>
    <row r="13834" spans="1:1" x14ac:dyDescent="0.25">
      <c r="A13834"/>
    </row>
    <row r="13835" spans="1:1" x14ac:dyDescent="0.25">
      <c r="A13835"/>
    </row>
    <row r="13836" spans="1:1" x14ac:dyDescent="0.25">
      <c r="A13836"/>
    </row>
    <row r="13837" spans="1:1" x14ac:dyDescent="0.25">
      <c r="A13837"/>
    </row>
    <row r="13838" spans="1:1" x14ac:dyDescent="0.25">
      <c r="A13838"/>
    </row>
    <row r="13839" spans="1:1" x14ac:dyDescent="0.25">
      <c r="A13839"/>
    </row>
    <row r="13840" spans="1:1" x14ac:dyDescent="0.25">
      <c r="A13840"/>
    </row>
    <row r="13841" spans="1:1" x14ac:dyDescent="0.25">
      <c r="A13841"/>
    </row>
    <row r="13842" spans="1:1" x14ac:dyDescent="0.25">
      <c r="A13842"/>
    </row>
    <row r="13843" spans="1:1" x14ac:dyDescent="0.25">
      <c r="A13843"/>
    </row>
    <row r="13844" spans="1:1" x14ac:dyDescent="0.25">
      <c r="A13844"/>
    </row>
    <row r="13845" spans="1:1" x14ac:dyDescent="0.25">
      <c r="A13845"/>
    </row>
    <row r="13846" spans="1:1" x14ac:dyDescent="0.25">
      <c r="A13846"/>
    </row>
    <row r="13847" spans="1:1" x14ac:dyDescent="0.25">
      <c r="A13847"/>
    </row>
    <row r="13848" spans="1:1" x14ac:dyDescent="0.25">
      <c r="A13848"/>
    </row>
    <row r="13849" spans="1:1" x14ac:dyDescent="0.25">
      <c r="A13849"/>
    </row>
    <row r="13850" spans="1:1" x14ac:dyDescent="0.25">
      <c r="A13850"/>
    </row>
    <row r="13851" spans="1:1" x14ac:dyDescent="0.25">
      <c r="A13851"/>
    </row>
    <row r="13852" spans="1:1" x14ac:dyDescent="0.25">
      <c r="A13852"/>
    </row>
    <row r="13853" spans="1:1" x14ac:dyDescent="0.25">
      <c r="A13853"/>
    </row>
    <row r="13854" spans="1:1" x14ac:dyDescent="0.25">
      <c r="A13854"/>
    </row>
    <row r="13855" spans="1:1" x14ac:dyDescent="0.25">
      <c r="A13855"/>
    </row>
    <row r="13856" spans="1:1" x14ac:dyDescent="0.25">
      <c r="A13856"/>
    </row>
    <row r="13857" spans="1:1" x14ac:dyDescent="0.25">
      <c r="A13857"/>
    </row>
    <row r="13858" spans="1:1" x14ac:dyDescent="0.25">
      <c r="A13858"/>
    </row>
    <row r="13859" spans="1:1" x14ac:dyDescent="0.25">
      <c r="A13859"/>
    </row>
    <row r="13860" spans="1:1" x14ac:dyDescent="0.25">
      <c r="A13860"/>
    </row>
    <row r="13861" spans="1:1" x14ac:dyDescent="0.25">
      <c r="A13861"/>
    </row>
    <row r="13862" spans="1:1" x14ac:dyDescent="0.25">
      <c r="A13862"/>
    </row>
    <row r="13863" spans="1:1" x14ac:dyDescent="0.25">
      <c r="A13863"/>
    </row>
    <row r="13864" spans="1:1" x14ac:dyDescent="0.25">
      <c r="A13864"/>
    </row>
    <row r="13865" spans="1:1" x14ac:dyDescent="0.25">
      <c r="A13865"/>
    </row>
    <row r="13866" spans="1:1" x14ac:dyDescent="0.25">
      <c r="A13866"/>
    </row>
    <row r="13867" spans="1:1" x14ac:dyDescent="0.25">
      <c r="A13867"/>
    </row>
    <row r="13868" spans="1:1" x14ac:dyDescent="0.25">
      <c r="A13868"/>
    </row>
    <row r="13869" spans="1:1" x14ac:dyDescent="0.25">
      <c r="A13869"/>
    </row>
    <row r="13870" spans="1:1" x14ac:dyDescent="0.25">
      <c r="A13870"/>
    </row>
    <row r="13871" spans="1:1" x14ac:dyDescent="0.25">
      <c r="A13871"/>
    </row>
    <row r="13872" spans="1:1" x14ac:dyDescent="0.25">
      <c r="A13872"/>
    </row>
    <row r="13873" spans="1:1" x14ac:dyDescent="0.25">
      <c r="A13873"/>
    </row>
    <row r="13874" spans="1:1" x14ac:dyDescent="0.25">
      <c r="A13874"/>
    </row>
    <row r="13875" spans="1:1" x14ac:dyDescent="0.25">
      <c r="A13875"/>
    </row>
    <row r="13876" spans="1:1" x14ac:dyDescent="0.25">
      <c r="A13876"/>
    </row>
    <row r="13877" spans="1:1" x14ac:dyDescent="0.25">
      <c r="A13877"/>
    </row>
    <row r="13878" spans="1:1" x14ac:dyDescent="0.25">
      <c r="A13878"/>
    </row>
    <row r="13879" spans="1:1" x14ac:dyDescent="0.25">
      <c r="A13879"/>
    </row>
    <row r="13880" spans="1:1" x14ac:dyDescent="0.25">
      <c r="A13880"/>
    </row>
    <row r="13881" spans="1:1" x14ac:dyDescent="0.25">
      <c r="A13881"/>
    </row>
    <row r="13882" spans="1:1" x14ac:dyDescent="0.25">
      <c r="A13882"/>
    </row>
    <row r="13883" spans="1:1" x14ac:dyDescent="0.25">
      <c r="A13883"/>
    </row>
    <row r="13884" spans="1:1" x14ac:dyDescent="0.25">
      <c r="A13884"/>
    </row>
    <row r="13885" spans="1:1" x14ac:dyDescent="0.25">
      <c r="A13885"/>
    </row>
    <row r="13886" spans="1:1" x14ac:dyDescent="0.25">
      <c r="A13886"/>
    </row>
    <row r="13887" spans="1:1" x14ac:dyDescent="0.25">
      <c r="A13887"/>
    </row>
    <row r="13888" spans="1:1" x14ac:dyDescent="0.25">
      <c r="A13888"/>
    </row>
    <row r="13889" spans="1:1" x14ac:dyDescent="0.25">
      <c r="A13889"/>
    </row>
    <row r="13890" spans="1:1" x14ac:dyDescent="0.25">
      <c r="A13890"/>
    </row>
    <row r="13891" spans="1:1" x14ac:dyDescent="0.25">
      <c r="A13891"/>
    </row>
    <row r="13892" spans="1:1" x14ac:dyDescent="0.25">
      <c r="A13892"/>
    </row>
    <row r="13893" spans="1:1" x14ac:dyDescent="0.25">
      <c r="A13893"/>
    </row>
    <row r="13894" spans="1:1" x14ac:dyDescent="0.25">
      <c r="A13894"/>
    </row>
    <row r="13895" spans="1:1" x14ac:dyDescent="0.25">
      <c r="A13895"/>
    </row>
    <row r="13896" spans="1:1" x14ac:dyDescent="0.25">
      <c r="A13896"/>
    </row>
    <row r="13897" spans="1:1" x14ac:dyDescent="0.25">
      <c r="A13897"/>
    </row>
    <row r="13898" spans="1:1" x14ac:dyDescent="0.25">
      <c r="A13898"/>
    </row>
    <row r="13899" spans="1:1" x14ac:dyDescent="0.25">
      <c r="A13899"/>
    </row>
    <row r="13900" spans="1:1" x14ac:dyDescent="0.25">
      <c r="A13900"/>
    </row>
    <row r="13901" spans="1:1" x14ac:dyDescent="0.25">
      <c r="A13901"/>
    </row>
    <row r="13902" spans="1:1" x14ac:dyDescent="0.25">
      <c r="A13902"/>
    </row>
    <row r="13903" spans="1:1" x14ac:dyDescent="0.25">
      <c r="A13903"/>
    </row>
    <row r="13904" spans="1:1" x14ac:dyDescent="0.25">
      <c r="A13904"/>
    </row>
    <row r="13905" spans="1:1" x14ac:dyDescent="0.25">
      <c r="A13905"/>
    </row>
    <row r="13906" spans="1:1" x14ac:dyDescent="0.25">
      <c r="A13906"/>
    </row>
    <row r="13907" spans="1:1" x14ac:dyDescent="0.25">
      <c r="A13907"/>
    </row>
    <row r="13908" spans="1:1" x14ac:dyDescent="0.25">
      <c r="A13908"/>
    </row>
    <row r="13909" spans="1:1" x14ac:dyDescent="0.25">
      <c r="A13909"/>
    </row>
    <row r="13910" spans="1:1" x14ac:dyDescent="0.25">
      <c r="A13910"/>
    </row>
    <row r="13911" spans="1:1" x14ac:dyDescent="0.25">
      <c r="A13911"/>
    </row>
    <row r="13912" spans="1:1" x14ac:dyDescent="0.25">
      <c r="A13912"/>
    </row>
    <row r="13913" spans="1:1" x14ac:dyDescent="0.25">
      <c r="A13913"/>
    </row>
    <row r="13914" spans="1:1" x14ac:dyDescent="0.25">
      <c r="A13914"/>
    </row>
    <row r="13915" spans="1:1" x14ac:dyDescent="0.25">
      <c r="A13915"/>
    </row>
    <row r="13916" spans="1:1" x14ac:dyDescent="0.25">
      <c r="A13916"/>
    </row>
    <row r="13917" spans="1:1" x14ac:dyDescent="0.25">
      <c r="A13917"/>
    </row>
    <row r="13918" spans="1:1" x14ac:dyDescent="0.25">
      <c r="A13918"/>
    </row>
    <row r="13919" spans="1:1" x14ac:dyDescent="0.25">
      <c r="A13919"/>
    </row>
    <row r="13920" spans="1:1" x14ac:dyDescent="0.25">
      <c r="A13920"/>
    </row>
    <row r="13921" spans="1:1" x14ac:dyDescent="0.25">
      <c r="A13921"/>
    </row>
    <row r="13922" spans="1:1" x14ac:dyDescent="0.25">
      <c r="A13922"/>
    </row>
    <row r="13923" spans="1:1" x14ac:dyDescent="0.25">
      <c r="A13923"/>
    </row>
    <row r="13924" spans="1:1" x14ac:dyDescent="0.25">
      <c r="A13924"/>
    </row>
    <row r="13925" spans="1:1" x14ac:dyDescent="0.25">
      <c r="A13925"/>
    </row>
    <row r="13926" spans="1:1" x14ac:dyDescent="0.25">
      <c r="A13926"/>
    </row>
    <row r="13927" spans="1:1" x14ac:dyDescent="0.25">
      <c r="A13927"/>
    </row>
    <row r="13928" spans="1:1" x14ac:dyDescent="0.25">
      <c r="A13928"/>
    </row>
    <row r="13929" spans="1:1" x14ac:dyDescent="0.25">
      <c r="A13929"/>
    </row>
    <row r="13930" spans="1:1" x14ac:dyDescent="0.25">
      <c r="A13930"/>
    </row>
    <row r="13931" spans="1:1" x14ac:dyDescent="0.25">
      <c r="A13931"/>
    </row>
    <row r="13932" spans="1:1" x14ac:dyDescent="0.25">
      <c r="A13932"/>
    </row>
    <row r="13933" spans="1:1" x14ac:dyDescent="0.25">
      <c r="A13933"/>
    </row>
    <row r="13934" spans="1:1" x14ac:dyDescent="0.25">
      <c r="A13934"/>
    </row>
    <row r="13935" spans="1:1" x14ac:dyDescent="0.25">
      <c r="A13935"/>
    </row>
    <row r="13936" spans="1:1" x14ac:dyDescent="0.25">
      <c r="A13936"/>
    </row>
    <row r="13937" spans="1:1" x14ac:dyDescent="0.25">
      <c r="A13937"/>
    </row>
    <row r="13938" spans="1:1" x14ac:dyDescent="0.25">
      <c r="A13938"/>
    </row>
    <row r="13939" spans="1:1" x14ac:dyDescent="0.25">
      <c r="A13939"/>
    </row>
    <row r="13940" spans="1:1" x14ac:dyDescent="0.25">
      <c r="A13940"/>
    </row>
    <row r="13941" spans="1:1" x14ac:dyDescent="0.25">
      <c r="A13941"/>
    </row>
    <row r="13942" spans="1:1" x14ac:dyDescent="0.25">
      <c r="A13942"/>
    </row>
    <row r="13943" spans="1:1" x14ac:dyDescent="0.25">
      <c r="A13943"/>
    </row>
    <row r="13944" spans="1:1" x14ac:dyDescent="0.25">
      <c r="A13944"/>
    </row>
    <row r="13945" spans="1:1" x14ac:dyDescent="0.25">
      <c r="A13945"/>
    </row>
    <row r="13946" spans="1:1" x14ac:dyDescent="0.25">
      <c r="A13946"/>
    </row>
    <row r="13947" spans="1:1" x14ac:dyDescent="0.25">
      <c r="A13947"/>
    </row>
    <row r="13948" spans="1:1" x14ac:dyDescent="0.25">
      <c r="A13948"/>
    </row>
    <row r="13949" spans="1:1" x14ac:dyDescent="0.25">
      <c r="A13949"/>
    </row>
    <row r="13950" spans="1:1" x14ac:dyDescent="0.25">
      <c r="A13950"/>
    </row>
    <row r="13951" spans="1:1" x14ac:dyDescent="0.25">
      <c r="A13951"/>
    </row>
    <row r="13952" spans="1:1" x14ac:dyDescent="0.25">
      <c r="A13952"/>
    </row>
    <row r="13953" spans="1:1" x14ac:dyDescent="0.25">
      <c r="A13953"/>
    </row>
    <row r="13954" spans="1:1" x14ac:dyDescent="0.25">
      <c r="A13954"/>
    </row>
    <row r="13955" spans="1:1" x14ac:dyDescent="0.25">
      <c r="A13955"/>
    </row>
    <row r="13956" spans="1:1" x14ac:dyDescent="0.25">
      <c r="A13956"/>
    </row>
    <row r="13957" spans="1:1" x14ac:dyDescent="0.25">
      <c r="A13957"/>
    </row>
    <row r="13958" spans="1:1" x14ac:dyDescent="0.25">
      <c r="A13958"/>
    </row>
    <row r="13959" spans="1:1" x14ac:dyDescent="0.25">
      <c r="A13959"/>
    </row>
    <row r="13960" spans="1:1" x14ac:dyDescent="0.25">
      <c r="A13960"/>
    </row>
    <row r="13961" spans="1:1" x14ac:dyDescent="0.25">
      <c r="A13961"/>
    </row>
    <row r="13962" spans="1:1" x14ac:dyDescent="0.25">
      <c r="A13962"/>
    </row>
    <row r="13963" spans="1:1" x14ac:dyDescent="0.25">
      <c r="A13963"/>
    </row>
    <row r="13964" spans="1:1" x14ac:dyDescent="0.25">
      <c r="A13964"/>
    </row>
    <row r="13965" spans="1:1" x14ac:dyDescent="0.25">
      <c r="A13965"/>
    </row>
    <row r="13966" spans="1:1" x14ac:dyDescent="0.25">
      <c r="A13966"/>
    </row>
    <row r="13967" spans="1:1" x14ac:dyDescent="0.25">
      <c r="A13967"/>
    </row>
    <row r="13968" spans="1:1" x14ac:dyDescent="0.25">
      <c r="A13968"/>
    </row>
    <row r="13969" spans="1:1" x14ac:dyDescent="0.25">
      <c r="A13969"/>
    </row>
    <row r="13970" spans="1:1" x14ac:dyDescent="0.25">
      <c r="A13970"/>
    </row>
    <row r="13971" spans="1:1" x14ac:dyDescent="0.25">
      <c r="A13971"/>
    </row>
    <row r="13972" spans="1:1" x14ac:dyDescent="0.25">
      <c r="A13972"/>
    </row>
    <row r="13973" spans="1:1" x14ac:dyDescent="0.25">
      <c r="A13973"/>
    </row>
    <row r="13974" spans="1:1" x14ac:dyDescent="0.25">
      <c r="A13974"/>
    </row>
    <row r="13975" spans="1:1" x14ac:dyDescent="0.25">
      <c r="A13975"/>
    </row>
    <row r="13976" spans="1:1" x14ac:dyDescent="0.25">
      <c r="A13976"/>
    </row>
    <row r="13977" spans="1:1" x14ac:dyDescent="0.25">
      <c r="A13977"/>
    </row>
    <row r="13978" spans="1:1" x14ac:dyDescent="0.25">
      <c r="A13978"/>
    </row>
    <row r="13979" spans="1:1" x14ac:dyDescent="0.25">
      <c r="A13979"/>
    </row>
    <row r="13980" spans="1:1" x14ac:dyDescent="0.25">
      <c r="A13980"/>
    </row>
    <row r="13981" spans="1:1" x14ac:dyDescent="0.25">
      <c r="A13981"/>
    </row>
    <row r="13982" spans="1:1" x14ac:dyDescent="0.25">
      <c r="A13982"/>
    </row>
    <row r="13983" spans="1:1" x14ac:dyDescent="0.25">
      <c r="A13983"/>
    </row>
    <row r="13984" spans="1:1" x14ac:dyDescent="0.25">
      <c r="A13984"/>
    </row>
    <row r="13985" spans="1:1" x14ac:dyDescent="0.25">
      <c r="A13985"/>
    </row>
    <row r="13986" spans="1:1" x14ac:dyDescent="0.25">
      <c r="A13986"/>
    </row>
    <row r="13987" spans="1:1" x14ac:dyDescent="0.25">
      <c r="A13987"/>
    </row>
    <row r="13988" spans="1:1" x14ac:dyDescent="0.25">
      <c r="A13988"/>
    </row>
    <row r="13989" spans="1:1" x14ac:dyDescent="0.25">
      <c r="A13989"/>
    </row>
    <row r="13990" spans="1:1" x14ac:dyDescent="0.25">
      <c r="A13990"/>
    </row>
    <row r="13991" spans="1:1" x14ac:dyDescent="0.25">
      <c r="A13991"/>
    </row>
    <row r="13992" spans="1:1" x14ac:dyDescent="0.25">
      <c r="A13992"/>
    </row>
    <row r="13993" spans="1:1" x14ac:dyDescent="0.25">
      <c r="A13993"/>
    </row>
    <row r="13994" spans="1:1" x14ac:dyDescent="0.25">
      <c r="A13994"/>
    </row>
    <row r="13995" spans="1:1" x14ac:dyDescent="0.25">
      <c r="A13995"/>
    </row>
    <row r="13996" spans="1:1" x14ac:dyDescent="0.25">
      <c r="A13996"/>
    </row>
    <row r="13997" spans="1:1" x14ac:dyDescent="0.25">
      <c r="A13997"/>
    </row>
    <row r="13998" spans="1:1" x14ac:dyDescent="0.25">
      <c r="A13998"/>
    </row>
    <row r="13999" spans="1:1" x14ac:dyDescent="0.25">
      <c r="A13999"/>
    </row>
    <row r="14000" spans="1:1" x14ac:dyDescent="0.25">
      <c r="A14000"/>
    </row>
    <row r="14001" spans="1:1" x14ac:dyDescent="0.25">
      <c r="A14001"/>
    </row>
    <row r="14002" spans="1:1" x14ac:dyDescent="0.25">
      <c r="A14002"/>
    </row>
    <row r="14003" spans="1:1" x14ac:dyDescent="0.25">
      <c r="A14003"/>
    </row>
    <row r="14004" spans="1:1" x14ac:dyDescent="0.25">
      <c r="A14004"/>
    </row>
    <row r="14005" spans="1:1" x14ac:dyDescent="0.25">
      <c r="A14005"/>
    </row>
    <row r="14006" spans="1:1" x14ac:dyDescent="0.25">
      <c r="A14006"/>
    </row>
    <row r="14007" spans="1:1" x14ac:dyDescent="0.25">
      <c r="A14007"/>
    </row>
    <row r="14008" spans="1:1" x14ac:dyDescent="0.25">
      <c r="A14008"/>
    </row>
    <row r="14009" spans="1:1" x14ac:dyDescent="0.25">
      <c r="A14009"/>
    </row>
    <row r="14010" spans="1:1" x14ac:dyDescent="0.25">
      <c r="A14010"/>
    </row>
    <row r="14011" spans="1:1" x14ac:dyDescent="0.25">
      <c r="A14011"/>
    </row>
    <row r="14012" spans="1:1" x14ac:dyDescent="0.25">
      <c r="A14012"/>
    </row>
    <row r="14013" spans="1:1" x14ac:dyDescent="0.25">
      <c r="A14013"/>
    </row>
    <row r="14014" spans="1:1" x14ac:dyDescent="0.25">
      <c r="A14014"/>
    </row>
    <row r="14015" spans="1:1" x14ac:dyDescent="0.25">
      <c r="A14015"/>
    </row>
    <row r="14016" spans="1:1" x14ac:dyDescent="0.25">
      <c r="A14016"/>
    </row>
    <row r="14017" spans="1:1" x14ac:dyDescent="0.25">
      <c r="A14017"/>
    </row>
    <row r="14018" spans="1:1" x14ac:dyDescent="0.25">
      <c r="A14018"/>
    </row>
    <row r="14019" spans="1:1" x14ac:dyDescent="0.25">
      <c r="A14019"/>
    </row>
    <row r="14020" spans="1:1" x14ac:dyDescent="0.25">
      <c r="A14020"/>
    </row>
    <row r="14021" spans="1:1" x14ac:dyDescent="0.25">
      <c r="A14021"/>
    </row>
    <row r="14022" spans="1:1" x14ac:dyDescent="0.25">
      <c r="A14022"/>
    </row>
    <row r="14023" spans="1:1" x14ac:dyDescent="0.25">
      <c r="A14023"/>
    </row>
    <row r="14024" spans="1:1" x14ac:dyDescent="0.25">
      <c r="A14024"/>
    </row>
    <row r="14025" spans="1:1" x14ac:dyDescent="0.25">
      <c r="A14025"/>
    </row>
    <row r="14026" spans="1:1" x14ac:dyDescent="0.25">
      <c r="A14026"/>
    </row>
    <row r="14027" spans="1:1" x14ac:dyDescent="0.25">
      <c r="A14027"/>
    </row>
    <row r="14028" spans="1:1" x14ac:dyDescent="0.25">
      <c r="A14028"/>
    </row>
    <row r="14029" spans="1:1" x14ac:dyDescent="0.25">
      <c r="A14029"/>
    </row>
    <row r="14030" spans="1:1" x14ac:dyDescent="0.25">
      <c r="A14030"/>
    </row>
    <row r="14031" spans="1:1" x14ac:dyDescent="0.25">
      <c r="A14031"/>
    </row>
    <row r="14032" spans="1:1" x14ac:dyDescent="0.25">
      <c r="A14032"/>
    </row>
    <row r="14033" spans="1:1" x14ac:dyDescent="0.25">
      <c r="A14033"/>
    </row>
    <row r="14034" spans="1:1" x14ac:dyDescent="0.25">
      <c r="A14034"/>
    </row>
    <row r="14035" spans="1:1" x14ac:dyDescent="0.25">
      <c r="A14035"/>
    </row>
    <row r="14036" spans="1:1" x14ac:dyDescent="0.25">
      <c r="A14036"/>
    </row>
    <row r="14037" spans="1:1" x14ac:dyDescent="0.25">
      <c r="A14037"/>
    </row>
    <row r="14038" spans="1:1" x14ac:dyDescent="0.25">
      <c r="A14038"/>
    </row>
    <row r="14039" spans="1:1" x14ac:dyDescent="0.25">
      <c r="A14039"/>
    </row>
    <row r="14040" spans="1:1" x14ac:dyDescent="0.25">
      <c r="A14040"/>
    </row>
    <row r="14041" spans="1:1" x14ac:dyDescent="0.25">
      <c r="A14041"/>
    </row>
    <row r="14042" spans="1:1" x14ac:dyDescent="0.25">
      <c r="A14042"/>
    </row>
    <row r="14043" spans="1:1" x14ac:dyDescent="0.25">
      <c r="A14043"/>
    </row>
    <row r="14044" spans="1:1" x14ac:dyDescent="0.25">
      <c r="A14044"/>
    </row>
    <row r="14045" spans="1:1" x14ac:dyDescent="0.25">
      <c r="A14045"/>
    </row>
    <row r="14046" spans="1:1" x14ac:dyDescent="0.25">
      <c r="A14046"/>
    </row>
    <row r="14047" spans="1:1" x14ac:dyDescent="0.25">
      <c r="A14047"/>
    </row>
    <row r="14048" spans="1:1" x14ac:dyDescent="0.25">
      <c r="A14048"/>
    </row>
    <row r="14049" spans="1:1" x14ac:dyDescent="0.25">
      <c r="A14049"/>
    </row>
    <row r="14050" spans="1:1" x14ac:dyDescent="0.25">
      <c r="A14050"/>
    </row>
    <row r="14051" spans="1:1" x14ac:dyDescent="0.25">
      <c r="A14051"/>
    </row>
    <row r="14052" spans="1:1" x14ac:dyDescent="0.25">
      <c r="A14052"/>
    </row>
    <row r="14053" spans="1:1" x14ac:dyDescent="0.25">
      <c r="A14053"/>
    </row>
    <row r="14054" spans="1:1" x14ac:dyDescent="0.25">
      <c r="A14054"/>
    </row>
    <row r="14055" spans="1:1" x14ac:dyDescent="0.25">
      <c r="A14055"/>
    </row>
    <row r="14056" spans="1:1" x14ac:dyDescent="0.25">
      <c r="A14056"/>
    </row>
    <row r="14057" spans="1:1" x14ac:dyDescent="0.25">
      <c r="A14057"/>
    </row>
    <row r="14058" spans="1:1" x14ac:dyDescent="0.25">
      <c r="A14058"/>
    </row>
    <row r="14059" spans="1:1" x14ac:dyDescent="0.25">
      <c r="A14059"/>
    </row>
    <row r="14060" spans="1:1" x14ac:dyDescent="0.25">
      <c r="A14060"/>
    </row>
    <row r="14061" spans="1:1" x14ac:dyDescent="0.25">
      <c r="A14061"/>
    </row>
    <row r="14062" spans="1:1" x14ac:dyDescent="0.25">
      <c r="A14062"/>
    </row>
    <row r="14063" spans="1:1" x14ac:dyDescent="0.25">
      <c r="A14063"/>
    </row>
    <row r="14064" spans="1:1" x14ac:dyDescent="0.25">
      <c r="A14064"/>
    </row>
    <row r="14065" spans="1:1" x14ac:dyDescent="0.25">
      <c r="A14065"/>
    </row>
    <row r="14066" spans="1:1" x14ac:dyDescent="0.25">
      <c r="A14066"/>
    </row>
    <row r="14067" spans="1:1" x14ac:dyDescent="0.25">
      <c r="A14067"/>
    </row>
    <row r="14068" spans="1:1" x14ac:dyDescent="0.25">
      <c r="A14068"/>
    </row>
    <row r="14069" spans="1:1" x14ac:dyDescent="0.25">
      <c r="A14069"/>
    </row>
    <row r="14070" spans="1:1" x14ac:dyDescent="0.25">
      <c r="A14070"/>
    </row>
    <row r="14071" spans="1:1" x14ac:dyDescent="0.25">
      <c r="A14071"/>
    </row>
    <row r="14072" spans="1:1" x14ac:dyDescent="0.25">
      <c r="A14072"/>
    </row>
    <row r="14073" spans="1:1" x14ac:dyDescent="0.25">
      <c r="A14073"/>
    </row>
    <row r="14074" spans="1:1" x14ac:dyDescent="0.25">
      <c r="A14074"/>
    </row>
    <row r="14075" spans="1:1" x14ac:dyDescent="0.25">
      <c r="A14075"/>
    </row>
    <row r="14076" spans="1:1" x14ac:dyDescent="0.25">
      <c r="A14076"/>
    </row>
    <row r="14077" spans="1:1" x14ac:dyDescent="0.25">
      <c r="A14077"/>
    </row>
    <row r="14078" spans="1:1" x14ac:dyDescent="0.25">
      <c r="A14078"/>
    </row>
    <row r="14079" spans="1:1" x14ac:dyDescent="0.25">
      <c r="A14079"/>
    </row>
    <row r="14080" spans="1:1" x14ac:dyDescent="0.25">
      <c r="A14080"/>
    </row>
    <row r="14081" spans="1:1" x14ac:dyDescent="0.25">
      <c r="A14081"/>
    </row>
    <row r="14082" spans="1:1" x14ac:dyDescent="0.25">
      <c r="A14082"/>
    </row>
    <row r="14083" spans="1:1" x14ac:dyDescent="0.25">
      <c r="A14083"/>
    </row>
    <row r="14084" spans="1:1" x14ac:dyDescent="0.25">
      <c r="A14084"/>
    </row>
    <row r="14085" spans="1:1" x14ac:dyDescent="0.25">
      <c r="A14085"/>
    </row>
    <row r="14086" spans="1:1" x14ac:dyDescent="0.25">
      <c r="A14086"/>
    </row>
    <row r="14087" spans="1:1" x14ac:dyDescent="0.25">
      <c r="A14087"/>
    </row>
    <row r="14088" spans="1:1" x14ac:dyDescent="0.25">
      <c r="A14088"/>
    </row>
    <row r="14089" spans="1:1" x14ac:dyDescent="0.25">
      <c r="A14089"/>
    </row>
    <row r="14090" spans="1:1" x14ac:dyDescent="0.25">
      <c r="A14090"/>
    </row>
    <row r="14091" spans="1:1" x14ac:dyDescent="0.25">
      <c r="A14091"/>
    </row>
    <row r="14092" spans="1:1" x14ac:dyDescent="0.25">
      <c r="A14092"/>
    </row>
    <row r="14093" spans="1:1" x14ac:dyDescent="0.25">
      <c r="A14093"/>
    </row>
    <row r="14094" spans="1:1" x14ac:dyDescent="0.25">
      <c r="A14094"/>
    </row>
    <row r="14095" spans="1:1" x14ac:dyDescent="0.25">
      <c r="A14095"/>
    </row>
    <row r="14096" spans="1:1" x14ac:dyDescent="0.25">
      <c r="A14096"/>
    </row>
    <row r="14097" spans="1:1" x14ac:dyDescent="0.25">
      <c r="A14097"/>
    </row>
    <row r="14098" spans="1:1" x14ac:dyDescent="0.25">
      <c r="A14098"/>
    </row>
    <row r="14099" spans="1:1" x14ac:dyDescent="0.25">
      <c r="A14099"/>
    </row>
    <row r="14100" spans="1:1" x14ac:dyDescent="0.25">
      <c r="A14100"/>
    </row>
    <row r="14101" spans="1:1" x14ac:dyDescent="0.25">
      <c r="A14101"/>
    </row>
    <row r="14102" spans="1:1" x14ac:dyDescent="0.25">
      <c r="A14102"/>
    </row>
    <row r="14103" spans="1:1" x14ac:dyDescent="0.25">
      <c r="A14103"/>
    </row>
    <row r="14104" spans="1:1" x14ac:dyDescent="0.25">
      <c r="A14104"/>
    </row>
    <row r="14105" spans="1:1" x14ac:dyDescent="0.25">
      <c r="A14105"/>
    </row>
    <row r="14106" spans="1:1" x14ac:dyDescent="0.25">
      <c r="A14106"/>
    </row>
    <row r="14107" spans="1:1" x14ac:dyDescent="0.25">
      <c r="A14107"/>
    </row>
    <row r="14108" spans="1:1" x14ac:dyDescent="0.25">
      <c r="A14108"/>
    </row>
    <row r="14109" spans="1:1" x14ac:dyDescent="0.25">
      <c r="A14109"/>
    </row>
    <row r="14110" spans="1:1" x14ac:dyDescent="0.25">
      <c r="A14110"/>
    </row>
    <row r="14111" spans="1:1" x14ac:dyDescent="0.25">
      <c r="A14111"/>
    </row>
    <row r="14112" spans="1:1" x14ac:dyDescent="0.25">
      <c r="A14112"/>
    </row>
    <row r="14113" spans="1:1" x14ac:dyDescent="0.25">
      <c r="A14113"/>
    </row>
    <row r="14114" spans="1:1" x14ac:dyDescent="0.25">
      <c r="A14114"/>
    </row>
    <row r="14115" spans="1:1" x14ac:dyDescent="0.25">
      <c r="A14115"/>
    </row>
    <row r="14116" spans="1:1" x14ac:dyDescent="0.25">
      <c r="A14116"/>
    </row>
    <row r="14117" spans="1:1" x14ac:dyDescent="0.25">
      <c r="A14117"/>
    </row>
    <row r="14118" spans="1:1" x14ac:dyDescent="0.25">
      <c r="A14118"/>
    </row>
    <row r="14119" spans="1:1" x14ac:dyDescent="0.25">
      <c r="A14119"/>
    </row>
    <row r="14120" spans="1:1" x14ac:dyDescent="0.25">
      <c r="A14120"/>
    </row>
    <row r="14121" spans="1:1" x14ac:dyDescent="0.25">
      <c r="A14121"/>
    </row>
    <row r="14122" spans="1:1" x14ac:dyDescent="0.25">
      <c r="A14122"/>
    </row>
    <row r="14123" spans="1:1" x14ac:dyDescent="0.25">
      <c r="A14123"/>
    </row>
    <row r="14124" spans="1:1" x14ac:dyDescent="0.25">
      <c r="A14124"/>
    </row>
    <row r="14125" spans="1:1" x14ac:dyDescent="0.25">
      <c r="A14125"/>
    </row>
    <row r="14126" spans="1:1" x14ac:dyDescent="0.25">
      <c r="A14126"/>
    </row>
    <row r="14127" spans="1:1" x14ac:dyDescent="0.25">
      <c r="A14127"/>
    </row>
    <row r="14128" spans="1:1" x14ac:dyDescent="0.25">
      <c r="A14128"/>
    </row>
    <row r="14129" spans="1:1" x14ac:dyDescent="0.25">
      <c r="A14129"/>
    </row>
    <row r="14130" spans="1:1" x14ac:dyDescent="0.25">
      <c r="A14130"/>
    </row>
    <row r="14131" spans="1:1" x14ac:dyDescent="0.25">
      <c r="A14131"/>
    </row>
    <row r="14132" spans="1:1" x14ac:dyDescent="0.25">
      <c r="A14132"/>
    </row>
    <row r="14133" spans="1:1" x14ac:dyDescent="0.25">
      <c r="A14133"/>
    </row>
    <row r="14134" spans="1:1" x14ac:dyDescent="0.25">
      <c r="A14134"/>
    </row>
    <row r="14135" spans="1:1" x14ac:dyDescent="0.25">
      <c r="A14135"/>
    </row>
    <row r="14136" spans="1:1" x14ac:dyDescent="0.25">
      <c r="A14136"/>
    </row>
    <row r="14137" spans="1:1" x14ac:dyDescent="0.25">
      <c r="A14137"/>
    </row>
    <row r="14138" spans="1:1" x14ac:dyDescent="0.25">
      <c r="A14138"/>
    </row>
    <row r="14139" spans="1:1" x14ac:dyDescent="0.25">
      <c r="A14139"/>
    </row>
    <row r="14140" spans="1:1" x14ac:dyDescent="0.25">
      <c r="A14140"/>
    </row>
    <row r="14141" spans="1:1" x14ac:dyDescent="0.25">
      <c r="A14141"/>
    </row>
    <row r="14142" spans="1:1" x14ac:dyDescent="0.25">
      <c r="A14142"/>
    </row>
    <row r="14143" spans="1:1" x14ac:dyDescent="0.25">
      <c r="A14143"/>
    </row>
    <row r="14144" spans="1:1" x14ac:dyDescent="0.25">
      <c r="A14144"/>
    </row>
    <row r="14145" spans="1:1" x14ac:dyDescent="0.25">
      <c r="A14145"/>
    </row>
    <row r="14146" spans="1:1" x14ac:dyDescent="0.25">
      <c r="A14146"/>
    </row>
    <row r="14147" spans="1:1" x14ac:dyDescent="0.25">
      <c r="A14147"/>
    </row>
    <row r="14148" spans="1:1" x14ac:dyDescent="0.25">
      <c r="A14148"/>
    </row>
    <row r="14149" spans="1:1" x14ac:dyDescent="0.25">
      <c r="A14149"/>
    </row>
    <row r="14150" spans="1:1" x14ac:dyDescent="0.25">
      <c r="A14150"/>
    </row>
    <row r="14151" spans="1:1" x14ac:dyDescent="0.25">
      <c r="A14151"/>
    </row>
    <row r="14152" spans="1:1" x14ac:dyDescent="0.25">
      <c r="A14152"/>
    </row>
    <row r="14153" spans="1:1" x14ac:dyDescent="0.25">
      <c r="A14153"/>
    </row>
    <row r="14154" spans="1:1" x14ac:dyDescent="0.25">
      <c r="A14154"/>
    </row>
    <row r="14155" spans="1:1" x14ac:dyDescent="0.25">
      <c r="A14155"/>
    </row>
    <row r="14156" spans="1:1" x14ac:dyDescent="0.25">
      <c r="A14156"/>
    </row>
    <row r="14157" spans="1:1" x14ac:dyDescent="0.25">
      <c r="A14157"/>
    </row>
    <row r="14158" spans="1:1" x14ac:dyDescent="0.25">
      <c r="A14158"/>
    </row>
    <row r="14159" spans="1:1" x14ac:dyDescent="0.25">
      <c r="A14159"/>
    </row>
    <row r="14160" spans="1:1" x14ac:dyDescent="0.25">
      <c r="A14160"/>
    </row>
    <row r="14161" spans="1:1" x14ac:dyDescent="0.25">
      <c r="A14161"/>
    </row>
    <row r="14162" spans="1:1" x14ac:dyDescent="0.25">
      <c r="A14162"/>
    </row>
    <row r="14163" spans="1:1" x14ac:dyDescent="0.25">
      <c r="A14163"/>
    </row>
    <row r="14164" spans="1:1" x14ac:dyDescent="0.25">
      <c r="A14164"/>
    </row>
    <row r="14165" spans="1:1" x14ac:dyDescent="0.25">
      <c r="A14165"/>
    </row>
    <row r="14166" spans="1:1" x14ac:dyDescent="0.25">
      <c r="A14166"/>
    </row>
    <row r="14167" spans="1:1" x14ac:dyDescent="0.25">
      <c r="A14167"/>
    </row>
    <row r="14168" spans="1:1" x14ac:dyDescent="0.25">
      <c r="A14168"/>
    </row>
    <row r="14169" spans="1:1" x14ac:dyDescent="0.25">
      <c r="A14169"/>
    </row>
    <row r="14170" spans="1:1" x14ac:dyDescent="0.25">
      <c r="A14170"/>
    </row>
    <row r="14171" spans="1:1" x14ac:dyDescent="0.25">
      <c r="A14171"/>
    </row>
    <row r="14172" spans="1:1" x14ac:dyDescent="0.25">
      <c r="A14172"/>
    </row>
    <row r="14173" spans="1:1" x14ac:dyDescent="0.25">
      <c r="A14173"/>
    </row>
    <row r="14174" spans="1:1" x14ac:dyDescent="0.25">
      <c r="A14174"/>
    </row>
    <row r="14175" spans="1:1" x14ac:dyDescent="0.25">
      <c r="A14175"/>
    </row>
    <row r="14176" spans="1:1" x14ac:dyDescent="0.25">
      <c r="A14176"/>
    </row>
    <row r="14177" spans="1:1" x14ac:dyDescent="0.25">
      <c r="A14177"/>
    </row>
    <row r="14178" spans="1:1" x14ac:dyDescent="0.25">
      <c r="A14178"/>
    </row>
    <row r="14179" spans="1:1" x14ac:dyDescent="0.25">
      <c r="A14179"/>
    </row>
    <row r="14180" spans="1:1" x14ac:dyDescent="0.25">
      <c r="A14180"/>
    </row>
    <row r="14181" spans="1:1" x14ac:dyDescent="0.25">
      <c r="A14181"/>
    </row>
    <row r="14182" spans="1:1" x14ac:dyDescent="0.25">
      <c r="A14182"/>
    </row>
    <row r="14183" spans="1:1" x14ac:dyDescent="0.25">
      <c r="A14183"/>
    </row>
    <row r="14184" spans="1:1" x14ac:dyDescent="0.25">
      <c r="A14184"/>
    </row>
    <row r="14185" spans="1:1" x14ac:dyDescent="0.25">
      <c r="A14185"/>
    </row>
    <row r="14186" spans="1:1" x14ac:dyDescent="0.25">
      <c r="A14186"/>
    </row>
    <row r="14187" spans="1:1" x14ac:dyDescent="0.25">
      <c r="A14187"/>
    </row>
    <row r="14188" spans="1:1" x14ac:dyDescent="0.25">
      <c r="A14188"/>
    </row>
    <row r="14189" spans="1:1" x14ac:dyDescent="0.25">
      <c r="A14189"/>
    </row>
    <row r="14190" spans="1:1" x14ac:dyDescent="0.25">
      <c r="A14190"/>
    </row>
    <row r="14191" spans="1:1" x14ac:dyDescent="0.25">
      <c r="A14191"/>
    </row>
    <row r="14192" spans="1:1" x14ac:dyDescent="0.25">
      <c r="A14192"/>
    </row>
    <row r="14193" spans="1:1" x14ac:dyDescent="0.25">
      <c r="A14193"/>
    </row>
    <row r="14194" spans="1:1" x14ac:dyDescent="0.25">
      <c r="A14194"/>
    </row>
    <row r="14195" spans="1:1" x14ac:dyDescent="0.25">
      <c r="A14195"/>
    </row>
    <row r="14196" spans="1:1" x14ac:dyDescent="0.25">
      <c r="A14196"/>
    </row>
    <row r="14197" spans="1:1" x14ac:dyDescent="0.25">
      <c r="A14197"/>
    </row>
    <row r="14198" spans="1:1" x14ac:dyDescent="0.25">
      <c r="A14198"/>
    </row>
    <row r="14199" spans="1:1" x14ac:dyDescent="0.25">
      <c r="A14199"/>
    </row>
    <row r="14200" spans="1:1" x14ac:dyDescent="0.25">
      <c r="A14200"/>
    </row>
    <row r="14201" spans="1:1" x14ac:dyDescent="0.25">
      <c r="A14201"/>
    </row>
    <row r="14202" spans="1:1" x14ac:dyDescent="0.25">
      <c r="A14202"/>
    </row>
    <row r="14203" spans="1:1" x14ac:dyDescent="0.25">
      <c r="A14203"/>
    </row>
    <row r="14204" spans="1:1" x14ac:dyDescent="0.25">
      <c r="A14204"/>
    </row>
    <row r="14205" spans="1:1" x14ac:dyDescent="0.25">
      <c r="A14205"/>
    </row>
    <row r="14206" spans="1:1" x14ac:dyDescent="0.25">
      <c r="A14206"/>
    </row>
    <row r="14207" spans="1:1" x14ac:dyDescent="0.25">
      <c r="A14207"/>
    </row>
    <row r="14208" spans="1:1" x14ac:dyDescent="0.25">
      <c r="A14208"/>
    </row>
    <row r="14209" spans="1:1" x14ac:dyDescent="0.25">
      <c r="A14209"/>
    </row>
    <row r="14210" spans="1:1" x14ac:dyDescent="0.25">
      <c r="A14210"/>
    </row>
    <row r="14211" spans="1:1" x14ac:dyDescent="0.25">
      <c r="A14211"/>
    </row>
    <row r="14212" spans="1:1" x14ac:dyDescent="0.25">
      <c r="A14212"/>
    </row>
    <row r="14213" spans="1:1" x14ac:dyDescent="0.25">
      <c r="A14213"/>
    </row>
    <row r="14214" spans="1:1" x14ac:dyDescent="0.25">
      <c r="A14214"/>
    </row>
    <row r="14215" spans="1:1" x14ac:dyDescent="0.25">
      <c r="A14215"/>
    </row>
    <row r="14216" spans="1:1" x14ac:dyDescent="0.25">
      <c r="A14216"/>
    </row>
    <row r="14217" spans="1:1" x14ac:dyDescent="0.25">
      <c r="A14217"/>
    </row>
    <row r="14218" spans="1:1" x14ac:dyDescent="0.25">
      <c r="A14218"/>
    </row>
    <row r="14219" spans="1:1" x14ac:dyDescent="0.25">
      <c r="A14219"/>
    </row>
    <row r="14220" spans="1:1" x14ac:dyDescent="0.25">
      <c r="A14220"/>
    </row>
    <row r="14221" spans="1:1" x14ac:dyDescent="0.25">
      <c r="A14221"/>
    </row>
    <row r="14222" spans="1:1" x14ac:dyDescent="0.25">
      <c r="A14222"/>
    </row>
    <row r="14223" spans="1:1" x14ac:dyDescent="0.25">
      <c r="A14223"/>
    </row>
    <row r="14224" spans="1:1" x14ac:dyDescent="0.25">
      <c r="A14224"/>
    </row>
    <row r="14225" spans="1:1" x14ac:dyDescent="0.25">
      <c r="A14225"/>
    </row>
    <row r="14226" spans="1:1" x14ac:dyDescent="0.25">
      <c r="A14226"/>
    </row>
    <row r="14227" spans="1:1" x14ac:dyDescent="0.25">
      <c r="A14227"/>
    </row>
    <row r="14228" spans="1:1" x14ac:dyDescent="0.25">
      <c r="A14228"/>
    </row>
    <row r="14229" spans="1:1" x14ac:dyDescent="0.25">
      <c r="A14229"/>
    </row>
    <row r="14230" spans="1:1" x14ac:dyDescent="0.25">
      <c r="A14230"/>
    </row>
    <row r="14231" spans="1:1" x14ac:dyDescent="0.25">
      <c r="A14231"/>
    </row>
    <row r="14232" spans="1:1" x14ac:dyDescent="0.25">
      <c r="A14232"/>
    </row>
    <row r="14233" spans="1:1" x14ac:dyDescent="0.25">
      <c r="A14233"/>
    </row>
    <row r="14234" spans="1:1" x14ac:dyDescent="0.25">
      <c r="A14234"/>
    </row>
    <row r="14235" spans="1:1" x14ac:dyDescent="0.25">
      <c r="A14235"/>
    </row>
    <row r="14236" spans="1:1" x14ac:dyDescent="0.25">
      <c r="A14236"/>
    </row>
    <row r="14237" spans="1:1" x14ac:dyDescent="0.25">
      <c r="A14237"/>
    </row>
    <row r="14238" spans="1:1" x14ac:dyDescent="0.25">
      <c r="A14238"/>
    </row>
    <row r="14239" spans="1:1" x14ac:dyDescent="0.25">
      <c r="A14239"/>
    </row>
    <row r="14240" spans="1:1" x14ac:dyDescent="0.25">
      <c r="A14240"/>
    </row>
    <row r="14241" spans="1:1" x14ac:dyDescent="0.25">
      <c r="A14241"/>
    </row>
    <row r="14242" spans="1:1" x14ac:dyDescent="0.25">
      <c r="A14242"/>
    </row>
    <row r="14243" spans="1:1" x14ac:dyDescent="0.25">
      <c r="A14243"/>
    </row>
    <row r="14244" spans="1:1" x14ac:dyDescent="0.25">
      <c r="A14244"/>
    </row>
    <row r="14245" spans="1:1" x14ac:dyDescent="0.25">
      <c r="A14245"/>
    </row>
    <row r="14246" spans="1:1" x14ac:dyDescent="0.25">
      <c r="A14246"/>
    </row>
    <row r="14247" spans="1:1" x14ac:dyDescent="0.25">
      <c r="A14247"/>
    </row>
    <row r="14248" spans="1:1" x14ac:dyDescent="0.25">
      <c r="A14248"/>
    </row>
    <row r="14249" spans="1:1" x14ac:dyDescent="0.25">
      <c r="A14249"/>
    </row>
    <row r="14250" spans="1:1" x14ac:dyDescent="0.25">
      <c r="A14250"/>
    </row>
    <row r="14251" spans="1:1" x14ac:dyDescent="0.25">
      <c r="A14251"/>
    </row>
    <row r="14252" spans="1:1" x14ac:dyDescent="0.25">
      <c r="A14252"/>
    </row>
    <row r="14253" spans="1:1" x14ac:dyDescent="0.25">
      <c r="A14253"/>
    </row>
    <row r="14254" spans="1:1" x14ac:dyDescent="0.25">
      <c r="A14254"/>
    </row>
    <row r="14255" spans="1:1" x14ac:dyDescent="0.25">
      <c r="A14255"/>
    </row>
    <row r="14256" spans="1:1" x14ac:dyDescent="0.25">
      <c r="A14256"/>
    </row>
    <row r="14257" spans="1:1" x14ac:dyDescent="0.25">
      <c r="A14257"/>
    </row>
    <row r="14258" spans="1:1" x14ac:dyDescent="0.25">
      <c r="A14258"/>
    </row>
    <row r="14259" spans="1:1" x14ac:dyDescent="0.25">
      <c r="A14259"/>
    </row>
    <row r="14260" spans="1:1" x14ac:dyDescent="0.25">
      <c r="A14260"/>
    </row>
    <row r="14261" spans="1:1" x14ac:dyDescent="0.25">
      <c r="A14261"/>
    </row>
    <row r="14262" spans="1:1" x14ac:dyDescent="0.25">
      <c r="A14262"/>
    </row>
    <row r="14263" spans="1:1" x14ac:dyDescent="0.25">
      <c r="A14263"/>
    </row>
    <row r="14264" spans="1:1" x14ac:dyDescent="0.25">
      <c r="A14264"/>
    </row>
    <row r="14265" spans="1:1" x14ac:dyDescent="0.25">
      <c r="A14265"/>
    </row>
    <row r="14266" spans="1:1" x14ac:dyDescent="0.25">
      <c r="A14266"/>
    </row>
    <row r="14267" spans="1:1" x14ac:dyDescent="0.25">
      <c r="A14267"/>
    </row>
    <row r="14268" spans="1:1" x14ac:dyDescent="0.25">
      <c r="A14268"/>
    </row>
    <row r="14269" spans="1:1" x14ac:dyDescent="0.25">
      <c r="A14269"/>
    </row>
    <row r="14270" spans="1:1" x14ac:dyDescent="0.25">
      <c r="A14270"/>
    </row>
    <row r="14271" spans="1:1" x14ac:dyDescent="0.25">
      <c r="A14271"/>
    </row>
    <row r="14272" spans="1:1" x14ac:dyDescent="0.25">
      <c r="A14272"/>
    </row>
    <row r="14273" spans="1:1" x14ac:dyDescent="0.25">
      <c r="A14273"/>
    </row>
    <row r="14274" spans="1:1" x14ac:dyDescent="0.25">
      <c r="A14274"/>
    </row>
    <row r="14275" spans="1:1" x14ac:dyDescent="0.25">
      <c r="A14275"/>
    </row>
    <row r="14276" spans="1:1" x14ac:dyDescent="0.25">
      <c r="A14276"/>
    </row>
    <row r="14277" spans="1:1" x14ac:dyDescent="0.25">
      <c r="A14277"/>
    </row>
    <row r="14278" spans="1:1" x14ac:dyDescent="0.25">
      <c r="A14278"/>
    </row>
    <row r="14279" spans="1:1" x14ac:dyDescent="0.25">
      <c r="A14279"/>
    </row>
    <row r="14280" spans="1:1" x14ac:dyDescent="0.25">
      <c r="A14280"/>
    </row>
    <row r="14281" spans="1:1" x14ac:dyDescent="0.25">
      <c r="A14281"/>
    </row>
    <row r="14282" spans="1:1" x14ac:dyDescent="0.25">
      <c r="A14282"/>
    </row>
    <row r="14283" spans="1:1" x14ac:dyDescent="0.25">
      <c r="A14283"/>
    </row>
    <row r="14284" spans="1:1" x14ac:dyDescent="0.25">
      <c r="A14284"/>
    </row>
    <row r="14285" spans="1:1" x14ac:dyDescent="0.25">
      <c r="A14285"/>
    </row>
    <row r="14286" spans="1:1" x14ac:dyDescent="0.25">
      <c r="A14286"/>
    </row>
    <row r="14287" spans="1:1" x14ac:dyDescent="0.25">
      <c r="A14287"/>
    </row>
    <row r="14288" spans="1:1" x14ac:dyDescent="0.25">
      <c r="A14288"/>
    </row>
    <row r="14289" spans="1:1" x14ac:dyDescent="0.25">
      <c r="A14289"/>
    </row>
    <row r="14290" spans="1:1" x14ac:dyDescent="0.25">
      <c r="A14290"/>
    </row>
    <row r="14291" spans="1:1" x14ac:dyDescent="0.25">
      <c r="A14291"/>
    </row>
    <row r="14292" spans="1:1" x14ac:dyDescent="0.25">
      <c r="A14292"/>
    </row>
    <row r="14293" spans="1:1" x14ac:dyDescent="0.25">
      <c r="A14293"/>
    </row>
    <row r="14294" spans="1:1" x14ac:dyDescent="0.25">
      <c r="A14294"/>
    </row>
    <row r="14295" spans="1:1" x14ac:dyDescent="0.25">
      <c r="A14295"/>
    </row>
    <row r="14296" spans="1:1" x14ac:dyDescent="0.25">
      <c r="A14296"/>
    </row>
    <row r="14297" spans="1:1" x14ac:dyDescent="0.25">
      <c r="A14297"/>
    </row>
    <row r="14298" spans="1:1" x14ac:dyDescent="0.25">
      <c r="A14298"/>
    </row>
    <row r="14299" spans="1:1" x14ac:dyDescent="0.25">
      <c r="A14299"/>
    </row>
    <row r="14300" spans="1:1" x14ac:dyDescent="0.25">
      <c r="A14300"/>
    </row>
    <row r="14301" spans="1:1" x14ac:dyDescent="0.25">
      <c r="A14301"/>
    </row>
    <row r="14302" spans="1:1" x14ac:dyDescent="0.25">
      <c r="A14302"/>
    </row>
    <row r="14303" spans="1:1" x14ac:dyDescent="0.25">
      <c r="A14303"/>
    </row>
    <row r="14304" spans="1:1" x14ac:dyDescent="0.25">
      <c r="A14304"/>
    </row>
    <row r="14305" spans="1:1" x14ac:dyDescent="0.25">
      <c r="A14305"/>
    </row>
    <row r="14306" spans="1:1" x14ac:dyDescent="0.25">
      <c r="A14306"/>
    </row>
    <row r="14307" spans="1:1" x14ac:dyDescent="0.25">
      <c r="A14307"/>
    </row>
    <row r="14308" spans="1:1" x14ac:dyDescent="0.25">
      <c r="A14308"/>
    </row>
    <row r="14309" spans="1:1" x14ac:dyDescent="0.25">
      <c r="A14309"/>
    </row>
    <row r="14310" spans="1:1" x14ac:dyDescent="0.25">
      <c r="A14310"/>
    </row>
    <row r="14311" spans="1:1" x14ac:dyDescent="0.25">
      <c r="A14311"/>
    </row>
    <row r="14312" spans="1:1" x14ac:dyDescent="0.25">
      <c r="A14312"/>
    </row>
    <row r="14313" spans="1:1" x14ac:dyDescent="0.25">
      <c r="A14313"/>
    </row>
    <row r="14314" spans="1:1" x14ac:dyDescent="0.25">
      <c r="A14314"/>
    </row>
    <row r="14315" spans="1:1" x14ac:dyDescent="0.25">
      <c r="A14315"/>
    </row>
    <row r="14316" spans="1:1" x14ac:dyDescent="0.25">
      <c r="A14316"/>
    </row>
    <row r="14317" spans="1:1" x14ac:dyDescent="0.25">
      <c r="A14317"/>
    </row>
    <row r="14318" spans="1:1" x14ac:dyDescent="0.25">
      <c r="A14318"/>
    </row>
    <row r="14319" spans="1:1" x14ac:dyDescent="0.25">
      <c r="A14319"/>
    </row>
    <row r="14320" spans="1:1" x14ac:dyDescent="0.25">
      <c r="A14320"/>
    </row>
    <row r="14321" spans="1:1" x14ac:dyDescent="0.25">
      <c r="A14321"/>
    </row>
    <row r="14322" spans="1:1" x14ac:dyDescent="0.25">
      <c r="A14322"/>
    </row>
    <row r="14323" spans="1:1" x14ac:dyDescent="0.25">
      <c r="A14323"/>
    </row>
    <row r="14324" spans="1:1" x14ac:dyDescent="0.25">
      <c r="A14324"/>
    </row>
    <row r="14325" spans="1:1" x14ac:dyDescent="0.25">
      <c r="A14325"/>
    </row>
    <row r="14326" spans="1:1" x14ac:dyDescent="0.25">
      <c r="A14326"/>
    </row>
    <row r="14327" spans="1:1" x14ac:dyDescent="0.25">
      <c r="A14327"/>
    </row>
    <row r="14328" spans="1:1" x14ac:dyDescent="0.25">
      <c r="A14328"/>
    </row>
    <row r="14329" spans="1:1" x14ac:dyDescent="0.25">
      <c r="A14329"/>
    </row>
    <row r="14330" spans="1:1" x14ac:dyDescent="0.25">
      <c r="A14330"/>
    </row>
    <row r="14331" spans="1:1" x14ac:dyDescent="0.25">
      <c r="A14331"/>
    </row>
    <row r="14332" spans="1:1" x14ac:dyDescent="0.25">
      <c r="A14332"/>
    </row>
    <row r="14333" spans="1:1" x14ac:dyDescent="0.25">
      <c r="A14333"/>
    </row>
    <row r="14334" spans="1:1" x14ac:dyDescent="0.25">
      <c r="A14334"/>
    </row>
    <row r="14335" spans="1:1" x14ac:dyDescent="0.25">
      <c r="A14335"/>
    </row>
    <row r="14336" spans="1:1" x14ac:dyDescent="0.25">
      <c r="A14336"/>
    </row>
    <row r="14337" spans="1:1" x14ac:dyDescent="0.25">
      <c r="A14337"/>
    </row>
    <row r="14338" spans="1:1" x14ac:dyDescent="0.25">
      <c r="A14338"/>
    </row>
    <row r="14339" spans="1:1" x14ac:dyDescent="0.25">
      <c r="A14339"/>
    </row>
    <row r="14340" spans="1:1" x14ac:dyDescent="0.25">
      <c r="A14340"/>
    </row>
    <row r="14341" spans="1:1" x14ac:dyDescent="0.25">
      <c r="A14341"/>
    </row>
    <row r="14342" spans="1:1" x14ac:dyDescent="0.25">
      <c r="A14342"/>
    </row>
    <row r="14343" spans="1:1" x14ac:dyDescent="0.25">
      <c r="A14343"/>
    </row>
    <row r="14344" spans="1:1" x14ac:dyDescent="0.25">
      <c r="A14344"/>
    </row>
    <row r="14345" spans="1:1" x14ac:dyDescent="0.25">
      <c r="A14345"/>
    </row>
    <row r="14346" spans="1:1" x14ac:dyDescent="0.25">
      <c r="A14346"/>
    </row>
    <row r="14347" spans="1:1" x14ac:dyDescent="0.25">
      <c r="A14347"/>
    </row>
    <row r="14348" spans="1:1" x14ac:dyDescent="0.25">
      <c r="A14348"/>
    </row>
    <row r="14349" spans="1:1" x14ac:dyDescent="0.25">
      <c r="A14349"/>
    </row>
    <row r="14350" spans="1:1" x14ac:dyDescent="0.25">
      <c r="A14350"/>
    </row>
    <row r="14351" spans="1:1" x14ac:dyDescent="0.25">
      <c r="A14351"/>
    </row>
    <row r="14352" spans="1:1" x14ac:dyDescent="0.25">
      <c r="A14352"/>
    </row>
    <row r="14353" spans="1:1" x14ac:dyDescent="0.25">
      <c r="A14353"/>
    </row>
    <row r="14354" spans="1:1" x14ac:dyDescent="0.25">
      <c r="A14354"/>
    </row>
    <row r="14355" spans="1:1" x14ac:dyDescent="0.25">
      <c r="A14355"/>
    </row>
    <row r="14356" spans="1:1" x14ac:dyDescent="0.25">
      <c r="A14356"/>
    </row>
    <row r="14357" spans="1:1" x14ac:dyDescent="0.25">
      <c r="A14357"/>
    </row>
    <row r="14358" spans="1:1" x14ac:dyDescent="0.25">
      <c r="A14358"/>
    </row>
    <row r="14359" spans="1:1" x14ac:dyDescent="0.25">
      <c r="A14359"/>
    </row>
    <row r="14360" spans="1:1" x14ac:dyDescent="0.25">
      <c r="A14360"/>
    </row>
    <row r="14361" spans="1:1" x14ac:dyDescent="0.25">
      <c r="A14361"/>
    </row>
    <row r="14362" spans="1:1" x14ac:dyDescent="0.25">
      <c r="A14362"/>
    </row>
    <row r="14363" spans="1:1" x14ac:dyDescent="0.25">
      <c r="A14363"/>
    </row>
    <row r="14364" spans="1:1" x14ac:dyDescent="0.25">
      <c r="A14364"/>
    </row>
    <row r="14365" spans="1:1" x14ac:dyDescent="0.25">
      <c r="A14365"/>
    </row>
    <row r="14366" spans="1:1" x14ac:dyDescent="0.25">
      <c r="A14366"/>
    </row>
    <row r="14367" spans="1:1" x14ac:dyDescent="0.25">
      <c r="A14367"/>
    </row>
    <row r="14368" spans="1:1" x14ac:dyDescent="0.25">
      <c r="A14368"/>
    </row>
    <row r="14369" spans="1:1" x14ac:dyDescent="0.25">
      <c r="A14369"/>
    </row>
    <row r="14370" spans="1:1" x14ac:dyDescent="0.25">
      <c r="A14370"/>
    </row>
    <row r="14371" spans="1:1" x14ac:dyDescent="0.25">
      <c r="A14371"/>
    </row>
    <row r="14372" spans="1:1" x14ac:dyDescent="0.25">
      <c r="A14372"/>
    </row>
    <row r="14373" spans="1:1" x14ac:dyDescent="0.25">
      <c r="A14373"/>
    </row>
    <row r="14374" spans="1:1" x14ac:dyDescent="0.25">
      <c r="A14374"/>
    </row>
    <row r="14375" spans="1:1" x14ac:dyDescent="0.25">
      <c r="A14375"/>
    </row>
    <row r="14376" spans="1:1" x14ac:dyDescent="0.25">
      <c r="A14376"/>
    </row>
    <row r="14377" spans="1:1" x14ac:dyDescent="0.25">
      <c r="A14377"/>
    </row>
    <row r="14378" spans="1:1" x14ac:dyDescent="0.25">
      <c r="A14378"/>
    </row>
    <row r="14379" spans="1:1" x14ac:dyDescent="0.25">
      <c r="A14379"/>
    </row>
    <row r="14380" spans="1:1" x14ac:dyDescent="0.25">
      <c r="A14380"/>
    </row>
    <row r="14381" spans="1:1" x14ac:dyDescent="0.25">
      <c r="A14381"/>
    </row>
    <row r="14382" spans="1:1" x14ac:dyDescent="0.25">
      <c r="A14382"/>
    </row>
    <row r="14383" spans="1:1" x14ac:dyDescent="0.25">
      <c r="A14383"/>
    </row>
    <row r="14384" spans="1:1" x14ac:dyDescent="0.25">
      <c r="A14384"/>
    </row>
    <row r="14385" spans="1:1" x14ac:dyDescent="0.25">
      <c r="A14385"/>
    </row>
    <row r="14386" spans="1:1" x14ac:dyDescent="0.25">
      <c r="A14386"/>
    </row>
    <row r="14387" spans="1:1" x14ac:dyDescent="0.25">
      <c r="A14387"/>
    </row>
    <row r="14388" spans="1:1" x14ac:dyDescent="0.25">
      <c r="A14388"/>
    </row>
    <row r="14389" spans="1:1" x14ac:dyDescent="0.25">
      <c r="A14389"/>
    </row>
    <row r="14390" spans="1:1" x14ac:dyDescent="0.25">
      <c r="A14390"/>
    </row>
    <row r="14391" spans="1:1" x14ac:dyDescent="0.25">
      <c r="A14391"/>
    </row>
    <row r="14392" spans="1:1" x14ac:dyDescent="0.25">
      <c r="A14392"/>
    </row>
    <row r="14393" spans="1:1" x14ac:dyDescent="0.25">
      <c r="A14393"/>
    </row>
    <row r="14394" spans="1:1" x14ac:dyDescent="0.25">
      <c r="A14394"/>
    </row>
    <row r="14395" spans="1:1" x14ac:dyDescent="0.25">
      <c r="A14395"/>
    </row>
    <row r="14396" spans="1:1" x14ac:dyDescent="0.25">
      <c r="A14396"/>
    </row>
    <row r="14397" spans="1:1" x14ac:dyDescent="0.25">
      <c r="A14397"/>
    </row>
    <row r="14398" spans="1:1" x14ac:dyDescent="0.25">
      <c r="A14398"/>
    </row>
    <row r="14399" spans="1:1" x14ac:dyDescent="0.25">
      <c r="A14399"/>
    </row>
    <row r="14400" spans="1:1" x14ac:dyDescent="0.25">
      <c r="A14400"/>
    </row>
    <row r="14401" spans="1:1" x14ac:dyDescent="0.25">
      <c r="A14401"/>
    </row>
    <row r="14402" spans="1:1" x14ac:dyDescent="0.25">
      <c r="A14402"/>
    </row>
    <row r="14403" spans="1:1" x14ac:dyDescent="0.25">
      <c r="A14403"/>
    </row>
    <row r="14404" spans="1:1" x14ac:dyDescent="0.25">
      <c r="A14404"/>
    </row>
    <row r="14405" spans="1:1" x14ac:dyDescent="0.25">
      <c r="A14405"/>
    </row>
    <row r="14406" spans="1:1" x14ac:dyDescent="0.25">
      <c r="A14406"/>
    </row>
    <row r="14407" spans="1:1" x14ac:dyDescent="0.25">
      <c r="A14407"/>
    </row>
    <row r="14408" spans="1:1" x14ac:dyDescent="0.25">
      <c r="A14408"/>
    </row>
    <row r="14409" spans="1:1" x14ac:dyDescent="0.25">
      <c r="A14409"/>
    </row>
    <row r="14410" spans="1:1" x14ac:dyDescent="0.25">
      <c r="A14410"/>
    </row>
    <row r="14411" spans="1:1" x14ac:dyDescent="0.25">
      <c r="A14411"/>
    </row>
    <row r="14412" spans="1:1" x14ac:dyDescent="0.25">
      <c r="A14412"/>
    </row>
    <row r="14413" spans="1:1" x14ac:dyDescent="0.25">
      <c r="A14413"/>
    </row>
    <row r="14414" spans="1:1" x14ac:dyDescent="0.25">
      <c r="A14414"/>
    </row>
    <row r="14415" spans="1:1" x14ac:dyDescent="0.25">
      <c r="A14415"/>
    </row>
    <row r="14416" spans="1:1" x14ac:dyDescent="0.25">
      <c r="A14416"/>
    </row>
    <row r="14417" spans="1:1" x14ac:dyDescent="0.25">
      <c r="A14417"/>
    </row>
    <row r="14418" spans="1:1" x14ac:dyDescent="0.25">
      <c r="A14418"/>
    </row>
    <row r="14419" spans="1:1" x14ac:dyDescent="0.25">
      <c r="A14419"/>
    </row>
    <row r="14420" spans="1:1" x14ac:dyDescent="0.25">
      <c r="A14420"/>
    </row>
    <row r="14421" spans="1:1" x14ac:dyDescent="0.25">
      <c r="A14421"/>
    </row>
    <row r="14422" spans="1:1" x14ac:dyDescent="0.25">
      <c r="A14422"/>
    </row>
    <row r="14423" spans="1:1" x14ac:dyDescent="0.25">
      <c r="A14423"/>
    </row>
    <row r="14424" spans="1:1" x14ac:dyDescent="0.25">
      <c r="A14424"/>
    </row>
    <row r="14425" spans="1:1" x14ac:dyDescent="0.25">
      <c r="A14425"/>
    </row>
    <row r="14426" spans="1:1" x14ac:dyDescent="0.25">
      <c r="A14426"/>
    </row>
    <row r="14427" spans="1:1" x14ac:dyDescent="0.25">
      <c r="A14427"/>
    </row>
    <row r="14428" spans="1:1" x14ac:dyDescent="0.25">
      <c r="A14428"/>
    </row>
    <row r="14429" spans="1:1" x14ac:dyDescent="0.25">
      <c r="A14429"/>
    </row>
    <row r="14430" spans="1:1" x14ac:dyDescent="0.25">
      <c r="A14430"/>
    </row>
    <row r="14431" spans="1:1" x14ac:dyDescent="0.25">
      <c r="A14431"/>
    </row>
    <row r="14432" spans="1:1" x14ac:dyDescent="0.25">
      <c r="A14432"/>
    </row>
    <row r="14433" spans="1:1" x14ac:dyDescent="0.25">
      <c r="A14433"/>
    </row>
    <row r="14434" spans="1:1" x14ac:dyDescent="0.25">
      <c r="A14434"/>
    </row>
    <row r="14435" spans="1:1" x14ac:dyDescent="0.25">
      <c r="A14435"/>
    </row>
    <row r="14436" spans="1:1" x14ac:dyDescent="0.25">
      <c r="A14436"/>
    </row>
    <row r="14437" spans="1:1" x14ac:dyDescent="0.25">
      <c r="A14437"/>
    </row>
    <row r="14438" spans="1:1" x14ac:dyDescent="0.25">
      <c r="A14438"/>
    </row>
    <row r="14439" spans="1:1" x14ac:dyDescent="0.25">
      <c r="A14439"/>
    </row>
    <row r="14440" spans="1:1" x14ac:dyDescent="0.25">
      <c r="A14440"/>
    </row>
    <row r="14441" spans="1:1" x14ac:dyDescent="0.25">
      <c r="A14441"/>
    </row>
    <row r="14442" spans="1:1" x14ac:dyDescent="0.25">
      <c r="A14442"/>
    </row>
    <row r="14443" spans="1:1" x14ac:dyDescent="0.25">
      <c r="A14443"/>
    </row>
    <row r="14444" spans="1:1" x14ac:dyDescent="0.25">
      <c r="A14444"/>
    </row>
    <row r="14445" spans="1:1" x14ac:dyDescent="0.25">
      <c r="A14445"/>
    </row>
    <row r="14446" spans="1:1" x14ac:dyDescent="0.25">
      <c r="A14446"/>
    </row>
    <row r="14447" spans="1:1" x14ac:dyDescent="0.25">
      <c r="A14447"/>
    </row>
    <row r="14448" spans="1:1" x14ac:dyDescent="0.25">
      <c r="A14448"/>
    </row>
    <row r="14449" spans="1:1" x14ac:dyDescent="0.25">
      <c r="A14449"/>
    </row>
    <row r="14450" spans="1:1" x14ac:dyDescent="0.25">
      <c r="A14450"/>
    </row>
    <row r="14451" spans="1:1" x14ac:dyDescent="0.25">
      <c r="A14451"/>
    </row>
    <row r="14452" spans="1:1" x14ac:dyDescent="0.25">
      <c r="A14452"/>
    </row>
    <row r="14453" spans="1:1" x14ac:dyDescent="0.25">
      <c r="A14453"/>
    </row>
    <row r="14454" spans="1:1" x14ac:dyDescent="0.25">
      <c r="A14454"/>
    </row>
    <row r="14455" spans="1:1" x14ac:dyDescent="0.25">
      <c r="A14455"/>
    </row>
    <row r="14456" spans="1:1" x14ac:dyDescent="0.25">
      <c r="A14456"/>
    </row>
    <row r="14457" spans="1:1" x14ac:dyDescent="0.25">
      <c r="A14457"/>
    </row>
    <row r="14458" spans="1:1" x14ac:dyDescent="0.25">
      <c r="A14458"/>
    </row>
    <row r="14459" spans="1:1" x14ac:dyDescent="0.25">
      <c r="A14459"/>
    </row>
    <row r="14460" spans="1:1" x14ac:dyDescent="0.25">
      <c r="A14460"/>
    </row>
    <row r="14461" spans="1:1" x14ac:dyDescent="0.25">
      <c r="A14461"/>
    </row>
    <row r="14462" spans="1:1" x14ac:dyDescent="0.25">
      <c r="A14462"/>
    </row>
    <row r="14463" spans="1:1" x14ac:dyDescent="0.25">
      <c r="A14463"/>
    </row>
    <row r="14464" spans="1:1" x14ac:dyDescent="0.25">
      <c r="A14464"/>
    </row>
    <row r="14465" spans="1:1" x14ac:dyDescent="0.25">
      <c r="A14465"/>
    </row>
    <row r="14466" spans="1:1" x14ac:dyDescent="0.25">
      <c r="A14466"/>
    </row>
    <row r="14467" spans="1:1" x14ac:dyDescent="0.25">
      <c r="A14467"/>
    </row>
    <row r="14468" spans="1:1" x14ac:dyDescent="0.25">
      <c r="A14468"/>
    </row>
    <row r="14469" spans="1:1" x14ac:dyDescent="0.25">
      <c r="A14469"/>
    </row>
    <row r="14470" spans="1:1" x14ac:dyDescent="0.25">
      <c r="A14470"/>
    </row>
    <row r="14471" spans="1:1" x14ac:dyDescent="0.25">
      <c r="A14471"/>
    </row>
    <row r="14472" spans="1:1" x14ac:dyDescent="0.25">
      <c r="A14472"/>
    </row>
    <row r="14473" spans="1:1" x14ac:dyDescent="0.25">
      <c r="A14473"/>
    </row>
    <row r="14474" spans="1:1" x14ac:dyDescent="0.25">
      <c r="A14474"/>
    </row>
    <row r="14475" spans="1:1" x14ac:dyDescent="0.25">
      <c r="A14475"/>
    </row>
    <row r="14476" spans="1:1" x14ac:dyDescent="0.25">
      <c r="A14476"/>
    </row>
    <row r="14477" spans="1:1" x14ac:dyDescent="0.25">
      <c r="A14477"/>
    </row>
    <row r="14478" spans="1:1" x14ac:dyDescent="0.25">
      <c r="A14478"/>
    </row>
    <row r="14479" spans="1:1" x14ac:dyDescent="0.25">
      <c r="A14479"/>
    </row>
    <row r="14480" spans="1:1" x14ac:dyDescent="0.25">
      <c r="A14480"/>
    </row>
    <row r="14481" spans="1:1" x14ac:dyDescent="0.25">
      <c r="A14481"/>
    </row>
    <row r="14482" spans="1:1" x14ac:dyDescent="0.25">
      <c r="A14482"/>
    </row>
    <row r="14483" spans="1:1" x14ac:dyDescent="0.25">
      <c r="A14483"/>
    </row>
    <row r="14484" spans="1:1" x14ac:dyDescent="0.25">
      <c r="A14484"/>
    </row>
    <row r="14485" spans="1:1" x14ac:dyDescent="0.25">
      <c r="A14485"/>
    </row>
    <row r="14486" spans="1:1" x14ac:dyDescent="0.25">
      <c r="A14486"/>
    </row>
    <row r="14487" spans="1:1" x14ac:dyDescent="0.25">
      <c r="A14487"/>
    </row>
    <row r="14488" spans="1:1" x14ac:dyDescent="0.25">
      <c r="A14488"/>
    </row>
    <row r="14489" spans="1:1" x14ac:dyDescent="0.25">
      <c r="A14489"/>
    </row>
    <row r="14490" spans="1:1" x14ac:dyDescent="0.25">
      <c r="A14490"/>
    </row>
    <row r="14491" spans="1:1" x14ac:dyDescent="0.25">
      <c r="A14491"/>
    </row>
    <row r="14492" spans="1:1" x14ac:dyDescent="0.25">
      <c r="A14492"/>
    </row>
    <row r="14493" spans="1:1" x14ac:dyDescent="0.25">
      <c r="A14493"/>
    </row>
    <row r="14494" spans="1:1" x14ac:dyDescent="0.25">
      <c r="A14494"/>
    </row>
    <row r="14495" spans="1:1" x14ac:dyDescent="0.25">
      <c r="A14495"/>
    </row>
    <row r="14496" spans="1:1" x14ac:dyDescent="0.25">
      <c r="A14496"/>
    </row>
    <row r="14497" spans="1:1" x14ac:dyDescent="0.25">
      <c r="A14497"/>
    </row>
    <row r="14498" spans="1:1" x14ac:dyDescent="0.25">
      <c r="A14498"/>
    </row>
    <row r="14499" spans="1:1" x14ac:dyDescent="0.25">
      <c r="A14499"/>
    </row>
    <row r="14500" spans="1:1" x14ac:dyDescent="0.25">
      <c r="A14500"/>
    </row>
    <row r="14501" spans="1:1" x14ac:dyDescent="0.25">
      <c r="A14501"/>
    </row>
    <row r="14502" spans="1:1" x14ac:dyDescent="0.25">
      <c r="A14502"/>
    </row>
    <row r="14503" spans="1:1" x14ac:dyDescent="0.25">
      <c r="A14503"/>
    </row>
    <row r="14504" spans="1:1" x14ac:dyDescent="0.25">
      <c r="A14504"/>
    </row>
    <row r="14505" spans="1:1" x14ac:dyDescent="0.25">
      <c r="A14505"/>
    </row>
    <row r="14506" spans="1:1" x14ac:dyDescent="0.25">
      <c r="A14506"/>
    </row>
    <row r="14507" spans="1:1" x14ac:dyDescent="0.25">
      <c r="A14507"/>
    </row>
    <row r="14508" spans="1:1" x14ac:dyDescent="0.25">
      <c r="A14508"/>
    </row>
    <row r="14509" spans="1:1" x14ac:dyDescent="0.25">
      <c r="A14509"/>
    </row>
    <row r="14510" spans="1:1" x14ac:dyDescent="0.25">
      <c r="A14510"/>
    </row>
    <row r="14511" spans="1:1" x14ac:dyDescent="0.25">
      <c r="A14511"/>
    </row>
    <row r="14512" spans="1:1" x14ac:dyDescent="0.25">
      <c r="A14512"/>
    </row>
    <row r="14513" spans="1:1" x14ac:dyDescent="0.25">
      <c r="A14513"/>
    </row>
    <row r="14514" spans="1:1" x14ac:dyDescent="0.25">
      <c r="A14514"/>
    </row>
    <row r="14515" spans="1:1" x14ac:dyDescent="0.25">
      <c r="A14515"/>
    </row>
    <row r="14516" spans="1:1" x14ac:dyDescent="0.25">
      <c r="A14516"/>
    </row>
    <row r="14517" spans="1:1" x14ac:dyDescent="0.25">
      <c r="A14517"/>
    </row>
    <row r="14518" spans="1:1" x14ac:dyDescent="0.25">
      <c r="A14518"/>
    </row>
    <row r="14519" spans="1:1" x14ac:dyDescent="0.25">
      <c r="A14519"/>
    </row>
    <row r="14520" spans="1:1" x14ac:dyDescent="0.25">
      <c r="A14520"/>
    </row>
    <row r="14521" spans="1:1" x14ac:dyDescent="0.25">
      <c r="A14521"/>
    </row>
    <row r="14522" spans="1:1" x14ac:dyDescent="0.25">
      <c r="A14522"/>
    </row>
    <row r="14523" spans="1:1" x14ac:dyDescent="0.25">
      <c r="A14523"/>
    </row>
    <row r="14524" spans="1:1" x14ac:dyDescent="0.25">
      <c r="A14524"/>
    </row>
    <row r="14525" spans="1:1" x14ac:dyDescent="0.25">
      <c r="A14525"/>
    </row>
    <row r="14526" spans="1:1" x14ac:dyDescent="0.25">
      <c r="A14526"/>
    </row>
    <row r="14527" spans="1:1" x14ac:dyDescent="0.25">
      <c r="A14527"/>
    </row>
    <row r="14528" spans="1:1" x14ac:dyDescent="0.25">
      <c r="A14528"/>
    </row>
    <row r="14529" spans="1:1" x14ac:dyDescent="0.25">
      <c r="A14529"/>
    </row>
    <row r="14530" spans="1:1" x14ac:dyDescent="0.25">
      <c r="A14530"/>
    </row>
    <row r="14531" spans="1:1" x14ac:dyDescent="0.25">
      <c r="A14531"/>
    </row>
    <row r="14532" spans="1:1" x14ac:dyDescent="0.25">
      <c r="A14532"/>
    </row>
    <row r="14533" spans="1:1" x14ac:dyDescent="0.25">
      <c r="A14533"/>
    </row>
    <row r="14534" spans="1:1" x14ac:dyDescent="0.25">
      <c r="A14534"/>
    </row>
    <row r="14535" spans="1:1" x14ac:dyDescent="0.25">
      <c r="A14535"/>
    </row>
    <row r="14536" spans="1:1" x14ac:dyDescent="0.25">
      <c r="A14536"/>
    </row>
    <row r="14537" spans="1:1" x14ac:dyDescent="0.25">
      <c r="A14537"/>
    </row>
    <row r="14538" spans="1:1" x14ac:dyDescent="0.25">
      <c r="A14538"/>
    </row>
    <row r="14539" spans="1:1" x14ac:dyDescent="0.25">
      <c r="A14539"/>
    </row>
    <row r="14540" spans="1:1" x14ac:dyDescent="0.25">
      <c r="A14540"/>
    </row>
    <row r="14541" spans="1:1" x14ac:dyDescent="0.25">
      <c r="A14541"/>
    </row>
    <row r="14542" spans="1:1" x14ac:dyDescent="0.25">
      <c r="A14542"/>
    </row>
    <row r="14543" spans="1:1" x14ac:dyDescent="0.25">
      <c r="A14543"/>
    </row>
    <row r="14544" spans="1:1" x14ac:dyDescent="0.25">
      <c r="A14544"/>
    </row>
    <row r="14545" spans="1:1" x14ac:dyDescent="0.25">
      <c r="A14545"/>
    </row>
    <row r="14546" spans="1:1" x14ac:dyDescent="0.25">
      <c r="A14546"/>
    </row>
    <row r="14547" spans="1:1" x14ac:dyDescent="0.25">
      <c r="A14547"/>
    </row>
    <row r="14548" spans="1:1" x14ac:dyDescent="0.25">
      <c r="A14548"/>
    </row>
    <row r="14549" spans="1:1" x14ac:dyDescent="0.25">
      <c r="A14549"/>
    </row>
    <row r="14550" spans="1:1" x14ac:dyDescent="0.25">
      <c r="A14550"/>
    </row>
    <row r="14551" spans="1:1" x14ac:dyDescent="0.25">
      <c r="A14551"/>
    </row>
    <row r="14552" spans="1:1" x14ac:dyDescent="0.25">
      <c r="A14552"/>
    </row>
    <row r="14553" spans="1:1" x14ac:dyDescent="0.25">
      <c r="A14553"/>
    </row>
    <row r="14554" spans="1:1" x14ac:dyDescent="0.25">
      <c r="A14554"/>
    </row>
    <row r="14555" spans="1:1" x14ac:dyDescent="0.25">
      <c r="A14555"/>
    </row>
    <row r="14556" spans="1:1" x14ac:dyDescent="0.25">
      <c r="A14556"/>
    </row>
    <row r="14557" spans="1:1" x14ac:dyDescent="0.25">
      <c r="A14557"/>
    </row>
    <row r="14558" spans="1:1" x14ac:dyDescent="0.25">
      <c r="A14558"/>
    </row>
    <row r="14559" spans="1:1" x14ac:dyDescent="0.25">
      <c r="A14559"/>
    </row>
    <row r="14560" spans="1:1" x14ac:dyDescent="0.25">
      <c r="A14560"/>
    </row>
    <row r="14561" spans="1:1" x14ac:dyDescent="0.25">
      <c r="A14561"/>
    </row>
    <row r="14562" spans="1:1" x14ac:dyDescent="0.25">
      <c r="A14562"/>
    </row>
    <row r="14563" spans="1:1" x14ac:dyDescent="0.25">
      <c r="A14563"/>
    </row>
    <row r="14564" spans="1:1" x14ac:dyDescent="0.25">
      <c r="A14564"/>
    </row>
    <row r="14565" spans="1:1" x14ac:dyDescent="0.25">
      <c r="A14565"/>
    </row>
    <row r="14566" spans="1:1" x14ac:dyDescent="0.25">
      <c r="A14566"/>
    </row>
    <row r="14567" spans="1:1" x14ac:dyDescent="0.25">
      <c r="A14567"/>
    </row>
    <row r="14568" spans="1:1" x14ac:dyDescent="0.25">
      <c r="A14568"/>
    </row>
    <row r="14569" spans="1:1" x14ac:dyDescent="0.25">
      <c r="A14569"/>
    </row>
    <row r="14570" spans="1:1" x14ac:dyDescent="0.25">
      <c r="A14570"/>
    </row>
    <row r="14571" spans="1:1" x14ac:dyDescent="0.25">
      <c r="A14571"/>
    </row>
    <row r="14572" spans="1:1" x14ac:dyDescent="0.25">
      <c r="A14572"/>
    </row>
    <row r="14573" spans="1:1" x14ac:dyDescent="0.25">
      <c r="A14573"/>
    </row>
    <row r="14574" spans="1:1" x14ac:dyDescent="0.25">
      <c r="A14574"/>
    </row>
    <row r="14575" spans="1:1" x14ac:dyDescent="0.25">
      <c r="A14575"/>
    </row>
    <row r="14576" spans="1:1" x14ac:dyDescent="0.25">
      <c r="A14576"/>
    </row>
    <row r="14577" spans="1:1" x14ac:dyDescent="0.25">
      <c r="A14577"/>
    </row>
    <row r="14578" spans="1:1" x14ac:dyDescent="0.25">
      <c r="A14578"/>
    </row>
    <row r="14579" spans="1:1" x14ac:dyDescent="0.25">
      <c r="A14579"/>
    </row>
    <row r="14580" spans="1:1" x14ac:dyDescent="0.25">
      <c r="A14580"/>
    </row>
    <row r="14581" spans="1:1" x14ac:dyDescent="0.25">
      <c r="A14581"/>
    </row>
    <row r="14582" spans="1:1" x14ac:dyDescent="0.25">
      <c r="A14582"/>
    </row>
    <row r="14583" spans="1:1" x14ac:dyDescent="0.25">
      <c r="A14583"/>
    </row>
    <row r="14584" spans="1:1" x14ac:dyDescent="0.25">
      <c r="A14584"/>
    </row>
    <row r="14585" spans="1:1" x14ac:dyDescent="0.25">
      <c r="A14585"/>
    </row>
    <row r="14586" spans="1:1" x14ac:dyDescent="0.25">
      <c r="A14586"/>
    </row>
    <row r="14587" spans="1:1" x14ac:dyDescent="0.25">
      <c r="A14587"/>
    </row>
    <row r="14588" spans="1:1" x14ac:dyDescent="0.25">
      <c r="A14588"/>
    </row>
    <row r="14589" spans="1:1" x14ac:dyDescent="0.25">
      <c r="A14589"/>
    </row>
    <row r="14590" spans="1:1" x14ac:dyDescent="0.25">
      <c r="A14590"/>
    </row>
    <row r="14591" spans="1:1" x14ac:dyDescent="0.25">
      <c r="A14591"/>
    </row>
    <row r="14592" spans="1:1" x14ac:dyDescent="0.25">
      <c r="A14592"/>
    </row>
    <row r="14593" spans="1:1" x14ac:dyDescent="0.25">
      <c r="A14593"/>
    </row>
    <row r="14594" spans="1:1" x14ac:dyDescent="0.25">
      <c r="A14594"/>
    </row>
    <row r="14595" spans="1:1" x14ac:dyDescent="0.25">
      <c r="A14595"/>
    </row>
    <row r="14596" spans="1:1" x14ac:dyDescent="0.25">
      <c r="A14596"/>
    </row>
    <row r="14597" spans="1:1" x14ac:dyDescent="0.25">
      <c r="A14597"/>
    </row>
    <row r="14598" spans="1:1" x14ac:dyDescent="0.25">
      <c r="A14598"/>
    </row>
    <row r="14599" spans="1:1" x14ac:dyDescent="0.25">
      <c r="A14599"/>
    </row>
    <row r="14600" spans="1:1" x14ac:dyDescent="0.25">
      <c r="A14600"/>
    </row>
    <row r="14601" spans="1:1" x14ac:dyDescent="0.25">
      <c r="A14601"/>
    </row>
    <row r="14602" spans="1:1" x14ac:dyDescent="0.25">
      <c r="A14602"/>
    </row>
    <row r="14603" spans="1:1" x14ac:dyDescent="0.25">
      <c r="A14603"/>
    </row>
    <row r="14604" spans="1:1" x14ac:dyDescent="0.25">
      <c r="A14604"/>
    </row>
    <row r="14605" spans="1:1" x14ac:dyDescent="0.25">
      <c r="A14605"/>
    </row>
    <row r="14606" spans="1:1" x14ac:dyDescent="0.25">
      <c r="A14606"/>
    </row>
    <row r="14607" spans="1:1" x14ac:dyDescent="0.25">
      <c r="A14607"/>
    </row>
    <row r="14608" spans="1:1" x14ac:dyDescent="0.25">
      <c r="A14608"/>
    </row>
    <row r="14609" spans="1:1" x14ac:dyDescent="0.25">
      <c r="A14609"/>
    </row>
    <row r="14610" spans="1:1" x14ac:dyDescent="0.25">
      <c r="A14610"/>
    </row>
    <row r="14611" spans="1:1" x14ac:dyDescent="0.25">
      <c r="A14611"/>
    </row>
    <row r="14612" spans="1:1" x14ac:dyDescent="0.25">
      <c r="A14612"/>
    </row>
    <row r="14613" spans="1:1" x14ac:dyDescent="0.25">
      <c r="A14613"/>
    </row>
    <row r="14614" spans="1:1" x14ac:dyDescent="0.25">
      <c r="A14614"/>
    </row>
    <row r="14615" spans="1:1" x14ac:dyDescent="0.25">
      <c r="A14615"/>
    </row>
    <row r="14616" spans="1:1" x14ac:dyDescent="0.25">
      <c r="A14616"/>
    </row>
    <row r="14617" spans="1:1" x14ac:dyDescent="0.25">
      <c r="A14617"/>
    </row>
    <row r="14618" spans="1:1" x14ac:dyDescent="0.25">
      <c r="A14618"/>
    </row>
    <row r="14619" spans="1:1" x14ac:dyDescent="0.25">
      <c r="A14619"/>
    </row>
    <row r="14620" spans="1:1" x14ac:dyDescent="0.25">
      <c r="A14620"/>
    </row>
    <row r="14621" spans="1:1" x14ac:dyDescent="0.25">
      <c r="A14621"/>
    </row>
    <row r="14622" spans="1:1" x14ac:dyDescent="0.25">
      <c r="A14622"/>
    </row>
    <row r="14623" spans="1:1" x14ac:dyDescent="0.25">
      <c r="A14623"/>
    </row>
    <row r="14624" spans="1:1" x14ac:dyDescent="0.25">
      <c r="A14624"/>
    </row>
    <row r="14625" spans="1:1" x14ac:dyDescent="0.25">
      <c r="A14625"/>
    </row>
    <row r="14626" spans="1:1" x14ac:dyDescent="0.25">
      <c r="A14626"/>
    </row>
    <row r="14627" spans="1:1" x14ac:dyDescent="0.25">
      <c r="A14627"/>
    </row>
    <row r="14628" spans="1:1" x14ac:dyDescent="0.25">
      <c r="A14628"/>
    </row>
    <row r="14629" spans="1:1" x14ac:dyDescent="0.25">
      <c r="A14629"/>
    </row>
    <row r="14630" spans="1:1" x14ac:dyDescent="0.25">
      <c r="A14630"/>
    </row>
    <row r="14631" spans="1:1" x14ac:dyDescent="0.25">
      <c r="A14631"/>
    </row>
    <row r="14632" spans="1:1" x14ac:dyDescent="0.25">
      <c r="A14632"/>
    </row>
    <row r="14633" spans="1:1" x14ac:dyDescent="0.25">
      <c r="A14633"/>
    </row>
    <row r="14634" spans="1:1" x14ac:dyDescent="0.25">
      <c r="A14634"/>
    </row>
    <row r="14635" spans="1:1" x14ac:dyDescent="0.25">
      <c r="A14635"/>
    </row>
    <row r="14636" spans="1:1" x14ac:dyDescent="0.25">
      <c r="A14636"/>
    </row>
    <row r="14637" spans="1:1" x14ac:dyDescent="0.25">
      <c r="A14637"/>
    </row>
    <row r="14638" spans="1:1" x14ac:dyDescent="0.25">
      <c r="A14638"/>
    </row>
    <row r="14639" spans="1:1" x14ac:dyDescent="0.25">
      <c r="A14639"/>
    </row>
    <row r="14640" spans="1:1" x14ac:dyDescent="0.25">
      <c r="A14640"/>
    </row>
    <row r="14641" spans="1:1" x14ac:dyDescent="0.25">
      <c r="A14641"/>
    </row>
    <row r="14642" spans="1:1" x14ac:dyDescent="0.25">
      <c r="A14642"/>
    </row>
    <row r="14643" spans="1:1" x14ac:dyDescent="0.25">
      <c r="A14643"/>
    </row>
    <row r="14644" spans="1:1" x14ac:dyDescent="0.25">
      <c r="A14644"/>
    </row>
    <row r="14645" spans="1:1" x14ac:dyDescent="0.25">
      <c r="A14645"/>
    </row>
    <row r="14646" spans="1:1" x14ac:dyDescent="0.25">
      <c r="A14646"/>
    </row>
    <row r="14647" spans="1:1" x14ac:dyDescent="0.25">
      <c r="A14647"/>
    </row>
    <row r="14648" spans="1:1" x14ac:dyDescent="0.25">
      <c r="A14648"/>
    </row>
    <row r="14649" spans="1:1" x14ac:dyDescent="0.25">
      <c r="A14649"/>
    </row>
    <row r="14650" spans="1:1" x14ac:dyDescent="0.25">
      <c r="A14650"/>
    </row>
    <row r="14651" spans="1:1" x14ac:dyDescent="0.25">
      <c r="A14651"/>
    </row>
    <row r="14652" spans="1:1" x14ac:dyDescent="0.25">
      <c r="A14652"/>
    </row>
    <row r="14653" spans="1:1" x14ac:dyDescent="0.25">
      <c r="A14653"/>
    </row>
    <row r="14654" spans="1:1" x14ac:dyDescent="0.25">
      <c r="A14654"/>
    </row>
    <row r="14655" spans="1:1" x14ac:dyDescent="0.25">
      <c r="A14655"/>
    </row>
    <row r="14656" spans="1:1" x14ac:dyDescent="0.25">
      <c r="A14656"/>
    </row>
    <row r="14657" spans="1:1" x14ac:dyDescent="0.25">
      <c r="A14657"/>
    </row>
    <row r="14658" spans="1:1" x14ac:dyDescent="0.25">
      <c r="A14658"/>
    </row>
    <row r="14659" spans="1:1" x14ac:dyDescent="0.25">
      <c r="A14659"/>
    </row>
    <row r="14660" spans="1:1" x14ac:dyDescent="0.25">
      <c r="A14660"/>
    </row>
    <row r="14661" spans="1:1" x14ac:dyDescent="0.25">
      <c r="A14661"/>
    </row>
    <row r="14662" spans="1:1" x14ac:dyDescent="0.25">
      <c r="A14662"/>
    </row>
    <row r="14663" spans="1:1" x14ac:dyDescent="0.25">
      <c r="A14663"/>
    </row>
    <row r="14664" spans="1:1" x14ac:dyDescent="0.25">
      <c r="A14664"/>
    </row>
    <row r="14665" spans="1:1" x14ac:dyDescent="0.25">
      <c r="A14665"/>
    </row>
    <row r="14666" spans="1:1" x14ac:dyDescent="0.25">
      <c r="A14666"/>
    </row>
    <row r="14667" spans="1:1" x14ac:dyDescent="0.25">
      <c r="A14667"/>
    </row>
    <row r="14668" spans="1:1" x14ac:dyDescent="0.25">
      <c r="A14668"/>
    </row>
    <row r="14669" spans="1:1" x14ac:dyDescent="0.25">
      <c r="A14669"/>
    </row>
    <row r="14670" spans="1:1" x14ac:dyDescent="0.25">
      <c r="A14670"/>
    </row>
    <row r="14671" spans="1:1" x14ac:dyDescent="0.25">
      <c r="A14671"/>
    </row>
    <row r="14672" spans="1:1" x14ac:dyDescent="0.25">
      <c r="A14672"/>
    </row>
    <row r="14673" spans="1:1" x14ac:dyDescent="0.25">
      <c r="A14673"/>
    </row>
    <row r="14674" spans="1:1" x14ac:dyDescent="0.25">
      <c r="A14674"/>
    </row>
    <row r="14675" spans="1:1" x14ac:dyDescent="0.25">
      <c r="A14675"/>
    </row>
    <row r="14676" spans="1:1" x14ac:dyDescent="0.25">
      <c r="A14676"/>
    </row>
    <row r="14677" spans="1:1" x14ac:dyDescent="0.25">
      <c r="A14677"/>
    </row>
    <row r="14678" spans="1:1" x14ac:dyDescent="0.25">
      <c r="A14678"/>
    </row>
    <row r="14679" spans="1:1" x14ac:dyDescent="0.25">
      <c r="A14679"/>
    </row>
    <row r="14680" spans="1:1" x14ac:dyDescent="0.25">
      <c r="A14680"/>
    </row>
    <row r="14681" spans="1:1" x14ac:dyDescent="0.25">
      <c r="A14681"/>
    </row>
    <row r="14682" spans="1:1" x14ac:dyDescent="0.25">
      <c r="A14682"/>
    </row>
    <row r="14683" spans="1:1" x14ac:dyDescent="0.25">
      <c r="A14683"/>
    </row>
    <row r="14684" spans="1:1" x14ac:dyDescent="0.25">
      <c r="A14684"/>
    </row>
    <row r="14685" spans="1:1" x14ac:dyDescent="0.25">
      <c r="A14685"/>
    </row>
    <row r="14686" spans="1:1" x14ac:dyDescent="0.25">
      <c r="A14686"/>
    </row>
    <row r="14687" spans="1:1" x14ac:dyDescent="0.25">
      <c r="A14687"/>
    </row>
    <row r="14688" spans="1:1" x14ac:dyDescent="0.25">
      <c r="A14688"/>
    </row>
    <row r="14689" spans="1:1" x14ac:dyDescent="0.25">
      <c r="A14689"/>
    </row>
    <row r="14690" spans="1:1" x14ac:dyDescent="0.25">
      <c r="A14690"/>
    </row>
    <row r="14691" spans="1:1" x14ac:dyDescent="0.25">
      <c r="A14691"/>
    </row>
    <row r="14692" spans="1:1" x14ac:dyDescent="0.25">
      <c r="A14692"/>
    </row>
    <row r="14693" spans="1:1" x14ac:dyDescent="0.25">
      <c r="A14693"/>
    </row>
    <row r="14694" spans="1:1" x14ac:dyDescent="0.25">
      <c r="A14694"/>
    </row>
    <row r="14695" spans="1:1" x14ac:dyDescent="0.25">
      <c r="A14695"/>
    </row>
    <row r="14696" spans="1:1" x14ac:dyDescent="0.25">
      <c r="A14696"/>
    </row>
    <row r="14697" spans="1:1" x14ac:dyDescent="0.25">
      <c r="A14697"/>
    </row>
    <row r="14698" spans="1:1" x14ac:dyDescent="0.25">
      <c r="A14698"/>
    </row>
    <row r="14699" spans="1:1" x14ac:dyDescent="0.25">
      <c r="A14699"/>
    </row>
    <row r="14700" spans="1:1" x14ac:dyDescent="0.25">
      <c r="A14700"/>
    </row>
    <row r="14701" spans="1:1" x14ac:dyDescent="0.25">
      <c r="A14701"/>
    </row>
    <row r="14702" spans="1:1" x14ac:dyDescent="0.25">
      <c r="A14702"/>
    </row>
    <row r="14703" spans="1:1" x14ac:dyDescent="0.25">
      <c r="A14703"/>
    </row>
    <row r="14704" spans="1:1" x14ac:dyDescent="0.25">
      <c r="A14704"/>
    </row>
    <row r="14705" spans="1:1" x14ac:dyDescent="0.25">
      <c r="A14705"/>
    </row>
    <row r="14706" spans="1:1" x14ac:dyDescent="0.25">
      <c r="A14706"/>
    </row>
    <row r="14707" spans="1:1" x14ac:dyDescent="0.25">
      <c r="A14707"/>
    </row>
    <row r="14708" spans="1:1" x14ac:dyDescent="0.25">
      <c r="A14708"/>
    </row>
    <row r="14709" spans="1:1" x14ac:dyDescent="0.25">
      <c r="A14709"/>
    </row>
    <row r="14710" spans="1:1" x14ac:dyDescent="0.25">
      <c r="A14710"/>
    </row>
    <row r="14711" spans="1:1" x14ac:dyDescent="0.25">
      <c r="A14711"/>
    </row>
    <row r="14712" spans="1:1" x14ac:dyDescent="0.25">
      <c r="A14712"/>
    </row>
    <row r="14713" spans="1:1" x14ac:dyDescent="0.25">
      <c r="A14713"/>
    </row>
    <row r="14714" spans="1:1" x14ac:dyDescent="0.25">
      <c r="A14714"/>
    </row>
    <row r="14715" spans="1:1" x14ac:dyDescent="0.25">
      <c r="A14715"/>
    </row>
    <row r="14716" spans="1:1" x14ac:dyDescent="0.25">
      <c r="A14716"/>
    </row>
    <row r="14717" spans="1:1" x14ac:dyDescent="0.25">
      <c r="A14717"/>
    </row>
    <row r="14718" spans="1:1" x14ac:dyDescent="0.25">
      <c r="A14718"/>
    </row>
    <row r="14719" spans="1:1" x14ac:dyDescent="0.25">
      <c r="A14719"/>
    </row>
    <row r="14720" spans="1:1" x14ac:dyDescent="0.25">
      <c r="A14720"/>
    </row>
    <row r="14721" spans="1:1" x14ac:dyDescent="0.25">
      <c r="A14721"/>
    </row>
    <row r="14722" spans="1:1" x14ac:dyDescent="0.25">
      <c r="A14722"/>
    </row>
    <row r="14723" spans="1:1" x14ac:dyDescent="0.25">
      <c r="A14723"/>
    </row>
    <row r="14724" spans="1:1" x14ac:dyDescent="0.25">
      <c r="A14724"/>
    </row>
    <row r="14725" spans="1:1" x14ac:dyDescent="0.25">
      <c r="A14725"/>
    </row>
    <row r="14726" spans="1:1" x14ac:dyDescent="0.25">
      <c r="A14726"/>
    </row>
    <row r="14727" spans="1:1" x14ac:dyDescent="0.25">
      <c r="A14727"/>
    </row>
    <row r="14728" spans="1:1" x14ac:dyDescent="0.25">
      <c r="A14728"/>
    </row>
    <row r="14729" spans="1:1" x14ac:dyDescent="0.25">
      <c r="A14729"/>
    </row>
    <row r="14730" spans="1:1" x14ac:dyDescent="0.25">
      <c r="A14730"/>
    </row>
    <row r="14731" spans="1:1" x14ac:dyDescent="0.25">
      <c r="A14731"/>
    </row>
    <row r="14732" spans="1:1" x14ac:dyDescent="0.25">
      <c r="A14732"/>
    </row>
    <row r="14733" spans="1:1" x14ac:dyDescent="0.25">
      <c r="A14733"/>
    </row>
    <row r="14734" spans="1:1" x14ac:dyDescent="0.25">
      <c r="A14734"/>
    </row>
    <row r="14735" spans="1:1" x14ac:dyDescent="0.25">
      <c r="A14735"/>
    </row>
    <row r="14736" spans="1:1" x14ac:dyDescent="0.25">
      <c r="A14736"/>
    </row>
    <row r="14737" spans="1:1" x14ac:dyDescent="0.25">
      <c r="A14737"/>
    </row>
    <row r="14738" spans="1:1" x14ac:dyDescent="0.25">
      <c r="A14738"/>
    </row>
    <row r="14739" spans="1:1" x14ac:dyDescent="0.25">
      <c r="A14739"/>
    </row>
    <row r="14740" spans="1:1" x14ac:dyDescent="0.25">
      <c r="A14740"/>
    </row>
    <row r="14741" spans="1:1" x14ac:dyDescent="0.25">
      <c r="A14741"/>
    </row>
    <row r="14742" spans="1:1" x14ac:dyDescent="0.25">
      <c r="A14742"/>
    </row>
    <row r="14743" spans="1:1" x14ac:dyDescent="0.25">
      <c r="A14743"/>
    </row>
    <row r="14744" spans="1:1" x14ac:dyDescent="0.25">
      <c r="A14744"/>
    </row>
    <row r="14745" spans="1:1" x14ac:dyDescent="0.25">
      <c r="A14745"/>
    </row>
    <row r="14746" spans="1:1" x14ac:dyDescent="0.25">
      <c r="A14746"/>
    </row>
    <row r="14747" spans="1:1" x14ac:dyDescent="0.25">
      <c r="A14747"/>
    </row>
    <row r="14748" spans="1:1" x14ac:dyDescent="0.25">
      <c r="A14748"/>
    </row>
    <row r="14749" spans="1:1" x14ac:dyDescent="0.25">
      <c r="A14749"/>
    </row>
    <row r="14750" spans="1:1" x14ac:dyDescent="0.25">
      <c r="A14750"/>
    </row>
    <row r="14751" spans="1:1" x14ac:dyDescent="0.25">
      <c r="A14751"/>
    </row>
    <row r="14752" spans="1:1" x14ac:dyDescent="0.25">
      <c r="A14752"/>
    </row>
    <row r="14753" spans="1:1" x14ac:dyDescent="0.25">
      <c r="A14753"/>
    </row>
    <row r="14754" spans="1:1" x14ac:dyDescent="0.25">
      <c r="A14754"/>
    </row>
    <row r="14755" spans="1:1" x14ac:dyDescent="0.25">
      <c r="A14755"/>
    </row>
    <row r="14756" spans="1:1" x14ac:dyDescent="0.25">
      <c r="A14756"/>
    </row>
    <row r="14757" spans="1:1" x14ac:dyDescent="0.25">
      <c r="A14757"/>
    </row>
    <row r="14758" spans="1:1" x14ac:dyDescent="0.25">
      <c r="A14758"/>
    </row>
    <row r="14759" spans="1:1" x14ac:dyDescent="0.25">
      <c r="A14759"/>
    </row>
    <row r="14760" spans="1:1" x14ac:dyDescent="0.25">
      <c r="A14760"/>
    </row>
    <row r="14761" spans="1:1" x14ac:dyDescent="0.25">
      <c r="A14761"/>
    </row>
    <row r="14762" spans="1:1" x14ac:dyDescent="0.25">
      <c r="A14762"/>
    </row>
    <row r="14763" spans="1:1" x14ac:dyDescent="0.25">
      <c r="A14763"/>
    </row>
    <row r="14764" spans="1:1" x14ac:dyDescent="0.25">
      <c r="A14764"/>
    </row>
    <row r="14765" spans="1:1" x14ac:dyDescent="0.25">
      <c r="A14765"/>
    </row>
    <row r="14766" spans="1:1" x14ac:dyDescent="0.25">
      <c r="A14766"/>
    </row>
    <row r="14767" spans="1:1" x14ac:dyDescent="0.25">
      <c r="A14767"/>
    </row>
    <row r="14768" spans="1:1" x14ac:dyDescent="0.25">
      <c r="A14768"/>
    </row>
    <row r="14769" spans="1:1" x14ac:dyDescent="0.25">
      <c r="A14769"/>
    </row>
    <row r="14770" spans="1:1" x14ac:dyDescent="0.25">
      <c r="A14770"/>
    </row>
    <row r="14771" spans="1:1" x14ac:dyDescent="0.25">
      <c r="A14771"/>
    </row>
    <row r="14772" spans="1:1" x14ac:dyDescent="0.25">
      <c r="A14772"/>
    </row>
    <row r="14773" spans="1:1" x14ac:dyDescent="0.25">
      <c r="A14773"/>
    </row>
    <row r="14774" spans="1:1" x14ac:dyDescent="0.25">
      <c r="A14774"/>
    </row>
    <row r="14775" spans="1:1" x14ac:dyDescent="0.25">
      <c r="A14775"/>
    </row>
    <row r="14776" spans="1:1" x14ac:dyDescent="0.25">
      <c r="A14776"/>
    </row>
    <row r="14777" spans="1:1" x14ac:dyDescent="0.25">
      <c r="A14777"/>
    </row>
    <row r="14778" spans="1:1" x14ac:dyDescent="0.25">
      <c r="A14778"/>
    </row>
    <row r="14779" spans="1:1" x14ac:dyDescent="0.25">
      <c r="A14779"/>
    </row>
    <row r="14780" spans="1:1" x14ac:dyDescent="0.25">
      <c r="A14780"/>
    </row>
    <row r="14781" spans="1:1" x14ac:dyDescent="0.25">
      <c r="A14781"/>
    </row>
    <row r="14782" spans="1:1" x14ac:dyDescent="0.25">
      <c r="A14782"/>
    </row>
    <row r="14783" spans="1:1" x14ac:dyDescent="0.25">
      <c r="A14783"/>
    </row>
    <row r="14784" spans="1:1" x14ac:dyDescent="0.25">
      <c r="A14784"/>
    </row>
    <row r="14785" spans="1:1" x14ac:dyDescent="0.25">
      <c r="A14785"/>
    </row>
    <row r="14786" spans="1:1" x14ac:dyDescent="0.25">
      <c r="A14786"/>
    </row>
    <row r="14787" spans="1:1" x14ac:dyDescent="0.25">
      <c r="A14787"/>
    </row>
    <row r="14788" spans="1:1" x14ac:dyDescent="0.25">
      <c r="A14788"/>
    </row>
    <row r="14789" spans="1:1" x14ac:dyDescent="0.25">
      <c r="A14789"/>
    </row>
    <row r="14790" spans="1:1" x14ac:dyDescent="0.25">
      <c r="A14790"/>
    </row>
    <row r="14791" spans="1:1" x14ac:dyDescent="0.25">
      <c r="A14791"/>
    </row>
    <row r="14792" spans="1:1" x14ac:dyDescent="0.25">
      <c r="A14792"/>
    </row>
    <row r="14793" spans="1:1" x14ac:dyDescent="0.25">
      <c r="A14793"/>
    </row>
    <row r="14794" spans="1:1" x14ac:dyDescent="0.25">
      <c r="A14794"/>
    </row>
    <row r="14795" spans="1:1" x14ac:dyDescent="0.25">
      <c r="A14795"/>
    </row>
    <row r="14796" spans="1:1" x14ac:dyDescent="0.25">
      <c r="A14796"/>
    </row>
    <row r="14797" spans="1:1" x14ac:dyDescent="0.25">
      <c r="A14797"/>
    </row>
    <row r="14798" spans="1:1" x14ac:dyDescent="0.25">
      <c r="A14798"/>
    </row>
    <row r="14799" spans="1:1" x14ac:dyDescent="0.25">
      <c r="A14799"/>
    </row>
    <row r="14800" spans="1:1" x14ac:dyDescent="0.25">
      <c r="A14800"/>
    </row>
    <row r="14801" spans="1:1" x14ac:dyDescent="0.25">
      <c r="A14801"/>
    </row>
    <row r="14802" spans="1:1" x14ac:dyDescent="0.25">
      <c r="A14802"/>
    </row>
    <row r="14803" spans="1:1" x14ac:dyDescent="0.25">
      <c r="A14803"/>
    </row>
    <row r="14804" spans="1:1" x14ac:dyDescent="0.25">
      <c r="A14804"/>
    </row>
    <row r="14805" spans="1:1" x14ac:dyDescent="0.25">
      <c r="A14805"/>
    </row>
    <row r="14806" spans="1:1" x14ac:dyDescent="0.25">
      <c r="A14806"/>
    </row>
    <row r="14807" spans="1:1" x14ac:dyDescent="0.25">
      <c r="A14807"/>
    </row>
    <row r="14808" spans="1:1" x14ac:dyDescent="0.25">
      <c r="A14808"/>
    </row>
    <row r="14809" spans="1:1" x14ac:dyDescent="0.25">
      <c r="A14809"/>
    </row>
    <row r="14810" spans="1:1" x14ac:dyDescent="0.25">
      <c r="A14810"/>
    </row>
    <row r="14811" spans="1:1" x14ac:dyDescent="0.25">
      <c r="A14811"/>
    </row>
    <row r="14812" spans="1:1" x14ac:dyDescent="0.25">
      <c r="A14812"/>
    </row>
    <row r="14813" spans="1:1" x14ac:dyDescent="0.25">
      <c r="A14813"/>
    </row>
    <row r="14814" spans="1:1" x14ac:dyDescent="0.25">
      <c r="A14814"/>
    </row>
    <row r="14815" spans="1:1" x14ac:dyDescent="0.25">
      <c r="A14815"/>
    </row>
    <row r="14816" spans="1:1" x14ac:dyDescent="0.25">
      <c r="A14816"/>
    </row>
    <row r="14817" spans="1:1" x14ac:dyDescent="0.25">
      <c r="A14817"/>
    </row>
    <row r="14818" spans="1:1" x14ac:dyDescent="0.25">
      <c r="A14818"/>
    </row>
    <row r="14819" spans="1:1" x14ac:dyDescent="0.25">
      <c r="A14819"/>
    </row>
    <row r="14820" spans="1:1" x14ac:dyDescent="0.25">
      <c r="A14820"/>
    </row>
    <row r="14821" spans="1:1" x14ac:dyDescent="0.25">
      <c r="A14821"/>
    </row>
    <row r="14822" spans="1:1" x14ac:dyDescent="0.25">
      <c r="A14822"/>
    </row>
    <row r="14823" spans="1:1" x14ac:dyDescent="0.25">
      <c r="A14823"/>
    </row>
    <row r="14824" spans="1:1" x14ac:dyDescent="0.25">
      <c r="A14824"/>
    </row>
    <row r="14825" spans="1:1" x14ac:dyDescent="0.25">
      <c r="A14825"/>
    </row>
    <row r="14826" spans="1:1" x14ac:dyDescent="0.25">
      <c r="A14826"/>
    </row>
    <row r="14827" spans="1:1" x14ac:dyDescent="0.25">
      <c r="A14827"/>
    </row>
    <row r="14828" spans="1:1" x14ac:dyDescent="0.25">
      <c r="A14828"/>
    </row>
    <row r="14829" spans="1:1" x14ac:dyDescent="0.25">
      <c r="A14829"/>
    </row>
    <row r="14830" spans="1:1" x14ac:dyDescent="0.25">
      <c r="A14830"/>
    </row>
    <row r="14831" spans="1:1" x14ac:dyDescent="0.25">
      <c r="A14831"/>
    </row>
    <row r="14832" spans="1:1" x14ac:dyDescent="0.25">
      <c r="A14832"/>
    </row>
    <row r="14833" spans="1:1" x14ac:dyDescent="0.25">
      <c r="A14833"/>
    </row>
    <row r="14834" spans="1:1" x14ac:dyDescent="0.25">
      <c r="A14834"/>
    </row>
    <row r="14835" spans="1:1" x14ac:dyDescent="0.25">
      <c r="A14835"/>
    </row>
    <row r="14836" spans="1:1" x14ac:dyDescent="0.25">
      <c r="A14836"/>
    </row>
    <row r="14837" spans="1:1" x14ac:dyDescent="0.25">
      <c r="A14837"/>
    </row>
    <row r="14838" spans="1:1" x14ac:dyDescent="0.25">
      <c r="A14838"/>
    </row>
    <row r="14839" spans="1:1" x14ac:dyDescent="0.25">
      <c r="A14839"/>
    </row>
    <row r="14840" spans="1:1" x14ac:dyDescent="0.25">
      <c r="A14840"/>
    </row>
    <row r="14841" spans="1:1" x14ac:dyDescent="0.25">
      <c r="A14841"/>
    </row>
    <row r="14842" spans="1:1" x14ac:dyDescent="0.25">
      <c r="A14842"/>
    </row>
    <row r="14843" spans="1:1" x14ac:dyDescent="0.25">
      <c r="A14843"/>
    </row>
    <row r="14844" spans="1:1" x14ac:dyDescent="0.25">
      <c r="A14844"/>
    </row>
    <row r="14845" spans="1:1" x14ac:dyDescent="0.25">
      <c r="A14845"/>
    </row>
    <row r="14846" spans="1:1" x14ac:dyDescent="0.25">
      <c r="A14846"/>
    </row>
    <row r="14847" spans="1:1" x14ac:dyDescent="0.25">
      <c r="A14847"/>
    </row>
    <row r="14848" spans="1:1" x14ac:dyDescent="0.25">
      <c r="A14848"/>
    </row>
    <row r="14849" spans="1:1" x14ac:dyDescent="0.25">
      <c r="A14849"/>
    </row>
    <row r="14850" spans="1:1" x14ac:dyDescent="0.25">
      <c r="A14850"/>
    </row>
    <row r="14851" spans="1:1" x14ac:dyDescent="0.25">
      <c r="A14851"/>
    </row>
    <row r="14852" spans="1:1" x14ac:dyDescent="0.25">
      <c r="A14852"/>
    </row>
    <row r="14853" spans="1:1" x14ac:dyDescent="0.25">
      <c r="A14853"/>
    </row>
    <row r="14854" spans="1:1" x14ac:dyDescent="0.25">
      <c r="A14854"/>
    </row>
    <row r="14855" spans="1:1" x14ac:dyDescent="0.25">
      <c r="A14855"/>
    </row>
    <row r="14856" spans="1:1" x14ac:dyDescent="0.25">
      <c r="A14856"/>
    </row>
    <row r="14857" spans="1:1" x14ac:dyDescent="0.25">
      <c r="A14857"/>
    </row>
    <row r="14858" spans="1:1" x14ac:dyDescent="0.25">
      <c r="A14858"/>
    </row>
    <row r="14859" spans="1:1" x14ac:dyDescent="0.25">
      <c r="A14859"/>
    </row>
    <row r="14860" spans="1:1" x14ac:dyDescent="0.25">
      <c r="A14860"/>
    </row>
    <row r="14861" spans="1:1" x14ac:dyDescent="0.25">
      <c r="A14861"/>
    </row>
    <row r="14862" spans="1:1" x14ac:dyDescent="0.25">
      <c r="A14862"/>
    </row>
    <row r="14863" spans="1:1" x14ac:dyDescent="0.25">
      <c r="A14863"/>
    </row>
    <row r="14864" spans="1:1" x14ac:dyDescent="0.25">
      <c r="A14864"/>
    </row>
    <row r="14865" spans="1:1" x14ac:dyDescent="0.25">
      <c r="A14865"/>
    </row>
    <row r="14866" spans="1:1" x14ac:dyDescent="0.25">
      <c r="A14866"/>
    </row>
    <row r="14867" spans="1:1" x14ac:dyDescent="0.25">
      <c r="A14867"/>
    </row>
    <row r="14868" spans="1:1" x14ac:dyDescent="0.25">
      <c r="A14868"/>
    </row>
    <row r="14869" spans="1:1" x14ac:dyDescent="0.25">
      <c r="A14869"/>
    </row>
    <row r="14870" spans="1:1" x14ac:dyDescent="0.25">
      <c r="A14870"/>
    </row>
    <row r="14871" spans="1:1" x14ac:dyDescent="0.25">
      <c r="A14871"/>
    </row>
    <row r="14872" spans="1:1" x14ac:dyDescent="0.25">
      <c r="A14872"/>
    </row>
    <row r="14873" spans="1:1" x14ac:dyDescent="0.25">
      <c r="A14873"/>
    </row>
    <row r="14874" spans="1:1" x14ac:dyDescent="0.25">
      <c r="A14874"/>
    </row>
    <row r="14875" spans="1:1" x14ac:dyDescent="0.25">
      <c r="A14875"/>
    </row>
    <row r="14876" spans="1:1" x14ac:dyDescent="0.25">
      <c r="A14876"/>
    </row>
    <row r="14877" spans="1:1" x14ac:dyDescent="0.25">
      <c r="A14877"/>
    </row>
    <row r="14878" spans="1:1" x14ac:dyDescent="0.25">
      <c r="A14878"/>
    </row>
    <row r="14879" spans="1:1" x14ac:dyDescent="0.25">
      <c r="A14879"/>
    </row>
    <row r="14880" spans="1:1" x14ac:dyDescent="0.25">
      <c r="A14880"/>
    </row>
    <row r="14881" spans="1:1" x14ac:dyDescent="0.25">
      <c r="A14881"/>
    </row>
    <row r="14882" spans="1:1" x14ac:dyDescent="0.25">
      <c r="A14882"/>
    </row>
    <row r="14883" spans="1:1" x14ac:dyDescent="0.25">
      <c r="A14883"/>
    </row>
    <row r="14884" spans="1:1" x14ac:dyDescent="0.25">
      <c r="A14884"/>
    </row>
    <row r="14885" spans="1:1" x14ac:dyDescent="0.25">
      <c r="A14885"/>
    </row>
    <row r="14886" spans="1:1" x14ac:dyDescent="0.25">
      <c r="A14886"/>
    </row>
    <row r="14887" spans="1:1" x14ac:dyDescent="0.25">
      <c r="A14887"/>
    </row>
    <row r="14888" spans="1:1" x14ac:dyDescent="0.25">
      <c r="A14888"/>
    </row>
    <row r="14889" spans="1:1" x14ac:dyDescent="0.25">
      <c r="A14889"/>
    </row>
    <row r="14890" spans="1:1" x14ac:dyDescent="0.25">
      <c r="A14890"/>
    </row>
    <row r="14891" spans="1:1" x14ac:dyDescent="0.25">
      <c r="A14891"/>
    </row>
    <row r="14892" spans="1:1" x14ac:dyDescent="0.25">
      <c r="A14892"/>
    </row>
    <row r="14893" spans="1:1" x14ac:dyDescent="0.25">
      <c r="A14893"/>
    </row>
    <row r="14894" spans="1:1" x14ac:dyDescent="0.25">
      <c r="A14894"/>
    </row>
    <row r="14895" spans="1:1" x14ac:dyDescent="0.25">
      <c r="A14895"/>
    </row>
    <row r="14896" spans="1:1" x14ac:dyDescent="0.25">
      <c r="A14896"/>
    </row>
    <row r="14897" spans="1:1" x14ac:dyDescent="0.25">
      <c r="A14897"/>
    </row>
    <row r="14898" spans="1:1" x14ac:dyDescent="0.25">
      <c r="A14898"/>
    </row>
    <row r="14899" spans="1:1" x14ac:dyDescent="0.25">
      <c r="A14899"/>
    </row>
    <row r="14900" spans="1:1" x14ac:dyDescent="0.25">
      <c r="A14900"/>
    </row>
    <row r="14901" spans="1:1" x14ac:dyDescent="0.25">
      <c r="A14901"/>
    </row>
    <row r="14902" spans="1:1" x14ac:dyDescent="0.25">
      <c r="A14902"/>
    </row>
    <row r="14903" spans="1:1" x14ac:dyDescent="0.25">
      <c r="A14903"/>
    </row>
    <row r="14904" spans="1:1" x14ac:dyDescent="0.25">
      <c r="A14904"/>
    </row>
    <row r="14905" spans="1:1" x14ac:dyDescent="0.25">
      <c r="A14905"/>
    </row>
    <row r="14906" spans="1:1" x14ac:dyDescent="0.25">
      <c r="A14906"/>
    </row>
    <row r="14907" spans="1:1" x14ac:dyDescent="0.25">
      <c r="A14907"/>
    </row>
    <row r="14908" spans="1:1" x14ac:dyDescent="0.25">
      <c r="A14908"/>
    </row>
    <row r="14909" spans="1:1" x14ac:dyDescent="0.25">
      <c r="A14909"/>
    </row>
    <row r="14910" spans="1:1" x14ac:dyDescent="0.25">
      <c r="A14910"/>
    </row>
    <row r="14911" spans="1:1" x14ac:dyDescent="0.25">
      <c r="A14911"/>
    </row>
    <row r="14912" spans="1:1" x14ac:dyDescent="0.25">
      <c r="A14912"/>
    </row>
    <row r="14913" spans="1:1" x14ac:dyDescent="0.25">
      <c r="A14913"/>
    </row>
    <row r="14914" spans="1:1" x14ac:dyDescent="0.25">
      <c r="A14914"/>
    </row>
    <row r="14915" spans="1:1" x14ac:dyDescent="0.25">
      <c r="A14915"/>
    </row>
    <row r="14916" spans="1:1" x14ac:dyDescent="0.25">
      <c r="A14916"/>
    </row>
    <row r="14917" spans="1:1" x14ac:dyDescent="0.25">
      <c r="A14917"/>
    </row>
    <row r="14918" spans="1:1" x14ac:dyDescent="0.25">
      <c r="A14918"/>
    </row>
    <row r="14919" spans="1:1" x14ac:dyDescent="0.25">
      <c r="A14919"/>
    </row>
    <row r="14920" spans="1:1" x14ac:dyDescent="0.25">
      <c r="A14920"/>
    </row>
    <row r="14921" spans="1:1" x14ac:dyDescent="0.25">
      <c r="A14921"/>
    </row>
    <row r="14922" spans="1:1" x14ac:dyDescent="0.25">
      <c r="A14922"/>
    </row>
    <row r="14923" spans="1:1" x14ac:dyDescent="0.25">
      <c r="A14923"/>
    </row>
    <row r="14924" spans="1:1" x14ac:dyDescent="0.25">
      <c r="A14924"/>
    </row>
    <row r="14925" spans="1:1" x14ac:dyDescent="0.25">
      <c r="A14925"/>
    </row>
    <row r="14926" spans="1:1" x14ac:dyDescent="0.25">
      <c r="A14926"/>
    </row>
    <row r="14927" spans="1:1" x14ac:dyDescent="0.25">
      <c r="A14927"/>
    </row>
    <row r="14928" spans="1:1" x14ac:dyDescent="0.25">
      <c r="A14928"/>
    </row>
    <row r="14929" spans="1:1" x14ac:dyDescent="0.25">
      <c r="A14929"/>
    </row>
    <row r="14930" spans="1:1" x14ac:dyDescent="0.25">
      <c r="A14930"/>
    </row>
    <row r="14931" spans="1:1" x14ac:dyDescent="0.25">
      <c r="A14931"/>
    </row>
    <row r="14932" spans="1:1" x14ac:dyDescent="0.25">
      <c r="A14932"/>
    </row>
    <row r="14933" spans="1:1" x14ac:dyDescent="0.25">
      <c r="A14933"/>
    </row>
    <row r="14934" spans="1:1" x14ac:dyDescent="0.25">
      <c r="A14934"/>
    </row>
    <row r="14935" spans="1:1" x14ac:dyDescent="0.25">
      <c r="A14935"/>
    </row>
    <row r="14936" spans="1:1" x14ac:dyDescent="0.25">
      <c r="A14936"/>
    </row>
    <row r="14937" spans="1:1" x14ac:dyDescent="0.25">
      <c r="A14937"/>
    </row>
    <row r="14938" spans="1:1" x14ac:dyDescent="0.25">
      <c r="A14938"/>
    </row>
    <row r="14939" spans="1:1" x14ac:dyDescent="0.25">
      <c r="A14939"/>
    </row>
    <row r="14940" spans="1:1" x14ac:dyDescent="0.25">
      <c r="A14940"/>
    </row>
    <row r="14941" spans="1:1" x14ac:dyDescent="0.25">
      <c r="A14941"/>
    </row>
    <row r="14942" spans="1:1" x14ac:dyDescent="0.25">
      <c r="A14942"/>
    </row>
    <row r="14943" spans="1:1" x14ac:dyDescent="0.25">
      <c r="A14943"/>
    </row>
    <row r="14944" spans="1:1" x14ac:dyDescent="0.25">
      <c r="A14944"/>
    </row>
    <row r="14945" spans="1:1" x14ac:dyDescent="0.25">
      <c r="A14945"/>
    </row>
    <row r="14946" spans="1:1" x14ac:dyDescent="0.25">
      <c r="A14946"/>
    </row>
    <row r="14947" spans="1:1" x14ac:dyDescent="0.25">
      <c r="A14947"/>
    </row>
    <row r="14948" spans="1:1" x14ac:dyDescent="0.25">
      <c r="A14948"/>
    </row>
    <row r="14949" spans="1:1" x14ac:dyDescent="0.25">
      <c r="A14949"/>
    </row>
    <row r="14950" spans="1:1" x14ac:dyDescent="0.25">
      <c r="A14950"/>
    </row>
    <row r="14951" spans="1:1" x14ac:dyDescent="0.25">
      <c r="A14951"/>
    </row>
    <row r="14952" spans="1:1" x14ac:dyDescent="0.25">
      <c r="A14952"/>
    </row>
    <row r="14953" spans="1:1" x14ac:dyDescent="0.25">
      <c r="A14953"/>
    </row>
    <row r="14954" spans="1:1" x14ac:dyDescent="0.25">
      <c r="A14954"/>
    </row>
    <row r="14955" spans="1:1" x14ac:dyDescent="0.25">
      <c r="A14955"/>
    </row>
    <row r="14956" spans="1:1" x14ac:dyDescent="0.25">
      <c r="A14956"/>
    </row>
    <row r="14957" spans="1:1" x14ac:dyDescent="0.25">
      <c r="A14957"/>
    </row>
    <row r="14958" spans="1:1" x14ac:dyDescent="0.25">
      <c r="A14958"/>
    </row>
    <row r="14959" spans="1:1" x14ac:dyDescent="0.25">
      <c r="A14959"/>
    </row>
    <row r="14960" spans="1:1" x14ac:dyDescent="0.25">
      <c r="A14960"/>
    </row>
    <row r="14961" spans="1:1" x14ac:dyDescent="0.25">
      <c r="A14961"/>
    </row>
    <row r="14962" spans="1:1" x14ac:dyDescent="0.25">
      <c r="A14962"/>
    </row>
    <row r="14963" spans="1:1" x14ac:dyDescent="0.25">
      <c r="A14963"/>
    </row>
    <row r="14964" spans="1:1" x14ac:dyDescent="0.25">
      <c r="A14964"/>
    </row>
    <row r="14965" spans="1:1" x14ac:dyDescent="0.25">
      <c r="A14965"/>
    </row>
    <row r="14966" spans="1:1" x14ac:dyDescent="0.25">
      <c r="A14966"/>
    </row>
    <row r="14967" spans="1:1" x14ac:dyDescent="0.25">
      <c r="A14967"/>
    </row>
    <row r="14968" spans="1:1" x14ac:dyDescent="0.25">
      <c r="A14968"/>
    </row>
    <row r="14969" spans="1:1" x14ac:dyDescent="0.25">
      <c r="A14969"/>
    </row>
    <row r="14970" spans="1:1" x14ac:dyDescent="0.25">
      <c r="A14970"/>
    </row>
    <row r="14971" spans="1:1" x14ac:dyDescent="0.25">
      <c r="A14971"/>
    </row>
    <row r="14972" spans="1:1" x14ac:dyDescent="0.25">
      <c r="A14972"/>
    </row>
    <row r="14973" spans="1:1" x14ac:dyDescent="0.25">
      <c r="A14973"/>
    </row>
    <row r="14974" spans="1:1" x14ac:dyDescent="0.25">
      <c r="A14974"/>
    </row>
    <row r="14975" spans="1:1" x14ac:dyDescent="0.25">
      <c r="A14975"/>
    </row>
    <row r="14976" spans="1:1" x14ac:dyDescent="0.25">
      <c r="A14976"/>
    </row>
    <row r="14977" spans="1:1" x14ac:dyDescent="0.25">
      <c r="A14977"/>
    </row>
    <row r="14978" spans="1:1" x14ac:dyDescent="0.25">
      <c r="A14978"/>
    </row>
    <row r="14979" spans="1:1" x14ac:dyDescent="0.25">
      <c r="A14979"/>
    </row>
    <row r="14980" spans="1:1" x14ac:dyDescent="0.25">
      <c r="A14980"/>
    </row>
    <row r="14981" spans="1:1" x14ac:dyDescent="0.25">
      <c r="A14981"/>
    </row>
    <row r="14982" spans="1:1" x14ac:dyDescent="0.25">
      <c r="A14982"/>
    </row>
    <row r="14983" spans="1:1" x14ac:dyDescent="0.25">
      <c r="A14983"/>
    </row>
    <row r="14984" spans="1:1" x14ac:dyDescent="0.25">
      <c r="A14984"/>
    </row>
    <row r="14985" spans="1:1" x14ac:dyDescent="0.25">
      <c r="A14985"/>
    </row>
    <row r="14986" spans="1:1" x14ac:dyDescent="0.25">
      <c r="A14986"/>
    </row>
    <row r="14987" spans="1:1" x14ac:dyDescent="0.25">
      <c r="A14987"/>
    </row>
    <row r="14988" spans="1:1" x14ac:dyDescent="0.25">
      <c r="A14988"/>
    </row>
    <row r="14989" spans="1:1" x14ac:dyDescent="0.25">
      <c r="A14989"/>
    </row>
    <row r="14990" spans="1:1" x14ac:dyDescent="0.25">
      <c r="A14990"/>
    </row>
    <row r="14991" spans="1:1" x14ac:dyDescent="0.25">
      <c r="A14991"/>
    </row>
    <row r="14992" spans="1:1" x14ac:dyDescent="0.25">
      <c r="A14992"/>
    </row>
    <row r="14993" spans="1:1" x14ac:dyDescent="0.25">
      <c r="A14993"/>
    </row>
    <row r="14994" spans="1:1" x14ac:dyDescent="0.25">
      <c r="A14994"/>
    </row>
    <row r="14995" spans="1:1" x14ac:dyDescent="0.25">
      <c r="A14995"/>
    </row>
    <row r="14996" spans="1:1" x14ac:dyDescent="0.25">
      <c r="A14996"/>
    </row>
    <row r="14997" spans="1:1" x14ac:dyDescent="0.25">
      <c r="A14997"/>
    </row>
    <row r="14998" spans="1:1" x14ac:dyDescent="0.25">
      <c r="A14998"/>
    </row>
    <row r="14999" spans="1:1" x14ac:dyDescent="0.25">
      <c r="A14999"/>
    </row>
    <row r="15000" spans="1:1" x14ac:dyDescent="0.25">
      <c r="A15000"/>
    </row>
    <row r="15001" spans="1:1" x14ac:dyDescent="0.25">
      <c r="A15001"/>
    </row>
    <row r="15002" spans="1:1" x14ac:dyDescent="0.25">
      <c r="A15002"/>
    </row>
    <row r="15003" spans="1:1" x14ac:dyDescent="0.25">
      <c r="A15003"/>
    </row>
    <row r="15004" spans="1:1" x14ac:dyDescent="0.25">
      <c r="A15004"/>
    </row>
    <row r="15005" spans="1:1" x14ac:dyDescent="0.25">
      <c r="A15005"/>
    </row>
    <row r="15006" spans="1:1" x14ac:dyDescent="0.25">
      <c r="A15006"/>
    </row>
    <row r="15007" spans="1:1" x14ac:dyDescent="0.25">
      <c r="A15007"/>
    </row>
    <row r="15008" spans="1:1" x14ac:dyDescent="0.25">
      <c r="A15008"/>
    </row>
    <row r="15009" spans="1:1" x14ac:dyDescent="0.25">
      <c r="A15009"/>
    </row>
    <row r="15010" spans="1:1" x14ac:dyDescent="0.25">
      <c r="A15010"/>
    </row>
    <row r="15011" spans="1:1" x14ac:dyDescent="0.25">
      <c r="A15011"/>
    </row>
    <row r="15012" spans="1:1" x14ac:dyDescent="0.25">
      <c r="A15012"/>
    </row>
    <row r="15013" spans="1:1" x14ac:dyDescent="0.25">
      <c r="A15013"/>
    </row>
    <row r="15014" spans="1:1" x14ac:dyDescent="0.25">
      <c r="A15014"/>
    </row>
    <row r="15015" spans="1:1" x14ac:dyDescent="0.25">
      <c r="A15015"/>
    </row>
    <row r="15016" spans="1:1" x14ac:dyDescent="0.25">
      <c r="A15016"/>
    </row>
    <row r="15017" spans="1:1" x14ac:dyDescent="0.25">
      <c r="A15017"/>
    </row>
    <row r="15018" spans="1:1" x14ac:dyDescent="0.25">
      <c r="A15018"/>
    </row>
    <row r="15019" spans="1:1" x14ac:dyDescent="0.25">
      <c r="A15019"/>
    </row>
    <row r="15020" spans="1:1" x14ac:dyDescent="0.25">
      <c r="A15020"/>
    </row>
    <row r="15021" spans="1:1" x14ac:dyDescent="0.25">
      <c r="A15021"/>
    </row>
    <row r="15022" spans="1:1" x14ac:dyDescent="0.25">
      <c r="A15022"/>
    </row>
    <row r="15023" spans="1:1" x14ac:dyDescent="0.25">
      <c r="A15023"/>
    </row>
    <row r="15024" spans="1:1" x14ac:dyDescent="0.25">
      <c r="A15024"/>
    </row>
    <row r="15025" spans="1:1" x14ac:dyDescent="0.25">
      <c r="A15025"/>
    </row>
    <row r="15026" spans="1:1" x14ac:dyDescent="0.25">
      <c r="A15026"/>
    </row>
    <row r="15027" spans="1:1" x14ac:dyDescent="0.25">
      <c r="A15027"/>
    </row>
    <row r="15028" spans="1:1" x14ac:dyDescent="0.25">
      <c r="A15028"/>
    </row>
    <row r="15029" spans="1:1" x14ac:dyDescent="0.25">
      <c r="A15029"/>
    </row>
    <row r="15030" spans="1:1" x14ac:dyDescent="0.25">
      <c r="A15030"/>
    </row>
    <row r="15031" spans="1:1" x14ac:dyDescent="0.25">
      <c r="A15031"/>
    </row>
    <row r="15032" spans="1:1" x14ac:dyDescent="0.25">
      <c r="A15032"/>
    </row>
    <row r="15033" spans="1:1" x14ac:dyDescent="0.25">
      <c r="A15033"/>
    </row>
    <row r="15034" spans="1:1" x14ac:dyDescent="0.25">
      <c r="A15034"/>
    </row>
    <row r="15035" spans="1:1" x14ac:dyDescent="0.25">
      <c r="A15035"/>
    </row>
    <row r="15036" spans="1:1" x14ac:dyDescent="0.25">
      <c r="A15036"/>
    </row>
    <row r="15037" spans="1:1" x14ac:dyDescent="0.25">
      <c r="A15037"/>
    </row>
    <row r="15038" spans="1:1" x14ac:dyDescent="0.25">
      <c r="A15038"/>
    </row>
    <row r="15039" spans="1:1" x14ac:dyDescent="0.25">
      <c r="A15039"/>
    </row>
    <row r="15040" spans="1:1" x14ac:dyDescent="0.25">
      <c r="A15040"/>
    </row>
    <row r="15041" spans="1:1" x14ac:dyDescent="0.25">
      <c r="A15041"/>
    </row>
    <row r="15042" spans="1:1" x14ac:dyDescent="0.25">
      <c r="A15042"/>
    </row>
    <row r="15043" spans="1:1" x14ac:dyDescent="0.25">
      <c r="A15043"/>
    </row>
    <row r="15044" spans="1:1" x14ac:dyDescent="0.25">
      <c r="A15044"/>
    </row>
    <row r="15045" spans="1:1" x14ac:dyDescent="0.25">
      <c r="A15045"/>
    </row>
    <row r="15046" spans="1:1" x14ac:dyDescent="0.25">
      <c r="A15046"/>
    </row>
    <row r="15047" spans="1:1" x14ac:dyDescent="0.25">
      <c r="A15047"/>
    </row>
    <row r="15048" spans="1:1" x14ac:dyDescent="0.25">
      <c r="A15048"/>
    </row>
    <row r="15049" spans="1:1" x14ac:dyDescent="0.25">
      <c r="A15049"/>
    </row>
    <row r="15050" spans="1:1" x14ac:dyDescent="0.25">
      <c r="A15050"/>
    </row>
    <row r="15051" spans="1:1" x14ac:dyDescent="0.25">
      <c r="A15051"/>
    </row>
    <row r="15052" spans="1:1" x14ac:dyDescent="0.25">
      <c r="A15052"/>
    </row>
    <row r="15053" spans="1:1" x14ac:dyDescent="0.25">
      <c r="A15053"/>
    </row>
    <row r="15054" spans="1:1" x14ac:dyDescent="0.25">
      <c r="A15054"/>
    </row>
    <row r="15055" spans="1:1" x14ac:dyDescent="0.25">
      <c r="A15055"/>
    </row>
    <row r="15056" spans="1:1" x14ac:dyDescent="0.25">
      <c r="A15056"/>
    </row>
    <row r="15057" spans="1:1" x14ac:dyDescent="0.25">
      <c r="A15057"/>
    </row>
    <row r="15058" spans="1:1" x14ac:dyDescent="0.25">
      <c r="A15058"/>
    </row>
    <row r="15059" spans="1:1" x14ac:dyDescent="0.25">
      <c r="A15059"/>
    </row>
    <row r="15060" spans="1:1" x14ac:dyDescent="0.25">
      <c r="A15060"/>
    </row>
    <row r="15061" spans="1:1" x14ac:dyDescent="0.25">
      <c r="A15061"/>
    </row>
    <row r="15062" spans="1:1" x14ac:dyDescent="0.25">
      <c r="A15062"/>
    </row>
    <row r="15063" spans="1:1" x14ac:dyDescent="0.25">
      <c r="A15063"/>
    </row>
    <row r="15064" spans="1:1" x14ac:dyDescent="0.25">
      <c r="A15064"/>
    </row>
    <row r="15065" spans="1:1" x14ac:dyDescent="0.25">
      <c r="A15065"/>
    </row>
    <row r="15066" spans="1:1" x14ac:dyDescent="0.25">
      <c r="A15066"/>
    </row>
    <row r="15067" spans="1:1" x14ac:dyDescent="0.25">
      <c r="A15067"/>
    </row>
    <row r="15068" spans="1:1" x14ac:dyDescent="0.25">
      <c r="A15068"/>
    </row>
    <row r="15069" spans="1:1" x14ac:dyDescent="0.25">
      <c r="A15069"/>
    </row>
    <row r="15070" spans="1:1" x14ac:dyDescent="0.25">
      <c r="A15070"/>
    </row>
    <row r="15071" spans="1:1" x14ac:dyDescent="0.25">
      <c r="A15071"/>
    </row>
    <row r="15072" spans="1:1" x14ac:dyDescent="0.25">
      <c r="A15072"/>
    </row>
    <row r="15073" spans="1:1" x14ac:dyDescent="0.25">
      <c r="A15073"/>
    </row>
    <row r="15074" spans="1:1" x14ac:dyDescent="0.25">
      <c r="A15074"/>
    </row>
    <row r="15075" spans="1:1" x14ac:dyDescent="0.25">
      <c r="A15075"/>
    </row>
    <row r="15076" spans="1:1" x14ac:dyDescent="0.25">
      <c r="A15076"/>
    </row>
    <row r="15077" spans="1:1" x14ac:dyDescent="0.25">
      <c r="A15077"/>
    </row>
    <row r="15078" spans="1:1" x14ac:dyDescent="0.25">
      <c r="A15078"/>
    </row>
    <row r="15079" spans="1:1" x14ac:dyDescent="0.25">
      <c r="A15079"/>
    </row>
    <row r="15080" spans="1:1" x14ac:dyDescent="0.25">
      <c r="A15080"/>
    </row>
    <row r="15081" spans="1:1" x14ac:dyDescent="0.25">
      <c r="A15081"/>
    </row>
    <row r="15082" spans="1:1" x14ac:dyDescent="0.25">
      <c r="A15082"/>
    </row>
    <row r="15083" spans="1:1" x14ac:dyDescent="0.25">
      <c r="A15083"/>
    </row>
    <row r="15084" spans="1:1" x14ac:dyDescent="0.25">
      <c r="A15084"/>
    </row>
    <row r="15085" spans="1:1" x14ac:dyDescent="0.25">
      <c r="A15085"/>
    </row>
    <row r="15086" spans="1:1" x14ac:dyDescent="0.25">
      <c r="A15086"/>
    </row>
    <row r="15087" spans="1:1" x14ac:dyDescent="0.25">
      <c r="A15087"/>
    </row>
    <row r="15088" spans="1:1" x14ac:dyDescent="0.25">
      <c r="A15088"/>
    </row>
    <row r="15089" spans="1:1" x14ac:dyDescent="0.25">
      <c r="A15089"/>
    </row>
    <row r="15090" spans="1:1" x14ac:dyDescent="0.25">
      <c r="A15090"/>
    </row>
    <row r="15091" spans="1:1" x14ac:dyDescent="0.25">
      <c r="A15091"/>
    </row>
    <row r="15092" spans="1:1" x14ac:dyDescent="0.25">
      <c r="A15092"/>
    </row>
    <row r="15093" spans="1:1" x14ac:dyDescent="0.25">
      <c r="A15093"/>
    </row>
    <row r="15094" spans="1:1" x14ac:dyDescent="0.25">
      <c r="A15094"/>
    </row>
    <row r="15095" spans="1:1" x14ac:dyDescent="0.25">
      <c r="A15095"/>
    </row>
    <row r="15096" spans="1:1" x14ac:dyDescent="0.25">
      <c r="A15096"/>
    </row>
    <row r="15097" spans="1:1" x14ac:dyDescent="0.25">
      <c r="A15097"/>
    </row>
    <row r="15098" spans="1:1" x14ac:dyDescent="0.25">
      <c r="A15098"/>
    </row>
    <row r="15099" spans="1:1" x14ac:dyDescent="0.25">
      <c r="A15099"/>
    </row>
    <row r="15100" spans="1:1" x14ac:dyDescent="0.25">
      <c r="A15100"/>
    </row>
    <row r="15101" spans="1:1" x14ac:dyDescent="0.25">
      <c r="A15101"/>
    </row>
    <row r="15102" spans="1:1" x14ac:dyDescent="0.25">
      <c r="A15102"/>
    </row>
    <row r="15103" spans="1:1" x14ac:dyDescent="0.25">
      <c r="A15103"/>
    </row>
    <row r="15104" spans="1:1" x14ac:dyDescent="0.25">
      <c r="A15104"/>
    </row>
    <row r="15105" spans="1:1" x14ac:dyDescent="0.25">
      <c r="A15105"/>
    </row>
    <row r="15106" spans="1:1" x14ac:dyDescent="0.25">
      <c r="A15106"/>
    </row>
    <row r="15107" spans="1:1" x14ac:dyDescent="0.25">
      <c r="A15107"/>
    </row>
    <row r="15108" spans="1:1" x14ac:dyDescent="0.25">
      <c r="A15108"/>
    </row>
    <row r="15109" spans="1:1" x14ac:dyDescent="0.25">
      <c r="A15109"/>
    </row>
    <row r="15110" spans="1:1" x14ac:dyDescent="0.25">
      <c r="A15110"/>
    </row>
    <row r="15111" spans="1:1" x14ac:dyDescent="0.25">
      <c r="A15111"/>
    </row>
    <row r="15112" spans="1:1" x14ac:dyDescent="0.25">
      <c r="A15112"/>
    </row>
    <row r="15113" spans="1:1" x14ac:dyDescent="0.25">
      <c r="A15113"/>
    </row>
    <row r="15114" spans="1:1" x14ac:dyDescent="0.25">
      <c r="A15114"/>
    </row>
    <row r="15115" spans="1:1" x14ac:dyDescent="0.25">
      <c r="A15115"/>
    </row>
    <row r="15116" spans="1:1" x14ac:dyDescent="0.25">
      <c r="A15116"/>
    </row>
    <row r="15117" spans="1:1" x14ac:dyDescent="0.25">
      <c r="A15117"/>
    </row>
    <row r="15118" spans="1:1" x14ac:dyDescent="0.25">
      <c r="A15118"/>
    </row>
    <row r="15119" spans="1:1" x14ac:dyDescent="0.25">
      <c r="A15119"/>
    </row>
    <row r="15120" spans="1:1" x14ac:dyDescent="0.25">
      <c r="A15120"/>
    </row>
    <row r="15121" spans="1:1" x14ac:dyDescent="0.25">
      <c r="A15121"/>
    </row>
    <row r="15122" spans="1:1" x14ac:dyDescent="0.25">
      <c r="A15122"/>
    </row>
    <row r="15123" spans="1:1" x14ac:dyDescent="0.25">
      <c r="A15123"/>
    </row>
    <row r="15124" spans="1:1" x14ac:dyDescent="0.25">
      <c r="A15124"/>
    </row>
    <row r="15125" spans="1:1" x14ac:dyDescent="0.25">
      <c r="A15125"/>
    </row>
    <row r="15126" spans="1:1" x14ac:dyDescent="0.25">
      <c r="A15126"/>
    </row>
    <row r="15127" spans="1:1" x14ac:dyDescent="0.25">
      <c r="A15127"/>
    </row>
    <row r="15128" spans="1:1" x14ac:dyDescent="0.25">
      <c r="A15128"/>
    </row>
    <row r="15129" spans="1:1" x14ac:dyDescent="0.25">
      <c r="A15129"/>
    </row>
    <row r="15130" spans="1:1" x14ac:dyDescent="0.25">
      <c r="A15130"/>
    </row>
    <row r="15131" spans="1:1" x14ac:dyDescent="0.25">
      <c r="A15131"/>
    </row>
    <row r="15132" spans="1:1" x14ac:dyDescent="0.25">
      <c r="A15132"/>
    </row>
    <row r="15133" spans="1:1" x14ac:dyDescent="0.25">
      <c r="A15133"/>
    </row>
    <row r="15134" spans="1:1" x14ac:dyDescent="0.25">
      <c r="A15134"/>
    </row>
    <row r="15135" spans="1:1" x14ac:dyDescent="0.25">
      <c r="A15135"/>
    </row>
    <row r="15136" spans="1:1" x14ac:dyDescent="0.25">
      <c r="A15136"/>
    </row>
    <row r="15137" spans="1:1" x14ac:dyDescent="0.25">
      <c r="A15137"/>
    </row>
    <row r="15138" spans="1:1" x14ac:dyDescent="0.25">
      <c r="A15138"/>
    </row>
    <row r="15139" spans="1:1" x14ac:dyDescent="0.25">
      <c r="A15139"/>
    </row>
    <row r="15140" spans="1:1" x14ac:dyDescent="0.25">
      <c r="A15140"/>
    </row>
    <row r="15141" spans="1:1" x14ac:dyDescent="0.25">
      <c r="A15141"/>
    </row>
    <row r="15142" spans="1:1" x14ac:dyDescent="0.25">
      <c r="A15142"/>
    </row>
    <row r="15143" spans="1:1" x14ac:dyDescent="0.25">
      <c r="A15143"/>
    </row>
    <row r="15144" spans="1:1" x14ac:dyDescent="0.25">
      <c r="A15144"/>
    </row>
    <row r="15145" spans="1:1" x14ac:dyDescent="0.25">
      <c r="A15145"/>
    </row>
    <row r="15146" spans="1:1" x14ac:dyDescent="0.25">
      <c r="A15146"/>
    </row>
    <row r="15147" spans="1:1" x14ac:dyDescent="0.25">
      <c r="A15147"/>
    </row>
    <row r="15148" spans="1:1" x14ac:dyDescent="0.25">
      <c r="A15148"/>
    </row>
    <row r="15149" spans="1:1" x14ac:dyDescent="0.25">
      <c r="A15149"/>
    </row>
    <row r="15150" spans="1:1" x14ac:dyDescent="0.25">
      <c r="A15150"/>
    </row>
    <row r="15151" spans="1:1" x14ac:dyDescent="0.25">
      <c r="A15151"/>
    </row>
    <row r="15152" spans="1:1" x14ac:dyDescent="0.25">
      <c r="A15152"/>
    </row>
    <row r="15153" spans="1:1" x14ac:dyDescent="0.25">
      <c r="A15153"/>
    </row>
    <row r="15154" spans="1:1" x14ac:dyDescent="0.25">
      <c r="A15154"/>
    </row>
    <row r="15155" spans="1:1" x14ac:dyDescent="0.25">
      <c r="A15155"/>
    </row>
    <row r="15156" spans="1:1" x14ac:dyDescent="0.25">
      <c r="A15156"/>
    </row>
    <row r="15157" spans="1:1" x14ac:dyDescent="0.25">
      <c r="A15157"/>
    </row>
    <row r="15158" spans="1:1" x14ac:dyDescent="0.25">
      <c r="A15158"/>
    </row>
    <row r="15159" spans="1:1" x14ac:dyDescent="0.25">
      <c r="A15159"/>
    </row>
    <row r="15160" spans="1:1" x14ac:dyDescent="0.25">
      <c r="A15160"/>
    </row>
    <row r="15161" spans="1:1" x14ac:dyDescent="0.25">
      <c r="A15161"/>
    </row>
    <row r="15162" spans="1:1" x14ac:dyDescent="0.25">
      <c r="A15162"/>
    </row>
    <row r="15163" spans="1:1" x14ac:dyDescent="0.25">
      <c r="A15163"/>
    </row>
    <row r="15164" spans="1:1" x14ac:dyDescent="0.25">
      <c r="A15164"/>
    </row>
    <row r="15165" spans="1:1" x14ac:dyDescent="0.25">
      <c r="A15165"/>
    </row>
    <row r="15166" spans="1:1" x14ac:dyDescent="0.25">
      <c r="A15166"/>
    </row>
    <row r="15167" spans="1:1" x14ac:dyDescent="0.25">
      <c r="A15167"/>
    </row>
    <row r="15168" spans="1:1" x14ac:dyDescent="0.25">
      <c r="A15168"/>
    </row>
    <row r="15169" spans="1:1" x14ac:dyDescent="0.25">
      <c r="A15169"/>
    </row>
    <row r="15170" spans="1:1" x14ac:dyDescent="0.25">
      <c r="A15170"/>
    </row>
    <row r="15171" spans="1:1" x14ac:dyDescent="0.25">
      <c r="A15171"/>
    </row>
    <row r="15172" spans="1:1" x14ac:dyDescent="0.25">
      <c r="A15172"/>
    </row>
    <row r="15173" spans="1:1" x14ac:dyDescent="0.25">
      <c r="A15173"/>
    </row>
    <row r="15174" spans="1:1" x14ac:dyDescent="0.25">
      <c r="A15174"/>
    </row>
    <row r="15175" spans="1:1" x14ac:dyDescent="0.25">
      <c r="A15175"/>
    </row>
    <row r="15176" spans="1:1" x14ac:dyDescent="0.25">
      <c r="A15176"/>
    </row>
    <row r="15177" spans="1:1" x14ac:dyDescent="0.25">
      <c r="A15177"/>
    </row>
    <row r="15178" spans="1:1" x14ac:dyDescent="0.25">
      <c r="A15178"/>
    </row>
    <row r="15179" spans="1:1" x14ac:dyDescent="0.25">
      <c r="A15179"/>
    </row>
    <row r="15180" spans="1:1" x14ac:dyDescent="0.25">
      <c r="A15180"/>
    </row>
    <row r="15181" spans="1:1" x14ac:dyDescent="0.25">
      <c r="A15181"/>
    </row>
    <row r="15182" spans="1:1" x14ac:dyDescent="0.25">
      <c r="A15182"/>
    </row>
    <row r="15183" spans="1:1" x14ac:dyDescent="0.25">
      <c r="A15183"/>
    </row>
    <row r="15184" spans="1:1" x14ac:dyDescent="0.25">
      <c r="A15184"/>
    </row>
    <row r="15185" spans="1:1" x14ac:dyDescent="0.25">
      <c r="A15185"/>
    </row>
    <row r="15186" spans="1:1" x14ac:dyDescent="0.25">
      <c r="A15186"/>
    </row>
    <row r="15187" spans="1:1" x14ac:dyDescent="0.25">
      <c r="A15187"/>
    </row>
    <row r="15188" spans="1:1" x14ac:dyDescent="0.25">
      <c r="A15188"/>
    </row>
    <row r="15189" spans="1:1" x14ac:dyDescent="0.25">
      <c r="A15189"/>
    </row>
    <row r="15190" spans="1:1" x14ac:dyDescent="0.25">
      <c r="A15190"/>
    </row>
    <row r="15191" spans="1:1" x14ac:dyDescent="0.25">
      <c r="A15191"/>
    </row>
    <row r="15192" spans="1:1" x14ac:dyDescent="0.25">
      <c r="A15192"/>
    </row>
    <row r="15193" spans="1:1" x14ac:dyDescent="0.25">
      <c r="A15193"/>
    </row>
    <row r="15194" spans="1:1" x14ac:dyDescent="0.25">
      <c r="A15194"/>
    </row>
    <row r="15195" spans="1:1" x14ac:dyDescent="0.25">
      <c r="A15195"/>
    </row>
    <row r="15196" spans="1:1" x14ac:dyDescent="0.25">
      <c r="A15196"/>
    </row>
    <row r="15197" spans="1:1" x14ac:dyDescent="0.25">
      <c r="A15197"/>
    </row>
    <row r="15198" spans="1:1" x14ac:dyDescent="0.25">
      <c r="A15198"/>
    </row>
    <row r="15199" spans="1:1" x14ac:dyDescent="0.25">
      <c r="A15199"/>
    </row>
    <row r="15200" spans="1:1" x14ac:dyDescent="0.25">
      <c r="A15200"/>
    </row>
    <row r="15201" spans="1:1" x14ac:dyDescent="0.25">
      <c r="A15201"/>
    </row>
    <row r="15202" spans="1:1" x14ac:dyDescent="0.25">
      <c r="A15202"/>
    </row>
    <row r="15203" spans="1:1" x14ac:dyDescent="0.25">
      <c r="A15203"/>
    </row>
    <row r="15204" spans="1:1" x14ac:dyDescent="0.25">
      <c r="A15204"/>
    </row>
    <row r="15205" spans="1:1" x14ac:dyDescent="0.25">
      <c r="A15205"/>
    </row>
    <row r="15206" spans="1:1" x14ac:dyDescent="0.25">
      <c r="A15206"/>
    </row>
    <row r="15207" spans="1:1" x14ac:dyDescent="0.25">
      <c r="A15207"/>
    </row>
    <row r="15208" spans="1:1" x14ac:dyDescent="0.25">
      <c r="A15208"/>
    </row>
    <row r="15209" spans="1:1" x14ac:dyDescent="0.25">
      <c r="A15209"/>
    </row>
    <row r="15210" spans="1:1" x14ac:dyDescent="0.25">
      <c r="A15210"/>
    </row>
    <row r="15211" spans="1:1" x14ac:dyDescent="0.25">
      <c r="A15211"/>
    </row>
    <row r="15212" spans="1:1" x14ac:dyDescent="0.25">
      <c r="A15212"/>
    </row>
    <row r="15213" spans="1:1" x14ac:dyDescent="0.25">
      <c r="A15213"/>
    </row>
    <row r="15214" spans="1:1" x14ac:dyDescent="0.25">
      <c r="A15214"/>
    </row>
    <row r="15215" spans="1:1" x14ac:dyDescent="0.25">
      <c r="A15215"/>
    </row>
    <row r="15216" spans="1:1" x14ac:dyDescent="0.25">
      <c r="A15216"/>
    </row>
    <row r="15217" spans="1:1" x14ac:dyDescent="0.25">
      <c r="A15217"/>
    </row>
    <row r="15218" spans="1:1" x14ac:dyDescent="0.25">
      <c r="A15218"/>
    </row>
    <row r="15219" spans="1:1" x14ac:dyDescent="0.25">
      <c r="A15219"/>
    </row>
    <row r="15220" spans="1:1" x14ac:dyDescent="0.25">
      <c r="A15220"/>
    </row>
    <row r="15221" spans="1:1" x14ac:dyDescent="0.25">
      <c r="A15221"/>
    </row>
    <row r="15222" spans="1:1" x14ac:dyDescent="0.25">
      <c r="A15222"/>
    </row>
    <row r="15223" spans="1:1" x14ac:dyDescent="0.25">
      <c r="A15223"/>
    </row>
    <row r="15224" spans="1:1" x14ac:dyDescent="0.25">
      <c r="A15224"/>
    </row>
    <row r="15225" spans="1:1" x14ac:dyDescent="0.25">
      <c r="A15225"/>
    </row>
    <row r="15226" spans="1:1" x14ac:dyDescent="0.25">
      <c r="A15226"/>
    </row>
    <row r="15227" spans="1:1" x14ac:dyDescent="0.25">
      <c r="A15227"/>
    </row>
    <row r="15228" spans="1:1" x14ac:dyDescent="0.25">
      <c r="A15228"/>
    </row>
    <row r="15229" spans="1:1" x14ac:dyDescent="0.25">
      <c r="A15229"/>
    </row>
    <row r="15230" spans="1:1" x14ac:dyDescent="0.25">
      <c r="A15230"/>
    </row>
    <row r="15231" spans="1:1" x14ac:dyDescent="0.25">
      <c r="A15231"/>
    </row>
    <row r="15232" spans="1:1" x14ac:dyDescent="0.25">
      <c r="A15232"/>
    </row>
    <row r="15233" spans="1:1" x14ac:dyDescent="0.25">
      <c r="A15233"/>
    </row>
    <row r="15234" spans="1:1" x14ac:dyDescent="0.25">
      <c r="A15234"/>
    </row>
    <row r="15235" spans="1:1" x14ac:dyDescent="0.25">
      <c r="A15235"/>
    </row>
    <row r="15236" spans="1:1" x14ac:dyDescent="0.25">
      <c r="A15236"/>
    </row>
    <row r="15237" spans="1:1" x14ac:dyDescent="0.25">
      <c r="A15237"/>
    </row>
    <row r="15238" spans="1:1" x14ac:dyDescent="0.25">
      <c r="A15238"/>
    </row>
    <row r="15239" spans="1:1" x14ac:dyDescent="0.25">
      <c r="A15239"/>
    </row>
    <row r="15240" spans="1:1" x14ac:dyDescent="0.25">
      <c r="A15240"/>
    </row>
    <row r="15241" spans="1:1" x14ac:dyDescent="0.25">
      <c r="A15241"/>
    </row>
    <row r="15242" spans="1:1" x14ac:dyDescent="0.25">
      <c r="A15242"/>
    </row>
    <row r="15243" spans="1:1" x14ac:dyDescent="0.25">
      <c r="A15243"/>
    </row>
    <row r="15244" spans="1:1" x14ac:dyDescent="0.25">
      <c r="A15244"/>
    </row>
    <row r="15245" spans="1:1" x14ac:dyDescent="0.25">
      <c r="A15245"/>
    </row>
    <row r="15246" spans="1:1" x14ac:dyDescent="0.25">
      <c r="A15246"/>
    </row>
    <row r="15247" spans="1:1" x14ac:dyDescent="0.25">
      <c r="A15247"/>
    </row>
    <row r="15248" spans="1:1" x14ac:dyDescent="0.25">
      <c r="A15248"/>
    </row>
    <row r="15249" spans="1:1" x14ac:dyDescent="0.25">
      <c r="A15249"/>
    </row>
    <row r="15250" spans="1:1" x14ac:dyDescent="0.25">
      <c r="A15250"/>
    </row>
    <row r="15251" spans="1:1" x14ac:dyDescent="0.25">
      <c r="A15251"/>
    </row>
    <row r="15252" spans="1:1" x14ac:dyDescent="0.25">
      <c r="A15252"/>
    </row>
    <row r="15253" spans="1:1" x14ac:dyDescent="0.25">
      <c r="A15253"/>
    </row>
    <row r="15254" spans="1:1" x14ac:dyDescent="0.25">
      <c r="A15254"/>
    </row>
    <row r="15255" spans="1:1" x14ac:dyDescent="0.25">
      <c r="A15255"/>
    </row>
    <row r="15256" spans="1:1" x14ac:dyDescent="0.25">
      <c r="A15256"/>
    </row>
    <row r="15257" spans="1:1" x14ac:dyDescent="0.25">
      <c r="A15257"/>
    </row>
    <row r="15258" spans="1:1" x14ac:dyDescent="0.25">
      <c r="A15258"/>
    </row>
    <row r="15259" spans="1:1" x14ac:dyDescent="0.25">
      <c r="A15259"/>
    </row>
    <row r="15260" spans="1:1" x14ac:dyDescent="0.25">
      <c r="A15260"/>
    </row>
    <row r="15261" spans="1:1" x14ac:dyDescent="0.25">
      <c r="A15261"/>
    </row>
    <row r="15262" spans="1:1" x14ac:dyDescent="0.25">
      <c r="A15262"/>
    </row>
    <row r="15263" spans="1:1" x14ac:dyDescent="0.25">
      <c r="A15263"/>
    </row>
    <row r="15264" spans="1:1" x14ac:dyDescent="0.25">
      <c r="A15264"/>
    </row>
    <row r="15265" spans="1:1" x14ac:dyDescent="0.25">
      <c r="A15265"/>
    </row>
    <row r="15266" spans="1:1" x14ac:dyDescent="0.25">
      <c r="A15266"/>
    </row>
    <row r="15267" spans="1:1" x14ac:dyDescent="0.25">
      <c r="A15267"/>
    </row>
    <row r="15268" spans="1:1" x14ac:dyDescent="0.25">
      <c r="A15268"/>
    </row>
    <row r="15269" spans="1:1" x14ac:dyDescent="0.25">
      <c r="A15269"/>
    </row>
    <row r="15270" spans="1:1" x14ac:dyDescent="0.25">
      <c r="A15270"/>
    </row>
    <row r="15271" spans="1:1" x14ac:dyDescent="0.25">
      <c r="A15271"/>
    </row>
    <row r="15272" spans="1:1" x14ac:dyDescent="0.25">
      <c r="A15272"/>
    </row>
    <row r="15273" spans="1:1" x14ac:dyDescent="0.25">
      <c r="A15273"/>
    </row>
    <row r="15274" spans="1:1" x14ac:dyDescent="0.25">
      <c r="A15274"/>
    </row>
    <row r="15275" spans="1:1" x14ac:dyDescent="0.25">
      <c r="A15275"/>
    </row>
    <row r="15276" spans="1:1" x14ac:dyDescent="0.25">
      <c r="A15276"/>
    </row>
    <row r="15277" spans="1:1" x14ac:dyDescent="0.25">
      <c r="A15277"/>
    </row>
    <row r="15278" spans="1:1" x14ac:dyDescent="0.25">
      <c r="A15278"/>
    </row>
    <row r="15279" spans="1:1" x14ac:dyDescent="0.25">
      <c r="A15279"/>
    </row>
    <row r="15280" spans="1:1" x14ac:dyDescent="0.25">
      <c r="A15280"/>
    </row>
    <row r="15281" spans="1:1" x14ac:dyDescent="0.25">
      <c r="A15281"/>
    </row>
    <row r="15282" spans="1:1" x14ac:dyDescent="0.25">
      <c r="A15282"/>
    </row>
    <row r="15283" spans="1:1" x14ac:dyDescent="0.25">
      <c r="A15283"/>
    </row>
    <row r="15284" spans="1:1" x14ac:dyDescent="0.25">
      <c r="A15284"/>
    </row>
    <row r="15285" spans="1:1" x14ac:dyDescent="0.25">
      <c r="A15285"/>
    </row>
    <row r="15286" spans="1:1" x14ac:dyDescent="0.25">
      <c r="A15286"/>
    </row>
    <row r="15287" spans="1:1" x14ac:dyDescent="0.25">
      <c r="A15287"/>
    </row>
    <row r="15288" spans="1:1" x14ac:dyDescent="0.25">
      <c r="A15288"/>
    </row>
    <row r="15289" spans="1:1" x14ac:dyDescent="0.25">
      <c r="A15289"/>
    </row>
    <row r="15290" spans="1:1" x14ac:dyDescent="0.25">
      <c r="A15290"/>
    </row>
    <row r="15291" spans="1:1" x14ac:dyDescent="0.25">
      <c r="A15291"/>
    </row>
    <row r="15292" spans="1:1" x14ac:dyDescent="0.25">
      <c r="A15292"/>
    </row>
    <row r="15293" spans="1:1" x14ac:dyDescent="0.25">
      <c r="A15293"/>
    </row>
    <row r="15294" spans="1:1" x14ac:dyDescent="0.25">
      <c r="A15294"/>
    </row>
    <row r="15295" spans="1:1" x14ac:dyDescent="0.25">
      <c r="A15295"/>
    </row>
    <row r="15296" spans="1:1" x14ac:dyDescent="0.25">
      <c r="A15296"/>
    </row>
    <row r="15297" spans="1:1" x14ac:dyDescent="0.25">
      <c r="A15297"/>
    </row>
    <row r="15298" spans="1:1" x14ac:dyDescent="0.25">
      <c r="A15298"/>
    </row>
    <row r="15299" spans="1:1" x14ac:dyDescent="0.25">
      <c r="A15299"/>
    </row>
    <row r="15300" spans="1:1" x14ac:dyDescent="0.25">
      <c r="A15300"/>
    </row>
    <row r="15301" spans="1:1" x14ac:dyDescent="0.25">
      <c r="A15301"/>
    </row>
    <row r="15302" spans="1:1" x14ac:dyDescent="0.25">
      <c r="A15302"/>
    </row>
    <row r="15303" spans="1:1" x14ac:dyDescent="0.25">
      <c r="A15303"/>
    </row>
    <row r="15304" spans="1:1" x14ac:dyDescent="0.25">
      <c r="A15304"/>
    </row>
    <row r="15305" spans="1:1" x14ac:dyDescent="0.25">
      <c r="A15305"/>
    </row>
    <row r="15306" spans="1:1" x14ac:dyDescent="0.25">
      <c r="A15306"/>
    </row>
    <row r="15307" spans="1:1" x14ac:dyDescent="0.25">
      <c r="A15307"/>
    </row>
    <row r="15308" spans="1:1" x14ac:dyDescent="0.25">
      <c r="A15308"/>
    </row>
    <row r="15309" spans="1:1" x14ac:dyDescent="0.25">
      <c r="A15309"/>
    </row>
    <row r="15310" spans="1:1" x14ac:dyDescent="0.25">
      <c r="A15310"/>
    </row>
    <row r="15311" spans="1:1" x14ac:dyDescent="0.25">
      <c r="A15311"/>
    </row>
    <row r="15312" spans="1:1" x14ac:dyDescent="0.25">
      <c r="A15312"/>
    </row>
    <row r="15313" spans="1:1" x14ac:dyDescent="0.25">
      <c r="A15313"/>
    </row>
    <row r="15314" spans="1:1" x14ac:dyDescent="0.25">
      <c r="A15314"/>
    </row>
    <row r="15315" spans="1:1" x14ac:dyDescent="0.25">
      <c r="A15315"/>
    </row>
    <row r="15316" spans="1:1" x14ac:dyDescent="0.25">
      <c r="A15316"/>
    </row>
    <row r="15317" spans="1:1" x14ac:dyDescent="0.25">
      <c r="A15317"/>
    </row>
    <row r="15318" spans="1:1" x14ac:dyDescent="0.25">
      <c r="A15318"/>
    </row>
    <row r="15319" spans="1:1" x14ac:dyDescent="0.25">
      <c r="A15319"/>
    </row>
    <row r="15320" spans="1:1" x14ac:dyDescent="0.25">
      <c r="A15320"/>
    </row>
    <row r="15321" spans="1:1" x14ac:dyDescent="0.25">
      <c r="A15321"/>
    </row>
    <row r="15322" spans="1:1" x14ac:dyDescent="0.25">
      <c r="A15322"/>
    </row>
    <row r="15323" spans="1:1" x14ac:dyDescent="0.25">
      <c r="A15323"/>
    </row>
    <row r="15324" spans="1:1" x14ac:dyDescent="0.25">
      <c r="A15324"/>
    </row>
    <row r="15325" spans="1:1" x14ac:dyDescent="0.25">
      <c r="A15325"/>
    </row>
    <row r="15326" spans="1:1" x14ac:dyDescent="0.25">
      <c r="A15326"/>
    </row>
    <row r="15327" spans="1:1" x14ac:dyDescent="0.25">
      <c r="A15327"/>
    </row>
    <row r="15328" spans="1:1" x14ac:dyDescent="0.25">
      <c r="A15328"/>
    </row>
    <row r="15329" spans="1:1" x14ac:dyDescent="0.25">
      <c r="A15329"/>
    </row>
    <row r="15330" spans="1:1" x14ac:dyDescent="0.25">
      <c r="A15330"/>
    </row>
    <row r="15331" spans="1:1" x14ac:dyDescent="0.25">
      <c r="A15331"/>
    </row>
    <row r="15332" spans="1:1" x14ac:dyDescent="0.25">
      <c r="A15332"/>
    </row>
    <row r="15333" spans="1:1" x14ac:dyDescent="0.25">
      <c r="A15333"/>
    </row>
    <row r="15334" spans="1:1" x14ac:dyDescent="0.25">
      <c r="A15334"/>
    </row>
    <row r="15335" spans="1:1" x14ac:dyDescent="0.25">
      <c r="A15335"/>
    </row>
    <row r="15336" spans="1:1" x14ac:dyDescent="0.25">
      <c r="A15336"/>
    </row>
    <row r="15337" spans="1:1" x14ac:dyDescent="0.25">
      <c r="A15337"/>
    </row>
    <row r="15338" spans="1:1" x14ac:dyDescent="0.25">
      <c r="A15338"/>
    </row>
    <row r="15339" spans="1:1" x14ac:dyDescent="0.25">
      <c r="A15339"/>
    </row>
    <row r="15340" spans="1:1" x14ac:dyDescent="0.25">
      <c r="A15340"/>
    </row>
    <row r="15341" spans="1:1" x14ac:dyDescent="0.25">
      <c r="A15341"/>
    </row>
    <row r="15342" spans="1:1" x14ac:dyDescent="0.25">
      <c r="A15342"/>
    </row>
    <row r="15343" spans="1:1" x14ac:dyDescent="0.25">
      <c r="A15343"/>
    </row>
    <row r="15344" spans="1:1" x14ac:dyDescent="0.25">
      <c r="A15344"/>
    </row>
    <row r="15345" spans="1:1" x14ac:dyDescent="0.25">
      <c r="A15345"/>
    </row>
    <row r="15346" spans="1:1" x14ac:dyDescent="0.25">
      <c r="A15346"/>
    </row>
    <row r="15347" spans="1:1" x14ac:dyDescent="0.25">
      <c r="A15347"/>
    </row>
    <row r="15348" spans="1:1" x14ac:dyDescent="0.25">
      <c r="A15348"/>
    </row>
    <row r="15349" spans="1:1" x14ac:dyDescent="0.25">
      <c r="A15349"/>
    </row>
    <row r="15350" spans="1:1" x14ac:dyDescent="0.25">
      <c r="A15350"/>
    </row>
    <row r="15351" spans="1:1" x14ac:dyDescent="0.25">
      <c r="A15351"/>
    </row>
    <row r="15352" spans="1:1" x14ac:dyDescent="0.25">
      <c r="A15352"/>
    </row>
    <row r="15353" spans="1:1" x14ac:dyDescent="0.25">
      <c r="A15353"/>
    </row>
    <row r="15354" spans="1:1" x14ac:dyDescent="0.25">
      <c r="A15354"/>
    </row>
    <row r="15355" spans="1:1" x14ac:dyDescent="0.25">
      <c r="A15355"/>
    </row>
    <row r="15356" spans="1:1" x14ac:dyDescent="0.25">
      <c r="A15356"/>
    </row>
    <row r="15357" spans="1:1" x14ac:dyDescent="0.25">
      <c r="A15357"/>
    </row>
    <row r="15358" spans="1:1" x14ac:dyDescent="0.25">
      <c r="A15358"/>
    </row>
    <row r="15359" spans="1:1" x14ac:dyDescent="0.25">
      <c r="A15359"/>
    </row>
    <row r="15360" spans="1:1" x14ac:dyDescent="0.25">
      <c r="A15360"/>
    </row>
    <row r="15361" spans="1:1" x14ac:dyDescent="0.25">
      <c r="A15361"/>
    </row>
    <row r="15362" spans="1:1" x14ac:dyDescent="0.25">
      <c r="A15362"/>
    </row>
    <row r="15363" spans="1:1" x14ac:dyDescent="0.25">
      <c r="A15363"/>
    </row>
    <row r="15364" spans="1:1" x14ac:dyDescent="0.25">
      <c r="A15364"/>
    </row>
    <row r="15365" spans="1:1" x14ac:dyDescent="0.25">
      <c r="A15365"/>
    </row>
    <row r="15366" spans="1:1" x14ac:dyDescent="0.25">
      <c r="A15366"/>
    </row>
    <row r="15367" spans="1:1" x14ac:dyDescent="0.25">
      <c r="A15367"/>
    </row>
    <row r="15368" spans="1:1" x14ac:dyDescent="0.25">
      <c r="A15368"/>
    </row>
    <row r="15369" spans="1:1" x14ac:dyDescent="0.25">
      <c r="A15369"/>
    </row>
    <row r="15370" spans="1:1" x14ac:dyDescent="0.25">
      <c r="A15370"/>
    </row>
    <row r="15371" spans="1:1" x14ac:dyDescent="0.25">
      <c r="A15371"/>
    </row>
    <row r="15372" spans="1:1" x14ac:dyDescent="0.25">
      <c r="A15372"/>
    </row>
    <row r="15373" spans="1:1" x14ac:dyDescent="0.25">
      <c r="A15373"/>
    </row>
    <row r="15374" spans="1:1" x14ac:dyDescent="0.25">
      <c r="A15374"/>
    </row>
    <row r="15375" spans="1:1" x14ac:dyDescent="0.25">
      <c r="A15375"/>
    </row>
    <row r="15376" spans="1:1" x14ac:dyDescent="0.25">
      <c r="A15376"/>
    </row>
    <row r="15377" spans="1:1" x14ac:dyDescent="0.25">
      <c r="A15377"/>
    </row>
    <row r="15378" spans="1:1" x14ac:dyDescent="0.25">
      <c r="A15378"/>
    </row>
    <row r="15379" spans="1:1" x14ac:dyDescent="0.25">
      <c r="A15379"/>
    </row>
    <row r="15380" spans="1:1" x14ac:dyDescent="0.25">
      <c r="A15380"/>
    </row>
    <row r="15381" spans="1:1" x14ac:dyDescent="0.25">
      <c r="A15381"/>
    </row>
    <row r="15382" spans="1:1" x14ac:dyDescent="0.25">
      <c r="A15382"/>
    </row>
    <row r="15383" spans="1:1" x14ac:dyDescent="0.25">
      <c r="A15383"/>
    </row>
    <row r="15384" spans="1:1" x14ac:dyDescent="0.25">
      <c r="A15384"/>
    </row>
    <row r="15385" spans="1:1" x14ac:dyDescent="0.25">
      <c r="A15385"/>
    </row>
    <row r="15386" spans="1:1" x14ac:dyDescent="0.25">
      <c r="A15386"/>
    </row>
    <row r="15387" spans="1:1" x14ac:dyDescent="0.25">
      <c r="A15387"/>
    </row>
    <row r="15388" spans="1:1" x14ac:dyDescent="0.25">
      <c r="A15388"/>
    </row>
    <row r="15389" spans="1:1" x14ac:dyDescent="0.25">
      <c r="A15389"/>
    </row>
    <row r="15390" spans="1:1" x14ac:dyDescent="0.25">
      <c r="A15390"/>
    </row>
    <row r="15391" spans="1:1" x14ac:dyDescent="0.25">
      <c r="A15391"/>
    </row>
    <row r="15392" spans="1:1" x14ac:dyDescent="0.25">
      <c r="A15392"/>
    </row>
    <row r="15393" spans="1:1" x14ac:dyDescent="0.25">
      <c r="A15393"/>
    </row>
    <row r="15394" spans="1:1" x14ac:dyDescent="0.25">
      <c r="A15394"/>
    </row>
    <row r="15395" spans="1:1" x14ac:dyDescent="0.25">
      <c r="A15395"/>
    </row>
    <row r="15396" spans="1:1" x14ac:dyDescent="0.25">
      <c r="A15396"/>
    </row>
    <row r="15397" spans="1:1" x14ac:dyDescent="0.25">
      <c r="A15397"/>
    </row>
    <row r="15398" spans="1:1" x14ac:dyDescent="0.25">
      <c r="A15398"/>
    </row>
    <row r="15399" spans="1:1" x14ac:dyDescent="0.25">
      <c r="A15399"/>
    </row>
    <row r="15400" spans="1:1" x14ac:dyDescent="0.25">
      <c r="A15400"/>
    </row>
    <row r="15401" spans="1:1" x14ac:dyDescent="0.25">
      <c r="A15401"/>
    </row>
    <row r="15402" spans="1:1" x14ac:dyDescent="0.25">
      <c r="A15402"/>
    </row>
    <row r="15403" spans="1:1" x14ac:dyDescent="0.25">
      <c r="A15403"/>
    </row>
    <row r="15404" spans="1:1" x14ac:dyDescent="0.25">
      <c r="A15404"/>
    </row>
    <row r="15405" spans="1:1" x14ac:dyDescent="0.25">
      <c r="A15405"/>
    </row>
    <row r="15406" spans="1:1" x14ac:dyDescent="0.25">
      <c r="A15406"/>
    </row>
    <row r="15407" spans="1:1" x14ac:dyDescent="0.25">
      <c r="A15407"/>
    </row>
    <row r="15408" spans="1:1" x14ac:dyDescent="0.25">
      <c r="A15408"/>
    </row>
    <row r="15409" spans="1:1" x14ac:dyDescent="0.25">
      <c r="A15409"/>
    </row>
    <row r="15410" spans="1:1" x14ac:dyDescent="0.25">
      <c r="A15410"/>
    </row>
    <row r="15411" spans="1:1" x14ac:dyDescent="0.25">
      <c r="A15411"/>
    </row>
    <row r="15412" spans="1:1" x14ac:dyDescent="0.25">
      <c r="A15412"/>
    </row>
    <row r="15413" spans="1:1" x14ac:dyDescent="0.25">
      <c r="A15413"/>
    </row>
    <row r="15414" spans="1:1" x14ac:dyDescent="0.25">
      <c r="A15414"/>
    </row>
    <row r="15415" spans="1:1" x14ac:dyDescent="0.25">
      <c r="A15415"/>
    </row>
    <row r="15416" spans="1:1" x14ac:dyDescent="0.25">
      <c r="A15416"/>
    </row>
    <row r="15417" spans="1:1" x14ac:dyDescent="0.25">
      <c r="A15417"/>
    </row>
    <row r="15418" spans="1:1" x14ac:dyDescent="0.25">
      <c r="A15418"/>
    </row>
    <row r="15419" spans="1:1" x14ac:dyDescent="0.25">
      <c r="A15419"/>
    </row>
    <row r="15420" spans="1:1" x14ac:dyDescent="0.25">
      <c r="A15420"/>
    </row>
    <row r="15421" spans="1:1" x14ac:dyDescent="0.25">
      <c r="A15421"/>
    </row>
    <row r="15422" spans="1:1" x14ac:dyDescent="0.25">
      <c r="A15422"/>
    </row>
    <row r="15423" spans="1:1" x14ac:dyDescent="0.25">
      <c r="A15423"/>
    </row>
    <row r="15424" spans="1:1" x14ac:dyDescent="0.25">
      <c r="A15424"/>
    </row>
    <row r="15425" spans="1:1" x14ac:dyDescent="0.25">
      <c r="A15425"/>
    </row>
    <row r="15426" spans="1:1" x14ac:dyDescent="0.25">
      <c r="A15426"/>
    </row>
    <row r="15427" spans="1:1" x14ac:dyDescent="0.25">
      <c r="A15427"/>
    </row>
    <row r="15428" spans="1:1" x14ac:dyDescent="0.25">
      <c r="A15428"/>
    </row>
    <row r="15429" spans="1:1" x14ac:dyDescent="0.25">
      <c r="A15429"/>
    </row>
    <row r="15430" spans="1:1" x14ac:dyDescent="0.25">
      <c r="A15430"/>
    </row>
    <row r="15431" spans="1:1" x14ac:dyDescent="0.25">
      <c r="A15431"/>
    </row>
    <row r="15432" spans="1:1" x14ac:dyDescent="0.25">
      <c r="A15432"/>
    </row>
    <row r="15433" spans="1:1" x14ac:dyDescent="0.25">
      <c r="A15433"/>
    </row>
    <row r="15434" spans="1:1" x14ac:dyDescent="0.25">
      <c r="A15434"/>
    </row>
    <row r="15435" spans="1:1" x14ac:dyDescent="0.25">
      <c r="A15435"/>
    </row>
    <row r="15436" spans="1:1" x14ac:dyDescent="0.25">
      <c r="A15436"/>
    </row>
    <row r="15437" spans="1:1" x14ac:dyDescent="0.25">
      <c r="A15437"/>
    </row>
    <row r="15438" spans="1:1" x14ac:dyDescent="0.25">
      <c r="A15438"/>
    </row>
    <row r="15439" spans="1:1" x14ac:dyDescent="0.25">
      <c r="A15439"/>
    </row>
    <row r="15440" spans="1:1" x14ac:dyDescent="0.25">
      <c r="A15440"/>
    </row>
    <row r="15441" spans="1:1" x14ac:dyDescent="0.25">
      <c r="A15441"/>
    </row>
    <row r="15442" spans="1:1" x14ac:dyDescent="0.25">
      <c r="A15442"/>
    </row>
    <row r="15443" spans="1:1" x14ac:dyDescent="0.25">
      <c r="A15443"/>
    </row>
    <row r="15444" spans="1:1" x14ac:dyDescent="0.25">
      <c r="A15444"/>
    </row>
    <row r="15445" spans="1:1" x14ac:dyDescent="0.25">
      <c r="A15445"/>
    </row>
    <row r="15446" spans="1:1" x14ac:dyDescent="0.25">
      <c r="A15446"/>
    </row>
    <row r="15447" spans="1:1" x14ac:dyDescent="0.25">
      <c r="A15447"/>
    </row>
    <row r="15448" spans="1:1" x14ac:dyDescent="0.25">
      <c r="A15448"/>
    </row>
    <row r="15449" spans="1:1" x14ac:dyDescent="0.25">
      <c r="A15449"/>
    </row>
    <row r="15450" spans="1:1" x14ac:dyDescent="0.25">
      <c r="A15450"/>
    </row>
    <row r="15451" spans="1:1" x14ac:dyDescent="0.25">
      <c r="A15451"/>
    </row>
    <row r="15452" spans="1:1" x14ac:dyDescent="0.25">
      <c r="A15452"/>
    </row>
    <row r="15453" spans="1:1" x14ac:dyDescent="0.25">
      <c r="A15453"/>
    </row>
    <row r="15454" spans="1:1" x14ac:dyDescent="0.25">
      <c r="A15454"/>
    </row>
    <row r="15455" spans="1:1" x14ac:dyDescent="0.25">
      <c r="A15455"/>
    </row>
    <row r="15456" spans="1:1" x14ac:dyDescent="0.25">
      <c r="A15456"/>
    </row>
    <row r="15457" spans="1:1" x14ac:dyDescent="0.25">
      <c r="A15457"/>
    </row>
    <row r="15458" spans="1:1" x14ac:dyDescent="0.25">
      <c r="A15458"/>
    </row>
    <row r="15459" spans="1:1" x14ac:dyDescent="0.25">
      <c r="A15459"/>
    </row>
    <row r="15460" spans="1:1" x14ac:dyDescent="0.25">
      <c r="A15460"/>
    </row>
    <row r="15461" spans="1:1" x14ac:dyDescent="0.25">
      <c r="A15461"/>
    </row>
    <row r="15462" spans="1:1" x14ac:dyDescent="0.25">
      <c r="A15462"/>
    </row>
    <row r="15463" spans="1:1" x14ac:dyDescent="0.25">
      <c r="A15463"/>
    </row>
    <row r="15464" spans="1:1" x14ac:dyDescent="0.25">
      <c r="A15464"/>
    </row>
    <row r="15465" spans="1:1" x14ac:dyDescent="0.25">
      <c r="A15465"/>
    </row>
    <row r="15466" spans="1:1" x14ac:dyDescent="0.25">
      <c r="A15466"/>
    </row>
    <row r="15467" spans="1:1" x14ac:dyDescent="0.25">
      <c r="A15467"/>
    </row>
    <row r="15468" spans="1:1" x14ac:dyDescent="0.25">
      <c r="A15468"/>
    </row>
    <row r="15469" spans="1:1" x14ac:dyDescent="0.25">
      <c r="A15469"/>
    </row>
    <row r="15470" spans="1:1" x14ac:dyDescent="0.25">
      <c r="A15470"/>
    </row>
    <row r="15471" spans="1:1" x14ac:dyDescent="0.25">
      <c r="A15471"/>
    </row>
    <row r="15472" spans="1:1" x14ac:dyDescent="0.25">
      <c r="A15472"/>
    </row>
    <row r="15473" spans="1:1" x14ac:dyDescent="0.25">
      <c r="A15473"/>
    </row>
    <row r="15474" spans="1:1" x14ac:dyDescent="0.25">
      <c r="A15474"/>
    </row>
    <row r="15475" spans="1:1" x14ac:dyDescent="0.25">
      <c r="A15475"/>
    </row>
    <row r="15476" spans="1:1" x14ac:dyDescent="0.25">
      <c r="A15476"/>
    </row>
    <row r="15477" spans="1:1" x14ac:dyDescent="0.25">
      <c r="A15477"/>
    </row>
    <row r="15478" spans="1:1" x14ac:dyDescent="0.25">
      <c r="A15478"/>
    </row>
    <row r="15479" spans="1:1" x14ac:dyDescent="0.25">
      <c r="A15479"/>
    </row>
    <row r="15480" spans="1:1" x14ac:dyDescent="0.25">
      <c r="A15480"/>
    </row>
    <row r="15481" spans="1:1" x14ac:dyDescent="0.25">
      <c r="A15481"/>
    </row>
    <row r="15482" spans="1:1" x14ac:dyDescent="0.25">
      <c r="A15482"/>
    </row>
    <row r="15483" spans="1:1" x14ac:dyDescent="0.25">
      <c r="A15483"/>
    </row>
    <row r="15484" spans="1:1" x14ac:dyDescent="0.25">
      <c r="A15484"/>
    </row>
    <row r="15485" spans="1:1" x14ac:dyDescent="0.25">
      <c r="A15485"/>
    </row>
    <row r="15486" spans="1:1" x14ac:dyDescent="0.25">
      <c r="A15486"/>
    </row>
    <row r="15487" spans="1:1" x14ac:dyDescent="0.25">
      <c r="A15487"/>
    </row>
    <row r="15488" spans="1:1" x14ac:dyDescent="0.25">
      <c r="A15488"/>
    </row>
    <row r="15489" spans="1:1" x14ac:dyDescent="0.25">
      <c r="A15489"/>
    </row>
    <row r="15490" spans="1:1" x14ac:dyDescent="0.25">
      <c r="A15490"/>
    </row>
    <row r="15491" spans="1:1" x14ac:dyDescent="0.25">
      <c r="A15491"/>
    </row>
    <row r="15492" spans="1:1" x14ac:dyDescent="0.25">
      <c r="A15492"/>
    </row>
    <row r="15493" spans="1:1" x14ac:dyDescent="0.25">
      <c r="A15493"/>
    </row>
    <row r="15494" spans="1:1" x14ac:dyDescent="0.25">
      <c r="A15494"/>
    </row>
    <row r="15495" spans="1:1" x14ac:dyDescent="0.25">
      <c r="A15495"/>
    </row>
    <row r="15496" spans="1:1" x14ac:dyDescent="0.25">
      <c r="A15496"/>
    </row>
    <row r="15497" spans="1:1" x14ac:dyDescent="0.25">
      <c r="A15497"/>
    </row>
    <row r="15498" spans="1:1" x14ac:dyDescent="0.25">
      <c r="A15498"/>
    </row>
    <row r="15499" spans="1:1" x14ac:dyDescent="0.25">
      <c r="A15499"/>
    </row>
    <row r="15500" spans="1:1" x14ac:dyDescent="0.25">
      <c r="A15500"/>
    </row>
    <row r="15501" spans="1:1" x14ac:dyDescent="0.25">
      <c r="A15501"/>
    </row>
    <row r="15502" spans="1:1" x14ac:dyDescent="0.25">
      <c r="A15502"/>
    </row>
    <row r="15503" spans="1:1" x14ac:dyDescent="0.25">
      <c r="A15503"/>
    </row>
    <row r="15504" spans="1:1" x14ac:dyDescent="0.25">
      <c r="A15504"/>
    </row>
    <row r="15505" spans="1:1" x14ac:dyDescent="0.25">
      <c r="A15505"/>
    </row>
    <row r="15506" spans="1:1" x14ac:dyDescent="0.25">
      <c r="A15506"/>
    </row>
  </sheetData>
  <sheetProtection algorithmName="SHA-512" hashValue="P30dhiO5Vx/BZgM8LF7Mum/V4a9aSyct3smsbxc2pdg7YQhw7HXQTEVyeDMLeUTHd8SQ3Wqr8KvoTvAgvlj72w==" saltValue="PSt3p1N7aocWDI0gnc55kw==" spinCount="100000" sheet="1" objects="1" scenarios="1"/>
  <sortState xmlns:xlrd2="http://schemas.microsoft.com/office/spreadsheetml/2017/richdata2" ref="A1:A15507">
    <sortCondition ref="A1:A15507"/>
  </sortState>
  <pageMargins left="0.7" right="0.7" top="0.75" bottom="0.75" header="0.3" footer="0.3"/>
  <pageSetup scale="20"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U38"/>
  <sheetViews>
    <sheetView showGridLines="0" zoomScale="90" zoomScaleNormal="90" workbookViewId="0"/>
  </sheetViews>
  <sheetFormatPr defaultColWidth="9.28515625" defaultRowHeight="15" x14ac:dyDescent="0.25"/>
  <cols>
    <col min="1" max="1" width="64.7109375" style="1056" bestFit="1" customWidth="1"/>
    <col min="2" max="2" width="9.28515625" style="1056" customWidth="1"/>
    <col min="3" max="3" width="14.7109375" style="1056" bestFit="1" customWidth="1"/>
    <col min="4" max="4" width="13.42578125" style="1056" bestFit="1" customWidth="1"/>
    <col min="5" max="5" width="16.28515625" style="1056" customWidth="1"/>
    <col min="6" max="8" width="17.7109375" style="1056" customWidth="1"/>
    <col min="9" max="9" width="18" style="1056" customWidth="1"/>
    <col min="10" max="10" width="17.7109375" style="1056" customWidth="1"/>
    <col min="11" max="11" width="22.28515625" style="1056" hidden="1" customWidth="1"/>
    <col min="12" max="12" width="18.28515625" style="1056" hidden="1" customWidth="1"/>
    <col min="13" max="13" width="18.28515625" style="1056" customWidth="1"/>
    <col min="14" max="14" width="18.28515625" style="1056" hidden="1" customWidth="1"/>
    <col min="15" max="15" width="19.28515625" style="1056" customWidth="1"/>
    <col min="16" max="18" width="19.28515625" style="1056" hidden="1" customWidth="1"/>
    <col min="19" max="19" width="21.5703125" style="1056" customWidth="1"/>
    <col min="20" max="20" width="22.42578125" style="1056" customWidth="1"/>
    <col min="21" max="21" width="13.5703125" style="1056" bestFit="1" customWidth="1"/>
    <col min="22" max="16384" width="9.28515625" style="1056"/>
  </cols>
  <sheetData>
    <row r="1" spans="1:73" s="1044" customFormat="1" ht="15.75" thickBot="1" x14ac:dyDescent="0.3">
      <c r="R1" s="1044" t="str">
        <f>IF(C32="YES", "YES", "NO")</f>
        <v>YES</v>
      </c>
      <c r="BU1" s="276"/>
    </row>
    <row r="2" spans="1:73" s="1044" customFormat="1" ht="18" customHeight="1" x14ac:dyDescent="0.25">
      <c r="B2" s="276" t="b">
        <f>IF(J4="Yes",TRUE,FALSE)</f>
        <v>1</v>
      </c>
      <c r="G2" s="1804" t="s">
        <v>322</v>
      </c>
      <c r="H2" s="1805"/>
      <c r="I2" s="1805"/>
      <c r="J2" s="1806"/>
      <c r="K2" s="1045"/>
    </row>
    <row r="3" spans="1:73" s="1044" customFormat="1" ht="15" customHeight="1" thickBot="1" x14ac:dyDescent="0.3">
      <c r="G3" s="1807" t="s">
        <v>323</v>
      </c>
      <c r="H3" s="1808"/>
      <c r="I3" s="1808"/>
      <c r="J3" s="1809"/>
      <c r="K3" s="1046"/>
    </row>
    <row r="4" spans="1:73" s="1044" customFormat="1" ht="16.5" thickTop="1" thickBot="1" x14ac:dyDescent="0.3">
      <c r="G4" s="1046" t="s">
        <v>324</v>
      </c>
      <c r="H4" s="1047"/>
      <c r="I4" s="1047"/>
      <c r="J4" s="863" t="s">
        <v>146</v>
      </c>
      <c r="K4" s="1048"/>
    </row>
    <row r="5" spans="1:73" s="1044" customFormat="1" ht="15.75" thickBot="1" x14ac:dyDescent="0.3">
      <c r="B5" s="1049"/>
      <c r="C5" s="1050"/>
      <c r="D5" s="1050"/>
      <c r="E5" s="1051"/>
      <c r="F5" s="1051"/>
      <c r="G5" s="1052"/>
      <c r="H5" s="1053"/>
      <c r="I5" s="1053"/>
      <c r="J5" s="1054"/>
      <c r="K5" s="1052"/>
      <c r="L5" s="1051"/>
      <c r="M5" s="1051"/>
      <c r="N5" s="1051"/>
      <c r="O5" s="1051"/>
      <c r="P5" s="1051"/>
      <c r="Q5" s="1051"/>
      <c r="R5" s="1051"/>
      <c r="S5" s="1055"/>
    </row>
    <row r="6" spans="1:73" s="1044" customFormat="1" ht="15" customHeight="1" thickBot="1" x14ac:dyDescent="0.3">
      <c r="A6" s="1056"/>
      <c r="B6" s="1057"/>
      <c r="C6" s="1050"/>
      <c r="D6" s="1050"/>
      <c r="E6" s="1058"/>
      <c r="F6" s="1058"/>
      <c r="G6" s="1810" t="s">
        <v>325</v>
      </c>
      <c r="H6" s="1811"/>
      <c r="I6" s="1811"/>
      <c r="J6" s="1812"/>
      <c r="K6" s="1052"/>
      <c r="L6" s="1051"/>
      <c r="M6" s="1051"/>
      <c r="N6" s="1051"/>
      <c r="O6" s="1051"/>
      <c r="P6" s="1051"/>
      <c r="Q6" s="1051"/>
      <c r="R6" s="1051"/>
      <c r="S6" s="1055"/>
    </row>
    <row r="7" spans="1:73" s="1044" customFormat="1" ht="15.75" thickBot="1" x14ac:dyDescent="0.3">
      <c r="A7" s="1056"/>
      <c r="B7" s="1057"/>
      <c r="C7" s="1050"/>
      <c r="D7" s="1050"/>
      <c r="E7" s="1058"/>
      <c r="F7" s="1058"/>
      <c r="G7" s="1813"/>
      <c r="H7" s="1814"/>
      <c r="I7" s="1814"/>
      <c r="J7" s="1815"/>
      <c r="K7" s="1052"/>
      <c r="L7" s="1051"/>
      <c r="M7" s="1051"/>
      <c r="N7" s="1051"/>
      <c r="O7" s="1051"/>
      <c r="P7" s="1051"/>
      <c r="Q7" s="1051"/>
      <c r="R7" s="1051"/>
      <c r="S7" s="1055"/>
    </row>
    <row r="8" spans="1:73" s="1044" customFormat="1" ht="15.75" thickBot="1" x14ac:dyDescent="0.3">
      <c r="A8" s="1059"/>
      <c r="B8" s="1057"/>
      <c r="C8" s="1060"/>
      <c r="D8" s="1050"/>
      <c r="E8" s="1058"/>
      <c r="F8" s="1058"/>
      <c r="G8" s="1813"/>
      <c r="H8" s="1814"/>
      <c r="I8" s="1814"/>
      <c r="J8" s="1815"/>
      <c r="K8" s="1052"/>
      <c r="L8" s="1051"/>
      <c r="M8" s="1051"/>
      <c r="N8" s="1051"/>
      <c r="O8" s="1051"/>
      <c r="P8" s="1051"/>
      <c r="Q8" s="1051"/>
      <c r="R8" s="1051"/>
      <c r="S8" s="1055"/>
    </row>
    <row r="9" spans="1:73" s="1044" customFormat="1" ht="15.75" thickBot="1" x14ac:dyDescent="0.3">
      <c r="A9" s="1056"/>
      <c r="B9" s="1057"/>
      <c r="C9" s="1050"/>
      <c r="D9" s="1050"/>
      <c r="E9" s="1058"/>
      <c r="F9" s="1058"/>
      <c r="G9" s="1813"/>
      <c r="H9" s="1814"/>
      <c r="I9" s="1814"/>
      <c r="J9" s="1815"/>
      <c r="K9" s="1052"/>
      <c r="L9" s="1051"/>
      <c r="M9" s="1051"/>
      <c r="N9" s="1051"/>
      <c r="O9" s="1051"/>
      <c r="P9" s="1051"/>
      <c r="Q9" s="1051"/>
      <c r="R9" s="1051"/>
      <c r="S9" s="1055"/>
    </row>
    <row r="10" spans="1:73" s="1061" customFormat="1" ht="15.75" thickBot="1" x14ac:dyDescent="0.3">
      <c r="B10" s="1062"/>
      <c r="C10" s="1063"/>
      <c r="D10" s="1063"/>
      <c r="E10" s="1063"/>
      <c r="F10" s="1063"/>
      <c r="G10" s="1813"/>
      <c r="H10" s="1814"/>
      <c r="I10" s="1814"/>
      <c r="J10" s="1815"/>
      <c r="K10" s="1064"/>
      <c r="L10" s="1063"/>
      <c r="M10" s="1063"/>
      <c r="N10" s="1063"/>
      <c r="O10" s="1063"/>
      <c r="P10" s="1063"/>
      <c r="Q10" s="1063"/>
      <c r="R10" s="1063"/>
      <c r="S10" s="1065"/>
    </row>
    <row r="11" spans="1:73" s="1061" customFormat="1" ht="15.75" thickBot="1" x14ac:dyDescent="0.3">
      <c r="B11" s="1062"/>
      <c r="C11" s="1063"/>
      <c r="D11" s="1063"/>
      <c r="E11" s="1063"/>
      <c r="F11" s="1063"/>
      <c r="G11" s="1813"/>
      <c r="H11" s="1814"/>
      <c r="I11" s="1814"/>
      <c r="J11" s="1815"/>
      <c r="K11" s="1064"/>
      <c r="L11" s="1063"/>
      <c r="M11" s="1063"/>
      <c r="N11" s="1063"/>
      <c r="O11" s="1063"/>
      <c r="P11" s="1063"/>
      <c r="Q11" s="1063"/>
      <c r="R11" s="1063"/>
      <c r="S11" s="1065"/>
    </row>
    <row r="12" spans="1:73" s="1061" customFormat="1" ht="15" customHeight="1" thickBot="1" x14ac:dyDescent="0.3">
      <c r="A12" s="1066"/>
      <c r="B12" s="1062"/>
      <c r="C12" s="1063"/>
      <c r="D12" s="1063"/>
      <c r="E12" s="1063"/>
      <c r="F12" s="1063"/>
      <c r="G12" s="1823" t="s">
        <v>326</v>
      </c>
      <c r="H12" s="1824"/>
      <c r="I12" s="1824"/>
      <c r="J12" s="1825"/>
      <c r="K12" s="1064"/>
      <c r="L12" s="1063"/>
      <c r="M12" s="1063"/>
      <c r="N12" s="1063"/>
      <c r="O12" s="1063"/>
      <c r="P12" s="1063"/>
      <c r="Q12" s="1063"/>
      <c r="R12" s="1063"/>
      <c r="S12" s="1065"/>
    </row>
    <row r="13" spans="1:73" s="1061" customFormat="1" ht="27" customHeight="1" thickBot="1" x14ac:dyDescent="0.3">
      <c r="A13" s="1821"/>
      <c r="B13" s="1822"/>
      <c r="C13" s="1822"/>
      <c r="D13" s="1822"/>
      <c r="E13" s="1822"/>
      <c r="F13" s="1067"/>
      <c r="G13" s="1826"/>
      <c r="H13" s="1827"/>
      <c r="I13" s="1827"/>
      <c r="J13" s="1828"/>
      <c r="K13" s="1068"/>
      <c r="L13" s="1069"/>
      <c r="M13" s="1069"/>
      <c r="N13" s="1069"/>
      <c r="O13" s="1069"/>
      <c r="P13" s="1069"/>
      <c r="Q13" s="1069"/>
      <c r="R13" s="1069"/>
      <c r="S13" s="1070"/>
    </row>
    <row r="14" spans="1:73" s="1061" customFormat="1" ht="15.75" thickBot="1" x14ac:dyDescent="0.3">
      <c r="B14" s="1071"/>
      <c r="C14" s="1820"/>
      <c r="D14" s="1820"/>
      <c r="E14" s="1820"/>
      <c r="F14" s="1820"/>
      <c r="G14" s="1820"/>
      <c r="H14" s="1820"/>
      <c r="I14" s="1069"/>
      <c r="J14" s="1069"/>
      <c r="K14" s="1831"/>
      <c r="L14" s="1831"/>
      <c r="M14" s="1831"/>
      <c r="N14" s="1831"/>
      <c r="O14" s="1831"/>
      <c r="P14" s="1831"/>
      <c r="Q14" s="1831"/>
      <c r="R14" s="1831"/>
      <c r="S14" s="1832"/>
    </row>
    <row r="15" spans="1:73" s="1061" customFormat="1" ht="22.5" customHeight="1" thickBot="1" x14ac:dyDescent="0.3">
      <c r="A15" s="1072"/>
      <c r="B15" s="1073"/>
      <c r="C15" s="1818" t="s">
        <v>327</v>
      </c>
      <c r="D15" s="1818" t="s">
        <v>328</v>
      </c>
      <c r="E15" s="1818" t="s">
        <v>329</v>
      </c>
      <c r="F15" s="1818" t="s">
        <v>330</v>
      </c>
      <c r="G15" s="1816" t="s">
        <v>331</v>
      </c>
      <c r="H15" s="1816" t="s">
        <v>332</v>
      </c>
      <c r="I15" s="1818" t="s">
        <v>333</v>
      </c>
      <c r="J15" s="1818" t="s">
        <v>334</v>
      </c>
      <c r="K15" s="1816" t="s">
        <v>335</v>
      </c>
      <c r="L15" s="1816" t="s">
        <v>6505</v>
      </c>
      <c r="M15" s="1816" t="s">
        <v>336</v>
      </c>
      <c r="N15" s="1816" t="s">
        <v>337</v>
      </c>
      <c r="O15" s="1816" t="s">
        <v>338</v>
      </c>
      <c r="P15" s="1816" t="s">
        <v>339</v>
      </c>
      <c r="Q15" s="1816" t="s">
        <v>340</v>
      </c>
      <c r="R15" s="1816" t="s">
        <v>6506</v>
      </c>
      <c r="S15" s="1833" t="s">
        <v>341</v>
      </c>
      <c r="T15" s="1829" t="s">
        <v>342</v>
      </c>
    </row>
    <row r="16" spans="1:73" s="1076" customFormat="1" ht="30.75" customHeight="1" thickBot="1" x14ac:dyDescent="0.3">
      <c r="A16" s="1074" t="s">
        <v>343</v>
      </c>
      <c r="B16" s="1075" t="s">
        <v>344</v>
      </c>
      <c r="C16" s="1819"/>
      <c r="D16" s="1819"/>
      <c r="E16" s="1819"/>
      <c r="F16" s="1819"/>
      <c r="G16" s="1817"/>
      <c r="H16" s="1817"/>
      <c r="I16" s="1819"/>
      <c r="J16" s="1819"/>
      <c r="K16" s="1817"/>
      <c r="L16" s="1817"/>
      <c r="M16" s="1817"/>
      <c r="N16" s="1817"/>
      <c r="O16" s="1817"/>
      <c r="P16" s="1817"/>
      <c r="Q16" s="1817"/>
      <c r="R16" s="1817"/>
      <c r="S16" s="1834"/>
      <c r="T16" s="1830"/>
    </row>
    <row r="17" spans="1:20" ht="15.75" customHeight="1" thickBot="1" x14ac:dyDescent="0.3">
      <c r="A17" s="1077" t="s">
        <v>170</v>
      </c>
      <c r="B17" s="1094" t="s">
        <v>379</v>
      </c>
      <c r="C17" s="1194">
        <v>4886981417</v>
      </c>
      <c r="D17" s="1195">
        <v>0</v>
      </c>
      <c r="E17" s="1195">
        <v>37988433</v>
      </c>
      <c r="F17" s="1195">
        <v>0</v>
      </c>
      <c r="G17" s="1408">
        <v>0</v>
      </c>
      <c r="H17" s="1408">
        <v>0</v>
      </c>
      <c r="I17" s="1096">
        <f t="shared" ref="I17:J24" si="0">C17-G17</f>
        <v>4886981417</v>
      </c>
      <c r="J17" s="1096">
        <f t="shared" si="0"/>
        <v>0</v>
      </c>
      <c r="K17" s="1097"/>
      <c r="L17" s="1098"/>
      <c r="M17" s="1200">
        <f>28.85%</f>
        <v>0.28850000000000003</v>
      </c>
      <c r="N17" s="1098"/>
      <c r="O17" s="1200">
        <f>40.35%</f>
        <v>0.40350000000000003</v>
      </c>
      <c r="P17" s="1098"/>
      <c r="Q17" s="1098"/>
      <c r="R17" s="1098"/>
      <c r="S17" s="1102"/>
      <c r="T17" s="1204">
        <v>617257</v>
      </c>
    </row>
    <row r="18" spans="1:20" ht="15.75" customHeight="1" thickBot="1" x14ac:dyDescent="0.3">
      <c r="A18" s="1205" t="s">
        <v>5914</v>
      </c>
      <c r="B18" s="1206" t="s">
        <v>379</v>
      </c>
      <c r="C18" s="1194">
        <v>328733472</v>
      </c>
      <c r="D18" s="1195">
        <v>0</v>
      </c>
      <c r="E18" s="1195">
        <v>146337</v>
      </c>
      <c r="F18" s="1195">
        <v>0</v>
      </c>
      <c r="G18" s="1408">
        <v>0</v>
      </c>
      <c r="H18" s="1408">
        <v>0</v>
      </c>
      <c r="I18" s="1207">
        <f t="shared" si="0"/>
        <v>328733472</v>
      </c>
      <c r="J18" s="1207">
        <f t="shared" si="0"/>
        <v>0</v>
      </c>
      <c r="K18" s="1208"/>
      <c r="L18" s="1209"/>
      <c r="M18" s="1201">
        <v>4.2099999999999999E-2</v>
      </c>
      <c r="N18" s="1209"/>
      <c r="O18" s="1201">
        <v>4.0599999999999997E-2</v>
      </c>
      <c r="P18" s="1209"/>
      <c r="Q18" s="1209"/>
      <c r="R18" s="1209"/>
      <c r="S18" s="1210"/>
      <c r="T18" s="1204">
        <v>94900</v>
      </c>
    </row>
    <row r="19" spans="1:20" ht="15.75" customHeight="1" thickBot="1" x14ac:dyDescent="0.3">
      <c r="A19" s="1077" t="s">
        <v>174</v>
      </c>
      <c r="B19" s="1094" t="s">
        <v>379</v>
      </c>
      <c r="C19" s="1194">
        <v>2329110980</v>
      </c>
      <c r="D19" s="1195">
        <v>0</v>
      </c>
      <c r="E19" s="1195">
        <v>293980332</v>
      </c>
      <c r="F19" s="1195">
        <v>0</v>
      </c>
      <c r="G19" s="1408">
        <f>45*0</f>
        <v>0</v>
      </c>
      <c r="H19" s="1408">
        <v>0</v>
      </c>
      <c r="I19" s="1096">
        <f t="shared" si="0"/>
        <v>2329110980</v>
      </c>
      <c r="J19" s="1096">
        <f t="shared" si="0"/>
        <v>0</v>
      </c>
      <c r="K19" s="1097"/>
      <c r="L19" s="1098"/>
      <c r="M19" s="1200">
        <v>0.11260000000000001</v>
      </c>
      <c r="N19" s="1098"/>
      <c r="O19" s="1200">
        <v>0.14990000000000001</v>
      </c>
      <c r="P19" s="1098"/>
      <c r="Q19" s="1098"/>
      <c r="R19" s="1098"/>
      <c r="S19" s="1102"/>
      <c r="T19" s="1407">
        <v>72619</v>
      </c>
    </row>
    <row r="20" spans="1:20" ht="15.75" customHeight="1" thickBot="1" x14ac:dyDescent="0.3">
      <c r="A20" s="1077" t="s">
        <v>990</v>
      </c>
      <c r="B20" s="1094" t="s">
        <v>9734</v>
      </c>
      <c r="C20" s="1194">
        <v>9754014966</v>
      </c>
      <c r="D20" s="1195">
        <v>24593447</v>
      </c>
      <c r="E20" s="1195">
        <v>6665849356</v>
      </c>
      <c r="F20" s="1195">
        <v>17334836</v>
      </c>
      <c r="G20" s="1408">
        <v>48996952</v>
      </c>
      <c r="H20" s="1408">
        <v>98146</v>
      </c>
      <c r="I20" s="1096">
        <f t="shared" si="0"/>
        <v>9705018014</v>
      </c>
      <c r="J20" s="1096">
        <f t="shared" si="0"/>
        <v>24495301</v>
      </c>
      <c r="K20" s="1097"/>
      <c r="L20" s="1098"/>
      <c r="M20" s="1200">
        <v>0.4219</v>
      </c>
      <c r="N20" s="1098"/>
      <c r="O20" s="1200">
        <v>0.26350000000000001</v>
      </c>
      <c r="P20" s="1098"/>
      <c r="Q20" s="1098"/>
      <c r="R20" s="1098"/>
      <c r="S20" s="1102"/>
      <c r="T20" s="1407">
        <v>10051</v>
      </c>
    </row>
    <row r="21" spans="1:20" ht="15.75" customHeight="1" thickBot="1" x14ac:dyDescent="0.3">
      <c r="A21" s="1077" t="s">
        <v>1008</v>
      </c>
      <c r="B21" s="1094" t="s">
        <v>9734</v>
      </c>
      <c r="C21" s="1194">
        <v>4286717227</v>
      </c>
      <c r="D21" s="1195">
        <v>9419440</v>
      </c>
      <c r="E21" s="1195">
        <v>4142813227</v>
      </c>
      <c r="F21" s="1195">
        <v>9132127</v>
      </c>
      <c r="G21" s="1408">
        <v>0</v>
      </c>
      <c r="H21" s="1408">
        <v>0</v>
      </c>
      <c r="I21" s="1096">
        <f t="shared" si="0"/>
        <v>4286717227</v>
      </c>
      <c r="J21" s="1096">
        <f t="shared" si="0"/>
        <v>9419440</v>
      </c>
      <c r="K21" s="1097"/>
      <c r="L21" s="1098"/>
      <c r="M21" s="1200">
        <v>7.22E-2</v>
      </c>
      <c r="N21" s="1098"/>
      <c r="O21" s="1200">
        <v>7.6499999999999999E-2</v>
      </c>
      <c r="P21" s="1098"/>
      <c r="Q21" s="1098"/>
      <c r="R21" s="1098"/>
      <c r="S21" s="1102"/>
      <c r="T21" s="1407">
        <v>516</v>
      </c>
    </row>
    <row r="22" spans="1:20" ht="15.75" customHeight="1" thickBot="1" x14ac:dyDescent="0.3">
      <c r="A22" s="1077" t="s">
        <v>189</v>
      </c>
      <c r="B22" s="1094" t="s">
        <v>9734</v>
      </c>
      <c r="C22" s="1194">
        <v>2143188326</v>
      </c>
      <c r="D22" s="1195">
        <v>4639620</v>
      </c>
      <c r="E22" s="1195">
        <v>1909267288</v>
      </c>
      <c r="F22" s="1195">
        <v>4188125</v>
      </c>
      <c r="G22" s="1408">
        <v>233921038</v>
      </c>
      <c r="H22" s="1408">
        <v>451496</v>
      </c>
      <c r="I22" s="1096">
        <f t="shared" si="0"/>
        <v>1909267288</v>
      </c>
      <c r="J22" s="1096">
        <f t="shared" si="0"/>
        <v>4188124</v>
      </c>
      <c r="K22" s="1097"/>
      <c r="L22" s="1098"/>
      <c r="M22" s="1200">
        <v>3.1600000000000003E-2</v>
      </c>
      <c r="N22" s="1098"/>
      <c r="O22" s="1200">
        <v>4.0399999999999998E-2</v>
      </c>
      <c r="P22" s="1098"/>
      <c r="Q22" s="1098"/>
      <c r="R22" s="1098"/>
      <c r="S22" s="1102"/>
      <c r="T22" s="1407">
        <v>51</v>
      </c>
    </row>
    <row r="23" spans="1:20" ht="15.75" customHeight="1" thickBot="1" x14ac:dyDescent="0.3">
      <c r="A23" s="1077" t="s">
        <v>194</v>
      </c>
      <c r="B23" s="1095" t="s">
        <v>379</v>
      </c>
      <c r="C23" s="1196">
        <v>41590391</v>
      </c>
      <c r="D23" s="1197">
        <v>0</v>
      </c>
      <c r="E23" s="1197">
        <v>49233</v>
      </c>
      <c r="F23" s="1197">
        <v>0</v>
      </c>
      <c r="G23" s="1409">
        <v>0</v>
      </c>
      <c r="H23" s="1409">
        <v>0</v>
      </c>
      <c r="I23" s="1078">
        <f t="shared" si="0"/>
        <v>41590391</v>
      </c>
      <c r="J23" s="1078">
        <f t="shared" si="0"/>
        <v>0</v>
      </c>
      <c r="K23" s="1091"/>
      <c r="L23" s="1092"/>
      <c r="M23" s="1202">
        <v>6.3E-3</v>
      </c>
      <c r="N23" s="1092"/>
      <c r="O23" s="1202">
        <v>5.4000000000000003E-3</v>
      </c>
      <c r="P23" s="1092"/>
      <c r="Q23" s="1092"/>
      <c r="R23" s="1092"/>
      <c r="S23" s="1103"/>
      <c r="T23" s="1407">
        <v>12844</v>
      </c>
    </row>
    <row r="24" spans="1:20" ht="15.75" customHeight="1" thickBot="1" x14ac:dyDescent="0.3">
      <c r="A24" s="1079" t="s">
        <v>202</v>
      </c>
      <c r="B24" s="1093" t="s">
        <v>9734</v>
      </c>
      <c r="C24" s="1198">
        <v>114759446</v>
      </c>
      <c r="D24" s="1199">
        <v>330988</v>
      </c>
      <c r="E24" s="1199">
        <v>114759446</v>
      </c>
      <c r="F24" s="1199">
        <v>330988</v>
      </c>
      <c r="G24" s="1410">
        <v>0</v>
      </c>
      <c r="H24" s="1410">
        <v>0</v>
      </c>
      <c r="I24" s="1099">
        <f t="shared" si="0"/>
        <v>114759446</v>
      </c>
      <c r="J24" s="1099">
        <f t="shared" si="0"/>
        <v>330988</v>
      </c>
      <c r="K24" s="1100"/>
      <c r="L24" s="1101"/>
      <c r="M24" s="1203">
        <v>2.4799999999999999E-2</v>
      </c>
      <c r="N24" s="1101"/>
      <c r="O24" s="1203">
        <v>2.0199999999999999E-2</v>
      </c>
      <c r="P24" s="1101"/>
      <c r="Q24" s="1101"/>
      <c r="R24" s="1101"/>
      <c r="S24" s="1104"/>
      <c r="T24" s="1407">
        <v>164687</v>
      </c>
    </row>
    <row r="25" spans="1:20" x14ac:dyDescent="0.25">
      <c r="B25" s="1080" t="s">
        <v>688</v>
      </c>
      <c r="C25" s="1081">
        <f>SUM($C$17:$C$24)</f>
        <v>23885096225</v>
      </c>
      <c r="D25" s="1081">
        <f>SUM($D$17:$D$24)</f>
        <v>38983495</v>
      </c>
      <c r="E25" s="1081">
        <f>SUM($E$17:$E$24)</f>
        <v>13164853652</v>
      </c>
      <c r="F25" s="1081">
        <f>SUM($F$17:$F$24)</f>
        <v>30986076</v>
      </c>
      <c r="G25" s="1081">
        <f>SUM($G$17:$G$24)</f>
        <v>282917990</v>
      </c>
      <c r="H25" s="1081">
        <f>SUM($H$17:$H$24)</f>
        <v>549642</v>
      </c>
      <c r="I25" s="1081">
        <f>SUM($I$17:$I$24)</f>
        <v>23602178235</v>
      </c>
      <c r="J25" s="1081">
        <f>SUM($J$17:$J$24)</f>
        <v>38433853</v>
      </c>
      <c r="K25" s="1082">
        <f>SUM($K$17:$K$24)</f>
        <v>0</v>
      </c>
      <c r="L25" s="1083">
        <f>SUM($L$17:$L$24)</f>
        <v>0</v>
      </c>
      <c r="M25" s="1083">
        <f>SUM($M$17:$M$24)</f>
        <v>1</v>
      </c>
      <c r="N25" s="1083">
        <f>SUM($N$17:$N$24)</f>
        <v>0</v>
      </c>
      <c r="O25" s="1083">
        <f>SUM($O$17:$O$24)</f>
        <v>1.0000000000000002</v>
      </c>
      <c r="P25" s="1083">
        <f>SUM($P$17:$P$24)</f>
        <v>0</v>
      </c>
      <c r="Q25" s="1083">
        <f>SUM($Q$17:$Q$24)</f>
        <v>0</v>
      </c>
      <c r="R25" s="1083">
        <f>SUM($R$17:$R$24)</f>
        <v>0</v>
      </c>
      <c r="S25" s="1081">
        <f>SUM($S$17:$S$24)</f>
        <v>0</v>
      </c>
      <c r="T25" s="1084">
        <f>SUM($T$17:$T$24)</f>
        <v>972925</v>
      </c>
    </row>
    <row r="26" spans="1:20" x14ac:dyDescent="0.25">
      <c r="L26" s="1085" t="str">
        <f>IF($L$25&lt;&gt;1,"Does not equal 100%","")</f>
        <v>Does not equal 100%</v>
      </c>
      <c r="M26" s="1085" t="str">
        <f>IF($M$25&lt;&gt;1,"Does not equal 100%","")</f>
        <v/>
      </c>
      <c r="N26" s="1085" t="str">
        <f>IF($N$25&lt;&gt;1,"Does not equal 100%","")</f>
        <v>Does not equal 100%</v>
      </c>
      <c r="O26" s="1085" t="str">
        <f>IF($O$25&lt;&gt;1,"Does not equal 100%","")</f>
        <v/>
      </c>
      <c r="P26" s="1085" t="str">
        <f>IF($P$25&lt;&gt;1,"Does not equal 100%","")</f>
        <v>Does not equal 100%</v>
      </c>
      <c r="Q26" s="1085" t="str">
        <f>IF($Q$25&lt;&gt;1,"Does not equal 100%","")</f>
        <v>Does not equal 100%</v>
      </c>
      <c r="R26" s="1085" t="str">
        <f>IF($R$25&lt;&gt;1,"Does not equal 100%","")</f>
        <v>Does not equal 100%</v>
      </c>
    </row>
    <row r="27" spans="1:20" x14ac:dyDescent="0.25">
      <c r="A27" s="1086" t="s">
        <v>9726</v>
      </c>
    </row>
    <row r="28" spans="1:20" x14ac:dyDescent="0.25">
      <c r="A28" s="1087" t="s">
        <v>9727</v>
      </c>
      <c r="C28" s="1088">
        <f>'3. Continuity Schedule'!BT48</f>
        <v>75370130.991073281</v>
      </c>
    </row>
    <row r="29" spans="1:20" x14ac:dyDescent="0.25">
      <c r="A29" s="1087" t="s">
        <v>9728</v>
      </c>
      <c r="C29" s="1088">
        <f>'3. Continuity Schedule'!BT41</f>
        <v>75370130.991073281</v>
      </c>
    </row>
    <row r="30" spans="1:20" x14ac:dyDescent="0.25">
      <c r="A30" s="1087" t="s">
        <v>9729</v>
      </c>
      <c r="C30" s="1193">
        <f>C29/C25</f>
        <v>3.1555297194986822E-3</v>
      </c>
    </row>
    <row r="31" spans="1:20" ht="15.75" thickBot="1" x14ac:dyDescent="0.3"/>
    <row r="32" spans="1:20" ht="52.5" thickBot="1" x14ac:dyDescent="0.3">
      <c r="A32" s="1089" t="s">
        <v>9730</v>
      </c>
      <c r="C32" s="1043" t="s">
        <v>321</v>
      </c>
    </row>
    <row r="36" spans="1:1" ht="17.25" x14ac:dyDescent="0.25">
      <c r="A36" s="1090" t="s">
        <v>9731</v>
      </c>
    </row>
    <row r="37" spans="1:1" ht="17.25" x14ac:dyDescent="0.25">
      <c r="A37" s="1090" t="s">
        <v>9732</v>
      </c>
    </row>
    <row r="38" spans="1:1" ht="17.25" x14ac:dyDescent="0.25">
      <c r="A38" s="1090" t="s">
        <v>9733</v>
      </c>
    </row>
  </sheetData>
  <mergeCells count="25">
    <mergeCell ref="T15:T16"/>
    <mergeCell ref="K14:S14"/>
    <mergeCell ref="S15:S16"/>
    <mergeCell ref="N15:N16"/>
    <mergeCell ref="O15:O16"/>
    <mergeCell ref="R15:R16"/>
    <mergeCell ref="P15:P16"/>
    <mergeCell ref="Q15:Q16"/>
    <mergeCell ref="K15:K16"/>
    <mergeCell ref="M15:M16"/>
    <mergeCell ref="L15:L16"/>
    <mergeCell ref="G2:J2"/>
    <mergeCell ref="G3:J3"/>
    <mergeCell ref="G6:J11"/>
    <mergeCell ref="H15:H16"/>
    <mergeCell ref="I15:I16"/>
    <mergeCell ref="J15:J16"/>
    <mergeCell ref="C14:H14"/>
    <mergeCell ref="E15:E16"/>
    <mergeCell ref="F15:F16"/>
    <mergeCell ref="G15:G16"/>
    <mergeCell ref="D15:D16"/>
    <mergeCell ref="C15:C16"/>
    <mergeCell ref="A13:E13"/>
    <mergeCell ref="G12:J13"/>
  </mergeCells>
  <dataValidations count="3">
    <dataValidation type="list" showErrorMessage="1" errorTitle="Selection Needed" error="Please select an option from the drop-down list." prompt="Use the following format eg: January 1, 2013" sqref="J4" xr:uid="{00000000-0002-0000-0600-000000000000}">
      <formula1>"Yes,No"</formula1>
    </dataValidation>
    <dataValidation type="list" allowBlank="1" showInputMessage="1" showErrorMessage="1" sqref="B17:B24" xr:uid="{C283BDCA-0DD0-4928-8749-FE18980EB07C}">
      <formula1>"kWh, kW, kVA"</formula1>
    </dataValidation>
    <dataValidation type="list" allowBlank="1" showInputMessage="1" showErrorMessage="1" sqref="C32" xr:uid="{C0F87A99-D726-4B09-B72A-276994F5A91A}">
      <formula1>"YES, NO"</formula1>
    </dataValidation>
  </dataValidations>
  <pageMargins left="0.25" right="0.25" top="0.75" bottom="0.75" header="0.3" footer="0.3"/>
  <pageSetup paperSize="17" scale="63" orientation="landscape" r:id="rId1"/>
  <headerFooter>
    <oddFooter>&amp;C&amp;A</oddFooter>
  </headerFooter>
  <customProperties>
    <customPr name="_pios_id" r:id="rId2"/>
  </customProperties>
  <ignoredErrors>
    <ignoredError sqref="B2" unlocked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9AD4CB-91CD-41FE-9D5E-D1E41B88AD09}">
  <ds:schemaRefs>
    <ds:schemaRef ds:uri="http://schemas.microsoft.com/sharepoint/v3/contenttype/forms"/>
  </ds:schemaRefs>
</ds:datastoreItem>
</file>

<file path=customXml/itemProps2.xml><?xml version="1.0" encoding="utf-8"?>
<ds:datastoreItem xmlns:ds="http://schemas.openxmlformats.org/officeDocument/2006/customXml" ds:itemID="{FAE25799-5162-4B54-93F1-66276D4D9886}">
  <ds:schemaRefs>
    <ds:schemaRef ds:uri="http://schemas.microsoft.com/office/2006/documentManagement/types"/>
    <ds:schemaRef ds:uri="d178a8d1-16ff-473a-8ed0-d41f4478457a"/>
    <ds:schemaRef ds:uri="http://schemas.openxmlformats.org/package/2006/metadata/core-properties"/>
    <ds:schemaRef ds:uri="http://schemas.microsoft.com/office/infopath/2007/PartnerControls"/>
    <ds:schemaRef ds:uri="12f68b52-648b-46a0-8463-d3282342a499"/>
    <ds:schemaRef ds:uri="http://purl.org/dc/elements/1.1/"/>
    <ds:schemaRef ds:uri="http://purl.org/dc/terms/"/>
    <ds:schemaRef ds:uri="http://schemas.microsoft.com/sharepoint/v3/field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0101322-E1E7-4F82-B3B9-12996D7537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54</vt:i4>
      </vt:variant>
    </vt:vector>
  </HeadingPairs>
  <TitlesOfParts>
    <vt:vector size="88" baseType="lpstr">
      <vt:lpstr>Instructions</vt:lpstr>
      <vt:lpstr>Summary of Changes</vt:lpstr>
      <vt:lpstr>1. Information Sheet</vt:lpstr>
      <vt:lpstr>Sheet1</vt:lpstr>
      <vt:lpstr>Rate Zones</vt:lpstr>
      <vt:lpstr>Database</vt:lpstr>
      <vt:lpstr>3. Continuity Schedule</vt:lpstr>
      <vt:lpstr>2016 List</vt:lpstr>
      <vt:lpstr>4. Billing Det. for Def-Var</vt:lpstr>
      <vt:lpstr>5. Allocating Def-Var Balances</vt:lpstr>
      <vt:lpstr>6. Class A Consumption Data</vt:lpstr>
      <vt:lpstr>6.1a GA Allocation</vt:lpstr>
      <vt:lpstr>6.1 GA</vt:lpstr>
      <vt:lpstr>6.2a CBR B_Allocation</vt:lpstr>
      <vt:lpstr>6.2 CBR B</vt:lpstr>
      <vt:lpstr>7. Calculation of Def-Var RR</vt:lpstr>
      <vt:lpstr>10. RTSR Current Rates</vt:lpstr>
      <vt:lpstr>11. RTSR - UTRs &amp; Sub-Tx</vt:lpstr>
      <vt:lpstr>12. RTSR - Historical Wholesale</vt:lpstr>
      <vt:lpstr>13. RTSR - Current Wholesale</vt:lpstr>
      <vt:lpstr>14. RTSR - Forecast Wholesale</vt:lpstr>
      <vt:lpstr>15. RTSR Rates to Forecast</vt:lpstr>
      <vt:lpstr>16.1 LV Expense</vt:lpstr>
      <vt:lpstr>16.2 LV Service Rate</vt:lpstr>
      <vt:lpstr>Rate Rider Database</vt:lpstr>
      <vt:lpstr>22. Base Distribution Rates</vt:lpstr>
      <vt:lpstr>2 1 5 TotalConsumptionData_Dist</vt:lpstr>
      <vt:lpstr>212_Total_Connection_RollUp</vt:lpstr>
      <vt:lpstr>2.1.7 Filing</vt:lpstr>
      <vt:lpstr>20. HIDDEN</vt:lpstr>
      <vt:lpstr>20. Bill Impacts hidden</vt:lpstr>
      <vt:lpstr>lists</vt:lpstr>
      <vt:lpstr>Sheet2</vt:lpstr>
      <vt:lpstr>Sheet3</vt:lpstr>
      <vt:lpstr>Alectra_SA</vt:lpstr>
      <vt:lpstr>'20. Bill Impacts hidden'!BI_SS</vt:lpstr>
      <vt:lpstr>'20. HIDDEN'!BI_SS</vt:lpstr>
      <vt:lpstr>Cust3a</vt:lpstr>
      <vt:lpstr>Cust3b</vt:lpstr>
      <vt:lpstr>Elexicon_SA</vt:lpstr>
      <vt:lpstr>Energy_SA</vt:lpstr>
      <vt:lpstr>EnergyPlus_SA</vt:lpstr>
      <vt:lpstr>Enova_SA</vt:lpstr>
      <vt:lpstr>Entegrus_SA</vt:lpstr>
      <vt:lpstr>ERTH_SA</vt:lpstr>
      <vt:lpstr>'2016 List'!Extract</vt:lpstr>
      <vt:lpstr>Fixed_Charges</vt:lpstr>
      <vt:lpstr>forecast_wholesale_lineplus</vt:lpstr>
      <vt:lpstr>forecast_wholesale_network</vt:lpstr>
      <vt:lpstr>G1LD</vt:lpstr>
      <vt:lpstr>'6.2a CBR B_Allocation'!G1LDCBR</vt:lpstr>
      <vt:lpstr>G1LDCBR</vt:lpstr>
      <vt:lpstr>Grandbridge_SA</vt:lpstr>
      <vt:lpstr>HydroOne_SA</vt:lpstr>
      <vt:lpstr>Lakeland_SA</vt:lpstr>
      <vt:lpstr>LDC_LIST</vt:lpstr>
      <vt:lpstr>LDCNAME1</vt:lpstr>
      <vt:lpstr>LDCNAMES</vt:lpstr>
      <vt:lpstr>listdata</vt:lpstr>
      <vt:lpstr>LossFactors</vt:lpstr>
      <vt:lpstr>Newmarket_SA</vt:lpstr>
      <vt:lpstr>NonPayment</vt:lpstr>
      <vt:lpstr>North_Bay_SA</vt:lpstr>
      <vt:lpstr>passwordlist</vt:lpstr>
      <vt:lpstr>'1. Information Sheet'!Print_Area</vt:lpstr>
      <vt:lpstr>'12. RTSR - Historical Wholesale'!Print_Area</vt:lpstr>
      <vt:lpstr>'13. RTSR - Current Wholesale'!Print_Area</vt:lpstr>
      <vt:lpstr>'14. RTSR - Forecast Wholesale'!Print_Area</vt:lpstr>
      <vt:lpstr>'16.1 LV Expense'!Print_Area</vt:lpstr>
      <vt:lpstr>'16.2 LV Service Rate'!Print_Area</vt:lpstr>
      <vt:lpstr>'3. Continuity Schedule'!Print_Area</vt:lpstr>
      <vt:lpstr>'4. Billing Det. for Def-Var'!Print_Area</vt:lpstr>
      <vt:lpstr>'5. Allocating Def-Var Balances'!Print_Area</vt:lpstr>
      <vt:lpstr>'7. Calculation of Def-Var RR'!Print_Area</vt:lpstr>
      <vt:lpstr>'12. RTSR - Historical Wholesale'!Print_Titles</vt:lpstr>
      <vt:lpstr>'13. RTSR - Current Wholesale'!Print_Titles</vt:lpstr>
      <vt:lpstr>'14. RTSR - Forecast Wholesale'!Print_Titles</vt:lpstr>
      <vt:lpstr>Rate_Class</vt:lpstr>
      <vt:lpstr>ServiceTerr</vt:lpstr>
      <vt:lpstr>ss</vt:lpstr>
      <vt:lpstr>Synergy_SA</vt:lpstr>
      <vt:lpstr>Total_Current_Wholesale_Line</vt:lpstr>
      <vt:lpstr>Total_Current_Wholesale_Lineplus</vt:lpstr>
      <vt:lpstr>total_current_wholesale_network</vt:lpstr>
      <vt:lpstr>TranCust</vt:lpstr>
      <vt:lpstr>TranCustb</vt:lpstr>
      <vt:lpstr>TransCust</vt:lpstr>
      <vt:lpstr>Units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abramoma</dc:creator>
  <cp:keywords/>
  <dc:description/>
  <cp:lastModifiedBy>Gulshan Malhotra</cp:lastModifiedBy>
  <cp:revision/>
  <dcterms:created xsi:type="dcterms:W3CDTF">2012-04-25T19:46:34Z</dcterms:created>
  <dcterms:modified xsi:type="dcterms:W3CDTF">2025-08-11T20:48:03Z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f3ae17-4131-4cab-af65-6307e1627001_Enabled">
    <vt:lpwstr>true</vt:lpwstr>
  </property>
  <property fmtid="{D5CDD505-2E9C-101B-9397-08002B2CF9AE}" pid="3" name="MSIP_Label_84f3ae17-4131-4cab-af65-6307e1627001_SetDate">
    <vt:lpwstr>2025-07-24T15:03:06Z</vt:lpwstr>
  </property>
  <property fmtid="{D5CDD505-2E9C-101B-9397-08002B2CF9AE}" pid="4" name="MSIP_Label_84f3ae17-4131-4cab-af65-6307e1627001_Method">
    <vt:lpwstr>Privileged</vt:lpwstr>
  </property>
  <property fmtid="{D5CDD505-2E9C-101B-9397-08002B2CF9AE}" pid="5" name="MSIP_Label_84f3ae17-4131-4cab-af65-6307e1627001_Name">
    <vt:lpwstr>Confidential - Anyone (not protected)</vt:lpwstr>
  </property>
  <property fmtid="{D5CDD505-2E9C-101B-9397-08002B2CF9AE}" pid="6" name="MSIP_Label_84f3ae17-4131-4cab-af65-6307e1627001_SiteId">
    <vt:lpwstr>cecf09d6-44f1-4c40-95a1-cbafb9319d75</vt:lpwstr>
  </property>
  <property fmtid="{D5CDD505-2E9C-101B-9397-08002B2CF9AE}" pid="7" name="MSIP_Label_84f3ae17-4131-4cab-af65-6307e1627001_ActionId">
    <vt:lpwstr>57a92f41-9944-47c3-bc8f-ff642f7c92cf</vt:lpwstr>
  </property>
  <property fmtid="{D5CDD505-2E9C-101B-9397-08002B2CF9AE}" pid="8" name="MSIP_Label_84f3ae17-4131-4cab-af65-6307e1627001_ContentBits">
    <vt:lpwstr>0</vt:lpwstr>
  </property>
  <property fmtid="{D5CDD505-2E9C-101B-9397-08002B2CF9AE}" pid="9" name="ContentTypeId">
    <vt:lpwstr>0x0101002EDAACFF67256049A485179023DD9F32</vt:lpwstr>
  </property>
</Properties>
</file>